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drawings/drawing4.xml" ContentType="application/vnd.openxmlformats-officedocument.drawingml.chartshapes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3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4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5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8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9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0.xml" ContentType="application/vnd.openxmlformats-officedocument.drawing+xml"/>
  <Override PartName="/xl/charts/chart11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4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4.xml" ContentType="application/vnd.openxmlformats-officedocument.drawing+xml"/>
  <Override PartName="/xl/charts/chart15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5.xml" ContentType="application/vnd.openxmlformats-officedocument.drawing+xml"/>
  <Override PartName="/xl/charts/chart16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6.xml" ContentType="application/vnd.openxmlformats-officedocument.drawing+xml"/>
  <Override PartName="/xl/charts/chart17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7.xml" ContentType="application/vnd.openxmlformats-officedocument.drawing+xml"/>
  <Override PartName="/xl/charts/chart18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8.xml" ContentType="application/vnd.openxmlformats-officedocument.drawing+xml"/>
  <Override PartName="/xl/charts/chart19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0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charts/chart21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3.xml" ContentType="application/vnd.openxmlformats-officedocument.drawing+xml"/>
  <Override PartName="/xl/charts/chart22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3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4.xml" ContentType="application/vnd.openxmlformats-officedocument.drawing+xml"/>
  <Override PartName="/xl/charts/chart24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5.xml" ContentType="application/vnd.openxmlformats-officedocument.drawing+xml"/>
  <Override PartName="/xl/charts/chart25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charts/chart26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27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/>
  <mc:AlternateContent xmlns:mc="http://schemas.openxmlformats.org/markup-compatibility/2006">
    <mc:Choice Requires="x15">
      <x15ac:absPath xmlns:x15ac="http://schemas.microsoft.com/office/spreadsheetml/2010/11/ac" url="C:\Users\Okay1095\Desktop\Pro3\M5\"/>
    </mc:Choice>
  </mc:AlternateContent>
  <xr:revisionPtr revIDLastSave="0" documentId="13_ncr:1_{FA749CB5-CD42-46EC-B757-78EDF75F3CB8}" xr6:coauthVersionLast="45" xr6:coauthVersionMax="45" xr10:uidLastSave="{00000000-0000-0000-0000-000000000000}"/>
  <bookViews>
    <workbookView xWindow="-120" yWindow="-120" windowWidth="20730" windowHeight="11160" tabRatio="810" xr2:uid="{A6A14B35-B70D-4331-A3DE-5DB418923CA9}"/>
  </bookViews>
  <sheets>
    <sheet name="MENU" sheetId="13" r:id="rId1"/>
    <sheet name="screeny" sheetId="63" state="hidden" r:id="rId2"/>
    <sheet name="DASHBOARD" sheetId="25" r:id="rId3"/>
    <sheet name="Vazby" sheetId="62" r:id="rId4"/>
    <sheet name="VazbyOld" sheetId="61" state="hidden" r:id="rId5"/>
    <sheet name="Cla" sheetId="64" r:id="rId6"/>
    <sheet name="Harm. exp." sheetId="54" r:id="rId7"/>
    <sheet name="Expanze" sheetId="51" r:id="rId8"/>
    <sheet name="Vývoj trhu" sheetId="53" r:id="rId9"/>
    <sheet name="Vývoj CF" sheetId="49" r:id="rId10"/>
    <sheet name="Hodnoc. Inv." sheetId="55" r:id="rId11"/>
    <sheet name="Platf. SE" sheetId="50" r:id="rId12"/>
    <sheet name="Výnosy 10%ZW" sheetId="59" r:id="rId13"/>
    <sheet name="Náklady 10%ZW" sheetId="48" r:id="rId14"/>
    <sheet name="Matice rizik" sheetId="47" r:id="rId15"/>
    <sheet name="Vývoj CF (2)" sheetId="60" r:id="rId16"/>
    <sheet name="Citl. Anal." sheetId="46" r:id="rId17"/>
    <sheet name="Exchange" sheetId="58" r:id="rId18"/>
    <sheet name="SWOT" sheetId="52" r:id="rId19"/>
    <sheet name="Rozvaha" sheetId="9" r:id="rId20"/>
    <sheet name="VZZ" sheetId="28" r:id="rId21"/>
    <sheet name="CashFlow" sheetId="45" r:id="rId22"/>
    <sheet name="NEPŘÍMÁ CF" sheetId="38" r:id="rId23"/>
    <sheet name="PL. Prodeje" sheetId="44" r:id="rId24"/>
    <sheet name="PL. Výnosů" sheetId="40" r:id="rId25"/>
    <sheet name="PL. Příjmů" sheetId="41" r:id="rId26"/>
    <sheet name="PL. Výroby" sheetId="31" r:id="rId27"/>
    <sheet name="PL. FN" sheetId="34" r:id="rId28"/>
    <sheet name="PL. Nákupu" sheetId="33" r:id="rId29"/>
    <sheet name="PL. Výdajů" sheetId="32" r:id="rId30"/>
    <sheet name="Sklad" sheetId="37" r:id="rId31"/>
    <sheet name="Konkurence" sheetId="23" r:id="rId32"/>
    <sheet name="Prom." sheetId="24" r:id="rId33"/>
    <sheet name="PM" sheetId="22" r:id="rId34"/>
    <sheet name="OrgStr" sheetId="21" r:id="rId35"/>
    <sheet name="HR" sheetId="1" r:id="rId36"/>
    <sheet name="NS + DHM" sheetId="3" r:id="rId37"/>
    <sheet name="Roční Rozpočet " sheetId="10" r:id="rId38"/>
    <sheet name="ROZ Tech. us." sheetId="2" r:id="rId39"/>
    <sheet name="ROZ Obch. us. " sheetId="5" r:id="rId40"/>
    <sheet name="ROZ Eko. us." sheetId="4" r:id="rId41"/>
    <sheet name="ROZ Manag." sheetId="7" r:id="rId42"/>
    <sheet name="Záznamy o prodeji" sheetId="14" r:id="rId43"/>
    <sheet name="Forcasting" sheetId="20" r:id="rId44"/>
    <sheet name="Produkty" sheetId="18" r:id="rId45"/>
    <sheet name="PVN" sheetId="15" r:id="rId46"/>
    <sheet name="PFN" sheetId="16" r:id="rId47"/>
    <sheet name="Kapacity" sheetId="30" r:id="rId48"/>
    <sheet name="HNS" sheetId="17" r:id="rId49"/>
    <sheet name="VK" sheetId="19" r:id="rId50"/>
  </sheets>
  <definedNames>
    <definedName name="_xlchart.v5.0" hidden="1">'Záznamy o prodeji'!$Q$82</definedName>
    <definedName name="_xlchart.v5.1" hidden="1">'Záznamy o prodeji'!$Q$83:$Q$95</definedName>
    <definedName name="_xlchart.v5.10" hidden="1">DASHBOARD!$C$77</definedName>
    <definedName name="_xlchart.v5.11" hidden="1">DASHBOARD!$C$78:$C$89</definedName>
    <definedName name="_xlchart.v5.12" hidden="1">DASHBOARD!$B$77</definedName>
    <definedName name="_xlchart.v5.13" hidden="1">DASHBOARD!$B$78:$B$85</definedName>
    <definedName name="_xlchart.v5.14" hidden="1">DASHBOARD!$C$77</definedName>
    <definedName name="_xlchart.v5.15" hidden="1">DASHBOARD!$C$78:$C$85</definedName>
    <definedName name="_xlchart.v5.2" hidden="1">'Záznamy o prodeji'!$T$82</definedName>
    <definedName name="_xlchart.v5.3" hidden="1">'Záznamy o prodeji'!$T$83:$T$95</definedName>
    <definedName name="_xlchart.v5.4" hidden="1">DASHBOARD!$B$72</definedName>
    <definedName name="_xlchart.v5.5" hidden="1">DASHBOARD!$B$73:$B$77</definedName>
    <definedName name="_xlchart.v5.6" hidden="1">DASHBOARD!$C$72</definedName>
    <definedName name="_xlchart.v5.7" hidden="1">DASHBOARD!$C$73:$C$77</definedName>
    <definedName name="_xlchart.v5.8" hidden="1">DASHBOARD!$B$77</definedName>
    <definedName name="_xlchart.v5.9" hidden="1">DASHBOARD!$B$78:$B$89</definedName>
    <definedName name="Z_F9015B81_4D5E_47E3_BFA8_A54438E9D1FF_.wvu.Cols" localSheetId="43" hidden="1">Forcasting!$U:$W,Forcasting!$Y:$AA,Forcasting!$AC:$AE,Forcasting!$AG:$AI</definedName>
    <definedName name="Z_F9015B81_4D5E_47E3_BFA8_A54438E9D1FF_.wvu.Cols" localSheetId="30" hidden="1">Sklad!$C:$N,Sklad!$AC:$AN,Sklad!$AP:$BA</definedName>
    <definedName name="Z_F9015B81_4D5E_47E3_BFA8_A54438E9D1FF_.wvu.Cols" localSheetId="20" hidden="1">VZZ!$I:$K,VZZ!$M:$O,VZZ!$Q:$S</definedName>
    <definedName name="Z_F9015B81_4D5E_47E3_BFA8_A54438E9D1FF_.wvu.Cols" localSheetId="42" hidden="1">'Záznamy o prodeji'!$V:$AJ</definedName>
    <definedName name="Z_F9015B81_4D5E_47E3_BFA8_A54438E9D1FF_.wvu.Rows" localSheetId="20" hidden="1">VZZ!$16:$18,VZZ!$22:$25,VZZ!$27:$31,VZZ!$37:$41</definedName>
  </definedNames>
  <calcPr calcId="191028"/>
  <customWorkbookViews>
    <customWorkbookView name="1" guid="{F9015B81-4D5E-47E3-BFA8-A54438E9D1FF}" maximized="1" xWindow="-11" yWindow="-11" windowWidth="1942" windowHeight="1042" tabRatio="810" activeSheetId="45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3" i="45" l="1"/>
  <c r="F4" i="60" l="1"/>
  <c r="G4" i="60"/>
  <c r="H4" i="60"/>
  <c r="I4" i="60"/>
  <c r="J4" i="60"/>
  <c r="K4" i="60"/>
  <c r="L4" i="60"/>
  <c r="M4" i="60"/>
  <c r="N4" i="60"/>
  <c r="O4" i="60"/>
  <c r="P4" i="60"/>
  <c r="Q4" i="60"/>
  <c r="R4" i="60"/>
  <c r="S4" i="60"/>
  <c r="T4" i="60"/>
  <c r="U4" i="60"/>
  <c r="V4" i="60"/>
  <c r="W4" i="60"/>
  <c r="X4" i="60"/>
  <c r="E4" i="60"/>
  <c r="E5" i="46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E6" i="60"/>
  <c r="D35" i="60"/>
  <c r="D32" i="60"/>
  <c r="X27" i="60"/>
  <c r="W27" i="60"/>
  <c r="V27" i="60"/>
  <c r="U27" i="60"/>
  <c r="T27" i="60"/>
  <c r="S27" i="60"/>
  <c r="R27" i="60"/>
  <c r="Q27" i="60"/>
  <c r="P27" i="60"/>
  <c r="O27" i="60"/>
  <c r="N27" i="60"/>
  <c r="M27" i="60"/>
  <c r="L27" i="60"/>
  <c r="K27" i="60"/>
  <c r="J27" i="60"/>
  <c r="I27" i="60"/>
  <c r="H27" i="60"/>
  <c r="G27" i="60"/>
  <c r="F27" i="60"/>
  <c r="E27" i="60"/>
  <c r="X26" i="60"/>
  <c r="W26" i="60"/>
  <c r="V26" i="60"/>
  <c r="U26" i="60"/>
  <c r="T26" i="60"/>
  <c r="S26" i="60"/>
  <c r="R26" i="60"/>
  <c r="Q26" i="60"/>
  <c r="P26" i="60"/>
  <c r="O26" i="60"/>
  <c r="N26" i="60"/>
  <c r="M26" i="60"/>
  <c r="L26" i="60"/>
  <c r="K26" i="60"/>
  <c r="J26" i="60"/>
  <c r="I26" i="60"/>
  <c r="H26" i="60"/>
  <c r="G26" i="60"/>
  <c r="F26" i="60"/>
  <c r="E26" i="60"/>
  <c r="D11" i="60"/>
  <c r="A8" i="60"/>
  <c r="O14" i="60" s="1"/>
  <c r="A5" i="60"/>
  <c r="M6" i="49"/>
  <c r="N6" i="49"/>
  <c r="O6" i="49"/>
  <c r="P6" i="49"/>
  <c r="Q6" i="49"/>
  <c r="R6" i="49"/>
  <c r="S6" i="49"/>
  <c r="T6" i="49"/>
  <c r="U6" i="49"/>
  <c r="V6" i="49"/>
  <c r="W6" i="49"/>
  <c r="X6" i="49"/>
  <c r="D14" i="60" l="1"/>
  <c r="D15" i="60" s="1"/>
  <c r="D16" i="60" s="1"/>
  <c r="D20" i="60" s="1"/>
  <c r="P35" i="60"/>
  <c r="I14" i="60"/>
  <c r="X35" i="60"/>
  <c r="W35" i="60"/>
  <c r="S35" i="60"/>
  <c r="O35" i="60"/>
  <c r="K35" i="60"/>
  <c r="G35" i="60"/>
  <c r="V14" i="60"/>
  <c r="R14" i="60"/>
  <c r="N14" i="60"/>
  <c r="J14" i="60"/>
  <c r="F14" i="60"/>
  <c r="V35" i="60"/>
  <c r="R35" i="60"/>
  <c r="N35" i="60"/>
  <c r="J35" i="60"/>
  <c r="F35" i="60"/>
  <c r="U35" i="60"/>
  <c r="M35" i="60"/>
  <c r="E35" i="60"/>
  <c r="X14" i="60"/>
  <c r="S14" i="60"/>
  <c r="M14" i="60"/>
  <c r="H14" i="60"/>
  <c r="I35" i="60"/>
  <c r="P14" i="60"/>
  <c r="K14" i="60"/>
  <c r="T35" i="60"/>
  <c r="L35" i="60"/>
  <c r="W14" i="60"/>
  <c r="Q14" i="60"/>
  <c r="L14" i="60"/>
  <c r="G14" i="60"/>
  <c r="Q35" i="60"/>
  <c r="U14" i="60"/>
  <c r="E14" i="60"/>
  <c r="T14" i="60"/>
  <c r="H35" i="60"/>
  <c r="D33" i="60"/>
  <c r="D36" i="60"/>
  <c r="D12" i="60"/>
  <c r="W14" i="53"/>
  <c r="V14" i="53"/>
  <c r="U14" i="53"/>
  <c r="T14" i="53"/>
  <c r="S14" i="53"/>
  <c r="R14" i="53"/>
  <c r="Q14" i="53"/>
  <c r="P14" i="53"/>
  <c r="O14" i="53"/>
  <c r="N14" i="53"/>
  <c r="M14" i="53"/>
  <c r="L14" i="53"/>
  <c r="D12" i="53"/>
  <c r="E12" i="53"/>
  <c r="F12" i="53"/>
  <c r="G12" i="53"/>
  <c r="H12" i="53"/>
  <c r="I12" i="53"/>
  <c r="J12" i="53"/>
  <c r="K12" i="53"/>
  <c r="L12" i="53"/>
  <c r="M12" i="53"/>
  <c r="N12" i="53"/>
  <c r="O12" i="53"/>
  <c r="P12" i="53"/>
  <c r="Q12" i="53"/>
  <c r="R12" i="53"/>
  <c r="S12" i="53"/>
  <c r="T12" i="53"/>
  <c r="U12" i="53"/>
  <c r="V12" i="53"/>
  <c r="W12" i="53"/>
  <c r="E11" i="53"/>
  <c r="F25" i="60" s="1"/>
  <c r="F28" i="60" s="1"/>
  <c r="F29" i="60" s="1"/>
  <c r="F30" i="60" s="1"/>
  <c r="F31" i="60" s="1"/>
  <c r="F32" i="60" s="1"/>
  <c r="F11" i="53"/>
  <c r="G25" i="60" s="1"/>
  <c r="G28" i="60" s="1"/>
  <c r="G29" i="60" s="1"/>
  <c r="G11" i="53"/>
  <c r="H25" i="60" s="1"/>
  <c r="H28" i="60" s="1"/>
  <c r="H29" i="60" s="1"/>
  <c r="H30" i="60" s="1"/>
  <c r="H11" i="53"/>
  <c r="I25" i="60" s="1"/>
  <c r="I28" i="60" s="1"/>
  <c r="I29" i="60" s="1"/>
  <c r="I30" i="60" s="1"/>
  <c r="I31" i="60" s="1"/>
  <c r="I32" i="60" s="1"/>
  <c r="I11" i="53"/>
  <c r="J25" i="60" s="1"/>
  <c r="J28" i="60" s="1"/>
  <c r="J29" i="60" s="1"/>
  <c r="J11" i="53"/>
  <c r="K25" i="60" s="1"/>
  <c r="K28" i="60" s="1"/>
  <c r="K29" i="60" s="1"/>
  <c r="K30" i="60" s="1"/>
  <c r="K31" i="60" s="1"/>
  <c r="K32" i="60" s="1"/>
  <c r="K11" i="53"/>
  <c r="L25" i="60" s="1"/>
  <c r="L28" i="60" s="1"/>
  <c r="L29" i="60" s="1"/>
  <c r="L30" i="60" s="1"/>
  <c r="L11" i="53"/>
  <c r="M25" i="60" s="1"/>
  <c r="M28" i="60" s="1"/>
  <c r="M29" i="60" s="1"/>
  <c r="M11" i="53"/>
  <c r="N25" i="60" s="1"/>
  <c r="N28" i="60" s="1"/>
  <c r="N29" i="60" s="1"/>
  <c r="N30" i="60" s="1"/>
  <c r="N31" i="60" s="1"/>
  <c r="N32" i="60" s="1"/>
  <c r="N11" i="53"/>
  <c r="O25" i="60" s="1"/>
  <c r="O28" i="60" s="1"/>
  <c r="O29" i="60" s="1"/>
  <c r="O11" i="53"/>
  <c r="P25" i="60" s="1"/>
  <c r="P28" i="60" s="1"/>
  <c r="P29" i="60" s="1"/>
  <c r="P11" i="53"/>
  <c r="Q25" i="60" s="1"/>
  <c r="Q28" i="60" s="1"/>
  <c r="Q29" i="60" s="1"/>
  <c r="Q30" i="60" s="1"/>
  <c r="Q31" i="60" s="1"/>
  <c r="Q32" i="60" s="1"/>
  <c r="Q11" i="53"/>
  <c r="R25" i="60" s="1"/>
  <c r="R28" i="60" s="1"/>
  <c r="R29" i="60" s="1"/>
  <c r="R30" i="60" s="1"/>
  <c r="R31" i="60" s="1"/>
  <c r="R32" i="60" s="1"/>
  <c r="R11" i="53"/>
  <c r="S25" i="60" s="1"/>
  <c r="S28" i="60" s="1"/>
  <c r="S29" i="60" s="1"/>
  <c r="S30" i="60" s="1"/>
  <c r="S31" i="60" s="1"/>
  <c r="S32" i="60" s="1"/>
  <c r="S11" i="53"/>
  <c r="T25" i="60" s="1"/>
  <c r="T28" i="60" s="1"/>
  <c r="T29" i="60" s="1"/>
  <c r="T30" i="60" s="1"/>
  <c r="T11" i="53"/>
  <c r="U25" i="60" s="1"/>
  <c r="U28" i="60" s="1"/>
  <c r="U29" i="60" s="1"/>
  <c r="U11" i="53"/>
  <c r="V25" i="60" s="1"/>
  <c r="V28" i="60" s="1"/>
  <c r="V29" i="60" s="1"/>
  <c r="V30" i="60" s="1"/>
  <c r="V31" i="60" s="1"/>
  <c r="V32" i="60" s="1"/>
  <c r="V11" i="53"/>
  <c r="W25" i="60" s="1"/>
  <c r="W28" i="60" s="1"/>
  <c r="W29" i="60" s="1"/>
  <c r="W30" i="60" s="1"/>
  <c r="W31" i="60" s="1"/>
  <c r="W32" i="60" s="1"/>
  <c r="W11" i="53"/>
  <c r="X25" i="60" s="1"/>
  <c r="X28" i="60" s="1"/>
  <c r="X29" i="60" s="1"/>
  <c r="X30" i="60" s="1"/>
  <c r="X31" i="60" s="1"/>
  <c r="X32" i="60" s="1"/>
  <c r="D11" i="53"/>
  <c r="E25" i="60" s="1"/>
  <c r="E28" i="60" s="1"/>
  <c r="E29" i="60" s="1"/>
  <c r="D10" i="53"/>
  <c r="W10" i="53"/>
  <c r="V10" i="53"/>
  <c r="U10" i="53"/>
  <c r="T10" i="53"/>
  <c r="S10" i="53"/>
  <c r="R10" i="53"/>
  <c r="Q10" i="53"/>
  <c r="P10" i="53"/>
  <c r="O10" i="53"/>
  <c r="N10" i="53"/>
  <c r="M10" i="53"/>
  <c r="L10" i="53"/>
  <c r="K10" i="53"/>
  <c r="J10" i="53"/>
  <c r="I10" i="53"/>
  <c r="H10" i="53"/>
  <c r="G10" i="53"/>
  <c r="F10" i="53"/>
  <c r="E10" i="53"/>
  <c r="D11" i="49"/>
  <c r="Y4" i="60" l="1"/>
  <c r="T31" i="60"/>
  <c r="T32" i="60" s="1"/>
  <c r="T36" i="60" s="1"/>
  <c r="P30" i="60"/>
  <c r="P31" i="60" s="1"/>
  <c r="P32" i="60" s="1"/>
  <c r="P36" i="60" s="1"/>
  <c r="G30" i="60"/>
  <c r="G31" i="60" s="1"/>
  <c r="G32" i="60" s="1"/>
  <c r="G36" i="60" s="1"/>
  <c r="O30" i="60"/>
  <c r="O31" i="60" s="1"/>
  <c r="O32" i="60" s="1"/>
  <c r="O36" i="60" s="1"/>
  <c r="J30" i="60"/>
  <c r="J31" i="60" s="1"/>
  <c r="J32" i="60" s="1"/>
  <c r="J36" i="60" s="1"/>
  <c r="U30" i="60"/>
  <c r="U31" i="60" s="1"/>
  <c r="U32" i="60" s="1"/>
  <c r="U36" i="60" s="1"/>
  <c r="M30" i="60"/>
  <c r="M31" i="60" s="1"/>
  <c r="M32" i="60" s="1"/>
  <c r="M36" i="60" s="1"/>
  <c r="E30" i="60"/>
  <c r="E31" i="60" s="1"/>
  <c r="E32" i="60" s="1"/>
  <c r="L31" i="60"/>
  <c r="L32" i="60" s="1"/>
  <c r="L36" i="60" s="1"/>
  <c r="H31" i="60"/>
  <c r="H32" i="60" s="1"/>
  <c r="H36" i="60" s="1"/>
  <c r="S36" i="60"/>
  <c r="D19" i="60"/>
  <c r="N36" i="60"/>
  <c r="D37" i="60"/>
  <c r="D41" i="60" s="1"/>
  <c r="Q36" i="60"/>
  <c r="R36" i="60"/>
  <c r="K36" i="60"/>
  <c r="D40" i="60"/>
  <c r="X36" i="60"/>
  <c r="W36" i="60"/>
  <c r="I36" i="60"/>
  <c r="F36" i="60"/>
  <c r="V36" i="60"/>
  <c r="T13" i="53"/>
  <c r="E13" i="53"/>
  <c r="D13" i="53"/>
  <c r="Y32" i="60" l="1"/>
  <c r="E36" i="60"/>
  <c r="D39" i="60" s="1"/>
  <c r="E33" i="60"/>
  <c r="E40" i="60" s="1"/>
  <c r="D38" i="60"/>
  <c r="K14" i="53"/>
  <c r="J14" i="53"/>
  <c r="I14" i="53"/>
  <c r="H14" i="53"/>
  <c r="G14" i="53"/>
  <c r="F14" i="53"/>
  <c r="E14" i="53"/>
  <c r="D14" i="53"/>
  <c r="A5" i="49"/>
  <c r="A8" i="49"/>
  <c r="Y36" i="60" l="1"/>
  <c r="E37" i="60"/>
  <c r="E41" i="60" s="1"/>
  <c r="F33" i="60"/>
  <c r="F40" i="60" s="1"/>
  <c r="E6" i="49"/>
  <c r="K6" i="49"/>
  <c r="I6" i="49"/>
  <c r="F6" i="49"/>
  <c r="J6" i="49"/>
  <c r="G6" i="49"/>
  <c r="H6" i="49"/>
  <c r="L6" i="49"/>
  <c r="S16" i="53"/>
  <c r="S17" i="53"/>
  <c r="W16" i="53"/>
  <c r="W17" i="53"/>
  <c r="G16" i="53"/>
  <c r="G17" i="53"/>
  <c r="K16" i="53"/>
  <c r="K17" i="53"/>
  <c r="L16" i="53"/>
  <c r="L17" i="53"/>
  <c r="P16" i="53"/>
  <c r="P17" i="53"/>
  <c r="T16" i="53"/>
  <c r="T17" i="53"/>
  <c r="H16" i="53"/>
  <c r="H17" i="53"/>
  <c r="O16" i="53"/>
  <c r="O17" i="53"/>
  <c r="M16" i="53"/>
  <c r="M17" i="53"/>
  <c r="Q16" i="53"/>
  <c r="Q17" i="53"/>
  <c r="U16" i="53"/>
  <c r="U17" i="53"/>
  <c r="E16" i="53"/>
  <c r="E17" i="53"/>
  <c r="I16" i="53"/>
  <c r="I17" i="53"/>
  <c r="N16" i="53"/>
  <c r="N17" i="53"/>
  <c r="R16" i="53"/>
  <c r="R17" i="53"/>
  <c r="V16" i="53"/>
  <c r="V17" i="53"/>
  <c r="F16" i="53"/>
  <c r="F17" i="53"/>
  <c r="J16" i="53"/>
  <c r="J17" i="53"/>
  <c r="D16" i="53"/>
  <c r="D17" i="53"/>
  <c r="C23" i="51"/>
  <c r="C4" i="59"/>
  <c r="G25" i="49"/>
  <c r="X27" i="49"/>
  <c r="W27" i="49"/>
  <c r="V27" i="49"/>
  <c r="U27" i="49"/>
  <c r="T27" i="49"/>
  <c r="S27" i="49"/>
  <c r="R27" i="49"/>
  <c r="Q27" i="49"/>
  <c r="P27" i="49"/>
  <c r="O27" i="49"/>
  <c r="N27" i="49"/>
  <c r="M27" i="49"/>
  <c r="L27" i="49"/>
  <c r="K27" i="49"/>
  <c r="J27" i="49"/>
  <c r="I27" i="49"/>
  <c r="H27" i="49"/>
  <c r="G27" i="49"/>
  <c r="F27" i="49"/>
  <c r="K23" i="51"/>
  <c r="L23" i="51"/>
  <c r="M23" i="51"/>
  <c r="N23" i="51"/>
  <c r="O23" i="51"/>
  <c r="P23" i="51"/>
  <c r="Q23" i="51"/>
  <c r="R23" i="51"/>
  <c r="S23" i="51"/>
  <c r="J23" i="51"/>
  <c r="K12" i="51"/>
  <c r="L12" i="51"/>
  <c r="M12" i="51"/>
  <c r="N12" i="51"/>
  <c r="J12" i="51"/>
  <c r="G21" i="51"/>
  <c r="E21" i="51"/>
  <c r="C22" i="51"/>
  <c r="Y6" i="49" l="1"/>
  <c r="G33" i="60"/>
  <c r="H33" i="60" s="1"/>
  <c r="F37" i="60"/>
  <c r="F41" i="60" s="1"/>
  <c r="Y6" i="60"/>
  <c r="D35" i="49"/>
  <c r="E27" i="49"/>
  <c r="X35" i="49"/>
  <c r="W35" i="49"/>
  <c r="V35" i="49"/>
  <c r="U35" i="49"/>
  <c r="T35" i="49"/>
  <c r="S35" i="49"/>
  <c r="R35" i="49"/>
  <c r="Q35" i="49"/>
  <c r="P35" i="49"/>
  <c r="O35" i="49"/>
  <c r="N35" i="49"/>
  <c r="M35" i="49"/>
  <c r="L35" i="49"/>
  <c r="K35" i="49"/>
  <c r="J35" i="49"/>
  <c r="I35" i="49"/>
  <c r="H35" i="49"/>
  <c r="G35" i="49"/>
  <c r="F35" i="49"/>
  <c r="E35" i="49"/>
  <c r="G40" i="60" l="1"/>
  <c r="G37" i="60"/>
  <c r="G41" i="60" s="1"/>
  <c r="H40" i="60"/>
  <c r="I33" i="60"/>
  <c r="D8" i="53"/>
  <c r="D9" i="53"/>
  <c r="E8" i="53"/>
  <c r="F8" i="53"/>
  <c r="G8" i="53"/>
  <c r="H8" i="53"/>
  <c r="I8" i="53"/>
  <c r="J8" i="53"/>
  <c r="K8" i="53"/>
  <c r="L8" i="53"/>
  <c r="M8" i="53"/>
  <c r="N8" i="53"/>
  <c r="O8" i="53"/>
  <c r="P8" i="53"/>
  <c r="Q8" i="53"/>
  <c r="R8" i="53"/>
  <c r="S8" i="53"/>
  <c r="T8" i="53"/>
  <c r="U8" i="53"/>
  <c r="V8" i="53"/>
  <c r="W8" i="53"/>
  <c r="E9" i="53"/>
  <c r="D4" i="59" s="1"/>
  <c r="M7" i="48" s="1"/>
  <c r="F9" i="53"/>
  <c r="E4" i="59" s="1"/>
  <c r="G9" i="53"/>
  <c r="F4" i="59" s="1"/>
  <c r="H9" i="53"/>
  <c r="G4" i="59" s="1"/>
  <c r="I9" i="53"/>
  <c r="H4" i="59" s="1"/>
  <c r="Q7" i="48" s="1"/>
  <c r="J9" i="53"/>
  <c r="I4" i="59" s="1"/>
  <c r="K9" i="53"/>
  <c r="J4" i="59" s="1"/>
  <c r="L9" i="53"/>
  <c r="K4" i="59" s="1"/>
  <c r="M9" i="53"/>
  <c r="L4" i="59" s="1"/>
  <c r="U7" i="48" s="1"/>
  <c r="N9" i="53"/>
  <c r="M4" i="59" s="1"/>
  <c r="O9" i="53"/>
  <c r="N4" i="59" s="1"/>
  <c r="N6" i="48" s="1"/>
  <c r="P9" i="53"/>
  <c r="O4" i="59" s="1"/>
  <c r="O6" i="48" s="1"/>
  <c r="Q9" i="53"/>
  <c r="P4" i="59" s="1"/>
  <c r="P6" i="48" s="1"/>
  <c r="R9" i="53"/>
  <c r="Q4" i="59" s="1"/>
  <c r="Q6" i="48" s="1"/>
  <c r="S9" i="53"/>
  <c r="R4" i="59" s="1"/>
  <c r="R6" i="48" s="1"/>
  <c r="T9" i="53"/>
  <c r="S4" i="59" s="1"/>
  <c r="S6" i="48" s="1"/>
  <c r="U9" i="53"/>
  <c r="T4" i="59" s="1"/>
  <c r="T6" i="48" s="1"/>
  <c r="V9" i="53"/>
  <c r="U4" i="59" s="1"/>
  <c r="U6" i="48" s="1"/>
  <c r="W9" i="53"/>
  <c r="V4" i="59" s="1"/>
  <c r="V6" i="48" s="1"/>
  <c r="D11" i="48"/>
  <c r="E11" i="48"/>
  <c r="F11" i="48"/>
  <c r="G11" i="48"/>
  <c r="H11" i="48"/>
  <c r="I11" i="48"/>
  <c r="J11" i="48"/>
  <c r="K11" i="48"/>
  <c r="L11" i="48"/>
  <c r="M11" i="48"/>
  <c r="N11" i="48"/>
  <c r="O11" i="48"/>
  <c r="P11" i="48"/>
  <c r="Q11" i="48"/>
  <c r="R11" i="48"/>
  <c r="S11" i="48"/>
  <c r="T11" i="48"/>
  <c r="U11" i="48"/>
  <c r="V11" i="48"/>
  <c r="C11" i="48"/>
  <c r="H6" i="48"/>
  <c r="C9" i="59"/>
  <c r="C15" i="59" s="1"/>
  <c r="C12" i="59"/>
  <c r="C13" i="59"/>
  <c r="E12" i="48"/>
  <c r="F12" i="48"/>
  <c r="G12" i="48" s="1"/>
  <c r="H12" i="48" s="1"/>
  <c r="I12" i="48"/>
  <c r="J12" i="48" s="1"/>
  <c r="D12" i="48"/>
  <c r="E8" i="48"/>
  <c r="D22" i="48"/>
  <c r="E22" i="48"/>
  <c r="F22" i="48"/>
  <c r="G22" i="48"/>
  <c r="H22" i="48"/>
  <c r="I22" i="48"/>
  <c r="J22" i="48"/>
  <c r="K22" i="48"/>
  <c r="L22" i="48"/>
  <c r="M22" i="48"/>
  <c r="N22" i="48"/>
  <c r="O22" i="48"/>
  <c r="P22" i="48"/>
  <c r="Q22" i="48"/>
  <c r="R22" i="48"/>
  <c r="S22" i="48"/>
  <c r="T22" i="48"/>
  <c r="U22" i="48"/>
  <c r="V22" i="48"/>
  <c r="D9" i="48"/>
  <c r="D8" i="48" s="1"/>
  <c r="E9" i="48"/>
  <c r="F9" i="48"/>
  <c r="F8" i="48" s="1"/>
  <c r="G9" i="48"/>
  <c r="H9" i="48"/>
  <c r="H8" i="48" s="1"/>
  <c r="I9" i="48"/>
  <c r="J9" i="48"/>
  <c r="K9" i="48"/>
  <c r="L9" i="48"/>
  <c r="M9" i="48"/>
  <c r="N9" i="48"/>
  <c r="O9" i="48"/>
  <c r="P9" i="48"/>
  <c r="Q9" i="48"/>
  <c r="R9" i="48"/>
  <c r="S9" i="48"/>
  <c r="T9" i="48"/>
  <c r="U9" i="48"/>
  <c r="V9" i="48"/>
  <c r="D10" i="48"/>
  <c r="E10" i="48"/>
  <c r="F10" i="48"/>
  <c r="G10" i="48"/>
  <c r="H10" i="48"/>
  <c r="I10" i="48"/>
  <c r="I8" i="48" s="1"/>
  <c r="J10" i="48"/>
  <c r="K10" i="48"/>
  <c r="L10" i="48"/>
  <c r="M10" i="48"/>
  <c r="N10" i="48"/>
  <c r="O10" i="48"/>
  <c r="P10" i="48"/>
  <c r="Q10" i="48"/>
  <c r="R10" i="48"/>
  <c r="S10" i="48"/>
  <c r="T10" i="48"/>
  <c r="U10" i="48"/>
  <c r="V10" i="48"/>
  <c r="C10" i="48"/>
  <c r="C9" i="48"/>
  <c r="C8" i="48" s="1"/>
  <c r="C22" i="48"/>
  <c r="H37" i="60" l="1"/>
  <c r="I37" i="60" s="1"/>
  <c r="I40" i="60"/>
  <c r="J33" i="60"/>
  <c r="V13" i="53"/>
  <c r="N13" i="53"/>
  <c r="J13" i="53"/>
  <c r="D6" i="48"/>
  <c r="V5" i="48"/>
  <c r="V4" i="48" s="1"/>
  <c r="W13" i="53"/>
  <c r="J5" i="48"/>
  <c r="J4" i="48" s="1"/>
  <c r="K13" i="53"/>
  <c r="F5" i="48"/>
  <c r="F4" i="48" s="1"/>
  <c r="G13" i="53"/>
  <c r="F13" i="53"/>
  <c r="V7" i="48"/>
  <c r="M6" i="48"/>
  <c r="L6" i="48"/>
  <c r="R7" i="48"/>
  <c r="I6" i="48"/>
  <c r="N7" i="48"/>
  <c r="E6" i="48"/>
  <c r="L8" i="48"/>
  <c r="K12" i="48"/>
  <c r="L12" i="48" s="1"/>
  <c r="M12" i="48" s="1"/>
  <c r="N12" i="48" s="1"/>
  <c r="J8" i="48"/>
  <c r="L7" i="48"/>
  <c r="C5" i="48"/>
  <c r="C4" i="48" s="1"/>
  <c r="C6" i="48"/>
  <c r="K6" i="48"/>
  <c r="T7" i="48"/>
  <c r="G6" i="48"/>
  <c r="P7" i="48"/>
  <c r="M5" i="48"/>
  <c r="M4" i="48" s="1"/>
  <c r="I5" i="48"/>
  <c r="I4" i="48" s="1"/>
  <c r="E5" i="48"/>
  <c r="E4" i="48" s="1"/>
  <c r="C14" i="59"/>
  <c r="G8" i="48"/>
  <c r="F6" i="48"/>
  <c r="O7" i="48"/>
  <c r="K8" i="48"/>
  <c r="J6" i="48"/>
  <c r="S7" i="48"/>
  <c r="V19" i="34"/>
  <c r="H41" i="60" l="1"/>
  <c r="K33" i="60"/>
  <c r="J40" i="60"/>
  <c r="I41" i="60"/>
  <c r="J37" i="60"/>
  <c r="J3" i="48"/>
  <c r="H26" i="49"/>
  <c r="X26" i="49"/>
  <c r="K26" i="49"/>
  <c r="G26" i="49"/>
  <c r="L26" i="49"/>
  <c r="O26" i="49"/>
  <c r="E26" i="49"/>
  <c r="F3" i="48"/>
  <c r="U5" i="48"/>
  <c r="U4" i="48" s="1"/>
  <c r="D5" i="48"/>
  <c r="D4" i="48" s="1"/>
  <c r="S5" i="48"/>
  <c r="S4" i="48" s="1"/>
  <c r="G5" i="48"/>
  <c r="G4" i="48" s="1"/>
  <c r="G3" i="48" s="1"/>
  <c r="H13" i="53"/>
  <c r="H5" i="48"/>
  <c r="H4" i="48" s="1"/>
  <c r="I13" i="53"/>
  <c r="N5" i="48"/>
  <c r="N4" i="48" s="1"/>
  <c r="O13" i="53"/>
  <c r="T5" i="48"/>
  <c r="T4" i="48" s="1"/>
  <c r="U13" i="53"/>
  <c r="Q5" i="48"/>
  <c r="Q4" i="48" s="1"/>
  <c r="R13" i="53"/>
  <c r="R5" i="48"/>
  <c r="R4" i="48" s="1"/>
  <c r="S13" i="53"/>
  <c r="L5" i="48"/>
  <c r="L4" i="48" s="1"/>
  <c r="L3" i="48" s="1"/>
  <c r="M13" i="53"/>
  <c r="I3" i="48"/>
  <c r="C3" i="48"/>
  <c r="P5" i="48"/>
  <c r="P4" i="48" s="1"/>
  <c r="Q13" i="53"/>
  <c r="K5" i="48"/>
  <c r="K4" i="48" s="1"/>
  <c r="K3" i="48" s="1"/>
  <c r="L13" i="53"/>
  <c r="O5" i="48"/>
  <c r="O4" i="48" s="1"/>
  <c r="P13" i="53"/>
  <c r="E3" i="48"/>
  <c r="E3" i="59"/>
  <c r="I3" i="59"/>
  <c r="M3" i="59"/>
  <c r="Q3" i="59"/>
  <c r="U3" i="59"/>
  <c r="F3" i="59"/>
  <c r="J3" i="59"/>
  <c r="N3" i="59"/>
  <c r="R3" i="59"/>
  <c r="V3" i="59"/>
  <c r="D3" i="59"/>
  <c r="L3" i="59"/>
  <c r="T3" i="59"/>
  <c r="G3" i="59"/>
  <c r="O3" i="59"/>
  <c r="K3" i="59"/>
  <c r="C3" i="59"/>
  <c r="H3" i="59"/>
  <c r="P3" i="59"/>
  <c r="S3" i="59"/>
  <c r="M8" i="48"/>
  <c r="O12" i="48"/>
  <c r="N8" i="48"/>
  <c r="E14" i="49"/>
  <c r="F14" i="49"/>
  <c r="G14" i="49"/>
  <c r="H14" i="49"/>
  <c r="I14" i="49"/>
  <c r="J14" i="49"/>
  <c r="K14" i="49"/>
  <c r="L14" i="49"/>
  <c r="M14" i="49"/>
  <c r="N14" i="49"/>
  <c r="O14" i="49"/>
  <c r="P14" i="49"/>
  <c r="Q14" i="49"/>
  <c r="R14" i="49"/>
  <c r="S14" i="49"/>
  <c r="T14" i="49"/>
  <c r="U14" i="49"/>
  <c r="V14" i="49"/>
  <c r="W14" i="49"/>
  <c r="X14" i="49"/>
  <c r="D14" i="49"/>
  <c r="L33" i="60" l="1"/>
  <c r="K40" i="60"/>
  <c r="J41" i="60"/>
  <c r="K37" i="60"/>
  <c r="I26" i="49"/>
  <c r="D3" i="48"/>
  <c r="F26" i="49"/>
  <c r="M26" i="49"/>
  <c r="T26" i="49"/>
  <c r="V26" i="49"/>
  <c r="W26" i="49"/>
  <c r="H3" i="48"/>
  <c r="J26" i="49"/>
  <c r="U26" i="49"/>
  <c r="Q26" i="49"/>
  <c r="R26" i="49"/>
  <c r="N26" i="49"/>
  <c r="S26" i="49"/>
  <c r="P26" i="49"/>
  <c r="N25" i="49"/>
  <c r="G28" i="49"/>
  <c r="G29" i="49" s="1"/>
  <c r="G30" i="49" s="1"/>
  <c r="G31" i="49" s="1"/>
  <c r="G32" i="49" s="1"/>
  <c r="G36" i="49" s="1"/>
  <c r="I25" i="49"/>
  <c r="T25" i="49"/>
  <c r="K25" i="49"/>
  <c r="K28" i="49" s="1"/>
  <c r="K29" i="49" s="1"/>
  <c r="K30" i="49" s="1"/>
  <c r="K31" i="49" s="1"/>
  <c r="K32" i="49" s="1"/>
  <c r="K36" i="49" s="1"/>
  <c r="J25" i="49"/>
  <c r="U25" i="49"/>
  <c r="E25" i="49"/>
  <c r="E28" i="49" s="1"/>
  <c r="E29" i="49" s="1"/>
  <c r="E30" i="49" s="1"/>
  <c r="E31" i="49" s="1"/>
  <c r="E32" i="49" s="1"/>
  <c r="P25" i="49"/>
  <c r="V25" i="49"/>
  <c r="F25" i="49"/>
  <c r="Q25" i="49"/>
  <c r="O25" i="49"/>
  <c r="O28" i="49" s="1"/>
  <c r="O29" i="49" s="1"/>
  <c r="L25" i="49"/>
  <c r="L28" i="49" s="1"/>
  <c r="L29" i="49" s="1"/>
  <c r="W25" i="49"/>
  <c r="R25" i="49"/>
  <c r="S25" i="49"/>
  <c r="M25" i="49"/>
  <c r="X25" i="49"/>
  <c r="X28" i="49" s="1"/>
  <c r="X29" i="49" s="1"/>
  <c r="X30" i="49" s="1"/>
  <c r="X31" i="49" s="1"/>
  <c r="X32" i="49" s="1"/>
  <c r="X36" i="49" s="1"/>
  <c r="H25" i="49"/>
  <c r="H28" i="49" s="1"/>
  <c r="H29" i="49" s="1"/>
  <c r="H30" i="49" s="1"/>
  <c r="H31" i="49" s="1"/>
  <c r="H32" i="49" s="1"/>
  <c r="H36" i="49" s="1"/>
  <c r="P12" i="48"/>
  <c r="O8" i="48"/>
  <c r="M3" i="48"/>
  <c r="N3" i="48"/>
  <c r="K41" i="60" l="1"/>
  <c r="L37" i="60"/>
  <c r="L40" i="60"/>
  <c r="M33" i="60"/>
  <c r="V28" i="49"/>
  <c r="V29" i="49" s="1"/>
  <c r="V30" i="49" s="1"/>
  <c r="V31" i="49" s="1"/>
  <c r="V32" i="49" s="1"/>
  <c r="V36" i="49" s="1"/>
  <c r="E36" i="49"/>
  <c r="S28" i="49"/>
  <c r="S29" i="49" s="1"/>
  <c r="S30" i="49" s="1"/>
  <c r="S31" i="49" s="1"/>
  <c r="S32" i="49" s="1"/>
  <c r="S36" i="49" s="1"/>
  <c r="W28" i="49"/>
  <c r="W29" i="49" s="1"/>
  <c r="W30" i="49" s="1"/>
  <c r="W31" i="49" s="1"/>
  <c r="W32" i="49" s="1"/>
  <c r="W36" i="49" s="1"/>
  <c r="F28" i="49"/>
  <c r="F29" i="49" s="1"/>
  <c r="F30" i="49" s="1"/>
  <c r="F31" i="49" s="1"/>
  <c r="F32" i="49" s="1"/>
  <c r="I28" i="49"/>
  <c r="I29" i="49" s="1"/>
  <c r="I30" i="49" s="1"/>
  <c r="I31" i="49" s="1"/>
  <c r="I32" i="49" s="1"/>
  <c r="I36" i="49" s="1"/>
  <c r="J28" i="49"/>
  <c r="J29" i="49" s="1"/>
  <c r="J30" i="49" s="1"/>
  <c r="J31" i="49" s="1"/>
  <c r="J32" i="49" s="1"/>
  <c r="J36" i="49" s="1"/>
  <c r="T28" i="49"/>
  <c r="T29" i="49" s="1"/>
  <c r="T30" i="49" s="1"/>
  <c r="T31" i="49" s="1"/>
  <c r="T32" i="49" s="1"/>
  <c r="T36" i="49" s="1"/>
  <c r="R28" i="49"/>
  <c r="R29" i="49" s="1"/>
  <c r="R30" i="49" s="1"/>
  <c r="R31" i="49" s="1"/>
  <c r="R32" i="49" s="1"/>
  <c r="R36" i="49" s="1"/>
  <c r="M28" i="49"/>
  <c r="M29" i="49" s="1"/>
  <c r="M30" i="49" s="1"/>
  <c r="M31" i="49" s="1"/>
  <c r="M32" i="49" s="1"/>
  <c r="M36" i="49" s="1"/>
  <c r="Q28" i="49"/>
  <c r="Q29" i="49" s="1"/>
  <c r="Q30" i="49" s="1"/>
  <c r="Q31" i="49" s="1"/>
  <c r="Q32" i="49" s="1"/>
  <c r="Q36" i="49" s="1"/>
  <c r="P28" i="49"/>
  <c r="P29" i="49" s="1"/>
  <c r="P30" i="49" s="1"/>
  <c r="P31" i="49" s="1"/>
  <c r="P32" i="49" s="1"/>
  <c r="P36" i="49" s="1"/>
  <c r="U28" i="49"/>
  <c r="U29" i="49" s="1"/>
  <c r="U30" i="49" s="1"/>
  <c r="U31" i="49" s="1"/>
  <c r="U32" i="49" s="1"/>
  <c r="U36" i="49" s="1"/>
  <c r="N28" i="49"/>
  <c r="N29" i="49" s="1"/>
  <c r="N30" i="49" s="1"/>
  <c r="N31" i="49" s="1"/>
  <c r="N32" i="49" s="1"/>
  <c r="N36" i="49" s="1"/>
  <c r="L30" i="49"/>
  <c r="L31" i="49" s="1"/>
  <c r="L32" i="49" s="1"/>
  <c r="L36" i="49" s="1"/>
  <c r="O30" i="49"/>
  <c r="O31" i="49" s="1"/>
  <c r="O32" i="49" s="1"/>
  <c r="O36" i="49" s="1"/>
  <c r="D32" i="49"/>
  <c r="O3" i="48"/>
  <c r="Q12" i="48"/>
  <c r="P8" i="48"/>
  <c r="M40" i="60" l="1"/>
  <c r="N33" i="60"/>
  <c r="L41" i="60"/>
  <c r="M37" i="60"/>
  <c r="D26" i="55"/>
  <c r="D24" i="55"/>
  <c r="F36" i="49"/>
  <c r="D33" i="49"/>
  <c r="D36" i="49"/>
  <c r="Y32" i="49"/>
  <c r="D38" i="49"/>
  <c r="D32" i="55" s="1"/>
  <c r="R12" i="48"/>
  <c r="Q8" i="48"/>
  <c r="P3" i="48"/>
  <c r="F12" i="50"/>
  <c r="G12" i="50" s="1"/>
  <c r="H12" i="50" s="1"/>
  <c r="I12" i="50" s="1"/>
  <c r="J12" i="50" s="1"/>
  <c r="K12" i="50" s="1"/>
  <c r="L12" i="50" s="1"/>
  <c r="M12" i="50" s="1"/>
  <c r="N12" i="50" s="1"/>
  <c r="O12" i="50" s="1"/>
  <c r="P12" i="50" s="1"/>
  <c r="Q12" i="50" s="1"/>
  <c r="R12" i="50" s="1"/>
  <c r="S12" i="50" s="1"/>
  <c r="T12" i="50" s="1"/>
  <c r="U12" i="50" s="1"/>
  <c r="V12" i="50" s="1"/>
  <c r="W12" i="50" s="1"/>
  <c r="E12" i="50"/>
  <c r="E8" i="50"/>
  <c r="F8" i="50"/>
  <c r="G8" i="50"/>
  <c r="H8" i="50"/>
  <c r="H10" i="50" s="1"/>
  <c r="I8" i="50"/>
  <c r="J8" i="50"/>
  <c r="K8" i="50"/>
  <c r="L8" i="50"/>
  <c r="L10" i="50" s="1"/>
  <c r="M8" i="50"/>
  <c r="N8" i="50"/>
  <c r="O8" i="50"/>
  <c r="P8" i="50"/>
  <c r="P10" i="50" s="1"/>
  <c r="Q8" i="50"/>
  <c r="R8" i="50"/>
  <c r="S8" i="50"/>
  <c r="T8" i="50"/>
  <c r="T10" i="50" s="1"/>
  <c r="U8" i="50"/>
  <c r="V8" i="50"/>
  <c r="W8" i="50"/>
  <c r="E10" i="50"/>
  <c r="F10" i="50"/>
  <c r="G10" i="50"/>
  <c r="I10" i="50"/>
  <c r="J10" i="50"/>
  <c r="K10" i="50"/>
  <c r="M10" i="50"/>
  <c r="N10" i="50"/>
  <c r="O10" i="50"/>
  <c r="Q10" i="50"/>
  <c r="R10" i="50"/>
  <c r="S10" i="50"/>
  <c r="U10" i="50"/>
  <c r="V10" i="50"/>
  <c r="W10" i="50"/>
  <c r="D10" i="50"/>
  <c r="D8" i="50"/>
  <c r="F7" i="50"/>
  <c r="G7" i="50" s="1"/>
  <c r="H7" i="50" s="1"/>
  <c r="I7" i="50" s="1"/>
  <c r="J7" i="50" s="1"/>
  <c r="K7" i="50" s="1"/>
  <c r="L7" i="50" s="1"/>
  <c r="M7" i="50" s="1"/>
  <c r="N7" i="50" s="1"/>
  <c r="O7" i="50" s="1"/>
  <c r="P7" i="50" s="1"/>
  <c r="Q7" i="50" s="1"/>
  <c r="R7" i="50" s="1"/>
  <c r="S7" i="50" s="1"/>
  <c r="T7" i="50" s="1"/>
  <c r="U7" i="50" s="1"/>
  <c r="V7" i="50" s="1"/>
  <c r="W7" i="50" s="1"/>
  <c r="E7" i="50"/>
  <c r="F6" i="50"/>
  <c r="G6" i="50" s="1"/>
  <c r="H6" i="50" s="1"/>
  <c r="I6" i="50" s="1"/>
  <c r="J6" i="50" s="1"/>
  <c r="K6" i="50" s="1"/>
  <c r="L6" i="50" s="1"/>
  <c r="M6" i="50" s="1"/>
  <c r="N6" i="50" s="1"/>
  <c r="O6" i="50" s="1"/>
  <c r="P6" i="50" s="1"/>
  <c r="Q6" i="50" s="1"/>
  <c r="R6" i="50" s="1"/>
  <c r="S6" i="50" s="1"/>
  <c r="T6" i="50" s="1"/>
  <c r="U6" i="50" s="1"/>
  <c r="V6" i="50" s="1"/>
  <c r="W6" i="50" s="1"/>
  <c r="E6" i="50"/>
  <c r="F4" i="50"/>
  <c r="G4" i="50" s="1"/>
  <c r="H4" i="50" s="1"/>
  <c r="I4" i="50" s="1"/>
  <c r="J4" i="50" s="1"/>
  <c r="K4" i="50" s="1"/>
  <c r="L4" i="50" s="1"/>
  <c r="M4" i="50" s="1"/>
  <c r="N4" i="50" s="1"/>
  <c r="O4" i="50" s="1"/>
  <c r="P4" i="50" s="1"/>
  <c r="Q4" i="50" s="1"/>
  <c r="R4" i="50" s="1"/>
  <c r="S4" i="50" s="1"/>
  <c r="T4" i="50" s="1"/>
  <c r="U4" i="50" s="1"/>
  <c r="V4" i="50" s="1"/>
  <c r="W4" i="50" s="1"/>
  <c r="E4" i="50"/>
  <c r="D4" i="50"/>
  <c r="AA26" i="50"/>
  <c r="AB26" i="50" s="1"/>
  <c r="M26" i="50"/>
  <c r="N26" i="50" s="1"/>
  <c r="O26" i="50" s="1"/>
  <c r="P26" i="50" s="1"/>
  <c r="Q26" i="50" s="1"/>
  <c r="R26" i="50" s="1"/>
  <c r="S26" i="50" s="1"/>
  <c r="T26" i="50" s="1"/>
  <c r="U26" i="50" s="1"/>
  <c r="V26" i="50" s="1"/>
  <c r="W26" i="50" s="1"/>
  <c r="X26" i="50" s="1"/>
  <c r="Y26" i="50" s="1"/>
  <c r="Z26" i="50" s="1"/>
  <c r="L26" i="50"/>
  <c r="I26" i="50"/>
  <c r="J26" i="50"/>
  <c r="K26" i="50"/>
  <c r="H26" i="50"/>
  <c r="Y24" i="50"/>
  <c r="Z24" i="50" s="1"/>
  <c r="Z25" i="50" s="1"/>
  <c r="W24" i="50"/>
  <c r="X24" i="50" s="1"/>
  <c r="X25" i="50" s="1"/>
  <c r="O24" i="50"/>
  <c r="P24" i="50" s="1"/>
  <c r="J24" i="50"/>
  <c r="K24" i="50" s="1"/>
  <c r="I24" i="50"/>
  <c r="I25" i="50" s="1"/>
  <c r="H25" i="50"/>
  <c r="H24" i="50"/>
  <c r="F25" i="50"/>
  <c r="E25" i="50" s="1"/>
  <c r="D25" i="50" s="1"/>
  <c r="F24" i="50"/>
  <c r="E24" i="50" s="1"/>
  <c r="D24" i="50" s="1"/>
  <c r="G25" i="50"/>
  <c r="G24" i="50"/>
  <c r="N19" i="51"/>
  <c r="AI13" i="51"/>
  <c r="AJ13" i="51"/>
  <c r="AK13" i="51"/>
  <c r="AL13" i="51"/>
  <c r="AM13" i="51"/>
  <c r="AN13" i="51"/>
  <c r="AO13" i="51"/>
  <c r="AP13" i="51"/>
  <c r="AQ13" i="51"/>
  <c r="AR13" i="51"/>
  <c r="AS13" i="51"/>
  <c r="AT13" i="51"/>
  <c r="AU13" i="51"/>
  <c r="AV13" i="51"/>
  <c r="AW13" i="51"/>
  <c r="AX13" i="51"/>
  <c r="AY13" i="51"/>
  <c r="AZ13" i="51"/>
  <c r="BA13" i="51"/>
  <c r="BB13" i="51"/>
  <c r="BC13" i="51"/>
  <c r="BD13" i="51"/>
  <c r="BE13" i="51"/>
  <c r="BF13" i="51"/>
  <c r="BG13" i="51"/>
  <c r="BH13" i="51"/>
  <c r="BI13" i="51"/>
  <c r="BJ13" i="51"/>
  <c r="BK13" i="51"/>
  <c r="BL13" i="51"/>
  <c r="BM13" i="51"/>
  <c r="I22" i="51"/>
  <c r="I21" i="51"/>
  <c r="I20" i="51"/>
  <c r="I19" i="51"/>
  <c r="I15" i="51"/>
  <c r="I16" i="51"/>
  <c r="I17" i="51"/>
  <c r="I18" i="51"/>
  <c r="I14" i="51"/>
  <c r="BH3" i="51"/>
  <c r="BI3" i="51"/>
  <c r="BJ3" i="51"/>
  <c r="BK3" i="51"/>
  <c r="BL3" i="51"/>
  <c r="BM3" i="51"/>
  <c r="I11" i="51"/>
  <c r="I10" i="51"/>
  <c r="I9" i="51"/>
  <c r="I8" i="51"/>
  <c r="I7" i="51"/>
  <c r="I6" i="51"/>
  <c r="I5" i="51"/>
  <c r="I4" i="51"/>
  <c r="G14" i="51"/>
  <c r="P19" i="51" s="1"/>
  <c r="G15" i="51"/>
  <c r="K22" i="51" s="1"/>
  <c r="E4" i="51"/>
  <c r="E14" i="51"/>
  <c r="K10" i="51" s="1"/>
  <c r="E15" i="51"/>
  <c r="J11" i="51" s="1"/>
  <c r="E6" i="51"/>
  <c r="G6" i="51"/>
  <c r="G7" i="51"/>
  <c r="AA14" i="51" s="1"/>
  <c r="G8" i="51"/>
  <c r="S15" i="51" s="1"/>
  <c r="G9" i="51"/>
  <c r="AA16" i="51" s="1"/>
  <c r="G10" i="51"/>
  <c r="R17" i="51" s="1"/>
  <c r="G11" i="51"/>
  <c r="Q18" i="51" s="1"/>
  <c r="G4" i="51"/>
  <c r="N20" i="51" s="1"/>
  <c r="C16" i="51"/>
  <c r="C12" i="51"/>
  <c r="M41" i="60" l="1"/>
  <c r="N37" i="60"/>
  <c r="O33" i="60"/>
  <c r="N40" i="60"/>
  <c r="D39" i="49"/>
  <c r="D34" i="55" s="1"/>
  <c r="Y36" i="49"/>
  <c r="D33" i="55" s="1"/>
  <c r="S19" i="51"/>
  <c r="K11" i="51"/>
  <c r="O19" i="51"/>
  <c r="L10" i="51"/>
  <c r="D25" i="55"/>
  <c r="J10" i="51"/>
  <c r="M19" i="51"/>
  <c r="R19" i="51"/>
  <c r="L11" i="51"/>
  <c r="J19" i="51"/>
  <c r="L19" i="51"/>
  <c r="Q19" i="51"/>
  <c r="L22" i="51"/>
  <c r="D37" i="49"/>
  <c r="J22" i="51"/>
  <c r="K19" i="51"/>
  <c r="D40" i="49"/>
  <c r="E33" i="49"/>
  <c r="F33" i="49" s="1"/>
  <c r="G33" i="49" s="1"/>
  <c r="H33" i="49" s="1"/>
  <c r="I33" i="49" s="1"/>
  <c r="J33" i="49" s="1"/>
  <c r="K33" i="49" s="1"/>
  <c r="L33" i="49" s="1"/>
  <c r="M33" i="49" s="1"/>
  <c r="N33" i="49" s="1"/>
  <c r="O33" i="49" s="1"/>
  <c r="P33" i="49" s="1"/>
  <c r="Q33" i="49" s="1"/>
  <c r="R33" i="49" s="1"/>
  <c r="S33" i="49" s="1"/>
  <c r="T33" i="49" s="1"/>
  <c r="U33" i="49" s="1"/>
  <c r="V33" i="49" s="1"/>
  <c r="W33" i="49" s="1"/>
  <c r="X33" i="49" s="1"/>
  <c r="W15" i="51"/>
  <c r="D12" i="49"/>
  <c r="D19" i="49" s="1"/>
  <c r="AE14" i="51"/>
  <c r="J14" i="51"/>
  <c r="W14" i="51"/>
  <c r="K7" i="51"/>
  <c r="J7" i="51"/>
  <c r="L7" i="51"/>
  <c r="M7" i="51"/>
  <c r="K20" i="51"/>
  <c r="L20" i="51"/>
  <c r="J20" i="51"/>
  <c r="M20" i="51"/>
  <c r="J18" i="51"/>
  <c r="S16" i="51"/>
  <c r="S14" i="51"/>
  <c r="AB16" i="51"/>
  <c r="AF16" i="51"/>
  <c r="L16" i="51"/>
  <c r="P16" i="51"/>
  <c r="T16" i="51"/>
  <c r="X16" i="51"/>
  <c r="AC16" i="51"/>
  <c r="AG16" i="51"/>
  <c r="M16" i="51"/>
  <c r="Q16" i="51"/>
  <c r="U16" i="51"/>
  <c r="Y16" i="51"/>
  <c r="J16" i="51"/>
  <c r="AD16" i="51"/>
  <c r="AH16" i="51"/>
  <c r="N16" i="51"/>
  <c r="R16" i="51"/>
  <c r="V16" i="51"/>
  <c r="Z16" i="51"/>
  <c r="W16" i="51"/>
  <c r="AE16" i="51"/>
  <c r="AB15" i="51"/>
  <c r="AF15" i="51"/>
  <c r="L15" i="51"/>
  <c r="P15" i="51"/>
  <c r="T15" i="51"/>
  <c r="X15" i="51"/>
  <c r="AC15" i="51"/>
  <c r="AG15" i="51"/>
  <c r="M15" i="51"/>
  <c r="Q15" i="51"/>
  <c r="U15" i="51"/>
  <c r="Y15" i="51"/>
  <c r="AD15" i="51"/>
  <c r="AH15" i="51"/>
  <c r="N15" i="51"/>
  <c r="R15" i="51"/>
  <c r="V15" i="51"/>
  <c r="Z15" i="51"/>
  <c r="J15" i="51"/>
  <c r="R18" i="51"/>
  <c r="L18" i="51"/>
  <c r="O18" i="51"/>
  <c r="S18" i="51"/>
  <c r="M18" i="51"/>
  <c r="P18" i="51"/>
  <c r="N18" i="51"/>
  <c r="AB14" i="51"/>
  <c r="AF14" i="51"/>
  <c r="L14" i="51"/>
  <c r="P14" i="51"/>
  <c r="T14" i="51"/>
  <c r="X14" i="51"/>
  <c r="AC14" i="51"/>
  <c r="AG14" i="51"/>
  <c r="M14" i="51"/>
  <c r="Q14" i="51"/>
  <c r="U14" i="51"/>
  <c r="Y14" i="51"/>
  <c r="AD14" i="51"/>
  <c r="AH14" i="51"/>
  <c r="N14" i="51"/>
  <c r="R14" i="51"/>
  <c r="V14" i="51"/>
  <c r="Z14" i="51"/>
  <c r="N7" i="51"/>
  <c r="O16" i="51"/>
  <c r="O15" i="51"/>
  <c r="O14" i="51"/>
  <c r="AE15" i="51"/>
  <c r="AE13" i="51" s="1"/>
  <c r="K18" i="51"/>
  <c r="O17" i="51"/>
  <c r="S17" i="51"/>
  <c r="L17" i="51"/>
  <c r="J17" i="51"/>
  <c r="P17" i="51"/>
  <c r="M17" i="51"/>
  <c r="Q17" i="51"/>
  <c r="N17" i="51"/>
  <c r="K21" i="51"/>
  <c r="J21" i="51"/>
  <c r="L21" i="51"/>
  <c r="M21" i="51"/>
  <c r="K6" i="51"/>
  <c r="L6" i="51"/>
  <c r="J6" i="51"/>
  <c r="M6" i="51"/>
  <c r="N6" i="51"/>
  <c r="K16" i="51"/>
  <c r="K15" i="51"/>
  <c r="K14" i="51"/>
  <c r="AA15" i="51"/>
  <c r="AA13" i="51" s="1"/>
  <c r="K17" i="51"/>
  <c r="N21" i="51"/>
  <c r="Q3" i="48"/>
  <c r="S12" i="48"/>
  <c r="R8" i="48"/>
  <c r="Y25" i="50"/>
  <c r="W25" i="50"/>
  <c r="P25" i="50"/>
  <c r="Q24" i="50"/>
  <c r="O25" i="50"/>
  <c r="L24" i="50"/>
  <c r="K25" i="50"/>
  <c r="J25" i="50"/>
  <c r="P33" i="60" l="1"/>
  <c r="O40" i="60"/>
  <c r="N41" i="60"/>
  <c r="O37" i="60"/>
  <c r="D41" i="49"/>
  <c r="E37" i="49"/>
  <c r="E40" i="49"/>
  <c r="W13" i="51"/>
  <c r="R13" i="51"/>
  <c r="Y13" i="51"/>
  <c r="AG13" i="51"/>
  <c r="P13" i="51"/>
  <c r="D15" i="49"/>
  <c r="D16" i="49" s="1"/>
  <c r="D20" i="49" s="1"/>
  <c r="J13" i="51"/>
  <c r="M13" i="51"/>
  <c r="K13" i="51"/>
  <c r="O13" i="51"/>
  <c r="N13" i="51"/>
  <c r="U13" i="51"/>
  <c r="AC13" i="51"/>
  <c r="L13" i="51"/>
  <c r="R3" i="48"/>
  <c r="Z13" i="51"/>
  <c r="AH13" i="51"/>
  <c r="X13" i="51"/>
  <c r="AF13" i="51"/>
  <c r="S13" i="51"/>
  <c r="T12" i="48"/>
  <c r="S8" i="48"/>
  <c r="Q13" i="51"/>
  <c r="V13" i="51"/>
  <c r="AD13" i="51"/>
  <c r="T13" i="51"/>
  <c r="AB13" i="51"/>
  <c r="Q25" i="50"/>
  <c r="R24" i="50"/>
  <c r="M24" i="50"/>
  <c r="L25" i="50"/>
  <c r="E8" i="51"/>
  <c r="E9" i="51"/>
  <c r="E10" i="51"/>
  <c r="E11" i="51"/>
  <c r="O41" i="60" l="1"/>
  <c r="P37" i="60"/>
  <c r="P40" i="60"/>
  <c r="Q33" i="60"/>
  <c r="F40" i="49"/>
  <c r="F37" i="49"/>
  <c r="E41" i="49"/>
  <c r="K4" i="51"/>
  <c r="O4" i="51"/>
  <c r="S4" i="51"/>
  <c r="W4" i="51"/>
  <c r="AA4" i="51"/>
  <c r="AE4" i="51"/>
  <c r="AI4" i="51"/>
  <c r="AM4" i="51"/>
  <c r="AQ4" i="51"/>
  <c r="AQ3" i="51" s="1"/>
  <c r="AU4" i="51"/>
  <c r="AU3" i="51" s="1"/>
  <c r="AY4" i="51"/>
  <c r="AY3" i="51" s="1"/>
  <c r="BC4" i="51"/>
  <c r="BC3" i="51" s="1"/>
  <c r="BG4" i="51"/>
  <c r="BG3" i="51" s="1"/>
  <c r="L4" i="51"/>
  <c r="P4" i="51"/>
  <c r="T4" i="51"/>
  <c r="X4" i="51"/>
  <c r="AB4" i="51"/>
  <c r="AF4" i="51"/>
  <c r="AJ4" i="51"/>
  <c r="AN4" i="51"/>
  <c r="AN3" i="51" s="1"/>
  <c r="AR4" i="51"/>
  <c r="AR3" i="51" s="1"/>
  <c r="AV4" i="51"/>
  <c r="AV3" i="51" s="1"/>
  <c r="M4" i="51"/>
  <c r="Q4" i="51"/>
  <c r="U4" i="51"/>
  <c r="Y4" i="51"/>
  <c r="AC4" i="51"/>
  <c r="AG4" i="51"/>
  <c r="AK4" i="51"/>
  <c r="AO4" i="51"/>
  <c r="AO3" i="51" s="1"/>
  <c r="AS4" i="51"/>
  <c r="AS3" i="51" s="1"/>
  <c r="AW4" i="51"/>
  <c r="AW3" i="51" s="1"/>
  <c r="V4" i="51"/>
  <c r="AL4" i="51"/>
  <c r="AZ4" i="51"/>
  <c r="AZ3" i="51" s="1"/>
  <c r="BE4" i="51"/>
  <c r="BE3" i="51" s="1"/>
  <c r="Z4" i="51"/>
  <c r="AP4" i="51"/>
  <c r="AP3" i="51" s="1"/>
  <c r="BA4" i="51"/>
  <c r="BA3" i="51" s="1"/>
  <c r="BF4" i="51"/>
  <c r="BF3" i="51" s="1"/>
  <c r="R4" i="51"/>
  <c r="BD4" i="51"/>
  <c r="BD3" i="51" s="1"/>
  <c r="N4" i="51"/>
  <c r="AD4" i="51"/>
  <c r="AT4" i="51"/>
  <c r="AT3" i="51" s="1"/>
  <c r="BB4" i="51"/>
  <c r="BB3" i="51" s="1"/>
  <c r="J4" i="51"/>
  <c r="AH4" i="51"/>
  <c r="AX4" i="51"/>
  <c r="AX3" i="51" s="1"/>
  <c r="U12" i="48"/>
  <c r="T8" i="48"/>
  <c r="K8" i="51"/>
  <c r="L8" i="51"/>
  <c r="M8" i="51"/>
  <c r="J8" i="51"/>
  <c r="N8" i="51"/>
  <c r="M5" i="51"/>
  <c r="Q5" i="51"/>
  <c r="U5" i="51"/>
  <c r="Y5" i="51"/>
  <c r="AC5" i="51"/>
  <c r="AG5" i="51"/>
  <c r="AK5" i="51"/>
  <c r="N5" i="51"/>
  <c r="R5" i="51"/>
  <c r="V5" i="51"/>
  <c r="Z5" i="51"/>
  <c r="AD5" i="51"/>
  <c r="AH5" i="51"/>
  <c r="AL5" i="51"/>
  <c r="K5" i="51"/>
  <c r="O5" i="51"/>
  <c r="S5" i="51"/>
  <c r="W5" i="51"/>
  <c r="AA5" i="51"/>
  <c r="AE5" i="51"/>
  <c r="AI5" i="51"/>
  <c r="AM5" i="51"/>
  <c r="T5" i="51"/>
  <c r="AJ5" i="51"/>
  <c r="X5" i="51"/>
  <c r="J5" i="51"/>
  <c r="P5" i="51"/>
  <c r="L5" i="51"/>
  <c r="AB5" i="51"/>
  <c r="AF5" i="51"/>
  <c r="K9" i="51"/>
  <c r="J9" i="51"/>
  <c r="L9" i="51"/>
  <c r="S3" i="48"/>
  <c r="S24" i="50"/>
  <c r="R25" i="50"/>
  <c r="N24" i="50"/>
  <c r="N25" i="50" s="1"/>
  <c r="M25" i="50"/>
  <c r="Q40" i="60" l="1"/>
  <c r="R33" i="60"/>
  <c r="P41" i="60"/>
  <c r="Q37" i="60"/>
  <c r="T3" i="51"/>
  <c r="AM3" i="51"/>
  <c r="W3" i="51"/>
  <c r="AC3" i="51"/>
  <c r="F41" i="49"/>
  <c r="G37" i="49"/>
  <c r="G40" i="49"/>
  <c r="M3" i="51"/>
  <c r="N3" i="51"/>
  <c r="AJ3" i="51"/>
  <c r="AL3" i="51"/>
  <c r="Y3" i="51"/>
  <c r="AF3" i="51"/>
  <c r="P3" i="51"/>
  <c r="AI3" i="51"/>
  <c r="S3" i="51"/>
  <c r="J3" i="51"/>
  <c r="T3" i="48"/>
  <c r="R3" i="51"/>
  <c r="Z3" i="51"/>
  <c r="V3" i="51"/>
  <c r="AK3" i="51"/>
  <c r="U3" i="51"/>
  <c r="AB3" i="51"/>
  <c r="L3" i="51"/>
  <c r="AE3" i="51"/>
  <c r="O3" i="51"/>
  <c r="V12" i="48"/>
  <c r="V8" i="48" s="1"/>
  <c r="U8" i="48"/>
  <c r="AH3" i="51"/>
  <c r="AD3" i="51"/>
  <c r="AG3" i="51"/>
  <c r="Q3" i="51"/>
  <c r="X3" i="51"/>
  <c r="AA3" i="51"/>
  <c r="K3" i="51"/>
  <c r="T24" i="50"/>
  <c r="S25" i="50"/>
  <c r="E18" i="9"/>
  <c r="E19" i="37"/>
  <c r="F4" i="19"/>
  <c r="F16" i="18"/>
  <c r="F3" i="19"/>
  <c r="G6" i="19"/>
  <c r="G8" i="19"/>
  <c r="D8" i="19"/>
  <c r="D6" i="19"/>
  <c r="E4" i="19"/>
  <c r="G3" i="19"/>
  <c r="E3" i="19"/>
  <c r="D3" i="19"/>
  <c r="T120" i="14"/>
  <c r="T119" i="14"/>
  <c r="T118" i="14"/>
  <c r="T117" i="14"/>
  <c r="T116" i="14"/>
  <c r="T115" i="14"/>
  <c r="L42" i="33"/>
  <c r="M42" i="33"/>
  <c r="T42" i="33"/>
  <c r="U42" i="33"/>
  <c r="H42" i="33"/>
  <c r="I42" i="33"/>
  <c r="V42" i="33"/>
  <c r="F5" i="32"/>
  <c r="G5" i="32"/>
  <c r="J5" i="32"/>
  <c r="K5" i="32"/>
  <c r="R5" i="32"/>
  <c r="S5" i="32"/>
  <c r="H16" i="38"/>
  <c r="I16" i="38"/>
  <c r="J16" i="38"/>
  <c r="K16" i="38"/>
  <c r="L16" i="38"/>
  <c r="M16" i="38"/>
  <c r="N16" i="38"/>
  <c r="O16" i="38"/>
  <c r="P16" i="38"/>
  <c r="Q16" i="38"/>
  <c r="R16" i="38"/>
  <c r="S16" i="38"/>
  <c r="T16" i="38"/>
  <c r="U16" i="38"/>
  <c r="V16" i="38"/>
  <c r="G16" i="38"/>
  <c r="G18" i="38"/>
  <c r="G17" i="38"/>
  <c r="G24" i="38" s="1"/>
  <c r="U4" i="28"/>
  <c r="U7" i="28"/>
  <c r="T4" i="28"/>
  <c r="T7" i="28"/>
  <c r="S4" i="28"/>
  <c r="S7" i="28"/>
  <c r="R4" i="28"/>
  <c r="R7" i="28"/>
  <c r="Q4" i="28"/>
  <c r="Q7" i="28"/>
  <c r="P4" i="28"/>
  <c r="P7" i="28"/>
  <c r="O4" i="28"/>
  <c r="O7" i="28"/>
  <c r="N4" i="28"/>
  <c r="N7" i="28"/>
  <c r="M4" i="28"/>
  <c r="M7" i="28"/>
  <c r="L4" i="28"/>
  <c r="L7" i="28"/>
  <c r="K4" i="28"/>
  <c r="K7" i="28"/>
  <c r="J4" i="28"/>
  <c r="J7" i="28"/>
  <c r="I4" i="28"/>
  <c r="I7" i="28"/>
  <c r="H4" i="28"/>
  <c r="H7" i="28"/>
  <c r="G4" i="28"/>
  <c r="G7" i="28"/>
  <c r="F4" i="28"/>
  <c r="F7" i="28"/>
  <c r="E4" i="28"/>
  <c r="E7" i="28"/>
  <c r="D33" i="41"/>
  <c r="F3" i="38"/>
  <c r="F4" i="38"/>
  <c r="U27" i="41"/>
  <c r="U28" i="41"/>
  <c r="U31" i="41"/>
  <c r="U32" i="41"/>
  <c r="U33" i="41"/>
  <c r="E10" i="9"/>
  <c r="E6" i="41"/>
  <c r="D6" i="41"/>
  <c r="E7" i="41"/>
  <c r="D7" i="41"/>
  <c r="E8" i="41"/>
  <c r="D8" i="41"/>
  <c r="E9" i="41"/>
  <c r="D9" i="41"/>
  <c r="E10" i="41"/>
  <c r="D10" i="41"/>
  <c r="E11" i="41"/>
  <c r="D11" i="41"/>
  <c r="E12" i="41"/>
  <c r="D12" i="41"/>
  <c r="E13" i="41"/>
  <c r="D13" i="41"/>
  <c r="E14" i="41"/>
  <c r="D14" i="41"/>
  <c r="E15" i="41"/>
  <c r="D15" i="41"/>
  <c r="E16" i="41"/>
  <c r="D16" i="41"/>
  <c r="E17" i="41"/>
  <c r="D17" i="41"/>
  <c r="E18" i="41"/>
  <c r="D18" i="41"/>
  <c r="D20" i="41"/>
  <c r="C10" i="9"/>
  <c r="D10" i="9"/>
  <c r="F7" i="38"/>
  <c r="G14" i="38"/>
  <c r="F3" i="33"/>
  <c r="E27" i="41"/>
  <c r="D27" i="41"/>
  <c r="E28" i="41"/>
  <c r="D28" i="41"/>
  <c r="E31" i="41"/>
  <c r="D31" i="41"/>
  <c r="E32" i="41"/>
  <c r="D32" i="41"/>
  <c r="D4" i="45"/>
  <c r="D5" i="45"/>
  <c r="E33" i="41"/>
  <c r="E4" i="45"/>
  <c r="F27" i="41"/>
  <c r="F28" i="41"/>
  <c r="F31" i="41"/>
  <c r="F32" i="41"/>
  <c r="F33" i="41"/>
  <c r="F4" i="45"/>
  <c r="G27" i="41"/>
  <c r="G28" i="41"/>
  <c r="G29" i="41"/>
  <c r="G30" i="41"/>
  <c r="G31" i="41"/>
  <c r="G32" i="41"/>
  <c r="G33" i="41"/>
  <c r="G4" i="45"/>
  <c r="H27" i="41"/>
  <c r="H28" i="41"/>
  <c r="H31" i="41"/>
  <c r="H32" i="41"/>
  <c r="H33" i="41"/>
  <c r="H4" i="45"/>
  <c r="I27" i="41"/>
  <c r="I28" i="41"/>
  <c r="I31" i="41"/>
  <c r="I32" i="41"/>
  <c r="I33" i="41"/>
  <c r="I4" i="45"/>
  <c r="J27" i="41"/>
  <c r="J28" i="41"/>
  <c r="J31" i="41"/>
  <c r="J32" i="41"/>
  <c r="J33" i="41"/>
  <c r="J4" i="45"/>
  <c r="K27" i="41"/>
  <c r="K28" i="41"/>
  <c r="K29" i="41"/>
  <c r="K30" i="41"/>
  <c r="K31" i="41"/>
  <c r="K32" i="41"/>
  <c r="K33" i="41"/>
  <c r="K4" i="45"/>
  <c r="L27" i="41"/>
  <c r="L28" i="41"/>
  <c r="L31" i="41"/>
  <c r="L32" i="41"/>
  <c r="L33" i="41"/>
  <c r="L4" i="45"/>
  <c r="M27" i="41"/>
  <c r="M28" i="41"/>
  <c r="M31" i="41"/>
  <c r="M32" i="41"/>
  <c r="M33" i="41"/>
  <c r="M4" i="45"/>
  <c r="N27" i="41"/>
  <c r="N28" i="41"/>
  <c r="N31" i="41"/>
  <c r="N32" i="41"/>
  <c r="N33" i="41"/>
  <c r="N4" i="45"/>
  <c r="O27" i="41"/>
  <c r="O28" i="41"/>
  <c r="O29" i="41"/>
  <c r="O30" i="41"/>
  <c r="O31" i="41"/>
  <c r="O32" i="41"/>
  <c r="O33" i="41"/>
  <c r="O4" i="45"/>
  <c r="P27" i="41"/>
  <c r="P28" i="41"/>
  <c r="P31" i="41"/>
  <c r="P32" i="41"/>
  <c r="P33" i="41"/>
  <c r="P4" i="45"/>
  <c r="Q27" i="41"/>
  <c r="Q28" i="41"/>
  <c r="Q31" i="41"/>
  <c r="Q32" i="41"/>
  <c r="Q33" i="41"/>
  <c r="Q4" i="45"/>
  <c r="R27" i="41"/>
  <c r="R28" i="41"/>
  <c r="R31" i="41"/>
  <c r="R32" i="41"/>
  <c r="R33" i="41"/>
  <c r="R4" i="45"/>
  <c r="E6" i="9"/>
  <c r="C6" i="9"/>
  <c r="C16" i="10"/>
  <c r="V15" i="34"/>
  <c r="D15" i="34"/>
  <c r="E15" i="34"/>
  <c r="F15" i="34"/>
  <c r="G15" i="34"/>
  <c r="H15" i="34"/>
  <c r="I15" i="34"/>
  <c r="J15" i="34"/>
  <c r="K15" i="34"/>
  <c r="L15" i="34"/>
  <c r="M15" i="34"/>
  <c r="N15" i="34"/>
  <c r="O15" i="34"/>
  <c r="P15" i="34"/>
  <c r="Q15" i="34"/>
  <c r="R15" i="34"/>
  <c r="S15" i="34"/>
  <c r="M26" i="34"/>
  <c r="M27" i="34" s="1"/>
  <c r="N8" i="28" s="1"/>
  <c r="P5" i="37"/>
  <c r="P8" i="37"/>
  <c r="Q4" i="37"/>
  <c r="Q8" i="37"/>
  <c r="R4" i="37"/>
  <c r="R8" i="37"/>
  <c r="S4" i="37"/>
  <c r="S8" i="37"/>
  <c r="T4" i="37"/>
  <c r="T8" i="37"/>
  <c r="U4" i="37"/>
  <c r="U8" i="37"/>
  <c r="V4" i="37"/>
  <c r="V8" i="37"/>
  <c r="W4" i="37"/>
  <c r="W8" i="37"/>
  <c r="X4" i="37"/>
  <c r="X8" i="37"/>
  <c r="Y4" i="37"/>
  <c r="Y8" i="37"/>
  <c r="Z4" i="37"/>
  <c r="Z8" i="37"/>
  <c r="AA4" i="37"/>
  <c r="AA8" i="37"/>
  <c r="A20" i="37"/>
  <c r="AC4" i="37"/>
  <c r="AO4" i="37"/>
  <c r="D3" i="45"/>
  <c r="D10" i="45"/>
  <c r="E10" i="45"/>
  <c r="F10" i="45"/>
  <c r="G10" i="45"/>
  <c r="H10" i="45"/>
  <c r="I10" i="45"/>
  <c r="J10" i="45"/>
  <c r="K10" i="45"/>
  <c r="L10" i="45"/>
  <c r="M10" i="45"/>
  <c r="N10" i="45"/>
  <c r="O10" i="45"/>
  <c r="P10" i="45"/>
  <c r="Q10" i="45"/>
  <c r="R10" i="45"/>
  <c r="S27" i="41"/>
  <c r="S28" i="41"/>
  <c r="S29" i="41"/>
  <c r="S30" i="41"/>
  <c r="S31" i="41"/>
  <c r="S32" i="41"/>
  <c r="S33" i="41"/>
  <c r="S4" i="45"/>
  <c r="S10" i="45"/>
  <c r="D6" i="45"/>
  <c r="U32" i="28"/>
  <c r="U60" i="28" s="1"/>
  <c r="U13" i="28"/>
  <c r="U14" i="28"/>
  <c r="E15" i="9"/>
  <c r="D15" i="9"/>
  <c r="F38" i="33"/>
  <c r="O8" i="37"/>
  <c r="O11" i="45"/>
  <c r="P42" i="33"/>
  <c r="N5" i="32"/>
  <c r="O5" i="32"/>
  <c r="Q42" i="33"/>
  <c r="C18" i="9"/>
  <c r="C5" i="9"/>
  <c r="X5" i="33"/>
  <c r="U28" i="28"/>
  <c r="U27" i="28"/>
  <c r="U26" i="28" s="1"/>
  <c r="U22" i="28"/>
  <c r="U21" i="28"/>
  <c r="U36" i="28"/>
  <c r="U52" i="28"/>
  <c r="E5" i="9"/>
  <c r="T28" i="28"/>
  <c r="T27" i="28"/>
  <c r="T26" i="28" s="1"/>
  <c r="T22" i="28"/>
  <c r="T21" i="28"/>
  <c r="T32" i="28"/>
  <c r="T60" i="28" s="1"/>
  <c r="T36" i="28"/>
  <c r="T13" i="28"/>
  <c r="T14" i="28"/>
  <c r="O28" i="28"/>
  <c r="O27" i="28"/>
  <c r="O26" i="28" s="1"/>
  <c r="O22" i="28"/>
  <c r="O21" i="28"/>
  <c r="O32" i="28"/>
  <c r="O36" i="28"/>
  <c r="O13" i="28"/>
  <c r="O14" i="28"/>
  <c r="E28" i="28"/>
  <c r="E27" i="28"/>
  <c r="E26" i="28" s="1"/>
  <c r="E22" i="28"/>
  <c r="E21" i="28"/>
  <c r="E32" i="28"/>
  <c r="E36" i="28"/>
  <c r="E13" i="28"/>
  <c r="E14" i="28"/>
  <c r="D18" i="9"/>
  <c r="D5" i="9"/>
  <c r="T27" i="41"/>
  <c r="T28" i="41"/>
  <c r="T29" i="41"/>
  <c r="T30" i="41"/>
  <c r="T31" i="41"/>
  <c r="T32" i="41"/>
  <c r="T33" i="41"/>
  <c r="T4" i="45"/>
  <c r="D27" i="40"/>
  <c r="D41" i="40"/>
  <c r="E20" i="41"/>
  <c r="F6" i="41"/>
  <c r="G6" i="41"/>
  <c r="F7" i="41"/>
  <c r="G7" i="41"/>
  <c r="F8" i="41"/>
  <c r="G8" i="41"/>
  <c r="F9" i="41"/>
  <c r="G9" i="41"/>
  <c r="F10" i="41"/>
  <c r="G10" i="41"/>
  <c r="F11" i="41"/>
  <c r="G11" i="41"/>
  <c r="F12" i="41"/>
  <c r="G12" i="41"/>
  <c r="F13" i="41"/>
  <c r="G13" i="41"/>
  <c r="F14" i="41"/>
  <c r="G14" i="41"/>
  <c r="F15" i="41"/>
  <c r="G15" i="41"/>
  <c r="F16" i="41"/>
  <c r="G16" i="41"/>
  <c r="F17" i="41"/>
  <c r="G17" i="41"/>
  <c r="F18" i="41"/>
  <c r="G18" i="41"/>
  <c r="E19" i="41"/>
  <c r="D19" i="41"/>
  <c r="F19" i="41"/>
  <c r="G19" i="41"/>
  <c r="G20" i="41"/>
  <c r="H6" i="41"/>
  <c r="I6" i="41"/>
  <c r="J6" i="41"/>
  <c r="K6" i="41"/>
  <c r="L6" i="41"/>
  <c r="M6" i="41"/>
  <c r="N6" i="41"/>
  <c r="O6" i="41"/>
  <c r="P6" i="41"/>
  <c r="Q6" i="41"/>
  <c r="R6" i="41"/>
  <c r="S6" i="41"/>
  <c r="T6" i="41"/>
  <c r="H7" i="41"/>
  <c r="I7" i="41"/>
  <c r="J7" i="41"/>
  <c r="K7" i="41"/>
  <c r="L7" i="41"/>
  <c r="M7" i="41"/>
  <c r="N7" i="41"/>
  <c r="O7" i="41"/>
  <c r="P7" i="41"/>
  <c r="Q7" i="41"/>
  <c r="R7" i="41"/>
  <c r="S7" i="41"/>
  <c r="T7" i="41"/>
  <c r="H8" i="41"/>
  <c r="I8" i="41"/>
  <c r="J8" i="41"/>
  <c r="K8" i="41"/>
  <c r="L8" i="41"/>
  <c r="M8" i="41"/>
  <c r="N8" i="41"/>
  <c r="O8" i="41"/>
  <c r="P8" i="41"/>
  <c r="Q8" i="41"/>
  <c r="R8" i="41"/>
  <c r="S8" i="41"/>
  <c r="T8" i="41"/>
  <c r="H9" i="41"/>
  <c r="I9" i="41"/>
  <c r="J9" i="41"/>
  <c r="K9" i="41"/>
  <c r="L9" i="41"/>
  <c r="M9" i="41"/>
  <c r="N9" i="41"/>
  <c r="O9" i="41"/>
  <c r="P9" i="41"/>
  <c r="Q9" i="41"/>
  <c r="R9" i="41"/>
  <c r="S9" i="41"/>
  <c r="T9" i="41"/>
  <c r="H10" i="41"/>
  <c r="I10" i="41"/>
  <c r="J10" i="41"/>
  <c r="K10" i="41"/>
  <c r="L10" i="41"/>
  <c r="M10" i="41"/>
  <c r="N10" i="41"/>
  <c r="O10" i="41"/>
  <c r="P10" i="41"/>
  <c r="Q10" i="41"/>
  <c r="R10" i="41"/>
  <c r="S10" i="41"/>
  <c r="T10" i="41"/>
  <c r="H11" i="41"/>
  <c r="I11" i="41"/>
  <c r="J11" i="41"/>
  <c r="K11" i="41"/>
  <c r="L11" i="41"/>
  <c r="M11" i="41"/>
  <c r="N11" i="41"/>
  <c r="O11" i="41"/>
  <c r="P11" i="41"/>
  <c r="Q11" i="41"/>
  <c r="R11" i="41"/>
  <c r="S11" i="41"/>
  <c r="T11" i="41"/>
  <c r="H12" i="41"/>
  <c r="I12" i="41"/>
  <c r="J12" i="41"/>
  <c r="K12" i="41"/>
  <c r="L12" i="41"/>
  <c r="M12" i="41"/>
  <c r="N12" i="41"/>
  <c r="O12" i="41"/>
  <c r="P12" i="41"/>
  <c r="Q12" i="41"/>
  <c r="R12" i="41"/>
  <c r="S12" i="41"/>
  <c r="T12" i="41"/>
  <c r="H13" i="41"/>
  <c r="I13" i="41"/>
  <c r="J13" i="41"/>
  <c r="K13" i="41"/>
  <c r="L13" i="41"/>
  <c r="M13" i="41"/>
  <c r="N13" i="41"/>
  <c r="O13" i="41"/>
  <c r="P13" i="41"/>
  <c r="Q13" i="41"/>
  <c r="R13" i="41"/>
  <c r="S13" i="41"/>
  <c r="T13" i="41"/>
  <c r="H14" i="41"/>
  <c r="I14" i="41"/>
  <c r="J14" i="41"/>
  <c r="K14" i="41"/>
  <c r="L14" i="41"/>
  <c r="M14" i="41"/>
  <c r="N14" i="41"/>
  <c r="O14" i="41"/>
  <c r="P14" i="41"/>
  <c r="Q14" i="41"/>
  <c r="R14" i="41"/>
  <c r="S14" i="41"/>
  <c r="T14" i="41"/>
  <c r="H15" i="41"/>
  <c r="I15" i="41"/>
  <c r="J15" i="41"/>
  <c r="K15" i="41"/>
  <c r="L15" i="41"/>
  <c r="M15" i="41"/>
  <c r="N15" i="41"/>
  <c r="O15" i="41"/>
  <c r="P15" i="41"/>
  <c r="Q15" i="41"/>
  <c r="R15" i="41"/>
  <c r="S15" i="41"/>
  <c r="T15" i="41"/>
  <c r="H16" i="41"/>
  <c r="I16" i="41"/>
  <c r="J16" i="41"/>
  <c r="K16" i="41"/>
  <c r="L16" i="41"/>
  <c r="M16" i="41"/>
  <c r="N16" i="41"/>
  <c r="O16" i="41"/>
  <c r="P16" i="41"/>
  <c r="Q16" i="41"/>
  <c r="R16" i="41"/>
  <c r="S16" i="41"/>
  <c r="T16" i="41"/>
  <c r="H17" i="41"/>
  <c r="I17" i="41"/>
  <c r="J17" i="41"/>
  <c r="K17" i="41"/>
  <c r="L17" i="41"/>
  <c r="M17" i="41"/>
  <c r="N17" i="41"/>
  <c r="O17" i="41"/>
  <c r="P17" i="41"/>
  <c r="Q17" i="41"/>
  <c r="R17" i="41"/>
  <c r="S17" i="41"/>
  <c r="T17" i="41"/>
  <c r="H18" i="41"/>
  <c r="I18" i="41"/>
  <c r="J18" i="41"/>
  <c r="K18" i="41"/>
  <c r="L18" i="41"/>
  <c r="M18" i="41"/>
  <c r="N18" i="41"/>
  <c r="O18" i="41"/>
  <c r="P18" i="41"/>
  <c r="Q18" i="41"/>
  <c r="R18" i="41"/>
  <c r="S18" i="41"/>
  <c r="T18" i="41"/>
  <c r="T20" i="41"/>
  <c r="T5" i="32"/>
  <c r="E8" i="45"/>
  <c r="F8" i="45"/>
  <c r="G8" i="45"/>
  <c r="H8" i="45"/>
  <c r="I8" i="45"/>
  <c r="J8" i="45"/>
  <c r="K8" i="45"/>
  <c r="L8" i="45"/>
  <c r="M8" i="45"/>
  <c r="N8" i="45"/>
  <c r="O8" i="45"/>
  <c r="P8" i="45"/>
  <c r="Q8" i="45"/>
  <c r="R8" i="45"/>
  <c r="S8" i="45"/>
  <c r="T8" i="45"/>
  <c r="E9" i="45"/>
  <c r="F9" i="45"/>
  <c r="G9" i="45"/>
  <c r="H9" i="45"/>
  <c r="I9" i="45"/>
  <c r="J9" i="45"/>
  <c r="K9" i="45"/>
  <c r="L9" i="45"/>
  <c r="M9" i="45"/>
  <c r="N9" i="45"/>
  <c r="O9" i="45"/>
  <c r="P9" i="45"/>
  <c r="Q9" i="45"/>
  <c r="R9" i="45"/>
  <c r="S9" i="45"/>
  <c r="T9" i="45"/>
  <c r="T15" i="34"/>
  <c r="T10" i="45"/>
  <c r="E11" i="45"/>
  <c r="F11" i="45"/>
  <c r="G11" i="45"/>
  <c r="H11" i="45"/>
  <c r="I11" i="45"/>
  <c r="J11" i="45"/>
  <c r="K11" i="45"/>
  <c r="L11" i="45"/>
  <c r="M11" i="45"/>
  <c r="N11" i="45"/>
  <c r="P11" i="45"/>
  <c r="Q11" i="45"/>
  <c r="R11" i="45"/>
  <c r="S11" i="45"/>
  <c r="T11" i="45"/>
  <c r="E12" i="45"/>
  <c r="F12" i="45"/>
  <c r="G12" i="45"/>
  <c r="H12" i="45"/>
  <c r="I12" i="45"/>
  <c r="J12" i="45"/>
  <c r="K12" i="45"/>
  <c r="L12" i="45"/>
  <c r="M12" i="45"/>
  <c r="N12" i="45"/>
  <c r="O12" i="45"/>
  <c r="P12" i="45"/>
  <c r="Q12" i="45"/>
  <c r="R12" i="45"/>
  <c r="S12" i="45"/>
  <c r="T12" i="45"/>
  <c r="E13" i="45"/>
  <c r="F13" i="45"/>
  <c r="G13" i="45"/>
  <c r="H13" i="45"/>
  <c r="I13" i="45"/>
  <c r="J13" i="45"/>
  <c r="K13" i="45"/>
  <c r="L13" i="45"/>
  <c r="M13" i="45"/>
  <c r="N13" i="45"/>
  <c r="O13" i="45"/>
  <c r="P13" i="45"/>
  <c r="Q13" i="45"/>
  <c r="R13" i="45"/>
  <c r="S13" i="45"/>
  <c r="T13" i="45"/>
  <c r="H14" i="45"/>
  <c r="E15" i="45"/>
  <c r="F15" i="45"/>
  <c r="G15" i="45"/>
  <c r="H15" i="45"/>
  <c r="I15" i="45"/>
  <c r="J15" i="45"/>
  <c r="K15" i="45"/>
  <c r="L15" i="45"/>
  <c r="M15" i="45"/>
  <c r="N15" i="45"/>
  <c r="O15" i="45"/>
  <c r="P15" i="45"/>
  <c r="Q15" i="45"/>
  <c r="R15" i="45"/>
  <c r="S15" i="45"/>
  <c r="T15" i="45"/>
  <c r="E16" i="45"/>
  <c r="F16" i="45"/>
  <c r="G16" i="45"/>
  <c r="H16" i="45"/>
  <c r="I16" i="45"/>
  <c r="J16" i="45"/>
  <c r="K16" i="45"/>
  <c r="L16" i="45"/>
  <c r="M16" i="45"/>
  <c r="N16" i="45"/>
  <c r="O16" i="45"/>
  <c r="P16" i="45"/>
  <c r="Q16" i="45"/>
  <c r="R16" i="45"/>
  <c r="S16" i="45"/>
  <c r="T16" i="45"/>
  <c r="E17" i="45"/>
  <c r="F17" i="45"/>
  <c r="G17" i="45"/>
  <c r="H17" i="45"/>
  <c r="I17" i="45"/>
  <c r="J17" i="45"/>
  <c r="K17" i="45"/>
  <c r="L17" i="45"/>
  <c r="M17" i="45"/>
  <c r="N17" i="45"/>
  <c r="O17" i="45"/>
  <c r="P17" i="45"/>
  <c r="Q17" i="45"/>
  <c r="R17" i="45"/>
  <c r="S17" i="45"/>
  <c r="T17" i="45"/>
  <c r="E18" i="45"/>
  <c r="F18" i="45"/>
  <c r="G18" i="45"/>
  <c r="H18" i="45"/>
  <c r="I18" i="45"/>
  <c r="J18" i="45"/>
  <c r="K18" i="45"/>
  <c r="L18" i="45"/>
  <c r="M18" i="45"/>
  <c r="N18" i="45"/>
  <c r="O18" i="45"/>
  <c r="P18" i="45"/>
  <c r="Q18" i="45"/>
  <c r="R18" i="45"/>
  <c r="S18" i="45"/>
  <c r="T18" i="45"/>
  <c r="E20" i="45"/>
  <c r="F20" i="45"/>
  <c r="G20" i="45"/>
  <c r="H20" i="45"/>
  <c r="I20" i="45"/>
  <c r="J20" i="45"/>
  <c r="K20" i="45"/>
  <c r="L20" i="45"/>
  <c r="M20" i="45"/>
  <c r="N20" i="45"/>
  <c r="O20" i="45"/>
  <c r="P20" i="45"/>
  <c r="Q20" i="45"/>
  <c r="R20" i="45"/>
  <c r="S20" i="45"/>
  <c r="T20" i="45"/>
  <c r="D9" i="45"/>
  <c r="D11" i="45"/>
  <c r="D12" i="45"/>
  <c r="D13" i="45"/>
  <c r="D15" i="45"/>
  <c r="D16" i="45"/>
  <c r="D17" i="45"/>
  <c r="D18" i="45"/>
  <c r="D20" i="45"/>
  <c r="D8" i="45"/>
  <c r="E7" i="45"/>
  <c r="F7" i="45"/>
  <c r="G7" i="45"/>
  <c r="H7" i="45"/>
  <c r="I7" i="45"/>
  <c r="J7" i="45"/>
  <c r="K7" i="45"/>
  <c r="L7" i="45"/>
  <c r="M7" i="45"/>
  <c r="N7" i="45"/>
  <c r="O7" i="45"/>
  <c r="P7" i="45"/>
  <c r="Q7" i="45"/>
  <c r="R7" i="45"/>
  <c r="S7" i="45"/>
  <c r="T7" i="45"/>
  <c r="D7" i="45"/>
  <c r="E6" i="45"/>
  <c r="F6" i="45"/>
  <c r="G6" i="45"/>
  <c r="H6" i="45"/>
  <c r="I6" i="45"/>
  <c r="J6" i="45"/>
  <c r="K6" i="45"/>
  <c r="L6" i="45"/>
  <c r="M6" i="45"/>
  <c r="N6" i="45"/>
  <c r="O6" i="45"/>
  <c r="P6" i="45"/>
  <c r="Q6" i="45"/>
  <c r="R6" i="45"/>
  <c r="S6" i="45"/>
  <c r="T6" i="45"/>
  <c r="E52" i="28"/>
  <c r="G41" i="38"/>
  <c r="G44" i="38"/>
  <c r="G51" i="38" s="1"/>
  <c r="D6" i="40"/>
  <c r="L28" i="28"/>
  <c r="L27" i="28"/>
  <c r="L26" i="28"/>
  <c r="L22" i="28"/>
  <c r="L21" i="28"/>
  <c r="L32" i="28"/>
  <c r="L36" i="28"/>
  <c r="L13" i="28"/>
  <c r="L14" i="28"/>
  <c r="L52" i="28"/>
  <c r="N18" i="38"/>
  <c r="N17" i="38"/>
  <c r="N24" i="38" s="1"/>
  <c r="F28" i="28"/>
  <c r="F27" i="28"/>
  <c r="F26" i="28" s="1"/>
  <c r="F22" i="28"/>
  <c r="F21" i="28"/>
  <c r="F32" i="28"/>
  <c r="F36" i="28"/>
  <c r="F13" i="28"/>
  <c r="F14" i="28"/>
  <c r="F52" i="28"/>
  <c r="H18" i="38"/>
  <c r="H17" i="38"/>
  <c r="H24" i="38" s="1"/>
  <c r="H41" i="38"/>
  <c r="H44" i="38"/>
  <c r="H51" i="38" s="1"/>
  <c r="G28" i="28"/>
  <c r="G27" i="28"/>
  <c r="G26" i="28" s="1"/>
  <c r="G22" i="28"/>
  <c r="G21" i="28"/>
  <c r="G32" i="28"/>
  <c r="G36" i="28"/>
  <c r="G13" i="28"/>
  <c r="G14" i="28"/>
  <c r="G52" i="28"/>
  <c r="I18" i="38"/>
  <c r="I17" i="38"/>
  <c r="I24" i="38" s="1"/>
  <c r="I41" i="38"/>
  <c r="I44" i="38"/>
  <c r="I51" i="38" s="1"/>
  <c r="I28" i="28"/>
  <c r="I27" i="28"/>
  <c r="I26" i="28"/>
  <c r="I22" i="28"/>
  <c r="I21" i="28"/>
  <c r="I32" i="28"/>
  <c r="I36" i="28"/>
  <c r="I13" i="28"/>
  <c r="I14" i="28"/>
  <c r="I52" i="28"/>
  <c r="K18" i="38"/>
  <c r="K17" i="38"/>
  <c r="K24" i="38" s="1"/>
  <c r="K41" i="38"/>
  <c r="K44" i="38"/>
  <c r="K51" i="38" s="1"/>
  <c r="J28" i="28"/>
  <c r="J27" i="28"/>
  <c r="J26" i="28" s="1"/>
  <c r="J22" i="28"/>
  <c r="J21" i="28"/>
  <c r="J32" i="28"/>
  <c r="J36" i="28"/>
  <c r="J13" i="28"/>
  <c r="J14" i="28"/>
  <c r="J52" i="28"/>
  <c r="L18" i="38"/>
  <c r="L17" i="38"/>
  <c r="L24" i="38" s="1"/>
  <c r="L41" i="38"/>
  <c r="L44" i="38"/>
  <c r="L51" i="38" s="1"/>
  <c r="K28" i="28"/>
  <c r="K27" i="28"/>
  <c r="K26" i="28" s="1"/>
  <c r="K22" i="28"/>
  <c r="K21" i="28"/>
  <c r="K32" i="28"/>
  <c r="K60" i="28" s="1"/>
  <c r="K36" i="28"/>
  <c r="K13" i="28"/>
  <c r="K14" i="28"/>
  <c r="K52" i="28"/>
  <c r="M18" i="38"/>
  <c r="M17" i="38"/>
  <c r="M24" i="38" s="1"/>
  <c r="M41" i="38"/>
  <c r="M44" i="38"/>
  <c r="M51" i="38" s="1"/>
  <c r="M28" i="28"/>
  <c r="M27" i="28"/>
  <c r="M26" i="28" s="1"/>
  <c r="M22" i="28"/>
  <c r="M21" i="28"/>
  <c r="M32" i="28"/>
  <c r="M36" i="28"/>
  <c r="M13" i="28"/>
  <c r="M14" i="28"/>
  <c r="M52" i="28"/>
  <c r="O18" i="38"/>
  <c r="O17" i="38"/>
  <c r="O24" i="38" s="1"/>
  <c r="O41" i="38"/>
  <c r="O44" i="38"/>
  <c r="O51" i="38" s="1"/>
  <c r="N28" i="28"/>
  <c r="N27" i="28"/>
  <c r="N26" i="28"/>
  <c r="N22" i="28"/>
  <c r="N21" i="28"/>
  <c r="N32" i="28"/>
  <c r="N36" i="28"/>
  <c r="N13" i="28"/>
  <c r="N14" i="28"/>
  <c r="N52" i="28"/>
  <c r="P18" i="38"/>
  <c r="P17" i="38"/>
  <c r="P24" i="38" s="1"/>
  <c r="P41" i="38"/>
  <c r="P44" i="38"/>
  <c r="P51" i="38"/>
  <c r="O52" i="28"/>
  <c r="Q18" i="38"/>
  <c r="Q17" i="38"/>
  <c r="Q24" i="38" s="1"/>
  <c r="Q41" i="38"/>
  <c r="Q44" i="38"/>
  <c r="Q51" i="38" s="1"/>
  <c r="Q28" i="28"/>
  <c r="Q27" i="28"/>
  <c r="Q26" i="28"/>
  <c r="Q22" i="28"/>
  <c r="Q21" i="28"/>
  <c r="Q32" i="28"/>
  <c r="Q36" i="28"/>
  <c r="Q13" i="28"/>
  <c r="Q14" i="28"/>
  <c r="Q52" i="28"/>
  <c r="S18" i="38"/>
  <c r="S17" i="38"/>
  <c r="S24" i="38" s="1"/>
  <c r="S41" i="38"/>
  <c r="S44" i="38"/>
  <c r="S51" i="38"/>
  <c r="R28" i="28"/>
  <c r="R27" i="28"/>
  <c r="R26" i="28"/>
  <c r="R22" i="28"/>
  <c r="R21" i="28"/>
  <c r="R32" i="28"/>
  <c r="R36" i="28"/>
  <c r="R13" i="28"/>
  <c r="R14" i="28"/>
  <c r="R52" i="28"/>
  <c r="T18" i="38"/>
  <c r="T17" i="38"/>
  <c r="T24" i="38" s="1"/>
  <c r="T41" i="38"/>
  <c r="T44" i="38"/>
  <c r="T51" i="38" s="1"/>
  <c r="G27" i="40"/>
  <c r="T27" i="40"/>
  <c r="T41" i="40"/>
  <c r="J18" i="38"/>
  <c r="R18" i="38"/>
  <c r="V18" i="38"/>
  <c r="W18" i="38"/>
  <c r="W19" i="38"/>
  <c r="W20" i="38"/>
  <c r="W21" i="38"/>
  <c r="W22" i="38"/>
  <c r="W23" i="38"/>
  <c r="W29" i="38"/>
  <c r="W31" i="38"/>
  <c r="W32" i="38"/>
  <c r="W33" i="38"/>
  <c r="W34" i="38"/>
  <c r="W35" i="38"/>
  <c r="W38" i="38"/>
  <c r="W39" i="38"/>
  <c r="W40" i="38"/>
  <c r="W43" i="38"/>
  <c r="W45" i="38"/>
  <c r="W46" i="38"/>
  <c r="W47" i="38"/>
  <c r="W48" i="38"/>
  <c r="W49" i="38"/>
  <c r="W50" i="38"/>
  <c r="J17" i="38"/>
  <c r="J24" i="38" s="1"/>
  <c r="P28" i="28"/>
  <c r="P27" i="28"/>
  <c r="P26" i="28" s="1"/>
  <c r="P22" i="28"/>
  <c r="P21" i="28"/>
  <c r="P32" i="28"/>
  <c r="P60" i="28" s="1"/>
  <c r="P36" i="28"/>
  <c r="P13" i="28"/>
  <c r="P14" i="28"/>
  <c r="P52" i="28"/>
  <c r="R17" i="38"/>
  <c r="R24" i="38" s="1"/>
  <c r="S28" i="28"/>
  <c r="S27" i="28"/>
  <c r="S26" i="28" s="1"/>
  <c r="S22" i="28"/>
  <c r="S21" i="28"/>
  <c r="S32" i="28"/>
  <c r="S36" i="28"/>
  <c r="S13" i="28"/>
  <c r="S14" i="28"/>
  <c r="S52" i="28"/>
  <c r="U18" i="38"/>
  <c r="U17" i="38"/>
  <c r="U24" i="38" s="1"/>
  <c r="T52" i="28"/>
  <c r="V17" i="38"/>
  <c r="V24" i="38" s="1"/>
  <c r="R12" i="37"/>
  <c r="R15" i="37"/>
  <c r="H40" i="33"/>
  <c r="F40" i="33"/>
  <c r="O3" i="33"/>
  <c r="S11" i="37"/>
  <c r="S15" i="37"/>
  <c r="T11" i="37"/>
  <c r="T15" i="37"/>
  <c r="U11" i="37"/>
  <c r="U12" i="37"/>
  <c r="U15" i="37"/>
  <c r="V11" i="37"/>
  <c r="V15" i="37"/>
  <c r="W11" i="37"/>
  <c r="W15" i="37"/>
  <c r="X11" i="37"/>
  <c r="X12" i="37"/>
  <c r="X15" i="37"/>
  <c r="Y11" i="37"/>
  <c r="Y15" i="37"/>
  <c r="Z11" i="37"/>
  <c r="Z15" i="37"/>
  <c r="S40" i="33"/>
  <c r="R40" i="33"/>
  <c r="AA11" i="37"/>
  <c r="AA12" i="37"/>
  <c r="AA15" i="37"/>
  <c r="T40" i="33"/>
  <c r="U40" i="33"/>
  <c r="D7" i="34"/>
  <c r="D5" i="34"/>
  <c r="D4" i="34"/>
  <c r="H4" i="34"/>
  <c r="H5" i="34"/>
  <c r="F5" i="34"/>
  <c r="R4" i="34"/>
  <c r="V3" i="34"/>
  <c r="D3" i="34"/>
  <c r="R19" i="41"/>
  <c r="R20" i="41"/>
  <c r="P19" i="41"/>
  <c r="Q19" i="41"/>
  <c r="S19" i="41"/>
  <c r="L19" i="41"/>
  <c r="M19" i="41"/>
  <c r="N19" i="41"/>
  <c r="O19" i="41"/>
  <c r="H19" i="41"/>
  <c r="I19" i="41"/>
  <c r="J19" i="41"/>
  <c r="K19" i="41"/>
  <c r="J20" i="41"/>
  <c r="U13" i="41"/>
  <c r="U21" i="41"/>
  <c r="U6" i="41"/>
  <c r="U7" i="41"/>
  <c r="U8" i="41"/>
  <c r="U9" i="41"/>
  <c r="U10" i="41"/>
  <c r="U11" i="41"/>
  <c r="U12" i="41"/>
  <c r="U14" i="41"/>
  <c r="U15" i="41"/>
  <c r="U16" i="41"/>
  <c r="U17" i="41"/>
  <c r="U18" i="41"/>
  <c r="U20" i="41"/>
  <c r="G21" i="41"/>
  <c r="H21" i="41"/>
  <c r="I21" i="41"/>
  <c r="J21" i="41"/>
  <c r="L21" i="41"/>
  <c r="M21" i="41"/>
  <c r="N21" i="41"/>
  <c r="P21" i="41"/>
  <c r="Q21" i="41"/>
  <c r="R21" i="41"/>
  <c r="F21" i="41"/>
  <c r="H20" i="41"/>
  <c r="I20" i="41"/>
  <c r="L20" i="41"/>
  <c r="M20" i="41"/>
  <c r="N20" i="41"/>
  <c r="P20" i="41"/>
  <c r="Q20" i="41"/>
  <c r="F20" i="41"/>
  <c r="E21" i="41"/>
  <c r="D21" i="41"/>
  <c r="U19" i="41"/>
  <c r="L15" i="40"/>
  <c r="H28" i="28"/>
  <c r="J9" i="3"/>
  <c r="G41" i="40"/>
  <c r="H13" i="28"/>
  <c r="H14" i="28"/>
  <c r="G4" i="34"/>
  <c r="H22" i="28"/>
  <c r="H21" i="28"/>
  <c r="K4" i="34"/>
  <c r="S4" i="34"/>
  <c r="T4" i="34"/>
  <c r="F24" i="28"/>
  <c r="F25" i="28"/>
  <c r="F23" i="28"/>
  <c r="G24" i="28"/>
  <c r="G25" i="28"/>
  <c r="G23" i="28"/>
  <c r="G5" i="34"/>
  <c r="H24" i="28"/>
  <c r="H25" i="28"/>
  <c r="H23" i="28"/>
  <c r="I24" i="28"/>
  <c r="I25" i="28"/>
  <c r="I23" i="28"/>
  <c r="J24" i="28"/>
  <c r="J25" i="28"/>
  <c r="J23" i="28"/>
  <c r="K24" i="28"/>
  <c r="K25" i="28"/>
  <c r="K23" i="28"/>
  <c r="K5" i="34"/>
  <c r="L24" i="28"/>
  <c r="L25" i="28"/>
  <c r="L23" i="28"/>
  <c r="M24" i="28"/>
  <c r="M25" i="28"/>
  <c r="M23" i="28"/>
  <c r="N24" i="28"/>
  <c r="N25" i="28"/>
  <c r="N23" i="28"/>
  <c r="O24" i="28"/>
  <c r="O25" i="28"/>
  <c r="O23" i="28"/>
  <c r="P24" i="28"/>
  <c r="P25" i="28"/>
  <c r="P23" i="28"/>
  <c r="Q24" i="28"/>
  <c r="Q25" i="28"/>
  <c r="Q23" i="28"/>
  <c r="R24" i="28"/>
  <c r="R25" i="28"/>
  <c r="R23" i="28"/>
  <c r="S24" i="28"/>
  <c r="S25" i="28"/>
  <c r="S23" i="28"/>
  <c r="T24" i="28"/>
  <c r="T25" i="28"/>
  <c r="T23" i="28"/>
  <c r="T5" i="34"/>
  <c r="U24" i="28"/>
  <c r="U25" i="28"/>
  <c r="U23" i="28"/>
  <c r="H27" i="28"/>
  <c r="H26" i="28" s="1"/>
  <c r="H32" i="28"/>
  <c r="H60" i="28" s="1"/>
  <c r="H36" i="28"/>
  <c r="H52" i="28"/>
  <c r="F60" i="28"/>
  <c r="G60" i="28"/>
  <c r="I60" i="28"/>
  <c r="J60" i="28"/>
  <c r="L60" i="28"/>
  <c r="M60" i="28"/>
  <c r="N60" i="28"/>
  <c r="O60" i="28"/>
  <c r="Q60" i="28"/>
  <c r="R60" i="28"/>
  <c r="S60" i="28"/>
  <c r="E60" i="28"/>
  <c r="E25" i="28"/>
  <c r="E24" i="28"/>
  <c r="T6" i="34"/>
  <c r="T7" i="34"/>
  <c r="T8" i="34"/>
  <c r="T11" i="34"/>
  <c r="T12" i="34"/>
  <c r="T13" i="34"/>
  <c r="T14" i="34"/>
  <c r="T16" i="34"/>
  <c r="T17" i="34"/>
  <c r="T18" i="34"/>
  <c r="T20" i="34"/>
  <c r="T21" i="34"/>
  <c r="T22" i="34"/>
  <c r="T23" i="34"/>
  <c r="T24" i="34"/>
  <c r="T25" i="34"/>
  <c r="F3" i="34"/>
  <c r="G3" i="34"/>
  <c r="R3" i="34"/>
  <c r="S3" i="34"/>
  <c r="H3" i="34"/>
  <c r="K3" i="34"/>
  <c r="T3" i="34"/>
  <c r="E23" i="28"/>
  <c r="R19" i="40"/>
  <c r="Q19" i="40"/>
  <c r="P19" i="40"/>
  <c r="R18" i="40"/>
  <c r="Q18" i="40"/>
  <c r="P18" i="40"/>
  <c r="R17" i="40"/>
  <c r="Q17" i="40"/>
  <c r="S17" i="40"/>
  <c r="P17" i="40"/>
  <c r="R16" i="40"/>
  <c r="Q16" i="40"/>
  <c r="P16" i="40"/>
  <c r="S16" i="40"/>
  <c r="R15" i="40"/>
  <c r="Q15" i="40"/>
  <c r="P15" i="40"/>
  <c r="R14" i="40"/>
  <c r="S14" i="40"/>
  <c r="Q14" i="40"/>
  <c r="P14" i="40"/>
  <c r="R13" i="40"/>
  <c r="Q13" i="40"/>
  <c r="Q21" i="40"/>
  <c r="P13" i="40"/>
  <c r="R12" i="40"/>
  <c r="Q12" i="40"/>
  <c r="P12" i="40"/>
  <c r="S12" i="40"/>
  <c r="R11" i="40"/>
  <c r="Q11" i="40"/>
  <c r="P11" i="40"/>
  <c r="R10" i="40"/>
  <c r="S10" i="40"/>
  <c r="Q10" i="40"/>
  <c r="P10" i="40"/>
  <c r="R9" i="40"/>
  <c r="Q9" i="40"/>
  <c r="S9" i="40"/>
  <c r="P9" i="40"/>
  <c r="R8" i="40"/>
  <c r="Q8" i="40"/>
  <c r="P8" i="40"/>
  <c r="R7" i="40"/>
  <c r="Q7" i="40"/>
  <c r="P7" i="40"/>
  <c r="R6" i="40"/>
  <c r="S6" i="40"/>
  <c r="Q6" i="40"/>
  <c r="P6" i="40"/>
  <c r="N19" i="40"/>
  <c r="M19" i="40"/>
  <c r="L19" i="40"/>
  <c r="N18" i="40"/>
  <c r="M18" i="40"/>
  <c r="L18" i="40"/>
  <c r="N17" i="40"/>
  <c r="M17" i="40"/>
  <c r="L17" i="40"/>
  <c r="N16" i="40"/>
  <c r="M16" i="40"/>
  <c r="L16" i="40"/>
  <c r="O16" i="40"/>
  <c r="N15" i="40"/>
  <c r="M15" i="40"/>
  <c r="N14" i="40"/>
  <c r="O14" i="40"/>
  <c r="M14" i="40"/>
  <c r="L14" i="40"/>
  <c r="N13" i="40"/>
  <c r="M13" i="40"/>
  <c r="M21" i="40"/>
  <c r="L13" i="40"/>
  <c r="N12" i="40"/>
  <c r="M12" i="40"/>
  <c r="L12" i="40"/>
  <c r="O12" i="40"/>
  <c r="N11" i="40"/>
  <c r="M11" i="40"/>
  <c r="L11" i="40"/>
  <c r="N10" i="40"/>
  <c r="O10" i="40"/>
  <c r="M10" i="40"/>
  <c r="L10" i="40"/>
  <c r="N9" i="40"/>
  <c r="M9" i="40"/>
  <c r="O9" i="40"/>
  <c r="L9" i="40"/>
  <c r="N8" i="40"/>
  <c r="M8" i="40"/>
  <c r="L8" i="40"/>
  <c r="O8" i="40"/>
  <c r="N7" i="40"/>
  <c r="M7" i="40"/>
  <c r="L7" i="40"/>
  <c r="N6" i="40"/>
  <c r="O6" i="40"/>
  <c r="M6" i="40"/>
  <c r="L6" i="40"/>
  <c r="J19" i="40"/>
  <c r="I19" i="40"/>
  <c r="H19" i="40"/>
  <c r="J18" i="40"/>
  <c r="K18" i="40"/>
  <c r="I18" i="40"/>
  <c r="H18" i="40"/>
  <c r="J17" i="40"/>
  <c r="I17" i="40"/>
  <c r="H17" i="40"/>
  <c r="J16" i="40"/>
  <c r="I16" i="40"/>
  <c r="H16" i="40"/>
  <c r="K16" i="40"/>
  <c r="J15" i="40"/>
  <c r="I15" i="40"/>
  <c r="H15" i="40"/>
  <c r="J14" i="40"/>
  <c r="K14" i="40"/>
  <c r="I14" i="40"/>
  <c r="H14" i="40"/>
  <c r="J13" i="40"/>
  <c r="I13" i="40"/>
  <c r="I21" i="40"/>
  <c r="H13" i="40"/>
  <c r="J12" i="40"/>
  <c r="I12" i="40"/>
  <c r="H12" i="40"/>
  <c r="J11" i="40"/>
  <c r="I11" i="40"/>
  <c r="H11" i="40"/>
  <c r="J10" i="40"/>
  <c r="I10" i="40"/>
  <c r="H10" i="40"/>
  <c r="J9" i="40"/>
  <c r="I9" i="40"/>
  <c r="K9" i="40"/>
  <c r="H9" i="40"/>
  <c r="J8" i="40"/>
  <c r="I8" i="40"/>
  <c r="H8" i="40"/>
  <c r="K8" i="40"/>
  <c r="J7" i="40"/>
  <c r="I7" i="40"/>
  <c r="H7" i="40"/>
  <c r="J6" i="40"/>
  <c r="K6" i="40"/>
  <c r="I6" i="40"/>
  <c r="H6" i="40"/>
  <c r="E6" i="40"/>
  <c r="F6" i="40"/>
  <c r="E7" i="40"/>
  <c r="F7" i="40"/>
  <c r="G7" i="40"/>
  <c r="E8" i="40"/>
  <c r="F8" i="40"/>
  <c r="E9" i="40"/>
  <c r="F9" i="40"/>
  <c r="G9" i="40"/>
  <c r="E10" i="40"/>
  <c r="F10" i="40"/>
  <c r="E11" i="40"/>
  <c r="F11" i="40"/>
  <c r="E12" i="40"/>
  <c r="F12" i="40"/>
  <c r="E13" i="40"/>
  <c r="F13" i="40"/>
  <c r="F21" i="40"/>
  <c r="E14" i="40"/>
  <c r="E20" i="40"/>
  <c r="F14" i="40"/>
  <c r="E15" i="40"/>
  <c r="F15" i="40"/>
  <c r="G15" i="40"/>
  <c r="E16" i="40"/>
  <c r="F16" i="40"/>
  <c r="E17" i="40"/>
  <c r="F17" i="40"/>
  <c r="E18" i="40"/>
  <c r="F18" i="40"/>
  <c r="E19" i="40"/>
  <c r="F19" i="40"/>
  <c r="G19" i="40"/>
  <c r="D7" i="40"/>
  <c r="D8" i="40"/>
  <c r="D9" i="40"/>
  <c r="D10" i="40"/>
  <c r="G10" i="40"/>
  <c r="D11" i="40"/>
  <c r="D12" i="40"/>
  <c r="D13" i="40"/>
  <c r="D14" i="40"/>
  <c r="G14" i="40"/>
  <c r="D15" i="40"/>
  <c r="D16" i="40"/>
  <c r="D17" i="40"/>
  <c r="D18" i="40"/>
  <c r="G18" i="40"/>
  <c r="D19" i="40"/>
  <c r="G11" i="40"/>
  <c r="F20" i="40"/>
  <c r="D21" i="40"/>
  <c r="E21" i="40"/>
  <c r="S19" i="40"/>
  <c r="O19" i="40"/>
  <c r="K19" i="40"/>
  <c r="S18" i="40"/>
  <c r="O18" i="40"/>
  <c r="O17" i="40"/>
  <c r="K17" i="40"/>
  <c r="G17" i="40"/>
  <c r="G16" i="40"/>
  <c r="S15" i="40"/>
  <c r="O15" i="40"/>
  <c r="K15" i="40"/>
  <c r="R21" i="40"/>
  <c r="P21" i="40"/>
  <c r="N21" i="40"/>
  <c r="L21" i="40"/>
  <c r="J21" i="40"/>
  <c r="H21" i="40"/>
  <c r="K12" i="40"/>
  <c r="G12" i="40"/>
  <c r="S11" i="40"/>
  <c r="O11" i="40"/>
  <c r="K11" i="40"/>
  <c r="K10" i="40"/>
  <c r="S8" i="40"/>
  <c r="G8" i="40"/>
  <c r="S7" i="40"/>
  <c r="O7" i="40"/>
  <c r="K7" i="40"/>
  <c r="P20" i="40"/>
  <c r="L20" i="40"/>
  <c r="H20" i="40"/>
  <c r="E27" i="40"/>
  <c r="F27" i="40"/>
  <c r="H27" i="40"/>
  <c r="I27" i="40"/>
  <c r="J27" i="40"/>
  <c r="L27" i="40"/>
  <c r="M27" i="40"/>
  <c r="N27" i="40"/>
  <c r="P27" i="40"/>
  <c r="Q27" i="40"/>
  <c r="R27" i="40"/>
  <c r="D28" i="40"/>
  <c r="E28" i="40"/>
  <c r="F28" i="40"/>
  <c r="H28" i="40"/>
  <c r="I28" i="40"/>
  <c r="J28" i="40"/>
  <c r="L28" i="40"/>
  <c r="M28" i="40"/>
  <c r="N28" i="40"/>
  <c r="P28" i="40"/>
  <c r="Q28" i="40"/>
  <c r="R28" i="40"/>
  <c r="D29" i="40"/>
  <c r="E29" i="40"/>
  <c r="F29" i="40"/>
  <c r="H29" i="40"/>
  <c r="I29" i="40"/>
  <c r="J29" i="40"/>
  <c r="L29" i="40"/>
  <c r="M29" i="40"/>
  <c r="N29" i="40"/>
  <c r="P29" i="40"/>
  <c r="Q29" i="40"/>
  <c r="R29" i="40"/>
  <c r="D30" i="40"/>
  <c r="E30" i="40"/>
  <c r="F30" i="40"/>
  <c r="H30" i="40"/>
  <c r="I30" i="40"/>
  <c r="J30" i="40"/>
  <c r="L30" i="40"/>
  <c r="M30" i="40"/>
  <c r="N30" i="40"/>
  <c r="P30" i="40"/>
  <c r="Q30" i="40"/>
  <c r="R30" i="40"/>
  <c r="D31" i="40"/>
  <c r="E31" i="40"/>
  <c r="F31" i="40"/>
  <c r="H31" i="40"/>
  <c r="I31" i="40"/>
  <c r="J31" i="40"/>
  <c r="L31" i="40"/>
  <c r="M31" i="40"/>
  <c r="N31" i="40"/>
  <c r="P31" i="40"/>
  <c r="Q31" i="40"/>
  <c r="R31" i="40"/>
  <c r="D32" i="40"/>
  <c r="E32" i="40"/>
  <c r="F32" i="40"/>
  <c r="H32" i="40"/>
  <c r="I32" i="40"/>
  <c r="J32" i="40"/>
  <c r="L32" i="40"/>
  <c r="M32" i="40"/>
  <c r="N32" i="40"/>
  <c r="P32" i="40"/>
  <c r="Q32" i="40"/>
  <c r="R32" i="40"/>
  <c r="D33" i="40"/>
  <c r="E33" i="40"/>
  <c r="F33" i="40"/>
  <c r="H33" i="40"/>
  <c r="I33" i="40"/>
  <c r="J33" i="40"/>
  <c r="L33" i="40"/>
  <c r="M33" i="40"/>
  <c r="N33" i="40"/>
  <c r="P33" i="40"/>
  <c r="Q33" i="40"/>
  <c r="R33" i="40"/>
  <c r="D34" i="40"/>
  <c r="E34" i="40"/>
  <c r="F34" i="40"/>
  <c r="H34" i="40"/>
  <c r="I34" i="40"/>
  <c r="J34" i="40"/>
  <c r="L34" i="40"/>
  <c r="M34" i="40"/>
  <c r="N34" i="40"/>
  <c r="P34" i="40"/>
  <c r="Q34" i="40"/>
  <c r="R34" i="40"/>
  <c r="D35" i="40"/>
  <c r="E35" i="40"/>
  <c r="F35" i="40"/>
  <c r="H35" i="40"/>
  <c r="I35" i="40"/>
  <c r="J35" i="40"/>
  <c r="L35" i="40"/>
  <c r="M35" i="40"/>
  <c r="N35" i="40"/>
  <c r="P35" i="40"/>
  <c r="Q35" i="40"/>
  <c r="R35" i="40"/>
  <c r="D36" i="40"/>
  <c r="E36" i="40"/>
  <c r="F36" i="40"/>
  <c r="H36" i="40"/>
  <c r="I36" i="40"/>
  <c r="J36" i="40"/>
  <c r="L36" i="40"/>
  <c r="M36" i="40"/>
  <c r="N36" i="40"/>
  <c r="P36" i="40"/>
  <c r="Q36" i="40"/>
  <c r="R36" i="40"/>
  <c r="D37" i="40"/>
  <c r="E37" i="40"/>
  <c r="F37" i="40"/>
  <c r="H37" i="40"/>
  <c r="I37" i="40"/>
  <c r="J37" i="40"/>
  <c r="L37" i="40"/>
  <c r="M37" i="40"/>
  <c r="N37" i="40"/>
  <c r="P37" i="40"/>
  <c r="Q37" i="40"/>
  <c r="R37" i="40"/>
  <c r="D38" i="40"/>
  <c r="E38" i="40"/>
  <c r="F38" i="40"/>
  <c r="H38" i="40"/>
  <c r="I38" i="40"/>
  <c r="J38" i="40"/>
  <c r="L38" i="40"/>
  <c r="M38" i="40"/>
  <c r="N38" i="40"/>
  <c r="P38" i="40"/>
  <c r="Q38" i="40"/>
  <c r="R38" i="40"/>
  <c r="D39" i="40"/>
  <c r="E39" i="40"/>
  <c r="F39" i="40"/>
  <c r="H39" i="40"/>
  <c r="I39" i="40"/>
  <c r="J39" i="40"/>
  <c r="L39" i="40"/>
  <c r="M39" i="40"/>
  <c r="N39" i="40"/>
  <c r="P39" i="40"/>
  <c r="Q39" i="40"/>
  <c r="R39" i="40"/>
  <c r="D40" i="40"/>
  <c r="E40" i="40"/>
  <c r="F40" i="40"/>
  <c r="H40" i="40"/>
  <c r="I40" i="40"/>
  <c r="J40" i="40"/>
  <c r="L40" i="40"/>
  <c r="M40" i="40"/>
  <c r="N40" i="40"/>
  <c r="P40" i="40"/>
  <c r="Q40" i="40"/>
  <c r="R40" i="40"/>
  <c r="Q20" i="40"/>
  <c r="R20" i="40"/>
  <c r="T19" i="40"/>
  <c r="M20" i="40"/>
  <c r="N20" i="40"/>
  <c r="I20" i="40"/>
  <c r="T9" i="40"/>
  <c r="J20" i="40"/>
  <c r="T17" i="40"/>
  <c r="D20" i="40"/>
  <c r="G6" i="40"/>
  <c r="T15" i="40"/>
  <c r="T14" i="40"/>
  <c r="T16" i="40"/>
  <c r="T18" i="40"/>
  <c r="T8" i="40"/>
  <c r="T10" i="40"/>
  <c r="T11" i="40"/>
  <c r="T12" i="40"/>
  <c r="T7" i="40"/>
  <c r="T6" i="40"/>
  <c r="G13" i="40"/>
  <c r="G20" i="40"/>
  <c r="K13" i="40"/>
  <c r="K21" i="40"/>
  <c r="O13" i="40"/>
  <c r="O21" i="40"/>
  <c r="S13" i="40"/>
  <c r="S21" i="40"/>
  <c r="K39" i="40"/>
  <c r="K35" i="40"/>
  <c r="K31" i="40"/>
  <c r="K27" i="40"/>
  <c r="O39" i="40"/>
  <c r="O31" i="40"/>
  <c r="S39" i="40"/>
  <c r="S35" i="40"/>
  <c r="T35" i="40"/>
  <c r="S31" i="40"/>
  <c r="S27" i="40"/>
  <c r="O35" i="40"/>
  <c r="O27" i="40"/>
  <c r="G39" i="40"/>
  <c r="G35" i="40"/>
  <c r="G31" i="40"/>
  <c r="O40" i="40"/>
  <c r="K38" i="40"/>
  <c r="K37" i="40"/>
  <c r="O36" i="40"/>
  <c r="K34" i="40"/>
  <c r="K33" i="40"/>
  <c r="O32" i="40"/>
  <c r="K30" i="40"/>
  <c r="K29" i="40"/>
  <c r="O28" i="40"/>
  <c r="S40" i="40"/>
  <c r="S36" i="40"/>
  <c r="O34" i="40"/>
  <c r="S32" i="40"/>
  <c r="O30" i="40"/>
  <c r="O29" i="40"/>
  <c r="G40" i="40"/>
  <c r="S38" i="40"/>
  <c r="S37" i="40"/>
  <c r="G36" i="40"/>
  <c r="S34" i="40"/>
  <c r="S33" i="40"/>
  <c r="G32" i="40"/>
  <c r="S30" i="40"/>
  <c r="S29" i="40"/>
  <c r="G28" i="40"/>
  <c r="O38" i="40"/>
  <c r="O37" i="40"/>
  <c r="O33" i="40"/>
  <c r="S28" i="40"/>
  <c r="K40" i="40"/>
  <c r="G38" i="40"/>
  <c r="G37" i="40"/>
  <c r="K36" i="40"/>
  <c r="G34" i="40"/>
  <c r="G33" i="40"/>
  <c r="K32" i="40"/>
  <c r="G30" i="40"/>
  <c r="G29" i="40"/>
  <c r="K28" i="40"/>
  <c r="S20" i="40"/>
  <c r="O20" i="40"/>
  <c r="K20" i="40"/>
  <c r="T13" i="40"/>
  <c r="T21" i="40"/>
  <c r="G21" i="40"/>
  <c r="T34" i="40"/>
  <c r="T31" i="40"/>
  <c r="T39" i="40"/>
  <c r="T30" i="40"/>
  <c r="T29" i="40"/>
  <c r="T37" i="40"/>
  <c r="T33" i="40"/>
  <c r="T36" i="40"/>
  <c r="T28" i="40"/>
  <c r="T32" i="40"/>
  <c r="T38" i="40"/>
  <c r="T40" i="40"/>
  <c r="T20" i="40"/>
  <c r="T61" i="14"/>
  <c r="T62" i="14"/>
  <c r="T63" i="14"/>
  <c r="T64" i="14"/>
  <c r="T65" i="14"/>
  <c r="T66" i="14"/>
  <c r="T67" i="14"/>
  <c r="T68" i="14"/>
  <c r="T69" i="14"/>
  <c r="T70" i="14"/>
  <c r="T71" i="14"/>
  <c r="T72" i="14"/>
  <c r="T73" i="14"/>
  <c r="T74" i="14"/>
  <c r="T75" i="14"/>
  <c r="T60" i="14"/>
  <c r="T43" i="14"/>
  <c r="T44" i="14"/>
  <c r="T45" i="14"/>
  <c r="T46" i="14"/>
  <c r="T47" i="14"/>
  <c r="T48" i="14"/>
  <c r="T49" i="14"/>
  <c r="T50" i="14"/>
  <c r="T51" i="14"/>
  <c r="T52" i="14"/>
  <c r="T53" i="14"/>
  <c r="T54" i="14"/>
  <c r="T55" i="14"/>
  <c r="T56" i="14"/>
  <c r="T57" i="14"/>
  <c r="T42" i="14"/>
  <c r="T25" i="14"/>
  <c r="T26" i="14"/>
  <c r="T27" i="14"/>
  <c r="T28" i="14"/>
  <c r="T29" i="14"/>
  <c r="T30" i="14"/>
  <c r="T31" i="14"/>
  <c r="T32" i="14"/>
  <c r="T33" i="14"/>
  <c r="T34" i="14"/>
  <c r="T35" i="14"/>
  <c r="T36" i="14"/>
  <c r="T37" i="14"/>
  <c r="T38" i="14"/>
  <c r="T39" i="14"/>
  <c r="T24" i="14"/>
  <c r="I39" i="33"/>
  <c r="M39" i="33"/>
  <c r="Q39" i="33"/>
  <c r="U39" i="33"/>
  <c r="V39" i="33"/>
  <c r="J44" i="38"/>
  <c r="J51" i="38" s="1"/>
  <c r="N44" i="38"/>
  <c r="N51" i="38" s="1"/>
  <c r="R44" i="38"/>
  <c r="R51" i="38" s="1"/>
  <c r="U44" i="38"/>
  <c r="V44" i="38"/>
  <c r="V51" i="38" s="1"/>
  <c r="J41" i="38"/>
  <c r="N41" i="38"/>
  <c r="R41" i="38"/>
  <c r="U41" i="38"/>
  <c r="V41" i="38"/>
  <c r="T7" i="14"/>
  <c r="T8" i="14"/>
  <c r="T9" i="14"/>
  <c r="T10" i="14"/>
  <c r="T11" i="14"/>
  <c r="T12" i="14"/>
  <c r="T13" i="14"/>
  <c r="T14" i="14"/>
  <c r="T15" i="14"/>
  <c r="T16" i="14"/>
  <c r="T17" i="14"/>
  <c r="T18" i="14"/>
  <c r="T19" i="14"/>
  <c r="T20" i="14"/>
  <c r="T21" i="14"/>
  <c r="T6" i="14"/>
  <c r="AH7" i="14"/>
  <c r="AI7" i="14"/>
  <c r="AH8" i="14"/>
  <c r="AH9" i="14"/>
  <c r="AI8" i="14"/>
  <c r="AG8" i="14"/>
  <c r="AG9" i="14"/>
  <c r="AG7" i="14"/>
  <c r="AE7" i="14"/>
  <c r="AF7" i="14"/>
  <c r="AE8" i="14"/>
  <c r="AE9" i="14"/>
  <c r="AF8" i="14"/>
  <c r="AF9" i="14"/>
  <c r="AD8" i="14"/>
  <c r="AD7" i="14"/>
  <c r="S25" i="34"/>
  <c r="S24" i="34"/>
  <c r="S23" i="34"/>
  <c r="S22" i="34"/>
  <c r="S21" i="34"/>
  <c r="S20" i="34"/>
  <c r="S18" i="34"/>
  <c r="S17" i="34"/>
  <c r="S16" i="34"/>
  <c r="S14" i="34"/>
  <c r="S13" i="34"/>
  <c r="S12" i="34"/>
  <c r="S11" i="34"/>
  <c r="S8" i="34"/>
  <c r="S7" i="34"/>
  <c r="S6" i="34"/>
  <c r="S5" i="34"/>
  <c r="O25" i="34"/>
  <c r="O24" i="34"/>
  <c r="O23" i="34"/>
  <c r="O22" i="34"/>
  <c r="O21" i="34"/>
  <c r="O20" i="34"/>
  <c r="O18" i="34"/>
  <c r="O17" i="34"/>
  <c r="O16" i="34"/>
  <c r="O14" i="34"/>
  <c r="O13" i="34"/>
  <c r="O12" i="34"/>
  <c r="O11" i="34"/>
  <c r="O8" i="34"/>
  <c r="O7" i="34"/>
  <c r="O6" i="34"/>
  <c r="O5" i="34"/>
  <c r="O4" i="34"/>
  <c r="O3" i="34"/>
  <c r="K25" i="34"/>
  <c r="K24" i="34"/>
  <c r="K23" i="34"/>
  <c r="K22" i="34"/>
  <c r="K21" i="34"/>
  <c r="K20" i="34"/>
  <c r="K18" i="34"/>
  <c r="K17" i="34"/>
  <c r="K16" i="34"/>
  <c r="K14" i="34"/>
  <c r="K13" i="34"/>
  <c r="K12" i="34"/>
  <c r="K11" i="34"/>
  <c r="K8" i="34"/>
  <c r="K7" i="34"/>
  <c r="K6" i="34"/>
  <c r="G16" i="34"/>
  <c r="G17" i="34"/>
  <c r="G18" i="34"/>
  <c r="G20" i="34"/>
  <c r="G21" i="34"/>
  <c r="G22" i="34"/>
  <c r="G23" i="34"/>
  <c r="G24" i="34"/>
  <c r="G25" i="34"/>
  <c r="G14" i="34"/>
  <c r="G13" i="34"/>
  <c r="G12" i="34"/>
  <c r="G11" i="34"/>
  <c r="G8" i="34"/>
  <c r="G7" i="34"/>
  <c r="G6" i="34"/>
  <c r="AB7" i="14"/>
  <c r="AC7" i="14"/>
  <c r="AB8" i="14"/>
  <c r="AC8" i="14"/>
  <c r="AA8" i="14"/>
  <c r="AA9" i="14"/>
  <c r="AB9" i="14"/>
  <c r="AC9" i="14"/>
  <c r="AD9" i="14"/>
  <c r="AI9" i="14"/>
  <c r="AA7" i="14"/>
  <c r="Y7" i="14"/>
  <c r="Z7" i="14"/>
  <c r="Y8" i="14"/>
  <c r="Z8" i="14"/>
  <c r="Z9" i="14"/>
  <c r="Y9" i="14"/>
  <c r="X8" i="14"/>
  <c r="X9" i="14"/>
  <c r="E57" i="14"/>
  <c r="F57" i="14"/>
  <c r="D57" i="14"/>
  <c r="F56" i="14"/>
  <c r="E56" i="14"/>
  <c r="D56" i="14"/>
  <c r="X7" i="14"/>
  <c r="AJ10" i="14"/>
  <c r="AJ11" i="14"/>
  <c r="AJ14" i="14"/>
  <c r="W42" i="38"/>
  <c r="W37" i="38"/>
  <c r="W15" i="38"/>
  <c r="BB14" i="37"/>
  <c r="AO14" i="37"/>
  <c r="AB14" i="37"/>
  <c r="O14" i="37"/>
  <c r="BB7" i="37"/>
  <c r="AO7" i="37"/>
  <c r="AB7" i="37"/>
  <c r="G42" i="33"/>
  <c r="E5" i="32"/>
  <c r="J42" i="33"/>
  <c r="H5" i="32"/>
  <c r="K42" i="33"/>
  <c r="I5" i="32"/>
  <c r="N42" i="33"/>
  <c r="L5" i="32"/>
  <c r="O42" i="33"/>
  <c r="M5" i="32"/>
  <c r="R42" i="33"/>
  <c r="P5" i="32"/>
  <c r="S42" i="33"/>
  <c r="Q5" i="32"/>
  <c r="F42" i="33"/>
  <c r="D5" i="32"/>
  <c r="Q14" i="37"/>
  <c r="R14" i="37"/>
  <c r="S14" i="37"/>
  <c r="T14" i="37"/>
  <c r="U14" i="37"/>
  <c r="V14" i="37"/>
  <c r="W14" i="37"/>
  <c r="X14" i="37"/>
  <c r="Y14" i="37"/>
  <c r="Z14" i="37"/>
  <c r="AA14" i="37"/>
  <c r="P14" i="37"/>
  <c r="Q7" i="37"/>
  <c r="R7" i="37"/>
  <c r="S7" i="37"/>
  <c r="T7" i="37"/>
  <c r="U7" i="37"/>
  <c r="V7" i="37"/>
  <c r="W7" i="37"/>
  <c r="X7" i="37"/>
  <c r="Y7" i="37"/>
  <c r="Z7" i="37"/>
  <c r="AA7" i="37"/>
  <c r="P7" i="37"/>
  <c r="O7" i="37"/>
  <c r="M7" i="37"/>
  <c r="N7" i="37"/>
  <c r="L7" i="37"/>
  <c r="Q12" i="37"/>
  <c r="S12" i="37"/>
  <c r="T12" i="37"/>
  <c r="V12" i="37"/>
  <c r="W12" i="37"/>
  <c r="Y12" i="37"/>
  <c r="Z12" i="37"/>
  <c r="P12" i="37"/>
  <c r="P15" i="37"/>
  <c r="G38" i="33"/>
  <c r="H38" i="33"/>
  <c r="J38" i="33"/>
  <c r="K38" i="33"/>
  <c r="L38" i="33"/>
  <c r="N38" i="33"/>
  <c r="O38" i="33"/>
  <c r="P38" i="33"/>
  <c r="R38" i="33"/>
  <c r="S38" i="33"/>
  <c r="T38" i="33"/>
  <c r="G12" i="44"/>
  <c r="O12" i="44"/>
  <c r="X6" i="44"/>
  <c r="U38" i="33"/>
  <c r="M38" i="33"/>
  <c r="Q38" i="33"/>
  <c r="I38" i="33"/>
  <c r="V38" i="33"/>
  <c r="P16" i="37"/>
  <c r="AJ7" i="14"/>
  <c r="AJ15" i="14"/>
  <c r="AJ9" i="14"/>
  <c r="AJ13" i="14"/>
  <c r="AJ8" i="14"/>
  <c r="AJ12" i="14"/>
  <c r="Q13" i="37"/>
  <c r="R13" i="37"/>
  <c r="S13" i="37"/>
  <c r="T13" i="37"/>
  <c r="U13" i="37"/>
  <c r="V13" i="37"/>
  <c r="W13" i="37"/>
  <c r="X13" i="37"/>
  <c r="Y13" i="37"/>
  <c r="Z13" i="37"/>
  <c r="AA13" i="37"/>
  <c r="P13" i="37"/>
  <c r="AB13" i="37"/>
  <c r="P11" i="37"/>
  <c r="BB15" i="37"/>
  <c r="AO15" i="37"/>
  <c r="BB13" i="37"/>
  <c r="AO13" i="37"/>
  <c r="O13" i="37"/>
  <c r="BB12" i="37"/>
  <c r="AO12" i="37"/>
  <c r="AB12" i="37"/>
  <c r="O12" i="37"/>
  <c r="BB11" i="37"/>
  <c r="X28" i="33"/>
  <c r="X29" i="33"/>
  <c r="X30" i="33"/>
  <c r="X31" i="33"/>
  <c r="X32" i="33"/>
  <c r="X27" i="33"/>
  <c r="X21" i="33"/>
  <c r="X22" i="33"/>
  <c r="AL22" i="33" s="1"/>
  <c r="X23" i="33"/>
  <c r="X24" i="33"/>
  <c r="X25" i="33"/>
  <c r="X26" i="33"/>
  <c r="X20" i="33"/>
  <c r="X6" i="33"/>
  <c r="X7" i="33"/>
  <c r="X8" i="33"/>
  <c r="X9" i="33"/>
  <c r="X10" i="33"/>
  <c r="X11" i="33"/>
  <c r="X12" i="33"/>
  <c r="X13" i="33"/>
  <c r="X14" i="33"/>
  <c r="X15" i="33"/>
  <c r="X16" i="33"/>
  <c r="AG16" i="33" s="1"/>
  <c r="X17" i="33"/>
  <c r="X18" i="33"/>
  <c r="X19" i="33"/>
  <c r="C20" i="33"/>
  <c r="D20" i="33"/>
  <c r="E20" i="33"/>
  <c r="T20" i="33" s="1"/>
  <c r="C21" i="33"/>
  <c r="D21" i="33"/>
  <c r="E21" i="33" s="1"/>
  <c r="C22" i="33"/>
  <c r="D22" i="33"/>
  <c r="F22" i="33" s="1"/>
  <c r="C23" i="33"/>
  <c r="D23" i="33"/>
  <c r="E23" i="33" s="1"/>
  <c r="C24" i="33"/>
  <c r="D24" i="33"/>
  <c r="E24" i="33" s="1"/>
  <c r="C25" i="33"/>
  <c r="D25" i="33"/>
  <c r="E25" i="33" s="1"/>
  <c r="C26" i="33"/>
  <c r="D26" i="33"/>
  <c r="C27" i="33"/>
  <c r="D27" i="33"/>
  <c r="E27" i="33" s="1"/>
  <c r="C28" i="33"/>
  <c r="D28" i="33"/>
  <c r="F28" i="33" s="1"/>
  <c r="Y28" i="33" s="1"/>
  <c r="C29" i="33"/>
  <c r="D29" i="33"/>
  <c r="N29" i="33" s="1"/>
  <c r="C30" i="33"/>
  <c r="D30" i="33"/>
  <c r="F30" i="33" s="1"/>
  <c r="Y30" i="33" s="1"/>
  <c r="C31" i="33"/>
  <c r="D31" i="33"/>
  <c r="E31" i="33" s="1"/>
  <c r="C32" i="33"/>
  <c r="D32" i="33"/>
  <c r="C6" i="33"/>
  <c r="D6" i="33"/>
  <c r="E6" i="33" s="1"/>
  <c r="C7" i="33"/>
  <c r="D7" i="33"/>
  <c r="E7" i="33" s="1"/>
  <c r="C8" i="33"/>
  <c r="D8" i="33"/>
  <c r="F8" i="33" s="1"/>
  <c r="C9" i="33"/>
  <c r="D9" i="33"/>
  <c r="K9" i="33" s="1"/>
  <c r="AD9" i="33" s="1"/>
  <c r="C10" i="33"/>
  <c r="D10" i="33"/>
  <c r="F10" i="33" s="1"/>
  <c r="E10" i="33"/>
  <c r="G10" i="33" s="1"/>
  <c r="C11" i="33"/>
  <c r="D11" i="33"/>
  <c r="E11" i="33" s="1"/>
  <c r="T11" i="33" s="1"/>
  <c r="AM11" i="33" s="1"/>
  <c r="C12" i="33"/>
  <c r="D12" i="33"/>
  <c r="C13" i="33"/>
  <c r="D13" i="33"/>
  <c r="N13" i="33" s="1"/>
  <c r="AG13" i="33" s="1"/>
  <c r="C14" i="33"/>
  <c r="D14" i="33"/>
  <c r="E14" i="33" s="1"/>
  <c r="C15" i="33"/>
  <c r="D15" i="33"/>
  <c r="C16" i="33"/>
  <c r="D16" i="33"/>
  <c r="E16" i="33" s="1"/>
  <c r="C17" i="33"/>
  <c r="D17" i="33"/>
  <c r="P17" i="33" s="1"/>
  <c r="AI17" i="33" s="1"/>
  <c r="C18" i="33"/>
  <c r="D18" i="33"/>
  <c r="F18" i="33" s="1"/>
  <c r="C19" i="33"/>
  <c r="D19" i="33"/>
  <c r="E19" i="33" s="1"/>
  <c r="T19" i="33" s="1"/>
  <c r="AM19" i="33" s="1"/>
  <c r="D5" i="33"/>
  <c r="C5" i="33"/>
  <c r="G3" i="33"/>
  <c r="H3" i="33"/>
  <c r="J3" i="33"/>
  <c r="K3" i="33"/>
  <c r="K23" i="33"/>
  <c r="L3" i="33"/>
  <c r="N3" i="33"/>
  <c r="P3" i="33"/>
  <c r="R3" i="33"/>
  <c r="S3" i="33"/>
  <c r="T3" i="33"/>
  <c r="Q5" i="37"/>
  <c r="R5" i="37"/>
  <c r="S5" i="37"/>
  <c r="T5" i="37"/>
  <c r="U5" i="37"/>
  <c r="V5" i="37"/>
  <c r="W5" i="37"/>
  <c r="X5" i="37"/>
  <c r="Y5" i="37"/>
  <c r="Z5" i="37"/>
  <c r="AA5" i="37"/>
  <c r="Q6" i="37"/>
  <c r="R6" i="37"/>
  <c r="S6" i="37"/>
  <c r="T6" i="37"/>
  <c r="U6" i="37"/>
  <c r="V6" i="37"/>
  <c r="W6" i="37"/>
  <c r="X6" i="37"/>
  <c r="Y6" i="37"/>
  <c r="Z6" i="37"/>
  <c r="AA6" i="37"/>
  <c r="P6" i="37"/>
  <c r="N8" i="31"/>
  <c r="N10" i="31"/>
  <c r="O8" i="31"/>
  <c r="N6" i="37"/>
  <c r="M8" i="31"/>
  <c r="L6" i="37"/>
  <c r="M5" i="37"/>
  <c r="N5" i="37"/>
  <c r="L5" i="37"/>
  <c r="O5" i="37"/>
  <c r="BB8" i="37"/>
  <c r="BB6" i="37"/>
  <c r="BB5" i="37"/>
  <c r="BB4" i="37"/>
  <c r="AO5" i="37"/>
  <c r="AO6" i="37"/>
  <c r="AO8" i="37"/>
  <c r="P17" i="31"/>
  <c r="D3" i="31"/>
  <c r="E12" i="31"/>
  <c r="F12" i="31"/>
  <c r="D12" i="31"/>
  <c r="O10" i="31"/>
  <c r="E3" i="31"/>
  <c r="F3" i="31"/>
  <c r="G3" i="31"/>
  <c r="H3" i="31"/>
  <c r="I3" i="31"/>
  <c r="J3" i="31"/>
  <c r="K3" i="31"/>
  <c r="L3" i="31"/>
  <c r="M3" i="31"/>
  <c r="N3" i="31"/>
  <c r="O3" i="31"/>
  <c r="AK7" i="44"/>
  <c r="AL7" i="44"/>
  <c r="AK8" i="44"/>
  <c r="AL8" i="44"/>
  <c r="AK9" i="44"/>
  <c r="AL9" i="44"/>
  <c r="AK10" i="44"/>
  <c r="AL10" i="44"/>
  <c r="AK11" i="44"/>
  <c r="AL11" i="44"/>
  <c r="AK12" i="44"/>
  <c r="AL12" i="44"/>
  <c r="AK13" i="44"/>
  <c r="AL13" i="44"/>
  <c r="AK14" i="44"/>
  <c r="AL14" i="44"/>
  <c r="AL6" i="44"/>
  <c r="AK6" i="44"/>
  <c r="Y14" i="44"/>
  <c r="Z14" i="44"/>
  <c r="AA14" i="44"/>
  <c r="AB14" i="44"/>
  <c r="AC14" i="44"/>
  <c r="AD14" i="44"/>
  <c r="AE14" i="44"/>
  <c r="AF14" i="44"/>
  <c r="AG14" i="44"/>
  <c r="AH14" i="44"/>
  <c r="AI14" i="44"/>
  <c r="X14" i="44"/>
  <c r="AH12" i="44"/>
  <c r="AI12" i="44"/>
  <c r="AH13" i="44"/>
  <c r="AI13" i="44"/>
  <c r="AG13" i="44"/>
  <c r="AG12" i="44"/>
  <c r="AE12" i="44"/>
  <c r="AF12" i="44"/>
  <c r="AE13" i="44"/>
  <c r="AF13" i="44"/>
  <c r="AD13" i="44"/>
  <c r="AD12" i="44"/>
  <c r="AB12" i="44"/>
  <c r="AC12" i="44"/>
  <c r="AB13" i="44"/>
  <c r="AC13" i="44"/>
  <c r="AA13" i="44"/>
  <c r="AA12" i="44"/>
  <c r="Y12" i="44"/>
  <c r="Z12" i="44"/>
  <c r="Y13" i="44"/>
  <c r="Z13" i="44"/>
  <c r="X13" i="44"/>
  <c r="X12" i="44"/>
  <c r="Y11" i="44"/>
  <c r="Z11" i="44"/>
  <c r="AA11" i="44"/>
  <c r="AB11" i="44"/>
  <c r="AC11" i="44"/>
  <c r="AD11" i="44"/>
  <c r="AE11" i="44"/>
  <c r="AF11" i="44"/>
  <c r="AG11" i="44"/>
  <c r="AH11" i="44"/>
  <c r="AI11" i="44"/>
  <c r="X11" i="44"/>
  <c r="AH9" i="44"/>
  <c r="AI9" i="44"/>
  <c r="AH10" i="44"/>
  <c r="AI10" i="44"/>
  <c r="AG10" i="44"/>
  <c r="AG9" i="44"/>
  <c r="AE9" i="44"/>
  <c r="AF9" i="44"/>
  <c r="AE10" i="44"/>
  <c r="AF10" i="44"/>
  <c r="AD10" i="44"/>
  <c r="AD9" i="44"/>
  <c r="AB9" i="44"/>
  <c r="AC9" i="44"/>
  <c r="AB10" i="44"/>
  <c r="AC10" i="44"/>
  <c r="AA9" i="44"/>
  <c r="AA10" i="44"/>
  <c r="AJ11" i="44"/>
  <c r="AJ14" i="44"/>
  <c r="P63" i="40"/>
  <c r="Q63" i="40"/>
  <c r="R63" i="40"/>
  <c r="P64" i="40"/>
  <c r="Q64" i="40"/>
  <c r="R64" i="40"/>
  <c r="P65" i="40"/>
  <c r="Q65" i="40"/>
  <c r="R65" i="40"/>
  <c r="P66" i="40"/>
  <c r="Q66" i="40"/>
  <c r="R66" i="40"/>
  <c r="P67" i="40"/>
  <c r="Q67" i="40"/>
  <c r="R67" i="40"/>
  <c r="P68" i="40"/>
  <c r="Q68" i="40"/>
  <c r="R68" i="40"/>
  <c r="P69" i="40"/>
  <c r="Q69" i="40"/>
  <c r="R69" i="40"/>
  <c r="P70" i="40"/>
  <c r="Q70" i="40"/>
  <c r="R70" i="40"/>
  <c r="P71" i="40"/>
  <c r="Q71" i="40"/>
  <c r="R71" i="40"/>
  <c r="P72" i="40"/>
  <c r="Q72" i="40"/>
  <c r="R72" i="40"/>
  <c r="P73" i="40"/>
  <c r="Q73" i="40"/>
  <c r="R73" i="40"/>
  <c r="P74" i="40"/>
  <c r="Q74" i="40"/>
  <c r="R74" i="40"/>
  <c r="P75" i="40"/>
  <c r="Q75" i="40"/>
  <c r="R75" i="40"/>
  <c r="P76" i="40"/>
  <c r="Q76" i="40"/>
  <c r="R76" i="40"/>
  <c r="L63" i="40"/>
  <c r="M63" i="40"/>
  <c r="N63" i="40"/>
  <c r="L64" i="40"/>
  <c r="M64" i="40"/>
  <c r="N64" i="40"/>
  <c r="L65" i="40"/>
  <c r="M65" i="40"/>
  <c r="N65" i="40"/>
  <c r="L66" i="40"/>
  <c r="M66" i="40"/>
  <c r="N66" i="40"/>
  <c r="L67" i="40"/>
  <c r="M67" i="40"/>
  <c r="N67" i="40"/>
  <c r="L68" i="40"/>
  <c r="M68" i="40"/>
  <c r="N68" i="40"/>
  <c r="L69" i="40"/>
  <c r="M69" i="40"/>
  <c r="N69" i="40"/>
  <c r="L70" i="40"/>
  <c r="M70" i="40"/>
  <c r="N70" i="40"/>
  <c r="L71" i="40"/>
  <c r="M71" i="40"/>
  <c r="N71" i="40"/>
  <c r="L72" i="40"/>
  <c r="M72" i="40"/>
  <c r="N72" i="40"/>
  <c r="L73" i="40"/>
  <c r="M73" i="40"/>
  <c r="N73" i="40"/>
  <c r="L74" i="40"/>
  <c r="M74" i="40"/>
  <c r="N74" i="40"/>
  <c r="L75" i="40"/>
  <c r="M75" i="40"/>
  <c r="N75" i="40"/>
  <c r="L76" i="40"/>
  <c r="M76" i="40"/>
  <c r="N76" i="40"/>
  <c r="H63" i="40"/>
  <c r="I63" i="40"/>
  <c r="J63" i="40"/>
  <c r="H64" i="40"/>
  <c r="I64" i="40"/>
  <c r="J64" i="40"/>
  <c r="H65" i="40"/>
  <c r="I65" i="40"/>
  <c r="J65" i="40"/>
  <c r="H66" i="40"/>
  <c r="I66" i="40"/>
  <c r="J66" i="40"/>
  <c r="H67" i="40"/>
  <c r="I67" i="40"/>
  <c r="J67" i="40"/>
  <c r="H68" i="40"/>
  <c r="I68" i="40"/>
  <c r="J68" i="40"/>
  <c r="H69" i="40"/>
  <c r="I69" i="40"/>
  <c r="J69" i="40"/>
  <c r="H70" i="40"/>
  <c r="I70" i="40"/>
  <c r="J70" i="40"/>
  <c r="H71" i="40"/>
  <c r="I71" i="40"/>
  <c r="J71" i="40"/>
  <c r="H72" i="40"/>
  <c r="I72" i="40"/>
  <c r="J72" i="40"/>
  <c r="H73" i="40"/>
  <c r="I73" i="40"/>
  <c r="J73" i="40"/>
  <c r="H74" i="40"/>
  <c r="I74" i="40"/>
  <c r="J74" i="40"/>
  <c r="H75" i="40"/>
  <c r="I75" i="40"/>
  <c r="J75" i="40"/>
  <c r="H76" i="40"/>
  <c r="I76" i="40"/>
  <c r="J76" i="40"/>
  <c r="E63" i="40"/>
  <c r="F63" i="40"/>
  <c r="E64" i="40"/>
  <c r="F64" i="40"/>
  <c r="E65" i="40"/>
  <c r="F65" i="40"/>
  <c r="E66" i="40"/>
  <c r="F66" i="40"/>
  <c r="E67" i="40"/>
  <c r="F67" i="40"/>
  <c r="E68" i="40"/>
  <c r="F68" i="40"/>
  <c r="E69" i="40"/>
  <c r="F69" i="40"/>
  <c r="E70" i="40"/>
  <c r="F70" i="40"/>
  <c r="E71" i="40"/>
  <c r="F71" i="40"/>
  <c r="E72" i="40"/>
  <c r="F72" i="40"/>
  <c r="E73" i="40"/>
  <c r="F73" i="40"/>
  <c r="E74" i="40"/>
  <c r="F74" i="40"/>
  <c r="E75" i="40"/>
  <c r="F75" i="40"/>
  <c r="E76" i="40"/>
  <c r="F76" i="40"/>
  <c r="D76" i="40"/>
  <c r="D64" i="40"/>
  <c r="D65" i="40"/>
  <c r="D66" i="40"/>
  <c r="D67" i="40"/>
  <c r="D68" i="40"/>
  <c r="D69" i="40"/>
  <c r="D70" i="40"/>
  <c r="D71" i="40"/>
  <c r="D72" i="40"/>
  <c r="D73" i="40"/>
  <c r="D74" i="40"/>
  <c r="D75" i="40"/>
  <c r="D63" i="40"/>
  <c r="P88" i="40"/>
  <c r="Q88" i="40"/>
  <c r="R88" i="40"/>
  <c r="L88" i="40"/>
  <c r="M88" i="40"/>
  <c r="N88" i="40"/>
  <c r="H88" i="40"/>
  <c r="I88" i="40"/>
  <c r="J88" i="40"/>
  <c r="E88" i="40"/>
  <c r="F88" i="40"/>
  <c r="D88" i="40"/>
  <c r="P81" i="40"/>
  <c r="Q81" i="40"/>
  <c r="R81" i="40"/>
  <c r="P82" i="40"/>
  <c r="Q82" i="40"/>
  <c r="R82" i="40"/>
  <c r="P83" i="40"/>
  <c r="Q83" i="40"/>
  <c r="R83" i="40"/>
  <c r="P84" i="40"/>
  <c r="Q84" i="40"/>
  <c r="R84" i="40"/>
  <c r="P85" i="40"/>
  <c r="Q85" i="40"/>
  <c r="R85" i="40"/>
  <c r="P86" i="40"/>
  <c r="Q86" i="40"/>
  <c r="R86" i="40"/>
  <c r="P87" i="40"/>
  <c r="Q87" i="40"/>
  <c r="R87" i="40"/>
  <c r="P89" i="40"/>
  <c r="Q89" i="40"/>
  <c r="R89" i="40"/>
  <c r="P90" i="40"/>
  <c r="Q90" i="40"/>
  <c r="R90" i="40"/>
  <c r="P91" i="40"/>
  <c r="Q91" i="40"/>
  <c r="R91" i="40"/>
  <c r="P92" i="40"/>
  <c r="Q92" i="40"/>
  <c r="R92" i="40"/>
  <c r="P93" i="40"/>
  <c r="Q93" i="40"/>
  <c r="R93" i="40"/>
  <c r="P94" i="40"/>
  <c r="Q94" i="40"/>
  <c r="R94" i="40"/>
  <c r="L81" i="40"/>
  <c r="M81" i="40"/>
  <c r="N81" i="40"/>
  <c r="L82" i="40"/>
  <c r="M82" i="40"/>
  <c r="N82" i="40"/>
  <c r="L83" i="40"/>
  <c r="M83" i="40"/>
  <c r="N83" i="40"/>
  <c r="L84" i="40"/>
  <c r="M84" i="40"/>
  <c r="N84" i="40"/>
  <c r="L85" i="40"/>
  <c r="M85" i="40"/>
  <c r="N85" i="40"/>
  <c r="L86" i="40"/>
  <c r="M86" i="40"/>
  <c r="N86" i="40"/>
  <c r="L87" i="40"/>
  <c r="M87" i="40"/>
  <c r="N87" i="40"/>
  <c r="L89" i="40"/>
  <c r="M89" i="40"/>
  <c r="N89" i="40"/>
  <c r="L90" i="40"/>
  <c r="M90" i="40"/>
  <c r="N90" i="40"/>
  <c r="L91" i="40"/>
  <c r="M91" i="40"/>
  <c r="N91" i="40"/>
  <c r="L92" i="40"/>
  <c r="M92" i="40"/>
  <c r="N92" i="40"/>
  <c r="L93" i="40"/>
  <c r="M93" i="40"/>
  <c r="N93" i="40"/>
  <c r="L94" i="40"/>
  <c r="M94" i="40"/>
  <c r="N94" i="40"/>
  <c r="H81" i="40"/>
  <c r="I81" i="40"/>
  <c r="J81" i="40"/>
  <c r="H82" i="40"/>
  <c r="I82" i="40"/>
  <c r="J82" i="40"/>
  <c r="H83" i="40"/>
  <c r="I83" i="40"/>
  <c r="J83" i="40"/>
  <c r="H84" i="40"/>
  <c r="I84" i="40"/>
  <c r="J84" i="40"/>
  <c r="H85" i="40"/>
  <c r="I85" i="40"/>
  <c r="J85" i="40"/>
  <c r="H86" i="40"/>
  <c r="I86" i="40"/>
  <c r="J86" i="40"/>
  <c r="H87" i="40"/>
  <c r="I87" i="40"/>
  <c r="J87" i="40"/>
  <c r="H89" i="40"/>
  <c r="I89" i="40"/>
  <c r="J89" i="40"/>
  <c r="H90" i="40"/>
  <c r="I90" i="40"/>
  <c r="J90" i="40"/>
  <c r="H91" i="40"/>
  <c r="I91" i="40"/>
  <c r="J91" i="40"/>
  <c r="H92" i="40"/>
  <c r="I92" i="40"/>
  <c r="J92" i="40"/>
  <c r="H93" i="40"/>
  <c r="I93" i="40"/>
  <c r="J93" i="40"/>
  <c r="H94" i="40"/>
  <c r="I94" i="40"/>
  <c r="J94" i="40"/>
  <c r="E81" i="40"/>
  <c r="F81" i="40"/>
  <c r="E82" i="40"/>
  <c r="F82" i="40"/>
  <c r="E83" i="40"/>
  <c r="F83" i="40"/>
  <c r="E84" i="40"/>
  <c r="F84" i="40"/>
  <c r="E85" i="40"/>
  <c r="F85" i="40"/>
  <c r="E86" i="40"/>
  <c r="F86" i="40"/>
  <c r="E87" i="40"/>
  <c r="F87" i="40"/>
  <c r="E89" i="40"/>
  <c r="F89" i="40"/>
  <c r="E90" i="40"/>
  <c r="F90" i="40"/>
  <c r="E91" i="40"/>
  <c r="F91" i="40"/>
  <c r="E92" i="40"/>
  <c r="F92" i="40"/>
  <c r="E93" i="40"/>
  <c r="F93" i="40"/>
  <c r="E94" i="40"/>
  <c r="F94" i="40"/>
  <c r="D82" i="40"/>
  <c r="D83" i="40"/>
  <c r="D84" i="40"/>
  <c r="D85" i="40"/>
  <c r="D86" i="40"/>
  <c r="D87" i="40"/>
  <c r="D89" i="40"/>
  <c r="D90" i="40"/>
  <c r="D91" i="40"/>
  <c r="D92" i="40"/>
  <c r="D93" i="40"/>
  <c r="D94" i="40"/>
  <c r="D81" i="40"/>
  <c r="P5" i="33"/>
  <c r="I3" i="33"/>
  <c r="M3" i="33"/>
  <c r="Q3" i="33"/>
  <c r="V3" i="33"/>
  <c r="U3" i="33"/>
  <c r="AD23" i="33"/>
  <c r="S8" i="33"/>
  <c r="N10" i="33"/>
  <c r="M10" i="31"/>
  <c r="M6" i="37"/>
  <c r="Q11" i="37"/>
  <c r="K7" i="33"/>
  <c r="AD7" i="33" s="1"/>
  <c r="N27" i="33"/>
  <c r="K31" i="33"/>
  <c r="S25" i="33"/>
  <c r="AL25" i="33" s="1"/>
  <c r="S24" i="33"/>
  <c r="H5" i="33"/>
  <c r="S16" i="33"/>
  <c r="P7" i="33"/>
  <c r="AI7" i="33"/>
  <c r="P27" i="33"/>
  <c r="P31" i="33"/>
  <c r="P8" i="33"/>
  <c r="P20" i="33"/>
  <c r="AI20" i="33" s="1"/>
  <c r="P24" i="33"/>
  <c r="AI24" i="33" s="1"/>
  <c r="P10" i="33"/>
  <c r="AI10" i="33" s="1"/>
  <c r="P14" i="33"/>
  <c r="P25" i="33"/>
  <c r="P22" i="33"/>
  <c r="K5" i="33"/>
  <c r="AD5" i="33" s="1"/>
  <c r="K25" i="33"/>
  <c r="K6" i="33"/>
  <c r="K10" i="33"/>
  <c r="K14" i="33"/>
  <c r="AD14" i="33" s="1"/>
  <c r="K22" i="33"/>
  <c r="K20" i="33"/>
  <c r="AD20" i="33" s="1"/>
  <c r="K28" i="33"/>
  <c r="AD28" i="33" s="1"/>
  <c r="K8" i="33"/>
  <c r="K27" i="33"/>
  <c r="K16" i="33"/>
  <c r="K24" i="33"/>
  <c r="N11" i="33"/>
  <c r="AG11" i="33" s="1"/>
  <c r="E22" i="33"/>
  <c r="G22" i="33" s="1"/>
  <c r="N26" i="33"/>
  <c r="AG26" i="33" s="1"/>
  <c r="P21" i="33"/>
  <c r="AI21" i="33" s="1"/>
  <c r="S6" i="33"/>
  <c r="AL6" i="33" s="1"/>
  <c r="S10" i="33"/>
  <c r="S14" i="33"/>
  <c r="S18" i="33"/>
  <c r="AL18" i="33" s="1"/>
  <c r="S22" i="33"/>
  <c r="S26" i="33"/>
  <c r="S30" i="33"/>
  <c r="AL30" i="33" s="1"/>
  <c r="S23" i="33"/>
  <c r="AL23" i="33" s="1"/>
  <c r="S27" i="33"/>
  <c r="S31" i="33"/>
  <c r="N8" i="33"/>
  <c r="N12" i="33"/>
  <c r="AG12" i="33" s="1"/>
  <c r="N16" i="33"/>
  <c r="N20" i="33"/>
  <c r="N24" i="33"/>
  <c r="N28" i="33"/>
  <c r="AG28" i="33" s="1"/>
  <c r="N5" i="33"/>
  <c r="N25" i="33"/>
  <c r="H6" i="33"/>
  <c r="AA6" i="33" s="1"/>
  <c r="H10" i="33"/>
  <c r="H14" i="33"/>
  <c r="H22" i="33"/>
  <c r="AA22" i="33" s="1"/>
  <c r="H19" i="33"/>
  <c r="AA19" i="33" s="1"/>
  <c r="H27" i="33"/>
  <c r="H31" i="33"/>
  <c r="AA31" i="33"/>
  <c r="H24" i="33"/>
  <c r="N22" i="33"/>
  <c r="AG22" i="33" s="1"/>
  <c r="S20" i="33"/>
  <c r="AL20" i="33" s="1"/>
  <c r="H16" i="33"/>
  <c r="N14" i="33"/>
  <c r="H8" i="33"/>
  <c r="N6" i="33"/>
  <c r="J25" i="33"/>
  <c r="AC25" i="33" s="1"/>
  <c r="AM20" i="33"/>
  <c r="J31" i="33"/>
  <c r="R25" i="33"/>
  <c r="AK25" i="33" s="1"/>
  <c r="L10" i="33"/>
  <c r="N31" i="33"/>
  <c r="H25" i="33"/>
  <c r="AA25" i="33"/>
  <c r="H17" i="33"/>
  <c r="AA17" i="33" s="1"/>
  <c r="S5" i="33"/>
  <c r="G14" i="33"/>
  <c r="J14" i="33"/>
  <c r="T10" i="33"/>
  <c r="F13" i="31"/>
  <c r="AB5" i="37"/>
  <c r="AB6" i="37"/>
  <c r="L8" i="37"/>
  <c r="M4" i="37"/>
  <c r="O6" i="37"/>
  <c r="E13" i="31"/>
  <c r="P10" i="31"/>
  <c r="D13" i="31"/>
  <c r="AJ13" i="44"/>
  <c r="AJ12" i="44"/>
  <c r="P52" i="40"/>
  <c r="P60" i="40"/>
  <c r="Q52" i="40"/>
  <c r="R52" i="40"/>
  <c r="L52" i="40"/>
  <c r="M52" i="40"/>
  <c r="M60" i="40"/>
  <c r="N52" i="40"/>
  <c r="H52" i="40"/>
  <c r="H60" i="40"/>
  <c r="I52" i="40"/>
  <c r="I60" i="40"/>
  <c r="J52" i="40"/>
  <c r="J60" i="40"/>
  <c r="E52" i="40"/>
  <c r="F52" i="40"/>
  <c r="F60" i="40"/>
  <c r="D52" i="40"/>
  <c r="D60" i="40"/>
  <c r="P45" i="40"/>
  <c r="Q45" i="40"/>
  <c r="R45" i="40"/>
  <c r="P46" i="40"/>
  <c r="Q46" i="40"/>
  <c r="R46" i="40"/>
  <c r="P47" i="40"/>
  <c r="Q47" i="40"/>
  <c r="R47" i="40"/>
  <c r="P48" i="40"/>
  <c r="Q48" i="40"/>
  <c r="R48" i="40"/>
  <c r="P49" i="40"/>
  <c r="Q49" i="40"/>
  <c r="R49" i="40"/>
  <c r="P50" i="40"/>
  <c r="Q50" i="40"/>
  <c r="R50" i="40"/>
  <c r="P51" i="40"/>
  <c r="Q51" i="40"/>
  <c r="R51" i="40"/>
  <c r="Q60" i="40"/>
  <c r="P53" i="40"/>
  <c r="Q53" i="40"/>
  <c r="R53" i="40"/>
  <c r="P54" i="40"/>
  <c r="Q54" i="40"/>
  <c r="R54" i="40"/>
  <c r="P55" i="40"/>
  <c r="Q55" i="40"/>
  <c r="R55" i="40"/>
  <c r="P56" i="40"/>
  <c r="Q56" i="40"/>
  <c r="R56" i="40"/>
  <c r="P57" i="40"/>
  <c r="Q57" i="40"/>
  <c r="R57" i="40"/>
  <c r="P58" i="40"/>
  <c r="Q58" i="40"/>
  <c r="R58" i="40"/>
  <c r="L45" i="40"/>
  <c r="M45" i="40"/>
  <c r="N45" i="40"/>
  <c r="L46" i="40"/>
  <c r="M46" i="40"/>
  <c r="N46" i="40"/>
  <c r="L47" i="40"/>
  <c r="M47" i="40"/>
  <c r="N47" i="40"/>
  <c r="L48" i="40"/>
  <c r="M48" i="40"/>
  <c r="N48" i="40"/>
  <c r="L49" i="40"/>
  <c r="M49" i="40"/>
  <c r="N49" i="40"/>
  <c r="L50" i="40"/>
  <c r="M50" i="40"/>
  <c r="N50" i="40"/>
  <c r="L51" i="40"/>
  <c r="M51" i="40"/>
  <c r="N51" i="40"/>
  <c r="L53" i="40"/>
  <c r="M53" i="40"/>
  <c r="N53" i="40"/>
  <c r="L54" i="40"/>
  <c r="M54" i="40"/>
  <c r="N54" i="40"/>
  <c r="L55" i="40"/>
  <c r="M55" i="40"/>
  <c r="N55" i="40"/>
  <c r="L56" i="40"/>
  <c r="M56" i="40"/>
  <c r="N56" i="40"/>
  <c r="L57" i="40"/>
  <c r="M57" i="40"/>
  <c r="N57" i="40"/>
  <c r="L58" i="40"/>
  <c r="M58" i="40"/>
  <c r="N58" i="40"/>
  <c r="E11" i="34"/>
  <c r="F11" i="34"/>
  <c r="H11" i="34"/>
  <c r="I11" i="34"/>
  <c r="J11" i="34"/>
  <c r="L11" i="34"/>
  <c r="M11" i="34"/>
  <c r="N11" i="34"/>
  <c r="P11" i="34"/>
  <c r="Q11" i="34"/>
  <c r="R11" i="34"/>
  <c r="H45" i="40"/>
  <c r="I45" i="40"/>
  <c r="J45" i="40"/>
  <c r="H46" i="40"/>
  <c r="I46" i="40"/>
  <c r="J46" i="40"/>
  <c r="H47" i="40"/>
  <c r="I47" i="40"/>
  <c r="J47" i="40"/>
  <c r="H48" i="40"/>
  <c r="I48" i="40"/>
  <c r="J48" i="40"/>
  <c r="H49" i="40"/>
  <c r="I49" i="40"/>
  <c r="J49" i="40"/>
  <c r="H50" i="40"/>
  <c r="I50" i="40"/>
  <c r="J50" i="40"/>
  <c r="H51" i="40"/>
  <c r="I51" i="40"/>
  <c r="J51" i="40"/>
  <c r="H53" i="40"/>
  <c r="I53" i="40"/>
  <c r="J53" i="40"/>
  <c r="H54" i="40"/>
  <c r="I54" i="40"/>
  <c r="J54" i="40"/>
  <c r="H55" i="40"/>
  <c r="I55" i="40"/>
  <c r="J55" i="40"/>
  <c r="H56" i="40"/>
  <c r="I56" i="40"/>
  <c r="J56" i="40"/>
  <c r="H57" i="40"/>
  <c r="I57" i="40"/>
  <c r="J57" i="40"/>
  <c r="H58" i="40"/>
  <c r="I58" i="40"/>
  <c r="J58" i="40"/>
  <c r="E45" i="40"/>
  <c r="F45" i="40"/>
  <c r="E46" i="40"/>
  <c r="F46" i="40"/>
  <c r="E47" i="40"/>
  <c r="F47" i="40"/>
  <c r="E48" i="40"/>
  <c r="F48" i="40"/>
  <c r="E49" i="40"/>
  <c r="F49" i="40"/>
  <c r="E50" i="40"/>
  <c r="F50" i="40"/>
  <c r="E51" i="40"/>
  <c r="F51" i="40"/>
  <c r="E60" i="40"/>
  <c r="E53" i="40"/>
  <c r="F53" i="40"/>
  <c r="E54" i="40"/>
  <c r="F54" i="40"/>
  <c r="E55" i="40"/>
  <c r="F55" i="40"/>
  <c r="E56" i="40"/>
  <c r="F56" i="40"/>
  <c r="E57" i="40"/>
  <c r="F57" i="40"/>
  <c r="E58" i="40"/>
  <c r="F58" i="40"/>
  <c r="D46" i="40"/>
  <c r="D47" i="40"/>
  <c r="D48" i="40"/>
  <c r="D49" i="40"/>
  <c r="D50" i="40"/>
  <c r="D51" i="40"/>
  <c r="D53" i="40"/>
  <c r="D54" i="40"/>
  <c r="D55" i="40"/>
  <c r="D56" i="40"/>
  <c r="D57" i="40"/>
  <c r="D58" i="40"/>
  <c r="D45" i="40"/>
  <c r="D11" i="34"/>
  <c r="E10" i="34"/>
  <c r="F10" i="34"/>
  <c r="H10" i="34"/>
  <c r="I10" i="34"/>
  <c r="J10" i="34"/>
  <c r="L10" i="34"/>
  <c r="O10" i="34"/>
  <c r="M10" i="34"/>
  <c r="N10" i="34"/>
  <c r="P10" i="34"/>
  <c r="Q10" i="34"/>
  <c r="R10" i="34"/>
  <c r="D10" i="34"/>
  <c r="N60" i="40"/>
  <c r="R60" i="40"/>
  <c r="G81" i="40"/>
  <c r="K81" i="40"/>
  <c r="O81" i="40"/>
  <c r="S81" i="40"/>
  <c r="G82" i="40"/>
  <c r="K82" i="40"/>
  <c r="O82" i="40"/>
  <c r="S82" i="40"/>
  <c r="G83" i="40"/>
  <c r="K83" i="40"/>
  <c r="O83" i="40"/>
  <c r="S83" i="40"/>
  <c r="G84" i="40"/>
  <c r="K84" i="40"/>
  <c r="O84" i="40"/>
  <c r="S84" i="40"/>
  <c r="G85" i="40"/>
  <c r="K85" i="40"/>
  <c r="O85" i="40"/>
  <c r="S85" i="40"/>
  <c r="G86" i="40"/>
  <c r="K86" i="40"/>
  <c r="O86" i="40"/>
  <c r="S86" i="40"/>
  <c r="G87" i="40"/>
  <c r="K87" i="40"/>
  <c r="O87" i="40"/>
  <c r="S87" i="40"/>
  <c r="G88" i="40"/>
  <c r="G96" i="40"/>
  <c r="K88" i="40"/>
  <c r="K96" i="40"/>
  <c r="O88" i="40"/>
  <c r="O96" i="40"/>
  <c r="S88" i="40"/>
  <c r="S96" i="40"/>
  <c r="G89" i="40"/>
  <c r="K89" i="40"/>
  <c r="O89" i="40"/>
  <c r="S89" i="40"/>
  <c r="G90" i="40"/>
  <c r="K90" i="40"/>
  <c r="O90" i="40"/>
  <c r="S90" i="40"/>
  <c r="G91" i="40"/>
  <c r="K91" i="40"/>
  <c r="O91" i="40"/>
  <c r="S91" i="40"/>
  <c r="G92" i="40"/>
  <c r="K92" i="40"/>
  <c r="O92" i="40"/>
  <c r="S92" i="40"/>
  <c r="G93" i="40"/>
  <c r="K93" i="40"/>
  <c r="O93" i="40"/>
  <c r="S93" i="40"/>
  <c r="G94" i="40"/>
  <c r="K94" i="40"/>
  <c r="O94" i="40"/>
  <c r="S94" i="40"/>
  <c r="D95" i="40"/>
  <c r="E95" i="40"/>
  <c r="F95" i="40"/>
  <c r="H95" i="40"/>
  <c r="I95" i="40"/>
  <c r="J95" i="40"/>
  <c r="L95" i="40"/>
  <c r="M95" i="40"/>
  <c r="N95" i="40"/>
  <c r="P95" i="40"/>
  <c r="Q95" i="40"/>
  <c r="R95" i="40"/>
  <c r="D96" i="40"/>
  <c r="E96" i="40"/>
  <c r="F96" i="40"/>
  <c r="H96" i="40"/>
  <c r="I96" i="40"/>
  <c r="J96" i="40"/>
  <c r="L96" i="40"/>
  <c r="M96" i="40"/>
  <c r="N96" i="40"/>
  <c r="P96" i="40"/>
  <c r="Q96" i="40"/>
  <c r="R96" i="40"/>
  <c r="G63" i="40"/>
  <c r="K63" i="40"/>
  <c r="O63" i="40"/>
  <c r="S63" i="40"/>
  <c r="G64" i="40"/>
  <c r="K64" i="40"/>
  <c r="O64" i="40"/>
  <c r="S64" i="40"/>
  <c r="G65" i="40"/>
  <c r="K65" i="40"/>
  <c r="O65" i="40"/>
  <c r="S65" i="40"/>
  <c r="G66" i="40"/>
  <c r="K66" i="40"/>
  <c r="O66" i="40"/>
  <c r="S66" i="40"/>
  <c r="G67" i="40"/>
  <c r="K67" i="40"/>
  <c r="O67" i="40"/>
  <c r="S67" i="40"/>
  <c r="G68" i="40"/>
  <c r="K68" i="40"/>
  <c r="O68" i="40"/>
  <c r="S68" i="40"/>
  <c r="G69" i="40"/>
  <c r="K69" i="40"/>
  <c r="O69" i="40"/>
  <c r="S69" i="40"/>
  <c r="G70" i="40"/>
  <c r="K70" i="40"/>
  <c r="K78" i="40"/>
  <c r="O70" i="40"/>
  <c r="O78" i="40"/>
  <c r="S70" i="40"/>
  <c r="S78" i="40"/>
  <c r="G71" i="40"/>
  <c r="K71" i="40"/>
  <c r="O71" i="40"/>
  <c r="S71" i="40"/>
  <c r="G72" i="40"/>
  <c r="K72" i="40"/>
  <c r="O72" i="40"/>
  <c r="S72" i="40"/>
  <c r="G73" i="40"/>
  <c r="K73" i="40"/>
  <c r="O73" i="40"/>
  <c r="S73" i="40"/>
  <c r="G74" i="40"/>
  <c r="K74" i="40"/>
  <c r="O74" i="40"/>
  <c r="S74" i="40"/>
  <c r="G75" i="40"/>
  <c r="K75" i="40"/>
  <c r="O75" i="40"/>
  <c r="S75" i="40"/>
  <c r="G76" i="40"/>
  <c r="K76" i="40"/>
  <c r="O76" i="40"/>
  <c r="S76" i="40"/>
  <c r="E77" i="40"/>
  <c r="I77" i="40"/>
  <c r="M77" i="40"/>
  <c r="Q77" i="40"/>
  <c r="D78" i="40"/>
  <c r="E78" i="40"/>
  <c r="F78" i="40"/>
  <c r="H78" i="40"/>
  <c r="I78" i="40"/>
  <c r="J78" i="40"/>
  <c r="L78" i="40"/>
  <c r="M78" i="40"/>
  <c r="N78" i="40"/>
  <c r="P78" i="40"/>
  <c r="Q78" i="40"/>
  <c r="R78" i="40"/>
  <c r="C4" i="18"/>
  <c r="E21" i="44"/>
  <c r="F21" i="44"/>
  <c r="H21" i="44"/>
  <c r="I21" i="44"/>
  <c r="J21" i="44"/>
  <c r="L21" i="44"/>
  <c r="M21" i="44"/>
  <c r="N21" i="44"/>
  <c r="P21" i="44"/>
  <c r="Q21" i="44"/>
  <c r="R21" i="44"/>
  <c r="E38" i="44"/>
  <c r="F38" i="44"/>
  <c r="H38" i="44"/>
  <c r="I38" i="44"/>
  <c r="J38" i="44"/>
  <c r="L38" i="44"/>
  <c r="M38" i="44"/>
  <c r="N38" i="44"/>
  <c r="P38" i="44"/>
  <c r="Q38" i="44"/>
  <c r="R38" i="44"/>
  <c r="E39" i="44"/>
  <c r="F39" i="44"/>
  <c r="H39" i="44"/>
  <c r="I39" i="44"/>
  <c r="J39" i="44"/>
  <c r="L39" i="44"/>
  <c r="M39" i="44"/>
  <c r="N39" i="44"/>
  <c r="P39" i="44"/>
  <c r="Q39" i="44"/>
  <c r="R39" i="44"/>
  <c r="E56" i="44"/>
  <c r="F56" i="44"/>
  <c r="H56" i="44"/>
  <c r="I56" i="44"/>
  <c r="J56" i="44"/>
  <c r="L56" i="44"/>
  <c r="M56" i="44"/>
  <c r="N56" i="44"/>
  <c r="P56" i="44"/>
  <c r="Q56" i="44"/>
  <c r="R56" i="44"/>
  <c r="E57" i="44"/>
  <c r="F57" i="44"/>
  <c r="H57" i="44"/>
  <c r="I57" i="44"/>
  <c r="J57" i="44"/>
  <c r="L57" i="44"/>
  <c r="M57" i="44"/>
  <c r="N57" i="44"/>
  <c r="P57" i="44"/>
  <c r="Q57" i="44"/>
  <c r="R57" i="44"/>
  <c r="E74" i="44"/>
  <c r="Y9" i="44"/>
  <c r="F74" i="44"/>
  <c r="Z9" i="44"/>
  <c r="H74" i="44"/>
  <c r="I74" i="44"/>
  <c r="J74" i="44"/>
  <c r="L74" i="44"/>
  <c r="M74" i="44"/>
  <c r="N74" i="44"/>
  <c r="P74" i="44"/>
  <c r="Q74" i="44"/>
  <c r="R74" i="44"/>
  <c r="E75" i="44"/>
  <c r="Y10" i="44"/>
  <c r="F75" i="44"/>
  <c r="Z10" i="44"/>
  <c r="H75" i="44"/>
  <c r="I75" i="44"/>
  <c r="J75" i="44"/>
  <c r="L75" i="44"/>
  <c r="M75" i="44"/>
  <c r="N75" i="44"/>
  <c r="P75" i="44"/>
  <c r="Q75" i="44"/>
  <c r="R75" i="44"/>
  <c r="D74" i="44"/>
  <c r="X9" i="44"/>
  <c r="D75" i="44"/>
  <c r="X10" i="44"/>
  <c r="D56" i="44"/>
  <c r="D57" i="44"/>
  <c r="D38" i="44"/>
  <c r="D39" i="44"/>
  <c r="S60" i="44"/>
  <c r="S61" i="44"/>
  <c r="S62" i="44"/>
  <c r="S63" i="44"/>
  <c r="S64" i="44"/>
  <c r="S65" i="44"/>
  <c r="S66" i="44"/>
  <c r="S67" i="44"/>
  <c r="S75" i="44"/>
  <c r="S68" i="44"/>
  <c r="S69" i="44"/>
  <c r="S70" i="44"/>
  <c r="S71" i="44"/>
  <c r="S72" i="44"/>
  <c r="S73" i="44"/>
  <c r="O60" i="44"/>
  <c r="O61" i="44"/>
  <c r="O62" i="44"/>
  <c r="O63" i="44"/>
  <c r="O64" i="44"/>
  <c r="O65" i="44"/>
  <c r="O66" i="44"/>
  <c r="O67" i="44"/>
  <c r="O75" i="44"/>
  <c r="O68" i="44"/>
  <c r="O69" i="44"/>
  <c r="O70" i="44"/>
  <c r="O71" i="44"/>
  <c r="O72" i="44"/>
  <c r="O73" i="44"/>
  <c r="K60" i="44"/>
  <c r="K61" i="44"/>
  <c r="K62" i="44"/>
  <c r="K63" i="44"/>
  <c r="K64" i="44"/>
  <c r="K65" i="44"/>
  <c r="K66" i="44"/>
  <c r="K67" i="44"/>
  <c r="K75" i="44"/>
  <c r="K68" i="44"/>
  <c r="K69" i="44"/>
  <c r="K70" i="44"/>
  <c r="K71" i="44"/>
  <c r="K72" i="44"/>
  <c r="K73" i="44"/>
  <c r="G60" i="44"/>
  <c r="G61" i="44"/>
  <c r="G62" i="44"/>
  <c r="G63" i="44"/>
  <c r="G64" i="44"/>
  <c r="G65" i="44"/>
  <c r="G66" i="44"/>
  <c r="G67" i="44"/>
  <c r="G75" i="44"/>
  <c r="G68" i="44"/>
  <c r="G69" i="44"/>
  <c r="G70" i="44"/>
  <c r="G71" i="44"/>
  <c r="G72" i="44"/>
  <c r="G73" i="44"/>
  <c r="S42" i="44"/>
  <c r="S43" i="44"/>
  <c r="S44" i="44"/>
  <c r="S45" i="44"/>
  <c r="S46" i="44"/>
  <c r="S47" i="44"/>
  <c r="S48" i="44"/>
  <c r="S49" i="44"/>
  <c r="S57" i="44"/>
  <c r="S50" i="44"/>
  <c r="S51" i="44"/>
  <c r="S52" i="44"/>
  <c r="S53" i="44"/>
  <c r="S54" i="44"/>
  <c r="S55" i="44"/>
  <c r="O42" i="44"/>
  <c r="O43" i="44"/>
  <c r="O44" i="44"/>
  <c r="O45" i="44"/>
  <c r="O46" i="44"/>
  <c r="O47" i="44"/>
  <c r="O48" i="44"/>
  <c r="O49" i="44"/>
  <c r="O57" i="44"/>
  <c r="O50" i="44"/>
  <c r="O51" i="44"/>
  <c r="O52" i="44"/>
  <c r="T52" i="44"/>
  <c r="O53" i="44"/>
  <c r="O54" i="44"/>
  <c r="O55" i="44"/>
  <c r="K42" i="44"/>
  <c r="K43" i="44"/>
  <c r="K44" i="44"/>
  <c r="K45" i="44"/>
  <c r="K46" i="44"/>
  <c r="K47" i="44"/>
  <c r="K48" i="44"/>
  <c r="K49" i="44"/>
  <c r="K57" i="44"/>
  <c r="K50" i="44"/>
  <c r="K51" i="44"/>
  <c r="K52" i="44"/>
  <c r="K53" i="44"/>
  <c r="K54" i="44"/>
  <c r="K55" i="44"/>
  <c r="G42" i="44"/>
  <c r="G43" i="44"/>
  <c r="G44" i="44"/>
  <c r="G45" i="44"/>
  <c r="T45" i="44"/>
  <c r="G46" i="44"/>
  <c r="G47" i="44"/>
  <c r="G48" i="44"/>
  <c r="G49" i="44"/>
  <c r="T49" i="44"/>
  <c r="T57" i="44"/>
  <c r="G50" i="44"/>
  <c r="G51" i="44"/>
  <c r="G52" i="44"/>
  <c r="G53" i="44"/>
  <c r="T53" i="44"/>
  <c r="G54" i="44"/>
  <c r="G55" i="44"/>
  <c r="S24" i="44"/>
  <c r="S25" i="44"/>
  <c r="S26" i="44"/>
  <c r="S27" i="44"/>
  <c r="S28" i="44"/>
  <c r="S29" i="44"/>
  <c r="S30" i="44"/>
  <c r="S31" i="44"/>
  <c r="S39" i="44"/>
  <c r="S32" i="44"/>
  <c r="S33" i="44"/>
  <c r="S34" i="44"/>
  <c r="S35" i="44"/>
  <c r="S36" i="44"/>
  <c r="S37" i="44"/>
  <c r="O24" i="44"/>
  <c r="O25" i="44"/>
  <c r="O26" i="44"/>
  <c r="O27" i="44"/>
  <c r="O28" i="44"/>
  <c r="O29" i="44"/>
  <c r="O30" i="44"/>
  <c r="O31" i="44"/>
  <c r="O39" i="44"/>
  <c r="O32" i="44"/>
  <c r="O33" i="44"/>
  <c r="O34" i="44"/>
  <c r="O35" i="44"/>
  <c r="O36" i="44"/>
  <c r="O37" i="44"/>
  <c r="K24" i="44"/>
  <c r="K25" i="44"/>
  <c r="K26" i="44"/>
  <c r="K27" i="44"/>
  <c r="K28" i="44"/>
  <c r="K29" i="44"/>
  <c r="K30" i="44"/>
  <c r="K31" i="44"/>
  <c r="K39" i="44"/>
  <c r="K32" i="44"/>
  <c r="K33" i="44"/>
  <c r="K34" i="44"/>
  <c r="K35" i="44"/>
  <c r="K36" i="44"/>
  <c r="K37" i="44"/>
  <c r="G24" i="44"/>
  <c r="G25" i="44"/>
  <c r="G26" i="44"/>
  <c r="G27" i="44"/>
  <c r="G28" i="44"/>
  <c r="G29" i="44"/>
  <c r="G30" i="44"/>
  <c r="G31" i="44"/>
  <c r="G39" i="44"/>
  <c r="G32" i="44"/>
  <c r="G33" i="44"/>
  <c r="G34" i="44"/>
  <c r="G35" i="44"/>
  <c r="G36" i="44"/>
  <c r="G37" i="44"/>
  <c r="T63" i="44"/>
  <c r="T26" i="44"/>
  <c r="S6" i="44"/>
  <c r="S7" i="44"/>
  <c r="S8" i="44"/>
  <c r="S9" i="44"/>
  <c r="S10" i="44"/>
  <c r="S11" i="44"/>
  <c r="S12" i="44"/>
  <c r="S13" i="44"/>
  <c r="S21" i="44"/>
  <c r="S14" i="44"/>
  <c r="S15" i="44"/>
  <c r="S16" i="44"/>
  <c r="S17" i="44"/>
  <c r="S18" i="44"/>
  <c r="S19" i="44"/>
  <c r="O6" i="44"/>
  <c r="O7" i="44"/>
  <c r="O8" i="44"/>
  <c r="O9" i="44"/>
  <c r="O10" i="44"/>
  <c r="O11" i="44"/>
  <c r="O13" i="44"/>
  <c r="O21" i="44"/>
  <c r="O14" i="44"/>
  <c r="O15" i="44"/>
  <c r="O16" i="44"/>
  <c r="O17" i="44"/>
  <c r="O18" i="44"/>
  <c r="O19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H20" i="44"/>
  <c r="I20" i="44"/>
  <c r="J20" i="44"/>
  <c r="AC6" i="44"/>
  <c r="L20" i="44"/>
  <c r="AD6" i="44"/>
  <c r="M20" i="44"/>
  <c r="N20" i="44"/>
  <c r="P20" i="44"/>
  <c r="AG6" i="44"/>
  <c r="Q20" i="44"/>
  <c r="AH6" i="44"/>
  <c r="R20" i="44"/>
  <c r="E20" i="44"/>
  <c r="Y6" i="44"/>
  <c r="F20" i="44"/>
  <c r="Z6" i="44"/>
  <c r="D20" i="44"/>
  <c r="D21" i="44"/>
  <c r="G7" i="44"/>
  <c r="G8" i="44"/>
  <c r="G9" i="44"/>
  <c r="G10" i="44"/>
  <c r="G11" i="44"/>
  <c r="G13" i="44"/>
  <c r="G14" i="44"/>
  <c r="G15" i="44"/>
  <c r="G16" i="44"/>
  <c r="G17" i="44"/>
  <c r="G18" i="44"/>
  <c r="G19" i="44"/>
  <c r="G6" i="44"/>
  <c r="S10" i="34"/>
  <c r="G10" i="34"/>
  <c r="K10" i="34"/>
  <c r="AG25" i="33"/>
  <c r="AG24" i="33"/>
  <c r="AG20" i="33"/>
  <c r="O48" i="40"/>
  <c r="S54" i="40"/>
  <c r="F42" i="40"/>
  <c r="L42" i="40"/>
  <c r="D42" i="40"/>
  <c r="M42" i="40"/>
  <c r="E42" i="40"/>
  <c r="H42" i="40"/>
  <c r="R42" i="40"/>
  <c r="P42" i="40"/>
  <c r="J42" i="40"/>
  <c r="N42" i="40"/>
  <c r="Q42" i="40"/>
  <c r="J22" i="33"/>
  <c r="Q15" i="37"/>
  <c r="Q16" i="37"/>
  <c r="L22" i="33"/>
  <c r="T22" i="33"/>
  <c r="R22" i="33"/>
  <c r="U22" i="33" s="1"/>
  <c r="M8" i="37"/>
  <c r="N4" i="37"/>
  <c r="N8" i="37"/>
  <c r="D14" i="31"/>
  <c r="E14" i="31"/>
  <c r="F14" i="31"/>
  <c r="Y7" i="44"/>
  <c r="AC7" i="44"/>
  <c r="AF6" i="44"/>
  <c r="AB6" i="44"/>
  <c r="T34" i="44"/>
  <c r="T30" i="44"/>
  <c r="T19" i="44"/>
  <c r="T71" i="44"/>
  <c r="S46" i="40"/>
  <c r="AC8" i="44"/>
  <c r="K38" i="44"/>
  <c r="G56" i="44"/>
  <c r="K56" i="44"/>
  <c r="T44" i="44"/>
  <c r="S56" i="44"/>
  <c r="K74" i="44"/>
  <c r="S74" i="44"/>
  <c r="AI7" i="44"/>
  <c r="AF7" i="44"/>
  <c r="AF8" i="44"/>
  <c r="AB7" i="44"/>
  <c r="Y8" i="44"/>
  <c r="S20" i="44"/>
  <c r="AJ10" i="44"/>
  <c r="AH7" i="44"/>
  <c r="AH8" i="44"/>
  <c r="AE7" i="44"/>
  <c r="AA7" i="44"/>
  <c r="K51" i="40"/>
  <c r="K47" i="40"/>
  <c r="X7" i="44"/>
  <c r="AI6" i="44"/>
  <c r="AI8" i="44"/>
  <c r="AE6" i="44"/>
  <c r="AE8" i="44"/>
  <c r="AA6" i="44"/>
  <c r="T67" i="44"/>
  <c r="T75" i="44"/>
  <c r="G38" i="44"/>
  <c r="O38" i="44"/>
  <c r="O56" i="44"/>
  <c r="G74" i="44"/>
  <c r="AG7" i="44"/>
  <c r="AG8" i="44"/>
  <c r="AD7" i="44"/>
  <c r="AD8" i="44"/>
  <c r="Z7" i="44"/>
  <c r="Z8" i="44"/>
  <c r="K42" i="40"/>
  <c r="K58" i="40"/>
  <c r="K54" i="40"/>
  <c r="O47" i="40"/>
  <c r="S50" i="40"/>
  <c r="G55" i="40"/>
  <c r="K57" i="40"/>
  <c r="K53" i="40"/>
  <c r="S55" i="40"/>
  <c r="S49" i="40"/>
  <c r="I42" i="40"/>
  <c r="P41" i="40"/>
  <c r="Q41" i="40"/>
  <c r="M41" i="40"/>
  <c r="R41" i="40"/>
  <c r="O42" i="40"/>
  <c r="G51" i="40"/>
  <c r="G47" i="40"/>
  <c r="F59" i="40"/>
  <c r="K56" i="40"/>
  <c r="K55" i="40"/>
  <c r="K50" i="40"/>
  <c r="K46" i="40"/>
  <c r="I41" i="40"/>
  <c r="N41" i="40"/>
  <c r="G52" i="40"/>
  <c r="G60" i="40"/>
  <c r="O58" i="40"/>
  <c r="O54" i="40"/>
  <c r="O49" i="40"/>
  <c r="J41" i="40"/>
  <c r="G49" i="40"/>
  <c r="G50" i="40"/>
  <c r="T69" i="44"/>
  <c r="T61" i="44"/>
  <c r="O74" i="44"/>
  <c r="AJ9" i="44"/>
  <c r="T73" i="44"/>
  <c r="T65" i="44"/>
  <c r="T66" i="44"/>
  <c r="T70" i="44"/>
  <c r="T62" i="44"/>
  <c r="T72" i="44"/>
  <c r="T68" i="44"/>
  <c r="T64" i="44"/>
  <c r="T60" i="44"/>
  <c r="T48" i="44"/>
  <c r="G57" i="44"/>
  <c r="S58" i="40"/>
  <c r="S51" i="40"/>
  <c r="S48" i="40"/>
  <c r="T35" i="44"/>
  <c r="T27" i="44"/>
  <c r="S56" i="40"/>
  <c r="S38" i="44"/>
  <c r="P59" i="40"/>
  <c r="R59" i="40"/>
  <c r="S57" i="40"/>
  <c r="S53" i="40"/>
  <c r="L59" i="40"/>
  <c r="O51" i="40"/>
  <c r="N59" i="40"/>
  <c r="O50" i="40"/>
  <c r="O46" i="40"/>
  <c r="O57" i="40"/>
  <c r="O56" i="40"/>
  <c r="O55" i="40"/>
  <c r="O53" i="40"/>
  <c r="T31" i="44"/>
  <c r="T39" i="44"/>
  <c r="K52" i="40"/>
  <c r="K60" i="40"/>
  <c r="K49" i="40"/>
  <c r="K48" i="40"/>
  <c r="H59" i="40"/>
  <c r="J59" i="40"/>
  <c r="T37" i="44"/>
  <c r="T33" i="44"/>
  <c r="T29" i="44"/>
  <c r="T25" i="44"/>
  <c r="G48" i="40"/>
  <c r="G46" i="40"/>
  <c r="T36" i="44"/>
  <c r="T32" i="44"/>
  <c r="T28" i="44"/>
  <c r="G57" i="40"/>
  <c r="G53" i="40"/>
  <c r="G58" i="40"/>
  <c r="G56" i="40"/>
  <c r="G54" i="40"/>
  <c r="S42" i="40"/>
  <c r="T16" i="44"/>
  <c r="O20" i="44"/>
  <c r="L41" i="40"/>
  <c r="T12" i="44"/>
  <c r="H41" i="40"/>
  <c r="K20" i="44"/>
  <c r="T6" i="44"/>
  <c r="T8" i="44"/>
  <c r="K21" i="44"/>
  <c r="T15" i="44"/>
  <c r="T11" i="44"/>
  <c r="T7" i="44"/>
  <c r="T18" i="44"/>
  <c r="T14" i="44"/>
  <c r="T10" i="44"/>
  <c r="G21" i="44"/>
  <c r="G20" i="44"/>
  <c r="T17" i="44"/>
  <c r="T13" i="44"/>
  <c r="T21" i="44"/>
  <c r="T9" i="44"/>
  <c r="T63" i="40"/>
  <c r="T71" i="40"/>
  <c r="T75" i="40"/>
  <c r="T67" i="40"/>
  <c r="S95" i="40"/>
  <c r="O95" i="40"/>
  <c r="K95" i="40"/>
  <c r="T93" i="40"/>
  <c r="T91" i="40"/>
  <c r="T89" i="40"/>
  <c r="T87" i="40"/>
  <c r="T85" i="40"/>
  <c r="T83" i="40"/>
  <c r="T81" i="40"/>
  <c r="T94" i="40"/>
  <c r="T92" i="40"/>
  <c r="T90" i="40"/>
  <c r="T88" i="40"/>
  <c r="T96" i="40"/>
  <c r="T86" i="40"/>
  <c r="T84" i="40"/>
  <c r="T82" i="40"/>
  <c r="L60" i="40"/>
  <c r="S52" i="40"/>
  <c r="S60" i="40"/>
  <c r="S47" i="40"/>
  <c r="O52" i="40"/>
  <c r="O60" i="40"/>
  <c r="D59" i="40"/>
  <c r="Q59" i="40"/>
  <c r="M59" i="40"/>
  <c r="I59" i="40"/>
  <c r="E59" i="40"/>
  <c r="S45" i="40"/>
  <c r="O45" i="40"/>
  <c r="K45" i="40"/>
  <c r="G45" i="40"/>
  <c r="G95" i="40"/>
  <c r="K77" i="40"/>
  <c r="T68" i="40"/>
  <c r="T64" i="40"/>
  <c r="S77" i="40"/>
  <c r="O77" i="40"/>
  <c r="T72" i="40"/>
  <c r="T65" i="40"/>
  <c r="T76" i="40"/>
  <c r="T74" i="40"/>
  <c r="T73" i="40"/>
  <c r="G78" i="40"/>
  <c r="T70" i="40"/>
  <c r="T78" i="40"/>
  <c r="T69" i="40"/>
  <c r="T66" i="40"/>
  <c r="P77" i="40"/>
  <c r="L77" i="40"/>
  <c r="H77" i="40"/>
  <c r="D77" i="40"/>
  <c r="G77" i="40"/>
  <c r="R77" i="40"/>
  <c r="N77" i="40"/>
  <c r="J77" i="40"/>
  <c r="F77" i="40"/>
  <c r="T55" i="44"/>
  <c r="T51" i="44"/>
  <c r="T47" i="44"/>
  <c r="T43" i="44"/>
  <c r="T54" i="44"/>
  <c r="T50" i="44"/>
  <c r="T46" i="44"/>
  <c r="T42" i="44"/>
  <c r="T24" i="44"/>
  <c r="T10" i="34"/>
  <c r="T54" i="40"/>
  <c r="T46" i="40"/>
  <c r="S21" i="41"/>
  <c r="R11" i="37"/>
  <c r="R16" i="37"/>
  <c r="G40" i="33"/>
  <c r="O4" i="37"/>
  <c r="P4" i="37"/>
  <c r="P9" i="37"/>
  <c r="AB8" i="44"/>
  <c r="T56" i="40"/>
  <c r="AJ7" i="44"/>
  <c r="AA8" i="44"/>
  <c r="X8" i="44"/>
  <c r="AJ6" i="44"/>
  <c r="T47" i="40"/>
  <c r="T58" i="40"/>
  <c r="T57" i="40"/>
  <c r="T51" i="40"/>
  <c r="T49" i="40"/>
  <c r="T50" i="40"/>
  <c r="T48" i="40"/>
  <c r="T55" i="40"/>
  <c r="T53" i="40"/>
  <c r="K41" i="40"/>
  <c r="O41" i="40"/>
  <c r="S41" i="40"/>
  <c r="T74" i="44"/>
  <c r="T56" i="44"/>
  <c r="S59" i="40"/>
  <c r="T38" i="44"/>
  <c r="K59" i="40"/>
  <c r="T20" i="44"/>
  <c r="E41" i="40"/>
  <c r="F41" i="40"/>
  <c r="T77" i="40"/>
  <c r="T95" i="40"/>
  <c r="T52" i="40"/>
  <c r="T60" i="40"/>
  <c r="O59" i="40"/>
  <c r="G59" i="40"/>
  <c r="T45" i="40"/>
  <c r="G42" i="40"/>
  <c r="I40" i="33"/>
  <c r="S20" i="41"/>
  <c r="S16" i="37"/>
  <c r="D18" i="31"/>
  <c r="Q9" i="37"/>
  <c r="AJ8" i="44"/>
  <c r="T59" i="40"/>
  <c r="T42" i="40"/>
  <c r="T16" i="37"/>
  <c r="J40" i="33"/>
  <c r="K40" i="33"/>
  <c r="O11" i="37"/>
  <c r="E18" i="31"/>
  <c r="R9" i="37"/>
  <c r="U51" i="38"/>
  <c r="U16" i="37"/>
  <c r="O15" i="37"/>
  <c r="S9" i="37"/>
  <c r="F18" i="31"/>
  <c r="L40" i="33"/>
  <c r="M40" i="33"/>
  <c r="T9" i="37"/>
  <c r="G18" i="31"/>
  <c r="V4" i="34"/>
  <c r="V5" i="34"/>
  <c r="V6" i="34"/>
  <c r="V7" i="34"/>
  <c r="V8" i="34"/>
  <c r="V9" i="34"/>
  <c r="V10" i="34"/>
  <c r="V11" i="34"/>
  <c r="V12" i="34"/>
  <c r="V13" i="34"/>
  <c r="V14" i="34"/>
  <c r="V16" i="34"/>
  <c r="V17" i="34"/>
  <c r="V18" i="34"/>
  <c r="V20" i="34"/>
  <c r="V21" i="34"/>
  <c r="V22" i="34"/>
  <c r="V23" i="34"/>
  <c r="V25" i="34"/>
  <c r="D63" i="1"/>
  <c r="C12" i="30"/>
  <c r="C13" i="30"/>
  <c r="C14" i="30"/>
  <c r="C15" i="30"/>
  <c r="C16" i="30"/>
  <c r="C11" i="30"/>
  <c r="C6" i="30"/>
  <c r="C7" i="30"/>
  <c r="C8" i="30"/>
  <c r="C9" i="30"/>
  <c r="C5" i="30"/>
  <c r="F22" i="34"/>
  <c r="L22" i="34"/>
  <c r="Q22" i="34"/>
  <c r="D22" i="34"/>
  <c r="E22" i="34"/>
  <c r="H22" i="34"/>
  <c r="M22" i="34"/>
  <c r="R22" i="34"/>
  <c r="P22" i="34"/>
  <c r="I22" i="34"/>
  <c r="N22" i="34"/>
  <c r="J22" i="34"/>
  <c r="E21" i="34"/>
  <c r="J21" i="34"/>
  <c r="P21" i="34"/>
  <c r="F21" i="34"/>
  <c r="L21" i="34"/>
  <c r="Q21" i="34"/>
  <c r="N21" i="34"/>
  <c r="H21" i="34"/>
  <c r="M21" i="34"/>
  <c r="R21" i="34"/>
  <c r="I21" i="34"/>
  <c r="D21" i="34"/>
  <c r="E13" i="34"/>
  <c r="J13" i="34"/>
  <c r="P13" i="34"/>
  <c r="F13" i="34"/>
  <c r="L13" i="34"/>
  <c r="Q13" i="34"/>
  <c r="N13" i="34"/>
  <c r="H13" i="34"/>
  <c r="M13" i="34"/>
  <c r="R13" i="34"/>
  <c r="D13" i="34"/>
  <c r="I13" i="34"/>
  <c r="F14" i="34"/>
  <c r="L14" i="34"/>
  <c r="Q14" i="34"/>
  <c r="D14" i="34"/>
  <c r="E14" i="34"/>
  <c r="P14" i="34"/>
  <c r="H14" i="34"/>
  <c r="M14" i="34"/>
  <c r="R14" i="34"/>
  <c r="I14" i="34"/>
  <c r="N14" i="34"/>
  <c r="J14" i="34"/>
  <c r="I25" i="34"/>
  <c r="N25" i="34"/>
  <c r="H25" i="34"/>
  <c r="E25" i="34"/>
  <c r="J25" i="34"/>
  <c r="P25" i="34"/>
  <c r="R25" i="34"/>
  <c r="F25" i="34"/>
  <c r="L25" i="34"/>
  <c r="Q25" i="34"/>
  <c r="D25" i="34"/>
  <c r="M25" i="34"/>
  <c r="I20" i="34"/>
  <c r="N20" i="34"/>
  <c r="H20" i="34"/>
  <c r="R20" i="34"/>
  <c r="E20" i="34"/>
  <c r="J20" i="34"/>
  <c r="P20" i="34"/>
  <c r="M20" i="34"/>
  <c r="F20" i="34"/>
  <c r="L20" i="34"/>
  <c r="Q20" i="34"/>
  <c r="D20" i="34"/>
  <c r="I16" i="34"/>
  <c r="N16" i="34"/>
  <c r="R16" i="34"/>
  <c r="E16" i="34"/>
  <c r="J16" i="34"/>
  <c r="P16" i="34"/>
  <c r="H16" i="34"/>
  <c r="F16" i="34"/>
  <c r="L16" i="34"/>
  <c r="Q16" i="34"/>
  <c r="D16" i="34"/>
  <c r="M16" i="34"/>
  <c r="E12" i="34"/>
  <c r="J12" i="34"/>
  <c r="P12" i="34"/>
  <c r="D12" i="34"/>
  <c r="F12" i="34"/>
  <c r="L12" i="34"/>
  <c r="Q12" i="34"/>
  <c r="I12" i="34"/>
  <c r="H12" i="34"/>
  <c r="M12" i="34"/>
  <c r="R12" i="34"/>
  <c r="N12" i="34"/>
  <c r="E8" i="34"/>
  <c r="J8" i="34"/>
  <c r="P8" i="34"/>
  <c r="D8" i="34"/>
  <c r="N8" i="34"/>
  <c r="F8" i="34"/>
  <c r="L8" i="34"/>
  <c r="Q8" i="34"/>
  <c r="H8" i="34"/>
  <c r="M8" i="34"/>
  <c r="R8" i="34"/>
  <c r="I8" i="34"/>
  <c r="F18" i="34"/>
  <c r="L18" i="34"/>
  <c r="Q18" i="34"/>
  <c r="D18" i="34"/>
  <c r="E18" i="34"/>
  <c r="H18" i="34"/>
  <c r="M18" i="34"/>
  <c r="R18" i="34"/>
  <c r="J18" i="34"/>
  <c r="I18" i="34"/>
  <c r="N18" i="34"/>
  <c r="P18" i="34"/>
  <c r="E17" i="34"/>
  <c r="J17" i="34"/>
  <c r="P17" i="34"/>
  <c r="D17" i="34"/>
  <c r="F17" i="34"/>
  <c r="L17" i="34"/>
  <c r="Q17" i="34"/>
  <c r="I17" i="34"/>
  <c r="H17" i="34"/>
  <c r="M17" i="34"/>
  <c r="R17" i="34"/>
  <c r="N17" i="34"/>
  <c r="H23" i="34"/>
  <c r="M23" i="34"/>
  <c r="R23" i="34"/>
  <c r="F23" i="34"/>
  <c r="I23" i="34"/>
  <c r="N23" i="34"/>
  <c r="D23" i="34"/>
  <c r="Q23" i="34"/>
  <c r="E23" i="34"/>
  <c r="J23" i="34"/>
  <c r="P23" i="34"/>
  <c r="L23" i="34"/>
  <c r="H19" i="34"/>
  <c r="M19" i="34"/>
  <c r="P27" i="38" s="1"/>
  <c r="R19" i="34"/>
  <c r="F19" i="34"/>
  <c r="I19" i="34"/>
  <c r="N19" i="34"/>
  <c r="D19" i="34"/>
  <c r="G27" i="38" s="1"/>
  <c r="L19" i="34"/>
  <c r="L14" i="45" s="1"/>
  <c r="E19" i="34"/>
  <c r="E14" i="45" s="1"/>
  <c r="J19" i="34"/>
  <c r="P19" i="34"/>
  <c r="P14" i="45" s="1"/>
  <c r="Q19" i="34"/>
  <c r="L7" i="34"/>
  <c r="H7" i="34"/>
  <c r="X16" i="37"/>
  <c r="W16" i="37"/>
  <c r="N40" i="33"/>
  <c r="V16" i="37"/>
  <c r="O40" i="33"/>
  <c r="U9" i="37"/>
  <c r="H18" i="31"/>
  <c r="D13" i="17"/>
  <c r="P7" i="34"/>
  <c r="P40" i="33"/>
  <c r="Q40" i="33"/>
  <c r="Y16" i="37"/>
  <c r="V9" i="37"/>
  <c r="I18" i="31"/>
  <c r="R75" i="14"/>
  <c r="F75" i="14"/>
  <c r="Z16" i="37"/>
  <c r="N57" i="14"/>
  <c r="R39" i="14"/>
  <c r="N39" i="14"/>
  <c r="J57" i="14"/>
  <c r="J39" i="14"/>
  <c r="F39" i="14"/>
  <c r="D21" i="14"/>
  <c r="E21" i="14"/>
  <c r="F21" i="14"/>
  <c r="H21" i="14"/>
  <c r="N21" i="14"/>
  <c r="AA16" i="37"/>
  <c r="J18" i="31"/>
  <c r="E5" i="34"/>
  <c r="I5" i="34"/>
  <c r="J5" i="34"/>
  <c r="L5" i="34"/>
  <c r="M5" i="34"/>
  <c r="N5" i="34"/>
  <c r="P5" i="34"/>
  <c r="Q5" i="34"/>
  <c r="R5" i="34"/>
  <c r="R6" i="34"/>
  <c r="N6" i="34"/>
  <c r="J6" i="34"/>
  <c r="F6" i="34"/>
  <c r="E4" i="34"/>
  <c r="F4" i="34"/>
  <c r="I4" i="34"/>
  <c r="J4" i="34"/>
  <c r="L4" i="34"/>
  <c r="M4" i="34"/>
  <c r="M3" i="34"/>
  <c r="N4" i="34"/>
  <c r="P4" i="34"/>
  <c r="Q4" i="34"/>
  <c r="E9" i="34"/>
  <c r="F9" i="34"/>
  <c r="H9" i="34"/>
  <c r="I9" i="34"/>
  <c r="J9" i="34"/>
  <c r="L9" i="34"/>
  <c r="M9" i="34"/>
  <c r="N9" i="34"/>
  <c r="P9" i="34"/>
  <c r="Q9" i="34"/>
  <c r="R9" i="34"/>
  <c r="E3" i="34"/>
  <c r="I3" i="34"/>
  <c r="J3" i="34"/>
  <c r="L3" i="34"/>
  <c r="N3" i="34"/>
  <c r="P3" i="34"/>
  <c r="Q3" i="34"/>
  <c r="D9" i="34"/>
  <c r="P3" i="31"/>
  <c r="E4" i="31"/>
  <c r="E5" i="31"/>
  <c r="F4" i="31"/>
  <c r="F5" i="31"/>
  <c r="G4" i="31"/>
  <c r="G5" i="31"/>
  <c r="H4" i="31"/>
  <c r="H5" i="31"/>
  <c r="I4" i="31"/>
  <c r="I5" i="31"/>
  <c r="J4" i="31"/>
  <c r="J5" i="31"/>
  <c r="K4" i="31"/>
  <c r="K5" i="31"/>
  <c r="L4" i="31"/>
  <c r="L5" i="31"/>
  <c r="M4" i="31"/>
  <c r="M5" i="31"/>
  <c r="N4" i="31"/>
  <c r="N5" i="31"/>
  <c r="O4" i="31"/>
  <c r="O5" i="31"/>
  <c r="D4" i="31"/>
  <c r="E5" i="19"/>
  <c r="F5" i="19"/>
  <c r="O9" i="34"/>
  <c r="S9" i="34"/>
  <c r="G9" i="34"/>
  <c r="K9" i="34"/>
  <c r="V40" i="33"/>
  <c r="A21" i="37"/>
  <c r="W9" i="37"/>
  <c r="P4" i="31"/>
  <c r="D5" i="31"/>
  <c r="P6" i="31"/>
  <c r="T9" i="34"/>
  <c r="K18" i="31"/>
  <c r="H13" i="31"/>
  <c r="K14" i="31"/>
  <c r="D6" i="17"/>
  <c r="D7" i="17"/>
  <c r="D11" i="17"/>
  <c r="C11" i="10"/>
  <c r="C12" i="10"/>
  <c r="C9" i="10"/>
  <c r="X9" i="37"/>
  <c r="S7" i="14"/>
  <c r="S11" i="14"/>
  <c r="S19" i="14"/>
  <c r="O7" i="14"/>
  <c r="O11" i="14"/>
  <c r="O19" i="14"/>
  <c r="K7" i="14"/>
  <c r="K11" i="14"/>
  <c r="K19" i="14"/>
  <c r="S6" i="14"/>
  <c r="O6" i="14"/>
  <c r="K6" i="14"/>
  <c r="G7" i="14"/>
  <c r="G11" i="14"/>
  <c r="G6" i="14"/>
  <c r="B25" i="3"/>
  <c r="E18" i="2"/>
  <c r="B24" i="3"/>
  <c r="L18" i="31"/>
  <c r="I6" i="14"/>
  <c r="J6" i="14"/>
  <c r="J11" i="14"/>
  <c r="H11" i="14"/>
  <c r="I11" i="14"/>
  <c r="M7" i="14"/>
  <c r="N7" i="14"/>
  <c r="M6" i="14"/>
  <c r="N6" i="14"/>
  <c r="J7" i="14"/>
  <c r="H7" i="14"/>
  <c r="I7" i="14"/>
  <c r="P19" i="14"/>
  <c r="Q19" i="14"/>
  <c r="Q6" i="14"/>
  <c r="R6" i="14"/>
  <c r="R83" i="14"/>
  <c r="L19" i="14"/>
  <c r="M19" i="14"/>
  <c r="N19" i="14"/>
  <c r="Q11" i="14"/>
  <c r="R11" i="14"/>
  <c r="H19" i="14"/>
  <c r="I19" i="14"/>
  <c r="J19" i="14"/>
  <c r="L11" i="14"/>
  <c r="R88" i="14"/>
  <c r="M11" i="14"/>
  <c r="N11" i="14"/>
  <c r="Q7" i="14"/>
  <c r="R7" i="14"/>
  <c r="F17" i="15"/>
  <c r="Y9" i="37"/>
  <c r="R84" i="14"/>
  <c r="R19" i="14"/>
  <c r="K6" i="17"/>
  <c r="H11" i="17"/>
  <c r="BG16" i="2"/>
  <c r="BG18" i="2"/>
  <c r="BB16" i="2"/>
  <c r="BC15" i="2"/>
  <c r="BC14" i="2"/>
  <c r="BC16" i="2"/>
  <c r="G11" i="17"/>
  <c r="AN16" i="2"/>
  <c r="AO15" i="2"/>
  <c r="AO14" i="2"/>
  <c r="AO16" i="2"/>
  <c r="AB11" i="37"/>
  <c r="M18" i="31"/>
  <c r="BG9" i="2"/>
  <c r="Z17" i="2"/>
  <c r="AA16" i="2"/>
  <c r="AA15" i="2"/>
  <c r="AA14" i="2"/>
  <c r="AA17" i="2"/>
  <c r="S12" i="2"/>
  <c r="BG19" i="2"/>
  <c r="AG17" i="2"/>
  <c r="T10" i="2"/>
  <c r="Z9" i="37"/>
  <c r="AC11" i="37"/>
  <c r="AO11" i="37"/>
  <c r="AB15" i="37"/>
  <c r="AH16" i="2"/>
  <c r="AH15" i="2"/>
  <c r="AH14" i="2"/>
  <c r="L26" i="2"/>
  <c r="E8" i="2"/>
  <c r="N18" i="31"/>
  <c r="AH17" i="2"/>
  <c r="M25" i="2"/>
  <c r="M23" i="2"/>
  <c r="M24" i="2"/>
  <c r="M26" i="2"/>
  <c r="AA9" i="37"/>
  <c r="AB4" i="37"/>
  <c r="J9" i="7"/>
  <c r="O18" i="31"/>
  <c r="AB8" i="37"/>
  <c r="J15" i="17"/>
  <c r="J15" i="7"/>
  <c r="F5" i="7"/>
  <c r="F6" i="7"/>
  <c r="F4" i="7"/>
  <c r="J14" i="7"/>
  <c r="F7" i="7"/>
  <c r="E7" i="7"/>
  <c r="M6" i="17"/>
  <c r="J9" i="4"/>
  <c r="F19" i="7"/>
  <c r="J14" i="4"/>
  <c r="G19" i="14"/>
  <c r="R96" i="14"/>
  <c r="E7" i="4"/>
  <c r="F5" i="4"/>
  <c r="F6" i="4"/>
  <c r="F4" i="4"/>
  <c r="F7" i="4"/>
  <c r="X9" i="5"/>
  <c r="M7" i="5"/>
  <c r="X17" i="5"/>
  <c r="C23" i="10"/>
  <c r="T5" i="5"/>
  <c r="X16" i="5"/>
  <c r="F6" i="5"/>
  <c r="F7" i="5"/>
  <c r="F5" i="5"/>
  <c r="F8" i="5"/>
  <c r="M8" i="5"/>
  <c r="M6" i="5"/>
  <c r="X15" i="5"/>
  <c r="C13" i="10"/>
  <c r="AV6" i="2"/>
  <c r="AV7" i="2"/>
  <c r="AV5" i="2"/>
  <c r="F7" i="2"/>
  <c r="F6" i="2"/>
  <c r="F5" i="2"/>
  <c r="F8" i="2"/>
  <c r="AU8" i="2"/>
  <c r="L6" i="17"/>
  <c r="M5" i="5"/>
  <c r="M9" i="5"/>
  <c r="U11" i="2"/>
  <c r="E8" i="5"/>
  <c r="L9" i="5"/>
  <c r="T22" i="5"/>
  <c r="M20" i="5"/>
  <c r="F19" i="5"/>
  <c r="G6" i="4"/>
  <c r="BD14" i="2"/>
  <c r="AP15" i="2"/>
  <c r="BD15" i="2"/>
  <c r="AP14" i="2"/>
  <c r="AB15" i="2"/>
  <c r="U10" i="2"/>
  <c r="AB14" i="2"/>
  <c r="AB17" i="2"/>
  <c r="U9" i="2"/>
  <c r="AB16" i="2"/>
  <c r="AI16" i="2"/>
  <c r="AI14" i="2"/>
  <c r="AI17" i="2"/>
  <c r="AI15" i="2"/>
  <c r="N23" i="2"/>
  <c r="N25" i="2"/>
  <c r="N24" i="2"/>
  <c r="N26" i="2"/>
  <c r="G13" i="4"/>
  <c r="U17" i="5"/>
  <c r="U21" i="5"/>
  <c r="N15" i="5"/>
  <c r="N19" i="5"/>
  <c r="G21" i="5"/>
  <c r="BD24" i="2"/>
  <c r="AW14" i="2"/>
  <c r="AW20" i="2"/>
  <c r="AP24" i="2"/>
  <c r="AI32" i="2"/>
  <c r="AI38" i="2"/>
  <c r="AB25" i="2"/>
  <c r="U18" i="2"/>
  <c r="U24" i="2"/>
  <c r="G19" i="4"/>
  <c r="U19" i="5"/>
  <c r="N21" i="5"/>
  <c r="G19" i="5"/>
  <c r="BD28" i="2"/>
  <c r="AP22" i="2"/>
  <c r="AI34" i="2"/>
  <c r="AB23" i="2"/>
  <c r="U20" i="2"/>
  <c r="G20" i="4"/>
  <c r="U24" i="5"/>
  <c r="N22" i="5"/>
  <c r="G20" i="5"/>
  <c r="BD29" i="2"/>
  <c r="AP23" i="2"/>
  <c r="AI35" i="2"/>
  <c r="U21" i="2"/>
  <c r="G14" i="4"/>
  <c r="G18" i="4"/>
  <c r="U18" i="5"/>
  <c r="U22" i="5"/>
  <c r="N16" i="5"/>
  <c r="N20" i="5"/>
  <c r="G14" i="5"/>
  <c r="G18" i="5"/>
  <c r="BD25" i="2"/>
  <c r="AW15" i="2"/>
  <c r="AW21" i="2"/>
  <c r="AP25" i="2"/>
  <c r="AI33" i="2"/>
  <c r="AI39" i="2"/>
  <c r="AB26" i="2"/>
  <c r="U19" i="2"/>
  <c r="U25" i="2"/>
  <c r="G15" i="4"/>
  <c r="U23" i="5"/>
  <c r="N17" i="5"/>
  <c r="G15" i="5"/>
  <c r="BD22" i="2"/>
  <c r="AW16" i="2"/>
  <c r="AP28" i="2"/>
  <c r="AB29" i="2"/>
  <c r="G16" i="4"/>
  <c r="G16" i="5"/>
  <c r="BD23" i="2"/>
  <c r="AW17" i="2"/>
  <c r="AP29" i="2"/>
  <c r="AB24" i="2"/>
  <c r="AB30" i="2"/>
  <c r="N32" i="2"/>
  <c r="N38" i="2"/>
  <c r="G16" i="2"/>
  <c r="G13" i="7"/>
  <c r="G19" i="7"/>
  <c r="G14" i="7"/>
  <c r="G20" i="7"/>
  <c r="N34" i="2"/>
  <c r="G20" i="2"/>
  <c r="G15" i="7"/>
  <c r="N35" i="2"/>
  <c r="N33" i="2"/>
  <c r="N39" i="2"/>
  <c r="G17" i="2"/>
  <c r="G5" i="7"/>
  <c r="G14" i="2"/>
  <c r="G6" i="7"/>
  <c r="G21" i="7"/>
  <c r="G15" i="2"/>
  <c r="G21" i="2"/>
  <c r="G4" i="7"/>
  <c r="G16" i="7"/>
  <c r="G5" i="4"/>
  <c r="AV8" i="2"/>
  <c r="G5" i="2"/>
  <c r="AW5" i="2"/>
  <c r="N8" i="5"/>
  <c r="G6" i="5"/>
  <c r="U10" i="5"/>
  <c r="U6" i="5"/>
  <c r="N7" i="5"/>
  <c r="N9" i="2"/>
  <c r="G6" i="2"/>
  <c r="AW7" i="2"/>
  <c r="N6" i="5"/>
  <c r="U9" i="5"/>
  <c r="U5" i="2"/>
  <c r="U8" i="2"/>
  <c r="AW6" i="2"/>
  <c r="G5" i="5"/>
  <c r="U8" i="5"/>
  <c r="G4" i="4"/>
  <c r="U6" i="2"/>
  <c r="U7" i="2"/>
  <c r="G7" i="2"/>
  <c r="N5" i="5"/>
  <c r="G7" i="5"/>
  <c r="U5" i="5"/>
  <c r="U7" i="5"/>
  <c r="G8" i="5"/>
  <c r="G7" i="4"/>
  <c r="N9" i="5"/>
  <c r="G7" i="7"/>
  <c r="AP16" i="2"/>
  <c r="BD16" i="2"/>
  <c r="U12" i="2"/>
  <c r="G8" i="2"/>
  <c r="AW8" i="2"/>
  <c r="M7" i="17"/>
  <c r="L10" i="17"/>
  <c r="L11" i="17"/>
  <c r="L7" i="17"/>
  <c r="K10" i="17"/>
  <c r="K11" i="17"/>
  <c r="K7" i="17"/>
  <c r="I10" i="17"/>
  <c r="I11" i="17"/>
  <c r="I7" i="17"/>
  <c r="H10" i="17"/>
  <c r="H7" i="17"/>
  <c r="G10" i="17"/>
  <c r="G7" i="17"/>
  <c r="F10" i="17"/>
  <c r="F11" i="17"/>
  <c r="F7" i="17"/>
  <c r="E11" i="17"/>
  <c r="E10" i="17"/>
  <c r="E7" i="17"/>
  <c r="H5" i="18"/>
  <c r="D10" i="17"/>
  <c r="E13" i="17"/>
  <c r="K13" i="17"/>
  <c r="F13" i="17"/>
  <c r="G13" i="17"/>
  <c r="H13" i="17"/>
  <c r="I13" i="17"/>
  <c r="B3" i="3"/>
  <c r="L13" i="17"/>
  <c r="M13" i="17"/>
  <c r="C18" i="10"/>
  <c r="F16" i="2"/>
  <c r="J11" i="7"/>
  <c r="J10" i="7"/>
  <c r="J11" i="4"/>
  <c r="J10" i="4"/>
  <c r="X12" i="5"/>
  <c r="X11" i="5"/>
  <c r="BG11" i="2"/>
  <c r="BG10" i="2"/>
  <c r="C15" i="10"/>
  <c r="BG8" i="2"/>
  <c r="BG7" i="2"/>
  <c r="C24" i="10"/>
  <c r="J8" i="7"/>
  <c r="J7" i="7"/>
  <c r="J8" i="4"/>
  <c r="J7" i="4"/>
  <c r="X8" i="5"/>
  <c r="X7" i="5"/>
  <c r="C17" i="10"/>
  <c r="C14" i="10"/>
  <c r="C8" i="10"/>
  <c r="E17" i="7"/>
  <c r="F21" i="7"/>
  <c r="F20" i="7"/>
  <c r="F16" i="7"/>
  <c r="F15" i="7"/>
  <c r="F14" i="7"/>
  <c r="F13" i="7"/>
  <c r="E17" i="4"/>
  <c r="B14" i="3"/>
  <c r="G8" i="4"/>
  <c r="E10" i="4"/>
  <c r="F20" i="4"/>
  <c r="F19" i="4"/>
  <c r="F17" i="4"/>
  <c r="F16" i="4"/>
  <c r="F15" i="4"/>
  <c r="F14" i="4"/>
  <c r="F13" i="4"/>
  <c r="T17" i="5"/>
  <c r="T18" i="5"/>
  <c r="T19" i="5"/>
  <c r="T23" i="5"/>
  <c r="T24" i="5"/>
  <c r="D14" i="16"/>
  <c r="S20" i="5"/>
  <c r="U20" i="5"/>
  <c r="S11" i="5"/>
  <c r="X10" i="5"/>
  <c r="C19" i="10"/>
  <c r="T7" i="5"/>
  <c r="T8" i="5"/>
  <c r="T9" i="5"/>
  <c r="T10" i="5"/>
  <c r="T6" i="5"/>
  <c r="M15" i="5"/>
  <c r="M16" i="5"/>
  <c r="M17" i="5"/>
  <c r="M21" i="5"/>
  <c r="M22" i="5"/>
  <c r="L18" i="5"/>
  <c r="F14" i="5"/>
  <c r="F15" i="5"/>
  <c r="F16" i="5"/>
  <c r="F20" i="5"/>
  <c r="F21" i="5"/>
  <c r="E17" i="5"/>
  <c r="C10" i="3"/>
  <c r="C8" i="3"/>
  <c r="C7" i="3"/>
  <c r="AG36" i="2"/>
  <c r="AI36" i="2"/>
  <c r="C3" i="3"/>
  <c r="C6" i="3"/>
  <c r="BC22" i="2"/>
  <c r="BC23" i="2"/>
  <c r="BC24" i="2"/>
  <c r="BC25" i="2"/>
  <c r="BC28" i="2"/>
  <c r="BC29" i="2"/>
  <c r="BB26" i="2"/>
  <c r="BB8" i="2"/>
  <c r="BD8" i="2"/>
  <c r="BB7" i="2"/>
  <c r="BB6" i="2"/>
  <c r="BB5" i="2"/>
  <c r="AV14" i="2"/>
  <c r="AV15" i="2"/>
  <c r="AV16" i="2"/>
  <c r="AV17" i="2"/>
  <c r="AV20" i="2"/>
  <c r="AV21" i="2"/>
  <c r="AU18" i="2"/>
  <c r="AW18" i="2"/>
  <c r="AO22" i="2"/>
  <c r="AO23" i="2"/>
  <c r="AO24" i="2"/>
  <c r="AO25" i="2"/>
  <c r="AO28" i="2"/>
  <c r="AO29" i="2"/>
  <c r="AN26" i="2"/>
  <c r="AP26" i="2"/>
  <c r="AN8" i="2"/>
  <c r="AN7" i="2"/>
  <c r="AN6" i="2"/>
  <c r="AP6" i="2"/>
  <c r="AN5" i="2"/>
  <c r="AH32" i="2"/>
  <c r="AH33" i="2"/>
  <c r="AH34" i="2"/>
  <c r="AH35" i="2"/>
  <c r="AH38" i="2"/>
  <c r="AH39" i="2"/>
  <c r="AG22" i="2"/>
  <c r="AG21" i="2"/>
  <c r="AG20" i="2"/>
  <c r="AI20" i="2"/>
  <c r="AG19" i="2"/>
  <c r="AG8" i="2"/>
  <c r="AG7" i="2"/>
  <c r="AG6" i="2"/>
  <c r="AI6" i="2"/>
  <c r="AG5" i="2"/>
  <c r="AA23" i="2"/>
  <c r="AA24" i="2"/>
  <c r="AA25" i="2"/>
  <c r="AA26" i="2"/>
  <c r="AA29" i="2"/>
  <c r="AA30" i="2"/>
  <c r="Z27" i="2"/>
  <c r="AB27" i="2"/>
  <c r="O25" i="14"/>
  <c r="S25" i="14"/>
  <c r="O29" i="14"/>
  <c r="S29" i="14"/>
  <c r="O37" i="14"/>
  <c r="S37" i="14"/>
  <c r="S24" i="14"/>
  <c r="O24" i="14"/>
  <c r="K25" i="14"/>
  <c r="K29" i="14"/>
  <c r="K37" i="14"/>
  <c r="K24" i="14"/>
  <c r="G25" i="14"/>
  <c r="G29" i="14"/>
  <c r="G37" i="14"/>
  <c r="G24" i="14"/>
  <c r="E92" i="14"/>
  <c r="E93" i="14"/>
  <c r="E94" i="14"/>
  <c r="E95" i="14"/>
  <c r="E96" i="14"/>
  <c r="E97" i="14"/>
  <c r="E91" i="14"/>
  <c r="E88" i="14"/>
  <c r="E89" i="14"/>
  <c r="E87" i="14"/>
  <c r="Z8" i="2"/>
  <c r="Z7" i="2"/>
  <c r="Z6" i="2"/>
  <c r="AB6" i="2"/>
  <c r="Z5" i="2"/>
  <c r="T18" i="2"/>
  <c r="T19" i="2"/>
  <c r="T20" i="2"/>
  <c r="T21" i="2"/>
  <c r="T24" i="2"/>
  <c r="T25" i="2"/>
  <c r="F16" i="15"/>
  <c r="F18" i="15"/>
  <c r="F5" i="15"/>
  <c r="F6" i="15"/>
  <c r="F7" i="15"/>
  <c r="F8" i="15"/>
  <c r="F9" i="15"/>
  <c r="F10" i="15"/>
  <c r="F11" i="15"/>
  <c r="F12" i="15"/>
  <c r="F13" i="15"/>
  <c r="F14" i="15"/>
  <c r="F15" i="15"/>
  <c r="F20" i="15"/>
  <c r="F21" i="15"/>
  <c r="F22" i="15"/>
  <c r="F23" i="15"/>
  <c r="F24" i="15"/>
  <c r="F25" i="15"/>
  <c r="F26" i="15"/>
  <c r="F28" i="15"/>
  <c r="F29" i="15"/>
  <c r="F30" i="15"/>
  <c r="F31" i="15"/>
  <c r="F32" i="15"/>
  <c r="F33" i="15"/>
  <c r="S22" i="2"/>
  <c r="U22" i="2"/>
  <c r="F4" i="15"/>
  <c r="T6" i="2"/>
  <c r="T7" i="2"/>
  <c r="T8" i="2"/>
  <c r="T9" i="2"/>
  <c r="T11" i="2"/>
  <c r="T5" i="2"/>
  <c r="T12" i="2"/>
  <c r="M32" i="2"/>
  <c r="M33" i="2"/>
  <c r="M34" i="2"/>
  <c r="M35" i="2"/>
  <c r="M38" i="2"/>
  <c r="M39" i="2"/>
  <c r="L36" i="2"/>
  <c r="N36" i="2"/>
  <c r="L17" i="2"/>
  <c r="L16" i="2"/>
  <c r="L15" i="2"/>
  <c r="N15" i="2"/>
  <c r="L5" i="2"/>
  <c r="L14" i="2"/>
  <c r="M9" i="2"/>
  <c r="L8" i="2"/>
  <c r="L7" i="2"/>
  <c r="L6" i="2"/>
  <c r="N6" i="2"/>
  <c r="F14" i="2"/>
  <c r="F15" i="2"/>
  <c r="F17" i="2"/>
  <c r="F20" i="2"/>
  <c r="F21" i="2"/>
  <c r="B29" i="3"/>
  <c r="AN27" i="2"/>
  <c r="AP27" i="2"/>
  <c r="G18" i="2"/>
  <c r="M83" i="14"/>
  <c r="N83" i="14"/>
  <c r="M84" i="14"/>
  <c r="N84" i="14"/>
  <c r="M85" i="14"/>
  <c r="N85" i="14"/>
  <c r="M86" i="14"/>
  <c r="N86" i="14"/>
  <c r="M87" i="14"/>
  <c r="N87" i="14"/>
  <c r="M88" i="14"/>
  <c r="N88" i="14"/>
  <c r="M89" i="14"/>
  <c r="N89" i="14"/>
  <c r="M90" i="14"/>
  <c r="N90" i="14"/>
  <c r="M91" i="14"/>
  <c r="N91" i="14"/>
  <c r="M92" i="14"/>
  <c r="N92" i="14"/>
  <c r="M93" i="14"/>
  <c r="N93" i="14"/>
  <c r="M94" i="14"/>
  <c r="N94" i="14"/>
  <c r="M95" i="14"/>
  <c r="N95" i="14"/>
  <c r="P3" i="3"/>
  <c r="L11" i="2"/>
  <c r="P4" i="3"/>
  <c r="Z11" i="2"/>
  <c r="P5" i="3"/>
  <c r="AG11" i="2"/>
  <c r="P6" i="3"/>
  <c r="AG25" i="2"/>
  <c r="P7" i="3"/>
  <c r="AN11" i="2"/>
  <c r="P8" i="3"/>
  <c r="BB11" i="2"/>
  <c r="P2" i="3"/>
  <c r="L20" i="2"/>
  <c r="N8" i="3"/>
  <c r="BB10" i="2"/>
  <c r="N7" i="3"/>
  <c r="AN10" i="2"/>
  <c r="N6" i="3"/>
  <c r="AG24" i="2"/>
  <c r="N5" i="3"/>
  <c r="AG10" i="2"/>
  <c r="N4" i="3"/>
  <c r="Z10" i="2"/>
  <c r="N3" i="3"/>
  <c r="L10" i="2"/>
  <c r="N2" i="3"/>
  <c r="L19" i="2"/>
  <c r="I3" i="3"/>
  <c r="I4" i="3"/>
  <c r="J4" i="3"/>
  <c r="Z9" i="2"/>
  <c r="I5" i="3"/>
  <c r="J5" i="3"/>
  <c r="AG9" i="2"/>
  <c r="I6" i="3"/>
  <c r="J6" i="3"/>
  <c r="AG23" i="2"/>
  <c r="I7" i="3"/>
  <c r="J7" i="3"/>
  <c r="AN9" i="2"/>
  <c r="I8" i="3"/>
  <c r="J8" i="3"/>
  <c r="BB9" i="2"/>
  <c r="BD9" i="2"/>
  <c r="I2" i="3"/>
  <c r="J2" i="3"/>
  <c r="M82" i="14"/>
  <c r="N82" i="14"/>
  <c r="E25" i="14"/>
  <c r="F25" i="14"/>
  <c r="D25" i="14"/>
  <c r="J25" i="14"/>
  <c r="H25" i="14"/>
  <c r="I25" i="14"/>
  <c r="N37" i="14"/>
  <c r="M37" i="14"/>
  <c r="L37" i="14"/>
  <c r="M25" i="14"/>
  <c r="L25" i="14"/>
  <c r="E24" i="14"/>
  <c r="D24" i="14"/>
  <c r="I24" i="14"/>
  <c r="H24" i="14"/>
  <c r="M24" i="14"/>
  <c r="L24" i="14"/>
  <c r="N24" i="14"/>
  <c r="Q29" i="14"/>
  <c r="P29" i="14"/>
  <c r="E37" i="14"/>
  <c r="D37" i="14"/>
  <c r="H37" i="14"/>
  <c r="I37" i="14"/>
  <c r="R24" i="14"/>
  <c r="Q24" i="14"/>
  <c r="P24" i="14"/>
  <c r="M29" i="14"/>
  <c r="L29" i="14"/>
  <c r="E29" i="14"/>
  <c r="D29" i="14"/>
  <c r="H29" i="14"/>
  <c r="J29" i="14"/>
  <c r="I29" i="14"/>
  <c r="Q37" i="14"/>
  <c r="P37" i="14"/>
  <c r="Q25" i="14"/>
  <c r="P25" i="14"/>
  <c r="S48" i="14"/>
  <c r="O48" i="14"/>
  <c r="K48" i="14"/>
  <c r="G48" i="14"/>
  <c r="S55" i="14"/>
  <c r="O55" i="14"/>
  <c r="K55" i="14"/>
  <c r="G55" i="14"/>
  <c r="S51" i="14"/>
  <c r="O51" i="14"/>
  <c r="K51" i="14"/>
  <c r="G51" i="14"/>
  <c r="S47" i="14"/>
  <c r="O47" i="14"/>
  <c r="K47" i="14"/>
  <c r="G47" i="14"/>
  <c r="S43" i="14"/>
  <c r="O43" i="14"/>
  <c r="K43" i="14"/>
  <c r="G43" i="14"/>
  <c r="K8" i="14"/>
  <c r="S8" i="14"/>
  <c r="Q8" i="14"/>
  <c r="R8" i="14"/>
  <c r="G8" i="14"/>
  <c r="G26" i="14"/>
  <c r="O8" i="14"/>
  <c r="O18" i="14"/>
  <c r="K18" i="14"/>
  <c r="G18" i="14"/>
  <c r="G36" i="14"/>
  <c r="S18" i="14"/>
  <c r="O14" i="14"/>
  <c r="G14" i="14"/>
  <c r="S14" i="14"/>
  <c r="K14" i="14"/>
  <c r="K52" i="14"/>
  <c r="G52" i="14"/>
  <c r="S52" i="14"/>
  <c r="O52" i="14"/>
  <c r="S12" i="14"/>
  <c r="K12" i="14"/>
  <c r="O12" i="14"/>
  <c r="G12" i="14"/>
  <c r="O54" i="14"/>
  <c r="K54" i="14"/>
  <c r="G54" i="14"/>
  <c r="S54" i="14"/>
  <c r="O50" i="14"/>
  <c r="K50" i="14"/>
  <c r="G50" i="14"/>
  <c r="S50" i="14"/>
  <c r="O46" i="14"/>
  <c r="K46" i="14"/>
  <c r="G46" i="14"/>
  <c r="S46" i="14"/>
  <c r="O10" i="14"/>
  <c r="K10" i="14"/>
  <c r="G10" i="14"/>
  <c r="S10" i="14"/>
  <c r="K17" i="14"/>
  <c r="G17" i="14"/>
  <c r="G35" i="14"/>
  <c r="S17" i="14"/>
  <c r="O17" i="14"/>
  <c r="K13" i="14"/>
  <c r="G13" i="14"/>
  <c r="G31" i="14"/>
  <c r="O13" i="14"/>
  <c r="S13" i="14"/>
  <c r="K44" i="14"/>
  <c r="G44" i="14"/>
  <c r="S44" i="14"/>
  <c r="O44" i="14"/>
  <c r="S15" i="14"/>
  <c r="O15" i="14"/>
  <c r="G15" i="14"/>
  <c r="K15" i="14"/>
  <c r="O42" i="14"/>
  <c r="K42" i="14"/>
  <c r="S42" i="14"/>
  <c r="G42" i="14"/>
  <c r="K53" i="14"/>
  <c r="G53" i="14"/>
  <c r="O53" i="14"/>
  <c r="S53" i="14"/>
  <c r="K49" i="14"/>
  <c r="G49" i="14"/>
  <c r="S49" i="14"/>
  <c r="O49" i="14"/>
  <c r="K45" i="14"/>
  <c r="G45" i="14"/>
  <c r="O45" i="14"/>
  <c r="S45" i="14"/>
  <c r="K9" i="14"/>
  <c r="G9" i="14"/>
  <c r="O9" i="14"/>
  <c r="S9" i="14"/>
  <c r="G16" i="14"/>
  <c r="F16" i="14"/>
  <c r="S16" i="14"/>
  <c r="O16" i="14"/>
  <c r="K16" i="14"/>
  <c r="F17" i="5"/>
  <c r="G17" i="5"/>
  <c r="G17" i="7"/>
  <c r="M11" i="17"/>
  <c r="J12" i="4"/>
  <c r="G17" i="4"/>
  <c r="M18" i="5"/>
  <c r="N18" i="5"/>
  <c r="D15" i="16"/>
  <c r="E12" i="4"/>
  <c r="G10" i="4"/>
  <c r="H8" i="17"/>
  <c r="BD26" i="2"/>
  <c r="J12" i="7"/>
  <c r="M9" i="17"/>
  <c r="M10" i="17"/>
  <c r="M8" i="17"/>
  <c r="K71" i="14"/>
  <c r="S71" i="14"/>
  <c r="O71" i="14"/>
  <c r="K70" i="14"/>
  <c r="S66" i="14"/>
  <c r="O66" i="14"/>
  <c r="O62" i="14"/>
  <c r="K62" i="14"/>
  <c r="K67" i="14"/>
  <c r="S73" i="14"/>
  <c r="G73" i="14"/>
  <c r="S69" i="14"/>
  <c r="S65" i="14"/>
  <c r="G65" i="14"/>
  <c r="S61" i="14"/>
  <c r="G60" i="14"/>
  <c r="K63" i="14"/>
  <c r="O28" i="14"/>
  <c r="O72" i="14"/>
  <c r="S72" i="14"/>
  <c r="O68" i="14"/>
  <c r="S68" i="14"/>
  <c r="O64" i="14"/>
  <c r="S64" i="14"/>
  <c r="S26" i="14"/>
  <c r="O35" i="14"/>
  <c r="S35" i="14"/>
  <c r="K35" i="14"/>
  <c r="S31" i="14"/>
  <c r="K31" i="14"/>
  <c r="K34" i="14"/>
  <c r="G34" i="14"/>
  <c r="G30" i="14"/>
  <c r="S33" i="14"/>
  <c r="K36" i="14"/>
  <c r="O36" i="14"/>
  <c r="G32" i="14"/>
  <c r="O32" i="14"/>
  <c r="M19" i="2"/>
  <c r="N19" i="2"/>
  <c r="BC11" i="2"/>
  <c r="BD11" i="2"/>
  <c r="AO7" i="2"/>
  <c r="AP7" i="2"/>
  <c r="AH9" i="2"/>
  <c r="AI9" i="2"/>
  <c r="AO10" i="2"/>
  <c r="AP10" i="2"/>
  <c r="M11" i="2"/>
  <c r="N11" i="2"/>
  <c r="M16" i="2"/>
  <c r="N16" i="2"/>
  <c r="AA7" i="2"/>
  <c r="AB7" i="2"/>
  <c r="AO8" i="2"/>
  <c r="AP8" i="2"/>
  <c r="BD6" i="2"/>
  <c r="C22" i="10"/>
  <c r="AA9" i="2"/>
  <c r="AB9" i="2"/>
  <c r="AA10" i="2"/>
  <c r="AB10" i="2"/>
  <c r="BC10" i="2"/>
  <c r="BD10" i="2"/>
  <c r="AH25" i="2"/>
  <c r="AI25" i="2"/>
  <c r="M17" i="2"/>
  <c r="N17" i="2"/>
  <c r="AA8" i="2"/>
  <c r="AB8" i="2"/>
  <c r="AH7" i="2"/>
  <c r="AI7" i="2"/>
  <c r="AH21" i="2"/>
  <c r="AI21" i="2"/>
  <c r="BC7" i="2"/>
  <c r="BD7" i="2"/>
  <c r="AH23" i="2"/>
  <c r="AI23" i="2"/>
  <c r="AH24" i="2"/>
  <c r="AI24" i="2"/>
  <c r="AA11" i="2"/>
  <c r="AB11" i="2"/>
  <c r="M8" i="2"/>
  <c r="N8" i="2"/>
  <c r="BG17" i="2"/>
  <c r="C20" i="10"/>
  <c r="M10" i="2"/>
  <c r="N10" i="2"/>
  <c r="AO11" i="2"/>
  <c r="AP11" i="2"/>
  <c r="AO9" i="2"/>
  <c r="AP9" i="2"/>
  <c r="AH10" i="2"/>
  <c r="AI10" i="2"/>
  <c r="M20" i="2"/>
  <c r="N20" i="2"/>
  <c r="AH11" i="2"/>
  <c r="AI11" i="2"/>
  <c r="M7" i="2"/>
  <c r="N7" i="2"/>
  <c r="AH8" i="2"/>
  <c r="AI8" i="2"/>
  <c r="AH22" i="2"/>
  <c r="AI22" i="2"/>
  <c r="T22" i="2"/>
  <c r="K8" i="17"/>
  <c r="AO26" i="2"/>
  <c r="G8" i="17"/>
  <c r="AH36" i="2"/>
  <c r="F8" i="17"/>
  <c r="F18" i="2"/>
  <c r="D8" i="17"/>
  <c r="M36" i="2"/>
  <c r="I8" i="17"/>
  <c r="AO27" i="2"/>
  <c r="G9" i="17"/>
  <c r="AA27" i="2"/>
  <c r="E8" i="17"/>
  <c r="AV18" i="2"/>
  <c r="L8" i="17"/>
  <c r="C16" i="3"/>
  <c r="F17" i="7"/>
  <c r="C10" i="10"/>
  <c r="L18" i="2"/>
  <c r="AG37" i="2"/>
  <c r="AI37" i="2"/>
  <c r="BB27" i="2"/>
  <c r="S23" i="2"/>
  <c r="U23" i="2"/>
  <c r="L19" i="5"/>
  <c r="M19" i="5"/>
  <c r="T20" i="5"/>
  <c r="X13" i="5"/>
  <c r="E18" i="5"/>
  <c r="F18" i="5"/>
  <c r="Z28" i="2"/>
  <c r="AB28" i="2"/>
  <c r="E19" i="2"/>
  <c r="G19" i="2"/>
  <c r="S21" i="5"/>
  <c r="E18" i="7"/>
  <c r="G18" i="7"/>
  <c r="L37" i="2"/>
  <c r="N37" i="2"/>
  <c r="AU19" i="2"/>
  <c r="E18" i="4"/>
  <c r="F10" i="4"/>
  <c r="AG26" i="2"/>
  <c r="BC8" i="2"/>
  <c r="BG15" i="2"/>
  <c r="C21" i="10"/>
  <c r="BG12" i="2"/>
  <c r="BC9" i="2"/>
  <c r="AN12" i="2"/>
  <c r="G6" i="17"/>
  <c r="T11" i="5"/>
  <c r="U11" i="5"/>
  <c r="BC26" i="2"/>
  <c r="M6" i="2"/>
  <c r="L12" i="2"/>
  <c r="M15" i="2"/>
  <c r="AA6" i="2"/>
  <c r="Z12" i="2"/>
  <c r="E6" i="17"/>
  <c r="AH6" i="2"/>
  <c r="AG12" i="2"/>
  <c r="BB12" i="2"/>
  <c r="H6" i="17"/>
  <c r="BC6" i="2"/>
  <c r="AO6" i="2"/>
  <c r="AH20" i="2"/>
  <c r="K26" i="14"/>
  <c r="S28" i="14"/>
  <c r="S27" i="14"/>
  <c r="K27" i="14"/>
  <c r="S30" i="14"/>
  <c r="K33" i="14"/>
  <c r="O60" i="14"/>
  <c r="O73" i="14"/>
  <c r="O70" i="14"/>
  <c r="G69" i="14"/>
  <c r="O69" i="14"/>
  <c r="O67" i="14"/>
  <c r="O65" i="14"/>
  <c r="S63" i="14"/>
  <c r="O61" i="14"/>
  <c r="O75" i="14"/>
  <c r="M67" i="14"/>
  <c r="M75" i="14"/>
  <c r="N67" i="14"/>
  <c r="N75" i="14"/>
  <c r="L67" i="14"/>
  <c r="L75" i="14"/>
  <c r="L73" i="14"/>
  <c r="M73" i="14"/>
  <c r="L68" i="14"/>
  <c r="M68" i="14"/>
  <c r="H63" i="14"/>
  <c r="I63" i="14"/>
  <c r="R65" i="14"/>
  <c r="P65" i="14"/>
  <c r="Q65" i="14"/>
  <c r="K75" i="14"/>
  <c r="I67" i="14"/>
  <c r="I75" i="14"/>
  <c r="J67" i="14"/>
  <c r="J75" i="14"/>
  <c r="H67" i="14"/>
  <c r="H75" i="14"/>
  <c r="P66" i="14"/>
  <c r="Q66" i="14"/>
  <c r="H71" i="14"/>
  <c r="I71" i="14"/>
  <c r="P45" i="14"/>
  <c r="Q45" i="14"/>
  <c r="R45" i="14"/>
  <c r="O57" i="14"/>
  <c r="M49" i="14"/>
  <c r="M57" i="14"/>
  <c r="L49" i="14"/>
  <c r="L57" i="14"/>
  <c r="P53" i="14"/>
  <c r="Q53" i="14"/>
  <c r="R53" i="14"/>
  <c r="D42" i="14"/>
  <c r="E42" i="14"/>
  <c r="L44" i="14"/>
  <c r="M44" i="14"/>
  <c r="N44" i="14"/>
  <c r="Q46" i="14"/>
  <c r="R46" i="14"/>
  <c r="P46" i="14"/>
  <c r="Q50" i="14"/>
  <c r="R50" i="14"/>
  <c r="P50" i="14"/>
  <c r="Q54" i="14"/>
  <c r="R54" i="14"/>
  <c r="P54" i="14"/>
  <c r="N52" i="14"/>
  <c r="L52" i="14"/>
  <c r="M52" i="14"/>
  <c r="R43" i="14"/>
  <c r="Q43" i="14"/>
  <c r="P43" i="14"/>
  <c r="R47" i="14"/>
  <c r="Q47" i="14"/>
  <c r="P47" i="14"/>
  <c r="R51" i="14"/>
  <c r="Q51" i="14"/>
  <c r="P51" i="14"/>
  <c r="R55" i="14"/>
  <c r="Q55" i="14"/>
  <c r="P55" i="14"/>
  <c r="R48" i="14"/>
  <c r="P48" i="14"/>
  <c r="Q48" i="14"/>
  <c r="L69" i="14"/>
  <c r="M69" i="14"/>
  <c r="M60" i="14"/>
  <c r="L60" i="14"/>
  <c r="P64" i="14"/>
  <c r="Q64" i="14"/>
  <c r="P72" i="14"/>
  <c r="Q72" i="14"/>
  <c r="D60" i="14"/>
  <c r="F60" i="14"/>
  <c r="E60" i="14"/>
  <c r="Q69" i="14"/>
  <c r="P69" i="14"/>
  <c r="J62" i="14"/>
  <c r="H62" i="14"/>
  <c r="I62" i="14"/>
  <c r="J70" i="14"/>
  <c r="H70" i="14"/>
  <c r="I70" i="14"/>
  <c r="O63" i="14"/>
  <c r="M45" i="14"/>
  <c r="N45" i="14"/>
  <c r="L45" i="14"/>
  <c r="S57" i="14"/>
  <c r="P49" i="14"/>
  <c r="P57" i="14"/>
  <c r="Q49" i="14"/>
  <c r="Q57" i="14"/>
  <c r="R49" i="14"/>
  <c r="R57" i="14"/>
  <c r="M53" i="14"/>
  <c r="L53" i="14"/>
  <c r="R42" i="14"/>
  <c r="P42" i="14"/>
  <c r="P56" i="14"/>
  <c r="Q42" i="14"/>
  <c r="S62" i="14"/>
  <c r="P44" i="14"/>
  <c r="Q44" i="14"/>
  <c r="R44" i="14"/>
  <c r="D46" i="14"/>
  <c r="E46" i="14"/>
  <c r="F50" i="14"/>
  <c r="D50" i="14"/>
  <c r="E50" i="14"/>
  <c r="D54" i="14"/>
  <c r="E54" i="14"/>
  <c r="S70" i="14"/>
  <c r="R52" i="14"/>
  <c r="P52" i="14"/>
  <c r="Q52" i="14"/>
  <c r="E43" i="14"/>
  <c r="D43" i="14"/>
  <c r="E47" i="14"/>
  <c r="F47" i="14"/>
  <c r="D47" i="14"/>
  <c r="D51" i="14"/>
  <c r="F51" i="14"/>
  <c r="E51" i="14"/>
  <c r="E55" i="14"/>
  <c r="F55" i="14"/>
  <c r="D55" i="14"/>
  <c r="E48" i="14"/>
  <c r="D48" i="14"/>
  <c r="L61" i="14"/>
  <c r="M61" i="14"/>
  <c r="P63" i="14"/>
  <c r="Q63" i="14"/>
  <c r="R63" i="14"/>
  <c r="D69" i="14"/>
  <c r="E69" i="14"/>
  <c r="L64" i="14"/>
  <c r="M64" i="14"/>
  <c r="M72" i="14"/>
  <c r="N72" i="14"/>
  <c r="L72" i="14"/>
  <c r="Q61" i="14"/>
  <c r="P61" i="14"/>
  <c r="D73" i="14"/>
  <c r="E73" i="14"/>
  <c r="L62" i="14"/>
  <c r="M62" i="14"/>
  <c r="L71" i="14"/>
  <c r="M71" i="14"/>
  <c r="G63" i="14"/>
  <c r="E45" i="14"/>
  <c r="D45" i="14"/>
  <c r="G67" i="14"/>
  <c r="D49" i="14"/>
  <c r="E49" i="14"/>
  <c r="G71" i="14"/>
  <c r="E53" i="14"/>
  <c r="D53" i="14"/>
  <c r="K60" i="14"/>
  <c r="I42" i="14"/>
  <c r="H42" i="14"/>
  <c r="G62" i="14"/>
  <c r="D44" i="14"/>
  <c r="E44" i="14"/>
  <c r="K64" i="14"/>
  <c r="H46" i="14"/>
  <c r="I46" i="14"/>
  <c r="K68" i="14"/>
  <c r="H50" i="14"/>
  <c r="J50" i="14"/>
  <c r="I50" i="14"/>
  <c r="K72" i="14"/>
  <c r="H54" i="14"/>
  <c r="I54" i="14"/>
  <c r="G70" i="14"/>
  <c r="D52" i="14"/>
  <c r="E52" i="14"/>
  <c r="F52" i="14"/>
  <c r="K61" i="14"/>
  <c r="I43" i="14"/>
  <c r="H43" i="14"/>
  <c r="K65" i="14"/>
  <c r="I47" i="14"/>
  <c r="H47" i="14"/>
  <c r="K69" i="14"/>
  <c r="H51" i="14"/>
  <c r="I51" i="14"/>
  <c r="J51" i="14"/>
  <c r="K73" i="14"/>
  <c r="J55" i="14"/>
  <c r="I55" i="14"/>
  <c r="H55" i="14"/>
  <c r="K66" i="14"/>
  <c r="H48" i="14"/>
  <c r="I48" i="14"/>
  <c r="M65" i="14"/>
  <c r="L65" i="14"/>
  <c r="N70" i="14"/>
  <c r="L70" i="14"/>
  <c r="M70" i="14"/>
  <c r="P68" i="14"/>
  <c r="Q68" i="14"/>
  <c r="D65" i="14"/>
  <c r="E65" i="14"/>
  <c r="P73" i="14"/>
  <c r="Q73" i="14"/>
  <c r="L66" i="14"/>
  <c r="M66" i="14"/>
  <c r="P71" i="14"/>
  <c r="Q71" i="14"/>
  <c r="J45" i="14"/>
  <c r="H45" i="14"/>
  <c r="I45" i="14"/>
  <c r="K57" i="14"/>
  <c r="I49" i="14"/>
  <c r="I57" i="14"/>
  <c r="H49" i="14"/>
  <c r="H57" i="14"/>
  <c r="I53" i="14"/>
  <c r="H53" i="14"/>
  <c r="M42" i="14"/>
  <c r="L42" i="14"/>
  <c r="H44" i="14"/>
  <c r="I44" i="14"/>
  <c r="M46" i="14"/>
  <c r="L46" i="14"/>
  <c r="M50" i="14"/>
  <c r="L50" i="14"/>
  <c r="M54" i="14"/>
  <c r="L54" i="14"/>
  <c r="I52" i="14"/>
  <c r="J52" i="14"/>
  <c r="H52" i="14"/>
  <c r="L43" i="14"/>
  <c r="M43" i="14"/>
  <c r="L47" i="14"/>
  <c r="M47" i="14"/>
  <c r="L51" i="14"/>
  <c r="M51" i="14"/>
  <c r="N55" i="14"/>
  <c r="L55" i="14"/>
  <c r="M55" i="14"/>
  <c r="L48" i="14"/>
  <c r="M48" i="14"/>
  <c r="Q27" i="14"/>
  <c r="P27" i="14"/>
  <c r="P30" i="14"/>
  <c r="Q30" i="14"/>
  <c r="I26" i="14"/>
  <c r="H26" i="14"/>
  <c r="M36" i="14"/>
  <c r="L36" i="14"/>
  <c r="E34" i="14"/>
  <c r="D34" i="14"/>
  <c r="I35" i="14"/>
  <c r="H35" i="14"/>
  <c r="O34" i="14"/>
  <c r="L16" i="14"/>
  <c r="M16" i="14"/>
  <c r="O27" i="14"/>
  <c r="M9" i="14"/>
  <c r="N9" i="14"/>
  <c r="M13" i="14"/>
  <c r="L13" i="14"/>
  <c r="P17" i="14"/>
  <c r="Q17" i="14"/>
  <c r="R17" i="14"/>
  <c r="R94" i="14"/>
  <c r="D10" i="14"/>
  <c r="D20" i="14"/>
  <c r="U6" i="20"/>
  <c r="E10" i="14"/>
  <c r="E20" i="14"/>
  <c r="V6" i="20"/>
  <c r="F10" i="14"/>
  <c r="F20" i="14"/>
  <c r="W6" i="20"/>
  <c r="O30" i="14"/>
  <c r="L12" i="14"/>
  <c r="M12" i="14"/>
  <c r="N12" i="14"/>
  <c r="K32" i="14"/>
  <c r="J14" i="14"/>
  <c r="I14" i="14"/>
  <c r="S36" i="14"/>
  <c r="Q18" i="14"/>
  <c r="O26" i="14"/>
  <c r="M8" i="14"/>
  <c r="N8" i="14"/>
  <c r="I27" i="14"/>
  <c r="H27" i="14"/>
  <c r="I36" i="14"/>
  <c r="H36" i="14"/>
  <c r="I34" i="14"/>
  <c r="H34" i="14"/>
  <c r="Q35" i="14"/>
  <c r="P35" i="14"/>
  <c r="S34" i="14"/>
  <c r="Q16" i="14"/>
  <c r="R16" i="14"/>
  <c r="O33" i="14"/>
  <c r="M15" i="14"/>
  <c r="L15" i="14"/>
  <c r="E31" i="14"/>
  <c r="E39" i="14"/>
  <c r="D31" i="14"/>
  <c r="D39" i="14"/>
  <c r="E35" i="14"/>
  <c r="D35" i="14"/>
  <c r="K28" i="14"/>
  <c r="J10" i="14"/>
  <c r="I10" i="14"/>
  <c r="K30" i="14"/>
  <c r="J12" i="14"/>
  <c r="I12" i="14"/>
  <c r="S32" i="14"/>
  <c r="Q14" i="14"/>
  <c r="R14" i="14"/>
  <c r="R91" i="14"/>
  <c r="D36" i="14"/>
  <c r="E36" i="14"/>
  <c r="E26" i="14"/>
  <c r="D26" i="14"/>
  <c r="M32" i="14"/>
  <c r="L32" i="14"/>
  <c r="N32" i="14"/>
  <c r="R33" i="14"/>
  <c r="Q33" i="14"/>
  <c r="P33" i="14"/>
  <c r="K39" i="14"/>
  <c r="I31" i="14"/>
  <c r="I39" i="14"/>
  <c r="H31" i="14"/>
  <c r="H39" i="14"/>
  <c r="L35" i="14"/>
  <c r="M35" i="14"/>
  <c r="M28" i="14"/>
  <c r="L28" i="14"/>
  <c r="I9" i="14"/>
  <c r="J9" i="14"/>
  <c r="R15" i="14"/>
  <c r="Q15" i="14"/>
  <c r="I13" i="14"/>
  <c r="J13" i="14"/>
  <c r="I17" i="14"/>
  <c r="J17" i="14"/>
  <c r="N10" i="14"/>
  <c r="L10" i="14"/>
  <c r="M10" i="14"/>
  <c r="Q12" i="14"/>
  <c r="R12" i="14"/>
  <c r="J18" i="14"/>
  <c r="I18" i="14"/>
  <c r="H33" i="14"/>
  <c r="I33" i="14"/>
  <c r="Q28" i="14"/>
  <c r="P28" i="14"/>
  <c r="D32" i="14"/>
  <c r="F32" i="14"/>
  <c r="E32" i="14"/>
  <c r="E30" i="14"/>
  <c r="D30" i="14"/>
  <c r="S39" i="14"/>
  <c r="Q31" i="14"/>
  <c r="Q39" i="14"/>
  <c r="P31" i="14"/>
  <c r="P39" i="14"/>
  <c r="P26" i="14"/>
  <c r="Q26" i="14"/>
  <c r="H16" i="14"/>
  <c r="J16" i="14"/>
  <c r="I16" i="14"/>
  <c r="Q9" i="14"/>
  <c r="R9" i="14"/>
  <c r="J15" i="14"/>
  <c r="I15" i="14"/>
  <c r="H15" i="14"/>
  <c r="H20" i="14"/>
  <c r="Q13" i="14"/>
  <c r="R13" i="14"/>
  <c r="R90" i="14"/>
  <c r="P13" i="14"/>
  <c r="M17" i="14"/>
  <c r="N17" i="14"/>
  <c r="L17" i="14"/>
  <c r="Q10" i="14"/>
  <c r="R10" i="14"/>
  <c r="L14" i="14"/>
  <c r="M14" i="14"/>
  <c r="L18" i="14"/>
  <c r="M18" i="14"/>
  <c r="J8" i="14"/>
  <c r="I8" i="14"/>
  <c r="S56" i="14"/>
  <c r="R92" i="14"/>
  <c r="S87" i="14"/>
  <c r="S91" i="14"/>
  <c r="S95" i="14"/>
  <c r="S84" i="14"/>
  <c r="T84" i="14"/>
  <c r="S88" i="14"/>
  <c r="T88" i="14"/>
  <c r="S92" i="14"/>
  <c r="S96" i="14"/>
  <c r="T96" i="14"/>
  <c r="S89" i="14"/>
  <c r="G75" i="14"/>
  <c r="O20" i="14"/>
  <c r="O21" i="14"/>
  <c r="G61" i="14"/>
  <c r="G72" i="14"/>
  <c r="O31" i="14"/>
  <c r="S60" i="14"/>
  <c r="G66" i="14"/>
  <c r="S86" i="14"/>
  <c r="S90" i="14"/>
  <c r="G57" i="14"/>
  <c r="S94" i="14"/>
  <c r="K56" i="14"/>
  <c r="S85" i="14"/>
  <c r="G20" i="14"/>
  <c r="G21" i="14"/>
  <c r="S93" i="14"/>
  <c r="R95" i="14"/>
  <c r="R85" i="14"/>
  <c r="G39" i="14"/>
  <c r="G68" i="14"/>
  <c r="R93" i="14"/>
  <c r="O56" i="14"/>
  <c r="K21" i="14"/>
  <c r="K20" i="14"/>
  <c r="G33" i="14"/>
  <c r="G64" i="14"/>
  <c r="G28" i="14"/>
  <c r="S67" i="14"/>
  <c r="G27" i="14"/>
  <c r="S83" i="14"/>
  <c r="T83" i="14"/>
  <c r="G56" i="14"/>
  <c r="S21" i="14"/>
  <c r="S20" i="14"/>
  <c r="R89" i="14"/>
  <c r="O74" i="14"/>
  <c r="AF8" i="20"/>
  <c r="N8" i="20"/>
  <c r="K74" i="14"/>
  <c r="AB8" i="20"/>
  <c r="S38" i="14"/>
  <c r="AJ7" i="20"/>
  <c r="K38" i="14"/>
  <c r="AB7" i="20"/>
  <c r="AI12" i="2"/>
  <c r="N12" i="2"/>
  <c r="F6" i="17"/>
  <c r="BG13" i="2"/>
  <c r="AW19" i="2"/>
  <c r="H9" i="17"/>
  <c r="BD27" i="2"/>
  <c r="M18" i="2"/>
  <c r="M21" i="2"/>
  <c r="N18" i="2"/>
  <c r="N21" i="2"/>
  <c r="M12" i="2"/>
  <c r="AB12" i="2"/>
  <c r="L21" i="2"/>
  <c r="I6" i="17"/>
  <c r="X14" i="5"/>
  <c r="M37" i="2"/>
  <c r="I9" i="17"/>
  <c r="AA28" i="2"/>
  <c r="E9" i="17"/>
  <c r="T23" i="2"/>
  <c r="K9" i="17"/>
  <c r="BG14" i="2"/>
  <c r="BC27" i="2"/>
  <c r="AV19" i="2"/>
  <c r="L9" i="17"/>
  <c r="F19" i="2"/>
  <c r="D9" i="17"/>
  <c r="AH37" i="2"/>
  <c r="F9" i="17"/>
  <c r="J13" i="4"/>
  <c r="F18" i="4"/>
  <c r="T21" i="5"/>
  <c r="AH12" i="2"/>
  <c r="J13" i="7"/>
  <c r="F18" i="7"/>
  <c r="J4" i="4"/>
  <c r="G12" i="4"/>
  <c r="E11" i="4"/>
  <c r="AA12" i="2"/>
  <c r="BC12" i="2"/>
  <c r="BD12" i="2"/>
  <c r="AO12" i="2"/>
  <c r="AP12" i="2"/>
  <c r="AH26" i="2"/>
  <c r="AI26" i="2"/>
  <c r="B12" i="3"/>
  <c r="N10" i="5"/>
  <c r="L12" i="5"/>
  <c r="B11" i="3"/>
  <c r="G9" i="5"/>
  <c r="E11" i="5"/>
  <c r="B15" i="3"/>
  <c r="G8" i="7"/>
  <c r="E10" i="7"/>
  <c r="E12" i="7"/>
  <c r="B13" i="3"/>
  <c r="U12" i="5"/>
  <c r="S14" i="5"/>
  <c r="B10" i="3"/>
  <c r="BD17" i="2"/>
  <c r="BB19" i="2"/>
  <c r="B9" i="3"/>
  <c r="AW9" i="2"/>
  <c r="AU11" i="2"/>
  <c r="B8" i="3"/>
  <c r="B7" i="3"/>
  <c r="AI27" i="2"/>
  <c r="AG29" i="2"/>
  <c r="B6" i="3"/>
  <c r="AB18" i="2"/>
  <c r="Z20" i="2"/>
  <c r="B5" i="3"/>
  <c r="U13" i="2"/>
  <c r="S15" i="2"/>
  <c r="B4" i="3"/>
  <c r="N27" i="2"/>
  <c r="L29" i="2"/>
  <c r="G9" i="2"/>
  <c r="E30" i="1"/>
  <c r="E41" i="1"/>
  <c r="E52" i="1"/>
  <c r="E58" i="1"/>
  <c r="S75" i="14"/>
  <c r="Q67" i="14"/>
  <c r="Q75" i="14"/>
  <c r="P67" i="14"/>
  <c r="P75" i="14"/>
  <c r="T93" i="14"/>
  <c r="M56" i="14"/>
  <c r="J56" i="14"/>
  <c r="H61" i="14"/>
  <c r="I61" i="14"/>
  <c r="D70" i="14"/>
  <c r="E70" i="14"/>
  <c r="F70" i="14"/>
  <c r="I60" i="14"/>
  <c r="H60" i="14"/>
  <c r="R56" i="14"/>
  <c r="D64" i="14"/>
  <c r="E64" i="14"/>
  <c r="D68" i="14"/>
  <c r="E68" i="14"/>
  <c r="D72" i="14"/>
  <c r="E72" i="14"/>
  <c r="H65" i="14"/>
  <c r="I65" i="14"/>
  <c r="D62" i="14"/>
  <c r="E62" i="14"/>
  <c r="D63" i="14"/>
  <c r="E63" i="14"/>
  <c r="Q62" i="14"/>
  <c r="P62" i="14"/>
  <c r="N56" i="14"/>
  <c r="D66" i="14"/>
  <c r="E66" i="14"/>
  <c r="D61" i="14"/>
  <c r="E61" i="14"/>
  <c r="F61" i="14"/>
  <c r="H66" i="14"/>
  <c r="I66" i="14"/>
  <c r="J66" i="14"/>
  <c r="J73" i="14"/>
  <c r="H73" i="14"/>
  <c r="I73" i="14"/>
  <c r="H69" i="14"/>
  <c r="I69" i="14"/>
  <c r="I64" i="14"/>
  <c r="J64" i="14"/>
  <c r="H64" i="14"/>
  <c r="H56" i="14"/>
  <c r="Y6" i="20"/>
  <c r="D67" i="14"/>
  <c r="D75" i="14"/>
  <c r="E67" i="14"/>
  <c r="E75" i="14"/>
  <c r="P70" i="14"/>
  <c r="Q70" i="14"/>
  <c r="R70" i="14"/>
  <c r="R74" i="14"/>
  <c r="AI8" i="20"/>
  <c r="Q56" i="14"/>
  <c r="N63" i="14"/>
  <c r="N74" i="14"/>
  <c r="AE8" i="20"/>
  <c r="L63" i="14"/>
  <c r="M63" i="14"/>
  <c r="X6" i="20"/>
  <c r="F6" i="20"/>
  <c r="Q60" i="14"/>
  <c r="P60" i="14"/>
  <c r="P74" i="14"/>
  <c r="AG8" i="20"/>
  <c r="L56" i="14"/>
  <c r="I72" i="14"/>
  <c r="J72" i="14"/>
  <c r="H72" i="14"/>
  <c r="H68" i="14"/>
  <c r="I68" i="14"/>
  <c r="I56" i="14"/>
  <c r="E71" i="14"/>
  <c r="F71" i="14"/>
  <c r="D71" i="14"/>
  <c r="M74" i="14"/>
  <c r="AD8" i="20"/>
  <c r="R87" i="14"/>
  <c r="R86" i="14"/>
  <c r="D28" i="14"/>
  <c r="E28" i="14"/>
  <c r="O39" i="14"/>
  <c r="L31" i="14"/>
  <c r="M31" i="14"/>
  <c r="M39" i="14"/>
  <c r="I20" i="14"/>
  <c r="Z6" i="20"/>
  <c r="I21" i="14"/>
  <c r="I28" i="14"/>
  <c r="I38" i="14"/>
  <c r="Z7" i="20"/>
  <c r="H28" i="14"/>
  <c r="N26" i="14"/>
  <c r="M26" i="14"/>
  <c r="L26" i="14"/>
  <c r="AN6" i="20"/>
  <c r="C6" i="20"/>
  <c r="L21" i="14"/>
  <c r="L20" i="14"/>
  <c r="L27" i="14"/>
  <c r="M27" i="14"/>
  <c r="AF6" i="20"/>
  <c r="AY6" i="20"/>
  <c r="BH6" i="20"/>
  <c r="BN6" i="20"/>
  <c r="BT6" i="20"/>
  <c r="BZ6" i="20"/>
  <c r="CF6" i="20"/>
  <c r="P20" i="14"/>
  <c r="P21" i="14"/>
  <c r="I30" i="14"/>
  <c r="H30" i="14"/>
  <c r="J32" i="14"/>
  <c r="J38" i="14"/>
  <c r="AA7" i="20"/>
  <c r="I32" i="14"/>
  <c r="H32" i="14"/>
  <c r="M30" i="14"/>
  <c r="L30" i="14"/>
  <c r="M20" i="14"/>
  <c r="AD6" i="20"/>
  <c r="M21" i="14"/>
  <c r="E27" i="14"/>
  <c r="D27" i="14"/>
  <c r="D38" i="14"/>
  <c r="U7" i="20"/>
  <c r="E33" i="14"/>
  <c r="D33" i="14"/>
  <c r="F33" i="14"/>
  <c r="F38" i="14"/>
  <c r="W7" i="20"/>
  <c r="R21" i="14"/>
  <c r="R20" i="14"/>
  <c r="AI6" i="20"/>
  <c r="R32" i="14"/>
  <c r="R38" i="14"/>
  <c r="AI7" i="20"/>
  <c r="Q32" i="14"/>
  <c r="Q38" i="14"/>
  <c r="AH7" i="20"/>
  <c r="P32" i="14"/>
  <c r="P38" i="14"/>
  <c r="AG7" i="20"/>
  <c r="P34" i="14"/>
  <c r="Q34" i="14"/>
  <c r="N20" i="14"/>
  <c r="AE6" i="20"/>
  <c r="Q36" i="14"/>
  <c r="P36" i="14"/>
  <c r="AP6" i="20"/>
  <c r="E6" i="20"/>
  <c r="Q20" i="14"/>
  <c r="AH6" i="20"/>
  <c r="Q21" i="14"/>
  <c r="J21" i="14"/>
  <c r="J20" i="14"/>
  <c r="M33" i="14"/>
  <c r="L33" i="14"/>
  <c r="N33" i="14"/>
  <c r="AO6" i="20"/>
  <c r="D6" i="20"/>
  <c r="M34" i="14"/>
  <c r="L34" i="14"/>
  <c r="AU7" i="20"/>
  <c r="J7" i="20"/>
  <c r="AU8" i="20"/>
  <c r="BG8" i="20"/>
  <c r="BM8" i="20"/>
  <c r="BS8" i="20"/>
  <c r="BY8" i="20"/>
  <c r="CE8" i="20"/>
  <c r="J8" i="20"/>
  <c r="T89" i="14"/>
  <c r="T95" i="14"/>
  <c r="O38" i="14"/>
  <c r="AF7" i="20"/>
  <c r="AY7" i="20"/>
  <c r="G38" i="14"/>
  <c r="X7" i="20"/>
  <c r="T91" i="14"/>
  <c r="T94" i="14"/>
  <c r="S74" i="14"/>
  <c r="T87" i="14"/>
  <c r="AJ6" i="20"/>
  <c r="R6" i="20"/>
  <c r="T92" i="14"/>
  <c r="G74" i="14"/>
  <c r="N6" i="20"/>
  <c r="T85" i="14"/>
  <c r="AB6" i="20"/>
  <c r="J6" i="20"/>
  <c r="AY8" i="20"/>
  <c r="BH8" i="20"/>
  <c r="BN8" i="20"/>
  <c r="BT8" i="20"/>
  <c r="BZ8" i="20"/>
  <c r="CF8" i="20"/>
  <c r="T86" i="14"/>
  <c r="T90" i="14"/>
  <c r="R7" i="20"/>
  <c r="BC7" i="20"/>
  <c r="BI7" i="20"/>
  <c r="BG7" i="20"/>
  <c r="E13" i="5"/>
  <c r="G11" i="5"/>
  <c r="L14" i="5"/>
  <c r="N12" i="5"/>
  <c r="E11" i="2"/>
  <c r="E13" i="2"/>
  <c r="S16" i="5"/>
  <c r="U14" i="5"/>
  <c r="AP17" i="2"/>
  <c r="AW11" i="2"/>
  <c r="AU13" i="2"/>
  <c r="BD19" i="2"/>
  <c r="BB21" i="2"/>
  <c r="N29" i="2"/>
  <c r="L31" i="2"/>
  <c r="U15" i="2"/>
  <c r="S17" i="2"/>
  <c r="F11" i="2"/>
  <c r="J5" i="4"/>
  <c r="G11" i="4"/>
  <c r="E59" i="1"/>
  <c r="M5" i="25"/>
  <c r="F11" i="4"/>
  <c r="J6" i="4"/>
  <c r="F12" i="4"/>
  <c r="E21" i="4"/>
  <c r="E22" i="4"/>
  <c r="H21" i="4"/>
  <c r="G10" i="7"/>
  <c r="U16" i="5"/>
  <c r="S15" i="5"/>
  <c r="U15" i="5"/>
  <c r="AU12" i="2"/>
  <c r="S16" i="2"/>
  <c r="Z21" i="2"/>
  <c r="B16" i="3"/>
  <c r="AF9" i="20"/>
  <c r="AF11" i="20"/>
  <c r="L74" i="14"/>
  <c r="AC8" i="20"/>
  <c r="J74" i="14"/>
  <c r="AA8" i="20"/>
  <c r="I8" i="20"/>
  <c r="D74" i="14"/>
  <c r="U8" i="20"/>
  <c r="E74" i="14"/>
  <c r="V8" i="20"/>
  <c r="Q74" i="14"/>
  <c r="AH8" i="20"/>
  <c r="P8" i="20"/>
  <c r="F74" i="14"/>
  <c r="W8" i="20"/>
  <c r="E8" i="20"/>
  <c r="AT8" i="20"/>
  <c r="AN8" i="20"/>
  <c r="C8" i="20"/>
  <c r="D8" i="20"/>
  <c r="AO8" i="20"/>
  <c r="Q8" i="20"/>
  <c r="BB8" i="20"/>
  <c r="G6" i="20"/>
  <c r="AR6" i="20"/>
  <c r="AP8" i="20"/>
  <c r="W9" i="20"/>
  <c r="W10" i="20"/>
  <c r="AX8" i="20"/>
  <c r="M8" i="20"/>
  <c r="I74" i="14"/>
  <c r="Z8" i="20"/>
  <c r="O8" i="20"/>
  <c r="AZ8" i="20"/>
  <c r="AW8" i="20"/>
  <c r="L8" i="20"/>
  <c r="AV8" i="20"/>
  <c r="K8" i="20"/>
  <c r="AJ8" i="20"/>
  <c r="BC8" i="20"/>
  <c r="BI8" i="20"/>
  <c r="BO8" i="20"/>
  <c r="BU8" i="20"/>
  <c r="CA8" i="20"/>
  <c r="CG8" i="20"/>
  <c r="H74" i="14"/>
  <c r="Y8" i="20"/>
  <c r="O7" i="20"/>
  <c r="AZ7" i="20"/>
  <c r="P7" i="20"/>
  <c r="BA7" i="20"/>
  <c r="Q7" i="20"/>
  <c r="BB7" i="20"/>
  <c r="E38" i="14"/>
  <c r="V7" i="20"/>
  <c r="I7" i="20"/>
  <c r="AT7" i="20"/>
  <c r="AG6" i="20"/>
  <c r="AC6" i="20"/>
  <c r="H38" i="14"/>
  <c r="Y7" i="20"/>
  <c r="L39" i="14"/>
  <c r="P6" i="20"/>
  <c r="BA6" i="20"/>
  <c r="AH9" i="20"/>
  <c r="Q6" i="20"/>
  <c r="BB6" i="20"/>
  <c r="AI9" i="20"/>
  <c r="L38" i="14"/>
  <c r="AC7" i="20"/>
  <c r="H7" i="20"/>
  <c r="AS7" i="20"/>
  <c r="F7" i="20"/>
  <c r="AK7" i="20"/>
  <c r="AA6" i="20"/>
  <c r="M38" i="14"/>
  <c r="AD7" i="20"/>
  <c r="AD9" i="20"/>
  <c r="AK6" i="20"/>
  <c r="M6" i="20"/>
  <c r="AX6" i="20"/>
  <c r="E7" i="20"/>
  <c r="AP7" i="20"/>
  <c r="AP9" i="20"/>
  <c r="C7" i="20"/>
  <c r="C9" i="20"/>
  <c r="AN7" i="20"/>
  <c r="L6" i="20"/>
  <c r="AW6" i="20"/>
  <c r="U9" i="20"/>
  <c r="N38" i="14"/>
  <c r="AE7" i="20"/>
  <c r="H6" i="20"/>
  <c r="AS6" i="20"/>
  <c r="S6" i="20"/>
  <c r="N7" i="20"/>
  <c r="N9" i="20"/>
  <c r="N10" i="20"/>
  <c r="J15" i="4"/>
  <c r="C31" i="10"/>
  <c r="G11" i="19"/>
  <c r="R8" i="20"/>
  <c r="R9" i="20"/>
  <c r="AJ9" i="20"/>
  <c r="AJ10" i="20"/>
  <c r="BC6" i="20"/>
  <c r="BI6" i="20"/>
  <c r="BO6" i="20"/>
  <c r="BU6" i="20"/>
  <c r="CA6" i="20"/>
  <c r="CG6" i="20"/>
  <c r="AF10" i="20"/>
  <c r="X8" i="20"/>
  <c r="AQ7" i="20"/>
  <c r="AY9" i="20"/>
  <c r="AY10" i="20"/>
  <c r="AQ6" i="20"/>
  <c r="AU6" i="20"/>
  <c r="J9" i="20"/>
  <c r="BH7" i="20"/>
  <c r="AB9" i="20"/>
  <c r="AB11" i="20"/>
  <c r="BO7" i="20"/>
  <c r="BM7" i="20"/>
  <c r="G11" i="2"/>
  <c r="AN19" i="2"/>
  <c r="BG4" i="2"/>
  <c r="S26" i="2"/>
  <c r="S27" i="2"/>
  <c r="K5" i="17"/>
  <c r="K12" i="17"/>
  <c r="K14" i="17"/>
  <c r="AB20" i="2"/>
  <c r="Z22" i="2"/>
  <c r="E5" i="17"/>
  <c r="E12" i="17"/>
  <c r="E14" i="17"/>
  <c r="E16" i="17"/>
  <c r="AI29" i="2"/>
  <c r="AG31" i="2"/>
  <c r="AA21" i="2"/>
  <c r="AB21" i="2"/>
  <c r="AV12" i="2"/>
  <c r="AW12" i="2"/>
  <c r="T16" i="2"/>
  <c r="U16" i="2"/>
  <c r="L5" i="17"/>
  <c r="L12" i="17"/>
  <c r="L14" i="17"/>
  <c r="BD21" i="2"/>
  <c r="BB20" i="2"/>
  <c r="G21" i="4"/>
  <c r="G22" i="4"/>
  <c r="F21" i="4"/>
  <c r="F22" i="4"/>
  <c r="E12" i="5"/>
  <c r="E22" i="5"/>
  <c r="E23" i="5"/>
  <c r="G13" i="5"/>
  <c r="J4" i="7"/>
  <c r="G12" i="7"/>
  <c r="F10" i="7"/>
  <c r="E11" i="7"/>
  <c r="L30" i="2"/>
  <c r="AG30" i="2"/>
  <c r="L13" i="5"/>
  <c r="E12" i="2"/>
  <c r="E22" i="2"/>
  <c r="E23" i="2"/>
  <c r="BC19" i="2"/>
  <c r="F13" i="5"/>
  <c r="T16" i="5"/>
  <c r="T15" i="5"/>
  <c r="X4" i="5"/>
  <c r="S25" i="5"/>
  <c r="S26" i="5"/>
  <c r="T14" i="5"/>
  <c r="M12" i="5"/>
  <c r="F11" i="5"/>
  <c r="AU22" i="2"/>
  <c r="AU23" i="2"/>
  <c r="AV11" i="2"/>
  <c r="AH29" i="2"/>
  <c r="AA20" i="2"/>
  <c r="T15" i="2"/>
  <c r="M29" i="2"/>
  <c r="Q9" i="20"/>
  <c r="W11" i="20"/>
  <c r="BA8" i="20"/>
  <c r="BA9" i="20"/>
  <c r="E9" i="20"/>
  <c r="E11" i="20"/>
  <c r="AS8" i="20"/>
  <c r="H8" i="20"/>
  <c r="Z9" i="20"/>
  <c r="Z11" i="20"/>
  <c r="AN9" i="20"/>
  <c r="AN10" i="20"/>
  <c r="BB9" i="20"/>
  <c r="BB11" i="20"/>
  <c r="P9" i="20"/>
  <c r="AS9" i="20"/>
  <c r="AS11" i="20"/>
  <c r="G8" i="20"/>
  <c r="AR8" i="20"/>
  <c r="H9" i="20"/>
  <c r="C11" i="20"/>
  <c r="C10" i="20"/>
  <c r="AP11" i="20"/>
  <c r="AP10" i="20"/>
  <c r="M7" i="20"/>
  <c r="M9" i="20"/>
  <c r="AX7" i="20"/>
  <c r="AH11" i="20"/>
  <c r="AH10" i="20"/>
  <c r="BF7" i="20"/>
  <c r="BL7" i="20"/>
  <c r="BR7" i="20"/>
  <c r="BD7" i="20"/>
  <c r="Z10" i="20"/>
  <c r="U11" i="20"/>
  <c r="U10" i="20"/>
  <c r="AE9" i="20"/>
  <c r="AI11" i="20"/>
  <c r="AI10" i="20"/>
  <c r="AR7" i="20"/>
  <c r="G7" i="20"/>
  <c r="G9" i="20"/>
  <c r="Y9" i="20"/>
  <c r="AS10" i="20"/>
  <c r="AD10" i="20"/>
  <c r="AD11" i="20"/>
  <c r="AX9" i="20"/>
  <c r="I6" i="20"/>
  <c r="I9" i="20"/>
  <c r="AT6" i="20"/>
  <c r="AT9" i="20"/>
  <c r="AA9" i="20"/>
  <c r="S7" i="20"/>
  <c r="AL7" i="20"/>
  <c r="K7" i="20"/>
  <c r="AV7" i="20"/>
  <c r="BB10" i="20"/>
  <c r="P11" i="20"/>
  <c r="P10" i="20"/>
  <c r="AV6" i="20"/>
  <c r="AC9" i="20"/>
  <c r="K6" i="20"/>
  <c r="K9" i="20"/>
  <c r="D7" i="20"/>
  <c r="D9" i="20"/>
  <c r="AO7" i="20"/>
  <c r="AO9" i="20"/>
  <c r="V9" i="20"/>
  <c r="BD6" i="20"/>
  <c r="F8" i="20"/>
  <c r="S8" i="20"/>
  <c r="AK8" i="20"/>
  <c r="H11" i="20"/>
  <c r="H10" i="20"/>
  <c r="L7" i="20"/>
  <c r="L9" i="20"/>
  <c r="AW7" i="20"/>
  <c r="AW9" i="20"/>
  <c r="Q11" i="20"/>
  <c r="Q10" i="20"/>
  <c r="O6" i="20"/>
  <c r="O9" i="20"/>
  <c r="AZ6" i="20"/>
  <c r="AZ9" i="20"/>
  <c r="AG9" i="20"/>
  <c r="N11" i="20"/>
  <c r="BI9" i="20"/>
  <c r="BI11" i="20"/>
  <c r="BD20" i="2"/>
  <c r="BC9" i="20"/>
  <c r="BC11" i="20"/>
  <c r="AB10" i="20"/>
  <c r="BE7" i="20"/>
  <c r="BJ7" i="20"/>
  <c r="AL6" i="20"/>
  <c r="AJ11" i="20"/>
  <c r="AY11" i="20"/>
  <c r="J11" i="20"/>
  <c r="J10" i="20"/>
  <c r="BH9" i="20"/>
  <c r="BH10" i="20"/>
  <c r="BN7" i="20"/>
  <c r="BT7" i="20"/>
  <c r="BF6" i="20"/>
  <c r="BL6" i="20"/>
  <c r="BE6" i="20"/>
  <c r="BG6" i="20"/>
  <c r="AU9" i="20"/>
  <c r="AQ8" i="20"/>
  <c r="X9" i="20"/>
  <c r="AK9" i="20"/>
  <c r="R10" i="20"/>
  <c r="R11" i="20"/>
  <c r="BS7" i="20"/>
  <c r="BI10" i="20"/>
  <c r="BU7" i="20"/>
  <c r="BO9" i="20"/>
  <c r="BX7" i="20"/>
  <c r="AO19" i="2"/>
  <c r="BC20" i="2"/>
  <c r="AP19" i="2"/>
  <c r="AN20" i="2"/>
  <c r="BG5" i="2"/>
  <c r="BG20" i="2"/>
  <c r="C29" i="10"/>
  <c r="AN21" i="2"/>
  <c r="BG6" i="2"/>
  <c r="AH30" i="2"/>
  <c r="AI30" i="2"/>
  <c r="AA22" i="2"/>
  <c r="AA31" i="2"/>
  <c r="AA32" i="2"/>
  <c r="AB22" i="2"/>
  <c r="AB31" i="2"/>
  <c r="AB32" i="2"/>
  <c r="AH31" i="2"/>
  <c r="AI31" i="2"/>
  <c r="L40" i="2"/>
  <c r="L41" i="2"/>
  <c r="AV13" i="2"/>
  <c r="AV22" i="2"/>
  <c r="AV23" i="2"/>
  <c r="AW13" i="2"/>
  <c r="AW22" i="2"/>
  <c r="AW23" i="2"/>
  <c r="T17" i="2"/>
  <c r="T26" i="2"/>
  <c r="T27" i="2"/>
  <c r="U17" i="2"/>
  <c r="U26" i="2"/>
  <c r="U27" i="2"/>
  <c r="M31" i="2"/>
  <c r="N31" i="2"/>
  <c r="M30" i="2"/>
  <c r="N30" i="2"/>
  <c r="N40" i="2"/>
  <c r="N41" i="2"/>
  <c r="F12" i="2"/>
  <c r="G12" i="2"/>
  <c r="F13" i="2"/>
  <c r="G13" i="2"/>
  <c r="M14" i="5"/>
  <c r="N14" i="5"/>
  <c r="M13" i="5"/>
  <c r="N13" i="5"/>
  <c r="N23" i="5"/>
  <c r="N24" i="5"/>
  <c r="F12" i="5"/>
  <c r="F22" i="5"/>
  <c r="F23" i="5"/>
  <c r="G12" i="5"/>
  <c r="BB30" i="2"/>
  <c r="BB31" i="2"/>
  <c r="M5" i="17"/>
  <c r="M12" i="17"/>
  <c r="M14" i="17"/>
  <c r="M15" i="17"/>
  <c r="M16" i="17"/>
  <c r="G11" i="7"/>
  <c r="H5" i="17"/>
  <c r="H12" i="17"/>
  <c r="H14" i="17"/>
  <c r="H16" i="17"/>
  <c r="BC21" i="2"/>
  <c r="BC30" i="2"/>
  <c r="BC31" i="2"/>
  <c r="D5" i="17"/>
  <c r="Z31" i="2"/>
  <c r="Z32" i="2"/>
  <c r="F5" i="17"/>
  <c r="F12" i="17"/>
  <c r="F14" i="17"/>
  <c r="F16" i="17"/>
  <c r="I5" i="17"/>
  <c r="I12" i="17"/>
  <c r="I14" i="17"/>
  <c r="I16" i="17"/>
  <c r="AG40" i="2"/>
  <c r="AG41" i="2"/>
  <c r="C5" i="10"/>
  <c r="X5" i="5"/>
  <c r="L23" i="5"/>
  <c r="L24" i="5"/>
  <c r="E22" i="7"/>
  <c r="E23" i="7"/>
  <c r="G15" i="19"/>
  <c r="J5" i="7"/>
  <c r="F11" i="7"/>
  <c r="J6" i="7"/>
  <c r="F12" i="7"/>
  <c r="X6" i="5"/>
  <c r="T25" i="5"/>
  <c r="T26" i="5"/>
  <c r="U25" i="5"/>
  <c r="U26" i="5"/>
  <c r="G22" i="5"/>
  <c r="G23" i="5"/>
  <c r="AI40" i="2"/>
  <c r="AI41" i="2"/>
  <c r="AH40" i="2"/>
  <c r="AH41" i="2"/>
  <c r="E10" i="20"/>
  <c r="AN11" i="20"/>
  <c r="BA11" i="20"/>
  <c r="BA10" i="20"/>
  <c r="AR9" i="20"/>
  <c r="AR11" i="20"/>
  <c r="AZ10" i="20"/>
  <c r="AZ11" i="20"/>
  <c r="L11" i="20"/>
  <c r="L10" i="20"/>
  <c r="M11" i="20"/>
  <c r="M10" i="20"/>
  <c r="V11" i="20"/>
  <c r="V10" i="20"/>
  <c r="AC11" i="20"/>
  <c r="AC10" i="20"/>
  <c r="AX10" i="20"/>
  <c r="AX11" i="20"/>
  <c r="AE11" i="20"/>
  <c r="AE10" i="20"/>
  <c r="AQ9" i="20"/>
  <c r="BD9" i="20"/>
  <c r="BD8" i="20"/>
  <c r="BE8" i="20"/>
  <c r="AG10" i="20"/>
  <c r="AG11" i="20"/>
  <c r="AW11" i="20"/>
  <c r="AW10" i="20"/>
  <c r="AO11" i="20"/>
  <c r="AO10" i="20"/>
  <c r="AA11" i="20"/>
  <c r="AA10" i="20"/>
  <c r="Y10" i="20"/>
  <c r="Y11" i="20"/>
  <c r="D11" i="20"/>
  <c r="D10" i="20"/>
  <c r="AV9" i="20"/>
  <c r="AT11" i="20"/>
  <c r="AT10" i="20"/>
  <c r="G10" i="20"/>
  <c r="G11" i="20"/>
  <c r="O11" i="20"/>
  <c r="O10" i="20"/>
  <c r="K10" i="20"/>
  <c r="K11" i="20"/>
  <c r="I10" i="20"/>
  <c r="I11" i="20"/>
  <c r="AR10" i="20"/>
  <c r="X18" i="5"/>
  <c r="C30" i="10"/>
  <c r="J16" i="7"/>
  <c r="C32" i="10"/>
  <c r="G13" i="19"/>
  <c r="BC10" i="20"/>
  <c r="BK7" i="20"/>
  <c r="BH11" i="20"/>
  <c r="BP7" i="20"/>
  <c r="BQ7" i="20"/>
  <c r="AL8" i="20"/>
  <c r="BN9" i="20"/>
  <c r="BN10" i="20"/>
  <c r="AQ10" i="20"/>
  <c r="X11" i="20"/>
  <c r="AK11" i="20"/>
  <c r="X10" i="20"/>
  <c r="AK10" i="20"/>
  <c r="BF8" i="20"/>
  <c r="F9" i="20"/>
  <c r="S9" i="20"/>
  <c r="AU11" i="20"/>
  <c r="AU10" i="20"/>
  <c r="BR6" i="20"/>
  <c r="BJ6" i="20"/>
  <c r="BK6" i="20"/>
  <c r="BM6" i="20"/>
  <c r="BG9" i="20"/>
  <c r="CA7" i="20"/>
  <c r="BU9" i="20"/>
  <c r="BY7" i="20"/>
  <c r="BV7" i="20"/>
  <c r="BZ7" i="20"/>
  <c r="BT9" i="20"/>
  <c r="BO10" i="20"/>
  <c r="BO11" i="20"/>
  <c r="CD7" i="20"/>
  <c r="M23" i="5"/>
  <c r="M24" i="5"/>
  <c r="M40" i="2"/>
  <c r="M41" i="2"/>
  <c r="AP21" i="2"/>
  <c r="AO21" i="2"/>
  <c r="AO20" i="2"/>
  <c r="AP20" i="2"/>
  <c r="G5" i="17"/>
  <c r="G12" i="17"/>
  <c r="G14" i="17"/>
  <c r="G16" i="17"/>
  <c r="AN30" i="2"/>
  <c r="AN31" i="2"/>
  <c r="G22" i="2"/>
  <c r="G23" i="2"/>
  <c r="F22" i="2"/>
  <c r="F23" i="2"/>
  <c r="D12" i="17"/>
  <c r="D14" i="17"/>
  <c r="D16" i="17"/>
  <c r="C6" i="10"/>
  <c r="C7" i="10"/>
  <c r="BD30" i="2"/>
  <c r="BD31" i="2"/>
  <c r="G22" i="7"/>
  <c r="G23" i="7"/>
  <c r="F22" i="7"/>
  <c r="F23" i="7"/>
  <c r="AQ11" i="20"/>
  <c r="BD10" i="20"/>
  <c r="BD11" i="20"/>
  <c r="AV11" i="20"/>
  <c r="AV10" i="20"/>
  <c r="BN11" i="20"/>
  <c r="BW7" i="20"/>
  <c r="BX6" i="20"/>
  <c r="BE9" i="20"/>
  <c r="BE10" i="20"/>
  <c r="BS6" i="20"/>
  <c r="BM9" i="20"/>
  <c r="BF9" i="20"/>
  <c r="BJ8" i="20"/>
  <c r="BK8" i="20"/>
  <c r="BL8" i="20"/>
  <c r="BG10" i="20"/>
  <c r="BG11" i="20"/>
  <c r="BP6" i="20"/>
  <c r="BQ6" i="20"/>
  <c r="F10" i="20"/>
  <c r="S10" i="20"/>
  <c r="F11" i="20"/>
  <c r="S11" i="20"/>
  <c r="AL9" i="20"/>
  <c r="C4" i="10"/>
  <c r="CG7" i="20"/>
  <c r="CG9" i="20"/>
  <c r="CA9" i="20"/>
  <c r="CB7" i="20"/>
  <c r="CC7" i="20"/>
  <c r="BT10" i="20"/>
  <c r="BT11" i="20"/>
  <c r="CE7" i="20"/>
  <c r="CF7" i="20"/>
  <c r="CF9" i="20"/>
  <c r="BZ9" i="20"/>
  <c r="BU11" i="20"/>
  <c r="BU10" i="20"/>
  <c r="J16" i="17"/>
  <c r="D19" i="17"/>
  <c r="AO30" i="2"/>
  <c r="AO31" i="2"/>
  <c r="AP30" i="2"/>
  <c r="AP31" i="2"/>
  <c r="AL10" i="20"/>
  <c r="AL11" i="20"/>
  <c r="BE11" i="20"/>
  <c r="BF11" i="20"/>
  <c r="BJ11" i="20"/>
  <c r="BK11" i="20"/>
  <c r="BF10" i="20"/>
  <c r="BJ10" i="20"/>
  <c r="BK10" i="20"/>
  <c r="BJ9" i="20"/>
  <c r="BK9" i="20"/>
  <c r="BM11" i="20"/>
  <c r="BM10" i="20"/>
  <c r="BR8" i="20"/>
  <c r="BP8" i="20"/>
  <c r="BQ8" i="20"/>
  <c r="BL9" i="20"/>
  <c r="BY6" i="20"/>
  <c r="CB6" i="20"/>
  <c r="CB18" i="20"/>
  <c r="BS9" i="20"/>
  <c r="BV6" i="20"/>
  <c r="BW6" i="20"/>
  <c r="CD6" i="20"/>
  <c r="BZ11" i="20"/>
  <c r="BZ10" i="20"/>
  <c r="CG10" i="20"/>
  <c r="CG11" i="20"/>
  <c r="CF11" i="20"/>
  <c r="CF10" i="20"/>
  <c r="CH7" i="20"/>
  <c r="CI7" i="20"/>
  <c r="CA11" i="20"/>
  <c r="CA10" i="20"/>
  <c r="CC6" i="20"/>
  <c r="BL10" i="20"/>
  <c r="BP10" i="20"/>
  <c r="BQ10" i="20"/>
  <c r="BL11" i="20"/>
  <c r="BP11" i="20"/>
  <c r="BQ11" i="20"/>
  <c r="BP9" i="20"/>
  <c r="BQ9" i="20"/>
  <c r="BS10" i="20"/>
  <c r="BS11" i="20"/>
  <c r="BV8" i="20"/>
  <c r="BW8" i="20"/>
  <c r="BX8" i="20"/>
  <c r="BR9" i="20"/>
  <c r="CE6" i="20"/>
  <c r="CE9" i="20"/>
  <c r="BY9" i="20"/>
  <c r="CE10" i="20"/>
  <c r="CE11" i="20"/>
  <c r="BR11" i="20"/>
  <c r="BV11" i="20"/>
  <c r="BW11" i="20"/>
  <c r="BR10" i="20"/>
  <c r="BV10" i="20"/>
  <c r="BW10" i="20"/>
  <c r="BV9" i="20"/>
  <c r="BW9" i="20"/>
  <c r="BY11" i="20"/>
  <c r="BY10" i="20"/>
  <c r="CB8" i="20"/>
  <c r="CC8" i="20"/>
  <c r="CD8" i="20"/>
  <c r="BX9" i="20"/>
  <c r="CH6" i="20"/>
  <c r="CI6" i="20"/>
  <c r="BX10" i="20"/>
  <c r="CB10" i="20"/>
  <c r="CC10" i="20"/>
  <c r="BX11" i="20"/>
  <c r="CB11" i="20"/>
  <c r="CC11" i="20"/>
  <c r="CB9" i="20"/>
  <c r="CC9" i="20"/>
  <c r="CH8" i="20"/>
  <c r="CI8" i="20"/>
  <c r="CD9" i="20"/>
  <c r="CD11" i="20"/>
  <c r="CH11" i="20"/>
  <c r="CI11" i="20"/>
  <c r="CD10" i="20"/>
  <c r="CH10" i="20"/>
  <c r="CI10" i="20"/>
  <c r="CH9" i="20"/>
  <c r="CI9" i="20"/>
  <c r="K20" i="41"/>
  <c r="K21" i="41"/>
  <c r="T21" i="41"/>
  <c r="T19" i="41"/>
  <c r="O20" i="41"/>
  <c r="O21" i="41"/>
  <c r="F34" i="15" l="1"/>
  <c r="AC22" i="33"/>
  <c r="AA16" i="33"/>
  <c r="AG8" i="33"/>
  <c r="AL26" i="33"/>
  <c r="E17" i="33"/>
  <c r="AI22" i="33"/>
  <c r="H21" i="33"/>
  <c r="AA21" i="33" s="1"/>
  <c r="G17" i="33"/>
  <c r="Z17" i="33" s="1"/>
  <c r="AM22" i="33"/>
  <c r="N7" i="33"/>
  <c r="AG7" i="33" s="1"/>
  <c r="S21" i="33"/>
  <c r="AL21" i="33" s="1"/>
  <c r="AG31" i="33"/>
  <c r="AC31" i="33"/>
  <c r="S28" i="33"/>
  <c r="AL28" i="33" s="1"/>
  <c r="H7" i="33"/>
  <c r="AA7" i="33" s="1"/>
  <c r="N17" i="33"/>
  <c r="AG17" i="33" s="1"/>
  <c r="AL31" i="33"/>
  <c r="S11" i="33"/>
  <c r="AL11" i="33" s="1"/>
  <c r="Z22" i="33"/>
  <c r="S17" i="33"/>
  <c r="AL17" i="33" s="1"/>
  <c r="AD8" i="33"/>
  <c r="K30" i="33"/>
  <c r="AD30" i="33" s="1"/>
  <c r="K17" i="33"/>
  <c r="AD17" i="33" s="1"/>
  <c r="AI25" i="33"/>
  <c r="AI8" i="33"/>
  <c r="P23" i="33"/>
  <c r="AI23" i="33" s="1"/>
  <c r="AL16" i="33"/>
  <c r="AD31" i="33"/>
  <c r="Y22" i="33"/>
  <c r="AB22" i="33" s="1"/>
  <c r="F27" i="15"/>
  <c r="R17" i="33"/>
  <c r="AK17" i="33" s="1"/>
  <c r="AL5" i="33"/>
  <c r="H11" i="33"/>
  <c r="AA11" i="33" s="1"/>
  <c r="N21" i="33"/>
  <c r="AG21" i="33" s="1"/>
  <c r="AD16" i="33"/>
  <c r="K11" i="33"/>
  <c r="AD11" i="33" s="1"/>
  <c r="K21" i="33"/>
  <c r="AD21" i="33" s="1"/>
  <c r="L17" i="33"/>
  <c r="AE17" i="33" s="1"/>
  <c r="AE22" i="33"/>
  <c r="S13" i="33"/>
  <c r="AL13" i="33" s="1"/>
  <c r="N23" i="33"/>
  <c r="AG23" i="33" s="1"/>
  <c r="L19" i="33"/>
  <c r="AE19" i="33" s="1"/>
  <c r="AA8" i="33"/>
  <c r="N30" i="33"/>
  <c r="AG30" i="33" s="1"/>
  <c r="H23" i="33"/>
  <c r="AA23" i="33" s="1"/>
  <c r="H30" i="33"/>
  <c r="AA30" i="33" s="1"/>
  <c r="S7" i="33"/>
  <c r="AL7" i="33" s="1"/>
  <c r="E30" i="33"/>
  <c r="N19" i="33"/>
  <c r="AG19" i="33" s="1"/>
  <c r="K19" i="33"/>
  <c r="AD19" i="33" s="1"/>
  <c r="AD22" i="33"/>
  <c r="AD25" i="33"/>
  <c r="P28" i="33"/>
  <c r="AI28" i="33" s="1"/>
  <c r="AI31" i="33"/>
  <c r="P11" i="33"/>
  <c r="AI11" i="33" s="1"/>
  <c r="H28" i="33"/>
  <c r="AA28" i="33" s="1"/>
  <c r="AL8" i="33"/>
  <c r="I10" i="33"/>
  <c r="Y8" i="33"/>
  <c r="T21" i="33"/>
  <c r="AM21" i="33" s="1"/>
  <c r="L21" i="33"/>
  <c r="AE21" i="33" s="1"/>
  <c r="G21" i="33"/>
  <c r="Z21" i="33" s="1"/>
  <c r="J21" i="33"/>
  <c r="R21" i="33"/>
  <c r="R7" i="33"/>
  <c r="J7" i="33"/>
  <c r="L7" i="33"/>
  <c r="AE7" i="33" s="1"/>
  <c r="T7" i="33"/>
  <c r="AM7" i="33" s="1"/>
  <c r="G7" i="33"/>
  <c r="Z7" i="33" s="1"/>
  <c r="T24" i="33"/>
  <c r="J24" i="33"/>
  <c r="R24" i="33"/>
  <c r="G24" i="33"/>
  <c r="L24" i="33"/>
  <c r="T16" i="33"/>
  <c r="AM16" i="33" s="1"/>
  <c r="L16" i="33"/>
  <c r="AE16" i="33" s="1"/>
  <c r="T6" i="33"/>
  <c r="J6" i="33"/>
  <c r="AC6" i="33" s="1"/>
  <c r="R27" i="33"/>
  <c r="U27" i="33" s="1"/>
  <c r="L27" i="33"/>
  <c r="AE27" i="33" s="1"/>
  <c r="T27" i="33"/>
  <c r="J27" i="33"/>
  <c r="G27" i="33"/>
  <c r="Z27" i="33" s="1"/>
  <c r="F19" i="15"/>
  <c r="F35" i="15" s="1"/>
  <c r="C9" i="9" s="1"/>
  <c r="L11" i="33"/>
  <c r="AE11" i="33" s="1"/>
  <c r="F6" i="33"/>
  <c r="Y6" i="33" s="1"/>
  <c r="Z14" i="33"/>
  <c r="AG6" i="33"/>
  <c r="AA24" i="33"/>
  <c r="AL27" i="33"/>
  <c r="F14" i="33"/>
  <c r="I14" i="33" s="1"/>
  <c r="W17" i="38"/>
  <c r="W44" i="38"/>
  <c r="W51" i="38" s="1"/>
  <c r="W41" i="38"/>
  <c r="Q41" i="60"/>
  <c r="R37" i="60"/>
  <c r="S33" i="60"/>
  <c r="R40" i="60"/>
  <c r="H40" i="49"/>
  <c r="G41" i="49"/>
  <c r="H37" i="49"/>
  <c r="Y18" i="33"/>
  <c r="AG29" i="33"/>
  <c r="D4" i="19"/>
  <c r="C19" i="9"/>
  <c r="O32" i="33"/>
  <c r="AH32" i="33" s="1"/>
  <c r="E32" i="33"/>
  <c r="J32" i="33" s="1"/>
  <c r="P32" i="33"/>
  <c r="AI32" i="33" s="1"/>
  <c r="F32" i="33"/>
  <c r="L32" i="33"/>
  <c r="AE32" i="33" s="1"/>
  <c r="R32" i="33"/>
  <c r="G32" i="33"/>
  <c r="Z32" i="33" s="1"/>
  <c r="S32" i="33"/>
  <c r="AL32" i="33" s="1"/>
  <c r="T23" i="33"/>
  <c r="AM23" i="33" s="1"/>
  <c r="J23" i="33"/>
  <c r="L23" i="33"/>
  <c r="AE23" i="33" s="1"/>
  <c r="AG10" i="33"/>
  <c r="AM10" i="33"/>
  <c r="AK22" i="33"/>
  <c r="AN22" i="33" s="1"/>
  <c r="M22" i="33"/>
  <c r="M27" i="33"/>
  <c r="AK27" i="33"/>
  <c r="AC14" i="33"/>
  <c r="Z24" i="33"/>
  <c r="AE10" i="33"/>
  <c r="T32" i="33"/>
  <c r="AM32" i="33" s="1"/>
  <c r="AM27" i="33"/>
  <c r="AA27" i="33"/>
  <c r="AA14" i="33"/>
  <c r="AL14" i="33"/>
  <c r="AE24" i="33"/>
  <c r="AD10" i="33"/>
  <c r="AI14" i="33"/>
  <c r="F15" i="33"/>
  <c r="E15" i="33"/>
  <c r="O15" i="33" s="1"/>
  <c r="AH15" i="33" s="1"/>
  <c r="K15" i="33"/>
  <c r="AD15" i="33" s="1"/>
  <c r="R15" i="33"/>
  <c r="H15" i="33"/>
  <c r="AA15" i="33" s="1"/>
  <c r="T15" i="33"/>
  <c r="AM15" i="33" s="1"/>
  <c r="N15" i="33"/>
  <c r="P15" i="33"/>
  <c r="AI15" i="33" s="1"/>
  <c r="R11" i="33"/>
  <c r="G11" i="33"/>
  <c r="Z11" i="33" s="1"/>
  <c r="G6" i="33"/>
  <c r="Z6" i="33" s="1"/>
  <c r="L6" i="33"/>
  <c r="E26" i="33"/>
  <c r="K26" i="33"/>
  <c r="AD26" i="33" s="1"/>
  <c r="H26" i="33"/>
  <c r="AA26" i="33" s="1"/>
  <c r="P26" i="33"/>
  <c r="AI26" i="33" s="1"/>
  <c r="AF22" i="33"/>
  <c r="L30" i="33"/>
  <c r="AE30" i="33" s="1"/>
  <c r="AG14" i="33"/>
  <c r="R23" i="33"/>
  <c r="G23" i="33"/>
  <c r="Z23" i="33" s="1"/>
  <c r="R20" i="33"/>
  <c r="J20" i="33"/>
  <c r="H32" i="33"/>
  <c r="AA32" i="33" s="1"/>
  <c r="AA10" i="33"/>
  <c r="AM6" i="33"/>
  <c r="K32" i="33"/>
  <c r="AD32" i="33" s="1"/>
  <c r="AD27" i="33"/>
  <c r="AL24" i="33"/>
  <c r="E18" i="33"/>
  <c r="R18" i="33" s="1"/>
  <c r="P18" i="33"/>
  <c r="AI18" i="33" s="1"/>
  <c r="N18" i="33"/>
  <c r="K18" i="33"/>
  <c r="AD18" i="33" s="1"/>
  <c r="H18" i="33"/>
  <c r="AA18" i="33" s="1"/>
  <c r="R16" i="33"/>
  <c r="G16" i="33"/>
  <c r="Z16" i="33" s="1"/>
  <c r="F9" i="33"/>
  <c r="S9" i="33"/>
  <c r="AL9" i="33" s="1"/>
  <c r="H9" i="33"/>
  <c r="AA9" i="33" s="1"/>
  <c r="E9" i="33"/>
  <c r="O9" i="33" s="1"/>
  <c r="AH9" i="33" s="1"/>
  <c r="N9" i="33"/>
  <c r="P9" i="33"/>
  <c r="AI9" i="33" s="1"/>
  <c r="T31" i="33"/>
  <c r="AM31" i="33" s="1"/>
  <c r="L31" i="33"/>
  <c r="F29" i="33"/>
  <c r="E29" i="33"/>
  <c r="G29" i="33" s="1"/>
  <c r="Z29" i="33" s="1"/>
  <c r="P29" i="33"/>
  <c r="AI29" i="33" s="1"/>
  <c r="S29" i="33"/>
  <c r="AL29" i="33" s="1"/>
  <c r="H29" i="33"/>
  <c r="AA29" i="33" s="1"/>
  <c r="K29" i="33"/>
  <c r="AD29" i="33" s="1"/>
  <c r="Y14" i="33"/>
  <c r="AB14" i="33" s="1"/>
  <c r="G30" i="33"/>
  <c r="AC27" i="33"/>
  <c r="L9" i="33"/>
  <c r="AE9" i="33" s="1"/>
  <c r="J30" i="33"/>
  <c r="I22" i="33"/>
  <c r="AG27" i="33"/>
  <c r="AC24" i="33"/>
  <c r="R31" i="33"/>
  <c r="G20" i="33"/>
  <c r="Z20" i="33" s="1"/>
  <c r="G31" i="33"/>
  <c r="Z31" i="33" s="1"/>
  <c r="L18" i="33"/>
  <c r="AE18" i="33" s="1"/>
  <c r="J16" i="33"/>
  <c r="J11" i="33"/>
  <c r="AM24" i="33"/>
  <c r="L20" i="33"/>
  <c r="AE20" i="33" s="1"/>
  <c r="N32" i="33"/>
  <c r="S15" i="33"/>
  <c r="AL15" i="33" s="1"/>
  <c r="AL10" i="33"/>
  <c r="AD24" i="33"/>
  <c r="AD6" i="33"/>
  <c r="AI27" i="33"/>
  <c r="J19" i="33"/>
  <c r="G19" i="33"/>
  <c r="Z19" i="33" s="1"/>
  <c r="R14" i="33"/>
  <c r="T14" i="33"/>
  <c r="AM14" i="33" s="1"/>
  <c r="L14" i="33"/>
  <c r="E12" i="33"/>
  <c r="G12" i="33" s="1"/>
  <c r="Z12" i="33" s="1"/>
  <c r="S12" i="33"/>
  <c r="AL12" i="33" s="1"/>
  <c r="F12" i="33"/>
  <c r="K12" i="33"/>
  <c r="AD12" i="33" s="1"/>
  <c r="AD33" i="33" s="1"/>
  <c r="H12" i="33"/>
  <c r="AA12" i="33" s="1"/>
  <c r="P12" i="33"/>
  <c r="AI12" i="33" s="1"/>
  <c r="Z10" i="33"/>
  <c r="T25" i="33"/>
  <c r="L25" i="33"/>
  <c r="G25" i="33"/>
  <c r="Z25" i="33" s="1"/>
  <c r="F26" i="33"/>
  <c r="Y10" i="33"/>
  <c r="AA5" i="33"/>
  <c r="O19" i="33"/>
  <c r="F19" i="33"/>
  <c r="O16" i="33"/>
  <c r="F13" i="33"/>
  <c r="O6" i="33"/>
  <c r="O30" i="33"/>
  <c r="O23" i="33"/>
  <c r="F23" i="33"/>
  <c r="O20" i="33"/>
  <c r="V3" i="48"/>
  <c r="S19" i="33"/>
  <c r="AL19" i="33" s="1"/>
  <c r="H13" i="33"/>
  <c r="AA13" i="33" s="1"/>
  <c r="R19" i="33"/>
  <c r="K13" i="33"/>
  <c r="AD13" i="33" s="1"/>
  <c r="R6" i="33"/>
  <c r="P13" i="33"/>
  <c r="AI13" i="33" s="1"/>
  <c r="O17" i="33"/>
  <c r="F17" i="33"/>
  <c r="O10" i="33"/>
  <c r="E8" i="33"/>
  <c r="O7" i="33"/>
  <c r="F7" i="33"/>
  <c r="E28" i="33"/>
  <c r="O27" i="33"/>
  <c r="F27" i="33"/>
  <c r="O24" i="33"/>
  <c r="O21" i="33"/>
  <c r="F21" i="33"/>
  <c r="F24" i="33"/>
  <c r="F20" i="33"/>
  <c r="F16" i="33"/>
  <c r="AG5" i="33"/>
  <c r="J10" i="33"/>
  <c r="E13" i="33"/>
  <c r="P30" i="33"/>
  <c r="AI30" i="33" s="1"/>
  <c r="P6" i="33"/>
  <c r="AI6" i="33" s="1"/>
  <c r="P16" i="33"/>
  <c r="AI16" i="33" s="1"/>
  <c r="P19" i="33"/>
  <c r="AI19" i="33" s="1"/>
  <c r="R10" i="33"/>
  <c r="H20" i="33"/>
  <c r="AA20" i="33" s="1"/>
  <c r="AI5" i="33"/>
  <c r="E5" i="33"/>
  <c r="O5" i="33"/>
  <c r="F5" i="33"/>
  <c r="O14" i="33"/>
  <c r="O11" i="33"/>
  <c r="F11" i="33"/>
  <c r="O8" i="33"/>
  <c r="O31" i="33"/>
  <c r="F31" i="33"/>
  <c r="O25" i="33"/>
  <c r="F25" i="33"/>
  <c r="O22" i="33"/>
  <c r="U3" i="48"/>
  <c r="R26" i="34"/>
  <c r="R14" i="45"/>
  <c r="U27" i="38"/>
  <c r="S19" i="34"/>
  <c r="J14" i="45"/>
  <c r="M27" i="38"/>
  <c r="J26" i="34"/>
  <c r="N26" i="34"/>
  <c r="N14" i="45"/>
  <c r="Q27" i="38"/>
  <c r="D14" i="45"/>
  <c r="M14" i="45"/>
  <c r="M6" i="32"/>
  <c r="D26" i="34"/>
  <c r="G19" i="34"/>
  <c r="H27" i="38"/>
  <c r="E26" i="34"/>
  <c r="I26" i="34"/>
  <c r="L27" i="38"/>
  <c r="K27" i="38"/>
  <c r="H26" i="34"/>
  <c r="K19" i="34"/>
  <c r="O19" i="34"/>
  <c r="S27" i="38"/>
  <c r="P26" i="34"/>
  <c r="T27" i="38"/>
  <c r="Q26" i="34"/>
  <c r="O27" i="38"/>
  <c r="L26" i="34"/>
  <c r="F14" i="45"/>
  <c r="I27" i="38"/>
  <c r="Q14" i="45"/>
  <c r="I14" i="45"/>
  <c r="F26" i="34"/>
  <c r="T25" i="50"/>
  <c r="U24" i="50"/>
  <c r="I6" i="33" l="1"/>
  <c r="E8" i="9"/>
  <c r="L15" i="33"/>
  <c r="AE15" i="33" s="1"/>
  <c r="E9" i="9"/>
  <c r="T17" i="33"/>
  <c r="J17" i="33"/>
  <c r="R30" i="33"/>
  <c r="T30" i="33"/>
  <c r="AM30" i="33" s="1"/>
  <c r="L12" i="33"/>
  <c r="AE12" i="33" s="1"/>
  <c r="AF27" i="33"/>
  <c r="L29" i="33"/>
  <c r="AE29" i="33" s="1"/>
  <c r="J29" i="33"/>
  <c r="O29" i="33"/>
  <c r="AH29" i="33" s="1"/>
  <c r="AN27" i="33"/>
  <c r="C8" i="9"/>
  <c r="C12" i="9" s="1"/>
  <c r="AK7" i="33"/>
  <c r="AN7" i="33" s="1"/>
  <c r="U7" i="33"/>
  <c r="AC21" i="33"/>
  <c r="AF21" i="33" s="1"/>
  <c r="M21" i="33"/>
  <c r="G15" i="53"/>
  <c r="K15" i="53"/>
  <c r="O15" i="53"/>
  <c r="S15" i="53"/>
  <c r="W15" i="53"/>
  <c r="L15" i="53"/>
  <c r="T15" i="53"/>
  <c r="R15" i="53"/>
  <c r="H15" i="53"/>
  <c r="P15" i="53"/>
  <c r="V15" i="53"/>
  <c r="E15" i="53"/>
  <c r="I15" i="53"/>
  <c r="M15" i="53"/>
  <c r="Q15" i="53"/>
  <c r="U15" i="53"/>
  <c r="F15" i="53"/>
  <c r="J15" i="53"/>
  <c r="N15" i="53"/>
  <c r="AK24" i="33"/>
  <c r="AN24" i="33" s="1"/>
  <c r="U24" i="33"/>
  <c r="C25" i="10"/>
  <c r="E19" i="9"/>
  <c r="M24" i="33"/>
  <c r="AF24" i="33"/>
  <c r="AL33" i="33"/>
  <c r="G18" i="33"/>
  <c r="Z18" i="33" s="1"/>
  <c r="D9" i="9"/>
  <c r="F6" i="38" s="1"/>
  <c r="D8" i="9"/>
  <c r="F5" i="38" s="1"/>
  <c r="AC7" i="33"/>
  <c r="AF7" i="33" s="1"/>
  <c r="M7" i="33"/>
  <c r="AK21" i="33"/>
  <c r="AN21" i="33" s="1"/>
  <c r="U21" i="33"/>
  <c r="T33" i="60"/>
  <c r="S40" i="60"/>
  <c r="R41" i="60"/>
  <c r="S37" i="60"/>
  <c r="H41" i="49"/>
  <c r="I37" i="49"/>
  <c r="I40" i="49"/>
  <c r="J6" i="28"/>
  <c r="J16" i="28"/>
  <c r="J15" i="28" s="1"/>
  <c r="J42" i="28" s="1"/>
  <c r="J53" i="28" s="1"/>
  <c r="I4" i="32"/>
  <c r="I19" i="45" s="1"/>
  <c r="I21" i="45" s="1"/>
  <c r="R6" i="28"/>
  <c r="R16" i="28"/>
  <c r="R15" i="28" s="1"/>
  <c r="R42" i="28" s="1"/>
  <c r="R53" i="28" s="1"/>
  <c r="Q4" i="32"/>
  <c r="Q19" i="45" s="1"/>
  <c r="Y25" i="33"/>
  <c r="AB25" i="33" s="1"/>
  <c r="I25" i="33"/>
  <c r="AH5" i="33"/>
  <c r="Q5" i="33"/>
  <c r="Y16" i="33"/>
  <c r="AB16" i="33" s="1"/>
  <c r="I16" i="33"/>
  <c r="U6" i="33"/>
  <c r="AK6" i="33"/>
  <c r="AN6" i="33" s="1"/>
  <c r="AH19" i="33"/>
  <c r="AJ19" i="33" s="1"/>
  <c r="Q19" i="33"/>
  <c r="AC29" i="33"/>
  <c r="AF29" i="33" s="1"/>
  <c r="M29" i="33"/>
  <c r="Y9" i="33"/>
  <c r="AK15" i="33"/>
  <c r="AN15" i="33" s="1"/>
  <c r="U15" i="33"/>
  <c r="J13" i="33"/>
  <c r="L13" i="33"/>
  <c r="AE13" i="33" s="1"/>
  <c r="R13" i="33"/>
  <c r="G13" i="33"/>
  <c r="Z13" i="33" s="1"/>
  <c r="T13" i="33"/>
  <c r="AM13" i="33" s="1"/>
  <c r="O13" i="33"/>
  <c r="U23" i="33"/>
  <c r="AK23" i="33"/>
  <c r="AN23" i="33" s="1"/>
  <c r="T26" i="33"/>
  <c r="AM26" i="33" s="1"/>
  <c r="R26" i="33"/>
  <c r="J26" i="33"/>
  <c r="L26" i="33"/>
  <c r="AE26" i="33" s="1"/>
  <c r="AB6" i="33"/>
  <c r="Y32" i="33"/>
  <c r="AB32" i="33" s="1"/>
  <c r="I32" i="33"/>
  <c r="Q29" i="33"/>
  <c r="AH14" i="33"/>
  <c r="AJ14" i="33" s="1"/>
  <c r="Q14" i="33"/>
  <c r="AK10" i="33"/>
  <c r="AN10" i="33" s="1"/>
  <c r="U10" i="33"/>
  <c r="L28" i="33"/>
  <c r="AE28" i="33" s="1"/>
  <c r="R28" i="33"/>
  <c r="T28" i="33"/>
  <c r="AM28" i="33" s="1"/>
  <c r="J28" i="33"/>
  <c r="G28" i="33"/>
  <c r="AH10" i="33"/>
  <c r="AJ10" i="33" s="1"/>
  <c r="Q10" i="33"/>
  <c r="Y23" i="33"/>
  <c r="AB23" i="33" s="1"/>
  <c r="I23" i="33"/>
  <c r="AG9" i="33"/>
  <c r="AJ9" i="33" s="1"/>
  <c r="Q9" i="33"/>
  <c r="AK18" i="33"/>
  <c r="Q15" i="33"/>
  <c r="AG15" i="33"/>
  <c r="AJ15" i="33" s="1"/>
  <c r="AH25" i="33"/>
  <c r="AJ25" i="33" s="1"/>
  <c r="Q25" i="33"/>
  <c r="Y5" i="33"/>
  <c r="I5" i="33"/>
  <c r="G5" i="33"/>
  <c r="Z5" i="33" s="1"/>
  <c r="T5" i="33"/>
  <c r="AM5" i="33" s="1"/>
  <c r="AH24" i="33"/>
  <c r="AJ24" i="33" s="1"/>
  <c r="Q24" i="33"/>
  <c r="AA33" i="33"/>
  <c r="AE25" i="33"/>
  <c r="AF25" i="33" s="1"/>
  <c r="M25" i="33"/>
  <c r="Y12" i="33"/>
  <c r="AB12" i="33" s="1"/>
  <c r="I12" i="33"/>
  <c r="M11" i="33"/>
  <c r="AC11" i="33"/>
  <c r="AF11" i="33" s="1"/>
  <c r="G9" i="33"/>
  <c r="Z9" i="33" s="1"/>
  <c r="T9" i="33"/>
  <c r="AM9" i="33" s="1"/>
  <c r="R9" i="33"/>
  <c r="J9" i="33"/>
  <c r="O28" i="33"/>
  <c r="Y11" i="33"/>
  <c r="AB11" i="33" s="1"/>
  <c r="I11" i="33"/>
  <c r="R5" i="33"/>
  <c r="M10" i="33"/>
  <c r="AC10" i="33"/>
  <c r="AF10" i="33" s="1"/>
  <c r="Y24" i="33"/>
  <c r="AB24" i="33" s="1"/>
  <c r="I24" i="33"/>
  <c r="V24" i="33" s="1"/>
  <c r="Y27" i="33"/>
  <c r="AB27" i="33" s="1"/>
  <c r="I27" i="33"/>
  <c r="AH7" i="33"/>
  <c r="AJ7" i="33" s="1"/>
  <c r="Q7" i="33"/>
  <c r="AH17" i="33"/>
  <c r="AJ17" i="33" s="1"/>
  <c r="Q17" i="33"/>
  <c r="AK19" i="33"/>
  <c r="AN19" i="33" s="1"/>
  <c r="U19" i="33"/>
  <c r="AH30" i="33"/>
  <c r="AJ30" i="33" s="1"/>
  <c r="Q30" i="33"/>
  <c r="AH16" i="33"/>
  <c r="AJ16" i="33" s="1"/>
  <c r="Q16" i="33"/>
  <c r="AB10" i="33"/>
  <c r="AM25" i="33"/>
  <c r="AN25" i="33" s="1"/>
  <c r="U25" i="33"/>
  <c r="J12" i="33"/>
  <c r="R12" i="33"/>
  <c r="O12" i="33"/>
  <c r="Q32" i="33"/>
  <c r="AG32" i="33"/>
  <c r="AJ32" i="33" s="1"/>
  <c r="M16" i="33"/>
  <c r="AC16" i="33"/>
  <c r="AF16" i="33" s="1"/>
  <c r="U31" i="33"/>
  <c r="AK31" i="33"/>
  <c r="AN31" i="33" s="1"/>
  <c r="Z30" i="33"/>
  <c r="AB30" i="33" s="1"/>
  <c r="I30" i="33"/>
  <c r="T18" i="33"/>
  <c r="AM18" i="33" s="1"/>
  <c r="J18" i="33"/>
  <c r="AC20" i="33"/>
  <c r="AF20" i="33" s="1"/>
  <c r="M20" i="33"/>
  <c r="O26" i="33"/>
  <c r="AK11" i="33"/>
  <c r="AN11" i="33" s="1"/>
  <c r="U11" i="33"/>
  <c r="J15" i="33"/>
  <c r="G15" i="33"/>
  <c r="Z15" i="33" s="1"/>
  <c r="AC23" i="33"/>
  <c r="AF23" i="33" s="1"/>
  <c r="M23" i="33"/>
  <c r="G4" i="19"/>
  <c r="G5" i="19" s="1"/>
  <c r="G7" i="19" s="1"/>
  <c r="G9" i="19" s="1"/>
  <c r="G12" i="19" s="1"/>
  <c r="G14" i="19" s="1"/>
  <c r="G16" i="19" s="1"/>
  <c r="D5" i="19"/>
  <c r="D7" i="19" s="1"/>
  <c r="D9" i="19" s="1"/>
  <c r="AJ29" i="33"/>
  <c r="Q31" i="33"/>
  <c r="AH31" i="33"/>
  <c r="AJ31" i="33" s="1"/>
  <c r="AH21" i="33"/>
  <c r="AJ21" i="33" s="1"/>
  <c r="Q21" i="33"/>
  <c r="Y13" i="33"/>
  <c r="AB13" i="33" s="1"/>
  <c r="I13" i="33"/>
  <c r="AB18" i="33"/>
  <c r="Q21" i="45"/>
  <c r="AH8" i="33"/>
  <c r="AJ8" i="33" s="1"/>
  <c r="Q8" i="33"/>
  <c r="Y20" i="33"/>
  <c r="AB20" i="33" s="1"/>
  <c r="I20" i="33"/>
  <c r="Y7" i="33"/>
  <c r="AB7" i="33" s="1"/>
  <c r="I7" i="33"/>
  <c r="Y17" i="33"/>
  <c r="AB17" i="33" s="1"/>
  <c r="I17" i="33"/>
  <c r="AH23" i="33"/>
  <c r="AJ23" i="33" s="1"/>
  <c r="Q23" i="33"/>
  <c r="AK14" i="33"/>
  <c r="AN14" i="33" s="1"/>
  <c r="U14" i="33"/>
  <c r="AE31" i="33"/>
  <c r="AF31" i="33" s="1"/>
  <c r="M31" i="33"/>
  <c r="L5" i="33"/>
  <c r="AE5" i="33" s="1"/>
  <c r="AI33" i="33"/>
  <c r="AH22" i="33"/>
  <c r="AJ22" i="33" s="1"/>
  <c r="AO22" i="33" s="1"/>
  <c r="Q22" i="33"/>
  <c r="V22" i="33" s="1"/>
  <c r="Y31" i="33"/>
  <c r="AB31" i="33" s="1"/>
  <c r="I31" i="33"/>
  <c r="AH11" i="33"/>
  <c r="AJ11" i="33" s="1"/>
  <c r="Q11" i="33"/>
  <c r="J5" i="33"/>
  <c r="AJ5" i="33"/>
  <c r="Y21" i="33"/>
  <c r="AB21" i="33" s="1"/>
  <c r="AO21" i="33" s="1"/>
  <c r="I21" i="33"/>
  <c r="AH27" i="33"/>
  <c r="AJ27" i="33" s="1"/>
  <c r="Q27" i="33"/>
  <c r="J8" i="33"/>
  <c r="G8" i="33"/>
  <c r="L8" i="33"/>
  <c r="AE8" i="33" s="1"/>
  <c r="T8" i="33"/>
  <c r="AM8" i="33" s="1"/>
  <c r="R8" i="33"/>
  <c r="AH20" i="33"/>
  <c r="AJ20" i="33" s="1"/>
  <c r="Q20" i="33"/>
  <c r="AH6" i="33"/>
  <c r="AJ6" i="33" s="1"/>
  <c r="Q6" i="33"/>
  <c r="Y19" i="33"/>
  <c r="AB19" i="33" s="1"/>
  <c r="I19" i="33"/>
  <c r="Y26" i="33"/>
  <c r="T12" i="33"/>
  <c r="AM12" i="33" s="1"/>
  <c r="M14" i="33"/>
  <c r="AE14" i="33"/>
  <c r="AF14" i="33" s="1"/>
  <c r="AO14" i="33" s="1"/>
  <c r="AC19" i="33"/>
  <c r="AF19" i="33" s="1"/>
  <c r="M19" i="33"/>
  <c r="AC30" i="33"/>
  <c r="AF30" i="33" s="1"/>
  <c r="M30" i="33"/>
  <c r="T29" i="33"/>
  <c r="AM29" i="33" s="1"/>
  <c r="R29" i="33"/>
  <c r="Y29" i="33"/>
  <c r="AB29" i="33" s="1"/>
  <c r="I29" i="33"/>
  <c r="AK16" i="33"/>
  <c r="AN16" i="33" s="1"/>
  <c r="U16" i="33"/>
  <c r="AG18" i="33"/>
  <c r="O18" i="33"/>
  <c r="AH18" i="33" s="1"/>
  <c r="AK20" i="33"/>
  <c r="AN20" i="33" s="1"/>
  <c r="U20" i="33"/>
  <c r="G26" i="33"/>
  <c r="Z26" i="33" s="1"/>
  <c r="AE6" i="33"/>
  <c r="AF6" i="33" s="1"/>
  <c r="M6" i="33"/>
  <c r="V6" i="33" s="1"/>
  <c r="Y15" i="33"/>
  <c r="AB15" i="33" s="1"/>
  <c r="I15" i="33"/>
  <c r="AK32" i="33"/>
  <c r="AN32" i="33" s="1"/>
  <c r="U32" i="33"/>
  <c r="AC32" i="33"/>
  <c r="AF32" i="33" s="1"/>
  <c r="M32" i="33"/>
  <c r="C27" i="10"/>
  <c r="V26" i="34" s="1"/>
  <c r="V24" i="34"/>
  <c r="D19" i="9"/>
  <c r="F8" i="38" s="1"/>
  <c r="F9" i="38" s="1"/>
  <c r="I18" i="33"/>
  <c r="N6" i="32"/>
  <c r="N27" i="34"/>
  <c r="O8" i="28" s="1"/>
  <c r="Q6" i="32"/>
  <c r="Q7" i="32" s="1"/>
  <c r="T26" i="38" s="1"/>
  <c r="T25" i="38" s="1"/>
  <c r="T30" i="38" s="1"/>
  <c r="T36" i="38" s="1"/>
  <c r="T52" i="38" s="1"/>
  <c r="Q27" i="34"/>
  <c r="R8" i="28" s="1"/>
  <c r="R5" i="28" s="1"/>
  <c r="R9" i="28" s="1"/>
  <c r="O14" i="45"/>
  <c r="O26" i="34"/>
  <c r="O27" i="34" s="1"/>
  <c r="P8" i="28" s="1"/>
  <c r="R27" i="38"/>
  <c r="G26" i="34"/>
  <c r="G14" i="45"/>
  <c r="J27" i="38"/>
  <c r="T19" i="34"/>
  <c r="J6" i="32"/>
  <c r="J27" i="34"/>
  <c r="K8" i="28" s="1"/>
  <c r="S26" i="34"/>
  <c r="S27" i="34" s="1"/>
  <c r="T8" i="28" s="1"/>
  <c r="S14" i="45"/>
  <c r="V27" i="38"/>
  <c r="K26" i="34"/>
  <c r="K27" i="34" s="1"/>
  <c r="L8" i="28" s="1"/>
  <c r="K14" i="45"/>
  <c r="N27" i="38"/>
  <c r="I27" i="34"/>
  <c r="J8" i="28" s="1"/>
  <c r="J5" i="28" s="1"/>
  <c r="J9" i="28" s="1"/>
  <c r="I6" i="32"/>
  <c r="D27" i="34"/>
  <c r="E8" i="28" s="1"/>
  <c r="D6" i="32"/>
  <c r="F27" i="34"/>
  <c r="G8" i="28" s="1"/>
  <c r="F6" i="32"/>
  <c r="L27" i="34"/>
  <c r="M8" i="28" s="1"/>
  <c r="L6" i="32"/>
  <c r="P27" i="34"/>
  <c r="Q8" i="28" s="1"/>
  <c r="P6" i="32"/>
  <c r="H27" i="34"/>
  <c r="I8" i="28" s="1"/>
  <c r="H6" i="32"/>
  <c r="E27" i="34"/>
  <c r="F8" i="28" s="1"/>
  <c r="E6" i="32"/>
  <c r="R27" i="34"/>
  <c r="S8" i="28" s="1"/>
  <c r="R6" i="32"/>
  <c r="U25" i="50"/>
  <c r="V24" i="50"/>
  <c r="V25" i="50" s="1"/>
  <c r="AN18" i="33" l="1"/>
  <c r="AJ18" i="33"/>
  <c r="AK30" i="33"/>
  <c r="AN30" i="33" s="1"/>
  <c r="U30" i="33"/>
  <c r="AB9" i="33"/>
  <c r="AC17" i="33"/>
  <c r="AF17" i="33" s="1"/>
  <c r="AO17" i="33" s="1"/>
  <c r="M17" i="33"/>
  <c r="V17" i="33" s="1"/>
  <c r="AM17" i="33"/>
  <c r="AN17" i="33" s="1"/>
  <c r="U17" i="33"/>
  <c r="Q18" i="33"/>
  <c r="AO20" i="33"/>
  <c r="AO24" i="33"/>
  <c r="V11" i="33"/>
  <c r="I9" i="33"/>
  <c r="G5" i="60"/>
  <c r="G7" i="60" s="1"/>
  <c r="G8" i="60" s="1"/>
  <c r="G9" i="60" s="1"/>
  <c r="G10" i="60" s="1"/>
  <c r="G11" i="60" s="1"/>
  <c r="G15" i="60" s="1"/>
  <c r="G5" i="49"/>
  <c r="J5" i="60"/>
  <c r="J7" i="60" s="1"/>
  <c r="J8" i="60" s="1"/>
  <c r="J9" i="60" s="1"/>
  <c r="J10" i="60" s="1"/>
  <c r="J11" i="60" s="1"/>
  <c r="J15" i="60" s="1"/>
  <c r="J5" i="49"/>
  <c r="I5" i="60"/>
  <c r="I7" i="60" s="1"/>
  <c r="I8" i="60" s="1"/>
  <c r="I9" i="60" s="1"/>
  <c r="I10" i="60" s="1"/>
  <c r="I11" i="60" s="1"/>
  <c r="I15" i="60" s="1"/>
  <c r="I5" i="49"/>
  <c r="X5" i="60"/>
  <c r="X7" i="60" s="1"/>
  <c r="X8" i="60" s="1"/>
  <c r="X9" i="60" s="1"/>
  <c r="X10" i="60" s="1"/>
  <c r="X11" i="60" s="1"/>
  <c r="X15" i="60" s="1"/>
  <c r="X5" i="49"/>
  <c r="H5" i="60"/>
  <c r="H7" i="60" s="1"/>
  <c r="H8" i="60" s="1"/>
  <c r="H9" i="60" s="1"/>
  <c r="H10" i="60" s="1"/>
  <c r="H11" i="60" s="1"/>
  <c r="H15" i="60" s="1"/>
  <c r="H5" i="49"/>
  <c r="V23" i="33"/>
  <c r="V5" i="60"/>
  <c r="V7" i="60" s="1"/>
  <c r="V8" i="60" s="1"/>
  <c r="V9" i="60" s="1"/>
  <c r="V10" i="60" s="1"/>
  <c r="V11" i="60" s="1"/>
  <c r="V15" i="60" s="1"/>
  <c r="V5" i="49"/>
  <c r="F5" i="60"/>
  <c r="F7" i="60" s="1"/>
  <c r="F8" i="60" s="1"/>
  <c r="F9" i="60" s="1"/>
  <c r="F10" i="60" s="1"/>
  <c r="F11" i="60" s="1"/>
  <c r="F15" i="60" s="1"/>
  <c r="F5" i="49"/>
  <c r="S5" i="60"/>
  <c r="S7" i="60" s="1"/>
  <c r="S8" i="60" s="1"/>
  <c r="S9" i="60" s="1"/>
  <c r="S10" i="60" s="1"/>
  <c r="S11" i="60" s="1"/>
  <c r="S15" i="60" s="1"/>
  <c r="S5" i="49"/>
  <c r="T5" i="60"/>
  <c r="T7" i="60" s="1"/>
  <c r="T8" i="60" s="1"/>
  <c r="T9" i="60" s="1"/>
  <c r="T10" i="60" s="1"/>
  <c r="T11" i="60" s="1"/>
  <c r="T15" i="60" s="1"/>
  <c r="T5" i="49"/>
  <c r="V10" i="33"/>
  <c r="O5" i="60"/>
  <c r="O7" i="60" s="1"/>
  <c r="O8" i="60" s="1"/>
  <c r="O9" i="60" s="1"/>
  <c r="O10" i="60" s="1"/>
  <c r="O11" i="60" s="1"/>
  <c r="O15" i="60" s="1"/>
  <c r="O5" i="49"/>
  <c r="R5" i="60"/>
  <c r="R7" i="60" s="1"/>
  <c r="R8" i="60" s="1"/>
  <c r="R9" i="60" s="1"/>
  <c r="R10" i="60" s="1"/>
  <c r="R11" i="60" s="1"/>
  <c r="R15" i="60" s="1"/>
  <c r="R5" i="49"/>
  <c r="W5" i="60"/>
  <c r="W7" i="60" s="1"/>
  <c r="W8" i="60" s="1"/>
  <c r="W9" i="60" s="1"/>
  <c r="W10" i="60" s="1"/>
  <c r="W11" i="60" s="1"/>
  <c r="W15" i="60" s="1"/>
  <c r="W5" i="49"/>
  <c r="U5" i="60"/>
  <c r="U7" i="60" s="1"/>
  <c r="U8" i="60" s="1"/>
  <c r="U9" i="60" s="1"/>
  <c r="U10" i="60" s="1"/>
  <c r="U11" i="60" s="1"/>
  <c r="U15" i="60" s="1"/>
  <c r="U5" i="49"/>
  <c r="P5" i="60"/>
  <c r="P7" i="60" s="1"/>
  <c r="P8" i="60" s="1"/>
  <c r="P9" i="60" s="1"/>
  <c r="P10" i="60" s="1"/>
  <c r="P11" i="60" s="1"/>
  <c r="P15" i="60" s="1"/>
  <c r="P5" i="49"/>
  <c r="V20" i="33"/>
  <c r="K5" i="60"/>
  <c r="K7" i="60" s="1"/>
  <c r="K8" i="60" s="1"/>
  <c r="K9" i="60" s="1"/>
  <c r="K10" i="60" s="1"/>
  <c r="K11" i="60" s="1"/>
  <c r="K15" i="60" s="1"/>
  <c r="K5" i="49"/>
  <c r="N5" i="60"/>
  <c r="N7" i="60" s="1"/>
  <c r="N8" i="60" s="1"/>
  <c r="N9" i="60" s="1"/>
  <c r="N10" i="60" s="1"/>
  <c r="N11" i="60" s="1"/>
  <c r="N15" i="60" s="1"/>
  <c r="N5" i="49"/>
  <c r="Q5" i="60"/>
  <c r="Q7" i="60" s="1"/>
  <c r="Q8" i="60" s="1"/>
  <c r="Q9" i="60" s="1"/>
  <c r="Q10" i="60" s="1"/>
  <c r="Q11" i="60" s="1"/>
  <c r="Q15" i="60" s="1"/>
  <c r="Q5" i="49"/>
  <c r="M5" i="60"/>
  <c r="M7" i="60" s="1"/>
  <c r="M8" i="60" s="1"/>
  <c r="M9" i="60" s="1"/>
  <c r="M10" i="60" s="1"/>
  <c r="M11" i="60" s="1"/>
  <c r="M15" i="60" s="1"/>
  <c r="M5" i="49"/>
  <c r="L5" i="60"/>
  <c r="L7" i="60" s="1"/>
  <c r="L8" i="60" s="1"/>
  <c r="L9" i="60" s="1"/>
  <c r="L10" i="60" s="1"/>
  <c r="L11" i="60" s="1"/>
  <c r="L15" i="60" s="1"/>
  <c r="L5" i="49"/>
  <c r="S41" i="60"/>
  <c r="T37" i="60"/>
  <c r="T40" i="60"/>
  <c r="U33" i="60"/>
  <c r="J40" i="49"/>
  <c r="J37" i="49"/>
  <c r="I41" i="49"/>
  <c r="AB26" i="33"/>
  <c r="AE33" i="33"/>
  <c r="AC18" i="33"/>
  <c r="AF18" i="33" s="1"/>
  <c r="M18" i="33"/>
  <c r="AC12" i="33"/>
  <c r="AF12" i="33" s="1"/>
  <c r="M12" i="33"/>
  <c r="AK5" i="33"/>
  <c r="U5" i="33"/>
  <c r="M9" i="33"/>
  <c r="AC9" i="33"/>
  <c r="AF9" i="33" s="1"/>
  <c r="AK28" i="33"/>
  <c r="AN28" i="33" s="1"/>
  <c r="U28" i="33"/>
  <c r="AO32" i="33"/>
  <c r="AK26" i="33"/>
  <c r="AN26" i="33" s="1"/>
  <c r="U26" i="33"/>
  <c r="AH13" i="33"/>
  <c r="AJ13" i="33" s="1"/>
  <c r="Q13" i="33"/>
  <c r="I7" i="32"/>
  <c r="L26" i="38" s="1"/>
  <c r="L25" i="38" s="1"/>
  <c r="L30" i="38" s="1"/>
  <c r="L36" i="38" s="1"/>
  <c r="L52" i="38" s="1"/>
  <c r="V19" i="33"/>
  <c r="V31" i="33"/>
  <c r="AO18" i="33"/>
  <c r="U9" i="33"/>
  <c r="AK9" i="33"/>
  <c r="AN9" i="33" s="1"/>
  <c r="AO9" i="33" s="1"/>
  <c r="Y33" i="33"/>
  <c r="AB5" i="33"/>
  <c r="Z28" i="33"/>
  <c r="AB28" i="33" s="1"/>
  <c r="I28" i="33"/>
  <c r="J55" i="28"/>
  <c r="J54" i="28" s="1"/>
  <c r="J57" i="28" s="1"/>
  <c r="J59" i="28" s="1"/>
  <c r="U29" i="33"/>
  <c r="V29" i="33" s="1"/>
  <c r="AK29" i="33"/>
  <c r="AN29" i="33" s="1"/>
  <c r="AO29" i="33" s="1"/>
  <c r="AO19" i="33"/>
  <c r="Z8" i="33"/>
  <c r="AB8" i="33" s="1"/>
  <c r="I8" i="33"/>
  <c r="V21" i="33"/>
  <c r="AC5" i="33"/>
  <c r="M5" i="33"/>
  <c r="V5" i="33" s="1"/>
  <c r="AO31" i="33"/>
  <c r="V7" i="33"/>
  <c r="C16" i="9"/>
  <c r="C21" i="9" s="1"/>
  <c r="B5" i="25"/>
  <c r="AC15" i="33"/>
  <c r="AF15" i="33" s="1"/>
  <c r="AO15" i="33" s="1"/>
  <c r="M15" i="33"/>
  <c r="V15" i="33" s="1"/>
  <c r="V30" i="33"/>
  <c r="AH12" i="33"/>
  <c r="AJ12" i="33" s="1"/>
  <c r="Q12" i="33"/>
  <c r="V27" i="33"/>
  <c r="AO11" i="33"/>
  <c r="AM33" i="33"/>
  <c r="AO23" i="33"/>
  <c r="AC28" i="33"/>
  <c r="AF28" i="33" s="1"/>
  <c r="M28" i="33"/>
  <c r="AO16" i="33"/>
  <c r="AO25" i="33"/>
  <c r="V14" i="33"/>
  <c r="AG33" i="33"/>
  <c r="AH26" i="33"/>
  <c r="AJ26" i="33" s="1"/>
  <c r="Q26" i="33"/>
  <c r="U18" i="33"/>
  <c r="AO6" i="33"/>
  <c r="AC13" i="33"/>
  <c r="AF13" i="33" s="1"/>
  <c r="M13" i="33"/>
  <c r="V16" i="33"/>
  <c r="V25" i="33"/>
  <c r="R55" i="28"/>
  <c r="R54" i="28" s="1"/>
  <c r="R57" i="28" s="1"/>
  <c r="R59" i="28" s="1"/>
  <c r="V18" i="33"/>
  <c r="I26" i="33"/>
  <c r="AK8" i="33"/>
  <c r="AN8" i="33" s="1"/>
  <c r="U8" i="33"/>
  <c r="AC8" i="33"/>
  <c r="AF8" i="33" s="1"/>
  <c r="M8" i="33"/>
  <c r="O6" i="28"/>
  <c r="O5" i="28" s="1"/>
  <c r="O9" i="28" s="1"/>
  <c r="O16" i="28"/>
  <c r="O15" i="28" s="1"/>
  <c r="O42" i="28" s="1"/>
  <c r="O53" i="28" s="1"/>
  <c r="N4" i="32"/>
  <c r="N19" i="45" s="1"/>
  <c r="N21" i="45" s="1"/>
  <c r="AO7" i="33"/>
  <c r="AO30" i="33"/>
  <c r="U12" i="33"/>
  <c r="V12" i="33" s="1"/>
  <c r="AK12" i="33"/>
  <c r="AN12" i="33" s="1"/>
  <c r="AO10" i="33"/>
  <c r="AO27" i="33"/>
  <c r="AH28" i="33"/>
  <c r="AJ28" i="33" s="1"/>
  <c r="Q28" i="33"/>
  <c r="G6" i="28"/>
  <c r="G5" i="28" s="1"/>
  <c r="G9" i="28" s="1"/>
  <c r="G16" i="28"/>
  <c r="G15" i="28" s="1"/>
  <c r="G42" i="28" s="1"/>
  <c r="G53" i="28" s="1"/>
  <c r="F4" i="32"/>
  <c r="F19" i="45" s="1"/>
  <c r="F21" i="45" s="1"/>
  <c r="Z33" i="33"/>
  <c r="V32" i="33"/>
  <c r="M26" i="33"/>
  <c r="AC26" i="33"/>
  <c r="AF26" i="33" s="1"/>
  <c r="U13" i="33"/>
  <c r="AK13" i="33"/>
  <c r="AN13" i="33" s="1"/>
  <c r="W27" i="38"/>
  <c r="T14" i="45"/>
  <c r="K6" i="32"/>
  <c r="O6" i="32"/>
  <c r="G6" i="32"/>
  <c r="S6" i="32"/>
  <c r="T26" i="34"/>
  <c r="T27" i="34" s="1"/>
  <c r="U8" i="28" s="1"/>
  <c r="G27" i="34"/>
  <c r="H8" i="28" s="1"/>
  <c r="AO13" i="33" l="1"/>
  <c r="AJ33" i="33"/>
  <c r="AH33" i="33"/>
  <c r="V9" i="33"/>
  <c r="AO12" i="33"/>
  <c r="V13" i="33"/>
  <c r="T41" i="60"/>
  <c r="U37" i="60"/>
  <c r="U40" i="60"/>
  <c r="V33" i="60"/>
  <c r="K37" i="49"/>
  <c r="J41" i="49"/>
  <c r="K40" i="49"/>
  <c r="P6" i="28"/>
  <c r="P5" i="28" s="1"/>
  <c r="P9" i="28" s="1"/>
  <c r="P16" i="28"/>
  <c r="P15" i="28" s="1"/>
  <c r="P42" i="28" s="1"/>
  <c r="P53" i="28" s="1"/>
  <c r="F6" i="28"/>
  <c r="F5" i="28" s="1"/>
  <c r="F9" i="28" s="1"/>
  <c r="E4" i="32"/>
  <c r="F16" i="28"/>
  <c r="F15" i="28" s="1"/>
  <c r="F42" i="28" s="1"/>
  <c r="F53" i="28" s="1"/>
  <c r="AC33" i="33"/>
  <c r="AF5" i="33"/>
  <c r="AF33" i="33" s="1"/>
  <c r="V28" i="33"/>
  <c r="N6" i="28"/>
  <c r="N5" i="28" s="1"/>
  <c r="N9" i="28" s="1"/>
  <c r="N16" i="28"/>
  <c r="N15" i="28" s="1"/>
  <c r="N42" i="28" s="1"/>
  <c r="N53" i="28" s="1"/>
  <c r="M4" i="32"/>
  <c r="K6" i="28"/>
  <c r="K5" i="28" s="1"/>
  <c r="K9" i="28" s="1"/>
  <c r="K16" i="28"/>
  <c r="K15" i="28" s="1"/>
  <c r="K42" i="28" s="1"/>
  <c r="K53" i="28" s="1"/>
  <c r="J4" i="32"/>
  <c r="G55" i="28"/>
  <c r="G54" i="28" s="1"/>
  <c r="G57" i="28" s="1"/>
  <c r="G59" i="28" s="1"/>
  <c r="V8" i="33"/>
  <c r="AO5" i="33"/>
  <c r="AB33" i="33"/>
  <c r="F7" i="32"/>
  <c r="I26" i="38" s="1"/>
  <c r="I25" i="38" s="1"/>
  <c r="I30" i="38" s="1"/>
  <c r="I36" i="38" s="1"/>
  <c r="I52" i="38" s="1"/>
  <c r="AN5" i="33"/>
  <c r="AN33" i="33" s="1"/>
  <c r="AK33" i="33"/>
  <c r="AO26" i="33"/>
  <c r="O55" i="28"/>
  <c r="O54" i="28" s="1"/>
  <c r="O57" i="28" s="1"/>
  <c r="O59" i="28" s="1"/>
  <c r="AO28" i="33"/>
  <c r="V26" i="33"/>
  <c r="M6" i="28"/>
  <c r="M5" i="28" s="1"/>
  <c r="M9" i="28" s="1"/>
  <c r="L4" i="32"/>
  <c r="M16" i="28"/>
  <c r="M15" i="28" s="1"/>
  <c r="M42" i="28" s="1"/>
  <c r="M53" i="28" s="1"/>
  <c r="S6" i="28"/>
  <c r="S5" i="28" s="1"/>
  <c r="S9" i="28" s="1"/>
  <c r="R4" i="32"/>
  <c r="S16" i="28"/>
  <c r="S15" i="28" s="1"/>
  <c r="S42" i="28" s="1"/>
  <c r="S53" i="28" s="1"/>
  <c r="AO8" i="33"/>
  <c r="N7" i="32"/>
  <c r="Q26" i="38" s="1"/>
  <c r="Q25" i="38" s="1"/>
  <c r="Q30" i="38" s="1"/>
  <c r="Q36" i="38" s="1"/>
  <c r="Q52" i="38" s="1"/>
  <c r="E16" i="28"/>
  <c r="E15" i="28" s="1"/>
  <c r="E42" i="28" s="1"/>
  <c r="E53" i="28" s="1"/>
  <c r="D4" i="32"/>
  <c r="E6" i="28"/>
  <c r="E5" i="28" s="1"/>
  <c r="E9" i="28" s="1"/>
  <c r="T6" i="32"/>
  <c r="W33" i="60" l="1"/>
  <c r="V40" i="60"/>
  <c r="U41" i="60"/>
  <c r="V37" i="60"/>
  <c r="L40" i="49"/>
  <c r="K41" i="49"/>
  <c r="L37" i="49"/>
  <c r="H6" i="28"/>
  <c r="H5" i="28" s="1"/>
  <c r="H9" i="28" s="1"/>
  <c r="H16" i="28"/>
  <c r="H15" i="28" s="1"/>
  <c r="H42" i="28" s="1"/>
  <c r="H53" i="28" s="1"/>
  <c r="AO33" i="33"/>
  <c r="F55" i="28"/>
  <c r="F54" i="28" s="1"/>
  <c r="F57" i="28" s="1"/>
  <c r="F59" i="28" s="1"/>
  <c r="M55" i="28"/>
  <c r="M54" i="28" s="1"/>
  <c r="M57" i="28" s="1"/>
  <c r="M59" i="28" s="1"/>
  <c r="K55" i="28"/>
  <c r="K54" i="28" s="1"/>
  <c r="K57" i="28" s="1"/>
  <c r="K59" i="28" s="1"/>
  <c r="Q6" i="28"/>
  <c r="Q5" i="28" s="1"/>
  <c r="Q9" i="28" s="1"/>
  <c r="P4" i="32"/>
  <c r="Q16" i="28"/>
  <c r="Q15" i="28" s="1"/>
  <c r="Q42" i="28" s="1"/>
  <c r="Q53" i="28" s="1"/>
  <c r="E19" i="45"/>
  <c r="E21" i="45" s="1"/>
  <c r="E7" i="32"/>
  <c r="H26" i="38" s="1"/>
  <c r="H25" i="38" s="1"/>
  <c r="H30" i="38" s="1"/>
  <c r="H36" i="38" s="1"/>
  <c r="H52" i="38" s="1"/>
  <c r="G4" i="32"/>
  <c r="D19" i="45"/>
  <c r="D21" i="45" s="1"/>
  <c r="D22" i="45" s="1"/>
  <c r="E3" i="45" s="1"/>
  <c r="E5" i="45" s="1"/>
  <c r="D7" i="32"/>
  <c r="G26" i="38" s="1"/>
  <c r="G25" i="38" s="1"/>
  <c r="G30" i="38" s="1"/>
  <c r="G36" i="38" s="1"/>
  <c r="G52" i="38" s="1"/>
  <c r="G53" i="38" s="1"/>
  <c r="H14" i="38" s="1"/>
  <c r="S55" i="28"/>
  <c r="S54" i="28" s="1"/>
  <c r="S57" i="28" s="1"/>
  <c r="S59" i="28" s="1"/>
  <c r="O4" i="32"/>
  <c r="L19" i="45"/>
  <c r="L21" i="45" s="1"/>
  <c r="L7" i="32"/>
  <c r="O26" i="38" s="1"/>
  <c r="O25" i="38" s="1"/>
  <c r="O30" i="38" s="1"/>
  <c r="O36" i="38" s="1"/>
  <c r="O52" i="38" s="1"/>
  <c r="T6" i="28"/>
  <c r="T5" i="28" s="1"/>
  <c r="T9" i="28" s="1"/>
  <c r="T16" i="28"/>
  <c r="T15" i="28" s="1"/>
  <c r="T42" i="28" s="1"/>
  <c r="T53" i="28" s="1"/>
  <c r="M19" i="45"/>
  <c r="M21" i="45" s="1"/>
  <c r="M7" i="32"/>
  <c r="P26" i="38" s="1"/>
  <c r="P25" i="38" s="1"/>
  <c r="P30" i="38" s="1"/>
  <c r="P36" i="38" s="1"/>
  <c r="P52" i="38" s="1"/>
  <c r="L6" i="28"/>
  <c r="L5" i="28" s="1"/>
  <c r="L9" i="28" s="1"/>
  <c r="L16" i="28"/>
  <c r="L15" i="28" s="1"/>
  <c r="L42" i="28" s="1"/>
  <c r="L53" i="28" s="1"/>
  <c r="P55" i="28"/>
  <c r="P54" i="28" s="1"/>
  <c r="P57" i="28" s="1"/>
  <c r="P59" i="28" s="1"/>
  <c r="E55" i="28"/>
  <c r="E54" i="28" s="1"/>
  <c r="E57" i="28" s="1"/>
  <c r="E59" i="28" s="1"/>
  <c r="R19" i="45"/>
  <c r="R21" i="45" s="1"/>
  <c r="R7" i="32"/>
  <c r="U26" i="38" s="1"/>
  <c r="U25" i="38" s="1"/>
  <c r="U30" i="38" s="1"/>
  <c r="U36" i="38" s="1"/>
  <c r="U52" i="38" s="1"/>
  <c r="J19" i="45"/>
  <c r="J21" i="45" s="1"/>
  <c r="J7" i="32"/>
  <c r="M26" i="38" s="1"/>
  <c r="M25" i="38" s="1"/>
  <c r="M30" i="38" s="1"/>
  <c r="M36" i="38" s="1"/>
  <c r="M52" i="38" s="1"/>
  <c r="N55" i="28"/>
  <c r="N54" i="28" s="1"/>
  <c r="N57" i="28" s="1"/>
  <c r="N59" i="28" s="1"/>
  <c r="I16" i="28"/>
  <c r="I15" i="28" s="1"/>
  <c r="I42" i="28" s="1"/>
  <c r="I53" i="28" s="1"/>
  <c r="I6" i="28"/>
  <c r="I5" i="28" s="1"/>
  <c r="I9" i="28" s="1"/>
  <c r="H4" i="32"/>
  <c r="E22" i="45" l="1"/>
  <c r="F3" i="45" s="1"/>
  <c r="F5" i="45" s="1"/>
  <c r="F22" i="45" s="1"/>
  <c r="G3" i="45" s="1"/>
  <c r="G5" i="45" s="1"/>
  <c r="X33" i="60"/>
  <c r="X40" i="60" s="1"/>
  <c r="W40" i="60"/>
  <c r="V41" i="60"/>
  <c r="W37" i="60"/>
  <c r="L41" i="49"/>
  <c r="M37" i="49"/>
  <c r="M40" i="49"/>
  <c r="L55" i="28"/>
  <c r="L54" i="28" s="1"/>
  <c r="L57" i="28" s="1"/>
  <c r="L59" i="28" s="1"/>
  <c r="T55" i="28"/>
  <c r="T54" i="28" s="1"/>
  <c r="T57" i="28" s="1"/>
  <c r="T59" i="28" s="1"/>
  <c r="H53" i="38"/>
  <c r="I14" i="38" s="1"/>
  <c r="I53" i="38" s="1"/>
  <c r="K14" i="38" s="1"/>
  <c r="U6" i="28"/>
  <c r="U5" i="28" s="1"/>
  <c r="U9" i="28" s="1"/>
  <c r="E16" i="9" s="1"/>
  <c r="U16" i="28"/>
  <c r="U15" i="28" s="1"/>
  <c r="U42" i="28" s="1"/>
  <c r="U53" i="28" s="1"/>
  <c r="P19" i="45"/>
  <c r="P21" i="45" s="1"/>
  <c r="S4" i="32"/>
  <c r="P7" i="32"/>
  <c r="S26" i="38" s="1"/>
  <c r="S25" i="38" s="1"/>
  <c r="S30" i="38" s="1"/>
  <c r="S36" i="38" s="1"/>
  <c r="S52" i="38" s="1"/>
  <c r="H19" i="45"/>
  <c r="H21" i="45" s="1"/>
  <c r="K4" i="32"/>
  <c r="H7" i="32"/>
  <c r="K26" i="38" s="1"/>
  <c r="K25" i="38" s="1"/>
  <c r="K30" i="38" s="1"/>
  <c r="K36" i="38" s="1"/>
  <c r="K52" i="38" s="1"/>
  <c r="O19" i="45"/>
  <c r="O21" i="45" s="1"/>
  <c r="O7" i="32"/>
  <c r="R26" i="38" s="1"/>
  <c r="R25" i="38" s="1"/>
  <c r="R30" i="38" s="1"/>
  <c r="R36" i="38" s="1"/>
  <c r="R52" i="38" s="1"/>
  <c r="H55" i="28"/>
  <c r="H54" i="28" s="1"/>
  <c r="H57" i="28" s="1"/>
  <c r="H59" i="28" s="1"/>
  <c r="I55" i="28"/>
  <c r="I54" i="28" s="1"/>
  <c r="I57" i="28" s="1"/>
  <c r="I59" i="28" s="1"/>
  <c r="G19" i="45"/>
  <c r="G21" i="45" s="1"/>
  <c r="G7" i="32"/>
  <c r="Q55" i="28"/>
  <c r="Q54" i="28" s="1"/>
  <c r="Q57" i="28" s="1"/>
  <c r="Q59" i="28" s="1"/>
  <c r="G22" i="45" l="1"/>
  <c r="H3" i="45" s="1"/>
  <c r="H5" i="45" s="1"/>
  <c r="H22" i="45" s="1"/>
  <c r="I3" i="45" s="1"/>
  <c r="I5" i="45" s="1"/>
  <c r="I22" i="45" s="1"/>
  <c r="J3" i="45" s="1"/>
  <c r="J5" i="45" s="1"/>
  <c r="J22" i="45" s="1"/>
  <c r="K3" i="45" s="1"/>
  <c r="K5" i="45" s="1"/>
  <c r="J14" i="38"/>
  <c r="W41" i="60"/>
  <c r="X37" i="60"/>
  <c r="X41" i="60" s="1"/>
  <c r="N40" i="49"/>
  <c r="M41" i="49"/>
  <c r="N37" i="49"/>
  <c r="K53" i="38"/>
  <c r="L14" i="38" s="1"/>
  <c r="J26" i="38"/>
  <c r="J25" i="38" s="1"/>
  <c r="J30" i="38" s="1"/>
  <c r="J36" i="38" s="1"/>
  <c r="J52" i="38" s="1"/>
  <c r="J53" i="38" s="1"/>
  <c r="W16" i="38"/>
  <c r="W24" i="38" s="1"/>
  <c r="U55" i="28"/>
  <c r="U54" i="28" s="1"/>
  <c r="U57" i="28" s="1"/>
  <c r="U59" i="28" s="1"/>
  <c r="K19" i="45"/>
  <c r="K21" i="45" s="1"/>
  <c r="K7" i="32"/>
  <c r="N26" i="38" s="1"/>
  <c r="N25" i="38" s="1"/>
  <c r="N30" i="38" s="1"/>
  <c r="N36" i="38" s="1"/>
  <c r="N52" i="38" s="1"/>
  <c r="T4" i="32"/>
  <c r="T19" i="45" s="1"/>
  <c r="T21" i="45" s="1"/>
  <c r="S19" i="45"/>
  <c r="S21" i="45" s="1"/>
  <c r="S7" i="32"/>
  <c r="V26" i="38" s="1"/>
  <c r="V25" i="38" s="1"/>
  <c r="V30" i="38" s="1"/>
  <c r="V36" i="38" s="1"/>
  <c r="V52" i="38" s="1"/>
  <c r="E21" i="9"/>
  <c r="D16" i="9"/>
  <c r="D21" i="9" s="1"/>
  <c r="K22" i="45" l="1"/>
  <c r="L3" i="45" s="1"/>
  <c r="L5" i="45" s="1"/>
  <c r="L22" i="45" s="1"/>
  <c r="M3" i="45" s="1"/>
  <c r="M5" i="45" s="1"/>
  <c r="M22" i="45" s="1"/>
  <c r="N3" i="45" s="1"/>
  <c r="N5" i="45" s="1"/>
  <c r="N22" i="45" s="1"/>
  <c r="O3" i="45" s="1"/>
  <c r="O5" i="45" s="1"/>
  <c r="O22" i="45" s="1"/>
  <c r="P3" i="45" s="1"/>
  <c r="P5" i="45" s="1"/>
  <c r="P22" i="45" s="1"/>
  <c r="Q3" i="45" s="1"/>
  <c r="Q5" i="45" s="1"/>
  <c r="Q22" i="45" s="1"/>
  <c r="R3" i="45" s="1"/>
  <c r="R5" i="45" s="1"/>
  <c r="R22" i="45" s="1"/>
  <c r="E11" i="9" s="1"/>
  <c r="O40" i="49"/>
  <c r="N41" i="49"/>
  <c r="O37" i="49"/>
  <c r="L53" i="38"/>
  <c r="M14" i="38" s="1"/>
  <c r="M53" i="38" s="1"/>
  <c r="O14" i="38" s="1"/>
  <c r="T7" i="32"/>
  <c r="W26" i="38" s="1"/>
  <c r="W25" i="38" s="1"/>
  <c r="W30" i="38" s="1"/>
  <c r="W36" i="38" s="1"/>
  <c r="W52" i="38" s="1"/>
  <c r="N14" i="38" l="1"/>
  <c r="N53" i="38" s="1"/>
  <c r="S3" i="45"/>
  <c r="S5" i="45" s="1"/>
  <c r="S22" i="45" s="1"/>
  <c r="T3" i="45" s="1"/>
  <c r="T5" i="45" s="1"/>
  <c r="T22" i="45" s="1"/>
  <c r="D24" i="45" s="1"/>
  <c r="E24" i="45" s="1"/>
  <c r="F24" i="45" s="1"/>
  <c r="H24" i="45" s="1"/>
  <c r="P40" i="49"/>
  <c r="O41" i="49"/>
  <c r="P37" i="49"/>
  <c r="O53" i="38"/>
  <c r="P14" i="38" s="1"/>
  <c r="P53" i="38" s="1"/>
  <c r="Q14" i="38" s="1"/>
  <c r="Q53" i="38" s="1"/>
  <c r="S14" i="38" s="1"/>
  <c r="D11" i="9"/>
  <c r="D12" i="9" s="1"/>
  <c r="E12" i="9"/>
  <c r="G24" i="45" l="1"/>
  <c r="I24" i="45"/>
  <c r="J24" i="45" s="1"/>
  <c r="L24" i="45" s="1"/>
  <c r="R14" i="38"/>
  <c r="R53" i="38" s="1"/>
  <c r="Q37" i="49"/>
  <c r="P41" i="49"/>
  <c r="Q40" i="49"/>
  <c r="S53" i="38"/>
  <c r="T14" i="38" s="1"/>
  <c r="T53" i="38" s="1"/>
  <c r="U14" i="38" s="1"/>
  <c r="U53" i="38" s="1"/>
  <c r="K24" i="45" l="1"/>
  <c r="M24" i="45"/>
  <c r="N24" i="45" s="1"/>
  <c r="P24" i="45" s="1"/>
  <c r="R40" i="49"/>
  <c r="R37" i="49"/>
  <c r="Q41" i="49"/>
  <c r="V14" i="38"/>
  <c r="O24" i="45" l="1"/>
  <c r="Q24" i="45"/>
  <c r="R24" i="45" s="1"/>
  <c r="R41" i="49"/>
  <c r="S37" i="49"/>
  <c r="S40" i="49"/>
  <c r="V53" i="38"/>
  <c r="W14" i="38"/>
  <c r="W53" i="38" s="1"/>
  <c r="S24" i="45" l="1"/>
  <c r="T40" i="49"/>
  <c r="S41" i="49"/>
  <c r="T37" i="49"/>
  <c r="T41" i="49" l="1"/>
  <c r="U37" i="49"/>
  <c r="U40" i="49"/>
  <c r="V40" i="49" l="1"/>
  <c r="U41" i="49"/>
  <c r="V37" i="49"/>
  <c r="V41" i="49" l="1"/>
  <c r="W37" i="49"/>
  <c r="X40" i="49"/>
  <c r="W40" i="49"/>
  <c r="D27" i="55" l="1"/>
  <c r="W41" i="49"/>
  <c r="X37" i="49"/>
  <c r="X41" i="49" s="1"/>
  <c r="D35" i="55" l="1"/>
  <c r="D15" i="53" l="1"/>
  <c r="E5" i="60" s="1"/>
  <c r="E9" i="50"/>
  <c r="E11" i="50" s="1"/>
  <c r="E3" i="50" s="1"/>
  <c r="F4" i="49" s="1"/>
  <c r="F7" i="49" s="1"/>
  <c r="F8" i="49" s="1"/>
  <c r="D5" i="50"/>
  <c r="D9" i="50" s="1"/>
  <c r="D11" i="50" s="1"/>
  <c r="D3" i="50" s="1"/>
  <c r="E4" i="49" s="1"/>
  <c r="E5" i="50"/>
  <c r="F5" i="50" s="1"/>
  <c r="G5" i="50" s="1"/>
  <c r="G9" i="50" s="1"/>
  <c r="G11" i="50" s="1"/>
  <c r="G3" i="50" s="1"/>
  <c r="H4" i="49" s="1"/>
  <c r="H7" i="49" s="1"/>
  <c r="H8" i="49" s="1"/>
  <c r="E5" i="49" l="1"/>
  <c r="Y5" i="49" s="1"/>
  <c r="F9" i="50"/>
  <c r="F11" i="50" s="1"/>
  <c r="F3" i="50" s="1"/>
  <c r="G4" i="49" s="1"/>
  <c r="G7" i="49" s="1"/>
  <c r="G8" i="49" s="1"/>
  <c r="G9" i="49" s="1"/>
  <c r="G10" i="49" s="1"/>
  <c r="G11" i="49" s="1"/>
  <c r="G15" i="49" s="1"/>
  <c r="H5" i="50"/>
  <c r="H9" i="49"/>
  <c r="H10" i="49" s="1"/>
  <c r="H11" i="49" s="1"/>
  <c r="H15" i="49" s="1"/>
  <c r="F9" i="49"/>
  <c r="F10" i="49" s="1"/>
  <c r="F11" i="49" s="1"/>
  <c r="F15" i="49" s="1"/>
  <c r="E7" i="49" l="1"/>
  <c r="E8" i="49" s="1"/>
  <c r="Y5" i="60"/>
  <c r="E7" i="60"/>
  <c r="H9" i="50"/>
  <c r="H11" i="50" s="1"/>
  <c r="H3" i="50" s="1"/>
  <c r="I4" i="49" s="1"/>
  <c r="I7" i="49" s="1"/>
  <c r="I8" i="49" s="1"/>
  <c r="I9" i="49" s="1"/>
  <c r="I10" i="49" s="1"/>
  <c r="I11" i="49" s="1"/>
  <c r="I15" i="49" s="1"/>
  <c r="I5" i="50"/>
  <c r="E8" i="60" l="1"/>
  <c r="Y7" i="60"/>
  <c r="E9" i="49"/>
  <c r="I9" i="50"/>
  <c r="I11" i="50" s="1"/>
  <c r="I3" i="50" s="1"/>
  <c r="J4" i="49" s="1"/>
  <c r="J7" i="49" s="1"/>
  <c r="J5" i="50"/>
  <c r="Y8" i="60" l="1"/>
  <c r="E9" i="60"/>
  <c r="Y9" i="60" s="1"/>
  <c r="J8" i="49"/>
  <c r="E10" i="49"/>
  <c r="K5" i="50"/>
  <c r="J9" i="50"/>
  <c r="J11" i="50" s="1"/>
  <c r="J3" i="50" s="1"/>
  <c r="K4" i="49" s="1"/>
  <c r="K7" i="49" s="1"/>
  <c r="K8" i="49" s="1"/>
  <c r="K9" i="49" s="1"/>
  <c r="K10" i="49" s="1"/>
  <c r="K11" i="49" s="1"/>
  <c r="K15" i="49" s="1"/>
  <c r="E10" i="60" l="1"/>
  <c r="J9" i="49"/>
  <c r="E11" i="49"/>
  <c r="K9" i="50"/>
  <c r="K11" i="50" s="1"/>
  <c r="K3" i="50" s="1"/>
  <c r="L4" i="49" s="1"/>
  <c r="L7" i="49" s="1"/>
  <c r="L8" i="49" s="1"/>
  <c r="L9" i="49" s="1"/>
  <c r="L10" i="49" s="1"/>
  <c r="L11" i="49" s="1"/>
  <c r="L15" i="49" s="1"/>
  <c r="L5" i="50"/>
  <c r="E11" i="60" l="1"/>
  <c r="Y10" i="60"/>
  <c r="E12" i="49"/>
  <c r="E15" i="49"/>
  <c r="J10" i="49"/>
  <c r="L9" i="50"/>
  <c r="L11" i="50" s="1"/>
  <c r="L3" i="50" s="1"/>
  <c r="M4" i="49" s="1"/>
  <c r="M7" i="49" s="1"/>
  <c r="M5" i="50"/>
  <c r="D17" i="60" l="1"/>
  <c r="E12" i="60"/>
  <c r="Y11" i="60"/>
  <c r="E15" i="60"/>
  <c r="E16" i="49"/>
  <c r="E20" i="49" s="1"/>
  <c r="J11" i="49"/>
  <c r="J15" i="49" s="1"/>
  <c r="M8" i="49"/>
  <c r="E19" i="49"/>
  <c r="F12" i="49"/>
  <c r="N5" i="50"/>
  <c r="M9" i="50"/>
  <c r="M11" i="50" s="1"/>
  <c r="M3" i="50" s="1"/>
  <c r="N4" i="49" s="1"/>
  <c r="N7" i="49" s="1"/>
  <c r="N8" i="49" s="1"/>
  <c r="N9" i="49" s="1"/>
  <c r="N10" i="49" s="1"/>
  <c r="N11" i="49" s="1"/>
  <c r="N15" i="49" s="1"/>
  <c r="F12" i="60" l="1"/>
  <c r="E19" i="60"/>
  <c r="E16" i="60"/>
  <c r="Y15" i="60"/>
  <c r="D18" i="60"/>
  <c r="F16" i="49"/>
  <c r="G16" i="49" s="1"/>
  <c r="G12" i="49"/>
  <c r="F19" i="49"/>
  <c r="M9" i="49"/>
  <c r="N9" i="50"/>
  <c r="N11" i="50" s="1"/>
  <c r="N3" i="50" s="1"/>
  <c r="O4" i="49" s="1"/>
  <c r="O7" i="49" s="1"/>
  <c r="O8" i="49" s="1"/>
  <c r="O9" i="49" s="1"/>
  <c r="O10" i="49" s="1"/>
  <c r="O11" i="49" s="1"/>
  <c r="O15" i="49" s="1"/>
  <c r="O5" i="50"/>
  <c r="E20" i="60" l="1"/>
  <c r="F16" i="60"/>
  <c r="F19" i="60"/>
  <c r="G12" i="60"/>
  <c r="F20" i="49"/>
  <c r="G20" i="49"/>
  <c r="H16" i="49"/>
  <c r="M10" i="49"/>
  <c r="G19" i="49"/>
  <c r="H12" i="49"/>
  <c r="O9" i="50"/>
  <c r="O11" i="50" s="1"/>
  <c r="O3" i="50" s="1"/>
  <c r="P4" i="49" s="1"/>
  <c r="P7" i="49" s="1"/>
  <c r="P8" i="49" s="1"/>
  <c r="P9" i="49" s="1"/>
  <c r="P10" i="49" s="1"/>
  <c r="P11" i="49" s="1"/>
  <c r="P15" i="49" s="1"/>
  <c r="P5" i="50"/>
  <c r="F20" i="60" l="1"/>
  <c r="G16" i="60"/>
  <c r="G19" i="60"/>
  <c r="H12" i="60"/>
  <c r="M11" i="49"/>
  <c r="M15" i="49" s="1"/>
  <c r="H20" i="49"/>
  <c r="I16" i="49"/>
  <c r="I12" i="49"/>
  <c r="H19" i="49"/>
  <c r="Q5" i="50"/>
  <c r="P9" i="50"/>
  <c r="P11" i="50" s="1"/>
  <c r="P3" i="50" s="1"/>
  <c r="Q4" i="49" s="1"/>
  <c r="Q7" i="49" s="1"/>
  <c r="Q8" i="49" s="1"/>
  <c r="Q9" i="49" s="1"/>
  <c r="Q10" i="49" s="1"/>
  <c r="Q11" i="49" s="1"/>
  <c r="Q15" i="49" s="1"/>
  <c r="H19" i="60" l="1"/>
  <c r="I12" i="60"/>
  <c r="G20" i="60"/>
  <c r="H16" i="60"/>
  <c r="J16" i="49"/>
  <c r="I20" i="49"/>
  <c r="I19" i="49"/>
  <c r="J12" i="49"/>
  <c r="R5" i="50"/>
  <c r="Q9" i="50"/>
  <c r="Q11" i="50" s="1"/>
  <c r="Q3" i="50" s="1"/>
  <c r="R4" i="49" s="1"/>
  <c r="R7" i="49" s="1"/>
  <c r="R8" i="49" s="1"/>
  <c r="R9" i="49" s="1"/>
  <c r="I16" i="60" l="1"/>
  <c r="H20" i="60"/>
  <c r="J12" i="60"/>
  <c r="I19" i="60"/>
  <c r="R10" i="49"/>
  <c r="J20" i="49"/>
  <c r="K16" i="49"/>
  <c r="J19" i="49"/>
  <c r="K12" i="49"/>
  <c r="R9" i="50"/>
  <c r="R11" i="50" s="1"/>
  <c r="R3" i="50" s="1"/>
  <c r="S4" i="49" s="1"/>
  <c r="S7" i="49" s="1"/>
  <c r="S8" i="49" s="1"/>
  <c r="S9" i="49" s="1"/>
  <c r="S10" i="49" s="1"/>
  <c r="S11" i="49" s="1"/>
  <c r="S15" i="49" s="1"/>
  <c r="S5" i="50"/>
  <c r="I20" i="60" l="1"/>
  <c r="J16" i="60"/>
  <c r="J19" i="60"/>
  <c r="K12" i="60"/>
  <c r="K20" i="49"/>
  <c r="L16" i="49"/>
  <c r="K19" i="49"/>
  <c r="L12" i="49"/>
  <c r="R11" i="49"/>
  <c r="R15" i="49" s="1"/>
  <c r="S9" i="50"/>
  <c r="S11" i="50" s="1"/>
  <c r="S3" i="50" s="1"/>
  <c r="T4" i="49" s="1"/>
  <c r="T7" i="49" s="1"/>
  <c r="T8" i="49" s="1"/>
  <c r="T9" i="49" s="1"/>
  <c r="T10" i="49" s="1"/>
  <c r="T11" i="49" s="1"/>
  <c r="T15" i="49" s="1"/>
  <c r="T5" i="50"/>
  <c r="J20" i="60" l="1"/>
  <c r="K16" i="60"/>
  <c r="K19" i="60"/>
  <c r="L12" i="60"/>
  <c r="M12" i="49"/>
  <c r="L19" i="49"/>
  <c r="L20" i="49"/>
  <c r="M16" i="49"/>
  <c r="T9" i="50"/>
  <c r="T11" i="50" s="1"/>
  <c r="T3" i="50" s="1"/>
  <c r="U4" i="49" s="1"/>
  <c r="U7" i="49" s="1"/>
  <c r="U8" i="49" s="1"/>
  <c r="U9" i="49" s="1"/>
  <c r="U10" i="49" s="1"/>
  <c r="U11" i="49" s="1"/>
  <c r="U15" i="49" s="1"/>
  <c r="U5" i="50"/>
  <c r="K20" i="60" l="1"/>
  <c r="L16" i="60"/>
  <c r="L19" i="60"/>
  <c r="M12" i="60"/>
  <c r="M20" i="49"/>
  <c r="N16" i="49"/>
  <c r="M19" i="49"/>
  <c r="N12" i="49"/>
  <c r="U9" i="50"/>
  <c r="U11" i="50" s="1"/>
  <c r="U3" i="50" s="1"/>
  <c r="V4" i="49" s="1"/>
  <c r="V7" i="49" s="1"/>
  <c r="V8" i="49" s="1"/>
  <c r="V9" i="49" s="1"/>
  <c r="V10" i="49" s="1"/>
  <c r="V11" i="49" s="1"/>
  <c r="V15" i="49" s="1"/>
  <c r="V5" i="50"/>
  <c r="N12" i="60" l="1"/>
  <c r="M19" i="60"/>
  <c r="L20" i="60"/>
  <c r="M16" i="60"/>
  <c r="N19" i="49"/>
  <c r="O12" i="49"/>
  <c r="N20" i="49"/>
  <c r="O16" i="49"/>
  <c r="W5" i="50"/>
  <c r="W9" i="50" s="1"/>
  <c r="W11" i="50" s="1"/>
  <c r="W3" i="50" s="1"/>
  <c r="X4" i="49" s="1"/>
  <c r="V9" i="50"/>
  <c r="V11" i="50" s="1"/>
  <c r="V3" i="50" s="1"/>
  <c r="W4" i="49" s="1"/>
  <c r="W7" i="49" s="1"/>
  <c r="W8" i="49" s="1"/>
  <c r="W9" i="49" s="1"/>
  <c r="W10" i="49" s="1"/>
  <c r="W11" i="49" s="1"/>
  <c r="W15" i="49" s="1"/>
  <c r="M20" i="60" l="1"/>
  <c r="N16" i="60"/>
  <c r="O12" i="60"/>
  <c r="N19" i="60"/>
  <c r="O20" i="49"/>
  <c r="P16" i="49"/>
  <c r="O19" i="49"/>
  <c r="P12" i="49"/>
  <c r="X7" i="49"/>
  <c r="Y4" i="49"/>
  <c r="O19" i="60" l="1"/>
  <c r="P12" i="60"/>
  <c r="O16" i="60"/>
  <c r="N20" i="60"/>
  <c r="Q12" i="49"/>
  <c r="P19" i="49"/>
  <c r="Q16" i="49"/>
  <c r="P20" i="49"/>
  <c r="X8" i="49"/>
  <c r="Y7" i="49"/>
  <c r="O20" i="60" l="1"/>
  <c r="P16" i="60"/>
  <c r="Q12" i="60"/>
  <c r="P19" i="60"/>
  <c r="Q20" i="49"/>
  <c r="R16" i="49"/>
  <c r="X9" i="49"/>
  <c r="Y8" i="49"/>
  <c r="Q19" i="49"/>
  <c r="R12" i="49"/>
  <c r="R12" i="60" l="1"/>
  <c r="Q19" i="60"/>
  <c r="P20" i="60"/>
  <c r="Q16" i="60"/>
  <c r="X10" i="49"/>
  <c r="X11" i="49" s="1"/>
  <c r="X15" i="49" s="1"/>
  <c r="Y9" i="49"/>
  <c r="R19" i="49"/>
  <c r="S12" i="49"/>
  <c r="R20" i="49"/>
  <c r="S16" i="49"/>
  <c r="Q20" i="60" l="1"/>
  <c r="R16" i="60"/>
  <c r="R19" i="60"/>
  <c r="S12" i="60"/>
  <c r="S20" i="49"/>
  <c r="T16" i="49"/>
  <c r="T12" i="49"/>
  <c r="S19" i="49"/>
  <c r="Y10" i="49"/>
  <c r="S19" i="60" l="1"/>
  <c r="T12" i="60"/>
  <c r="R20" i="60"/>
  <c r="S16" i="60"/>
  <c r="T20" i="49"/>
  <c r="U16" i="49"/>
  <c r="Y15" i="49"/>
  <c r="C5" i="46" s="1"/>
  <c r="D17" i="49"/>
  <c r="D11" i="55" s="1"/>
  <c r="D5" i="55"/>
  <c r="Y11" i="49"/>
  <c r="D3" i="55"/>
  <c r="D4" i="55" s="1"/>
  <c r="T19" i="49"/>
  <c r="U12" i="49"/>
  <c r="C17" i="46" l="1"/>
  <c r="C21" i="46"/>
  <c r="C13" i="46"/>
  <c r="S20" i="60"/>
  <c r="T16" i="60"/>
  <c r="T19" i="60"/>
  <c r="U12" i="60"/>
  <c r="D18" i="49"/>
  <c r="D13" i="55" s="1"/>
  <c r="U20" i="49"/>
  <c r="V16" i="49"/>
  <c r="U19" i="49"/>
  <c r="V12" i="49"/>
  <c r="V12" i="60" l="1"/>
  <c r="U19" i="60"/>
  <c r="T20" i="60"/>
  <c r="U16" i="60"/>
  <c r="V19" i="49"/>
  <c r="W12" i="49"/>
  <c r="V20" i="49"/>
  <c r="W16" i="49"/>
  <c r="C9" i="46"/>
  <c r="D12" i="55"/>
  <c r="U20" i="60" l="1"/>
  <c r="V16" i="60"/>
  <c r="V19" i="60"/>
  <c r="W12" i="60"/>
  <c r="W20" i="49"/>
  <c r="X16" i="49"/>
  <c r="X20" i="49" s="1"/>
  <c r="W19" i="49"/>
  <c r="X12" i="49"/>
  <c r="X19" i="49" s="1"/>
  <c r="W19" i="60" l="1"/>
  <c r="X12" i="60"/>
  <c r="X19" i="60" s="1"/>
  <c r="V20" i="60"/>
  <c r="W16" i="60"/>
  <c r="D14" i="55"/>
  <c r="D6" i="55"/>
  <c r="W20" i="60" l="1"/>
  <c r="X16" i="60"/>
  <c r="X20" i="60" s="1"/>
</calcChain>
</file>

<file path=xl/sharedStrings.xml><?xml version="1.0" encoding="utf-8"?>
<sst xmlns="http://schemas.openxmlformats.org/spreadsheetml/2006/main" count="2635" uniqueCount="1144">
  <si>
    <t>DASHBOARD</t>
  </si>
  <si>
    <t>MENU</t>
  </si>
  <si>
    <t>M1</t>
  </si>
  <si>
    <t>Konkurence</t>
  </si>
  <si>
    <t>Milník 2</t>
  </si>
  <si>
    <t>Lidské zdroje</t>
  </si>
  <si>
    <t>Milník 3</t>
  </si>
  <si>
    <t>Plán prodeje</t>
  </si>
  <si>
    <t>Milník 4</t>
  </si>
  <si>
    <t>Harmonogram expanze</t>
  </si>
  <si>
    <t>Veletrhy</t>
  </si>
  <si>
    <t>Nákladová střediska</t>
  </si>
  <si>
    <t>Plán výnosů</t>
  </si>
  <si>
    <t>Strategická investice</t>
  </si>
  <si>
    <t>Procesní mapy</t>
  </si>
  <si>
    <t>Rozpočet technický úsek</t>
  </si>
  <si>
    <t>Plán příjmů</t>
  </si>
  <si>
    <t>Vývoj NA trhu</t>
  </si>
  <si>
    <t>Organizační struktura</t>
  </si>
  <si>
    <t>Rozpočet obchodní úsek</t>
  </si>
  <si>
    <t>Plán výroby</t>
  </si>
  <si>
    <t>Vývoj CF</t>
  </si>
  <si>
    <t>Rozpočet ekonomický úsek</t>
  </si>
  <si>
    <t>Sklad</t>
  </si>
  <si>
    <t>Hodnocení investic</t>
  </si>
  <si>
    <t>Rozpočet vedení</t>
  </si>
  <si>
    <t>Plán fixních nákladů</t>
  </si>
  <si>
    <t>Platforma Shared Economy</t>
  </si>
  <si>
    <t>Roční rozpočet podniku</t>
  </si>
  <si>
    <t>Plán nákupu</t>
  </si>
  <si>
    <t>Záznamy o prodeji</t>
  </si>
  <si>
    <t>Plán výdajů</t>
  </si>
  <si>
    <t>Matice rizik</t>
  </si>
  <si>
    <t>Forcasting</t>
  </si>
  <si>
    <t>Rozvaha</t>
  </si>
  <si>
    <t>Citlivostní analýza</t>
  </si>
  <si>
    <t>Produkty a ceny</t>
  </si>
  <si>
    <t>VZZ</t>
  </si>
  <si>
    <t>SWOT</t>
  </si>
  <si>
    <t>Přímé variabilní náklady</t>
  </si>
  <si>
    <t>Plán CF</t>
  </si>
  <si>
    <t>Přímé fixní náklady</t>
  </si>
  <si>
    <t>Bilance CF</t>
  </si>
  <si>
    <t>Hodinová nákladová sazba</t>
  </si>
  <si>
    <t>Variabilní kalkulace</t>
  </si>
  <si>
    <t>ZISKY</t>
  </si>
  <si>
    <t>POČET</t>
  </si>
  <si>
    <t>ZA ROK 2020</t>
  </si>
  <si>
    <t>PRACOVNÍKŮ</t>
  </si>
  <si>
    <t>SALES MAP</t>
  </si>
  <si>
    <t>FINANČNÍ FORCAST</t>
  </si>
  <si>
    <t>HR</t>
  </si>
  <si>
    <t xml:space="preserve">Státy </t>
  </si>
  <si>
    <t>kdo u nás pracuje</t>
  </si>
  <si>
    <t>kde se nejvíc prodává</t>
  </si>
  <si>
    <t>Německo</t>
  </si>
  <si>
    <t>Francie</t>
  </si>
  <si>
    <t>Velká Británie</t>
  </si>
  <si>
    <t>Nizozemsko</t>
  </si>
  <si>
    <t>Belgie</t>
  </si>
  <si>
    <t>Švédsko</t>
  </si>
  <si>
    <t>Švýcarsko</t>
  </si>
  <si>
    <t>Česko</t>
  </si>
  <si>
    <t>Rakousko</t>
  </si>
  <si>
    <t>Norsko</t>
  </si>
  <si>
    <t>Finsko</t>
  </si>
  <si>
    <t>Dánsko</t>
  </si>
  <si>
    <t>Island</t>
  </si>
  <si>
    <t>Náklady</t>
  </si>
  <si>
    <t>Jalisco</t>
  </si>
  <si>
    <t>Nuevo León</t>
  </si>
  <si>
    <t>Michoacán</t>
  </si>
  <si>
    <t>Baja california</t>
  </si>
  <si>
    <t>texas</t>
  </si>
  <si>
    <t>New York</t>
  </si>
  <si>
    <t>California</t>
  </si>
  <si>
    <t>Illinois</t>
  </si>
  <si>
    <t>Texas</t>
  </si>
  <si>
    <t>Arizona</t>
  </si>
  <si>
    <t>Ontario</t>
  </si>
  <si>
    <t>Quebec</t>
  </si>
  <si>
    <t>Alberta</t>
  </si>
  <si>
    <t>Harmonogram Expanze na NA trh</t>
  </si>
  <si>
    <t>Rok</t>
  </si>
  <si>
    <t>Činnosti</t>
  </si>
  <si>
    <t>Rešeršní a průzkumné práce</t>
  </si>
  <si>
    <t>Plán projektu, 
Navazování obchodních styků, 
Založení firmy v Mexiku</t>
  </si>
  <si>
    <t>Navýšení maximální výrob kapacity, 
Rozšíření distributorů o etapu 2</t>
  </si>
  <si>
    <t>Další navýšení maximální kapacity výroby, 
Přípravy na obměnu hlavního produktu a nutných změn s tim spojených</t>
  </si>
  <si>
    <t>Přechod z výroby APSM na APSM v2 (2. generace APS Meower),
Optimalizace pozměněných procesů</t>
  </si>
  <si>
    <t>2027
a dál</t>
  </si>
  <si>
    <t>Postupné rozšiřování výroby dle poptávky na trhu,
Vývoj nových komplementárních výrobků a služeb,
Případné rozšíření produktového portfolia</t>
  </si>
  <si>
    <t>Strategická investice - Expanze na Severoamerický trh</t>
  </si>
  <si>
    <t>Odpisy v letech i</t>
  </si>
  <si>
    <t>Daňové odpisy</t>
  </si>
  <si>
    <t>Účetní odpisy</t>
  </si>
  <si>
    <t>Výdaje spojené s novou výrobou [Kč]</t>
  </si>
  <si>
    <t>Dle odpis. Sk.</t>
  </si>
  <si>
    <t>Roční odpis</t>
  </si>
  <si>
    <t>Plán. Život.</t>
  </si>
  <si>
    <t>Daňové suma</t>
  </si>
  <si>
    <t>Plán projektu</t>
  </si>
  <si>
    <t>Průzkum a hledání partnerů</t>
  </si>
  <si>
    <t>neuznatelné</t>
  </si>
  <si>
    <t>sunk cost</t>
  </si>
  <si>
    <t>Admin.a legální náklady</t>
  </si>
  <si>
    <t>Pozemek</t>
  </si>
  <si>
    <t>Stavba haly</t>
  </si>
  <si>
    <t>Stavba admin. Budovy</t>
  </si>
  <si>
    <t>Vybavení kanceláře</t>
  </si>
  <si>
    <t>Výrobní zařízení</t>
  </si>
  <si>
    <t>Suma výdajů</t>
  </si>
  <si>
    <t>Recyklační vybavení</t>
  </si>
  <si>
    <t>Výdaje spojené s rošířením funkcionality</t>
  </si>
  <si>
    <t>Účetní suma</t>
  </si>
  <si>
    <t>Vývoj a implementace SE platformy</t>
  </si>
  <si>
    <t>Update APS App</t>
  </si>
  <si>
    <t>Výdaje spojené s NA distribucí [Kč]</t>
  </si>
  <si>
    <t>Předsjednání partnerů etapa 1</t>
  </si>
  <si>
    <t>Rozvoj konceptu ZW pronájmu</t>
  </si>
  <si>
    <t>Průzkum partnerů etapa 2</t>
  </si>
  <si>
    <t>Celkový investiční výdaj</t>
  </si>
  <si>
    <t>Plán vývoje trhu NA</t>
  </si>
  <si>
    <t>rok</t>
  </si>
  <si>
    <t>Max. výrob kapacita [ks]</t>
  </si>
  <si>
    <t>Plán prodeje etapa 1 [ks]</t>
  </si>
  <si>
    <t>Plán prodeje etapa 2 [ks]</t>
  </si>
  <si>
    <t>Prodané množství [%]</t>
  </si>
  <si>
    <t>Pronajaté množství [%]</t>
  </si>
  <si>
    <t>Prodané množství</t>
  </si>
  <si>
    <t>Pronajaté množství</t>
  </si>
  <si>
    <t>Plánovaný výnos pronájmu [Kč]</t>
  </si>
  <si>
    <t>Plánovaný výnos prodejů [Kč]</t>
  </si>
  <si>
    <t>Celkový výnos</t>
  </si>
  <si>
    <t>Plánované FN [Kč]</t>
  </si>
  <si>
    <t>Plán nákupu PVN [Kč]</t>
  </si>
  <si>
    <t>Tabulka výpočtu VVP pro celkový výnos z plánovaných investic</t>
  </si>
  <si>
    <t>i</t>
  </si>
  <si>
    <t>Kč v letech</t>
  </si>
  <si>
    <t>Tax</t>
  </si>
  <si>
    <t>Celkové výnosy</t>
  </si>
  <si>
    <t>Celkové VN</t>
  </si>
  <si>
    <t>Celkové FN</t>
  </si>
  <si>
    <t>Dis. Sazba</t>
  </si>
  <si>
    <t>EBITDA</t>
  </si>
  <si>
    <t>EBIT</t>
  </si>
  <si>
    <t>Doba odepis.</t>
  </si>
  <si>
    <t>EAT</t>
  </si>
  <si>
    <t>CF</t>
  </si>
  <si>
    <t>kum. CF</t>
  </si>
  <si>
    <t>Diskontní faktor</t>
  </si>
  <si>
    <t>ČSH</t>
  </si>
  <si>
    <t>dCF</t>
  </si>
  <si>
    <t>kum. dCF</t>
  </si>
  <si>
    <t>VVP</t>
  </si>
  <si>
    <t>I</t>
  </si>
  <si>
    <t>P.v.</t>
  </si>
  <si>
    <t>doba návratnosti kCF</t>
  </si>
  <si>
    <t>doba návratnosti kdCF</t>
  </si>
  <si>
    <t>Tabulka výpočtu VVP pro zavedení pronájmu jako jiné investice</t>
  </si>
  <si>
    <t>Statické metódy</t>
  </si>
  <si>
    <t>Průměrný roč. výnos</t>
  </si>
  <si>
    <t>Prům. proc. výnosnost</t>
  </si>
  <si>
    <t>Prostá doba návratnosti [rok]</t>
  </si>
  <si>
    <t>Doba návratnosti [rok]</t>
  </si>
  <si>
    <t>Dynamické metódy</t>
  </si>
  <si>
    <t>Index ziskovosti</t>
  </si>
  <si>
    <t>Dis. doba návratnosti [rok]</t>
  </si>
  <si>
    <t>Statické metody</t>
  </si>
  <si>
    <t>Total vynosy z SE</t>
  </si>
  <si>
    <t>Kum. Poč. B2C EU</t>
  </si>
  <si>
    <t>Kum. Poč. B2C NA</t>
  </si>
  <si>
    <t>sazba</t>
  </si>
  <si>
    <t>koef. Využití EU</t>
  </si>
  <si>
    <t>koef. Využití NA</t>
  </si>
  <si>
    <t>Transakce</t>
  </si>
  <si>
    <t>Počet transakcí EU</t>
  </si>
  <si>
    <t>Počet transakcí NA</t>
  </si>
  <si>
    <t>Prav. EU</t>
  </si>
  <si>
    <t>Výnos EU</t>
  </si>
  <si>
    <t>Výnos NA</t>
  </si>
  <si>
    <t>Prav. NA</t>
  </si>
  <si>
    <t>Údržba FN</t>
  </si>
  <si>
    <t>Total EU</t>
  </si>
  <si>
    <t>B2C EU</t>
  </si>
  <si>
    <t>VÝNOSY IMPLEMENTACE KONCEPTU ZERO WASE</t>
  </si>
  <si>
    <t>Výnosy celkem</t>
  </si>
  <si>
    <t>Plán pronájmu</t>
  </si>
  <si>
    <t>Podmínky pronájmu pro distributory</t>
  </si>
  <si>
    <t>Cena výrobku</t>
  </si>
  <si>
    <t>Délka splacení v rocích</t>
  </si>
  <si>
    <t>Úroková sazba roční</t>
  </si>
  <si>
    <t>Úroková sazba měsiční</t>
  </si>
  <si>
    <t>Odúročitel</t>
  </si>
  <si>
    <t>Anuita roční</t>
  </si>
  <si>
    <t>Anuita měsiční</t>
  </si>
  <si>
    <t>NÁKLADY IMPLEMENTACE KONCEPTU ZERO WASTE</t>
  </si>
  <si>
    <t>Náklady spojené s pronájmem</t>
  </si>
  <si>
    <t>Celkové VN na distr.</t>
  </si>
  <si>
    <t>Přeprava</t>
  </si>
  <si>
    <t>Oprava a servis</t>
  </si>
  <si>
    <t>Recyklace</t>
  </si>
  <si>
    <t>Celkové FN na distr.</t>
  </si>
  <si>
    <t>Pojíštění</t>
  </si>
  <si>
    <t>Zajíštění marketingových informací</t>
  </si>
  <si>
    <t>Legislativa</t>
  </si>
  <si>
    <t>Propogace</t>
  </si>
  <si>
    <t>Ceník pro nazemní dopravu [ks]</t>
  </si>
  <si>
    <t>Monterrey - New York</t>
  </si>
  <si>
    <t>Monterrey - Los Angeles</t>
  </si>
  <si>
    <t>Monterrey - Chicago</t>
  </si>
  <si>
    <t>Monterrey - Houston</t>
  </si>
  <si>
    <t>Monterrey - Phoenix</t>
  </si>
  <si>
    <t>Monterrey - San Antonio</t>
  </si>
  <si>
    <t>Monterrey - San diego</t>
  </si>
  <si>
    <t>Průměrná cená dopravy</t>
  </si>
  <si>
    <t xml:space="preserve">Ceník pojíštění nákladu </t>
  </si>
  <si>
    <t>Pojíštění fyzické škody přepravovaného zboží ročně</t>
  </si>
  <si>
    <t>Ceník marketngového výzkumu</t>
  </si>
  <si>
    <t>Průměrná cena marketingového výzkumu v Americe</t>
  </si>
  <si>
    <t>Průměrná cena opravy [ks]</t>
  </si>
  <si>
    <t>Průměrná cena za recyklaci [ks]</t>
  </si>
  <si>
    <t>Riziko</t>
  </si>
  <si>
    <t xml:space="preserve">Pravdepodobnosť </t>
  </si>
  <si>
    <t>Významnosť</t>
  </si>
  <si>
    <t xml:space="preserve">Riziko z poruchy výrobního systému </t>
  </si>
  <si>
    <t>Riziko z veľkého zadlůžení (neschopnost splácet závazky)</t>
  </si>
  <si>
    <t xml:space="preserve">Riziko dezertifikace cílových regionů </t>
  </si>
  <si>
    <t>Riziko stráty konkurenční výhody</t>
  </si>
  <si>
    <t>Riziko kybernetického útoku na APS systémy</t>
  </si>
  <si>
    <t>Riziko zdražení vstupných materiálů</t>
  </si>
  <si>
    <t>Pravdepodobnosť</t>
  </si>
  <si>
    <t>0-10</t>
  </si>
  <si>
    <t>Směnný kurz 1 USD to CZK</t>
  </si>
  <si>
    <t>Rozpočtová Rozvaha [Kč]</t>
  </si>
  <si>
    <t>Aktiva</t>
  </si>
  <si>
    <t xml:space="preserve">Stav k 1.1. </t>
  </si>
  <si>
    <t>Změna</t>
  </si>
  <si>
    <t>Stav k 31.12.</t>
  </si>
  <si>
    <t>Dlouhodobý majetek</t>
  </si>
  <si>
    <t>Dlouhodobá aktiva</t>
  </si>
  <si>
    <t>Oprávky</t>
  </si>
  <si>
    <t>Oběžná aktiva</t>
  </si>
  <si>
    <t>Zásoby materiálu</t>
  </si>
  <si>
    <t>Dokončená výroba</t>
  </si>
  <si>
    <t>Pohledávky</t>
  </si>
  <si>
    <t>Bankoví účet</t>
  </si>
  <si>
    <t>CELKEM</t>
  </si>
  <si>
    <t>Pasiva</t>
  </si>
  <si>
    <t>Vlastní kapitál</t>
  </si>
  <si>
    <t xml:space="preserve">Základní kapitál </t>
  </si>
  <si>
    <t>VHBO</t>
  </si>
  <si>
    <t>Cizí zdroje</t>
  </si>
  <si>
    <t xml:space="preserve">Závazky k zaměstnanům </t>
  </si>
  <si>
    <t xml:space="preserve">Závazky k dodavatelům </t>
  </si>
  <si>
    <t>Leden</t>
  </si>
  <si>
    <t>Únor</t>
  </si>
  <si>
    <t>Březen</t>
  </si>
  <si>
    <t>Q1</t>
  </si>
  <si>
    <t>Duben</t>
  </si>
  <si>
    <t>Květen</t>
  </si>
  <si>
    <t>Červen</t>
  </si>
  <si>
    <t>Q2</t>
  </si>
  <si>
    <t>Červenec</t>
  </si>
  <si>
    <t>Srpen</t>
  </si>
  <si>
    <t>Září</t>
  </si>
  <si>
    <t>Q3</t>
  </si>
  <si>
    <t>Říjen</t>
  </si>
  <si>
    <t>Listopad</t>
  </si>
  <si>
    <t>Prosinec</t>
  </si>
  <si>
    <t>Q4</t>
  </si>
  <si>
    <t>Celkem</t>
  </si>
  <si>
    <t>Tržby</t>
  </si>
  <si>
    <t>Naklady</t>
  </si>
  <si>
    <t xml:space="preserve">Naklady na material </t>
  </si>
  <si>
    <t>Mzdy</t>
  </si>
  <si>
    <t>Fixni naklady</t>
  </si>
  <si>
    <t xml:space="preserve">Hospodarsky výsledek </t>
  </si>
  <si>
    <t>Označ.</t>
  </si>
  <si>
    <t>TEXT</t>
  </si>
  <si>
    <t>řád.</t>
  </si>
  <si>
    <t>a</t>
  </si>
  <si>
    <t>b</t>
  </si>
  <si>
    <t>c</t>
  </si>
  <si>
    <t>I.</t>
  </si>
  <si>
    <t>Tržby z prodeje výrobků a služeb</t>
  </si>
  <si>
    <t>01</t>
  </si>
  <si>
    <t>II.</t>
  </si>
  <si>
    <t>Tržby za prodej zboží</t>
  </si>
  <si>
    <t>02</t>
  </si>
  <si>
    <t>A.</t>
  </si>
  <si>
    <t>Výkonová spotřeba</t>
  </si>
  <si>
    <t>03</t>
  </si>
  <si>
    <t>A.1</t>
  </si>
  <si>
    <t>Náklady vynaložené na prodáné zboží</t>
  </si>
  <si>
    <t>04</t>
  </si>
  <si>
    <t>A.2</t>
  </si>
  <si>
    <t>Spotřeba materiálu a energie</t>
  </si>
  <si>
    <t>05</t>
  </si>
  <si>
    <t>A.3</t>
  </si>
  <si>
    <t>Služby</t>
  </si>
  <si>
    <t>06</t>
  </si>
  <si>
    <t>B.</t>
  </si>
  <si>
    <t xml:space="preserve">Změna stavu zásob vlástní činnosti </t>
  </si>
  <si>
    <t>07</t>
  </si>
  <si>
    <t>C.</t>
  </si>
  <si>
    <t>Aktivace</t>
  </si>
  <si>
    <t>08</t>
  </si>
  <si>
    <t>D.</t>
  </si>
  <si>
    <t>Osobní náklady</t>
  </si>
  <si>
    <t>09</t>
  </si>
  <si>
    <t>D.1</t>
  </si>
  <si>
    <t>Mzdové náklady</t>
  </si>
  <si>
    <t>10</t>
  </si>
  <si>
    <t>D.2</t>
  </si>
  <si>
    <t>Náklady na sociální zabezpečení, zdravotní pojištění a ostatní náklady</t>
  </si>
  <si>
    <t>11</t>
  </si>
  <si>
    <t>D.2.1</t>
  </si>
  <si>
    <t xml:space="preserve">Náklady na sociální zabezpečení a zdravotní pojištění </t>
  </si>
  <si>
    <t>12</t>
  </si>
  <si>
    <t>D.2,2</t>
  </si>
  <si>
    <t>Ostatní náklady</t>
  </si>
  <si>
    <t>13</t>
  </si>
  <si>
    <t>E.</t>
  </si>
  <si>
    <t>Úpravy hodnot v provozní oblasti</t>
  </si>
  <si>
    <t>14</t>
  </si>
  <si>
    <t>E.1.</t>
  </si>
  <si>
    <t>Úpravy hodnot dlouhodobého nehmotného a hmotného majetku</t>
  </si>
  <si>
    <t>15</t>
  </si>
  <si>
    <t>E.1.1.</t>
  </si>
  <si>
    <t>Úpravy hodnot dlouhodobého nehmotného a hmotného majetku - trvalé</t>
  </si>
  <si>
    <t>16</t>
  </si>
  <si>
    <t>E.1.2.</t>
  </si>
  <si>
    <t>Úpravy hodnot dlouhodobého nehmotného a hmotného majetku - dočasně</t>
  </si>
  <si>
    <t>17</t>
  </si>
  <si>
    <t>E.2.</t>
  </si>
  <si>
    <t>Úpravy hodnot zásob</t>
  </si>
  <si>
    <t>18</t>
  </si>
  <si>
    <t>E.3.</t>
  </si>
  <si>
    <t>Úpravy hodnot pohledávek</t>
  </si>
  <si>
    <t>19</t>
  </si>
  <si>
    <t>III.</t>
  </si>
  <si>
    <t>Ostatní provozní výnosy</t>
  </si>
  <si>
    <t>20</t>
  </si>
  <si>
    <t>III.1.</t>
  </si>
  <si>
    <t>Tržby z prodaného dlouhodobého majetku</t>
  </si>
  <si>
    <t>21</t>
  </si>
  <si>
    <t>III.2.</t>
  </si>
  <si>
    <t>Tržby z prodaného materiálu</t>
  </si>
  <si>
    <t>22</t>
  </si>
  <si>
    <t>III.3.</t>
  </si>
  <si>
    <t>Jiné provozní výnosy</t>
  </si>
  <si>
    <t>23</t>
  </si>
  <si>
    <t>F.</t>
  </si>
  <si>
    <t>Ostatní provozní náklady</t>
  </si>
  <si>
    <t>24</t>
  </si>
  <si>
    <t>F.1.</t>
  </si>
  <si>
    <t>Zůstatková cena prodaného dlouhodobého majetku</t>
  </si>
  <si>
    <t>25</t>
  </si>
  <si>
    <t>F.2.</t>
  </si>
  <si>
    <t>Zůstatková cena z prodaného materiálu</t>
  </si>
  <si>
    <t>26</t>
  </si>
  <si>
    <t>F.3.</t>
  </si>
  <si>
    <t>Daně a poplatky</t>
  </si>
  <si>
    <t>27</t>
  </si>
  <si>
    <t>F.4.</t>
  </si>
  <si>
    <t>Rezervy z provozní oblastí a komplexní náklady příštích období</t>
  </si>
  <si>
    <t>28</t>
  </si>
  <si>
    <t>F.5.</t>
  </si>
  <si>
    <t>Jiné provozní náklady</t>
  </si>
  <si>
    <t>29</t>
  </si>
  <si>
    <t>*</t>
  </si>
  <si>
    <t>Provozní výsledek hospodaření</t>
  </si>
  <si>
    <t>30</t>
  </si>
  <si>
    <t>IV.</t>
  </si>
  <si>
    <t>Výnosy z dlouhodobého finančního majetku - podíly</t>
  </si>
  <si>
    <t>31</t>
  </si>
  <si>
    <t>G.</t>
  </si>
  <si>
    <t>Náklady vynaložené na prodáné podíly</t>
  </si>
  <si>
    <t>34</t>
  </si>
  <si>
    <t>V.</t>
  </si>
  <si>
    <t>Výnosy z ostatního dlouhodobého finančního majetku</t>
  </si>
  <si>
    <t>35</t>
  </si>
  <si>
    <t>H.</t>
  </si>
  <si>
    <t>Náklady související s dlouhodobým finančním majetkem</t>
  </si>
  <si>
    <t>38</t>
  </si>
  <si>
    <t>VI.</t>
  </si>
  <si>
    <t>Výnosové úroky a podobné výnosy</t>
  </si>
  <si>
    <t>39</t>
  </si>
  <si>
    <t>I,</t>
  </si>
  <si>
    <t>Úpravy hodnot a rezervy ve finanční oblasti</t>
  </si>
  <si>
    <t>42</t>
  </si>
  <si>
    <t>J.</t>
  </si>
  <si>
    <t>Nákladové úroky a podobné náklady</t>
  </si>
  <si>
    <t>43</t>
  </si>
  <si>
    <t>VII.</t>
  </si>
  <si>
    <t>Ostatní finanční výnosy</t>
  </si>
  <si>
    <t>46</t>
  </si>
  <si>
    <t>K.</t>
  </si>
  <si>
    <t>Ostatní finanční náklady</t>
  </si>
  <si>
    <t>47</t>
  </si>
  <si>
    <t>Finanční výsledek hospodaření</t>
  </si>
  <si>
    <t>48</t>
  </si>
  <si>
    <t>**</t>
  </si>
  <si>
    <t>Výsledek hospodaření před zdaněním</t>
  </si>
  <si>
    <t>49</t>
  </si>
  <si>
    <t>L.</t>
  </si>
  <si>
    <t>Daň z příjmů</t>
  </si>
  <si>
    <t>50</t>
  </si>
  <si>
    <t>L.1.</t>
  </si>
  <si>
    <t>Daň z příjmů splatná</t>
  </si>
  <si>
    <t>51</t>
  </si>
  <si>
    <t>L.2.</t>
  </si>
  <si>
    <t>Daň z příjmů odložená</t>
  </si>
  <si>
    <t>52</t>
  </si>
  <si>
    <t>Výsledek hospodaření po zdanění</t>
  </si>
  <si>
    <t>53</t>
  </si>
  <si>
    <t>M.</t>
  </si>
  <si>
    <t>Převod podílů na výsledků hospodaření za účetní období</t>
  </si>
  <si>
    <t>54</t>
  </si>
  <si>
    <t>***</t>
  </si>
  <si>
    <t>Čistý obrat za účetní období</t>
  </si>
  <si>
    <t>55</t>
  </si>
  <si>
    <t>56</t>
  </si>
  <si>
    <t>Měsíc</t>
  </si>
  <si>
    <t>Poč. stav hotovosti</t>
  </si>
  <si>
    <t>Příjmy za prodané výrobky</t>
  </si>
  <si>
    <t>Hotovost k dispozici</t>
  </si>
  <si>
    <t>Odpisy DHM</t>
  </si>
  <si>
    <t>SW</t>
  </si>
  <si>
    <t>HW</t>
  </si>
  <si>
    <t>Systémy</t>
  </si>
  <si>
    <t>Režijní náklady</t>
  </si>
  <si>
    <t xml:space="preserve">Energie </t>
  </si>
  <si>
    <t>Marketing</t>
  </si>
  <si>
    <t xml:space="preserve">Výskum </t>
  </si>
  <si>
    <t>Pojištění</t>
  </si>
  <si>
    <t>Údržba</t>
  </si>
  <si>
    <t>Doprava</t>
  </si>
  <si>
    <t xml:space="preserve">Ostatní </t>
  </si>
  <si>
    <t xml:space="preserve">Materiál </t>
  </si>
  <si>
    <t>Externí služby</t>
  </si>
  <si>
    <t>Celkem výdaje</t>
  </si>
  <si>
    <t xml:space="preserve">Peněžní tok </t>
  </si>
  <si>
    <t>Předchozí období</t>
  </si>
  <si>
    <t>CF Kumulativně</t>
  </si>
  <si>
    <t>NEPŘÍMÁ METODA CF ZJEDNODUŠENĚ</t>
  </si>
  <si>
    <t>Počáteční stav peněz</t>
  </si>
  <si>
    <t>Odpisy</t>
  </si>
  <si>
    <t>Změna stavu materiálu</t>
  </si>
  <si>
    <t>Změna stavu DV</t>
  </si>
  <si>
    <t>Změna stavu pohledavek</t>
  </si>
  <si>
    <t>Závazky</t>
  </si>
  <si>
    <t>Konečný stav peněz</t>
  </si>
  <si>
    <t>NEPŘÍMÁ METODA CF PLNÝ ROZSAH</t>
  </si>
  <si>
    <t>Ozn.</t>
  </si>
  <si>
    <t>Text</t>
  </si>
  <si>
    <t xml:space="preserve">P. </t>
  </si>
  <si>
    <t>Stav peněžních prostředků a peněžních ekvivalentů na začátku účetního období</t>
  </si>
  <si>
    <t>Peněžní toky z hlavní výdělečné činnosti (provozní činnost)</t>
  </si>
  <si>
    <t>Z.</t>
  </si>
  <si>
    <t>Účetní zisk nebo ztráta z běžné činnosti před zdaněním</t>
  </si>
  <si>
    <t xml:space="preserve">A. </t>
  </si>
  <si>
    <t>Úpravy o nepeněžní operace</t>
  </si>
  <si>
    <t>Odpisy stálých aktiv a umořování opravné položky k nabytému majetku</t>
  </si>
  <si>
    <t xml:space="preserve">Změna stavu opravných položek, rezerv </t>
  </si>
  <si>
    <t xml:space="preserve">Zisk z prodeje stálých aktiv </t>
  </si>
  <si>
    <t>Výnosy z dividend a podílů na zisku</t>
  </si>
  <si>
    <t>Vyúčtované nákladové úroky s vyjímkou kapitalizovaných a vyúčtované výnosové úroky</t>
  </si>
  <si>
    <t>Případné úpravy o ostatní nepeněžní operace</t>
  </si>
  <si>
    <t>Čistý peněžní tok z prov.činnosti před zdaněním, změnami prac. kapitálu a mim.položkami</t>
  </si>
  <si>
    <t>Změny stavu nepeněžních složek pracovního kapitálu</t>
  </si>
  <si>
    <t>Změna stavu pohledávek z provozní činnosti, přechodných účtů aktiv</t>
  </si>
  <si>
    <t>Změna stavu krátkodobých závazků z provozní činnosti, přechodných účtů pasiv</t>
  </si>
  <si>
    <t>Změna stavu zásob</t>
  </si>
  <si>
    <t>Změna stavu krátkodobého finančního majetku nespadajícího do peněžních prostř. a ekvivalentů</t>
  </si>
  <si>
    <t>Čistý peněžní tok z provozní činnosti před zdaněním a mimořádnými položkami</t>
  </si>
  <si>
    <t>Vyplacené úroky s vyjímkou kapitalizovaných</t>
  </si>
  <si>
    <t>Přijaté úroky</t>
  </si>
  <si>
    <t>Zaplacená daň z příjmů za běžnou činnost a doměrky daně za minulá období</t>
  </si>
  <si>
    <t>Příjmy a výdaje spojené s mimořádným hospodářským výsledkem včetně daně z příjmů</t>
  </si>
  <si>
    <t>Přijaté dividendy a podíly na zisku</t>
  </si>
  <si>
    <t xml:space="preserve">Čistý peněžní tok z provozní činnosti </t>
  </si>
  <si>
    <t>Peněžní toky z investiční činnosti</t>
  </si>
  <si>
    <t>Výdaje spojené s nabytím stálých aktiv</t>
  </si>
  <si>
    <t>Příjmy z prodeje stálých aktiv</t>
  </si>
  <si>
    <t>Půjčky a úvěry spřízněným osobám</t>
  </si>
  <si>
    <t xml:space="preserve">Čistý peněžní tok vztahující se k investiční činnosti </t>
  </si>
  <si>
    <t>Peněžní toky z finanční činnosti</t>
  </si>
  <si>
    <t>Dopady změn dlouhodobých,resp. krátkodobých závazků</t>
  </si>
  <si>
    <t>Dopady změn vlastního kapitálu na peněžní prostředky a ekvivalenty</t>
  </si>
  <si>
    <t>Zvýšení peněžních prostředků z důvodů zvýšení základního kapitálu, emisního ážia atd.</t>
  </si>
  <si>
    <t>Vyplacení podílů na vlastním jmění společníkům</t>
  </si>
  <si>
    <t>Další vklady peněžních prostředků společníků a akcionářů</t>
  </si>
  <si>
    <t>Úhrada ztráty společníky</t>
  </si>
  <si>
    <t>Přímé platby na vrub fondů</t>
  </si>
  <si>
    <t>Vyplacené dividendy nebo podíly na zisku včetně zaplacené daně</t>
  </si>
  <si>
    <t xml:space="preserve">Čistý peněžní tok vztahující se k finanční činnosti </t>
  </si>
  <si>
    <t>Čisté zvýšení resp. snížení peněžních prostředků</t>
  </si>
  <si>
    <t>R.</t>
  </si>
  <si>
    <t>Stav peněžních prostředků a pen. ekvivalentů na konci účetního období</t>
  </si>
  <si>
    <t>Plán prodeje 2021 [ks]</t>
  </si>
  <si>
    <t>Název státu</t>
  </si>
  <si>
    <t>Celkem rok</t>
  </si>
  <si>
    <t>Celkem Q1</t>
  </si>
  <si>
    <t>Celkem Q2</t>
  </si>
  <si>
    <t xml:space="preserve">Září </t>
  </si>
  <si>
    <t>Celkem Q3</t>
  </si>
  <si>
    <t>Celkem Q4</t>
  </si>
  <si>
    <t>SOUHRN 2021</t>
  </si>
  <si>
    <t>B2B - Hlavní produkt</t>
  </si>
  <si>
    <t>[Ks / měsíc]</t>
  </si>
  <si>
    <t>za rok</t>
  </si>
  <si>
    <t>max</t>
  </si>
  <si>
    <t>avg</t>
  </si>
  <si>
    <t>Západní Evropa</t>
  </si>
  <si>
    <t>APS Meower</t>
  </si>
  <si>
    <t>ČR</t>
  </si>
  <si>
    <t>Expedice</t>
  </si>
  <si>
    <t>APS Composter</t>
  </si>
  <si>
    <t>Střední Evropa</t>
  </si>
  <si>
    <t>APS Fleet</t>
  </si>
  <si>
    <t>Severní Evropa</t>
  </si>
  <si>
    <t>Amerika</t>
  </si>
  <si>
    <t>Spojené státy americké</t>
  </si>
  <si>
    <t>Celkem destributoři (bez Ameriky)</t>
  </si>
  <si>
    <t>Celkem Showroom (jenom Česko)</t>
  </si>
  <si>
    <t>B2B - SW Řešení</t>
  </si>
  <si>
    <t>B2C - Hlávní produkt</t>
  </si>
  <si>
    <t>B2C - Komposter</t>
  </si>
  <si>
    <t>Souhrný plán výnosů 2021 [Kč]</t>
  </si>
  <si>
    <t>Produkty celkem</t>
  </si>
  <si>
    <t>Plán výnosů 2021 [Kč]</t>
  </si>
  <si>
    <t>Souhrný plán příjmu podle trhů 2021 [Kč]</t>
  </si>
  <si>
    <t>Doba splatnosti</t>
  </si>
  <si>
    <t xml:space="preserve">60 dní </t>
  </si>
  <si>
    <t>B2B a B2C</t>
  </si>
  <si>
    <t>Souhrný plán příjmu z prodeje produktů 2021 [Kč]</t>
  </si>
  <si>
    <t>B2B - Hlávní produkt</t>
  </si>
  <si>
    <t>Plán výroby APS Meower 2021</t>
  </si>
  <si>
    <t>Max. výroba</t>
  </si>
  <si>
    <t>Rozdíl</t>
  </si>
  <si>
    <t>Potřeba minimálních zásob HV z předsezóního období (podzim 2020 a zima 2021 = Q4 2020 a Q1 2021)</t>
  </si>
  <si>
    <t>Podzim 2020</t>
  </si>
  <si>
    <t>Vyrobené množství</t>
  </si>
  <si>
    <t>(suma rez.)</t>
  </si>
  <si>
    <t>Rezerva do skladu</t>
  </si>
  <si>
    <t>Zima 2021</t>
  </si>
  <si>
    <t>Splněna podmínka min. zásob HV ?</t>
  </si>
  <si>
    <t>Kumulovaná hodnota skladu</t>
  </si>
  <si>
    <t>Rezerva od min. hodnoty</t>
  </si>
  <si>
    <t>PLÁN VÝROBY</t>
  </si>
  <si>
    <t>prazdniny snizena vyroba kvuli dovolenym</t>
  </si>
  <si>
    <t>Stav zásob HV na konci měs.</t>
  </si>
  <si>
    <t>Rozpis fixních ročních nákladů</t>
  </si>
  <si>
    <t>[Kč / měsíc]</t>
  </si>
  <si>
    <t>Pohledávky mzdy</t>
  </si>
  <si>
    <t>Kontrola</t>
  </si>
  <si>
    <t>Poznámka</t>
  </si>
  <si>
    <t xml:space="preserve">pohledavky mzdy, vypaci se vzdy po mesiaci </t>
  </si>
  <si>
    <t xml:space="preserve">Soc. a zdrav. </t>
  </si>
  <si>
    <t>Bonus</t>
  </si>
  <si>
    <t>Školení</t>
  </si>
  <si>
    <t>na zacatku prazdnin skoleni brigadniku</t>
  </si>
  <si>
    <t xml:space="preserve">Cestovné </t>
  </si>
  <si>
    <t xml:space="preserve">Stroje </t>
  </si>
  <si>
    <t>Budovy</t>
  </si>
  <si>
    <t xml:space="preserve">Ost. DHM </t>
  </si>
  <si>
    <t>OK je v PL. Nakupu</t>
  </si>
  <si>
    <t>Komponenty pro APS Meower v kusech</t>
  </si>
  <si>
    <t>Komponenty pro APS Meower v Kč</t>
  </si>
  <si>
    <t>Nakupované součástky [ks]</t>
  </si>
  <si>
    <t>[Kč]</t>
  </si>
  <si>
    <t>Vyráběné množství [ks]</t>
  </si>
  <si>
    <t>Komponenta</t>
  </si>
  <si>
    <t>ks / výrobek</t>
  </si>
  <si>
    <t>rez. Na cca 300 ks</t>
  </si>
  <si>
    <t>Cena za kus</t>
  </si>
  <si>
    <t>Nákup APS Composter v kusech</t>
  </si>
  <si>
    <t>Externí výroba [ks]</t>
  </si>
  <si>
    <t>Plán prodeje [ks]</t>
  </si>
  <si>
    <t>Kvartálně odebírané množství</t>
  </si>
  <si>
    <t>kvartalne odebirane kvuli lepsimu planovani kapacit naseho dodavatele</t>
  </si>
  <si>
    <t>Nákup APS Composter v Kč</t>
  </si>
  <si>
    <t>Plán výdajů 2021</t>
  </si>
  <si>
    <t>Výdaje na PVN</t>
  </si>
  <si>
    <t>Výdaje externí výroby</t>
  </si>
  <si>
    <t>Fixní výdaje</t>
  </si>
  <si>
    <t>SKLAD HV</t>
  </si>
  <si>
    <t>Stav na začátku měsíce</t>
  </si>
  <si>
    <t>Přírustek HV výrobou</t>
  </si>
  <si>
    <t>není relevantni</t>
  </si>
  <si>
    <t>Showroom CZ</t>
  </si>
  <si>
    <t>Stav na konci měsíce</t>
  </si>
  <si>
    <t>Procentuální vytížení skladu</t>
  </si>
  <si>
    <t>Přírustek nákupem</t>
  </si>
  <si>
    <t>Max APS Meower</t>
  </si>
  <si>
    <t>Max APS Composter</t>
  </si>
  <si>
    <t>Max Kapacita APSM</t>
  </si>
  <si>
    <t>Max Kapacita APSC</t>
  </si>
  <si>
    <t>Doplnenie objednane zbozi na 2022</t>
  </si>
  <si>
    <t>Sektor 1 - malé "robotické" sekačky</t>
  </si>
  <si>
    <t>Sekačka</t>
  </si>
  <si>
    <t>Cena</t>
  </si>
  <si>
    <t>Rozměry</t>
  </si>
  <si>
    <t>Váha</t>
  </si>
  <si>
    <t>Hluk</t>
  </si>
  <si>
    <t>Sečení</t>
  </si>
  <si>
    <t>Nabíj.</t>
  </si>
  <si>
    <t>Kap. B.</t>
  </si>
  <si>
    <t>Plocha</t>
  </si>
  <si>
    <t>Sklon</t>
  </si>
  <si>
    <t>Výška</t>
  </si>
  <si>
    <t>Vybavení</t>
  </si>
  <si>
    <t>Zabezpečení</t>
  </si>
  <si>
    <t>UI</t>
  </si>
  <si>
    <t>Doplňky</t>
  </si>
  <si>
    <t>Worx Landroid</t>
  </si>
  <si>
    <t>25 000
-
45 000
Kč</t>
  </si>
  <si>
    <t>630 x
445 x
225
 mm</t>
  </si>
  <si>
    <t>10,5
 kg</t>
  </si>
  <si>
    <t>65 dB</t>
  </si>
  <si>
    <t>60
min</t>
  </si>
  <si>
    <t>110
min</t>
  </si>
  <si>
    <t>5 Ah</t>
  </si>
  <si>
    <t>300
-
2000
m^2</t>
  </si>
  <si>
    <t>35 %
(19,5°)</t>
  </si>
  <si>
    <t>30-60
mm</t>
  </si>
  <si>
    <t>- Dešťový senzor
- Cut to edge
- Plánování
- WiFI
- WORX baterie</t>
  </si>
  <si>
    <t>- PIN
- Alarm
- Lift sensor</t>
  </si>
  <si>
    <t>- LCD
- smartphone</t>
  </si>
  <si>
    <t>- Vizuální antikolize
- GPS
- Voice control</t>
  </si>
  <si>
    <t>Robomow RS</t>
  </si>
  <si>
    <t>50 000
-
85 000
Kč</t>
  </si>
  <si>
    <t>735 x 
660 x 
310 
mm</t>
  </si>
  <si>
    <t>20,2
 kg</t>
  </si>
  <si>
    <t>66 - 72
dB</t>
  </si>
  <si>
    <t>60 - 90
min</t>
  </si>
  <si>
    <t>100
min</t>
  </si>
  <si>
    <t xml:space="preserve">4 - 6 Ah
</t>
  </si>
  <si>
    <t>1600
-
3600
m^2</t>
  </si>
  <si>
    <t>36 %
(20°)</t>
  </si>
  <si>
    <t>20-80
mm</t>
  </si>
  <si>
    <t>- Dešťový senzor
- Alexa voice control
- WiFI
- Robomow App 2.0
- manual controll</t>
  </si>
  <si>
    <t>- Lokace
- Alarm
- Lift sensor</t>
  </si>
  <si>
    <t>- LCD
- smartphone
- web</t>
  </si>
  <si>
    <t>Husqvarna
Automower X</t>
  </si>
  <si>
    <t>65 000
-
110 000
Kč</t>
  </si>
  <si>
    <t>720 x
560 x
310
mm</t>
  </si>
  <si>
    <t>14
kg</t>
  </si>
  <si>
    <t>58 
dB</t>
  </si>
  <si>
    <t>60 -200
min</t>
  </si>
  <si>
    <t>75
min</t>
  </si>
  <si>
    <t>10
Ah</t>
  </si>
  <si>
    <t>1600
-
5000
m^2</t>
  </si>
  <si>
    <t>40-44 %
(22-24°)</t>
  </si>
  <si>
    <t>20-60
mm</t>
  </si>
  <si>
    <t>- Deštivzdornost
- Alexa connectivity
- GPS optimalizace
- Headlights
- Phone App</t>
  </si>
  <si>
    <t xml:space="preserve">- PIN
- Alarm
- Lift sensor
- Lokace
</t>
  </si>
  <si>
    <t>- PRO verze</t>
  </si>
  <si>
    <t>Husqvarna
Automower
AWD</t>
  </si>
  <si>
    <t>130 000
Kč</t>
  </si>
  <si>
    <t>930 x
550 x
290
mm</t>
  </si>
  <si>
    <t>17,5
kg</t>
  </si>
  <si>
    <t>62
dB</t>
  </si>
  <si>
    <t>200
min</t>
  </si>
  <si>
    <t>3 500
m^2</t>
  </si>
  <si>
    <t>70 %
(35°)</t>
  </si>
  <si>
    <t>30-70
mm</t>
  </si>
  <si>
    <t>Sektor 2 - heavy duty  sekačky</t>
  </si>
  <si>
    <t>Pohon</t>
  </si>
  <si>
    <t>Specifika</t>
  </si>
  <si>
    <t>Spider ILD 02</t>
  </si>
  <si>
    <t>800 000
Kč</t>
  </si>
  <si>
    <t xml:space="preserve">1640 x
 1430 x
 920
mm </t>
  </si>
  <si>
    <t>387
kg</t>
  </si>
  <si>
    <t>90+
dB</t>
  </si>
  <si>
    <t>2 h/
nádrž</t>
  </si>
  <si>
    <t>Benzínový motor Kawasaki 24 HP</t>
  </si>
  <si>
    <t>-</t>
  </si>
  <si>
    <t>41°
bez
navijáku</t>
  </si>
  <si>
    <t>90
-
140
mm</t>
  </si>
  <si>
    <t>- naviják
- RC
- 4 otočná kola
-RC</t>
  </si>
  <si>
    <t>Benzínově poháněná, dálkově ovládaná svahová sekačka. Určeno na sečení členitého terénu. Vysoce agilní díky 4 otočným kolům. S pomocí navyjáku zvládne extrémní svahy.</t>
  </si>
  <si>
    <t>Ambrogio L400</t>
  </si>
  <si>
    <t>500 000
Kč</t>
  </si>
  <si>
    <t>1200x
977x
372
mm</t>
  </si>
  <si>
    <t>50 kg</t>
  </si>
  <si>
    <t>65-80
dB</t>
  </si>
  <si>
    <t>10
h</t>
  </si>
  <si>
    <t>Elektrický - baterie</t>
  </si>
  <si>
    <t>12
Ah</t>
  </si>
  <si>
    <t>30 000
m^2</t>
  </si>
  <si>
    <t>20
-
85
mm</t>
  </si>
  <si>
    <t xml:space="preserve">- Deštivzdornost
- Self programming
- GPS
- Alarm
- Lift sensor
-Smarphone
-LCD
</t>
  </si>
  <si>
    <t xml:space="preserve">Elektrická robotická mulčovací sekačka pro udržovaný trávník. Vysoká výdrž baterie a 3 sečné bubny zvládnou obsloužit velikou plochu zejména malých letišť či golfových hřišť. Plocha musí být vymezena pomocí Guide Wire. </t>
  </si>
  <si>
    <t>Alamo
RidgeRuner</t>
  </si>
  <si>
    <t>450 000
Kč</t>
  </si>
  <si>
    <t>1450  x
1500 x
840
mm</t>
  </si>
  <si>
    <t>450
kg</t>
  </si>
  <si>
    <t>Benzínový + ekektrický</t>
  </si>
  <si>
    <t>50°</t>
  </si>
  <si>
    <t>50
-
190
mm</t>
  </si>
  <si>
    <t>- pásy
- RC</t>
  </si>
  <si>
    <t>Svahová pásová sekačka poháněná benzínovým i elektrickými motory. Dálkově řízená, schopna sekat ve vysokých sklonech.</t>
  </si>
  <si>
    <t>TRX 52 PRO</t>
  </si>
  <si>
    <t>885 000
Kč</t>
  </si>
  <si>
    <t>635
kg</t>
  </si>
  <si>
    <t>95+
dB</t>
  </si>
  <si>
    <t>50 l
nádrž</t>
  </si>
  <si>
    <t>Benzínový motor Yamaha 29 HP</t>
  </si>
  <si>
    <t>50
-
150
mm</t>
  </si>
  <si>
    <t>Benzínově poháněná pásová svahová sekačka. Dálkově řízená vysoce stabilní na vysokých sklonech. Vhodná i pro sečení drobných křovin.</t>
  </si>
  <si>
    <t>Garden and landscape exhibitions</t>
  </si>
  <si>
    <t>Název</t>
  </si>
  <si>
    <t>Stát</t>
  </si>
  <si>
    <t>Odkaz</t>
  </si>
  <si>
    <t>For garden</t>
  </si>
  <si>
    <t>Praha, Česká republika</t>
  </si>
  <si>
    <t>https://for-garden.cz/</t>
  </si>
  <si>
    <t>International Garden Expo Tokyo (GARDEX)</t>
  </si>
  <si>
    <t>Tokio, Japonsko</t>
  </si>
  <si>
    <t>PBS Wisconsin's Garden &amp; Landscape Expo</t>
  </si>
  <si>
    <t>Madison, USA</t>
  </si>
  <si>
    <t>https://www.wigardenexpo.com/</t>
  </si>
  <si>
    <t>FutureScape event</t>
  </si>
  <si>
    <t>London, UK</t>
  </si>
  <si>
    <t>https://www.futurescapeevent.com/</t>
  </si>
  <si>
    <t>The Garden &amp; Landscape Exhibition</t>
  </si>
  <si>
    <t>Slagelse, Dansko</t>
  </si>
  <si>
    <t>https://thegreencity.eu/evenementen/garden-og-landscape-exhibition/</t>
  </si>
  <si>
    <t>Garden expo</t>
  </si>
  <si>
    <t>Budapešť, Maďarsko</t>
  </si>
  <si>
    <t>https://www.gardenexpo.hu/en/</t>
  </si>
  <si>
    <t>Smart home technologies exhibitions</t>
  </si>
  <si>
    <t>IFA Berlin</t>
  </si>
  <si>
    <t>Berlín, Německo</t>
  </si>
  <si>
    <t>https://b2b.ifa-berlin.com/</t>
  </si>
  <si>
    <t>Smart home Expo</t>
  </si>
  <si>
    <t>Mumbai, Indie</t>
  </si>
  <si>
    <t>http://smarthomeexpo.in/</t>
  </si>
  <si>
    <t>Pracoviste</t>
  </si>
  <si>
    <t>Pozice</t>
  </si>
  <si>
    <t>Lidi</t>
  </si>
  <si>
    <t>TECHNICKY USEK</t>
  </si>
  <si>
    <t>Vedeni</t>
  </si>
  <si>
    <t>Manazer vyroby</t>
  </si>
  <si>
    <t>kancl c.1</t>
  </si>
  <si>
    <t>Logistika</t>
  </si>
  <si>
    <t>Logisticky manazer</t>
  </si>
  <si>
    <t>kancl c.2</t>
  </si>
  <si>
    <t>Skladnik</t>
  </si>
  <si>
    <t>manipulator, balicka, apod</t>
  </si>
  <si>
    <t>R&amp;D</t>
  </si>
  <si>
    <t>Vedouci kostrukce</t>
  </si>
  <si>
    <t>HW + SW, kancl c.3</t>
  </si>
  <si>
    <t>Mech. Konstrukter</t>
  </si>
  <si>
    <t>HW+ CAD, kancl c.3</t>
  </si>
  <si>
    <t>Elektr. Konstrukter</t>
  </si>
  <si>
    <t>Design</t>
  </si>
  <si>
    <t>Svar + Lak</t>
  </si>
  <si>
    <t>Mistr technologie</t>
  </si>
  <si>
    <t>kancl c.4</t>
  </si>
  <si>
    <t>Svar</t>
  </si>
  <si>
    <t>Svarec</t>
  </si>
  <si>
    <t>svarovaci pracoviste, 4 pripravky, manipulator, svarovaci stanmice - plyny, drat, atd, ochrane pomucky - masky, odsavani apod</t>
  </si>
  <si>
    <t>Lak</t>
  </si>
  <si>
    <t>Delnik</t>
  </si>
  <si>
    <t>lakovaci pracoviste, manipulator, pec, ochranne pomucky, odvetravani, vzduchotechnika, apod</t>
  </si>
  <si>
    <t>M2</t>
  </si>
  <si>
    <t>Mistr montaze M2</t>
  </si>
  <si>
    <t>M2A - motors</t>
  </si>
  <si>
    <t>Monter</t>
  </si>
  <si>
    <t>stacionarni montazni pracoviste</t>
  </si>
  <si>
    <t>M2B - bateries</t>
  </si>
  <si>
    <t>stacionarni montazni pracoviste + manipulator</t>
  </si>
  <si>
    <t>M2C - computers</t>
  </si>
  <si>
    <t>M2D - sensors</t>
  </si>
  <si>
    <t>Mistr montaze M1</t>
  </si>
  <si>
    <t>M1A - cut</t>
  </si>
  <si>
    <t>projizdne montazni pracoviste + jerab</t>
  </si>
  <si>
    <t>M1B - lift</t>
  </si>
  <si>
    <t>M1C - drive</t>
  </si>
  <si>
    <t>M1D - power</t>
  </si>
  <si>
    <t>M1E - coat</t>
  </si>
  <si>
    <t>projizdne montazni pracoviste</t>
  </si>
  <si>
    <t>Kvalita</t>
  </si>
  <si>
    <t>Kvalitar</t>
  </si>
  <si>
    <t>kancl c.5</t>
  </si>
  <si>
    <t xml:space="preserve">Test Cells </t>
  </si>
  <si>
    <t>Tester</t>
  </si>
  <si>
    <t>testovaci laborator + jerab + pc vybaveni a tak</t>
  </si>
  <si>
    <t>TECHNICKY USEK SUMA</t>
  </si>
  <si>
    <t>OBCHODNI USEK</t>
  </si>
  <si>
    <t>Manazer obchodneho useku</t>
  </si>
  <si>
    <t>kancl c.6</t>
  </si>
  <si>
    <t>Prodej</t>
  </si>
  <si>
    <t>Obchodnik prodej</t>
  </si>
  <si>
    <t>Nakup</t>
  </si>
  <si>
    <t>Strategicky nakupci</t>
  </si>
  <si>
    <t>kancl c.7</t>
  </si>
  <si>
    <t>Nakupci</t>
  </si>
  <si>
    <t>Manazer marketing</t>
  </si>
  <si>
    <t>kancl c.8</t>
  </si>
  <si>
    <t>Marketer</t>
  </si>
  <si>
    <t>OBCHODNI USEK SUMA</t>
  </si>
  <si>
    <t>EKONOMICKY USEK</t>
  </si>
  <si>
    <t>Financni manazer</t>
  </si>
  <si>
    <t>kancl c.9</t>
  </si>
  <si>
    <t>FP&amp;A</t>
  </si>
  <si>
    <t>FP&amp;A pracovník</t>
  </si>
  <si>
    <t>Ucetni</t>
  </si>
  <si>
    <t xml:space="preserve">Controling </t>
  </si>
  <si>
    <t>Kontrolor</t>
  </si>
  <si>
    <t>EKONOMICKY USEK SUMA</t>
  </si>
  <si>
    <t>STATUTARNI ORGAN</t>
  </si>
  <si>
    <t>Jednatel</t>
  </si>
  <si>
    <t>kancl c.10, 11, 12</t>
  </si>
  <si>
    <t>SO SUMA</t>
  </si>
  <si>
    <t>CELKEM PRACOVNIKU</t>
  </si>
  <si>
    <t>Pracovný čas [h]</t>
  </si>
  <si>
    <t xml:space="preserve">Provoz směny </t>
  </si>
  <si>
    <t>Ročný časový fond [h]</t>
  </si>
  <si>
    <t>Odvody zamestnanca</t>
  </si>
  <si>
    <t>Dní v roce</t>
  </si>
  <si>
    <t>Dlhodobý hmotný majetek - stroje</t>
  </si>
  <si>
    <t>Pořizovací cena [Kč]</t>
  </si>
  <si>
    <t>Doba odepisování [Rok]</t>
  </si>
  <si>
    <t>Odpisy [Kč/rok]</t>
  </si>
  <si>
    <t>Odpisy 2021 [Kč/rok]</t>
  </si>
  <si>
    <t>Nákaldy na údržbu [Kč/rok]</t>
  </si>
  <si>
    <t>Náklady na nářadí [Kč/rok]</t>
  </si>
  <si>
    <t>Pojištění [Kč/rok]</t>
  </si>
  <si>
    <t>Spotřeba energie [Kč/rok]</t>
  </si>
  <si>
    <t>Prostory [m2]</t>
  </si>
  <si>
    <t xml:space="preserve">Prostory [Kč/rok] </t>
  </si>
  <si>
    <t>Pracoviště</t>
  </si>
  <si>
    <t>Počet lidí</t>
  </si>
  <si>
    <t>m2</t>
  </si>
  <si>
    <t>Manipulátor sklad</t>
  </si>
  <si>
    <t>APCZ1L - Logistika</t>
  </si>
  <si>
    <t>Balička</t>
  </si>
  <si>
    <t>APCZ2S - Sklad</t>
  </si>
  <si>
    <t>Svařovací stanice</t>
  </si>
  <si>
    <t>APCZSR - R&amp;D</t>
  </si>
  <si>
    <t>Pec</t>
  </si>
  <si>
    <t>APCZ5V - Svarovna</t>
  </si>
  <si>
    <t>Manipulátor lakovna</t>
  </si>
  <si>
    <t>APCZ3K - Lakovna</t>
  </si>
  <si>
    <t>Jeřáb</t>
  </si>
  <si>
    <t>APCZ1M - Montaz</t>
  </si>
  <si>
    <t xml:space="preserve">Testovacia linka </t>
  </si>
  <si>
    <t xml:space="preserve">APCZ1Q - Kvalita </t>
  </si>
  <si>
    <t xml:space="preserve">APCZ2T - Test Cells </t>
  </si>
  <si>
    <t>APCZ2N - Nakup</t>
  </si>
  <si>
    <t xml:space="preserve">APCZ2P - Prodej </t>
  </si>
  <si>
    <t>APCZ5E - Marketing</t>
  </si>
  <si>
    <t>APCZ1F - Finance</t>
  </si>
  <si>
    <t xml:space="preserve">APCZ3V - Management </t>
  </si>
  <si>
    <t>Výrobní hala [m2]</t>
  </si>
  <si>
    <t>Kancelárie [m2]</t>
  </si>
  <si>
    <t>Cena Hala [Kč]</t>
  </si>
  <si>
    <t>Cena Kancelária [Kč]</t>
  </si>
  <si>
    <t>Budova [m2]</t>
  </si>
  <si>
    <t>DHM Budovy [Kč]</t>
  </si>
  <si>
    <t>Roční Odpis budova [Kč]</t>
  </si>
  <si>
    <t>Odpis m2 [Kč]</t>
  </si>
  <si>
    <t>Roční spotřeba energie [kWh]</t>
  </si>
  <si>
    <t>Roční spotřeba energie [Kč]</t>
  </si>
  <si>
    <t>Voda [Kč/rok]</t>
  </si>
  <si>
    <t>Voda stredisko[Kč/rok]</t>
  </si>
  <si>
    <t>Roční rozpočet</t>
  </si>
  <si>
    <t>Položka</t>
  </si>
  <si>
    <t>Náklady [Kč/rok]</t>
  </si>
  <si>
    <t>Soc. a zdrav. pojištění</t>
  </si>
  <si>
    <t xml:space="preserve">Technicky usek </t>
  </si>
  <si>
    <t>Obchodní úsek</t>
  </si>
  <si>
    <t>Ekonomický úsek</t>
  </si>
  <si>
    <t>Manažment</t>
  </si>
  <si>
    <t>Technicky usek</t>
  </si>
  <si>
    <t>Rozpočet úsek</t>
  </si>
  <si>
    <t xml:space="preserve">Položka </t>
  </si>
  <si>
    <t>CZK/rok</t>
  </si>
  <si>
    <t>CZK/měs.</t>
  </si>
  <si>
    <t>CZK/hod.</t>
  </si>
  <si>
    <t>Dopravné systémy</t>
  </si>
  <si>
    <t>Pořizovací cena (odpisy)</t>
  </si>
  <si>
    <t>Technologie</t>
  </si>
  <si>
    <t>Špeciální kontorlní systémy</t>
  </si>
  <si>
    <t xml:space="preserve">Soc. a zdrav. Pojištění </t>
  </si>
  <si>
    <t>Skladovacie systémy</t>
  </si>
  <si>
    <t>Náklady na údržbu a opravy</t>
  </si>
  <si>
    <t>Konstrukce/design</t>
  </si>
  <si>
    <t xml:space="preserve">Zkoušky </t>
  </si>
  <si>
    <t>DHM</t>
  </si>
  <si>
    <t>Náklady na pomocné nářadí</t>
  </si>
  <si>
    <t>Speciální služby</t>
  </si>
  <si>
    <t xml:space="preserve">Školení </t>
  </si>
  <si>
    <t>Celkem:</t>
  </si>
  <si>
    <t>Pojištění strojů a zařízení</t>
  </si>
  <si>
    <t>Spolupráce s ext. Firmami</t>
  </si>
  <si>
    <t>Režie</t>
  </si>
  <si>
    <t>Zaměstanec</t>
  </si>
  <si>
    <t>Odpisy strojního zařízení</t>
  </si>
  <si>
    <t>Energie</t>
  </si>
  <si>
    <t xml:space="preserve">DHM </t>
  </si>
  <si>
    <t xml:space="preserve">Mzda (HS - 325  Kč) </t>
  </si>
  <si>
    <t>Prostory</t>
  </si>
  <si>
    <t>Zkoušky</t>
  </si>
  <si>
    <t xml:space="preserve">Mzda (HS -345 Kč) </t>
  </si>
  <si>
    <t>Soc. A zdrav.</t>
  </si>
  <si>
    <t>Prostor odpisy</t>
  </si>
  <si>
    <t>bonus</t>
  </si>
  <si>
    <t>školení</t>
  </si>
  <si>
    <t>Stroje odpisy</t>
  </si>
  <si>
    <t>Pracovní pomůcky</t>
  </si>
  <si>
    <t xml:space="preserve">Mzda (HS - 355 Kč) </t>
  </si>
  <si>
    <t xml:space="preserve">Údržba, čištění </t>
  </si>
  <si>
    <t>Špeciální prípravky, údržba</t>
  </si>
  <si>
    <t>Certifikáty, rekvalifikace</t>
  </si>
  <si>
    <t>Prepravní systémy</t>
  </si>
  <si>
    <t>Projekty</t>
  </si>
  <si>
    <t>Prostor</t>
  </si>
  <si>
    <t>Ostatni DHM</t>
  </si>
  <si>
    <t xml:space="preserve">Mzda (HS - 365 Kč) </t>
  </si>
  <si>
    <t xml:space="preserve">Mzda (HS - 350 Kč) </t>
  </si>
  <si>
    <t xml:space="preserve">Mzda (HS - 410 Kč) </t>
  </si>
  <si>
    <t>Další náklady</t>
  </si>
  <si>
    <t>Celkem stredisko:</t>
  </si>
  <si>
    <t>Materiál na baličku</t>
  </si>
  <si>
    <t xml:space="preserve">Mzda (HS - 325 Kč) </t>
  </si>
  <si>
    <t>`</t>
  </si>
  <si>
    <t xml:space="preserve">Obchodni usek </t>
  </si>
  <si>
    <t>Pronájem dopravy</t>
  </si>
  <si>
    <t xml:space="preserve">Showroom </t>
  </si>
  <si>
    <t>Sponzoring dlouhodobé kontrakty</t>
  </si>
  <si>
    <t xml:space="preserve">Náklady na dod. </t>
  </si>
  <si>
    <t>Náklady pre zákazníkov</t>
  </si>
  <si>
    <t>Sponzoring krátkodobé kontrakty</t>
  </si>
  <si>
    <t>Mobilní výstavní stánek</t>
  </si>
  <si>
    <t>Účast na veletrzích</t>
  </si>
  <si>
    <t>Internetová reklama</t>
  </si>
  <si>
    <t>Marktingové náklady</t>
  </si>
  <si>
    <t>Mzda (HS - 350 Kč)</t>
  </si>
  <si>
    <t>Mzda (HS - 340 Kč)</t>
  </si>
  <si>
    <t xml:space="preserve">Celkem </t>
  </si>
  <si>
    <t>Cestovné</t>
  </si>
  <si>
    <t xml:space="preserve">Ekonomický úsek </t>
  </si>
  <si>
    <t xml:space="preserve">Účetní audit </t>
  </si>
  <si>
    <t>Finanční služby</t>
  </si>
  <si>
    <t xml:space="preserve">Mzda (HS - 360 Kč) </t>
  </si>
  <si>
    <t>Ost. DHM (Odpisy)</t>
  </si>
  <si>
    <t>Vedení</t>
  </si>
  <si>
    <t>Bezpečnostné systémy</t>
  </si>
  <si>
    <t xml:space="preserve">Mzda (HS - 520 Kč) </t>
  </si>
  <si>
    <t>Ost DHM</t>
  </si>
  <si>
    <t>Záznamy o prodeje (pro rok 2020)</t>
  </si>
  <si>
    <t>Edit: tento souhrn je zavádějící</t>
  </si>
  <si>
    <t>Statistika</t>
  </si>
  <si>
    <t>Počet domácností</t>
  </si>
  <si>
    <t>Počet domácností s nadprůměrným příjmem [%]</t>
  </si>
  <si>
    <t>Roční potřeba v sekáčkách [ks]</t>
  </si>
  <si>
    <t>Hlávní produkt B2B a B2C</t>
  </si>
  <si>
    <t>B2B</t>
  </si>
  <si>
    <t>B2C</t>
  </si>
  <si>
    <t>Celkový počet firem</t>
  </si>
  <si>
    <t>Počet  firem zabývající se zahradní údržbou</t>
  </si>
  <si>
    <t>Vzorec sestavený pro výpočet prodáných kusů v jednotlivých kvarálech</t>
  </si>
  <si>
    <t>APSM exp</t>
  </si>
  <si>
    <t>APSM cz</t>
  </si>
  <si>
    <t>*0,2%</t>
  </si>
  <si>
    <t>/3</t>
  </si>
  <si>
    <t>=</t>
  </si>
  <si>
    <t>Celkém za kv.</t>
  </si>
  <si>
    <t>APSC exp</t>
  </si>
  <si>
    <t>APSC cz</t>
  </si>
  <si>
    <t>APSF exp</t>
  </si>
  <si>
    <t>APSF cz</t>
  </si>
  <si>
    <t>Kontrolní součet</t>
  </si>
  <si>
    <t>Roční zvýšení tržeb</t>
  </si>
  <si>
    <t>Prodej produktů a služeb</t>
  </si>
  <si>
    <t>Hlavní produkt</t>
  </si>
  <si>
    <t>SW řešení</t>
  </si>
  <si>
    <t>Komposter</t>
  </si>
  <si>
    <t>pesimistický odhad (-20%)</t>
  </si>
  <si>
    <t>optimistický odhad (+20%)</t>
  </si>
  <si>
    <t>APS Meower - hlavní produkt</t>
  </si>
  <si>
    <t>Životnost modelu</t>
  </si>
  <si>
    <t>Cena CZ Show Room</t>
  </si>
  <si>
    <t>Cena EU distribuce</t>
  </si>
  <si>
    <t>Cena NA distribuce</t>
  </si>
  <si>
    <t>Plán proukce [roky]</t>
  </si>
  <si>
    <t>Plán produkce [kusy/rok]</t>
  </si>
  <si>
    <t>(2018-2025)</t>
  </si>
  <si>
    <t>Doplňkové produkty</t>
  </si>
  <si>
    <t>Segment</t>
  </si>
  <si>
    <t>Produkt</t>
  </si>
  <si>
    <t>Dodavatel</t>
  </si>
  <si>
    <t>Nákupní cena /ks</t>
  </si>
  <si>
    <t>Nák. cena jednoráz.</t>
  </si>
  <si>
    <t>Prodejní cena CZ Show Room</t>
  </si>
  <si>
    <t>Prodejní cena EU distribuce</t>
  </si>
  <si>
    <t>Prodejní cena NA distribuce</t>
  </si>
  <si>
    <t>Kompostér</t>
  </si>
  <si>
    <t>Elkoplast</t>
  </si>
  <si>
    <t>APS Solutions</t>
  </si>
  <si>
    <t>APS Fleet přepočtený náklad na ks</t>
  </si>
  <si>
    <t>PVN</t>
  </si>
  <si>
    <t>APS Meower - Přímé variabilní náklady [Kč]</t>
  </si>
  <si>
    <t>Druh</t>
  </si>
  <si>
    <t>Komponenty</t>
  </si>
  <si>
    <t>ks / produkt</t>
  </si>
  <si>
    <t>cena /ks</t>
  </si>
  <si>
    <t>cena /produkt</t>
  </si>
  <si>
    <t>Elektronické a hydraulické díly</t>
  </si>
  <si>
    <t>Elektromotor - inwheel</t>
  </si>
  <si>
    <t>Elektromotor - stepper</t>
  </si>
  <si>
    <t>Rozpočet</t>
  </si>
  <si>
    <t>Elektromotor - rotor</t>
  </si>
  <si>
    <t>Technický úsek</t>
  </si>
  <si>
    <t>Obchodní</t>
  </si>
  <si>
    <t>Ekonomický</t>
  </si>
  <si>
    <t>Řídící jednotka</t>
  </si>
  <si>
    <t>Svarovna</t>
  </si>
  <si>
    <t>Lakovna</t>
  </si>
  <si>
    <t>Montaz</t>
  </si>
  <si>
    <t>Test cells</t>
  </si>
  <si>
    <t xml:space="preserve">Sklad </t>
  </si>
  <si>
    <t>Nákup</t>
  </si>
  <si>
    <t>Baterie</t>
  </si>
  <si>
    <t>Výstražná světla</t>
  </si>
  <si>
    <t>Alarm</t>
  </si>
  <si>
    <t>Wifi reciever and transmitter</t>
  </si>
  <si>
    <t>GPS module</t>
  </si>
  <si>
    <t>Koncové sensory</t>
  </si>
  <si>
    <t>RADAR sensors</t>
  </si>
  <si>
    <t>Optic Camera sensors</t>
  </si>
  <si>
    <t>Elektrohydraulika</t>
  </si>
  <si>
    <t>Charging Dock</t>
  </si>
  <si>
    <t>Ostatní elektronika</t>
  </si>
  <si>
    <t>ELEKTRO CELKEM</t>
  </si>
  <si>
    <t>Kovové díly</t>
  </si>
  <si>
    <t>Výpalky</t>
  </si>
  <si>
    <t>Výkovky</t>
  </si>
  <si>
    <t>Ohýbané plechové díly</t>
  </si>
  <si>
    <t>Obrobky</t>
  </si>
  <si>
    <t>Nože</t>
  </si>
  <si>
    <t>Písty</t>
  </si>
  <si>
    <t>Spojovací materiál</t>
  </si>
  <si>
    <t>KOVO CELKEM</t>
  </si>
  <si>
    <t>Plastové díly</t>
  </si>
  <si>
    <t>Koš</t>
  </si>
  <si>
    <t>Bumpers</t>
  </si>
  <si>
    <t>Odolné funkční díly</t>
  </si>
  <si>
    <t>Pohledové díly</t>
  </si>
  <si>
    <t>Kola</t>
  </si>
  <si>
    <t>Ostatní</t>
  </si>
  <si>
    <t>PLAST CELKEM</t>
  </si>
  <si>
    <t>Suma PVN na produkt</t>
  </si>
  <si>
    <t>APS Meower - Přímé fixní náklady [Kč]</t>
  </si>
  <si>
    <t>dodavatel</t>
  </si>
  <si>
    <t>Jednorázový výdaj</t>
  </si>
  <si>
    <t>Řídící systém stroje</t>
  </si>
  <si>
    <t>Mapovací systém</t>
  </si>
  <si>
    <t>Navigační systém</t>
  </si>
  <si>
    <t>APS aplikace</t>
  </si>
  <si>
    <t>Webové rozhraní+konektivita</t>
  </si>
  <si>
    <t>Svářecí přípravky</t>
  </si>
  <si>
    <t>C-Mec</t>
  </si>
  <si>
    <t>Certifikace produktu</t>
  </si>
  <si>
    <t>TÜV SÜD</t>
  </si>
  <si>
    <t>Celkem PFN</t>
  </si>
  <si>
    <t>Vzhledem k životnosti produktu na kus</t>
  </si>
  <si>
    <t>Montáž</t>
  </si>
  <si>
    <t>Mistr M2</t>
  </si>
  <si>
    <t>Mistr M1</t>
  </si>
  <si>
    <t>HNS</t>
  </si>
  <si>
    <t>Úroveň 1 (pracoviště)</t>
  </si>
  <si>
    <t>Úroveň 2</t>
  </si>
  <si>
    <t>Typ nákladu [Kč/rok]</t>
  </si>
  <si>
    <t>Logistka</t>
  </si>
  <si>
    <t>Svařování</t>
  </si>
  <si>
    <t>Lakování</t>
  </si>
  <si>
    <t>Testování</t>
  </si>
  <si>
    <t>Skladování</t>
  </si>
  <si>
    <t>Výr. Manager</t>
  </si>
  <si>
    <t>DHM a vybaveni</t>
  </si>
  <si>
    <t>HW,SW,Pomůcky</t>
  </si>
  <si>
    <t>CELKEM [Kč/rok]</t>
  </si>
  <si>
    <t>KAPACITA [hod./rok]</t>
  </si>
  <si>
    <t>HNS [Kč/hod]</t>
  </si>
  <si>
    <t>SUMA</t>
  </si>
  <si>
    <t>Pracnost [Nhod/ks]</t>
  </si>
  <si>
    <t>Celk HNS ú2.</t>
  </si>
  <si>
    <t>Nepřímý náklad [Kč/ks]</t>
  </si>
  <si>
    <t>Nepř.n. ú2 [Kč/ks]</t>
  </si>
  <si>
    <t>Nepřímé náklady přiřazené pomocí HNS [Kč/ks]</t>
  </si>
  <si>
    <t>Kč/rok</t>
  </si>
  <si>
    <t>Výnosy</t>
  </si>
  <si>
    <t>Příme variabilní náklady</t>
  </si>
  <si>
    <t>PÚ I</t>
  </si>
  <si>
    <t>Příme fixní náklady</t>
  </si>
  <si>
    <t>PÚ II</t>
  </si>
  <si>
    <t>Nepříme náklady</t>
  </si>
  <si>
    <t>PÚ III</t>
  </si>
  <si>
    <t>Nerozřaditelné náklady</t>
  </si>
  <si>
    <t>PÚ IV</t>
  </si>
  <si>
    <t xml:space="preserve">Obchodní úsek </t>
  </si>
  <si>
    <t>PÚ V</t>
  </si>
  <si>
    <t>Zisk před daní</t>
  </si>
  <si>
    <t>Stavba montážní haly a přilehlé administrativní budovy, 
Instalce výrobních pracovišť, vybavení kanceláří, apod., 
Vývoj a tetování platformy SE na evropském trhu, 
Spuštění marketingové kampaně v NA,
Tvorba prodejní strategie s ohledem na principy společenské odpovědnosto firem a konceptu ZERO WASTE (ZW)</t>
  </si>
  <si>
    <t>Spuštění výroby, 
Optimalizace procesů, 
Dodávání partnerům etapy 1, 
Spuštění platformy SE pro NA
Implementace nové prodejní strategie pro 10% výrobků</t>
  </si>
  <si>
    <t>INVESTICE 1</t>
  </si>
  <si>
    <t>INVESTICE 2</t>
  </si>
  <si>
    <t>Celkově vyrobené množství</t>
  </si>
  <si>
    <t>A</t>
  </si>
  <si>
    <t>B</t>
  </si>
  <si>
    <t>C</t>
  </si>
  <si>
    <t>D</t>
  </si>
  <si>
    <t>E</t>
  </si>
  <si>
    <t>F</t>
  </si>
  <si>
    <t>G</t>
  </si>
  <si>
    <t>VÝNOSY PLYNOUCÍ Z UŽÍVÁNÍ PLATFORMY SE</t>
  </si>
  <si>
    <t>Změna predaja</t>
  </si>
  <si>
    <t>Změna diskontní sazby</t>
  </si>
  <si>
    <t>Změna daně</t>
  </si>
  <si>
    <t>Změna provozních nákladů</t>
  </si>
  <si>
    <t>Změna cien vstupných materiálů</t>
  </si>
  <si>
    <t>RIZIKA</t>
  </si>
  <si>
    <t>CITLIVOSTNÍ ANALÝZA</t>
  </si>
  <si>
    <t>SWOT INVESTICE 1</t>
  </si>
  <si>
    <t>SWOT INVESTICE 2</t>
  </si>
  <si>
    <t>Zero Waste výnosy</t>
  </si>
  <si>
    <t>Zero Waste náklady</t>
  </si>
  <si>
    <t>Riziko politického převratu na trhu</t>
  </si>
  <si>
    <t>Integrační vazby</t>
  </si>
  <si>
    <t>Import tax from Mexico to USA</t>
  </si>
  <si>
    <t>Corporate tax in Mexico</t>
  </si>
  <si>
    <t>Corporate tax in USA</t>
  </si>
  <si>
    <t>Average labor costs Mexico</t>
  </si>
  <si>
    <t>Average labor costs USA</t>
  </si>
  <si>
    <t>starting on June 10, 2019</t>
  </si>
  <si>
    <t>C. tax in Cayman Islands</t>
  </si>
  <si>
    <t>Tabulka daňových nákladů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</si>
</sst>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43" formatCode="_-* #,##0.00_-;\-* #,##0.00_-;_-* &quot;-&quot;??_-;_-@_-"/>
    <numFmt numFmtId="164" formatCode="_-* #,##0.00\ &quot;€&quot;_-;\-* #,##0.00\ &quot;€&quot;_-;_-* &quot;-&quot;??\ &quot;€&quot;_-;_-@_-"/>
    <numFmt numFmtId="165" formatCode="0.0%"/>
    <numFmt numFmtId="166" formatCode="#,##0.00\ &quot;Kč&quot;"/>
    <numFmt numFmtId="167" formatCode="#,##0\ &quot;Kč&quot;"/>
    <numFmt numFmtId="168" formatCode="_-* #,##0.00\ [$Kč-405]_-;\-* #,##0.00\ [$Kč-405]_-;_-* &quot;-&quot;??\ [$Kč-405]_-;_-@_-"/>
    <numFmt numFmtId="169" formatCode="_-* #,##0\ [$Kč-405]_-;\-* #,##0\ [$Kč-405]_-;_-* &quot;-&quot;??\ [$Kč-405]_-;_-@_-"/>
    <numFmt numFmtId="170" formatCode="_-* #,##0\ &quot;Kč&quot;_-;\-* #,##0\ &quot;Kč&quot;_-;_-* &quot;-&quot;??\ &quot;Kč&quot;_-;_-@_-"/>
    <numFmt numFmtId="171" formatCode="#,##0.0000"/>
    <numFmt numFmtId="172" formatCode="0.0"/>
    <numFmt numFmtId="173" formatCode="_-[$$-409]* #,##0.00_ ;_-[$$-409]* \-#,##0.00\ ;_-[$$-409]* &quot;-&quot;??_ ;_-@_ "/>
    <numFmt numFmtId="174" formatCode="[$$-409]#,##0.00"/>
    <numFmt numFmtId="175" formatCode="0.0000%"/>
    <numFmt numFmtId="176" formatCode="_-* #,##0.0000\ [$Kč-405]_-;\-* #,##0.0000\ [$Kč-405]_-;_-* &quot;-&quot;????\ [$Kč-405]_-;_-@_-"/>
    <numFmt numFmtId="177" formatCode="_-* #,##0_-;\-* #,##0_-;_-* &quot;-&quot;??_-;_-@_-"/>
    <numFmt numFmtId="178" formatCode="[$$-409]#,##0"/>
  </numFmts>
  <fonts count="95">
    <font>
      <sz val="11"/>
      <color theme="1"/>
      <name val="Technika Book"/>
      <family val="2"/>
      <charset val="238"/>
      <scheme val="minor"/>
    </font>
    <font>
      <b/>
      <sz val="12"/>
      <color theme="0"/>
      <name val="Technika"/>
      <charset val="238"/>
      <scheme val="major"/>
    </font>
    <font>
      <sz val="10"/>
      <color theme="1"/>
      <name val="Technika Book"/>
      <charset val="238"/>
    </font>
    <font>
      <b/>
      <sz val="10"/>
      <color theme="1"/>
      <name val="Technika Book"/>
      <charset val="238"/>
    </font>
    <font>
      <b/>
      <sz val="11"/>
      <color theme="1"/>
      <name val="Technika Book"/>
      <family val="2"/>
      <charset val="238"/>
      <scheme val="minor"/>
    </font>
    <font>
      <b/>
      <sz val="11"/>
      <color theme="1"/>
      <name val="Technika Book"/>
      <charset val="238"/>
      <scheme val="minor"/>
    </font>
    <font>
      <sz val="11"/>
      <color theme="1"/>
      <name val="Technika Book"/>
      <family val="2"/>
      <charset val="238"/>
      <scheme val="minor"/>
    </font>
    <font>
      <sz val="12"/>
      <color theme="1"/>
      <name val="Technika"/>
      <charset val="238"/>
      <scheme val="major"/>
    </font>
    <font>
      <b/>
      <sz val="12"/>
      <color rgb="FFFFFFFF"/>
      <name val="Technika"/>
      <charset val="238"/>
    </font>
    <font>
      <sz val="11"/>
      <color rgb="FF000000"/>
      <name val="Technika Book"/>
      <family val="2"/>
      <charset val="238"/>
    </font>
    <font>
      <b/>
      <sz val="11"/>
      <color theme="0"/>
      <name val="Technika Book"/>
      <family val="2"/>
      <charset val="238"/>
      <scheme val="minor"/>
    </font>
    <font>
      <i/>
      <sz val="11"/>
      <color theme="1"/>
      <name val="Technika Book"/>
      <family val="2"/>
      <charset val="238"/>
      <scheme val="minor"/>
    </font>
    <font>
      <sz val="11"/>
      <color theme="1"/>
      <name val="Technika Book"/>
      <charset val="238"/>
      <scheme val="minor"/>
    </font>
    <font>
      <b/>
      <sz val="12"/>
      <color theme="1"/>
      <name val="Technika"/>
      <charset val="238"/>
      <scheme val="major"/>
    </font>
    <font>
      <b/>
      <sz val="11"/>
      <color theme="1"/>
      <name val="Technika"/>
      <charset val="238"/>
      <scheme val="major"/>
    </font>
    <font>
      <u/>
      <sz val="11"/>
      <color theme="10"/>
      <name val="Technika Book"/>
      <family val="2"/>
      <charset val="238"/>
      <scheme val="minor"/>
    </font>
    <font>
      <sz val="12"/>
      <color theme="1"/>
      <name val="Technika"/>
      <charset val="238"/>
    </font>
    <font>
      <u/>
      <sz val="16"/>
      <color theme="10"/>
      <name val="Technika Book"/>
      <family val="2"/>
      <charset val="238"/>
      <scheme val="minor"/>
    </font>
    <font>
      <sz val="10"/>
      <color theme="1"/>
      <name val="Technika Book"/>
      <family val="2"/>
      <charset val="238"/>
      <scheme val="minor"/>
    </font>
    <font>
      <b/>
      <sz val="10"/>
      <color theme="1"/>
      <name val="Technika Book"/>
      <charset val="238"/>
      <scheme val="minor"/>
    </font>
    <font>
      <sz val="12"/>
      <color rgb="FF000000"/>
      <name val="Technika"/>
      <charset val="238"/>
      <scheme val="major"/>
    </font>
    <font>
      <sz val="24"/>
      <color theme="1"/>
      <name val="Technika Stencil Bold"/>
      <charset val="238"/>
    </font>
    <font>
      <u/>
      <sz val="22"/>
      <color theme="10"/>
      <name val="Technika Book"/>
      <family val="2"/>
      <charset val="238"/>
      <scheme val="minor"/>
    </font>
    <font>
      <sz val="12"/>
      <color theme="0"/>
      <name val="Technika Book"/>
      <charset val="238"/>
      <scheme val="minor"/>
    </font>
    <font>
      <b/>
      <sz val="14"/>
      <color theme="1"/>
      <name val="Technika Book"/>
      <charset val="238"/>
      <scheme val="minor"/>
    </font>
    <font>
      <sz val="11"/>
      <color rgb="FF000000"/>
      <name val="Technika Book"/>
      <family val="2"/>
      <charset val="238"/>
      <scheme val="minor"/>
    </font>
    <font>
      <sz val="12"/>
      <color rgb="FF000000"/>
      <name val="Technika Book"/>
      <family val="2"/>
      <charset val="238"/>
      <scheme val="minor"/>
    </font>
    <font>
      <b/>
      <sz val="11"/>
      <color rgb="FF000000"/>
      <name val="Technika Book"/>
      <family val="2"/>
      <charset val="238"/>
      <scheme val="minor"/>
    </font>
    <font>
      <b/>
      <sz val="12"/>
      <color theme="0"/>
      <name val="Technika Book"/>
      <charset val="238"/>
      <scheme val="minor"/>
    </font>
    <font>
      <sz val="11.5"/>
      <color rgb="FF252525"/>
      <name val="Technika Book"/>
      <charset val="238"/>
    </font>
    <font>
      <b/>
      <sz val="11"/>
      <color theme="1"/>
      <name val="Technika Book"/>
      <charset val="238"/>
      <scheme val="minor"/>
    </font>
    <font>
      <b/>
      <sz val="20"/>
      <color theme="1"/>
      <name val="Technika"/>
      <charset val="238"/>
      <scheme val="major"/>
    </font>
    <font>
      <b/>
      <sz val="12"/>
      <color theme="1"/>
      <name val="Technika Book"/>
      <charset val="238"/>
      <scheme val="minor"/>
    </font>
    <font>
      <b/>
      <sz val="18"/>
      <color theme="1"/>
      <name val="Technika Book"/>
      <charset val="238"/>
      <scheme val="minor"/>
    </font>
    <font>
      <sz val="18"/>
      <color theme="1"/>
      <name val="Technika Book"/>
      <family val="2"/>
      <charset val="204"/>
      <scheme val="minor"/>
    </font>
    <font>
      <sz val="18"/>
      <color theme="1"/>
      <name val="Technika"/>
      <charset val="238"/>
      <scheme val="major"/>
    </font>
    <font>
      <b/>
      <i/>
      <sz val="11"/>
      <color theme="1"/>
      <name val="Technika Book"/>
      <family val="2"/>
      <charset val="238"/>
      <scheme val="minor"/>
    </font>
    <font>
      <b/>
      <sz val="11"/>
      <color theme="0"/>
      <name val="Technika"/>
      <charset val="238"/>
      <scheme val="major"/>
    </font>
    <font>
      <b/>
      <sz val="40"/>
      <color theme="2" tint="-0.749992370372631"/>
      <name val="Technika"/>
      <charset val="238"/>
      <scheme val="major"/>
    </font>
    <font>
      <b/>
      <sz val="14"/>
      <color theme="2" tint="-0.749992370372631"/>
      <name val="Technika"/>
      <charset val="238"/>
      <scheme val="major"/>
    </font>
    <font>
      <b/>
      <sz val="18"/>
      <color theme="0"/>
      <name val="Technika Book"/>
      <family val="2"/>
      <charset val="238"/>
      <scheme val="minor"/>
    </font>
    <font>
      <sz val="16"/>
      <color theme="2" tint="-0.749992370372631"/>
      <name val="Technika"/>
      <charset val="238"/>
      <scheme val="major"/>
    </font>
    <font>
      <b/>
      <sz val="18"/>
      <color theme="2" tint="-0.749992370372631"/>
      <name val="Technika"/>
      <charset val="238"/>
      <scheme val="major"/>
    </font>
    <font>
      <b/>
      <sz val="14"/>
      <color theme="1"/>
      <name val="Technika"/>
      <charset val="238"/>
      <scheme val="major"/>
    </font>
    <font>
      <sz val="11"/>
      <color theme="1"/>
      <name val="Technika"/>
      <charset val="238"/>
      <scheme val="major"/>
    </font>
    <font>
      <sz val="40"/>
      <color theme="1"/>
      <name val="Technika"/>
      <charset val="238"/>
      <scheme val="major"/>
    </font>
    <font>
      <sz val="11"/>
      <color theme="7"/>
      <name val="Technika"/>
      <charset val="238"/>
      <scheme val="major"/>
    </font>
    <font>
      <b/>
      <sz val="16"/>
      <color theme="2" tint="-0.749992370372631"/>
      <name val="Technika"/>
      <charset val="238"/>
      <scheme val="major"/>
    </font>
    <font>
      <b/>
      <sz val="36"/>
      <color theme="8"/>
      <name val="Technika"/>
      <charset val="238"/>
      <scheme val="major"/>
    </font>
    <font>
      <u/>
      <sz val="8"/>
      <color theme="10"/>
      <name val="Technika Book"/>
      <family val="2"/>
      <charset val="238"/>
      <scheme val="minor"/>
    </font>
    <font>
      <u/>
      <sz val="11"/>
      <color rgb="FFFF0000"/>
      <name val="Technika Book"/>
      <family val="2"/>
      <charset val="238"/>
      <scheme val="minor"/>
    </font>
    <font>
      <b/>
      <sz val="12"/>
      <color theme="0"/>
      <name val="Technika Book"/>
      <family val="2"/>
      <charset val="238"/>
      <scheme val="minor"/>
    </font>
    <font>
      <sz val="11"/>
      <name val="Technika Book"/>
      <family val="2"/>
      <charset val="238"/>
      <scheme val="minor"/>
    </font>
    <font>
      <sz val="10"/>
      <color theme="1"/>
      <name val="Technika Book"/>
      <charset val="238"/>
      <scheme val="minor"/>
    </font>
    <font>
      <sz val="10"/>
      <color rgb="FF000000"/>
      <name val="Technika Book"/>
      <charset val="238"/>
      <scheme val="minor"/>
    </font>
    <font>
      <b/>
      <sz val="10"/>
      <color theme="0"/>
      <name val="Technika Book"/>
      <charset val="238"/>
      <scheme val="minor"/>
    </font>
    <font>
      <sz val="8"/>
      <color theme="1"/>
      <name val="Technika Book"/>
      <charset val="238"/>
      <scheme val="minor"/>
    </font>
    <font>
      <sz val="8"/>
      <color rgb="FF000000"/>
      <name val="Technika Book"/>
      <charset val="238"/>
      <scheme val="minor"/>
    </font>
    <font>
      <sz val="8"/>
      <color theme="1"/>
      <name val="Technika Book"/>
      <family val="2"/>
      <charset val="238"/>
      <scheme val="minor"/>
    </font>
    <font>
      <sz val="11"/>
      <name val="Technika Book"/>
      <charset val="238"/>
      <scheme val="minor"/>
    </font>
    <font>
      <b/>
      <sz val="11"/>
      <name val="Technika Book"/>
      <charset val="238"/>
      <scheme val="minor"/>
    </font>
    <font>
      <sz val="11"/>
      <color rgb="FFFF0000"/>
      <name val="Technika Book"/>
      <family val="2"/>
      <charset val="238"/>
      <scheme val="minor"/>
    </font>
    <font>
      <b/>
      <sz val="11"/>
      <color rgb="FFFF0000"/>
      <name val="Technika Book"/>
      <charset val="238"/>
      <scheme val="minor"/>
    </font>
    <font>
      <b/>
      <sz val="11"/>
      <color rgb="FF000000"/>
      <name val="Technika Book"/>
      <charset val="238"/>
      <scheme val="minor"/>
    </font>
    <font>
      <b/>
      <sz val="16"/>
      <color theme="0"/>
      <name val="Technika Book"/>
      <charset val="238"/>
      <scheme val="minor"/>
    </font>
    <font>
      <b/>
      <sz val="9"/>
      <color theme="1"/>
      <name val="Technika Book"/>
      <charset val="238"/>
      <scheme val="minor"/>
    </font>
    <font>
      <sz val="11"/>
      <color rgb="FF000000"/>
      <name val="Technika Book"/>
      <charset val="238"/>
      <scheme val="minor"/>
    </font>
    <font>
      <sz val="12"/>
      <color rgb="FF000000"/>
      <name val="Technika Book"/>
      <charset val="238"/>
      <scheme val="minor"/>
    </font>
    <font>
      <sz val="9"/>
      <color theme="1"/>
      <name val="Technika Book"/>
      <family val="2"/>
      <charset val="238"/>
      <scheme val="minor"/>
    </font>
    <font>
      <sz val="9"/>
      <color rgb="FF000000"/>
      <name val="Technika Book"/>
      <family val="2"/>
      <charset val="238"/>
      <scheme val="minor"/>
    </font>
    <font>
      <b/>
      <sz val="12"/>
      <color theme="1"/>
      <name val="Technika Book"/>
      <family val="2"/>
      <charset val="238"/>
      <scheme val="minor"/>
    </font>
    <font>
      <b/>
      <sz val="10"/>
      <color theme="0"/>
      <name val="Technika Book"/>
      <family val="2"/>
      <charset val="238"/>
      <scheme val="minor"/>
    </font>
    <font>
      <b/>
      <sz val="11"/>
      <color theme="1"/>
      <name val="Technika Book"/>
      <charset val="238"/>
      <scheme val="minor"/>
    </font>
    <font>
      <sz val="11"/>
      <color theme="1"/>
      <name val="Technika Book"/>
      <charset val="238"/>
      <scheme val="minor"/>
    </font>
    <font>
      <b/>
      <sz val="14"/>
      <color theme="0"/>
      <name val="Technika Book"/>
      <family val="2"/>
      <charset val="238"/>
      <scheme val="minor"/>
    </font>
    <font>
      <sz val="10"/>
      <color rgb="FF000000"/>
      <name val="Technika Book"/>
      <family val="2"/>
      <charset val="238"/>
      <scheme val="minor"/>
    </font>
    <font>
      <sz val="8"/>
      <name val="Technika Book"/>
      <family val="2"/>
      <charset val="238"/>
      <scheme val="minor"/>
    </font>
    <font>
      <u/>
      <sz val="11"/>
      <color theme="10"/>
      <name val="Technika Book"/>
      <charset val="238"/>
      <scheme val="minor"/>
    </font>
    <font>
      <sz val="11"/>
      <color indexed="8"/>
      <name val="Technika Book"/>
      <charset val="238"/>
      <scheme val="minor"/>
    </font>
    <font>
      <b/>
      <sz val="24"/>
      <color theme="1"/>
      <name val="Technika Book"/>
      <charset val="238"/>
      <scheme val="minor"/>
    </font>
    <font>
      <b/>
      <sz val="12"/>
      <color rgb="FFFF0000"/>
      <name val="Technika"/>
      <charset val="238"/>
      <scheme val="major"/>
    </font>
    <font>
      <u/>
      <sz val="14"/>
      <color theme="10"/>
      <name val="Technika Book"/>
      <family val="2"/>
      <charset val="238"/>
      <scheme val="minor"/>
    </font>
    <font>
      <b/>
      <sz val="14"/>
      <color theme="3" tint="-0.499984740745262"/>
      <name val="Technika"/>
      <charset val="238"/>
      <scheme val="major"/>
    </font>
    <font>
      <sz val="12"/>
      <color rgb="FF000000"/>
      <name val="Calibri"/>
      <family val="2"/>
      <charset val="238"/>
    </font>
    <font>
      <sz val="9"/>
      <color theme="1"/>
      <name val="Technika Book"/>
      <charset val="238"/>
      <scheme val="minor"/>
    </font>
    <font>
      <b/>
      <sz val="11"/>
      <color theme="0"/>
      <name val="Technika Book"/>
      <charset val="238"/>
      <scheme val="minor"/>
    </font>
    <font>
      <b/>
      <sz val="14"/>
      <color theme="0"/>
      <name val="Technika Book"/>
      <charset val="238"/>
      <scheme val="minor"/>
    </font>
    <font>
      <sz val="8"/>
      <color theme="0"/>
      <name val="Technika Book"/>
      <charset val="238"/>
      <scheme val="minor"/>
    </font>
    <font>
      <b/>
      <sz val="11"/>
      <color theme="1"/>
      <name val="Technika Book"/>
      <charset val="238"/>
      <scheme val="minor"/>
    </font>
    <font>
      <sz val="11"/>
      <color theme="0"/>
      <name val="Technika Book"/>
      <family val="2"/>
      <charset val="238"/>
      <scheme val="minor"/>
    </font>
    <font>
      <i/>
      <sz val="11"/>
      <color theme="1"/>
      <name val="Technika Book"/>
      <charset val="238"/>
      <scheme val="minor"/>
    </font>
    <font>
      <b/>
      <i/>
      <sz val="11"/>
      <color theme="1"/>
      <name val="Technika Book"/>
      <charset val="238"/>
      <scheme val="minor"/>
    </font>
    <font>
      <b/>
      <sz val="12"/>
      <color theme="0"/>
      <name val="Technika Book"/>
      <charset val="238"/>
      <scheme val="minor"/>
    </font>
    <font>
      <sz val="11"/>
      <color theme="1"/>
      <name val="Technika"/>
      <charset val="238"/>
      <scheme val="major"/>
    </font>
    <font>
      <b/>
      <sz val="11"/>
      <color theme="9"/>
      <name val="Technika Book"/>
      <charset val="238"/>
      <scheme val="minor"/>
    </font>
  </fonts>
  <fills count="6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rgb="FF000000"/>
      </patternFill>
    </fill>
    <fill>
      <patternFill patternType="solid">
        <fgColor theme="4"/>
        <bgColor rgb="FF000000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66CC"/>
        <bgColor indexed="64"/>
      </patternFill>
    </fill>
    <fill>
      <patternFill patternType="darkUp"/>
    </fill>
    <fill>
      <patternFill patternType="solid">
        <fgColor theme="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lightDown"/>
    </fill>
    <fill>
      <patternFill patternType="lightDown">
        <bgColor theme="7" tint="0.79998168889431442"/>
      </patternFill>
    </fill>
    <fill>
      <patternFill patternType="lightDown">
        <bgColor theme="8"/>
      </patternFill>
    </fill>
    <fill>
      <patternFill patternType="solid">
        <fgColor theme="6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3399"/>
        <bgColor indexed="64"/>
      </patternFill>
    </fill>
    <fill>
      <patternFill patternType="lightDown">
        <bgColor theme="7"/>
      </patternFill>
    </fill>
    <fill>
      <patternFill patternType="lightDown">
        <bgColor theme="5"/>
      </patternFill>
    </fill>
    <fill>
      <patternFill patternType="lightDown">
        <bgColor theme="2" tint="-0.499984740745262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lightUp">
        <bgColor theme="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lightUp">
        <bgColor theme="8"/>
      </patternFill>
    </fill>
    <fill>
      <patternFill patternType="lightUp">
        <bgColor theme="0" tint="-0.249977111117893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lightUp">
        <bgColor theme="0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18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indexed="64"/>
      </right>
      <top/>
      <bottom/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rgb="FF000000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indexed="64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indexed="64"/>
      </bottom>
      <diagonal/>
    </border>
    <border>
      <left style="medium">
        <color rgb="FF000000"/>
      </left>
      <right style="medium">
        <color indexed="64"/>
      </right>
      <top style="medium">
        <color rgb="FF000000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/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indexed="64"/>
      </right>
      <top style="thin">
        <color rgb="FF000000"/>
      </top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indexed="64"/>
      </right>
      <top style="medium">
        <color rgb="FF000000"/>
      </top>
      <bottom style="medium">
        <color rgb="FF000000"/>
      </bottom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theme="0"/>
      </top>
      <bottom/>
      <diagonal/>
    </border>
    <border>
      <left style="medium">
        <color theme="1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 style="medium">
        <color theme="0"/>
      </top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 style="medium">
        <color theme="1"/>
      </right>
      <top/>
      <bottom/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 style="medium">
        <color theme="1"/>
      </left>
      <right/>
      <top style="medium">
        <color theme="1"/>
      </top>
      <bottom style="medium">
        <color indexed="64"/>
      </bottom>
      <diagonal/>
    </border>
    <border>
      <left/>
      <right style="medium">
        <color theme="1"/>
      </right>
      <top style="medium">
        <color theme="1"/>
      </top>
      <bottom style="medium">
        <color indexed="64"/>
      </bottom>
      <diagonal/>
    </border>
    <border>
      <left style="medium">
        <color theme="1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theme="1"/>
      </right>
      <top style="medium">
        <color indexed="64"/>
      </top>
      <bottom/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medium">
        <color theme="1"/>
      </top>
      <bottom style="medium">
        <color indexed="64"/>
      </bottom>
      <diagonal/>
    </border>
    <border>
      <left style="thin">
        <color indexed="64"/>
      </left>
      <right style="medium">
        <color theme="1"/>
      </right>
      <top style="medium">
        <color theme="1"/>
      </top>
      <bottom style="medium">
        <color indexed="64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 style="medium">
        <color theme="1"/>
      </top>
      <bottom style="medium">
        <color theme="1"/>
      </bottom>
      <diagonal/>
    </border>
    <border>
      <left/>
      <right style="thin">
        <color indexed="64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medium">
        <color theme="1"/>
      </top>
      <bottom/>
      <diagonal/>
    </border>
    <border>
      <left style="thin">
        <color indexed="64"/>
      </left>
      <right style="medium">
        <color theme="1"/>
      </right>
      <top style="medium">
        <color theme="1"/>
      </top>
      <bottom/>
      <diagonal/>
    </border>
    <border>
      <left style="medium">
        <color indexed="64"/>
      </left>
      <right style="thin">
        <color indexed="64"/>
      </right>
      <top style="medium">
        <color theme="1"/>
      </top>
      <bottom style="medium">
        <color indexed="64"/>
      </bottom>
      <diagonal/>
    </border>
    <border>
      <left style="medium">
        <color theme="1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theme="1"/>
      </bottom>
      <diagonal/>
    </border>
    <border>
      <left/>
      <right style="thin">
        <color indexed="64"/>
      </right>
      <top style="medium">
        <color theme="1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theme="1"/>
      </bottom>
      <diagonal/>
    </border>
    <border>
      <left style="medium">
        <color indexed="64"/>
      </left>
      <right style="medium">
        <color indexed="64"/>
      </right>
      <top style="medium">
        <color theme="1"/>
      </top>
      <bottom/>
      <diagonal/>
    </border>
    <border>
      <left/>
      <right style="medium">
        <color indexed="64"/>
      </right>
      <top/>
      <bottom style="medium">
        <color theme="1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/>
      <diagonal/>
    </border>
  </borders>
  <cellStyleXfs count="5">
    <xf numFmtId="0" fontId="0" fillId="0" borderId="0"/>
    <xf numFmtId="9" fontId="6" fillId="0" borderId="0" applyFont="0" applyFill="0" applyBorder="0" applyAlignment="0" applyProtection="0"/>
    <xf numFmtId="0" fontId="15" fillId="0" borderId="0" applyNumberFormat="0" applyFill="0" applyBorder="0" applyAlignment="0" applyProtection="0"/>
    <xf numFmtId="43" fontId="6" fillId="0" borderId="0" applyFont="0" applyFill="0" applyBorder="0" applyAlignment="0" applyProtection="0"/>
    <xf numFmtId="164" fontId="6" fillId="0" borderId="0" applyFont="0" applyFill="0" applyBorder="0" applyAlignment="0" applyProtection="0"/>
  </cellStyleXfs>
  <cellXfs count="1751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/>
    <xf numFmtId="0" fontId="2" fillId="0" borderId="1" xfId="0" applyFont="1" applyBorder="1"/>
    <xf numFmtId="0" fontId="2" fillId="0" borderId="1" xfId="0" applyFont="1" applyBorder="1" applyAlignment="1">
      <alignment horizontal="center"/>
    </xf>
    <xf numFmtId="0" fontId="2" fillId="0" borderId="4" xfId="0" applyFont="1" applyBorder="1"/>
    <xf numFmtId="0" fontId="2" fillId="0" borderId="5" xfId="0" applyFont="1" applyBorder="1"/>
    <xf numFmtId="0" fontId="2" fillId="0" borderId="5" xfId="0" applyFont="1" applyBorder="1" applyAlignment="1">
      <alignment horizontal="center"/>
    </xf>
    <xf numFmtId="0" fontId="2" fillId="0" borderId="6" xfId="0" applyFont="1" applyBorder="1"/>
    <xf numFmtId="0" fontId="2" fillId="0" borderId="7" xfId="0" applyFont="1" applyBorder="1"/>
    <xf numFmtId="0" fontId="2" fillId="0" borderId="8" xfId="0" applyFont="1" applyBorder="1"/>
    <xf numFmtId="0" fontId="2" fillId="0" borderId="20" xfId="0" applyFont="1" applyBorder="1"/>
    <xf numFmtId="0" fontId="2" fillId="0" borderId="18" xfId="0" applyFont="1" applyBorder="1"/>
    <xf numFmtId="0" fontId="2" fillId="0" borderId="18" xfId="0" applyFont="1" applyBorder="1" applyAlignment="1">
      <alignment horizontal="center"/>
    </xf>
    <xf numFmtId="0" fontId="2" fillId="0" borderId="21" xfId="0" applyFont="1" applyBorder="1"/>
    <xf numFmtId="0" fontId="2" fillId="2" borderId="9" xfId="0" applyFont="1" applyFill="1" applyBorder="1"/>
    <xf numFmtId="0" fontId="3" fillId="2" borderId="10" xfId="0" applyFont="1" applyFill="1" applyBorder="1"/>
    <xf numFmtId="0" fontId="3" fillId="2" borderId="10" xfId="0" applyFont="1" applyFill="1" applyBorder="1" applyAlignment="1">
      <alignment horizontal="center"/>
    </xf>
    <xf numFmtId="0" fontId="2" fillId="2" borderId="11" xfId="0" applyFont="1" applyFill="1" applyBorder="1"/>
    <xf numFmtId="0" fontId="2" fillId="3" borderId="9" xfId="0" applyFont="1" applyFill="1" applyBorder="1"/>
    <xf numFmtId="0" fontId="3" fillId="3" borderId="10" xfId="0" applyFont="1" applyFill="1" applyBorder="1"/>
    <xf numFmtId="0" fontId="3" fillId="3" borderId="10" xfId="0" applyFont="1" applyFill="1" applyBorder="1" applyAlignment="1">
      <alignment horizontal="center"/>
    </xf>
    <xf numFmtId="0" fontId="2" fillId="3" borderId="11" xfId="0" applyFont="1" applyFill="1" applyBorder="1"/>
    <xf numFmtId="0" fontId="2" fillId="0" borderId="0" xfId="0" applyFont="1" applyFill="1" applyBorder="1"/>
    <xf numFmtId="0" fontId="2" fillId="0" borderId="8" xfId="0" applyFont="1" applyBorder="1" applyAlignment="1">
      <alignment wrapText="1"/>
    </xf>
    <xf numFmtId="0" fontId="2" fillId="0" borderId="32" xfId="0" applyFont="1" applyFill="1" applyBorder="1"/>
    <xf numFmtId="0" fontId="2" fillId="0" borderId="33" xfId="0" applyFont="1" applyFill="1" applyBorder="1"/>
    <xf numFmtId="0" fontId="2" fillId="0" borderId="34" xfId="0" applyFont="1" applyFill="1" applyBorder="1"/>
    <xf numFmtId="0" fontId="0" fillId="0" borderId="29" xfId="0" applyBorder="1"/>
    <xf numFmtId="0" fontId="0" fillId="0" borderId="30" xfId="0" applyBorder="1"/>
    <xf numFmtId="0" fontId="0" fillId="0" borderId="31" xfId="0" applyBorder="1"/>
    <xf numFmtId="0" fontId="2" fillId="5" borderId="9" xfId="0" applyFont="1" applyFill="1" applyBorder="1"/>
    <xf numFmtId="0" fontId="3" fillId="5" borderId="10" xfId="0" applyFont="1" applyFill="1" applyBorder="1"/>
    <xf numFmtId="0" fontId="3" fillId="5" borderId="10" xfId="0" applyFont="1" applyFill="1" applyBorder="1" applyAlignment="1">
      <alignment horizontal="center"/>
    </xf>
    <xf numFmtId="0" fontId="2" fillId="5" borderId="11" xfId="0" applyFont="1" applyFill="1" applyBorder="1"/>
    <xf numFmtId="0" fontId="0" fillId="0" borderId="0" xfId="0" applyBorder="1" applyAlignment="1">
      <alignment wrapText="1"/>
    </xf>
    <xf numFmtId="0" fontId="1" fillId="0" borderId="0" xfId="0" applyFont="1" applyFill="1" applyBorder="1" applyAlignment="1">
      <alignment horizontal="center" vertical="center"/>
    </xf>
    <xf numFmtId="0" fontId="0" fillId="0" borderId="0" xfId="0" applyFill="1" applyBorder="1"/>
    <xf numFmtId="0" fontId="2" fillId="4" borderId="43" xfId="0" applyFont="1" applyFill="1" applyBorder="1"/>
    <xf numFmtId="0" fontId="2" fillId="4" borderId="12" xfId="0" applyFont="1" applyFill="1" applyBorder="1"/>
    <xf numFmtId="0" fontId="3" fillId="4" borderId="3" xfId="0" applyFont="1" applyFill="1" applyBorder="1"/>
    <xf numFmtId="0" fontId="3" fillId="4" borderId="3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left"/>
    </xf>
    <xf numFmtId="0" fontId="4" fillId="0" borderId="0" xfId="0" applyFont="1" applyFill="1" applyBorder="1"/>
    <xf numFmtId="0" fontId="0" fillId="0" borderId="0" xfId="0" applyFill="1"/>
    <xf numFmtId="0" fontId="4" fillId="0" borderId="0" xfId="0" applyFont="1" applyFill="1" applyBorder="1" applyAlignment="1"/>
    <xf numFmtId="0" fontId="4" fillId="0" borderId="36" xfId="0" applyFont="1" applyFill="1" applyBorder="1" applyAlignment="1">
      <alignment horizontal="left"/>
    </xf>
    <xf numFmtId="0" fontId="4" fillId="0" borderId="36" xfId="0" applyFont="1" applyFill="1" applyBorder="1" applyAlignment="1"/>
    <xf numFmtId="0" fontId="5" fillId="0" borderId="0" xfId="0" applyFont="1" applyFill="1" applyBorder="1" applyAlignment="1"/>
    <xf numFmtId="0" fontId="1" fillId="0" borderId="0" xfId="0" applyFont="1" applyFill="1" applyBorder="1" applyAlignment="1">
      <alignment vertical="center"/>
    </xf>
    <xf numFmtId="0" fontId="2" fillId="0" borderId="26" xfId="0" applyFont="1" applyBorder="1"/>
    <xf numFmtId="0" fontId="2" fillId="0" borderId="22" xfId="0" applyFont="1" applyBorder="1"/>
    <xf numFmtId="0" fontId="0" fillId="0" borderId="1" xfId="0" applyBorder="1"/>
    <xf numFmtId="165" fontId="2" fillId="0" borderId="22" xfId="1" applyNumberFormat="1" applyFont="1" applyBorder="1"/>
    <xf numFmtId="0" fontId="0" fillId="0" borderId="0" xfId="0" applyBorder="1"/>
    <xf numFmtId="0" fontId="0" fillId="0" borderId="0" xfId="0"/>
    <xf numFmtId="0" fontId="9" fillId="0" borderId="47" xfId="0" applyFont="1" applyFill="1" applyBorder="1" applyAlignment="1"/>
    <xf numFmtId="0" fontId="9" fillId="0" borderId="48" xfId="0" applyFont="1" applyFill="1" applyBorder="1" applyAlignment="1"/>
    <xf numFmtId="0" fontId="9" fillId="0" borderId="8" xfId="0" applyFont="1" applyFill="1" applyBorder="1" applyAlignment="1"/>
    <xf numFmtId="0" fontId="9" fillId="0" borderId="21" xfId="0" applyFont="1" applyFill="1" applyBorder="1" applyAlignment="1"/>
    <xf numFmtId="0" fontId="9" fillId="0" borderId="25" xfId="0" applyFont="1" applyFill="1" applyBorder="1" applyAlignment="1"/>
    <xf numFmtId="1" fontId="9" fillId="0" borderId="53" xfId="0" applyNumberFormat="1" applyFont="1" applyFill="1" applyBorder="1" applyAlignment="1"/>
    <xf numFmtId="0" fontId="9" fillId="0" borderId="53" xfId="0" applyFont="1" applyFill="1" applyBorder="1" applyAlignment="1"/>
    <xf numFmtId="0" fontId="9" fillId="0" borderId="54" xfId="0" applyFont="1" applyFill="1" applyBorder="1" applyAlignment="1"/>
    <xf numFmtId="0" fontId="9" fillId="0" borderId="55" xfId="0" applyFont="1" applyFill="1" applyBorder="1" applyAlignment="1"/>
    <xf numFmtId="1" fontId="9" fillId="0" borderId="55" xfId="0" applyNumberFormat="1" applyFont="1" applyFill="1" applyBorder="1" applyAlignment="1"/>
    <xf numFmtId="0" fontId="9" fillId="0" borderId="56" xfId="0" applyFont="1" applyFill="1" applyBorder="1" applyAlignment="1"/>
    <xf numFmtId="0" fontId="9" fillId="0" borderId="57" xfId="0" applyFont="1" applyFill="1" applyBorder="1" applyAlignment="1"/>
    <xf numFmtId="0" fontId="9" fillId="0" borderId="58" xfId="0" applyFont="1" applyFill="1" applyBorder="1" applyAlignment="1"/>
    <xf numFmtId="0" fontId="9" fillId="0" borderId="59" xfId="0" applyFont="1" applyFill="1" applyBorder="1" applyAlignment="1"/>
    <xf numFmtId="0" fontId="9" fillId="0" borderId="60" xfId="0" applyFont="1" applyFill="1" applyBorder="1" applyAlignment="1"/>
    <xf numFmtId="1" fontId="9" fillId="0" borderId="60" xfId="0" applyNumberFormat="1" applyFont="1" applyFill="1" applyBorder="1" applyAlignment="1"/>
    <xf numFmtId="0" fontId="9" fillId="0" borderId="61" xfId="0" applyFont="1" applyFill="1" applyBorder="1" applyAlignment="1"/>
    <xf numFmtId="1" fontId="0" fillId="0" borderId="0" xfId="0" applyNumberFormat="1"/>
    <xf numFmtId="0" fontId="0" fillId="0" borderId="27" xfId="0" applyBorder="1" applyAlignment="1">
      <alignment horizontal="right"/>
    </xf>
    <xf numFmtId="0" fontId="9" fillId="0" borderId="27" xfId="0" applyFont="1" applyFill="1" applyBorder="1" applyAlignment="1">
      <alignment horizontal="right"/>
    </xf>
    <xf numFmtId="1" fontId="0" fillId="0" borderId="27" xfId="0" applyNumberFormat="1" applyBorder="1" applyAlignment="1">
      <alignment horizontal="right"/>
    </xf>
    <xf numFmtId="1" fontId="4" fillId="6" borderId="22" xfId="0" applyNumberFormat="1" applyFont="1" applyFill="1" applyBorder="1" applyAlignment="1">
      <alignment horizontal="right"/>
    </xf>
    <xf numFmtId="0" fontId="9" fillId="0" borderId="53" xfId="0" applyFont="1" applyFill="1" applyBorder="1" applyAlignment="1">
      <alignment horizontal="right"/>
    </xf>
    <xf numFmtId="0" fontId="0" fillId="0" borderId="1" xfId="0" applyBorder="1" applyAlignment="1">
      <alignment vertical="center"/>
    </xf>
    <xf numFmtId="1" fontId="0" fillId="0" borderId="26" xfId="0" applyNumberFormat="1" applyBorder="1" applyAlignment="1">
      <alignment horizontal="right"/>
    </xf>
    <xf numFmtId="1" fontId="0" fillId="0" borderId="27" xfId="0" applyNumberFormat="1" applyBorder="1"/>
    <xf numFmtId="1" fontId="0" fillId="0" borderId="39" xfId="0" applyNumberFormat="1" applyBorder="1"/>
    <xf numFmtId="0" fontId="0" fillId="0" borderId="1" xfId="0" applyBorder="1" applyAlignment="1">
      <alignment horizontal="center"/>
    </xf>
    <xf numFmtId="0" fontId="0" fillId="7" borderId="3" xfId="0" applyFill="1" applyBorder="1" applyAlignment="1">
      <alignment horizontal="center" vertical="center"/>
    </xf>
    <xf numFmtId="166" fontId="0" fillId="0" borderId="1" xfId="0" applyNumberFormat="1" applyBorder="1"/>
    <xf numFmtId="1" fontId="0" fillId="0" borderId="0" xfId="0" applyNumberFormat="1" applyAlignment="1">
      <alignment horizontal="right"/>
    </xf>
    <xf numFmtId="1" fontId="4" fillId="9" borderId="28" xfId="0" applyNumberFormat="1" applyFont="1" applyFill="1" applyBorder="1" applyAlignment="1">
      <alignment horizontal="right"/>
    </xf>
    <xf numFmtId="1" fontId="0" fillId="0" borderId="53" xfId="0" applyNumberFormat="1" applyBorder="1"/>
    <xf numFmtId="0" fontId="9" fillId="0" borderId="62" xfId="0" applyFont="1" applyFill="1" applyBorder="1" applyAlignment="1"/>
    <xf numFmtId="0" fontId="0" fillId="0" borderId="3" xfId="0" applyBorder="1"/>
    <xf numFmtId="0" fontId="0" fillId="7" borderId="17" xfId="0" applyFill="1" applyBorder="1" applyAlignment="1">
      <alignment horizontal="center" vertical="center"/>
    </xf>
    <xf numFmtId="1" fontId="0" fillId="0" borderId="26" xfId="0" applyNumberFormat="1" applyBorder="1" applyAlignment="1"/>
    <xf numFmtId="1" fontId="0" fillId="0" borderId="27" xfId="0" applyNumberFormat="1" applyBorder="1" applyAlignment="1"/>
    <xf numFmtId="1" fontId="4" fillId="6" borderId="22" xfId="0" applyNumberFormat="1" applyFont="1" applyFill="1" applyBorder="1" applyAlignment="1"/>
    <xf numFmtId="1" fontId="4" fillId="9" borderId="28" xfId="0" applyNumberFormat="1" applyFont="1" applyFill="1" applyBorder="1" applyAlignment="1"/>
    <xf numFmtId="0" fontId="0" fillId="0" borderId="0" xfId="0" applyFill="1" applyAlignment="1"/>
    <xf numFmtId="0" fontId="11" fillId="0" borderId="63" xfId="0" applyFont="1" applyBorder="1"/>
    <xf numFmtId="0" fontId="5" fillId="16" borderId="63" xfId="0" applyFont="1" applyFill="1" applyBorder="1"/>
    <xf numFmtId="0" fontId="5" fillId="16" borderId="64" xfId="0" applyFont="1" applyFill="1" applyBorder="1"/>
    <xf numFmtId="0" fontId="4" fillId="15" borderId="65" xfId="0" applyFont="1" applyFill="1" applyBorder="1"/>
    <xf numFmtId="0" fontId="5" fillId="16" borderId="70" xfId="0" applyFont="1" applyFill="1" applyBorder="1"/>
    <xf numFmtId="0" fontId="4" fillId="15" borderId="71" xfId="0" applyFont="1" applyFill="1" applyBorder="1"/>
    <xf numFmtId="0" fontId="0" fillId="7" borderId="17" xfId="0" applyFill="1" applyBorder="1" applyAlignment="1">
      <alignment horizontal="center" vertical="center" wrapText="1"/>
    </xf>
    <xf numFmtId="0" fontId="0" fillId="0" borderId="1" xfId="0" quotePrefix="1" applyBorder="1"/>
    <xf numFmtId="0" fontId="1" fillId="8" borderId="3" xfId="0" applyFont="1" applyFill="1" applyBorder="1" applyAlignment="1">
      <alignment horizontal="center" vertical="center"/>
    </xf>
    <xf numFmtId="0" fontId="1" fillId="8" borderId="13" xfId="0" applyFont="1" applyFill="1" applyBorder="1" applyAlignment="1">
      <alignment horizontal="center" vertical="center"/>
    </xf>
    <xf numFmtId="0" fontId="15" fillId="6" borderId="0" xfId="2" applyFill="1" applyAlignment="1">
      <alignment horizontal="center" vertical="center"/>
    </xf>
    <xf numFmtId="0" fontId="8" fillId="18" borderId="26" xfId="0" applyFont="1" applyFill="1" applyBorder="1" applyAlignment="1">
      <alignment horizontal="center" vertical="center" wrapText="1"/>
    </xf>
    <xf numFmtId="0" fontId="8" fillId="18" borderId="37" xfId="0" applyFont="1" applyFill="1" applyBorder="1" applyAlignment="1">
      <alignment horizontal="center" vertical="center" wrapText="1"/>
    </xf>
    <xf numFmtId="0" fontId="8" fillId="18" borderId="26" xfId="0" applyFont="1" applyFill="1" applyBorder="1" applyAlignment="1">
      <alignment horizontal="center"/>
    </xf>
    <xf numFmtId="0" fontId="1" fillId="8" borderId="22" xfId="0" applyFont="1" applyFill="1" applyBorder="1" applyAlignment="1">
      <alignment horizontal="center"/>
    </xf>
    <xf numFmtId="0" fontId="14" fillId="17" borderId="35" xfId="0" applyFont="1" applyFill="1" applyBorder="1" applyAlignment="1">
      <alignment horizontal="center" vertical="center"/>
    </xf>
    <xf numFmtId="0" fontId="14" fillId="17" borderId="44" xfId="0" applyFont="1" applyFill="1" applyBorder="1" applyAlignment="1">
      <alignment horizontal="center" vertical="center"/>
    </xf>
    <xf numFmtId="0" fontId="14" fillId="17" borderId="44" xfId="0" applyFont="1" applyFill="1" applyBorder="1" applyAlignment="1">
      <alignment horizontal="center" vertical="center" wrapText="1"/>
    </xf>
    <xf numFmtId="0" fontId="14" fillId="17" borderId="22" xfId="0" applyFont="1" applyFill="1" applyBorder="1" applyAlignment="1">
      <alignment horizontal="center" vertical="center" wrapText="1"/>
    </xf>
    <xf numFmtId="0" fontId="13" fillId="17" borderId="14" xfId="0" applyFont="1" applyFill="1" applyBorder="1" applyAlignment="1">
      <alignment horizontal="center" vertical="center"/>
    </xf>
    <xf numFmtId="0" fontId="13" fillId="17" borderId="15" xfId="0" applyFont="1" applyFill="1" applyBorder="1" applyAlignment="1">
      <alignment horizontal="center" vertical="center"/>
    </xf>
    <xf numFmtId="0" fontId="13" fillId="17" borderId="16" xfId="0" applyFont="1" applyFill="1" applyBorder="1" applyAlignment="1">
      <alignment horizontal="center" vertical="center"/>
    </xf>
    <xf numFmtId="0" fontId="16" fillId="19" borderId="1" xfId="0" applyFont="1" applyFill="1" applyBorder="1" applyAlignment="1"/>
    <xf numFmtId="0" fontId="16" fillId="19" borderId="18" xfId="0" applyFont="1" applyFill="1" applyBorder="1" applyAlignment="1"/>
    <xf numFmtId="0" fontId="16" fillId="19" borderId="19" xfId="0" applyFont="1" applyFill="1" applyBorder="1" applyAlignment="1"/>
    <xf numFmtId="0" fontId="17" fillId="6" borderId="0" xfId="2" applyFont="1" applyFill="1" applyAlignment="1">
      <alignment horizontal="center" vertical="center"/>
    </xf>
    <xf numFmtId="0" fontId="0" fillId="0" borderId="0" xfId="0" applyAlignment="1">
      <alignment horizontal="left" indent="2"/>
    </xf>
    <xf numFmtId="167" fontId="18" fillId="0" borderId="1" xfId="0" applyNumberFormat="1" applyFont="1" applyBorder="1"/>
    <xf numFmtId="0" fontId="0" fillId="25" borderId="7" xfId="0" applyFill="1" applyBorder="1" applyAlignment="1">
      <alignment horizontal="center" vertical="center" wrapText="1"/>
    </xf>
    <xf numFmtId="0" fontId="0" fillId="25" borderId="8" xfId="0" applyFill="1" applyBorder="1" applyAlignment="1">
      <alignment horizontal="center" vertical="center" wrapText="1"/>
    </xf>
    <xf numFmtId="0" fontId="0" fillId="7" borderId="23" xfId="0" applyFill="1" applyBorder="1" applyAlignment="1">
      <alignment horizontal="center" vertical="center"/>
    </xf>
    <xf numFmtId="0" fontId="0" fillId="7" borderId="24" xfId="0" applyFill="1" applyBorder="1" applyAlignment="1">
      <alignment horizontal="center" vertical="center" wrapText="1"/>
    </xf>
    <xf numFmtId="0" fontId="0" fillId="0" borderId="7" xfId="0" applyBorder="1"/>
    <xf numFmtId="166" fontId="0" fillId="0" borderId="8" xfId="0" applyNumberFormat="1" applyBorder="1"/>
    <xf numFmtId="0" fontId="0" fillId="0" borderId="9" xfId="0" applyBorder="1"/>
    <xf numFmtId="0" fontId="0" fillId="0" borderId="10" xfId="0" applyBorder="1"/>
    <xf numFmtId="0" fontId="0" fillId="0" borderId="10" xfId="0" quotePrefix="1" applyBorder="1"/>
    <xf numFmtId="166" fontId="0" fillId="0" borderId="10" xfId="0" applyNumberFormat="1" applyBorder="1"/>
    <xf numFmtId="0" fontId="0" fillId="7" borderId="23" xfId="0" applyFill="1" applyBorder="1" applyAlignment="1">
      <alignment horizontal="center" vertical="center" wrapText="1"/>
    </xf>
    <xf numFmtId="0" fontId="0" fillId="7" borderId="24" xfId="0" applyFill="1" applyBorder="1" applyAlignment="1">
      <alignment horizontal="center" vertical="center"/>
    </xf>
    <xf numFmtId="0" fontId="0" fillId="0" borderId="11" xfId="0" applyBorder="1"/>
    <xf numFmtId="167" fontId="0" fillId="28" borderId="1" xfId="0" applyNumberFormat="1" applyFill="1" applyBorder="1"/>
    <xf numFmtId="166" fontId="0" fillId="0" borderId="0" xfId="0" applyNumberFormat="1"/>
    <xf numFmtId="1" fontId="4" fillId="6" borderId="46" xfId="0" applyNumberFormat="1" applyFont="1" applyFill="1" applyBorder="1"/>
    <xf numFmtId="0" fontId="20" fillId="0" borderId="0" xfId="0" applyFont="1" applyFill="1" applyBorder="1" applyAlignment="1">
      <alignment vertical="center"/>
    </xf>
    <xf numFmtId="0" fontId="22" fillId="6" borderId="0" xfId="2" applyFont="1" applyFill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quotePrefix="1" applyBorder="1" applyAlignment="1">
      <alignment horizontal="left" vertical="top" wrapText="1"/>
    </xf>
    <xf numFmtId="0" fontId="4" fillId="0" borderId="1" xfId="0" applyFont="1" applyBorder="1" applyAlignment="1">
      <alignment horizontal="center" vertical="center" wrapText="1"/>
    </xf>
    <xf numFmtId="0" fontId="0" fillId="0" borderId="38" xfId="0" applyBorder="1"/>
    <xf numFmtId="0" fontId="4" fillId="0" borderId="17" xfId="0" applyFon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7" xfId="0" quotePrefix="1" applyBorder="1" applyAlignment="1">
      <alignment horizontal="left" vertical="top" wrapText="1"/>
    </xf>
    <xf numFmtId="0" fontId="0" fillId="0" borderId="24" xfId="0" quotePrefix="1" applyBorder="1" applyAlignment="1">
      <alignment horizontal="left" vertical="top" wrapText="1"/>
    </xf>
    <xf numFmtId="0" fontId="4" fillId="0" borderId="17" xfId="0" applyFont="1" applyBorder="1" applyAlignment="1">
      <alignment horizontal="center" vertical="center" wrapText="1"/>
    </xf>
    <xf numFmtId="0" fontId="0" fillId="8" borderId="44" xfId="0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 wrapText="1"/>
    </xf>
    <xf numFmtId="0" fontId="0" fillId="0" borderId="1" xfId="0" quotePrefix="1" applyBorder="1" applyAlignment="1">
      <alignment horizontal="center" vertical="center"/>
    </xf>
    <xf numFmtId="0" fontId="0" fillId="7" borderId="44" xfId="0" applyFill="1" applyBorder="1"/>
    <xf numFmtId="0" fontId="0" fillId="7" borderId="45" xfId="0" applyFill="1" applyBorder="1"/>
    <xf numFmtId="0" fontId="0" fillId="7" borderId="46" xfId="0" applyFill="1" applyBorder="1"/>
    <xf numFmtId="0" fontId="0" fillId="0" borderId="40" xfId="0" applyBorder="1"/>
    <xf numFmtId="0" fontId="4" fillId="0" borderId="10" xfId="0" applyFont="1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0" borderId="10" xfId="0" quotePrefix="1" applyBorder="1" applyAlignment="1">
      <alignment horizontal="left" vertical="top" wrapText="1"/>
    </xf>
    <xf numFmtId="0" fontId="0" fillId="0" borderId="0" xfId="0" applyBorder="1" applyAlignment="1">
      <alignment horizontal="right" vertical="center"/>
    </xf>
    <xf numFmtId="0" fontId="25" fillId="0" borderId="0" xfId="0" applyFont="1" applyFill="1"/>
    <xf numFmtId="0" fontId="25" fillId="0" borderId="0" xfId="0" applyFont="1" applyFill="1" applyBorder="1"/>
    <xf numFmtId="0" fontId="25" fillId="0" borderId="0" xfId="0" applyFont="1" applyFill="1" applyBorder="1" applyAlignment="1">
      <alignment horizontal="center" vertical="center"/>
    </xf>
    <xf numFmtId="0" fontId="26" fillId="0" borderId="0" xfId="0" applyFont="1" applyFill="1" applyBorder="1" applyAlignment="1">
      <alignment horizontal="center" vertical="center"/>
    </xf>
    <xf numFmtId="0" fontId="27" fillId="0" borderId="0" xfId="0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center" vertical="center" wrapText="1"/>
    </xf>
    <xf numFmtId="0" fontId="25" fillId="0" borderId="0" xfId="0" quotePrefix="1" applyFont="1" applyFill="1" applyBorder="1" applyAlignment="1">
      <alignment horizontal="left" vertical="top" wrapText="1"/>
    </xf>
    <xf numFmtId="0" fontId="25" fillId="0" borderId="0" xfId="0" applyFont="1" applyFill="1" applyBorder="1" applyAlignment="1">
      <alignment horizontal="left" vertical="top" wrapText="1"/>
    </xf>
    <xf numFmtId="0" fontId="27" fillId="0" borderId="0" xfId="0" applyFont="1" applyFill="1" applyBorder="1" applyAlignment="1">
      <alignment horizontal="center" vertical="center" wrapText="1"/>
    </xf>
    <xf numFmtId="0" fontId="9" fillId="0" borderId="74" xfId="0" applyFont="1" applyFill="1" applyBorder="1" applyAlignment="1"/>
    <xf numFmtId="0" fontId="9" fillId="0" borderId="75" xfId="0" applyFont="1" applyFill="1" applyBorder="1" applyAlignment="1"/>
    <xf numFmtId="0" fontId="9" fillId="0" borderId="76" xfId="0" applyFont="1" applyFill="1" applyBorder="1" applyAlignment="1"/>
    <xf numFmtId="0" fontId="9" fillId="0" borderId="77" xfId="0" applyFont="1" applyFill="1" applyBorder="1" applyAlignment="1"/>
    <xf numFmtId="0" fontId="9" fillId="0" borderId="78" xfId="0" applyFont="1" applyFill="1" applyBorder="1" applyAlignment="1"/>
    <xf numFmtId="0" fontId="9" fillId="0" borderId="79" xfId="0" applyFont="1" applyFill="1" applyBorder="1" applyAlignment="1"/>
    <xf numFmtId="1" fontId="4" fillId="6" borderId="80" xfId="0" applyNumberFormat="1" applyFont="1" applyFill="1" applyBorder="1"/>
    <xf numFmtId="0" fontId="28" fillId="8" borderId="15" xfId="0" applyFont="1" applyFill="1" applyBorder="1" applyAlignment="1">
      <alignment horizontal="center" vertical="center"/>
    </xf>
    <xf numFmtId="0" fontId="0" fillId="0" borderId="10" xfId="0" quotePrefix="1" applyBorder="1" applyAlignment="1">
      <alignment horizontal="center" vertical="center" wrapText="1"/>
    </xf>
    <xf numFmtId="0" fontId="28" fillId="8" borderId="16" xfId="0" applyFont="1" applyFill="1" applyBorder="1" applyAlignment="1">
      <alignment horizontal="center" vertical="center"/>
    </xf>
    <xf numFmtId="0" fontId="23" fillId="8" borderId="14" xfId="0" applyFont="1" applyFill="1" applyBorder="1" applyAlignment="1">
      <alignment horizontal="center" vertical="center"/>
    </xf>
    <xf numFmtId="0" fontId="4" fillId="16" borderId="53" xfId="0" applyFont="1" applyFill="1" applyBorder="1"/>
    <xf numFmtId="0" fontId="4" fillId="15" borderId="82" xfId="0" applyFont="1" applyFill="1" applyBorder="1"/>
    <xf numFmtId="0" fontId="5" fillId="7" borderId="17" xfId="0" applyFont="1" applyFill="1" applyBorder="1" applyAlignment="1">
      <alignment horizontal="center" vertical="center"/>
    </xf>
    <xf numFmtId="0" fontId="5" fillId="7" borderId="23" xfId="0" applyFont="1" applyFill="1" applyBorder="1" applyAlignment="1">
      <alignment horizontal="center" vertical="center"/>
    </xf>
    <xf numFmtId="0" fontId="5" fillId="7" borderId="24" xfId="0" applyFont="1" applyFill="1" applyBorder="1" applyAlignment="1">
      <alignment horizontal="center" vertical="center"/>
    </xf>
    <xf numFmtId="0" fontId="29" fillId="0" borderId="4" xfId="0" applyFont="1" applyBorder="1" applyAlignment="1">
      <alignment horizontal="justify" vertical="center" wrapText="1"/>
    </xf>
    <xf numFmtId="0" fontId="29" fillId="0" borderId="5" xfId="0" applyFont="1" applyBorder="1" applyAlignment="1">
      <alignment horizontal="justify" vertical="center" wrapText="1"/>
    </xf>
    <xf numFmtId="0" fontId="29" fillId="0" borderId="6" xfId="0" applyFont="1" applyBorder="1" applyAlignment="1">
      <alignment horizontal="justify" vertical="center" wrapText="1"/>
    </xf>
    <xf numFmtId="0" fontId="29" fillId="0" borderId="7" xfId="0" applyFont="1" applyBorder="1" applyAlignment="1">
      <alignment horizontal="justify" vertical="center" wrapText="1"/>
    </xf>
    <xf numFmtId="0" fontId="29" fillId="0" borderId="1" xfId="0" applyFont="1" applyBorder="1" applyAlignment="1">
      <alignment horizontal="justify" vertical="center" wrapText="1"/>
    </xf>
    <xf numFmtId="0" fontId="29" fillId="0" borderId="8" xfId="0" applyFont="1" applyBorder="1" applyAlignment="1">
      <alignment horizontal="justify" vertical="center" wrapText="1"/>
    </xf>
    <xf numFmtId="0" fontId="29" fillId="0" borderId="9" xfId="0" applyFont="1" applyBorder="1" applyAlignment="1">
      <alignment horizontal="justify" vertical="center" wrapText="1"/>
    </xf>
    <xf numFmtId="0" fontId="29" fillId="0" borderId="10" xfId="0" applyFont="1" applyBorder="1" applyAlignment="1">
      <alignment horizontal="justify" vertical="center" wrapText="1"/>
    </xf>
    <xf numFmtId="0" fontId="29" fillId="0" borderId="11" xfId="0" applyFont="1" applyBorder="1" applyAlignment="1">
      <alignment horizontal="justify" vertical="center" wrapText="1"/>
    </xf>
    <xf numFmtId="0" fontId="30" fillId="0" borderId="0" xfId="0" applyFont="1"/>
    <xf numFmtId="0" fontId="30" fillId="13" borderId="41" xfId="0" applyFont="1" applyFill="1" applyBorder="1" applyAlignment="1">
      <alignment vertical="center"/>
    </xf>
    <xf numFmtId="9" fontId="0" fillId="0" borderId="0" xfId="1" applyFont="1"/>
    <xf numFmtId="0" fontId="33" fillId="13" borderId="36" xfId="0" applyFont="1" applyFill="1" applyBorder="1" applyAlignment="1">
      <alignment horizontal="left"/>
    </xf>
    <xf numFmtId="168" fontId="0" fillId="0" borderId="0" xfId="0" applyNumberFormat="1"/>
    <xf numFmtId="3" fontId="4" fillId="16" borderId="66" xfId="0" applyNumberFormat="1" applyFont="1" applyFill="1" applyBorder="1"/>
    <xf numFmtId="3" fontId="0" fillId="0" borderId="67" xfId="0" applyNumberFormat="1" applyBorder="1"/>
    <xf numFmtId="3" fontId="4" fillId="16" borderId="67" xfId="0" applyNumberFormat="1" applyFont="1" applyFill="1" applyBorder="1"/>
    <xf numFmtId="3" fontId="4" fillId="16" borderId="68" xfId="0" applyNumberFormat="1" applyFont="1" applyFill="1" applyBorder="1"/>
    <xf numFmtId="3" fontId="4" fillId="15" borderId="69" xfId="0" applyNumberFormat="1" applyFont="1" applyFill="1" applyBorder="1"/>
    <xf numFmtId="167" fontId="18" fillId="0" borderId="18" xfId="0" applyNumberFormat="1" applyFont="1" applyBorder="1"/>
    <xf numFmtId="0" fontId="0" fillId="20" borderId="10" xfId="0" applyFill="1" applyBorder="1" applyAlignment="1">
      <alignment horizontal="center"/>
    </xf>
    <xf numFmtId="0" fontId="0" fillId="21" borderId="10" xfId="0" applyFill="1" applyBorder="1" applyAlignment="1">
      <alignment horizontal="center"/>
    </xf>
    <xf numFmtId="0" fontId="0" fillId="21" borderId="11" xfId="0" applyFill="1" applyBorder="1" applyAlignment="1">
      <alignment horizontal="center"/>
    </xf>
    <xf numFmtId="0" fontId="0" fillId="20" borderId="89" xfId="0" applyFill="1" applyBorder="1" applyAlignment="1">
      <alignment horizontal="center"/>
    </xf>
    <xf numFmtId="167" fontId="18" fillId="0" borderId="19" xfId="0" applyNumberFormat="1" applyFont="1" applyBorder="1"/>
    <xf numFmtId="167" fontId="18" fillId="0" borderId="2" xfId="0" applyNumberFormat="1" applyFont="1" applyBorder="1"/>
    <xf numFmtId="0" fontId="0" fillId="21" borderId="91" xfId="0" applyFill="1" applyBorder="1" applyAlignment="1">
      <alignment horizontal="center"/>
    </xf>
    <xf numFmtId="167" fontId="18" fillId="0" borderId="48" xfId="0" applyNumberFormat="1" applyFont="1" applyBorder="1"/>
    <xf numFmtId="167" fontId="18" fillId="0" borderId="47" xfId="0" applyNumberFormat="1" applyFont="1" applyBorder="1"/>
    <xf numFmtId="0" fontId="0" fillId="32" borderId="26" xfId="0" applyFill="1" applyBorder="1"/>
    <xf numFmtId="0" fontId="0" fillId="32" borderId="27" xfId="0" applyFill="1" applyBorder="1"/>
    <xf numFmtId="167" fontId="0" fillId="0" borderId="10" xfId="0" applyNumberFormat="1" applyBorder="1"/>
    <xf numFmtId="167" fontId="18" fillId="0" borderId="3" xfId="0" applyNumberFormat="1" applyFont="1" applyBorder="1"/>
    <xf numFmtId="167" fontId="18" fillId="0" borderId="13" xfId="0" applyNumberFormat="1" applyFont="1" applyBorder="1"/>
    <xf numFmtId="167" fontId="19" fillId="17" borderId="15" xfId="0" applyNumberFormat="1" applyFont="1" applyFill="1" applyBorder="1"/>
    <xf numFmtId="167" fontId="19" fillId="17" borderId="16" xfId="0" applyNumberFormat="1" applyFont="1" applyFill="1" applyBorder="1"/>
    <xf numFmtId="167" fontId="18" fillId="0" borderId="92" xfId="0" applyNumberFormat="1" applyFont="1" applyBorder="1"/>
    <xf numFmtId="0" fontId="0" fillId="29" borderId="48" xfId="0" applyFill="1" applyBorder="1"/>
    <xf numFmtId="0" fontId="0" fillId="29" borderId="18" xfId="0" applyFill="1" applyBorder="1"/>
    <xf numFmtId="167" fontId="19" fillId="17" borderId="14" xfId="0" applyNumberFormat="1" applyFont="1" applyFill="1" applyBorder="1"/>
    <xf numFmtId="0" fontId="0" fillId="32" borderId="39" xfId="0" applyFill="1" applyBorder="1"/>
    <xf numFmtId="0" fontId="0" fillId="27" borderId="18" xfId="0" applyFill="1" applyBorder="1"/>
    <xf numFmtId="167" fontId="0" fillId="30" borderId="92" xfId="0" applyNumberFormat="1" applyFill="1" applyBorder="1"/>
    <xf numFmtId="167" fontId="0" fillId="30" borderId="3" xfId="0" applyNumberFormat="1" applyFill="1" applyBorder="1"/>
    <xf numFmtId="0" fontId="37" fillId="8" borderId="44" xfId="0" applyFont="1" applyFill="1" applyBorder="1" applyAlignment="1">
      <alignment horizontal="center" wrapText="1"/>
    </xf>
    <xf numFmtId="166" fontId="37" fillId="8" borderId="94" xfId="0" applyNumberFormat="1" applyFont="1" applyFill="1" applyBorder="1" applyAlignment="1">
      <alignment horizontal="center" vertical="center"/>
    </xf>
    <xf numFmtId="167" fontId="18" fillId="0" borderId="21" xfId="0" applyNumberFormat="1" applyFont="1" applyBorder="1"/>
    <xf numFmtId="167" fontId="18" fillId="0" borderId="8" xfId="0" applyNumberFormat="1" applyFont="1" applyBorder="1"/>
    <xf numFmtId="167" fontId="18" fillId="0" borderId="43" xfId="0" applyNumberFormat="1" applyFont="1" applyBorder="1"/>
    <xf numFmtId="0" fontId="0" fillId="29" borderId="21" xfId="0" applyFill="1" applyBorder="1"/>
    <xf numFmtId="167" fontId="0" fillId="30" borderId="43" xfId="0" applyNumberFormat="1" applyFill="1" applyBorder="1"/>
    <xf numFmtId="166" fontId="37" fillId="8" borderId="95" xfId="0" applyNumberFormat="1" applyFont="1" applyFill="1" applyBorder="1" applyAlignment="1">
      <alignment horizontal="center" vertical="center"/>
    </xf>
    <xf numFmtId="166" fontId="37" fillId="8" borderId="97" xfId="0" applyNumberFormat="1" applyFont="1" applyFill="1" applyBorder="1" applyAlignment="1">
      <alignment horizontal="center" vertical="center"/>
    </xf>
    <xf numFmtId="167" fontId="0" fillId="28" borderId="2" xfId="0" applyNumberFormat="1" applyFill="1" applyBorder="1"/>
    <xf numFmtId="0" fontId="0" fillId="0" borderId="2" xfId="0" applyBorder="1"/>
    <xf numFmtId="167" fontId="0" fillId="0" borderId="89" xfId="0" applyNumberFormat="1" applyBorder="1"/>
    <xf numFmtId="0" fontId="0" fillId="31" borderId="30" xfId="0" applyFill="1" applyBorder="1"/>
    <xf numFmtId="167" fontId="0" fillId="6" borderId="31" xfId="0" applyNumberFormat="1" applyFill="1" applyBorder="1"/>
    <xf numFmtId="0" fontId="0" fillId="26" borderId="12" xfId="0" applyFill="1" applyBorder="1"/>
    <xf numFmtId="0" fontId="0" fillId="26" borderId="43" xfId="0" applyFill="1" applyBorder="1"/>
    <xf numFmtId="0" fontId="0" fillId="26" borderId="14" xfId="0" applyFill="1" applyBorder="1"/>
    <xf numFmtId="0" fontId="0" fillId="26" borderId="16" xfId="0" applyFill="1" applyBorder="1"/>
    <xf numFmtId="166" fontId="0" fillId="25" borderId="16" xfId="0" applyNumberFormat="1" applyFill="1" applyBorder="1"/>
    <xf numFmtId="0" fontId="0" fillId="7" borderId="12" xfId="0" applyFill="1" applyBorder="1" applyAlignment="1">
      <alignment horizontal="center" vertical="center"/>
    </xf>
    <xf numFmtId="0" fontId="0" fillId="7" borderId="43" xfId="0" applyFill="1" applyBorder="1" applyAlignment="1">
      <alignment horizontal="center" vertical="center"/>
    </xf>
    <xf numFmtId="0" fontId="0" fillId="0" borderId="12" xfId="0" applyBorder="1"/>
    <xf numFmtId="166" fontId="0" fillId="0" borderId="43" xfId="0" applyNumberFormat="1" applyBorder="1"/>
    <xf numFmtId="0" fontId="0" fillId="0" borderId="8" xfId="0" applyBorder="1"/>
    <xf numFmtId="166" fontId="4" fillId="7" borderId="43" xfId="0" applyNumberFormat="1" applyFont="1" applyFill="1" applyBorder="1"/>
    <xf numFmtId="0" fontId="0" fillId="7" borderId="102" xfId="0" applyFont="1" applyFill="1" applyBorder="1" applyAlignment="1">
      <alignment horizontal="center" vertical="center"/>
    </xf>
    <xf numFmtId="0" fontId="0" fillId="7" borderId="25" xfId="0" applyFont="1" applyFill="1" applyBorder="1" applyAlignment="1">
      <alignment horizontal="center" vertical="center"/>
    </xf>
    <xf numFmtId="0" fontId="0" fillId="0" borderId="5" xfId="0" applyBorder="1" applyAlignment="1">
      <alignment vertical="center"/>
    </xf>
    <xf numFmtId="0" fontId="0" fillId="0" borderId="5" xfId="0" applyBorder="1" applyAlignment="1">
      <alignment horizontal="center"/>
    </xf>
    <xf numFmtId="0" fontId="0" fillId="0" borderId="5" xfId="0" applyBorder="1"/>
    <xf numFmtId="166" fontId="0" fillId="0" borderId="6" xfId="0" applyNumberFormat="1" applyBorder="1"/>
    <xf numFmtId="166" fontId="0" fillId="10" borderId="11" xfId="0" applyNumberFormat="1" applyFill="1" applyBorder="1"/>
    <xf numFmtId="166" fontId="0" fillId="11" borderId="11" xfId="0" applyNumberFormat="1" applyFill="1" applyBorder="1"/>
    <xf numFmtId="166" fontId="4" fillId="7" borderId="25" xfId="0" applyNumberFormat="1" applyFont="1" applyFill="1" applyBorder="1" applyAlignment="1">
      <alignment horizontal="right" vertical="center"/>
    </xf>
    <xf numFmtId="166" fontId="0" fillId="12" borderId="11" xfId="0" applyNumberFormat="1" applyFill="1" applyBorder="1"/>
    <xf numFmtId="0" fontId="0" fillId="20" borderId="91" xfId="0" applyFill="1" applyBorder="1" applyAlignment="1">
      <alignment horizontal="center"/>
    </xf>
    <xf numFmtId="167" fontId="19" fillId="17" borderId="105" xfId="0" applyNumberFormat="1" applyFont="1" applyFill="1" applyBorder="1"/>
    <xf numFmtId="0" fontId="0" fillId="27" borderId="48" xfId="0" applyFill="1" applyBorder="1"/>
    <xf numFmtId="167" fontId="0" fillId="28" borderId="47" xfId="0" applyNumberFormat="1" applyFill="1" applyBorder="1"/>
    <xf numFmtId="0" fontId="0" fillId="0" borderId="47" xfId="0" applyBorder="1"/>
    <xf numFmtId="167" fontId="0" fillId="0" borderId="91" xfId="0" applyNumberFormat="1" applyBorder="1"/>
    <xf numFmtId="0" fontId="37" fillId="8" borderId="106" xfId="0" applyFont="1" applyFill="1" applyBorder="1" applyAlignment="1">
      <alignment horizontal="center"/>
    </xf>
    <xf numFmtId="0" fontId="37" fillId="8" borderId="107" xfId="0" applyFont="1" applyFill="1" applyBorder="1" applyAlignment="1">
      <alignment horizontal="center"/>
    </xf>
    <xf numFmtId="0" fontId="18" fillId="17" borderId="86" xfId="0" applyFont="1" applyFill="1" applyBorder="1"/>
    <xf numFmtId="0" fontId="18" fillId="17" borderId="30" xfId="0" applyFont="1" applyFill="1" applyBorder="1"/>
    <xf numFmtId="0" fontId="18" fillId="17" borderId="73" xfId="0" applyFont="1" applyFill="1" applyBorder="1"/>
    <xf numFmtId="0" fontId="37" fillId="8" borderId="22" xfId="0" applyFont="1" applyFill="1" applyBorder="1" applyAlignment="1">
      <alignment horizontal="center"/>
    </xf>
    <xf numFmtId="0" fontId="3" fillId="22" borderId="30" xfId="0" applyFont="1" applyFill="1" applyBorder="1" applyAlignment="1"/>
    <xf numFmtId="0" fontId="2" fillId="31" borderId="30" xfId="0" applyFont="1" applyFill="1" applyBorder="1" applyAlignment="1"/>
    <xf numFmtId="0" fontId="2" fillId="6" borderId="31" xfId="0" applyFont="1" applyFill="1" applyBorder="1" applyAlignment="1">
      <alignment wrapText="1"/>
    </xf>
    <xf numFmtId="0" fontId="38" fillId="33" borderId="0" xfId="0" applyFont="1" applyFill="1"/>
    <xf numFmtId="0" fontId="4" fillId="15" borderId="108" xfId="0" applyFont="1" applyFill="1" applyBorder="1"/>
    <xf numFmtId="0" fontId="4" fillId="15" borderId="109" xfId="0" applyFont="1" applyFill="1" applyBorder="1"/>
    <xf numFmtId="0" fontId="4" fillId="16" borderId="108" xfId="0" applyFont="1" applyFill="1" applyBorder="1"/>
    <xf numFmtId="0" fontId="11" fillId="0" borderId="108" xfId="0" applyFont="1" applyBorder="1"/>
    <xf numFmtId="0" fontId="5" fillId="7" borderId="101" xfId="0" applyFont="1" applyFill="1" applyBorder="1" applyAlignment="1">
      <alignment horizontal="center" vertical="center" wrapText="1"/>
    </xf>
    <xf numFmtId="0" fontId="33" fillId="8" borderId="35" xfId="0" applyFont="1" applyFill="1" applyBorder="1" applyAlignment="1">
      <alignment horizontal="left"/>
    </xf>
    <xf numFmtId="0" fontId="33" fillId="8" borderId="36" xfId="0" applyFont="1" applyFill="1" applyBorder="1" applyAlignment="1">
      <alignment horizontal="left"/>
    </xf>
    <xf numFmtId="0" fontId="5" fillId="7" borderId="102" xfId="0" applyFont="1" applyFill="1" applyBorder="1" applyAlignment="1">
      <alignment horizontal="center" vertical="center" wrapText="1"/>
    </xf>
    <xf numFmtId="0" fontId="5" fillId="7" borderId="25" xfId="0" applyFont="1" applyFill="1" applyBorder="1" applyAlignment="1">
      <alignment horizontal="center" vertical="center" wrapText="1"/>
    </xf>
    <xf numFmtId="166" fontId="0" fillId="0" borderId="8" xfId="0" applyNumberFormat="1" applyBorder="1" applyAlignment="1">
      <alignment horizontal="center"/>
    </xf>
    <xf numFmtId="166" fontId="0" fillId="0" borderId="11" xfId="0" applyNumberFormat="1" applyBorder="1" applyAlignment="1">
      <alignment horizontal="center"/>
    </xf>
    <xf numFmtId="0" fontId="43" fillId="33" borderId="0" xfId="0" applyFont="1" applyFill="1"/>
    <xf numFmtId="0" fontId="5" fillId="16" borderId="0" xfId="0" applyFont="1" applyFill="1" applyBorder="1"/>
    <xf numFmtId="0" fontId="38" fillId="7" borderId="0" xfId="0" applyFont="1" applyFill="1"/>
    <xf numFmtId="0" fontId="39" fillId="7" borderId="0" xfId="0" applyFont="1" applyFill="1" applyAlignment="1">
      <alignment vertical="top"/>
    </xf>
    <xf numFmtId="0" fontId="43" fillId="7" borderId="0" xfId="0" applyFont="1" applyFill="1"/>
    <xf numFmtId="0" fontId="41" fillId="7" borderId="0" xfId="0" applyFont="1" applyFill="1"/>
    <xf numFmtId="1" fontId="42" fillId="7" borderId="0" xfId="0" applyNumberFormat="1" applyFont="1" applyFill="1"/>
    <xf numFmtId="0" fontId="38" fillId="33" borderId="0" xfId="0" applyFont="1" applyFill="1" applyAlignment="1">
      <alignment horizontal="center"/>
    </xf>
    <xf numFmtId="0" fontId="44" fillId="33" borderId="0" xfId="0" applyFont="1" applyFill="1"/>
    <xf numFmtId="0" fontId="45" fillId="33" borderId="0" xfId="0" applyFont="1" applyFill="1"/>
    <xf numFmtId="0" fontId="44" fillId="7" borderId="0" xfId="0" applyFont="1" applyFill="1"/>
    <xf numFmtId="0" fontId="47" fillId="33" borderId="0" xfId="0" applyFont="1" applyFill="1"/>
    <xf numFmtId="0" fontId="48" fillId="33" borderId="0" xfId="0" applyFont="1" applyFill="1"/>
    <xf numFmtId="0" fontId="46" fillId="35" borderId="0" xfId="0" applyFont="1" applyFill="1"/>
    <xf numFmtId="0" fontId="44" fillId="35" borderId="0" xfId="0" applyFont="1" applyFill="1"/>
    <xf numFmtId="0" fontId="44" fillId="24" borderId="0" xfId="0" applyFont="1" applyFill="1"/>
    <xf numFmtId="0" fontId="49" fillId="22" borderId="44" xfId="2" applyFont="1" applyFill="1" applyBorder="1" applyAlignment="1">
      <alignment horizontal="center" vertical="center"/>
    </xf>
    <xf numFmtId="1" fontId="0" fillId="0" borderId="8" xfId="0" applyNumberFormat="1" applyBorder="1"/>
    <xf numFmtId="0" fontId="7" fillId="0" borderId="7" xfId="0" applyFont="1" applyFill="1" applyBorder="1" applyAlignment="1">
      <alignment vertical="center"/>
    </xf>
    <xf numFmtId="1" fontId="0" fillId="0" borderId="8" xfId="0" applyNumberFormat="1" applyFill="1" applyBorder="1"/>
    <xf numFmtId="0" fontId="0" fillId="0" borderId="7" xfId="0" applyFill="1" applyBorder="1"/>
    <xf numFmtId="0" fontId="7" fillId="0" borderId="12" xfId="0" applyFont="1" applyFill="1" applyBorder="1" applyAlignment="1">
      <alignment vertical="center"/>
    </xf>
    <xf numFmtId="1" fontId="0" fillId="0" borderId="43" xfId="0" applyNumberFormat="1" applyFill="1" applyBorder="1"/>
    <xf numFmtId="0" fontId="20" fillId="0" borderId="112" xfId="0" applyFont="1" applyFill="1" applyBorder="1" applyAlignment="1">
      <alignment vertical="center"/>
    </xf>
    <xf numFmtId="1" fontId="0" fillId="0" borderId="113" xfId="0" applyNumberFormat="1" applyFill="1" applyBorder="1"/>
    <xf numFmtId="0" fontId="20" fillId="0" borderId="9" xfId="0" applyFont="1" applyFill="1" applyBorder="1" applyAlignment="1">
      <alignment vertical="center"/>
    </xf>
    <xf numFmtId="1" fontId="0" fillId="0" borderId="11" xfId="0" applyNumberFormat="1" applyFill="1" applyBorder="1"/>
    <xf numFmtId="0" fontId="0" fillId="0" borderId="108" xfId="0" applyBorder="1"/>
    <xf numFmtId="1" fontId="0" fillId="0" borderId="110" xfId="0" applyNumberFormat="1" applyBorder="1"/>
    <xf numFmtId="0" fontId="0" fillId="0" borderId="40" xfId="0" applyFill="1" applyBorder="1"/>
    <xf numFmtId="1" fontId="0" fillId="0" borderId="42" xfId="0" applyNumberFormat="1" applyBorder="1"/>
    <xf numFmtId="0" fontId="0" fillId="0" borderId="112" xfId="0" applyFont="1" applyFill="1" applyBorder="1" applyAlignment="1"/>
    <xf numFmtId="1" fontId="0" fillId="0" borderId="113" xfId="0" applyNumberFormat="1" applyFont="1" applyFill="1" applyBorder="1" applyAlignment="1"/>
    <xf numFmtId="0" fontId="0" fillId="0" borderId="108" xfId="0" applyFill="1" applyBorder="1" applyAlignment="1"/>
    <xf numFmtId="1" fontId="0" fillId="0" borderId="110" xfId="0" applyNumberFormat="1" applyFill="1" applyBorder="1" applyAlignment="1"/>
    <xf numFmtId="0" fontId="0" fillId="0" borderId="40" xfId="0" applyFill="1" applyBorder="1" applyAlignment="1"/>
    <xf numFmtId="1" fontId="0" fillId="0" borderId="42" xfId="0" applyNumberFormat="1" applyFill="1" applyBorder="1" applyAlignment="1"/>
    <xf numFmtId="0" fontId="25" fillId="0" borderId="0" xfId="0" applyFont="1"/>
    <xf numFmtId="0" fontId="25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25" fillId="0" borderId="0" xfId="0" applyFont="1" applyAlignment="1">
      <alignment horizontal="center" vertical="center" wrapText="1"/>
    </xf>
    <xf numFmtId="0" fontId="25" fillId="0" borderId="0" xfId="0" applyFont="1" applyAlignment="1">
      <alignment horizontal="left" vertical="top" wrapText="1"/>
    </xf>
    <xf numFmtId="0" fontId="27" fillId="0" borderId="0" xfId="0" applyFont="1" applyAlignment="1">
      <alignment horizontal="center" vertical="center" wrapText="1"/>
    </xf>
    <xf numFmtId="167" fontId="4" fillId="16" borderId="85" xfId="0" applyNumberFormat="1" applyFont="1" applyFill="1" applyBorder="1"/>
    <xf numFmtId="167" fontId="0" fillId="0" borderId="117" xfId="0" applyNumberFormat="1" applyBorder="1"/>
    <xf numFmtId="167" fontId="0" fillId="0" borderId="118" xfId="0" applyNumberFormat="1" applyBorder="1"/>
    <xf numFmtId="167" fontId="5" fillId="16" borderId="119" xfId="0" applyNumberFormat="1" applyFont="1" applyFill="1" applyBorder="1" applyAlignment="1"/>
    <xf numFmtId="167" fontId="0" fillId="0" borderId="27" xfId="0" applyNumberFormat="1" applyBorder="1"/>
    <xf numFmtId="167" fontId="4" fillId="16" borderId="119" xfId="0" applyNumberFormat="1" applyFont="1" applyFill="1" applyBorder="1"/>
    <xf numFmtId="167" fontId="5" fillId="16" borderId="107" xfId="0" applyNumberFormat="1" applyFont="1" applyFill="1" applyBorder="1" applyAlignment="1"/>
    <xf numFmtId="167" fontId="0" fillId="0" borderId="120" xfId="0" applyNumberFormat="1" applyBorder="1"/>
    <xf numFmtId="167" fontId="4" fillId="16" borderId="121" xfId="0" applyNumberFormat="1" applyFont="1" applyFill="1" applyBorder="1"/>
    <xf numFmtId="167" fontId="0" fillId="0" borderId="123" xfId="0" applyNumberFormat="1" applyBorder="1"/>
    <xf numFmtId="0" fontId="0" fillId="36" borderId="35" xfId="0" applyFill="1" applyBorder="1"/>
    <xf numFmtId="0" fontId="0" fillId="36" borderId="37" xfId="0" applyFill="1" applyBorder="1"/>
    <xf numFmtId="0" fontId="0" fillId="36" borderId="38" xfId="0" applyFill="1" applyBorder="1"/>
    <xf numFmtId="0" fontId="0" fillId="36" borderId="39" xfId="0" applyFill="1" applyBorder="1"/>
    <xf numFmtId="167" fontId="0" fillId="0" borderId="27" xfId="0" quotePrefix="1" applyNumberFormat="1" applyBorder="1"/>
    <xf numFmtId="0" fontId="51" fillId="8" borderId="15" xfId="0" applyFont="1" applyFill="1" applyBorder="1" applyAlignment="1">
      <alignment horizontal="center" vertical="center"/>
    </xf>
    <xf numFmtId="0" fontId="51" fillId="8" borderId="14" xfId="0" applyFont="1" applyFill="1" applyBorder="1" applyAlignment="1">
      <alignment horizontal="center" vertical="center"/>
    </xf>
    <xf numFmtId="0" fontId="51" fillId="8" borderId="22" xfId="0" applyFont="1" applyFill="1" applyBorder="1" applyAlignment="1">
      <alignment horizontal="center" vertical="center"/>
    </xf>
    <xf numFmtId="0" fontId="51" fillId="8" borderId="26" xfId="0" applyFont="1" applyFill="1" applyBorder="1" applyAlignment="1">
      <alignment horizontal="center" vertical="center"/>
    </xf>
    <xf numFmtId="0" fontId="51" fillId="8" borderId="103" xfId="0" applyFont="1" applyFill="1" applyBorder="1" applyAlignment="1">
      <alignment horizontal="center" vertical="center"/>
    </xf>
    <xf numFmtId="0" fontId="51" fillId="8" borderId="124" xfId="0" applyFont="1" applyFill="1" applyBorder="1" applyAlignment="1">
      <alignment horizontal="center" vertical="center"/>
    </xf>
    <xf numFmtId="0" fontId="51" fillId="8" borderId="125" xfId="0" applyFont="1" applyFill="1" applyBorder="1" applyAlignment="1">
      <alignment horizontal="center" vertical="center"/>
    </xf>
    <xf numFmtId="0" fontId="4" fillId="40" borderId="29" xfId="0" applyFont="1" applyFill="1" applyBorder="1"/>
    <xf numFmtId="0" fontId="4" fillId="40" borderId="30" xfId="0" applyFont="1" applyFill="1" applyBorder="1"/>
    <xf numFmtId="0" fontId="51" fillId="8" borderId="81" xfId="0" applyFont="1" applyFill="1" applyBorder="1" applyAlignment="1">
      <alignment horizontal="center" vertical="center"/>
    </xf>
    <xf numFmtId="0" fontId="0" fillId="33" borderId="30" xfId="0" applyFill="1" applyBorder="1" applyAlignment="1">
      <alignment horizontal="left" vertical="center"/>
    </xf>
    <xf numFmtId="0" fontId="0" fillId="0" borderId="30" xfId="0" applyBorder="1" applyAlignment="1">
      <alignment horizontal="left"/>
    </xf>
    <xf numFmtId="0" fontId="0" fillId="0" borderId="31" xfId="0" applyBorder="1" applyAlignment="1">
      <alignment horizontal="left"/>
    </xf>
    <xf numFmtId="0" fontId="0" fillId="33" borderId="86" xfId="0" applyFill="1" applyBorder="1" applyAlignment="1">
      <alignment horizontal="left" vertical="center"/>
    </xf>
    <xf numFmtId="0" fontId="4" fillId="17" borderId="22" xfId="0" applyFont="1" applyFill="1" applyBorder="1" applyAlignment="1">
      <alignment horizontal="left" vertical="center"/>
    </xf>
    <xf numFmtId="0" fontId="0" fillId="0" borderId="52" xfId="0" applyBorder="1"/>
    <xf numFmtId="0" fontId="0" fillId="0" borderId="33" xfId="0" applyBorder="1"/>
    <xf numFmtId="0" fontId="0" fillId="0" borderId="34" xfId="0" applyBorder="1"/>
    <xf numFmtId="0" fontId="4" fillId="17" borderId="52" xfId="0" applyFont="1" applyFill="1" applyBorder="1" applyAlignment="1">
      <alignment horizontal="left" vertical="center"/>
    </xf>
    <xf numFmtId="0" fontId="4" fillId="17" borderId="33" xfId="0" applyFont="1" applyFill="1" applyBorder="1" applyAlignment="1">
      <alignment horizontal="left" vertical="center"/>
    </xf>
    <xf numFmtId="0" fontId="4" fillId="17" borderId="34" xfId="0" applyFont="1" applyFill="1" applyBorder="1" applyAlignment="1">
      <alignment horizontal="left" vertical="center"/>
    </xf>
    <xf numFmtId="3" fontId="53" fillId="41" borderId="7" xfId="0" applyNumberFormat="1" applyFont="1" applyFill="1" applyBorder="1"/>
    <xf numFmtId="3" fontId="54" fillId="41" borderId="1" xfId="0" applyNumberFormat="1" applyFont="1" applyFill="1" applyBorder="1"/>
    <xf numFmtId="3" fontId="54" fillId="41" borderId="8" xfId="0" applyNumberFormat="1" applyFont="1" applyFill="1" applyBorder="1"/>
    <xf numFmtId="3" fontId="53" fillId="41" borderId="1" xfId="0" applyNumberFormat="1" applyFont="1" applyFill="1" applyBorder="1"/>
    <xf numFmtId="3" fontId="53" fillId="41" borderId="8" xfId="0" applyNumberFormat="1" applyFont="1" applyFill="1" applyBorder="1"/>
    <xf numFmtId="3" fontId="53" fillId="41" borderId="12" xfId="0" applyNumberFormat="1" applyFont="1" applyFill="1" applyBorder="1"/>
    <xf numFmtId="3" fontId="53" fillId="41" borderId="3" xfId="0" applyNumberFormat="1" applyFont="1" applyFill="1" applyBorder="1"/>
    <xf numFmtId="3" fontId="53" fillId="41" borderId="43" xfId="0" applyNumberFormat="1" applyFont="1" applyFill="1" applyBorder="1"/>
    <xf numFmtId="3" fontId="56" fillId="0" borderId="48" xfId="0" applyNumberFormat="1" applyFont="1" applyBorder="1"/>
    <xf numFmtId="3" fontId="56" fillId="0" borderId="47" xfId="0" applyNumberFormat="1" applyFont="1" applyBorder="1"/>
    <xf numFmtId="3" fontId="56" fillId="0" borderId="1" xfId="0" applyNumberFormat="1" applyFont="1" applyBorder="1"/>
    <xf numFmtId="3" fontId="57" fillId="0" borderId="1" xfId="0" applyNumberFormat="1" applyFont="1" applyBorder="1"/>
    <xf numFmtId="3" fontId="57" fillId="0" borderId="2" xfId="0" applyNumberFormat="1" applyFont="1" applyBorder="1"/>
    <xf numFmtId="3" fontId="56" fillId="0" borderId="91" xfId="0" applyNumberFormat="1" applyFont="1" applyBorder="1"/>
    <xf numFmtId="3" fontId="56" fillId="0" borderId="4" xfId="0" applyNumberFormat="1" applyFont="1" applyBorder="1"/>
    <xf numFmtId="3" fontId="56" fillId="0" borderId="7" xfId="0" applyNumberFormat="1" applyFont="1" applyBorder="1"/>
    <xf numFmtId="3" fontId="56" fillId="0" borderId="9" xfId="0" applyNumberFormat="1" applyFont="1" applyBorder="1"/>
    <xf numFmtId="3" fontId="58" fillId="0" borderId="48" xfId="0" applyNumberFormat="1" applyFont="1" applyBorder="1"/>
    <xf numFmtId="3" fontId="58" fillId="0" borderId="1" xfId="0" applyNumberFormat="1" applyFont="1" applyBorder="1"/>
    <xf numFmtId="3" fontId="58" fillId="0" borderId="47" xfId="0" applyNumberFormat="1" applyFont="1" applyBorder="1"/>
    <xf numFmtId="0" fontId="5" fillId="7" borderId="0" xfId="0" applyFont="1" applyFill="1" applyBorder="1" applyAlignment="1">
      <alignment horizontal="center" vertical="center" wrapText="1"/>
    </xf>
    <xf numFmtId="0" fontId="30" fillId="13" borderId="0" xfId="0" applyFont="1" applyFill="1" applyBorder="1" applyAlignment="1">
      <alignment vertical="center"/>
    </xf>
    <xf numFmtId="0" fontId="5" fillId="7" borderId="14" xfId="0" applyFont="1" applyFill="1" applyBorder="1" applyAlignment="1">
      <alignment horizontal="center" vertical="center" wrapText="1"/>
    </xf>
    <xf numFmtId="0" fontId="5" fillId="7" borderId="15" xfId="0" applyFont="1" applyFill="1" applyBorder="1" applyAlignment="1">
      <alignment horizontal="center" vertical="center" wrapText="1"/>
    </xf>
    <xf numFmtId="0" fontId="5" fillId="7" borderId="16" xfId="0" applyFont="1" applyFill="1" applyBorder="1" applyAlignment="1">
      <alignment horizontal="center" vertical="center" wrapText="1"/>
    </xf>
    <xf numFmtId="0" fontId="5" fillId="7" borderId="81" xfId="0" applyFont="1" applyFill="1" applyBorder="1" applyAlignment="1">
      <alignment horizontal="center" vertical="center" wrapText="1"/>
    </xf>
    <xf numFmtId="0" fontId="0" fillId="36" borderId="127" xfId="0" applyFill="1" applyBorder="1"/>
    <xf numFmtId="0" fontId="0" fillId="36" borderId="128" xfId="0" applyFill="1" applyBorder="1"/>
    <xf numFmtId="167" fontId="4" fillId="37" borderId="84" xfId="0" applyNumberFormat="1" applyFont="1" applyFill="1" applyBorder="1"/>
    <xf numFmtId="167" fontId="4" fillId="37" borderId="80" xfId="0" applyNumberFormat="1" applyFont="1" applyFill="1" applyBorder="1"/>
    <xf numFmtId="167" fontId="4" fillId="37" borderId="85" xfId="0" applyNumberFormat="1" applyFont="1" applyFill="1" applyBorder="1"/>
    <xf numFmtId="0" fontId="0" fillId="0" borderId="0" xfId="0" applyAlignment="1">
      <alignment horizontal="center" vertical="center"/>
    </xf>
    <xf numFmtId="0" fontId="34" fillId="0" borderId="0" xfId="0" applyFont="1" applyFill="1" applyAlignment="1">
      <alignment horizontal="center" vertical="center"/>
    </xf>
    <xf numFmtId="0" fontId="32" fillId="0" borderId="0" xfId="0" applyFont="1" applyFill="1" applyAlignment="1">
      <alignment horizontal="center" vertical="center"/>
    </xf>
    <xf numFmtId="0" fontId="32" fillId="34" borderId="38" xfId="0" applyFont="1" applyFill="1" applyBorder="1" applyAlignment="1">
      <alignment horizontal="center" vertical="center"/>
    </xf>
    <xf numFmtId="0" fontId="32" fillId="34" borderId="0" xfId="0" applyFont="1" applyFill="1" applyBorder="1" applyAlignment="1">
      <alignment horizontal="center" vertical="center"/>
    </xf>
    <xf numFmtId="0" fontId="32" fillId="34" borderId="42" xfId="0" applyFont="1" applyFill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7" borderId="1" xfId="0" applyNumberFormat="1" applyFill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0" fillId="7" borderId="0" xfId="0" applyFill="1" applyAlignment="1">
      <alignment horizontal="center" vertical="center"/>
    </xf>
    <xf numFmtId="1" fontId="0" fillId="7" borderId="0" xfId="0" applyNumberForma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35" xfId="0" applyBorder="1"/>
    <xf numFmtId="0" fontId="4" fillId="0" borderId="36" xfId="0" applyFont="1" applyBorder="1" applyAlignment="1">
      <alignment wrapText="1"/>
    </xf>
    <xf numFmtId="0" fontId="0" fillId="0" borderId="41" xfId="0" applyBorder="1"/>
    <xf numFmtId="0" fontId="5" fillId="33" borderId="0" xfId="0" applyFont="1" applyFill="1" applyBorder="1" applyAlignment="1">
      <alignment horizontal="center" vertical="center" wrapText="1"/>
    </xf>
    <xf numFmtId="0" fontId="0" fillId="33" borderId="0" xfId="0" applyFill="1" applyBorder="1"/>
    <xf numFmtId="0" fontId="40" fillId="33" borderId="0" xfId="0" applyFont="1" applyFill="1" applyBorder="1" applyAlignment="1">
      <alignment horizontal="center" vertical="center"/>
    </xf>
    <xf numFmtId="9" fontId="0" fillId="33" borderId="0" xfId="1" applyFont="1" applyFill="1" applyBorder="1"/>
    <xf numFmtId="0" fontId="5" fillId="7" borderId="104" xfId="0" applyFont="1" applyFill="1" applyBorder="1" applyAlignment="1">
      <alignment horizontal="center" vertical="center" wrapText="1"/>
    </xf>
    <xf numFmtId="168" fontId="0" fillId="0" borderId="1" xfId="0" applyNumberFormat="1" applyBorder="1"/>
    <xf numFmtId="9" fontId="0" fillId="0" borderId="8" xfId="1" applyFont="1" applyBorder="1"/>
    <xf numFmtId="168" fontId="0" fillId="0" borderId="10" xfId="0" applyNumberFormat="1" applyBorder="1"/>
    <xf numFmtId="9" fontId="0" fillId="0" borderId="11" xfId="1" applyFont="1" applyBorder="1"/>
    <xf numFmtId="168" fontId="0" fillId="0" borderId="7" xfId="0" applyNumberFormat="1" applyBorder="1"/>
    <xf numFmtId="168" fontId="0" fillId="0" borderId="9" xfId="0" applyNumberFormat="1" applyBorder="1"/>
    <xf numFmtId="0" fontId="4" fillId="0" borderId="1" xfId="0" applyFont="1" applyBorder="1" applyAlignment="1">
      <alignment wrapText="1"/>
    </xf>
    <xf numFmtId="167" fontId="0" fillId="0" borderId="1" xfId="0" applyNumberFormat="1" applyBorder="1"/>
    <xf numFmtId="0" fontId="4" fillId="0" borderId="7" xfId="0" applyFont="1" applyBorder="1" applyAlignment="1">
      <alignment wrapText="1"/>
    </xf>
    <xf numFmtId="167" fontId="0" fillId="0" borderId="8" xfId="0" applyNumberFormat="1" applyBorder="1"/>
    <xf numFmtId="167" fontId="0" fillId="0" borderId="7" xfId="0" applyNumberFormat="1" applyBorder="1"/>
    <xf numFmtId="167" fontId="0" fillId="0" borderId="9" xfId="0" applyNumberFormat="1" applyBorder="1"/>
    <xf numFmtId="0" fontId="5" fillId="7" borderId="2" xfId="0" applyFont="1" applyFill="1" applyBorder="1" applyAlignment="1">
      <alignment horizontal="center" vertical="center" wrapText="1"/>
    </xf>
    <xf numFmtId="9" fontId="0" fillId="0" borderId="2" xfId="1" applyFont="1" applyBorder="1"/>
    <xf numFmtId="9" fontId="0" fillId="0" borderId="89" xfId="1" applyFont="1" applyBorder="1"/>
    <xf numFmtId="0" fontId="0" fillId="33" borderId="0" xfId="0" applyFill="1" applyAlignment="1">
      <alignment horizontal="center" vertical="center"/>
    </xf>
    <xf numFmtId="3" fontId="0" fillId="0" borderId="1" xfId="0" applyNumberFormat="1" applyBorder="1"/>
    <xf numFmtId="0" fontId="12" fillId="0" borderId="0" xfId="0" applyFont="1"/>
    <xf numFmtId="0" fontId="12" fillId="7" borderId="0" xfId="0" applyFont="1" applyFill="1"/>
    <xf numFmtId="0" fontId="12" fillId="17" borderId="0" xfId="0" applyFont="1" applyFill="1"/>
    <xf numFmtId="0" fontId="0" fillId="0" borderId="0" xfId="0" applyFill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7" borderId="40" xfId="0" applyFont="1" applyFill="1" applyBorder="1" applyAlignment="1">
      <alignment horizontal="center" vertical="center" wrapText="1"/>
    </xf>
    <xf numFmtId="0" fontId="4" fillId="7" borderId="41" xfId="0" applyFont="1" applyFill="1" applyBorder="1" applyAlignment="1">
      <alignment horizontal="center" vertical="center" wrapText="1"/>
    </xf>
    <xf numFmtId="0" fontId="0" fillId="17" borderId="88" xfId="0" applyFill="1" applyBorder="1" applyAlignment="1">
      <alignment vertical="center"/>
    </xf>
    <xf numFmtId="167" fontId="0" fillId="0" borderId="1" xfId="0" applyNumberFormat="1" applyBorder="1" applyAlignment="1">
      <alignment horizontal="center" vertical="center"/>
    </xf>
    <xf numFmtId="167" fontId="0" fillId="7" borderId="1" xfId="0" applyNumberFormat="1" applyFill="1" applyBorder="1" applyAlignment="1">
      <alignment horizontal="center" vertical="center"/>
    </xf>
    <xf numFmtId="0" fontId="5" fillId="11" borderId="1" xfId="0" applyFont="1" applyFill="1" applyBorder="1" applyAlignment="1">
      <alignment horizontal="center" vertical="center"/>
    </xf>
    <xf numFmtId="1" fontId="0" fillId="0" borderId="0" xfId="0" applyNumberFormat="1" applyFill="1" applyAlignment="1">
      <alignment horizontal="center" vertical="center"/>
    </xf>
    <xf numFmtId="1" fontId="9" fillId="0" borderId="131" xfId="0" applyNumberFormat="1" applyFont="1" applyFill="1" applyBorder="1" applyAlignment="1"/>
    <xf numFmtId="1" fontId="0" fillId="11" borderId="22" xfId="0" applyNumberFormat="1" applyFill="1" applyBorder="1"/>
    <xf numFmtId="0" fontId="51" fillId="8" borderId="46" xfId="0" applyFont="1" applyFill="1" applyBorder="1" applyAlignment="1">
      <alignment horizontal="center" vertical="center"/>
    </xf>
    <xf numFmtId="3" fontId="53" fillId="41" borderId="7" xfId="0" applyNumberFormat="1" applyFont="1" applyFill="1" applyBorder="1" applyAlignment="1">
      <alignment horizontal="right"/>
    </xf>
    <xf numFmtId="3" fontId="54" fillId="41" borderId="1" xfId="0" applyNumberFormat="1" applyFont="1" applyFill="1" applyBorder="1" applyAlignment="1">
      <alignment horizontal="right"/>
    </xf>
    <xf numFmtId="3" fontId="54" fillId="41" borderId="8" xfId="0" applyNumberFormat="1" applyFont="1" applyFill="1" applyBorder="1" applyAlignment="1">
      <alignment horizontal="right"/>
    </xf>
    <xf numFmtId="3" fontId="54" fillId="41" borderId="1" xfId="0" applyNumberFormat="1" applyFont="1" applyFill="1" applyBorder="1" applyAlignment="1">
      <alignment horizontal="right" vertical="center" wrapText="1"/>
    </xf>
    <xf numFmtId="3" fontId="54" fillId="41" borderId="8" xfId="0" applyNumberFormat="1" applyFont="1" applyFill="1" applyBorder="1" applyAlignment="1">
      <alignment horizontal="right" vertical="center" wrapText="1"/>
    </xf>
    <xf numFmtId="3" fontId="53" fillId="41" borderId="111" xfId="0" applyNumberFormat="1" applyFont="1" applyFill="1" applyBorder="1"/>
    <xf numFmtId="3" fontId="53" fillId="41" borderId="20" xfId="0" applyNumberFormat="1" applyFont="1" applyFill="1" applyBorder="1" applyAlignment="1">
      <alignment horizontal="right"/>
    </xf>
    <xf numFmtId="3" fontId="54" fillId="41" borderId="18" xfId="0" applyNumberFormat="1" applyFont="1" applyFill="1" applyBorder="1" applyAlignment="1">
      <alignment horizontal="right"/>
    </xf>
    <xf numFmtId="3" fontId="54" fillId="41" borderId="18" xfId="0" applyNumberFormat="1" applyFont="1" applyFill="1" applyBorder="1" applyAlignment="1">
      <alignment horizontal="right" vertical="center" wrapText="1"/>
    </xf>
    <xf numFmtId="3" fontId="54" fillId="41" borderId="21" xfId="0" applyNumberFormat="1" applyFont="1" applyFill="1" applyBorder="1" applyAlignment="1">
      <alignment horizontal="right" vertical="center" wrapText="1"/>
    </xf>
    <xf numFmtId="3" fontId="56" fillId="0" borderId="5" xfId="0" applyNumberFormat="1" applyFont="1" applyBorder="1"/>
    <xf numFmtId="3" fontId="56" fillId="0" borderId="6" xfId="0" applyNumberFormat="1" applyFont="1" applyBorder="1"/>
    <xf numFmtId="3" fontId="56" fillId="0" borderId="8" xfId="0" applyNumberFormat="1" applyFont="1" applyBorder="1"/>
    <xf numFmtId="3" fontId="56" fillId="0" borderId="10" xfId="0" applyNumberFormat="1" applyFont="1" applyBorder="1"/>
    <xf numFmtId="3" fontId="56" fillId="0" borderId="11" xfId="0" applyNumberFormat="1" applyFont="1" applyBorder="1"/>
    <xf numFmtId="0" fontId="0" fillId="7" borderId="1" xfId="0" applyFill="1" applyBorder="1" applyAlignment="1">
      <alignment horizontal="center" vertical="center"/>
    </xf>
    <xf numFmtId="0" fontId="4" fillId="7" borderId="1" xfId="0" applyFont="1" applyFill="1" applyBorder="1" applyAlignment="1">
      <alignment horizontal="center" vertical="center" wrapText="1"/>
    </xf>
    <xf numFmtId="0" fontId="4" fillId="0" borderId="0" xfId="0" applyFont="1" applyFill="1" applyAlignment="1">
      <alignment horizontal="center" vertical="center" wrapText="1"/>
    </xf>
    <xf numFmtId="0" fontId="51" fillId="8" borderId="111" xfId="0" applyFont="1" applyFill="1" applyBorder="1" applyAlignment="1">
      <alignment horizontal="center" vertical="center"/>
    </xf>
    <xf numFmtId="1" fontId="0" fillId="0" borderId="0" xfId="0" applyNumberFormat="1" applyFill="1"/>
    <xf numFmtId="0" fontId="4" fillId="0" borderId="0" xfId="0" applyFont="1" applyFill="1" applyBorder="1" applyAlignment="1">
      <alignment horizontal="center" vertical="center" wrapText="1"/>
    </xf>
    <xf numFmtId="1" fontId="0" fillId="0" borderId="0" xfId="0" applyNumberFormat="1" applyFill="1" applyBorder="1"/>
    <xf numFmtId="1" fontId="0" fillId="0" borderId="1" xfId="0" applyNumberFormat="1" applyFill="1" applyBorder="1"/>
    <xf numFmtId="0" fontId="5" fillId="17" borderId="5" xfId="0" applyFont="1" applyFill="1" applyBorder="1" applyAlignment="1">
      <alignment vertical="center"/>
    </xf>
    <xf numFmtId="1" fontId="0" fillId="0" borderId="10" xfId="0" applyNumberFormat="1" applyFill="1" applyBorder="1"/>
    <xf numFmtId="0" fontId="5" fillId="40" borderId="1" xfId="0" applyFont="1" applyFill="1" applyBorder="1" applyAlignment="1">
      <alignment vertical="center"/>
    </xf>
    <xf numFmtId="0" fontId="5" fillId="40" borderId="10" xfId="0" applyFont="1" applyFill="1" applyBorder="1" applyAlignment="1">
      <alignment vertical="center"/>
    </xf>
    <xf numFmtId="0" fontId="0" fillId="0" borderId="31" xfId="0" applyFill="1" applyBorder="1"/>
    <xf numFmtId="1" fontId="0" fillId="0" borderId="30" xfId="0" applyNumberFormat="1" applyFill="1" applyBorder="1"/>
    <xf numFmtId="1" fontId="0" fillId="0" borderId="31" xfId="0" applyNumberFormat="1" applyFill="1" applyBorder="1"/>
    <xf numFmtId="0" fontId="0" fillId="17" borderId="29" xfId="0" applyFill="1" applyBorder="1"/>
    <xf numFmtId="1" fontId="0" fillId="17" borderId="29" xfId="0" applyNumberFormat="1" applyFill="1" applyBorder="1"/>
    <xf numFmtId="1" fontId="0" fillId="13" borderId="5" xfId="0" applyNumberFormat="1" applyFill="1" applyBorder="1"/>
    <xf numFmtId="1" fontId="0" fillId="0" borderId="1" xfId="0" applyNumberFormat="1" applyBorder="1"/>
    <xf numFmtId="1" fontId="0" fillId="0" borderId="10" xfId="0" applyNumberFormat="1" applyBorder="1"/>
    <xf numFmtId="0" fontId="0" fillId="0" borderId="0" xfId="0" applyFill="1" applyBorder="1" applyAlignment="1">
      <alignment horizontal="center" vertical="center"/>
    </xf>
    <xf numFmtId="1" fontId="0" fillId="0" borderId="5" xfId="0" applyNumberFormat="1" applyBorder="1"/>
    <xf numFmtId="0" fontId="0" fillId="7" borderId="103" xfId="0" applyFill="1" applyBorder="1" applyAlignment="1">
      <alignment horizontal="left" vertical="center"/>
    </xf>
    <xf numFmtId="0" fontId="0" fillId="7" borderId="12" xfId="0" applyFill="1" applyBorder="1" applyAlignment="1">
      <alignment horizontal="left" vertical="center"/>
    </xf>
    <xf numFmtId="0" fontId="0" fillId="36" borderId="1" xfId="0" applyFill="1" applyBorder="1" applyAlignment="1">
      <alignment horizontal="right"/>
    </xf>
    <xf numFmtId="0" fontId="25" fillId="36" borderId="1" xfId="0" applyFont="1" applyFill="1" applyBorder="1" applyAlignment="1">
      <alignment horizontal="right" vertical="center"/>
    </xf>
    <xf numFmtId="0" fontId="26" fillId="36" borderId="1" xfId="0" applyFont="1" applyFill="1" applyBorder="1" applyAlignment="1">
      <alignment horizontal="right" vertical="center"/>
    </xf>
    <xf numFmtId="1" fontId="26" fillId="0" borderId="1" xfId="0" applyNumberFormat="1" applyFont="1" applyBorder="1" applyAlignment="1">
      <alignment horizontal="right" vertical="center"/>
    </xf>
    <xf numFmtId="0" fontId="25" fillId="36" borderId="1" xfId="0" applyFont="1" applyFill="1" applyBorder="1" applyAlignment="1">
      <alignment horizontal="right"/>
    </xf>
    <xf numFmtId="0" fontId="27" fillId="36" borderId="1" xfId="0" applyFont="1" applyFill="1" applyBorder="1" applyAlignment="1">
      <alignment horizontal="right" vertical="center"/>
    </xf>
    <xf numFmtId="0" fontId="25" fillId="36" borderId="1" xfId="0" applyFont="1" applyFill="1" applyBorder="1" applyAlignment="1">
      <alignment horizontal="right" vertical="center" wrapText="1"/>
    </xf>
    <xf numFmtId="0" fontId="25" fillId="0" borderId="1" xfId="0" applyFont="1" applyBorder="1" applyAlignment="1">
      <alignment horizontal="right" vertical="center" wrapText="1"/>
    </xf>
    <xf numFmtId="0" fontId="25" fillId="0" borderId="1" xfId="0" applyFont="1" applyBorder="1" applyAlignment="1">
      <alignment horizontal="right" vertical="center"/>
    </xf>
    <xf numFmtId="0" fontId="0" fillId="0" borderId="1" xfId="0" applyBorder="1" applyAlignment="1">
      <alignment horizontal="right"/>
    </xf>
    <xf numFmtId="1" fontId="0" fillId="0" borderId="1" xfId="0" applyNumberFormat="1" applyBorder="1" applyAlignment="1">
      <alignment horizontal="right"/>
    </xf>
    <xf numFmtId="0" fontId="0" fillId="7" borderId="7" xfId="0" applyFill="1" applyBorder="1" applyAlignment="1">
      <alignment horizontal="left" vertical="center"/>
    </xf>
    <xf numFmtId="0" fontId="0" fillId="7" borderId="7" xfId="0" applyFill="1" applyBorder="1" applyAlignment="1">
      <alignment horizontal="left"/>
    </xf>
    <xf numFmtId="1" fontId="0" fillId="0" borderId="3" xfId="0" applyNumberFormat="1" applyBorder="1"/>
    <xf numFmtId="0" fontId="62" fillId="8" borderId="16" xfId="0" applyFont="1" applyFill="1" applyBorder="1"/>
    <xf numFmtId="0" fontId="25" fillId="44" borderId="4" xfId="0" applyFont="1" applyFill="1" applyBorder="1"/>
    <xf numFmtId="0" fontId="25" fillId="44" borderId="5" xfId="0" applyFont="1" applyFill="1" applyBorder="1"/>
    <xf numFmtId="0" fontId="0" fillId="7" borderId="9" xfId="0" applyFill="1" applyBorder="1" applyAlignment="1">
      <alignment horizontal="left"/>
    </xf>
    <xf numFmtId="0" fontId="0" fillId="36" borderId="10" xfId="0" applyFill="1" applyBorder="1" applyAlignment="1">
      <alignment horizontal="right"/>
    </xf>
    <xf numFmtId="0" fontId="25" fillId="36" borderId="10" xfId="0" applyFont="1" applyFill="1" applyBorder="1" applyAlignment="1">
      <alignment horizontal="right"/>
    </xf>
    <xf numFmtId="1" fontId="25" fillId="0" borderId="10" xfId="0" applyNumberFormat="1" applyFont="1" applyBorder="1" applyAlignment="1">
      <alignment horizontal="right"/>
    </xf>
    <xf numFmtId="0" fontId="25" fillId="45" borderId="4" xfId="0" applyFont="1" applyFill="1" applyBorder="1"/>
    <xf numFmtId="0" fontId="0" fillId="7" borderId="12" xfId="0" applyFill="1" applyBorder="1" applyAlignment="1">
      <alignment horizontal="left"/>
    </xf>
    <xf numFmtId="1" fontId="25" fillId="0" borderId="3" xfId="0" applyNumberFormat="1" applyFont="1" applyBorder="1"/>
    <xf numFmtId="0" fontId="0" fillId="36" borderId="3" xfId="0" applyFill="1" applyBorder="1" applyAlignment="1">
      <alignment horizontal="right"/>
    </xf>
    <xf numFmtId="1" fontId="63" fillId="6" borderId="43" xfId="0" applyNumberFormat="1" applyFont="1" applyFill="1" applyBorder="1"/>
    <xf numFmtId="0" fontId="25" fillId="46" borderId="14" xfId="0" applyFont="1" applyFill="1" applyBorder="1"/>
    <xf numFmtId="0" fontId="25" fillId="46" borderId="15" xfId="0" applyFont="1" applyFill="1" applyBorder="1"/>
    <xf numFmtId="0" fontId="32" fillId="39" borderId="22" xfId="0" applyFont="1" applyFill="1" applyBorder="1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4" fillId="48" borderId="15" xfId="0" applyFont="1" applyFill="1" applyBorder="1" applyAlignment="1">
      <alignment horizontal="center" vertical="center"/>
    </xf>
    <xf numFmtId="0" fontId="4" fillId="48" borderId="81" xfId="0" applyFont="1" applyFill="1" applyBorder="1" applyAlignment="1">
      <alignment horizontal="center" vertical="center"/>
    </xf>
    <xf numFmtId="0" fontId="4" fillId="11" borderId="15" xfId="0" applyFont="1" applyFill="1" applyBorder="1" applyAlignment="1">
      <alignment horizontal="center" vertical="center"/>
    </xf>
    <xf numFmtId="0" fontId="4" fillId="11" borderId="81" xfId="0" applyFont="1" applyFill="1" applyBorder="1" applyAlignment="1">
      <alignment horizontal="center" vertical="center"/>
    </xf>
    <xf numFmtId="0" fontId="4" fillId="15" borderId="15" xfId="0" applyFont="1" applyFill="1" applyBorder="1" applyAlignment="1">
      <alignment horizontal="center" vertical="center"/>
    </xf>
    <xf numFmtId="0" fontId="4" fillId="51" borderId="15" xfId="0" applyFont="1" applyFill="1" applyBorder="1" applyAlignment="1">
      <alignment horizontal="center" vertical="center"/>
    </xf>
    <xf numFmtId="0" fontId="4" fillId="51" borderId="81" xfId="0" applyFont="1" applyFill="1" applyBorder="1" applyAlignment="1">
      <alignment horizontal="center" vertical="center"/>
    </xf>
    <xf numFmtId="0" fontId="12" fillId="0" borderId="1" xfId="0" applyFont="1" applyBorder="1" applyAlignment="1">
      <alignment horizontal="right" vertical="center"/>
    </xf>
    <xf numFmtId="0" fontId="5" fillId="51" borderId="16" xfId="0" applyFont="1" applyFill="1" applyBorder="1" applyAlignment="1">
      <alignment horizontal="center" vertical="center"/>
    </xf>
    <xf numFmtId="1" fontId="0" fillId="0" borderId="1" xfId="0" applyNumberFormat="1" applyBorder="1" applyAlignment="1">
      <alignment horizontal="right" vertical="center"/>
    </xf>
    <xf numFmtId="0" fontId="61" fillId="0" borderId="1" xfId="0" applyFont="1" applyBorder="1" applyAlignment="1">
      <alignment horizontal="right" vertical="center"/>
    </xf>
    <xf numFmtId="0" fontId="0" fillId="0" borderId="4" xfId="0" applyBorder="1" applyAlignment="1">
      <alignment horizontal="right" vertical="center"/>
    </xf>
    <xf numFmtId="0" fontId="0" fillId="0" borderId="5" xfId="0" applyBorder="1" applyAlignment="1">
      <alignment horizontal="right" vertical="center"/>
    </xf>
    <xf numFmtId="1" fontId="0" fillId="0" borderId="5" xfId="0" applyNumberFormat="1" applyBorder="1" applyAlignment="1">
      <alignment horizontal="right" vertical="center"/>
    </xf>
    <xf numFmtId="0" fontId="0" fillId="0" borderId="7" xfId="0" applyBorder="1" applyAlignment="1">
      <alignment horizontal="right" vertical="center"/>
    </xf>
    <xf numFmtId="0" fontId="0" fillId="0" borderId="9" xfId="0" applyBorder="1" applyAlignment="1">
      <alignment horizontal="right" vertical="center"/>
    </xf>
    <xf numFmtId="0" fontId="0" fillId="0" borderId="10" xfId="0" applyBorder="1" applyAlignment="1">
      <alignment horizontal="right" vertical="center"/>
    </xf>
    <xf numFmtId="0" fontId="25" fillId="0" borderId="10" xfId="0" applyFont="1" applyBorder="1" applyAlignment="1">
      <alignment horizontal="right" vertical="center"/>
    </xf>
    <xf numFmtId="1" fontId="25" fillId="0" borderId="10" xfId="0" applyNumberFormat="1" applyFont="1" applyBorder="1" applyAlignment="1">
      <alignment horizontal="right" vertical="center"/>
    </xf>
    <xf numFmtId="0" fontId="4" fillId="48" borderId="14" xfId="0" applyFont="1" applyFill="1" applyBorder="1" applyAlignment="1">
      <alignment horizontal="center" vertical="center"/>
    </xf>
    <xf numFmtId="0" fontId="5" fillId="48" borderId="16" xfId="0" applyFont="1" applyFill="1" applyBorder="1" applyAlignment="1">
      <alignment horizontal="center" vertical="center"/>
    </xf>
    <xf numFmtId="0" fontId="4" fillId="11" borderId="14" xfId="0" applyFont="1" applyFill="1" applyBorder="1" applyAlignment="1">
      <alignment horizontal="center" vertical="center"/>
    </xf>
    <xf numFmtId="0" fontId="5" fillId="11" borderId="16" xfId="0" applyFont="1" applyFill="1" applyBorder="1" applyAlignment="1">
      <alignment horizontal="center" vertical="center"/>
    </xf>
    <xf numFmtId="1" fontId="0" fillId="0" borderId="4" xfId="0" applyNumberFormat="1" applyBorder="1" applyAlignment="1">
      <alignment horizontal="right" vertical="center"/>
    </xf>
    <xf numFmtId="1" fontId="0" fillId="0" borderId="7" xfId="0" applyNumberFormat="1" applyBorder="1" applyAlignment="1">
      <alignment horizontal="right" vertical="center"/>
    </xf>
    <xf numFmtId="1" fontId="25" fillId="0" borderId="9" xfId="0" applyNumberFormat="1" applyFont="1" applyBorder="1" applyAlignment="1">
      <alignment horizontal="right" vertical="center"/>
    </xf>
    <xf numFmtId="0" fontId="4" fillId="15" borderId="14" xfId="0" applyFont="1" applyFill="1" applyBorder="1" applyAlignment="1">
      <alignment horizontal="center" vertical="center"/>
    </xf>
    <xf numFmtId="0" fontId="5" fillId="15" borderId="16" xfId="0" applyFont="1" applyFill="1" applyBorder="1" applyAlignment="1">
      <alignment horizontal="center" vertical="center"/>
    </xf>
    <xf numFmtId="0" fontId="4" fillId="51" borderId="14" xfId="0" applyFont="1" applyFill="1" applyBorder="1" applyAlignment="1">
      <alignment horizontal="center" vertical="center"/>
    </xf>
    <xf numFmtId="0" fontId="25" fillId="0" borderId="9" xfId="0" applyFont="1" applyBorder="1" applyAlignment="1">
      <alignment horizontal="right" vertical="center"/>
    </xf>
    <xf numFmtId="0" fontId="5" fillId="7" borderId="29" xfId="0" applyFont="1" applyFill="1" applyBorder="1" applyAlignment="1">
      <alignment horizontal="left" vertical="center"/>
    </xf>
    <xf numFmtId="0" fontId="5" fillId="7" borderId="30" xfId="0" applyFont="1" applyFill="1" applyBorder="1" applyAlignment="1">
      <alignment horizontal="left" vertical="center"/>
    </xf>
    <xf numFmtId="0" fontId="5" fillId="7" borderId="31" xfId="0" applyFont="1" applyFill="1" applyBorder="1" applyAlignment="1">
      <alignment horizontal="left" vertical="center"/>
    </xf>
    <xf numFmtId="1" fontId="0" fillId="0" borderId="88" xfId="0" applyNumberFormat="1" applyBorder="1"/>
    <xf numFmtId="1" fontId="0" fillId="0" borderId="13" xfId="0" applyNumberFormat="1" applyBorder="1"/>
    <xf numFmtId="0" fontId="25" fillId="36" borderId="31" xfId="0" applyFont="1" applyFill="1" applyBorder="1"/>
    <xf numFmtId="1" fontId="26" fillId="0" borderId="2" xfId="0" applyNumberFormat="1" applyFont="1" applyBorder="1" applyAlignment="1">
      <alignment horizontal="right" vertical="center"/>
    </xf>
    <xf numFmtId="0" fontId="25" fillId="0" borderId="2" xfId="0" applyFont="1" applyBorder="1" applyAlignment="1">
      <alignment horizontal="right" vertical="center" wrapText="1"/>
    </xf>
    <xf numFmtId="1" fontId="25" fillId="0" borderId="89" xfId="0" applyNumberFormat="1" applyFont="1" applyBorder="1" applyAlignment="1">
      <alignment horizontal="right"/>
    </xf>
    <xf numFmtId="0" fontId="25" fillId="44" borderId="88" xfId="0" applyFont="1" applyFill="1" applyBorder="1"/>
    <xf numFmtId="0" fontId="0" fillId="36" borderId="2" xfId="0" applyFill="1" applyBorder="1" applyAlignment="1">
      <alignment horizontal="right"/>
    </xf>
    <xf numFmtId="0" fontId="0" fillId="36" borderId="13" xfId="0" applyFill="1" applyBorder="1" applyAlignment="1">
      <alignment horizontal="right"/>
    </xf>
    <xf numFmtId="0" fontId="25" fillId="46" borderId="81" xfId="0" applyFont="1" applyFill="1" applyBorder="1"/>
    <xf numFmtId="0" fontId="25" fillId="44" borderId="29" xfId="0" applyFont="1" applyFill="1" applyBorder="1"/>
    <xf numFmtId="0" fontId="25" fillId="44" borderId="30" xfId="0" applyFont="1" applyFill="1" applyBorder="1"/>
    <xf numFmtId="0" fontId="63" fillId="7" borderId="30" xfId="0" applyFont="1" applyFill="1" applyBorder="1" applyAlignment="1">
      <alignment horizontal="center" vertical="center" wrapText="1"/>
    </xf>
    <xf numFmtId="1" fontId="63" fillId="7" borderId="30" xfId="0" applyNumberFormat="1" applyFont="1" applyFill="1" applyBorder="1"/>
    <xf numFmtId="0" fontId="25" fillId="45" borderId="30" xfId="0" applyFont="1" applyFill="1" applyBorder="1"/>
    <xf numFmtId="0" fontId="25" fillId="44" borderId="73" xfId="0" applyFont="1" applyFill="1" applyBorder="1"/>
    <xf numFmtId="0" fontId="25" fillId="46" borderId="22" xfId="0" applyFont="1" applyFill="1" applyBorder="1"/>
    <xf numFmtId="0" fontId="0" fillId="5" borderId="124" xfId="0" applyFill="1" applyBorder="1" applyAlignment="1">
      <alignment vertical="center"/>
    </xf>
    <xf numFmtId="0" fontId="25" fillId="5" borderId="124" xfId="0" applyFont="1" applyFill="1" applyBorder="1" applyAlignment="1">
      <alignment vertical="center"/>
    </xf>
    <xf numFmtId="1" fontId="0" fillId="0" borderId="15" xfId="0" applyNumberFormat="1" applyBorder="1"/>
    <xf numFmtId="0" fontId="0" fillId="7" borderId="14" xfId="0" applyFill="1" applyBorder="1"/>
    <xf numFmtId="0" fontId="25" fillId="44" borderId="22" xfId="0" applyFont="1" applyFill="1" applyBorder="1"/>
    <xf numFmtId="0" fontId="63" fillId="5" borderId="132" xfId="0" applyFont="1" applyFill="1" applyBorder="1" applyAlignment="1">
      <alignment vertical="center"/>
    </xf>
    <xf numFmtId="0" fontId="5" fillId="5" borderId="103" xfId="0" applyFont="1" applyFill="1" applyBorder="1" applyAlignment="1">
      <alignment vertical="center"/>
    </xf>
    <xf numFmtId="0" fontId="32" fillId="17" borderId="105" xfId="0" applyFont="1" applyFill="1" applyBorder="1" applyAlignment="1">
      <alignment horizontal="right" vertical="center"/>
    </xf>
    <xf numFmtId="0" fontId="0" fillId="6" borderId="4" xfId="0" applyFill="1" applyBorder="1"/>
    <xf numFmtId="0" fontId="0" fillId="11" borderId="7" xfId="0" applyFill="1" applyBorder="1"/>
    <xf numFmtId="0" fontId="0" fillId="27" borderId="9" xfId="0" applyFill="1" applyBorder="1"/>
    <xf numFmtId="0" fontId="32" fillId="17" borderId="45" xfId="0" applyFont="1" applyFill="1" applyBorder="1" applyAlignment="1">
      <alignment horizontal="right" vertical="center"/>
    </xf>
    <xf numFmtId="0" fontId="32" fillId="17" borderId="22" xfId="0" applyFont="1" applyFill="1" applyBorder="1" applyAlignment="1">
      <alignment horizontal="right" vertical="center"/>
    </xf>
    <xf numFmtId="0" fontId="32" fillId="17" borderId="103" xfId="0" applyFont="1" applyFill="1" applyBorder="1" applyAlignment="1">
      <alignment horizontal="center" vertical="center"/>
    </xf>
    <xf numFmtId="0" fontId="65" fillId="17" borderId="124" xfId="0" applyFont="1" applyFill="1" applyBorder="1" applyAlignment="1">
      <alignment horizontal="center" vertical="center"/>
    </xf>
    <xf numFmtId="0" fontId="65" fillId="17" borderId="132" xfId="0" applyFont="1" applyFill="1" applyBorder="1" applyAlignment="1">
      <alignment horizontal="center" vertical="center"/>
    </xf>
    <xf numFmtId="0" fontId="0" fillId="6" borderId="7" xfId="0" applyFill="1" applyBorder="1"/>
    <xf numFmtId="0" fontId="0" fillId="6" borderId="9" xfId="0" applyFill="1" applyBorder="1"/>
    <xf numFmtId="0" fontId="0" fillId="11" borderId="4" xfId="0" applyFill="1" applyBorder="1"/>
    <xf numFmtId="0" fontId="0" fillId="11" borderId="9" xfId="0" applyFill="1" applyBorder="1"/>
    <xf numFmtId="0" fontId="0" fillId="27" borderId="4" xfId="0" applyFill="1" applyBorder="1"/>
    <xf numFmtId="0" fontId="0" fillId="27" borderId="7" xfId="0" applyFill="1" applyBorder="1"/>
    <xf numFmtId="0" fontId="66" fillId="0" borderId="1" xfId="0" applyFont="1" applyBorder="1" applyAlignment="1">
      <alignment horizontal="right" vertical="center"/>
    </xf>
    <xf numFmtId="0" fontId="67" fillId="0" borderId="1" xfId="0" applyFont="1" applyBorder="1" applyAlignment="1">
      <alignment horizontal="right" vertical="center"/>
    </xf>
    <xf numFmtId="0" fontId="66" fillId="0" borderId="1" xfId="0" applyFont="1" applyBorder="1" applyAlignment="1">
      <alignment horizontal="right" vertical="center" wrapText="1"/>
    </xf>
    <xf numFmtId="0" fontId="12" fillId="0" borderId="5" xfId="0" applyFont="1" applyBorder="1" applyAlignment="1">
      <alignment horizontal="right" vertical="center"/>
    </xf>
    <xf numFmtId="0" fontId="12" fillId="0" borderId="90" xfId="0" applyFont="1" applyBorder="1" applyAlignment="1">
      <alignment horizontal="right" vertical="center"/>
    </xf>
    <xf numFmtId="0" fontId="12" fillId="0" borderId="47" xfId="0" applyFont="1" applyBorder="1" applyAlignment="1">
      <alignment horizontal="right" vertical="center"/>
    </xf>
    <xf numFmtId="0" fontId="12" fillId="0" borderId="10" xfId="0" applyFont="1" applyBorder="1" applyAlignment="1">
      <alignment horizontal="right" vertical="center"/>
    </xf>
    <xf numFmtId="0" fontId="12" fillId="0" borderId="91" xfId="0" applyFont="1" applyBorder="1" applyAlignment="1">
      <alignment horizontal="right" vertical="center"/>
    </xf>
    <xf numFmtId="0" fontId="66" fillId="0" borderId="10" xfId="0" applyFont="1" applyBorder="1" applyAlignment="1">
      <alignment horizontal="right" vertical="center"/>
    </xf>
    <xf numFmtId="0" fontId="12" fillId="0" borderId="4" xfId="0" applyFont="1" applyBorder="1" applyAlignment="1">
      <alignment horizontal="right" vertical="center"/>
    </xf>
    <xf numFmtId="0" fontId="66" fillId="0" borderId="5" xfId="0" applyFont="1" applyBorder="1" applyAlignment="1">
      <alignment horizontal="right" vertical="center"/>
    </xf>
    <xf numFmtId="0" fontId="12" fillId="0" borderId="7" xfId="0" applyFont="1" applyBorder="1" applyAlignment="1">
      <alignment horizontal="right" vertical="center"/>
    </xf>
    <xf numFmtId="0" fontId="12" fillId="0" borderId="9" xfId="0" applyFont="1" applyBorder="1" applyAlignment="1">
      <alignment horizontal="right" vertical="center"/>
    </xf>
    <xf numFmtId="0" fontId="5" fillId="6" borderId="5" xfId="0" applyFont="1" applyFill="1" applyBorder="1" applyAlignment="1">
      <alignment horizontal="center" vertical="center"/>
    </xf>
    <xf numFmtId="0" fontId="5" fillId="6" borderId="6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6" borderId="21" xfId="0" applyFont="1" applyFill="1" applyBorder="1" applyAlignment="1">
      <alignment horizontal="center" vertical="center"/>
    </xf>
    <xf numFmtId="0" fontId="5" fillId="6" borderId="10" xfId="0" applyFont="1" applyFill="1" applyBorder="1" applyAlignment="1">
      <alignment horizontal="center" vertical="center"/>
    </xf>
    <xf numFmtId="0" fontId="5" fillId="6" borderId="25" xfId="0" applyFont="1" applyFill="1" applyBorder="1" applyAlignment="1">
      <alignment horizontal="center" vertical="center"/>
    </xf>
    <xf numFmtId="0" fontId="5" fillId="11" borderId="5" xfId="0" applyFont="1" applyFill="1" applyBorder="1" applyAlignment="1">
      <alignment horizontal="center" vertical="center"/>
    </xf>
    <xf numFmtId="0" fontId="5" fillId="11" borderId="6" xfId="0" applyFont="1" applyFill="1" applyBorder="1" applyAlignment="1">
      <alignment horizontal="center" vertical="center"/>
    </xf>
    <xf numFmtId="0" fontId="5" fillId="11" borderId="21" xfId="0" applyFont="1" applyFill="1" applyBorder="1" applyAlignment="1">
      <alignment horizontal="center" vertical="center"/>
    </xf>
    <xf numFmtId="0" fontId="5" fillId="11" borderId="10" xfId="0" applyFont="1" applyFill="1" applyBorder="1" applyAlignment="1">
      <alignment horizontal="center" vertical="center"/>
    </xf>
    <xf numFmtId="0" fontId="5" fillId="11" borderId="25" xfId="0" applyFont="1" applyFill="1" applyBorder="1" applyAlignment="1">
      <alignment horizontal="center" vertical="center"/>
    </xf>
    <xf numFmtId="0" fontId="5" fillId="27" borderId="5" xfId="0" applyFont="1" applyFill="1" applyBorder="1" applyAlignment="1">
      <alignment horizontal="center" vertical="center"/>
    </xf>
    <xf numFmtId="0" fontId="5" fillId="27" borderId="6" xfId="0" applyFont="1" applyFill="1" applyBorder="1" applyAlignment="1">
      <alignment horizontal="center" vertical="center"/>
    </xf>
    <xf numFmtId="0" fontId="5" fillId="27" borderId="1" xfId="0" applyFont="1" applyFill="1" applyBorder="1" applyAlignment="1">
      <alignment horizontal="center" vertical="center"/>
    </xf>
    <xf numFmtId="0" fontId="5" fillId="27" borderId="21" xfId="0" applyFont="1" applyFill="1" applyBorder="1" applyAlignment="1">
      <alignment horizontal="center" vertical="center"/>
    </xf>
    <xf numFmtId="0" fontId="5" fillId="27" borderId="10" xfId="0" applyFont="1" applyFill="1" applyBorder="1" applyAlignment="1">
      <alignment horizontal="center" vertical="center"/>
    </xf>
    <xf numFmtId="0" fontId="5" fillId="27" borderId="25" xfId="0" applyFont="1" applyFill="1" applyBorder="1" applyAlignment="1">
      <alignment horizontal="center" vertical="center"/>
    </xf>
    <xf numFmtId="0" fontId="12" fillId="0" borderId="88" xfId="0" applyFont="1" applyBorder="1" applyAlignment="1">
      <alignment horizontal="right" vertical="center"/>
    </xf>
    <xf numFmtId="0" fontId="12" fillId="0" borderId="2" xfId="0" applyFont="1" applyBorder="1" applyAlignment="1">
      <alignment horizontal="right" vertical="center"/>
    </xf>
    <xf numFmtId="0" fontId="66" fillId="0" borderId="2" xfId="0" applyFont="1" applyBorder="1" applyAlignment="1">
      <alignment horizontal="right" vertical="center"/>
    </xf>
    <xf numFmtId="0" fontId="67" fillId="0" borderId="2" xfId="0" applyFont="1" applyBorder="1" applyAlignment="1">
      <alignment horizontal="right" vertical="center"/>
    </xf>
    <xf numFmtId="0" fontId="66" fillId="0" borderId="2" xfId="0" applyFont="1" applyBorder="1" applyAlignment="1">
      <alignment horizontal="right" vertical="center" wrapText="1"/>
    </xf>
    <xf numFmtId="0" fontId="66" fillId="0" borderId="89" xfId="0" applyFont="1" applyBorder="1" applyAlignment="1">
      <alignment horizontal="right" vertical="center"/>
    </xf>
    <xf numFmtId="0" fontId="66" fillId="0" borderId="88" xfId="0" applyFont="1" applyBorder="1" applyAlignment="1">
      <alignment horizontal="right" vertical="center"/>
    </xf>
    <xf numFmtId="0" fontId="12" fillId="0" borderId="89" xfId="0" applyFont="1" applyBorder="1" applyAlignment="1">
      <alignment horizontal="right" vertical="center"/>
    </xf>
    <xf numFmtId="0" fontId="5" fillId="0" borderId="29" xfId="0" applyFont="1" applyBorder="1" applyAlignment="1">
      <alignment horizontal="right"/>
    </xf>
    <xf numFmtId="0" fontId="65" fillId="17" borderId="22" xfId="0" applyFont="1" applyFill="1" applyBorder="1" applyAlignment="1">
      <alignment horizontal="center" vertical="center"/>
    </xf>
    <xf numFmtId="0" fontId="68" fillId="0" borderId="1" xfId="0" applyFont="1" applyBorder="1" applyAlignment="1">
      <alignment horizontal="right"/>
    </xf>
    <xf numFmtId="0" fontId="69" fillId="0" borderId="1" xfId="0" applyFont="1" applyBorder="1" applyAlignment="1">
      <alignment horizontal="right"/>
    </xf>
    <xf numFmtId="0" fontId="68" fillId="0" borderId="10" xfId="0" applyFont="1" applyBorder="1" applyAlignment="1">
      <alignment horizontal="right"/>
    </xf>
    <xf numFmtId="0" fontId="68" fillId="0" borderId="5" xfId="0" applyFont="1" applyBorder="1" applyAlignment="1">
      <alignment horizontal="right"/>
    </xf>
    <xf numFmtId="167" fontId="19" fillId="0" borderId="29" xfId="0" applyNumberFormat="1" applyFont="1" applyBorder="1" applyAlignment="1">
      <alignment horizontal="right"/>
    </xf>
    <xf numFmtId="0" fontId="70" fillId="52" borderId="105" xfId="0" applyFont="1" applyFill="1" applyBorder="1" applyAlignment="1">
      <alignment horizontal="right" vertical="center"/>
    </xf>
    <xf numFmtId="0" fontId="70" fillId="52" borderId="46" xfId="0" applyFont="1" applyFill="1" applyBorder="1" applyAlignment="1">
      <alignment horizontal="right" vertical="center"/>
    </xf>
    <xf numFmtId="3" fontId="71" fillId="53" borderId="14" xfId="0" applyNumberFormat="1" applyFont="1" applyFill="1" applyBorder="1" applyAlignment="1">
      <alignment horizontal="center" vertical="center"/>
    </xf>
    <xf numFmtId="3" fontId="55" fillId="53" borderId="14" xfId="0" applyNumberFormat="1" applyFont="1" applyFill="1" applyBorder="1" applyAlignment="1">
      <alignment horizontal="center" vertical="center"/>
    </xf>
    <xf numFmtId="0" fontId="4" fillId="48" borderId="6" xfId="0" applyFont="1" applyFill="1" applyBorder="1" applyAlignment="1">
      <alignment horizontal="right" vertical="center"/>
    </xf>
    <xf numFmtId="0" fontId="4" fillId="48" borderId="8" xfId="0" applyFont="1" applyFill="1" applyBorder="1" applyAlignment="1">
      <alignment horizontal="right" vertical="center"/>
    </xf>
    <xf numFmtId="0" fontId="4" fillId="48" borderId="11" xfId="0" applyFont="1" applyFill="1" applyBorder="1" applyAlignment="1">
      <alignment horizontal="right" vertical="center"/>
    </xf>
    <xf numFmtId="0" fontId="5" fillId="11" borderId="6" xfId="0" applyFont="1" applyFill="1" applyBorder="1" applyAlignment="1">
      <alignment horizontal="right" vertical="center"/>
    </xf>
    <xf numFmtId="0" fontId="5" fillId="11" borderId="8" xfId="0" applyFont="1" applyFill="1" applyBorder="1" applyAlignment="1">
      <alignment horizontal="right" vertical="center"/>
    </xf>
    <xf numFmtId="0" fontId="5" fillId="11" borderId="11" xfId="0" applyFont="1" applyFill="1" applyBorder="1" applyAlignment="1">
      <alignment horizontal="right" vertical="center"/>
    </xf>
    <xf numFmtId="0" fontId="5" fillId="15" borderId="6" xfId="0" applyFont="1" applyFill="1" applyBorder="1" applyAlignment="1">
      <alignment horizontal="right" vertical="center"/>
    </xf>
    <xf numFmtId="0" fontId="5" fillId="15" borderId="8" xfId="0" applyFont="1" applyFill="1" applyBorder="1" applyAlignment="1">
      <alignment horizontal="right" vertical="center"/>
    </xf>
    <xf numFmtId="0" fontId="5" fillId="15" borderId="11" xfId="0" applyFont="1" applyFill="1" applyBorder="1" applyAlignment="1">
      <alignment horizontal="right" vertical="center"/>
    </xf>
    <xf numFmtId="0" fontId="5" fillId="51" borderId="6" xfId="0" applyFont="1" applyFill="1" applyBorder="1" applyAlignment="1">
      <alignment horizontal="right" vertical="center"/>
    </xf>
    <xf numFmtId="0" fontId="5" fillId="51" borderId="8" xfId="0" applyFont="1" applyFill="1" applyBorder="1" applyAlignment="1">
      <alignment horizontal="right" vertical="center"/>
    </xf>
    <xf numFmtId="0" fontId="5" fillId="51" borderId="11" xfId="0" applyFont="1" applyFill="1" applyBorder="1" applyAlignment="1">
      <alignment horizontal="right" vertical="center"/>
    </xf>
    <xf numFmtId="0" fontId="26" fillId="33" borderId="0" xfId="0" applyFont="1" applyFill="1" applyAlignment="1">
      <alignment horizontal="center" vertical="center"/>
    </xf>
    <xf numFmtId="0" fontId="25" fillId="33" borderId="0" xfId="0" applyFont="1" applyFill="1"/>
    <xf numFmtId="0" fontId="0" fillId="33" borderId="0" xfId="0" applyFill="1"/>
    <xf numFmtId="0" fontId="25" fillId="33" borderId="0" xfId="0" applyFont="1" applyFill="1" applyAlignment="1">
      <alignment horizontal="center" vertical="center"/>
    </xf>
    <xf numFmtId="0" fontId="25" fillId="33" borderId="0" xfId="0" applyFont="1" applyFill="1" applyAlignment="1">
      <alignment horizontal="center" vertical="center" wrapText="1"/>
    </xf>
    <xf numFmtId="0" fontId="25" fillId="33" borderId="0" xfId="0" applyFont="1" applyFill="1" applyAlignment="1">
      <alignment horizontal="left" vertical="top" wrapText="1"/>
    </xf>
    <xf numFmtId="0" fontId="5" fillId="7" borderId="73" xfId="0" applyFont="1" applyFill="1" applyBorder="1" applyAlignment="1">
      <alignment horizontal="left" vertical="center"/>
    </xf>
    <xf numFmtId="0" fontId="0" fillId="0" borderId="12" xfId="0" applyBorder="1" applyAlignment="1">
      <alignment horizontal="right" vertical="center"/>
    </xf>
    <xf numFmtId="0" fontId="0" fillId="0" borderId="3" xfId="0" applyBorder="1" applyAlignment="1">
      <alignment horizontal="right" vertical="center"/>
    </xf>
    <xf numFmtId="1" fontId="0" fillId="0" borderId="3" xfId="0" applyNumberFormat="1" applyBorder="1" applyAlignment="1">
      <alignment horizontal="right" vertical="center"/>
    </xf>
    <xf numFmtId="1" fontId="0" fillId="0" borderId="12" xfId="0" applyNumberFormat="1" applyBorder="1" applyAlignment="1">
      <alignment horizontal="right" vertical="center"/>
    </xf>
    <xf numFmtId="1" fontId="32" fillId="17" borderId="111" xfId="0" applyNumberFormat="1" applyFont="1" applyFill="1" applyBorder="1" applyAlignment="1">
      <alignment horizontal="right" vertical="center"/>
    </xf>
    <xf numFmtId="1" fontId="70" fillId="17" borderId="111" xfId="0" applyNumberFormat="1" applyFont="1" applyFill="1" applyBorder="1" applyAlignment="1">
      <alignment horizontal="right" vertical="center"/>
    </xf>
    <xf numFmtId="0" fontId="0" fillId="0" borderId="0" xfId="0" applyAlignment="1">
      <alignment vertical="center"/>
    </xf>
    <xf numFmtId="1" fontId="70" fillId="17" borderId="36" xfId="0" applyNumberFormat="1" applyFont="1" applyFill="1" applyBorder="1" applyAlignment="1">
      <alignment horizontal="right" vertical="center"/>
    </xf>
    <xf numFmtId="0" fontId="4" fillId="5" borderId="30" xfId="0" applyFont="1" applyFill="1" applyBorder="1" applyAlignment="1">
      <alignment vertical="center"/>
    </xf>
    <xf numFmtId="0" fontId="4" fillId="0" borderId="31" xfId="0" applyFont="1" applyBorder="1" applyAlignment="1">
      <alignment vertical="center"/>
    </xf>
    <xf numFmtId="1" fontId="0" fillId="0" borderId="102" xfId="0" applyNumberFormat="1" applyBorder="1" applyAlignment="1">
      <alignment vertical="center"/>
    </xf>
    <xf numFmtId="1" fontId="0" fillId="0" borderId="25" xfId="0" applyNumberFormat="1" applyBorder="1" applyAlignment="1">
      <alignment vertical="center"/>
    </xf>
    <xf numFmtId="0" fontId="0" fillId="5" borderId="15" xfId="0" applyFill="1" applyBorder="1" applyAlignment="1">
      <alignment vertical="center"/>
    </xf>
    <xf numFmtId="167" fontId="51" fillId="8" borderId="22" xfId="0" applyNumberFormat="1" applyFont="1" applyFill="1" applyBorder="1" applyAlignment="1">
      <alignment horizontal="center" vertical="center"/>
    </xf>
    <xf numFmtId="0" fontId="4" fillId="11" borderId="8" xfId="0" applyFont="1" applyFill="1" applyBorder="1" applyAlignment="1">
      <alignment horizontal="right" vertical="center"/>
    </xf>
    <xf numFmtId="0" fontId="4" fillId="15" borderId="8" xfId="0" applyFont="1" applyFill="1" applyBorder="1" applyAlignment="1">
      <alignment horizontal="right" vertical="center"/>
    </xf>
    <xf numFmtId="0" fontId="4" fillId="51" borderId="8" xfId="0" applyFont="1" applyFill="1" applyBorder="1" applyAlignment="1">
      <alignment horizontal="right" vertical="center"/>
    </xf>
    <xf numFmtId="3" fontId="0" fillId="33" borderId="1" xfId="0" applyNumberFormat="1" applyFill="1" applyBorder="1" applyAlignment="1">
      <alignment horizontal="right" vertical="center"/>
    </xf>
    <xf numFmtId="3" fontId="0" fillId="33" borderId="10" xfId="0" applyNumberFormat="1" applyFill="1" applyBorder="1" applyAlignment="1">
      <alignment horizontal="right" vertical="center"/>
    </xf>
    <xf numFmtId="3" fontId="0" fillId="33" borderId="47" xfId="0" applyNumberFormat="1" applyFill="1" applyBorder="1" applyAlignment="1">
      <alignment horizontal="right" vertical="center"/>
    </xf>
    <xf numFmtId="3" fontId="0" fillId="33" borderId="91" xfId="0" applyNumberFormat="1" applyFill="1" applyBorder="1" applyAlignment="1">
      <alignment horizontal="right" vertical="center"/>
    </xf>
    <xf numFmtId="3" fontId="71" fillId="53" borderId="105" xfId="0" applyNumberFormat="1" applyFont="1" applyFill="1" applyBorder="1" applyAlignment="1">
      <alignment horizontal="center" vertical="center"/>
    </xf>
    <xf numFmtId="3" fontId="0" fillId="33" borderId="2" xfId="0" applyNumberFormat="1" applyFill="1" applyBorder="1" applyAlignment="1">
      <alignment horizontal="right" vertical="center"/>
    </xf>
    <xf numFmtId="3" fontId="0" fillId="33" borderId="89" xfId="0" applyNumberFormat="1" applyFill="1" applyBorder="1" applyAlignment="1">
      <alignment horizontal="right" vertical="center"/>
    </xf>
    <xf numFmtId="3" fontId="71" fillId="53" borderId="44" xfId="0" applyNumberFormat="1" applyFont="1" applyFill="1" applyBorder="1" applyAlignment="1">
      <alignment horizontal="center" vertical="center"/>
    </xf>
    <xf numFmtId="3" fontId="32" fillId="17" borderId="29" xfId="0" applyNumberFormat="1" applyFont="1" applyFill="1" applyBorder="1" applyAlignment="1">
      <alignment horizontal="right" vertical="center"/>
    </xf>
    <xf numFmtId="0" fontId="74" fillId="8" borderId="26" xfId="0" applyFont="1" applyFill="1" applyBorder="1" applyAlignment="1">
      <alignment horizontal="center" vertical="center"/>
    </xf>
    <xf numFmtId="0" fontId="0" fillId="5" borderId="1" xfId="0" applyFill="1" applyBorder="1"/>
    <xf numFmtId="165" fontId="75" fillId="33" borderId="0" xfId="0" applyNumberFormat="1" applyFont="1" applyFill="1" applyAlignment="1">
      <alignment horizontal="center" vertical="center"/>
    </xf>
    <xf numFmtId="3" fontId="71" fillId="53" borderId="22" xfId="0" applyNumberFormat="1" applyFont="1" applyFill="1" applyBorder="1" applyAlignment="1">
      <alignment horizontal="center" vertical="center"/>
    </xf>
    <xf numFmtId="0" fontId="51" fillId="8" borderId="36" xfId="0" applyFont="1" applyFill="1" applyBorder="1" applyAlignment="1">
      <alignment horizontal="center" vertical="center"/>
    </xf>
    <xf numFmtId="0" fontId="51" fillId="8" borderId="37" xfId="0" applyFont="1" applyFill="1" applyBorder="1" applyAlignment="1">
      <alignment horizontal="center" vertical="center"/>
    </xf>
    <xf numFmtId="0" fontId="51" fillId="8" borderId="16" xfId="0" applyFont="1" applyFill="1" applyBorder="1" applyAlignment="1">
      <alignment horizontal="center" vertical="center"/>
    </xf>
    <xf numFmtId="0" fontId="4" fillId="17" borderId="5" xfId="0" applyFont="1" applyFill="1" applyBorder="1" applyAlignment="1">
      <alignment vertical="center"/>
    </xf>
    <xf numFmtId="0" fontId="4" fillId="40" borderId="1" xfId="0" applyFont="1" applyFill="1" applyBorder="1" applyAlignment="1">
      <alignment vertical="center"/>
    </xf>
    <xf numFmtId="0" fontId="4" fillId="40" borderId="10" xfId="0" applyFont="1" applyFill="1" applyBorder="1" applyAlignment="1">
      <alignment vertical="center"/>
    </xf>
    <xf numFmtId="1" fontId="0" fillId="0" borderId="30" xfId="0" applyNumberFormat="1" applyBorder="1"/>
    <xf numFmtId="1" fontId="0" fillId="0" borderId="31" xfId="0" applyNumberFormat="1" applyBorder="1"/>
    <xf numFmtId="0" fontId="10" fillId="8" borderId="103" xfId="0" applyFont="1" applyFill="1" applyBorder="1" applyAlignment="1">
      <alignment horizontal="center" vertical="center"/>
    </xf>
    <xf numFmtId="0" fontId="70" fillId="52" borderId="45" xfId="0" applyFont="1" applyFill="1" applyBorder="1" applyAlignment="1">
      <alignment horizontal="right" vertical="center"/>
    </xf>
    <xf numFmtId="1" fontId="0" fillId="0" borderId="1" xfId="0" applyNumberFormat="1" applyFont="1" applyBorder="1" applyAlignment="1">
      <alignment horizontal="center" vertical="center" wrapText="1"/>
    </xf>
    <xf numFmtId="1" fontId="0" fillId="0" borderId="1" xfId="0" applyNumberFormat="1" applyBorder="1" applyAlignment="1">
      <alignment horizontal="center" vertical="center" wrapText="1"/>
    </xf>
    <xf numFmtId="3" fontId="53" fillId="41" borderId="104" xfId="0" applyNumberFormat="1" applyFont="1" applyFill="1" applyBorder="1"/>
    <xf numFmtId="0" fontId="4" fillId="17" borderId="28" xfId="0" applyFont="1" applyFill="1" applyBorder="1" applyAlignment="1">
      <alignment horizontal="left" vertical="center"/>
    </xf>
    <xf numFmtId="167" fontId="4" fillId="40" borderId="28" xfId="0" applyNumberFormat="1" applyFont="1" applyFill="1" applyBorder="1"/>
    <xf numFmtId="1" fontId="32" fillId="17" borderId="26" xfId="0" applyNumberFormat="1" applyFont="1" applyFill="1" applyBorder="1" applyAlignment="1">
      <alignment horizontal="right" vertical="center"/>
    </xf>
    <xf numFmtId="3" fontId="53" fillId="11" borderId="104" xfId="0" applyNumberFormat="1" applyFont="1" applyFill="1" applyBorder="1"/>
    <xf numFmtId="3" fontId="58" fillId="11" borderId="48" xfId="0" applyNumberFormat="1" applyFont="1" applyFill="1" applyBorder="1"/>
    <xf numFmtId="3" fontId="58" fillId="11" borderId="47" xfId="0" applyNumberFormat="1" applyFont="1" applyFill="1" applyBorder="1"/>
    <xf numFmtId="3" fontId="56" fillId="11" borderId="1" xfId="0" applyNumberFormat="1" applyFont="1" applyFill="1" applyBorder="1"/>
    <xf numFmtId="3" fontId="57" fillId="11" borderId="1" xfId="0" applyNumberFormat="1" applyFont="1" applyFill="1" applyBorder="1"/>
    <xf numFmtId="3" fontId="56" fillId="11" borderId="91" xfId="0" applyNumberFormat="1" applyFont="1" applyFill="1" applyBorder="1"/>
    <xf numFmtId="3" fontId="53" fillId="11" borderId="111" xfId="0" applyNumberFormat="1" applyFont="1" applyFill="1" applyBorder="1"/>
    <xf numFmtId="3" fontId="56" fillId="11" borderId="5" xfId="0" applyNumberFormat="1" applyFont="1" applyFill="1" applyBorder="1"/>
    <xf numFmtId="3" fontId="56" fillId="11" borderId="10" xfId="0" applyNumberFormat="1" applyFont="1" applyFill="1" applyBorder="1"/>
    <xf numFmtId="3" fontId="54" fillId="11" borderId="18" xfId="0" applyNumberFormat="1" applyFont="1" applyFill="1" applyBorder="1" applyAlignment="1">
      <alignment horizontal="right"/>
    </xf>
    <xf numFmtId="3" fontId="54" fillId="11" borderId="1" xfId="0" applyNumberFormat="1" applyFont="1" applyFill="1" applyBorder="1" applyAlignment="1">
      <alignment horizontal="right"/>
    </xf>
    <xf numFmtId="0" fontId="32" fillId="42" borderId="105" xfId="0" applyFont="1" applyFill="1" applyBorder="1" applyAlignment="1">
      <alignment horizontal="right" vertical="center"/>
    </xf>
    <xf numFmtId="0" fontId="12" fillId="42" borderId="5" xfId="0" applyFont="1" applyFill="1" applyBorder="1" applyAlignment="1">
      <alignment horizontal="right" vertical="center"/>
    </xf>
    <xf numFmtId="0" fontId="12" fillId="42" borderId="1" xfId="0" applyFont="1" applyFill="1" applyBorder="1" applyAlignment="1">
      <alignment horizontal="right" vertical="center"/>
    </xf>
    <xf numFmtId="0" fontId="66" fillId="42" borderId="10" xfId="0" applyFont="1" applyFill="1" applyBorder="1" applyAlignment="1">
      <alignment horizontal="right" vertical="center"/>
    </xf>
    <xf numFmtId="0" fontId="66" fillId="42" borderId="5" xfId="0" applyFont="1" applyFill="1" applyBorder="1" applyAlignment="1">
      <alignment horizontal="right" vertical="center"/>
    </xf>
    <xf numFmtId="0" fontId="66" fillId="42" borderId="1" xfId="0" applyFont="1" applyFill="1" applyBorder="1" applyAlignment="1">
      <alignment horizontal="right" vertical="center"/>
    </xf>
    <xf numFmtId="0" fontId="0" fillId="42" borderId="15" xfId="0" applyFill="1" applyBorder="1" applyAlignment="1">
      <alignment vertical="center"/>
    </xf>
    <xf numFmtId="1" fontId="0" fillId="42" borderId="102" xfId="0" applyNumberFormat="1" applyFill="1" applyBorder="1" applyAlignment="1">
      <alignment vertical="center"/>
    </xf>
    <xf numFmtId="0" fontId="0" fillId="42" borderId="0" xfId="0" applyFill="1" applyAlignment="1">
      <alignment horizontal="center" vertical="center"/>
    </xf>
    <xf numFmtId="1" fontId="0" fillId="42" borderId="1" xfId="0" applyNumberFormat="1" applyFill="1" applyBorder="1" applyAlignment="1">
      <alignment horizontal="center" vertical="center"/>
    </xf>
    <xf numFmtId="1" fontId="0" fillId="42" borderId="0" xfId="0" applyNumberFormat="1" applyFill="1" applyAlignment="1">
      <alignment horizontal="center" vertical="center"/>
    </xf>
    <xf numFmtId="0" fontId="0" fillId="0" borderId="0" xfId="0"/>
    <xf numFmtId="0" fontId="15" fillId="0" borderId="0" xfId="2" applyFill="1" applyAlignment="1">
      <alignment horizontal="center" vertical="center"/>
    </xf>
    <xf numFmtId="0" fontId="0" fillId="6" borderId="52" xfId="0" applyFill="1" applyBorder="1"/>
    <xf numFmtId="0" fontId="0" fillId="6" borderId="33" xfId="0" applyFill="1" applyBorder="1"/>
    <xf numFmtId="0" fontId="0" fillId="6" borderId="34" xfId="0" applyFill="1" applyBorder="1"/>
    <xf numFmtId="0" fontId="25" fillId="11" borderId="32" xfId="0" applyFont="1" applyFill="1" applyBorder="1"/>
    <xf numFmtId="0" fontId="25" fillId="11" borderId="33" xfId="0" applyFont="1" applyFill="1" applyBorder="1"/>
    <xf numFmtId="0" fontId="25" fillId="11" borderId="100" xfId="0" applyFont="1" applyFill="1" applyBorder="1"/>
    <xf numFmtId="0" fontId="0" fillId="27" borderId="52" xfId="0" applyFill="1" applyBorder="1"/>
    <xf numFmtId="0" fontId="0" fillId="27" borderId="33" xfId="0" applyFill="1" applyBorder="1"/>
    <xf numFmtId="0" fontId="0" fillId="27" borderId="34" xfId="0" applyFill="1" applyBorder="1"/>
    <xf numFmtId="167" fontId="19" fillId="0" borderId="72" xfId="0" applyNumberFormat="1" applyFont="1" applyBorder="1" applyAlignment="1">
      <alignment horizontal="right"/>
    </xf>
    <xf numFmtId="3" fontId="71" fillId="53" borderId="101" xfId="0" applyNumberFormat="1" applyFont="1" applyFill="1" applyBorder="1" applyAlignment="1">
      <alignment horizontal="center" vertical="center"/>
    </xf>
    <xf numFmtId="0" fontId="68" fillId="0" borderId="4" xfId="0" applyFont="1" applyBorder="1" applyAlignment="1">
      <alignment horizontal="right"/>
    </xf>
    <xf numFmtId="0" fontId="68" fillId="0" borderId="7" xfId="0" applyFont="1" applyBorder="1" applyAlignment="1">
      <alignment horizontal="right"/>
    </xf>
    <xf numFmtId="0" fontId="69" fillId="0" borderId="7" xfId="0" applyFont="1" applyBorder="1" applyAlignment="1">
      <alignment horizontal="right"/>
    </xf>
    <xf numFmtId="0" fontId="69" fillId="0" borderId="7" xfId="0" applyFont="1" applyBorder="1" applyAlignment="1">
      <alignment horizontal="right" vertical="center"/>
    </xf>
    <xf numFmtId="0" fontId="69" fillId="0" borderId="7" xfId="0" applyFont="1" applyBorder="1" applyAlignment="1">
      <alignment horizontal="right" vertical="top" wrapText="1"/>
    </xf>
    <xf numFmtId="0" fontId="68" fillId="0" borderId="9" xfId="0" applyFont="1" applyBorder="1" applyAlignment="1">
      <alignment horizontal="right"/>
    </xf>
    <xf numFmtId="0" fontId="68" fillId="7" borderId="5" xfId="0" applyFont="1" applyFill="1" applyBorder="1" applyAlignment="1">
      <alignment horizontal="right"/>
    </xf>
    <xf numFmtId="0" fontId="68" fillId="7" borderId="1" xfId="0" applyFont="1" applyFill="1" applyBorder="1" applyAlignment="1">
      <alignment horizontal="right"/>
    </xf>
    <xf numFmtId="0" fontId="68" fillId="7" borderId="10" xfId="0" applyFont="1" applyFill="1" applyBorder="1" applyAlignment="1">
      <alignment horizontal="right"/>
    </xf>
    <xf numFmtId="0" fontId="68" fillId="7" borderId="6" xfId="0" applyFont="1" applyFill="1" applyBorder="1" applyAlignment="1">
      <alignment horizontal="right"/>
    </xf>
    <xf numFmtId="0" fontId="68" fillId="7" borderId="8" xfId="0" applyFont="1" applyFill="1" applyBorder="1" applyAlignment="1">
      <alignment horizontal="right"/>
    </xf>
    <xf numFmtId="0" fontId="68" fillId="7" borderId="11" xfId="0" applyFont="1" applyFill="1" applyBorder="1" applyAlignment="1">
      <alignment horizontal="right"/>
    </xf>
    <xf numFmtId="0" fontId="73" fillId="0" borderId="0" xfId="0" applyFont="1" applyAlignment="1"/>
    <xf numFmtId="0" fontId="73" fillId="17" borderId="0" xfId="0" applyFont="1" applyFill="1" applyAlignment="1"/>
    <xf numFmtId="0" fontId="78" fillId="0" borderId="0" xfId="0" applyFont="1" applyFill="1" applyBorder="1" applyAlignment="1" applyProtection="1">
      <alignment horizontal="right" vertical="center"/>
      <protection hidden="1"/>
    </xf>
    <xf numFmtId="3" fontId="78" fillId="0" borderId="0" xfId="0" applyNumberFormat="1" applyFont="1" applyFill="1" applyBorder="1" applyAlignment="1" applyProtection="1">
      <alignment horizontal="right" vertical="center"/>
      <protection hidden="1"/>
    </xf>
    <xf numFmtId="0" fontId="73" fillId="0" borderId="0" xfId="0" applyFont="1" applyAlignment="1">
      <alignment horizontal="left"/>
    </xf>
    <xf numFmtId="49" fontId="73" fillId="0" borderId="0" xfId="0" applyNumberFormat="1" applyFont="1" applyAlignment="1">
      <alignment horizontal="center"/>
    </xf>
    <xf numFmtId="0" fontId="72" fillId="17" borderId="0" xfId="0" applyFont="1" applyFill="1" applyAlignment="1"/>
    <xf numFmtId="0" fontId="0" fillId="0" borderId="0" xfId="0" applyAlignment="1">
      <alignment horizontal="left" vertical="top"/>
    </xf>
    <xf numFmtId="0" fontId="4" fillId="7" borderId="0" xfId="0" applyFont="1" applyFill="1" applyBorder="1" applyAlignment="1">
      <alignment horizontal="center" vertical="center" wrapText="1"/>
    </xf>
    <xf numFmtId="169" fontId="4" fillId="17" borderId="28" xfId="0" applyNumberFormat="1" applyFont="1" applyFill="1" applyBorder="1" applyAlignment="1">
      <alignment horizontal="center" vertical="center"/>
    </xf>
    <xf numFmtId="0" fontId="78" fillId="0" borderId="38" xfId="0" applyFont="1" applyFill="1" applyBorder="1" applyAlignment="1" applyProtection="1">
      <alignment horizontal="right" vertical="center"/>
      <protection hidden="1"/>
    </xf>
    <xf numFmtId="0" fontId="78" fillId="0" borderId="39" xfId="0" applyFont="1" applyFill="1" applyBorder="1" applyAlignment="1" applyProtection="1">
      <alignment horizontal="right" vertical="center"/>
      <protection hidden="1"/>
    </xf>
    <xf numFmtId="3" fontId="78" fillId="0" borderId="38" xfId="0" applyNumberFormat="1" applyFont="1" applyFill="1" applyBorder="1" applyAlignment="1" applyProtection="1">
      <alignment horizontal="right" vertical="center"/>
      <protection hidden="1"/>
    </xf>
    <xf numFmtId="3" fontId="78" fillId="0" borderId="39" xfId="0" applyNumberFormat="1" applyFont="1" applyFill="1" applyBorder="1" applyAlignment="1" applyProtection="1">
      <alignment horizontal="right" vertical="center"/>
      <protection hidden="1"/>
    </xf>
    <xf numFmtId="0" fontId="78" fillId="0" borderId="27" xfId="0" applyFont="1" applyFill="1" applyBorder="1" applyAlignment="1" applyProtection="1">
      <alignment horizontal="right" vertical="center"/>
      <protection hidden="1"/>
    </xf>
    <xf numFmtId="3" fontId="78" fillId="0" borderId="27" xfId="0" applyNumberFormat="1" applyFont="1" applyFill="1" applyBorder="1" applyAlignment="1" applyProtection="1">
      <alignment horizontal="right" vertical="center"/>
      <protection hidden="1"/>
    </xf>
    <xf numFmtId="0" fontId="12" fillId="0" borderId="37" xfId="0" applyFont="1" applyBorder="1"/>
    <xf numFmtId="0" fontId="59" fillId="17" borderId="38" xfId="0" applyFont="1" applyFill="1" applyBorder="1" applyAlignment="1">
      <alignment horizontal="left" vertical="center"/>
    </xf>
    <xf numFmtId="0" fontId="59" fillId="17" borderId="0" xfId="0" applyFont="1" applyFill="1" applyBorder="1" applyAlignment="1">
      <alignment horizontal="left" vertical="center"/>
    </xf>
    <xf numFmtId="0" fontId="59" fillId="7" borderId="0" xfId="0" applyFont="1" applyFill="1" applyBorder="1" applyAlignment="1">
      <alignment horizontal="left" vertical="center"/>
    </xf>
    <xf numFmtId="0" fontId="59" fillId="17" borderId="40" xfId="0" applyFont="1" applyFill="1" applyBorder="1" applyAlignment="1">
      <alignment horizontal="left" vertical="center"/>
    </xf>
    <xf numFmtId="0" fontId="59" fillId="17" borderId="41" xfId="0" applyFont="1" applyFill="1" applyBorder="1" applyAlignment="1">
      <alignment horizontal="left" vertical="center"/>
    </xf>
    <xf numFmtId="0" fontId="12" fillId="7" borderId="39" xfId="0" applyFont="1" applyFill="1" applyBorder="1"/>
    <xf numFmtId="0" fontId="12" fillId="17" borderId="0" xfId="0" applyFont="1" applyFill="1" applyBorder="1"/>
    <xf numFmtId="0" fontId="12" fillId="17" borderId="39" xfId="0" applyFont="1" applyFill="1" applyBorder="1"/>
    <xf numFmtId="3" fontId="12" fillId="7" borderId="0" xfId="0" applyNumberFormat="1" applyFont="1" applyFill="1" applyBorder="1"/>
    <xf numFmtId="0" fontId="12" fillId="7" borderId="0" xfId="0" applyFont="1" applyFill="1" applyBorder="1"/>
    <xf numFmtId="0" fontId="12" fillId="17" borderId="41" xfId="0" applyFont="1" applyFill="1" applyBorder="1"/>
    <xf numFmtId="0" fontId="12" fillId="17" borderId="42" xfId="0" applyFont="1" applyFill="1" applyBorder="1"/>
    <xf numFmtId="0" fontId="12" fillId="17" borderId="36" xfId="0" applyFont="1" applyFill="1" applyBorder="1"/>
    <xf numFmtId="0" fontId="12" fillId="17" borderId="37" xfId="0" applyFont="1" applyFill="1" applyBorder="1"/>
    <xf numFmtId="0" fontId="12" fillId="17" borderId="38" xfId="0" applyFont="1" applyFill="1" applyBorder="1"/>
    <xf numFmtId="0" fontId="12" fillId="17" borderId="40" xfId="0" applyFont="1" applyFill="1" applyBorder="1"/>
    <xf numFmtId="0" fontId="12" fillId="17" borderId="27" xfId="0" applyFont="1" applyFill="1" applyBorder="1"/>
    <xf numFmtId="0" fontId="12" fillId="17" borderId="28" xfId="0" applyFont="1" applyFill="1" applyBorder="1"/>
    <xf numFmtId="0" fontId="12" fillId="7" borderId="15" xfId="0" applyFont="1" applyFill="1" applyBorder="1"/>
    <xf numFmtId="0" fontId="12" fillId="7" borderId="46" xfId="0" applyFont="1" applyFill="1" applyBorder="1"/>
    <xf numFmtId="0" fontId="12" fillId="7" borderId="81" xfId="0" applyFont="1" applyFill="1" applyBorder="1"/>
    <xf numFmtId="0" fontId="12" fillId="7" borderId="105" xfId="0" applyFont="1" applyFill="1" applyBorder="1"/>
    <xf numFmtId="3" fontId="0" fillId="0" borderId="53" xfId="0" applyNumberFormat="1" applyBorder="1"/>
    <xf numFmtId="3" fontId="71" fillId="53" borderId="45" xfId="0" applyNumberFormat="1" applyFont="1" applyFill="1" applyBorder="1" applyAlignment="1">
      <alignment horizontal="center" vertical="center"/>
    </xf>
    <xf numFmtId="3" fontId="71" fillId="53" borderId="46" xfId="0" applyNumberFormat="1" applyFont="1" applyFill="1" applyBorder="1" applyAlignment="1">
      <alignment horizontal="center" vertical="center"/>
    </xf>
    <xf numFmtId="3" fontId="5" fillId="15" borderId="133" xfId="0" applyNumberFormat="1" applyFont="1" applyFill="1" applyBorder="1"/>
    <xf numFmtId="3" fontId="5" fillId="15" borderId="134" xfId="0" applyNumberFormat="1" applyFont="1" applyFill="1" applyBorder="1"/>
    <xf numFmtId="3" fontId="5" fillId="15" borderId="135" xfId="0" applyNumberFormat="1" applyFont="1" applyFill="1" applyBorder="1"/>
    <xf numFmtId="0" fontId="11" fillId="0" borderId="112" xfId="0" applyFont="1" applyBorder="1"/>
    <xf numFmtId="0" fontId="4" fillId="15" borderId="22" xfId="0" applyFont="1" applyFill="1" applyBorder="1"/>
    <xf numFmtId="0" fontId="11" fillId="0" borderId="131" xfId="0" applyFont="1" applyBorder="1"/>
    <xf numFmtId="0" fontId="0" fillId="0" borderId="131" xfId="0" applyBorder="1"/>
    <xf numFmtId="0" fontId="25" fillId="0" borderId="113" xfId="0" applyFont="1" applyBorder="1"/>
    <xf numFmtId="0" fontId="4" fillId="15" borderId="133" xfId="0" applyFont="1" applyFill="1" applyBorder="1"/>
    <xf numFmtId="3" fontId="11" fillId="0" borderId="53" xfId="0" applyNumberFormat="1" applyFont="1" applyBorder="1"/>
    <xf numFmtId="0" fontId="12" fillId="15" borderId="22" xfId="0" applyFont="1" applyFill="1" applyBorder="1"/>
    <xf numFmtId="0" fontId="12" fillId="15" borderId="39" xfId="0" applyFont="1" applyFill="1" applyBorder="1"/>
    <xf numFmtId="0" fontId="59" fillId="7" borderId="0" xfId="0" applyFont="1" applyFill="1" applyBorder="1" applyAlignment="1">
      <alignment vertical="center"/>
    </xf>
    <xf numFmtId="0" fontId="60" fillId="17" borderId="0" xfId="0" applyFont="1" applyFill="1" applyBorder="1" applyAlignment="1">
      <alignment vertical="center"/>
    </xf>
    <xf numFmtId="0" fontId="59" fillId="33" borderId="0" xfId="0" applyFont="1" applyFill="1" applyBorder="1" applyAlignment="1">
      <alignment horizontal="left" vertical="center"/>
    </xf>
    <xf numFmtId="0" fontId="60" fillId="33" borderId="0" xfId="0" applyFont="1" applyFill="1" applyBorder="1" applyAlignment="1">
      <alignment vertical="center"/>
    </xf>
    <xf numFmtId="0" fontId="59" fillId="33" borderId="0" xfId="0" applyFont="1" applyFill="1" applyBorder="1" applyAlignment="1">
      <alignment vertical="center"/>
    </xf>
    <xf numFmtId="0" fontId="59" fillId="17" borderId="138" xfId="0" applyFont="1" applyFill="1" applyBorder="1" applyAlignment="1">
      <alignment horizontal="left" vertical="center"/>
    </xf>
    <xf numFmtId="0" fontId="59" fillId="17" borderId="139" xfId="0" applyFont="1" applyFill="1" applyBorder="1" applyAlignment="1">
      <alignment horizontal="left" vertical="center"/>
    </xf>
    <xf numFmtId="0" fontId="59" fillId="7" borderId="142" xfId="0" applyFont="1" applyFill="1" applyBorder="1" applyAlignment="1">
      <alignment horizontal="left" vertical="center"/>
    </xf>
    <xf numFmtId="0" fontId="59" fillId="17" borderId="142" xfId="0" applyFont="1" applyFill="1" applyBorder="1" applyAlignment="1">
      <alignment horizontal="left" vertical="center"/>
    </xf>
    <xf numFmtId="0" fontId="59" fillId="33" borderId="141" xfId="0" applyFont="1" applyFill="1" applyBorder="1" applyAlignment="1">
      <alignment horizontal="left" vertical="center"/>
    </xf>
    <xf numFmtId="0" fontId="59" fillId="33" borderId="136" xfId="0" applyFont="1" applyFill="1" applyBorder="1" applyAlignment="1">
      <alignment horizontal="left" vertical="center"/>
    </xf>
    <xf numFmtId="0" fontId="59" fillId="33" borderId="142" xfId="0" applyFont="1" applyFill="1" applyBorder="1" applyAlignment="1">
      <alignment horizontal="left" vertical="center"/>
    </xf>
    <xf numFmtId="0" fontId="59" fillId="33" borderId="144" xfId="0" applyFont="1" applyFill="1" applyBorder="1" applyAlignment="1">
      <alignment horizontal="left" vertical="center"/>
    </xf>
    <xf numFmtId="0" fontId="59" fillId="33" borderId="145" xfId="0" applyFont="1" applyFill="1" applyBorder="1" applyAlignment="1">
      <alignment horizontal="left" vertical="center"/>
    </xf>
    <xf numFmtId="0" fontId="12" fillId="33" borderId="0" xfId="0" applyFont="1" applyFill="1" applyBorder="1"/>
    <xf numFmtId="3" fontId="12" fillId="33" borderId="0" xfId="0" applyNumberFormat="1" applyFont="1" applyFill="1" applyBorder="1"/>
    <xf numFmtId="0" fontId="12" fillId="33" borderId="39" xfId="0" applyFont="1" applyFill="1" applyBorder="1"/>
    <xf numFmtId="3" fontId="12" fillId="33" borderId="39" xfId="0" applyNumberFormat="1" applyFont="1" applyFill="1" applyBorder="1"/>
    <xf numFmtId="0" fontId="12" fillId="33" borderId="41" xfId="0" applyFont="1" applyFill="1" applyBorder="1"/>
    <xf numFmtId="0" fontId="12" fillId="33" borderId="42" xfId="0" applyFont="1" applyFill="1" applyBorder="1"/>
    <xf numFmtId="3" fontId="12" fillId="17" borderId="0" xfId="0" applyNumberFormat="1" applyFont="1" applyFill="1" applyBorder="1"/>
    <xf numFmtId="3" fontId="12" fillId="17" borderId="39" xfId="0" applyNumberFormat="1" applyFont="1" applyFill="1" applyBorder="1"/>
    <xf numFmtId="0" fontId="59" fillId="17" borderId="139" xfId="0" applyFont="1" applyFill="1" applyBorder="1" applyAlignment="1">
      <alignment vertical="center"/>
    </xf>
    <xf numFmtId="0" fontId="60" fillId="33" borderId="136" xfId="0" applyFont="1" applyFill="1" applyBorder="1" applyAlignment="1">
      <alignment vertical="center"/>
    </xf>
    <xf numFmtId="0" fontId="59" fillId="33" borderId="145" xfId="0" applyFont="1" applyFill="1" applyBorder="1" applyAlignment="1">
      <alignment vertical="center"/>
    </xf>
    <xf numFmtId="3" fontId="12" fillId="7" borderId="39" xfId="0" applyNumberFormat="1" applyFont="1" applyFill="1" applyBorder="1"/>
    <xf numFmtId="0" fontId="12" fillId="7" borderId="103" xfId="0" applyFont="1" applyFill="1" applyBorder="1"/>
    <xf numFmtId="0" fontId="12" fillId="7" borderId="124" xfId="0" applyFont="1" applyFill="1" applyBorder="1"/>
    <xf numFmtId="0" fontId="12" fillId="7" borderId="125" xfId="0" applyFont="1" applyFill="1" applyBorder="1"/>
    <xf numFmtId="0" fontId="12" fillId="33" borderId="145" xfId="0" applyFont="1" applyFill="1" applyBorder="1"/>
    <xf numFmtId="0" fontId="12" fillId="7" borderId="152" xfId="0" applyFont="1" applyFill="1" applyBorder="1"/>
    <xf numFmtId="0" fontId="12" fillId="7" borderId="153" xfId="0" applyFont="1" applyFill="1" applyBorder="1"/>
    <xf numFmtId="3" fontId="0" fillId="33" borderId="0" xfId="0" applyNumberFormat="1" applyFill="1"/>
    <xf numFmtId="0" fontId="0" fillId="33" borderId="156" xfId="0" applyFill="1" applyBorder="1"/>
    <xf numFmtId="3" fontId="0" fillId="47" borderId="156" xfId="0" applyNumberFormat="1" applyFill="1" applyBorder="1"/>
    <xf numFmtId="3" fontId="0" fillId="55" borderId="156" xfId="0" applyNumberFormat="1" applyFill="1" applyBorder="1"/>
    <xf numFmtId="3" fontId="0" fillId="33" borderId="148" xfId="0" applyNumberFormat="1" applyFill="1" applyBorder="1"/>
    <xf numFmtId="0" fontId="0" fillId="33" borderId="137" xfId="0" applyFill="1" applyBorder="1"/>
    <xf numFmtId="3" fontId="0" fillId="47" borderId="137" xfId="0" applyNumberFormat="1" applyFill="1" applyBorder="1"/>
    <xf numFmtId="3" fontId="0" fillId="55" borderId="137" xfId="0" applyNumberFormat="1" applyFill="1" applyBorder="1"/>
    <xf numFmtId="3" fontId="0" fillId="33" borderId="0" xfId="0" applyNumberFormat="1" applyFill="1" applyBorder="1"/>
    <xf numFmtId="0" fontId="12" fillId="7" borderId="159" xfId="0" applyFont="1" applyFill="1" applyBorder="1"/>
    <xf numFmtId="0" fontId="12" fillId="7" borderId="160" xfId="0" applyFont="1" applyFill="1" applyBorder="1"/>
    <xf numFmtId="0" fontId="12" fillId="7" borderId="161" xfId="0" applyFont="1" applyFill="1" applyBorder="1"/>
    <xf numFmtId="0" fontId="12" fillId="7" borderId="137" xfId="0" applyFont="1" applyFill="1" applyBorder="1"/>
    <xf numFmtId="0" fontId="12" fillId="7" borderId="162" xfId="0" applyFont="1" applyFill="1" applyBorder="1"/>
    <xf numFmtId="3" fontId="25" fillId="0" borderId="0" xfId="0" applyNumberFormat="1" applyFont="1" applyFill="1" applyBorder="1"/>
    <xf numFmtId="0" fontId="78" fillId="0" borderId="143" xfId="0" applyFont="1" applyFill="1" applyBorder="1" applyAlignment="1" applyProtection="1">
      <alignment horizontal="right" vertical="center"/>
      <protection hidden="1"/>
    </xf>
    <xf numFmtId="3" fontId="78" fillId="0" borderId="143" xfId="0" applyNumberFormat="1" applyFont="1" applyFill="1" applyBorder="1" applyAlignment="1" applyProtection="1">
      <alignment horizontal="right" vertical="center"/>
      <protection hidden="1"/>
    </xf>
    <xf numFmtId="43" fontId="0" fillId="0" borderId="0" xfId="3" applyFont="1"/>
    <xf numFmtId="0" fontId="78" fillId="0" borderId="148" xfId="0" applyFont="1" applyFill="1" applyBorder="1" applyAlignment="1" applyProtection="1">
      <alignment horizontal="right" vertical="center"/>
      <protection hidden="1"/>
    </xf>
    <xf numFmtId="3" fontId="78" fillId="0" borderId="148" xfId="0" applyNumberFormat="1" applyFont="1" applyFill="1" applyBorder="1" applyAlignment="1" applyProtection="1">
      <alignment horizontal="right" vertical="center"/>
      <protection hidden="1"/>
    </xf>
    <xf numFmtId="3" fontId="0" fillId="0" borderId="0" xfId="0" applyNumberFormat="1"/>
    <xf numFmtId="3" fontId="0" fillId="17" borderId="0" xfId="0" applyNumberFormat="1" applyFill="1" applyBorder="1"/>
    <xf numFmtId="3" fontId="0" fillId="17" borderId="143" xfId="0" applyNumberFormat="1" applyFill="1" applyBorder="1"/>
    <xf numFmtId="0" fontId="5" fillId="17" borderId="145" xfId="0" applyFont="1" applyFill="1" applyBorder="1"/>
    <xf numFmtId="3" fontId="5" fillId="17" borderId="146" xfId="0" applyNumberFormat="1" applyFont="1" applyFill="1" applyBorder="1"/>
    <xf numFmtId="3" fontId="0" fillId="33" borderId="143" xfId="0" applyNumberFormat="1" applyFill="1" applyBorder="1"/>
    <xf numFmtId="3" fontId="0" fillId="33" borderId="139" xfId="0" applyNumberFormat="1" applyFill="1" applyBorder="1"/>
    <xf numFmtId="3" fontId="0" fillId="33" borderId="140" xfId="0" applyNumberFormat="1" applyFill="1" applyBorder="1"/>
    <xf numFmtId="1" fontId="25" fillId="0" borderId="0" xfId="0" applyNumberFormat="1" applyFont="1" applyFill="1" applyBorder="1"/>
    <xf numFmtId="3" fontId="12" fillId="0" borderId="0" xfId="0" applyNumberFormat="1" applyFont="1"/>
    <xf numFmtId="0" fontId="79" fillId="0" borderId="0" xfId="0" applyFont="1"/>
    <xf numFmtId="0" fontId="12" fillId="15" borderId="0" xfId="0" applyFont="1" applyFill="1" applyBorder="1"/>
    <xf numFmtId="0" fontId="60" fillId="17" borderId="41" xfId="0" applyFont="1" applyFill="1" applyBorder="1" applyAlignment="1">
      <alignment vertical="center"/>
    </xf>
    <xf numFmtId="0" fontId="79" fillId="0" borderId="41" xfId="0" applyFont="1" applyBorder="1" applyAlignment="1"/>
    <xf numFmtId="0" fontId="12" fillId="0" borderId="41" xfId="0" applyFont="1" applyBorder="1" applyAlignment="1"/>
    <xf numFmtId="0" fontId="12" fillId="0" borderId="27" xfId="0" applyFont="1" applyBorder="1"/>
    <xf numFmtId="3" fontId="12" fillId="0" borderId="27" xfId="0" applyNumberFormat="1" applyFont="1" applyBorder="1"/>
    <xf numFmtId="0" fontId="77" fillId="0" borderId="0" xfId="2" applyFont="1" applyFill="1" applyAlignment="1">
      <alignment vertical="center"/>
    </xf>
    <xf numFmtId="0" fontId="0" fillId="33" borderId="142" xfId="0" applyFill="1" applyBorder="1" applyAlignment="1"/>
    <xf numFmtId="0" fontId="0" fillId="33" borderId="0" xfId="0" applyFill="1" applyBorder="1" applyAlignment="1"/>
    <xf numFmtId="0" fontId="59" fillId="17" borderId="26" xfId="0" applyFont="1" applyFill="1" applyBorder="1" applyAlignment="1">
      <alignment vertical="center"/>
    </xf>
    <xf numFmtId="0" fontId="60" fillId="33" borderId="27" xfId="0" applyFont="1" applyFill="1" applyBorder="1" applyAlignment="1">
      <alignment vertical="center"/>
    </xf>
    <xf numFmtId="0" fontId="59" fillId="33" borderId="27" xfId="0" applyFont="1" applyFill="1" applyBorder="1" applyAlignment="1">
      <alignment vertical="center"/>
    </xf>
    <xf numFmtId="0" fontId="59" fillId="7" borderId="27" xfId="0" applyFont="1" applyFill="1" applyBorder="1" applyAlignment="1">
      <alignment vertical="center"/>
    </xf>
    <xf numFmtId="0" fontId="60" fillId="17" borderId="27" xfId="0" applyFont="1" applyFill="1" applyBorder="1" applyAlignment="1">
      <alignment vertical="center"/>
    </xf>
    <xf numFmtId="0" fontId="59" fillId="33" borderId="169" xfId="0" applyFont="1" applyFill="1" applyBorder="1" applyAlignment="1">
      <alignment vertical="center"/>
    </xf>
    <xf numFmtId="0" fontId="60" fillId="17" borderId="28" xfId="0" applyFont="1" applyFill="1" applyBorder="1" applyAlignment="1">
      <alignment vertical="center"/>
    </xf>
    <xf numFmtId="0" fontId="12" fillId="15" borderId="44" xfId="0" applyFont="1" applyFill="1" applyBorder="1"/>
    <xf numFmtId="0" fontId="12" fillId="0" borderId="0" xfId="0" applyFont="1" applyBorder="1" applyAlignment="1"/>
    <xf numFmtId="0" fontId="5" fillId="42" borderId="0" xfId="0" applyFont="1" applyFill="1" applyAlignment="1">
      <alignment horizontal="center" vertical="center"/>
    </xf>
    <xf numFmtId="1" fontId="5" fillId="42" borderId="0" xfId="0" applyNumberFormat="1" applyFont="1" applyFill="1" applyAlignment="1">
      <alignment horizontal="center" vertical="center"/>
    </xf>
    <xf numFmtId="1" fontId="5" fillId="0" borderId="0" xfId="0" applyNumberFormat="1" applyFont="1" applyAlignment="1">
      <alignment horizontal="center" vertical="center"/>
    </xf>
    <xf numFmtId="0" fontId="5" fillId="8" borderId="40" xfId="0" applyFont="1" applyFill="1" applyBorder="1" applyAlignment="1">
      <alignment vertical="center"/>
    </xf>
    <xf numFmtId="0" fontId="5" fillId="8" borderId="41" xfId="0" applyFont="1" applyFill="1" applyBorder="1" applyAlignment="1">
      <alignment vertical="center"/>
    </xf>
    <xf numFmtId="0" fontId="5" fillId="8" borderId="0" xfId="0" applyFont="1" applyFill="1" applyBorder="1" applyAlignment="1">
      <alignment vertical="center"/>
    </xf>
    <xf numFmtId="0" fontId="5" fillId="7" borderId="7" xfId="0" applyFont="1" applyFill="1" applyBorder="1" applyAlignment="1">
      <alignment vertical="center"/>
    </xf>
    <xf numFmtId="0" fontId="5" fillId="7" borderId="1" xfId="0" applyFont="1" applyFill="1" applyBorder="1" applyAlignment="1">
      <alignment vertical="center"/>
    </xf>
    <xf numFmtId="0" fontId="5" fillId="13" borderId="1" xfId="0" applyFont="1" applyFill="1" applyBorder="1" applyAlignment="1">
      <alignment vertical="center"/>
    </xf>
    <xf numFmtId="0" fontId="5" fillId="0" borderId="38" xfId="0" applyFont="1" applyBorder="1"/>
    <xf numFmtId="0" fontId="5" fillId="0" borderId="0" xfId="0" applyFont="1" applyBorder="1"/>
    <xf numFmtId="167" fontId="5" fillId="0" borderId="7" xfId="0" applyNumberFormat="1" applyFont="1" applyBorder="1"/>
    <xf numFmtId="167" fontId="5" fillId="0" borderId="1" xfId="0" applyNumberFormat="1" applyFont="1" applyBorder="1"/>
    <xf numFmtId="168" fontId="5" fillId="0" borderId="7" xfId="0" applyNumberFormat="1" applyFont="1" applyBorder="1"/>
    <xf numFmtId="168" fontId="5" fillId="0" borderId="1" xfId="0" applyNumberFormat="1" applyFont="1" applyBorder="1"/>
    <xf numFmtId="9" fontId="5" fillId="0" borderId="8" xfId="1" applyFont="1" applyBorder="1"/>
    <xf numFmtId="9" fontId="5" fillId="33" borderId="0" xfId="1" applyFont="1" applyFill="1" applyBorder="1"/>
    <xf numFmtId="9" fontId="5" fillId="0" borderId="2" xfId="1" applyFont="1" applyBorder="1"/>
    <xf numFmtId="168" fontId="5" fillId="0" borderId="0" xfId="0" applyNumberFormat="1" applyFont="1"/>
    <xf numFmtId="9" fontId="5" fillId="0" borderId="0" xfId="1" applyFont="1"/>
    <xf numFmtId="0" fontId="3" fillId="23" borderId="86" xfId="0" applyFont="1" applyFill="1" applyBorder="1"/>
    <xf numFmtId="167" fontId="1" fillId="38" borderId="93" xfId="0" applyNumberFormat="1" applyFont="1" applyFill="1" applyBorder="1" applyAlignment="1">
      <alignment horizontal="center"/>
    </xf>
    <xf numFmtId="167" fontId="1" fillId="38" borderId="80" xfId="0" applyNumberFormat="1" applyFont="1" applyFill="1" applyBorder="1" applyAlignment="1">
      <alignment horizontal="center"/>
    </xf>
    <xf numFmtId="167" fontId="1" fillId="38" borderId="129" xfId="0" applyNumberFormat="1" applyFont="1" applyFill="1" applyBorder="1" applyAlignment="1">
      <alignment horizontal="center"/>
    </xf>
    <xf numFmtId="167" fontId="1" fillId="8" borderId="85" xfId="0" applyNumberFormat="1" applyFont="1" applyFill="1" applyBorder="1" applyAlignment="1">
      <alignment horizontal="right"/>
    </xf>
    <xf numFmtId="0" fontId="12" fillId="17" borderId="26" xfId="0" applyFont="1" applyFill="1" applyBorder="1"/>
    <xf numFmtId="0" fontId="12" fillId="33" borderId="27" xfId="0" applyFont="1" applyFill="1" applyBorder="1"/>
    <xf numFmtId="3" fontId="12" fillId="33" borderId="27" xfId="0" applyNumberFormat="1" applyFont="1" applyFill="1" applyBorder="1"/>
    <xf numFmtId="3" fontId="12" fillId="17" borderId="27" xfId="0" applyNumberFormat="1" applyFont="1" applyFill="1" applyBorder="1"/>
    <xf numFmtId="0" fontId="12" fillId="7" borderId="27" xfId="0" applyFont="1" applyFill="1" applyBorder="1"/>
    <xf numFmtId="3" fontId="0" fillId="33" borderId="27" xfId="0" applyNumberFormat="1" applyFill="1" applyBorder="1"/>
    <xf numFmtId="0" fontId="12" fillId="33" borderId="28" xfId="0" applyFont="1" applyFill="1" applyBorder="1"/>
    <xf numFmtId="0" fontId="12" fillId="17" borderId="170" xfId="0" applyFont="1" applyFill="1" applyBorder="1"/>
    <xf numFmtId="0" fontId="12" fillId="33" borderId="38" xfId="0" applyFont="1" applyFill="1" applyBorder="1"/>
    <xf numFmtId="3" fontId="12" fillId="33" borderId="38" xfId="0" applyNumberFormat="1" applyFont="1" applyFill="1" applyBorder="1"/>
    <xf numFmtId="0" fontId="12" fillId="7" borderId="38" xfId="0" applyFont="1" applyFill="1" applyBorder="1"/>
    <xf numFmtId="3" fontId="12" fillId="17" borderId="38" xfId="0" applyNumberFormat="1" applyFont="1" applyFill="1" applyBorder="1"/>
    <xf numFmtId="0" fontId="12" fillId="33" borderId="40" xfId="0" applyFont="1" applyFill="1" applyBorder="1"/>
    <xf numFmtId="0" fontId="12" fillId="33" borderId="26" xfId="0" applyFont="1" applyFill="1" applyBorder="1"/>
    <xf numFmtId="0" fontId="12" fillId="17" borderId="145" xfId="0" applyFont="1" applyFill="1" applyBorder="1"/>
    <xf numFmtId="0" fontId="12" fillId="33" borderId="35" xfId="0" applyFont="1" applyFill="1" applyBorder="1"/>
    <xf numFmtId="0" fontId="12" fillId="33" borderId="36" xfId="0" applyFont="1" applyFill="1" applyBorder="1"/>
    <xf numFmtId="0" fontId="12" fillId="33" borderId="37" xfId="0" applyFont="1" applyFill="1" applyBorder="1"/>
    <xf numFmtId="0" fontId="12" fillId="17" borderId="35" xfId="0" applyFont="1" applyFill="1" applyBorder="1"/>
    <xf numFmtId="3" fontId="12" fillId="7" borderId="38" xfId="0" applyNumberFormat="1" applyFont="1" applyFill="1" applyBorder="1"/>
    <xf numFmtId="3" fontId="12" fillId="17" borderId="35" xfId="0" applyNumberFormat="1" applyFont="1" applyFill="1" applyBorder="1"/>
    <xf numFmtId="3" fontId="0" fillId="33" borderId="39" xfId="0" applyNumberFormat="1" applyFill="1" applyBorder="1"/>
    <xf numFmtId="0" fontId="12" fillId="33" borderId="167" xfId="0" applyFont="1" applyFill="1" applyBorder="1"/>
    <xf numFmtId="0" fontId="12" fillId="33" borderId="171" xfId="0" applyFont="1" applyFill="1" applyBorder="1"/>
    <xf numFmtId="3" fontId="12" fillId="17" borderId="40" xfId="0" applyNumberFormat="1" applyFont="1" applyFill="1" applyBorder="1"/>
    <xf numFmtId="0" fontId="0" fillId="7" borderId="1" xfId="0" applyFill="1" applyBorder="1" applyAlignment="1">
      <alignment horizontal="left" vertical="center"/>
    </xf>
    <xf numFmtId="0" fontId="0" fillId="0" borderId="37" xfId="0" applyBorder="1" applyAlignment="1">
      <alignment horizontal="left" indent="2"/>
    </xf>
    <xf numFmtId="0" fontId="0" fillId="0" borderId="39" xfId="0" applyBorder="1" applyAlignment="1">
      <alignment horizontal="left" indent="2"/>
    </xf>
    <xf numFmtId="0" fontId="0" fillId="0" borderId="39" xfId="0" applyBorder="1"/>
    <xf numFmtId="0" fontId="0" fillId="0" borderId="42" xfId="0" applyBorder="1" applyAlignment="1">
      <alignment horizontal="left" indent="2"/>
    </xf>
    <xf numFmtId="0" fontId="4" fillId="15" borderId="172" xfId="0" applyFont="1" applyFill="1" applyBorder="1"/>
    <xf numFmtId="0" fontId="4" fillId="15" borderId="173" xfId="0" applyFont="1" applyFill="1" applyBorder="1"/>
    <xf numFmtId="0" fontId="4" fillId="15" borderId="174" xfId="0" applyFont="1" applyFill="1" applyBorder="1"/>
    <xf numFmtId="0" fontId="4" fillId="16" borderId="110" xfId="0" applyFont="1" applyFill="1" applyBorder="1"/>
    <xf numFmtId="3" fontId="11" fillId="0" borderId="110" xfId="0" applyNumberFormat="1" applyFont="1" applyBorder="1"/>
    <xf numFmtId="0" fontId="81" fillId="6" borderId="0" xfId="2" applyFont="1" applyFill="1" applyAlignment="1">
      <alignment horizontal="center" vertical="center"/>
    </xf>
    <xf numFmtId="0" fontId="77" fillId="6" borderId="0" xfId="2" applyFont="1" applyFill="1" applyAlignment="1">
      <alignment horizontal="center" vertical="center"/>
    </xf>
    <xf numFmtId="3" fontId="25" fillId="0" borderId="0" xfId="0" applyNumberFormat="1" applyFont="1" applyFill="1"/>
    <xf numFmtId="0" fontId="12" fillId="0" borderId="0" xfId="0" applyFont="1" applyFill="1" applyBorder="1" applyAlignment="1">
      <alignment horizontal="left"/>
    </xf>
    <xf numFmtId="49" fontId="12" fillId="0" borderId="0" xfId="0" applyNumberFormat="1" applyFont="1" applyFill="1" applyBorder="1" applyAlignment="1">
      <alignment horizontal="center"/>
    </xf>
    <xf numFmtId="0" fontId="12" fillId="0" borderId="0" xfId="0" applyFont="1" applyFill="1" applyBorder="1" applyAlignment="1"/>
    <xf numFmtId="0" fontId="59" fillId="17" borderId="14" xfId="0" applyFont="1" applyFill="1" applyBorder="1" applyAlignment="1" applyProtection="1">
      <alignment horizontal="left" vertical="center"/>
      <protection hidden="1"/>
    </xf>
    <xf numFmtId="0" fontId="59" fillId="17" borderId="15" xfId="0" applyFont="1" applyFill="1" applyBorder="1" applyAlignment="1" applyProtection="1">
      <alignment horizontal="left" vertical="center"/>
      <protection hidden="1"/>
    </xf>
    <xf numFmtId="49" fontId="59" fillId="17" borderId="16" xfId="0" applyNumberFormat="1" applyFont="1" applyFill="1" applyBorder="1" applyAlignment="1" applyProtection="1">
      <alignment horizontal="center" vertical="center"/>
      <protection hidden="1"/>
    </xf>
    <xf numFmtId="0" fontId="12" fillId="17" borderId="168" xfId="0" applyFont="1" applyFill="1" applyBorder="1"/>
    <xf numFmtId="0" fontId="12" fillId="17" borderId="163" xfId="0" applyFont="1" applyFill="1" applyBorder="1"/>
    <xf numFmtId="0" fontId="12" fillId="17" borderId="164" xfId="0" applyFont="1" applyFill="1" applyBorder="1"/>
    <xf numFmtId="0" fontId="12" fillId="17" borderId="111" xfId="0" applyFont="1" applyFill="1" applyBorder="1"/>
    <xf numFmtId="0" fontId="12" fillId="17" borderId="124" xfId="0" applyFont="1" applyFill="1" applyBorder="1"/>
    <xf numFmtId="0" fontId="12" fillId="17" borderId="125" xfId="0" applyFont="1" applyFill="1" applyBorder="1"/>
    <xf numFmtId="0" fontId="12" fillId="17" borderId="0" xfId="0" applyFont="1" applyFill="1" applyAlignment="1"/>
    <xf numFmtId="0" fontId="59" fillId="17" borderId="4" xfId="0" applyFont="1" applyFill="1" applyBorder="1" applyAlignment="1" applyProtection="1">
      <alignment horizontal="left" vertical="center"/>
      <protection hidden="1"/>
    </xf>
    <xf numFmtId="0" fontId="12" fillId="17" borderId="0" xfId="0" applyFont="1" applyFill="1" applyBorder="1" applyAlignment="1">
      <alignment vertical="center" wrapText="1"/>
    </xf>
    <xf numFmtId="0" fontId="12" fillId="17" borderId="0" xfId="0" applyFont="1" applyFill="1" applyBorder="1" applyAlignment="1"/>
    <xf numFmtId="0" fontId="59" fillId="17" borderId="9" xfId="0" applyFont="1" applyFill="1" applyBorder="1" applyAlignment="1" applyProtection="1">
      <alignment horizontal="left" vertical="center"/>
      <protection hidden="1"/>
    </xf>
    <xf numFmtId="0" fontId="12" fillId="17" borderId="165" xfId="0" applyFont="1" applyFill="1" applyBorder="1"/>
    <xf numFmtId="0" fontId="12" fillId="17" borderId="157" xfId="0" applyFont="1" applyFill="1" applyBorder="1"/>
    <xf numFmtId="0" fontId="12" fillId="17" borderId="158" xfId="0" applyFont="1" applyFill="1" applyBorder="1"/>
    <xf numFmtId="0" fontId="12" fillId="17" borderId="46" xfId="0" applyFont="1" applyFill="1" applyBorder="1"/>
    <xf numFmtId="0" fontId="12" fillId="17" borderId="22" xfId="0" applyFont="1" applyFill="1" applyBorder="1"/>
    <xf numFmtId="0" fontId="12" fillId="17" borderId="105" xfId="0" applyFont="1" applyFill="1" applyBorder="1"/>
    <xf numFmtId="0" fontId="12" fillId="17" borderId="15" xfId="0" applyFont="1" applyFill="1" applyBorder="1"/>
    <xf numFmtId="0" fontId="12" fillId="17" borderId="81" xfId="0" applyFont="1" applyFill="1" applyBorder="1"/>
    <xf numFmtId="0" fontId="12" fillId="0" borderId="0" xfId="0" applyFont="1" applyAlignment="1"/>
    <xf numFmtId="0" fontId="59" fillId="7" borderId="38" xfId="0" applyFont="1" applyFill="1" applyBorder="1" applyAlignment="1" applyProtection="1">
      <alignment horizontal="left" vertical="center"/>
      <protection hidden="1"/>
    </xf>
    <xf numFmtId="0" fontId="59" fillId="7" borderId="0" xfId="0" applyFont="1" applyFill="1" applyBorder="1" applyAlignment="1" applyProtection="1">
      <alignment horizontal="left" vertical="center"/>
      <protection hidden="1"/>
    </xf>
    <xf numFmtId="0" fontId="59" fillId="7" borderId="38" xfId="0" applyFont="1" applyFill="1" applyBorder="1" applyAlignment="1" applyProtection="1">
      <alignment horizontal="right" vertical="center"/>
      <protection hidden="1"/>
    </xf>
    <xf numFmtId="0" fontId="59" fillId="7" borderId="0" xfId="0" applyFont="1" applyFill="1" applyBorder="1" applyAlignment="1" applyProtection="1">
      <alignment horizontal="right" vertical="center"/>
      <protection hidden="1"/>
    </xf>
    <xf numFmtId="0" fontId="59" fillId="7" borderId="143" xfId="0" applyFont="1" applyFill="1" applyBorder="1" applyAlignment="1" applyProtection="1">
      <alignment horizontal="right" vertical="center"/>
      <protection hidden="1"/>
    </xf>
    <xf numFmtId="0" fontId="59" fillId="7" borderId="39" xfId="0" applyFont="1" applyFill="1" applyBorder="1" applyAlignment="1" applyProtection="1">
      <alignment horizontal="right" vertical="center"/>
      <protection hidden="1"/>
    </xf>
    <xf numFmtId="0" fontId="59" fillId="7" borderId="139" xfId="0" applyFont="1" applyFill="1" applyBorder="1" applyAlignment="1" applyProtection="1">
      <alignment horizontal="right" vertical="center"/>
      <protection hidden="1"/>
    </xf>
    <xf numFmtId="0" fontId="59" fillId="7" borderId="140" xfId="0" applyFont="1" applyFill="1" applyBorder="1" applyAlignment="1" applyProtection="1">
      <alignment horizontal="right" vertical="center"/>
      <protection hidden="1"/>
    </xf>
    <xf numFmtId="0" fontId="59" fillId="7" borderId="27" xfId="0" applyFont="1" applyFill="1" applyBorder="1" applyAlignment="1" applyProtection="1">
      <alignment horizontal="right" vertical="center"/>
      <protection hidden="1"/>
    </xf>
    <xf numFmtId="0" fontId="59" fillId="7" borderId="147" xfId="0" applyFont="1" applyFill="1" applyBorder="1" applyAlignment="1" applyProtection="1">
      <alignment horizontal="right" vertical="center"/>
      <protection hidden="1"/>
    </xf>
    <xf numFmtId="0" fontId="59" fillId="7" borderId="148" xfId="0" applyFont="1" applyFill="1" applyBorder="1" applyAlignment="1" applyProtection="1">
      <alignment horizontal="right" vertical="center"/>
      <protection hidden="1"/>
    </xf>
    <xf numFmtId="0" fontId="59" fillId="54" borderId="38" xfId="0" applyFont="1" applyFill="1" applyBorder="1" applyAlignment="1" applyProtection="1">
      <alignment horizontal="left" vertical="center"/>
      <protection hidden="1"/>
    </xf>
    <xf numFmtId="0" fontId="12" fillId="54" borderId="0" xfId="0" applyFont="1" applyFill="1" applyBorder="1" applyAlignment="1" applyProtection="1">
      <alignment horizontal="left" vertical="center"/>
      <protection hidden="1"/>
    </xf>
    <xf numFmtId="3" fontId="59" fillId="2" borderId="38" xfId="0" applyNumberFormat="1" applyFont="1" applyFill="1" applyBorder="1" applyAlignment="1" applyProtection="1">
      <alignment horizontal="right" vertical="center"/>
      <protection hidden="1"/>
    </xf>
    <xf numFmtId="3" fontId="59" fillId="2" borderId="0" xfId="0" applyNumberFormat="1" applyFont="1" applyFill="1" applyBorder="1" applyAlignment="1" applyProtection="1">
      <alignment horizontal="right" vertical="center"/>
      <protection hidden="1"/>
    </xf>
    <xf numFmtId="3" fontId="59" fillId="2" borderId="143" xfId="0" applyNumberFormat="1" applyFont="1" applyFill="1" applyBorder="1" applyAlignment="1" applyProtection="1">
      <alignment horizontal="right" vertical="center"/>
      <protection hidden="1"/>
    </xf>
    <xf numFmtId="3" fontId="59" fillId="2" borderId="39" xfId="0" applyNumberFormat="1" applyFont="1" applyFill="1" applyBorder="1" applyAlignment="1" applyProtection="1">
      <alignment horizontal="right" vertical="center"/>
      <protection hidden="1"/>
    </xf>
    <xf numFmtId="3" fontId="59" fillId="2" borderId="27" xfId="0" applyNumberFormat="1" applyFont="1" applyFill="1" applyBorder="1" applyAlignment="1" applyProtection="1">
      <alignment horizontal="right" vertical="center"/>
      <protection hidden="1"/>
    </xf>
    <xf numFmtId="3" fontId="59" fillId="2" borderId="148" xfId="0" applyNumberFormat="1" applyFont="1" applyFill="1" applyBorder="1" applyAlignment="1" applyProtection="1">
      <alignment horizontal="right" vertical="center"/>
      <protection hidden="1"/>
    </xf>
    <xf numFmtId="0" fontId="59" fillId="0" borderId="38" xfId="0" applyFont="1" applyFill="1" applyBorder="1" applyAlignment="1" applyProtection="1">
      <alignment horizontal="left" vertical="center"/>
      <protection hidden="1"/>
    </xf>
    <xf numFmtId="0" fontId="59" fillId="0" borderId="0" xfId="0" applyFont="1" applyFill="1" applyBorder="1" applyAlignment="1" applyProtection="1">
      <alignment horizontal="left" vertical="center"/>
      <protection hidden="1"/>
    </xf>
    <xf numFmtId="3" fontId="59" fillId="0" borderId="38" xfId="0" applyNumberFormat="1" applyFont="1" applyFill="1" applyBorder="1" applyAlignment="1" applyProtection="1">
      <alignment horizontal="right" vertical="center"/>
      <protection hidden="1"/>
    </xf>
    <xf numFmtId="3" fontId="59" fillId="0" borderId="0" xfId="0" applyNumberFormat="1" applyFont="1" applyFill="1" applyBorder="1" applyAlignment="1" applyProtection="1">
      <alignment horizontal="right" vertical="center"/>
      <protection hidden="1"/>
    </xf>
    <xf numFmtId="3" fontId="59" fillId="0" borderId="143" xfId="0" applyNumberFormat="1" applyFont="1" applyFill="1" applyBorder="1" applyAlignment="1" applyProtection="1">
      <alignment horizontal="right" vertical="center"/>
      <protection hidden="1"/>
    </xf>
    <xf numFmtId="3" fontId="59" fillId="0" borderId="166" xfId="0" applyNumberFormat="1" applyFont="1" applyFill="1" applyBorder="1" applyAlignment="1" applyProtection="1">
      <alignment horizontal="right" vertical="center"/>
      <protection hidden="1"/>
    </xf>
    <xf numFmtId="3" fontId="59" fillId="0" borderId="142" xfId="0" applyNumberFormat="1" applyFont="1" applyFill="1" applyBorder="1" applyAlignment="1" applyProtection="1">
      <alignment horizontal="right" vertical="center"/>
      <protection hidden="1"/>
    </xf>
    <xf numFmtId="3" fontId="59" fillId="0" borderId="148" xfId="0" applyNumberFormat="1" applyFont="1" applyFill="1" applyBorder="1" applyAlignment="1" applyProtection="1">
      <alignment horizontal="right" vertical="center"/>
      <protection hidden="1"/>
    </xf>
    <xf numFmtId="0" fontId="66" fillId="0" borderId="0" xfId="0" applyFont="1" applyFill="1" applyBorder="1" applyAlignment="1"/>
    <xf numFmtId="0" fontId="12" fillId="0" borderId="0" xfId="0" applyFont="1" applyFill="1" applyBorder="1" applyAlignment="1" applyProtection="1">
      <alignment horizontal="left" vertical="center"/>
      <protection hidden="1"/>
    </xf>
    <xf numFmtId="3" fontId="59" fillId="0" borderId="39" xfId="0" applyNumberFormat="1" applyFont="1" applyFill="1" applyBorder="1" applyAlignment="1" applyProtection="1">
      <alignment horizontal="right" vertical="center"/>
      <protection hidden="1"/>
    </xf>
    <xf numFmtId="3" fontId="59" fillId="0" borderId="27" xfId="0" applyNumberFormat="1" applyFont="1" applyFill="1" applyBorder="1" applyAlignment="1" applyProtection="1">
      <alignment horizontal="right" vertical="center"/>
      <protection hidden="1"/>
    </xf>
    <xf numFmtId="0" fontId="12" fillId="0" borderId="38" xfId="0" applyFont="1" applyFill="1" applyBorder="1" applyAlignment="1" applyProtection="1">
      <alignment horizontal="left" vertical="center"/>
      <protection hidden="1"/>
    </xf>
    <xf numFmtId="0" fontId="59" fillId="54" borderId="0" xfId="0" applyFont="1" applyFill="1" applyBorder="1" applyAlignment="1" applyProtection="1">
      <alignment horizontal="left" vertical="center"/>
      <protection hidden="1"/>
    </xf>
    <xf numFmtId="0" fontId="59" fillId="2" borderId="38" xfId="0" applyFont="1" applyFill="1" applyBorder="1" applyAlignment="1" applyProtection="1">
      <alignment horizontal="right" vertical="center"/>
      <protection hidden="1"/>
    </xf>
    <xf numFmtId="0" fontId="59" fillId="2" borderId="0" xfId="0" applyFont="1" applyFill="1" applyBorder="1" applyAlignment="1" applyProtection="1">
      <alignment horizontal="right" vertical="center"/>
      <protection hidden="1"/>
    </xf>
    <xf numFmtId="0" fontId="59" fillId="2" borderId="143" xfId="0" applyFont="1" applyFill="1" applyBorder="1" applyAlignment="1" applyProtection="1">
      <alignment horizontal="right" vertical="center"/>
      <protection hidden="1"/>
    </xf>
    <xf numFmtId="0" fontId="59" fillId="2" borderId="39" xfId="0" applyFont="1" applyFill="1" applyBorder="1" applyAlignment="1" applyProtection="1">
      <alignment horizontal="right" vertical="center"/>
      <protection hidden="1"/>
    </xf>
    <xf numFmtId="0" fontId="59" fillId="2" borderId="27" xfId="0" applyFont="1" applyFill="1" applyBorder="1" applyAlignment="1" applyProtection="1">
      <alignment horizontal="right" vertical="center"/>
      <protection hidden="1"/>
    </xf>
    <xf numFmtId="0" fontId="59" fillId="2" borderId="148" xfId="0" applyFont="1" applyFill="1" applyBorder="1" applyAlignment="1" applyProtection="1">
      <alignment horizontal="right" vertical="center"/>
      <protection hidden="1"/>
    </xf>
    <xf numFmtId="0" fontId="59" fillId="2" borderId="38" xfId="0" applyFont="1" applyFill="1" applyBorder="1" applyAlignment="1" applyProtection="1">
      <alignment horizontal="right" vertical="center" wrapText="1"/>
      <protection hidden="1"/>
    </xf>
    <xf numFmtId="0" fontId="59" fillId="2" borderId="0" xfId="0" applyFont="1" applyFill="1" applyBorder="1" applyAlignment="1" applyProtection="1">
      <alignment horizontal="right" vertical="center" wrapText="1"/>
      <protection hidden="1"/>
    </xf>
    <xf numFmtId="0" fontId="59" fillId="2" borderId="143" xfId="0" applyFont="1" applyFill="1" applyBorder="1" applyAlignment="1" applyProtection="1">
      <alignment horizontal="right" vertical="center" wrapText="1"/>
      <protection hidden="1"/>
    </xf>
    <xf numFmtId="0" fontId="59" fillId="2" borderId="39" xfId="0" applyFont="1" applyFill="1" applyBorder="1" applyAlignment="1" applyProtection="1">
      <alignment horizontal="right" vertical="center" wrapText="1"/>
      <protection hidden="1"/>
    </xf>
    <xf numFmtId="0" fontId="59" fillId="2" borderId="27" xfId="0" applyFont="1" applyFill="1" applyBorder="1" applyAlignment="1" applyProtection="1">
      <alignment horizontal="right" vertical="center" wrapText="1"/>
      <protection hidden="1"/>
    </xf>
    <xf numFmtId="0" fontId="59" fillId="2" borderId="148" xfId="0" applyFont="1" applyFill="1" applyBorder="1" applyAlignment="1" applyProtection="1">
      <alignment horizontal="right" vertical="center" wrapText="1"/>
      <protection hidden="1"/>
    </xf>
    <xf numFmtId="0" fontId="59" fillId="0" borderId="0" xfId="0" applyFont="1" applyFill="1" applyBorder="1" applyAlignment="1" applyProtection="1">
      <alignment horizontal="right" vertical="center"/>
      <protection hidden="1"/>
    </xf>
    <xf numFmtId="0" fontId="59" fillId="0" borderId="143" xfId="0" applyFont="1" applyFill="1" applyBorder="1" applyAlignment="1" applyProtection="1">
      <alignment horizontal="right" vertical="center"/>
      <protection hidden="1"/>
    </xf>
    <xf numFmtId="0" fontId="59" fillId="0" borderId="39" xfId="0" applyFont="1" applyFill="1" applyBorder="1" applyAlignment="1" applyProtection="1">
      <alignment horizontal="right" vertical="center"/>
      <protection hidden="1"/>
    </xf>
    <xf numFmtId="0" fontId="59" fillId="0" borderId="27" xfId="0" applyFont="1" applyFill="1" applyBorder="1" applyAlignment="1" applyProtection="1">
      <alignment horizontal="right" vertical="center"/>
      <protection hidden="1"/>
    </xf>
    <xf numFmtId="0" fontId="59" fillId="0" borderId="38" xfId="0" applyFont="1" applyFill="1" applyBorder="1" applyAlignment="1" applyProtection="1">
      <alignment horizontal="right" vertical="center"/>
      <protection hidden="1"/>
    </xf>
    <xf numFmtId="0" fontId="59" fillId="0" borderId="148" xfId="0" applyFont="1" applyFill="1" applyBorder="1" applyAlignment="1" applyProtection="1">
      <alignment horizontal="right" vertical="center"/>
      <protection hidden="1"/>
    </xf>
    <xf numFmtId="0" fontId="59" fillId="54" borderId="38" xfId="0" applyFont="1" applyFill="1" applyBorder="1" applyAlignment="1" applyProtection="1">
      <alignment horizontal="left"/>
      <protection hidden="1"/>
    </xf>
    <xf numFmtId="0" fontId="59" fillId="54" borderId="0" xfId="0" applyFont="1" applyFill="1" applyBorder="1" applyAlignment="1" applyProtection="1">
      <alignment horizontal="left"/>
      <protection hidden="1"/>
    </xf>
    <xf numFmtId="0" fontId="59" fillId="2" borderId="38" xfId="0" applyFont="1" applyFill="1" applyBorder="1" applyAlignment="1" applyProtection="1">
      <alignment horizontal="right"/>
      <protection hidden="1"/>
    </xf>
    <xf numFmtId="0" fontId="59" fillId="2" borderId="0" xfId="0" applyFont="1" applyFill="1" applyBorder="1" applyAlignment="1" applyProtection="1">
      <alignment horizontal="right"/>
      <protection hidden="1"/>
    </xf>
    <xf numFmtId="0" fontId="59" fillId="2" borderId="143" xfId="0" applyFont="1" applyFill="1" applyBorder="1" applyAlignment="1" applyProtection="1">
      <alignment horizontal="right"/>
      <protection hidden="1"/>
    </xf>
    <xf numFmtId="0" fontId="59" fillId="2" borderId="39" xfId="0" applyFont="1" applyFill="1" applyBorder="1" applyAlignment="1" applyProtection="1">
      <alignment horizontal="right"/>
      <protection hidden="1"/>
    </xf>
    <xf numFmtId="0" fontId="59" fillId="2" borderId="27" xfId="0" applyFont="1" applyFill="1" applyBorder="1" applyAlignment="1" applyProtection="1">
      <alignment horizontal="right"/>
      <protection hidden="1"/>
    </xf>
    <xf numFmtId="0" fontId="59" fillId="2" borderId="148" xfId="0" applyFont="1" applyFill="1" applyBorder="1" applyAlignment="1" applyProtection="1">
      <alignment horizontal="right"/>
      <protection hidden="1"/>
    </xf>
    <xf numFmtId="0" fontId="12" fillId="0" borderId="38" xfId="0" applyFont="1" applyFill="1" applyBorder="1" applyAlignment="1">
      <alignment horizontal="left"/>
    </xf>
    <xf numFmtId="0" fontId="12" fillId="0" borderId="38" xfId="0" applyFont="1" applyFill="1" applyBorder="1" applyAlignment="1">
      <alignment horizontal="right"/>
    </xf>
    <xf numFmtId="0" fontId="12" fillId="0" borderId="0" xfId="0" applyFont="1" applyFill="1" applyBorder="1" applyAlignment="1">
      <alignment horizontal="right"/>
    </xf>
    <xf numFmtId="0" fontId="12" fillId="0" borderId="143" xfId="0" applyFont="1" applyFill="1" applyBorder="1" applyAlignment="1">
      <alignment horizontal="right"/>
    </xf>
    <xf numFmtId="0" fontId="12" fillId="0" borderId="39" xfId="0" applyFont="1" applyFill="1" applyBorder="1" applyAlignment="1">
      <alignment horizontal="right"/>
    </xf>
    <xf numFmtId="0" fontId="12" fillId="0" borderId="27" xfId="0" applyFont="1" applyFill="1" applyBorder="1" applyAlignment="1">
      <alignment horizontal="right"/>
    </xf>
    <xf numFmtId="0" fontId="12" fillId="0" borderId="148" xfId="0" applyFont="1" applyFill="1" applyBorder="1" applyAlignment="1">
      <alignment horizontal="right"/>
    </xf>
    <xf numFmtId="0" fontId="12" fillId="0" borderId="38" xfId="0" applyFont="1" applyBorder="1" applyAlignment="1">
      <alignment horizontal="left"/>
    </xf>
    <xf numFmtId="0" fontId="12" fillId="0" borderId="0" xfId="0" applyFont="1" applyBorder="1" applyAlignment="1">
      <alignment horizontal="left"/>
    </xf>
    <xf numFmtId="0" fontId="12" fillId="0" borderId="38" xfId="0" applyFont="1" applyBorder="1" applyAlignment="1">
      <alignment horizontal="right"/>
    </xf>
    <xf numFmtId="0" fontId="12" fillId="0" borderId="0" xfId="0" applyFont="1" applyBorder="1" applyAlignment="1">
      <alignment horizontal="right"/>
    </xf>
    <xf numFmtId="0" fontId="12" fillId="0" borderId="143" xfId="0" applyFont="1" applyBorder="1" applyAlignment="1">
      <alignment horizontal="right"/>
    </xf>
    <xf numFmtId="0" fontId="12" fillId="0" borderId="39" xfId="0" applyFont="1" applyBorder="1" applyAlignment="1">
      <alignment horizontal="right"/>
    </xf>
    <xf numFmtId="0" fontId="12" fillId="0" borderId="27" xfId="0" applyFont="1" applyBorder="1" applyAlignment="1">
      <alignment horizontal="right"/>
    </xf>
    <xf numFmtId="0" fontId="12" fillId="0" borderId="148" xfId="0" applyFont="1" applyBorder="1" applyAlignment="1">
      <alignment horizontal="right"/>
    </xf>
    <xf numFmtId="0" fontId="5" fillId="17" borderId="38" xfId="0" applyFont="1" applyFill="1" applyBorder="1" applyAlignment="1">
      <alignment horizontal="left"/>
    </xf>
    <xf numFmtId="0" fontId="5" fillId="17" borderId="0" xfId="0" applyFont="1" applyFill="1" applyBorder="1" applyAlignment="1">
      <alignment horizontal="left"/>
    </xf>
    <xf numFmtId="3" fontId="5" fillId="17" borderId="38" xfId="0" applyNumberFormat="1" applyFont="1" applyFill="1" applyBorder="1" applyAlignment="1">
      <alignment horizontal="right"/>
    </xf>
    <xf numFmtId="3" fontId="5" fillId="17" borderId="0" xfId="0" applyNumberFormat="1" applyFont="1" applyFill="1" applyBorder="1" applyAlignment="1">
      <alignment horizontal="right"/>
    </xf>
    <xf numFmtId="3" fontId="5" fillId="17" borderId="143" xfId="0" applyNumberFormat="1" applyFont="1" applyFill="1" applyBorder="1" applyAlignment="1">
      <alignment horizontal="right"/>
    </xf>
    <xf numFmtId="3" fontId="5" fillId="17" borderId="39" xfId="0" applyNumberFormat="1" applyFont="1" applyFill="1" applyBorder="1" applyAlignment="1">
      <alignment horizontal="right"/>
    </xf>
    <xf numFmtId="3" fontId="5" fillId="17" borderId="27" xfId="0" applyNumberFormat="1" applyFont="1" applyFill="1" applyBorder="1" applyAlignment="1">
      <alignment horizontal="right"/>
    </xf>
    <xf numFmtId="3" fontId="5" fillId="17" borderId="148" xfId="0" applyNumberFormat="1" applyFont="1" applyFill="1" applyBorder="1" applyAlignment="1">
      <alignment horizontal="right"/>
    </xf>
    <xf numFmtId="0" fontId="5" fillId="17" borderId="0" xfId="0" applyFont="1" applyFill="1" applyAlignment="1"/>
    <xf numFmtId="0" fontId="12" fillId="7" borderId="38" xfId="0" applyFont="1" applyFill="1" applyBorder="1" applyAlignment="1">
      <alignment horizontal="left"/>
    </xf>
    <xf numFmtId="0" fontId="12" fillId="7" borderId="0" xfId="0" applyFont="1" applyFill="1" applyBorder="1" applyAlignment="1">
      <alignment horizontal="left"/>
    </xf>
    <xf numFmtId="0" fontId="12" fillId="7" borderId="38" xfId="0" applyFont="1" applyFill="1" applyBorder="1" applyAlignment="1"/>
    <xf numFmtId="0" fontId="12" fillId="7" borderId="0" xfId="0" applyFont="1" applyFill="1" applyBorder="1" applyAlignment="1"/>
    <xf numFmtId="0" fontId="12" fillId="7" borderId="143" xfId="0" applyFont="1" applyFill="1" applyBorder="1" applyAlignment="1"/>
    <xf numFmtId="0" fontId="12" fillId="7" borderId="39" xfId="0" applyFont="1" applyFill="1" applyBorder="1" applyAlignment="1"/>
    <xf numFmtId="0" fontId="12" fillId="7" borderId="27" xfId="0" applyFont="1" applyFill="1" applyBorder="1" applyAlignment="1"/>
    <xf numFmtId="0" fontId="12" fillId="7" borderId="148" xfId="0" applyFont="1" applyFill="1" applyBorder="1" applyAlignment="1"/>
    <xf numFmtId="0" fontId="12" fillId="54" borderId="38" xfId="0" applyFont="1" applyFill="1" applyBorder="1" applyAlignment="1">
      <alignment horizontal="left"/>
    </xf>
    <xf numFmtId="0" fontId="12" fillId="54" borderId="0" xfId="0" applyFont="1" applyFill="1" applyBorder="1" applyAlignment="1">
      <alignment horizontal="left"/>
    </xf>
    <xf numFmtId="0" fontId="12" fillId="2" borderId="38" xfId="0" applyFont="1" applyFill="1" applyBorder="1" applyAlignment="1"/>
    <xf numFmtId="0" fontId="12" fillId="2" borderId="0" xfId="0" applyFont="1" applyFill="1" applyBorder="1" applyAlignment="1"/>
    <xf numFmtId="0" fontId="12" fillId="2" borderId="143" xfId="0" applyFont="1" applyFill="1" applyBorder="1" applyAlignment="1"/>
    <xf numFmtId="0" fontId="12" fillId="2" borderId="39" xfId="0" applyFont="1" applyFill="1" applyBorder="1" applyAlignment="1"/>
    <xf numFmtId="0" fontId="12" fillId="2" borderId="27" xfId="0" applyFont="1" applyFill="1" applyBorder="1" applyAlignment="1"/>
    <xf numFmtId="0" fontId="12" fillId="2" borderId="148" xfId="0" applyFont="1" applyFill="1" applyBorder="1" applyAlignment="1"/>
    <xf numFmtId="0" fontId="5" fillId="17" borderId="38" xfId="0" applyFont="1" applyFill="1" applyBorder="1" applyAlignment="1"/>
    <xf numFmtId="0" fontId="5" fillId="17" borderId="0" xfId="0" applyFont="1" applyFill="1" applyBorder="1" applyAlignment="1"/>
    <xf numFmtId="0" fontId="5" fillId="17" borderId="143" xfId="0" applyFont="1" applyFill="1" applyBorder="1" applyAlignment="1"/>
    <xf numFmtId="0" fontId="5" fillId="17" borderId="39" xfId="0" applyFont="1" applyFill="1" applyBorder="1" applyAlignment="1"/>
    <xf numFmtId="0" fontId="5" fillId="17" borderId="27" xfId="0" applyFont="1" applyFill="1" applyBorder="1" applyAlignment="1"/>
    <xf numFmtId="0" fontId="5" fillId="17" borderId="148" xfId="0" applyFont="1" applyFill="1" applyBorder="1" applyAlignment="1"/>
    <xf numFmtId="0" fontId="5" fillId="17" borderId="40" xfId="0" applyFont="1" applyFill="1" applyBorder="1" applyAlignment="1">
      <alignment horizontal="left"/>
    </xf>
    <xf numFmtId="0" fontId="5" fillId="17" borderId="41" xfId="0" applyFont="1" applyFill="1" applyBorder="1" applyAlignment="1">
      <alignment horizontal="left"/>
    </xf>
    <xf numFmtId="3" fontId="5" fillId="17" borderId="167" xfId="0" applyNumberFormat="1" applyFont="1" applyFill="1" applyBorder="1" applyAlignment="1"/>
    <xf numFmtId="3" fontId="5" fillId="17" borderId="145" xfId="0" applyNumberFormat="1" applyFont="1" applyFill="1" applyBorder="1" applyAlignment="1"/>
    <xf numFmtId="3" fontId="5" fillId="17" borderId="146" xfId="0" applyNumberFormat="1" applyFont="1" applyFill="1" applyBorder="1" applyAlignment="1"/>
    <xf numFmtId="3" fontId="5" fillId="17" borderId="42" xfId="0" applyNumberFormat="1" applyFont="1" applyFill="1" applyBorder="1" applyAlignment="1"/>
    <xf numFmtId="3" fontId="5" fillId="17" borderId="41" xfId="0" applyNumberFormat="1" applyFont="1" applyFill="1" applyBorder="1" applyAlignment="1"/>
    <xf numFmtId="3" fontId="5" fillId="17" borderId="28" xfId="0" applyNumberFormat="1" applyFont="1" applyFill="1" applyBorder="1" applyAlignment="1"/>
    <xf numFmtId="3" fontId="5" fillId="17" borderId="40" xfId="0" applyNumberFormat="1" applyFont="1" applyFill="1" applyBorder="1" applyAlignment="1"/>
    <xf numFmtId="3" fontId="5" fillId="17" borderId="149" xfId="0" applyNumberFormat="1" applyFont="1" applyFill="1" applyBorder="1" applyAlignment="1"/>
    <xf numFmtId="0" fontId="12" fillId="0" borderId="38" xfId="0" applyFont="1" applyBorder="1" applyAlignment="1"/>
    <xf numFmtId="0" fontId="12" fillId="0" borderId="39" xfId="0" applyFont="1" applyBorder="1" applyAlignment="1"/>
    <xf numFmtId="0" fontId="12" fillId="0" borderId="27" xfId="0" applyFont="1" applyBorder="1" applyAlignment="1"/>
    <xf numFmtId="3" fontId="12" fillId="0" borderId="38" xfId="0" applyNumberFormat="1" applyFont="1" applyBorder="1" applyAlignment="1"/>
    <xf numFmtId="3" fontId="12" fillId="0" borderId="0" xfId="0" applyNumberFormat="1" applyFont="1" applyBorder="1" applyAlignment="1"/>
    <xf numFmtId="3" fontId="12" fillId="0" borderId="39" xfId="0" applyNumberFormat="1" applyFont="1" applyBorder="1" applyAlignment="1"/>
    <xf numFmtId="3" fontId="12" fillId="0" borderId="27" xfId="0" applyNumberFormat="1" applyFont="1" applyBorder="1" applyAlignment="1"/>
    <xf numFmtId="0" fontId="12" fillId="0" borderId="40" xfId="0" applyFont="1" applyBorder="1" applyAlignment="1">
      <alignment horizontal="left"/>
    </xf>
    <xf numFmtId="0" fontId="12" fillId="0" borderId="41" xfId="0" applyFont="1" applyBorder="1" applyAlignment="1">
      <alignment horizontal="left"/>
    </xf>
    <xf numFmtId="0" fontId="12" fillId="0" borderId="40" xfId="0" applyFont="1" applyBorder="1" applyAlignment="1"/>
    <xf numFmtId="0" fontId="12" fillId="0" borderId="42" xfId="0" applyFont="1" applyBorder="1" applyAlignment="1"/>
    <xf numFmtId="0" fontId="12" fillId="0" borderId="28" xfId="0" applyFont="1" applyBorder="1" applyAlignment="1"/>
    <xf numFmtId="0" fontId="5" fillId="7" borderId="44" xfId="0" applyFont="1" applyFill="1" applyBorder="1"/>
    <xf numFmtId="3" fontId="5" fillId="7" borderId="22" xfId="0" applyNumberFormat="1" applyFont="1" applyFill="1" applyBorder="1"/>
    <xf numFmtId="0" fontId="12" fillId="0" borderId="38" xfId="0" applyFont="1" applyBorder="1"/>
    <xf numFmtId="0" fontId="12" fillId="7" borderId="22" xfId="0" applyFont="1" applyFill="1" applyBorder="1"/>
    <xf numFmtId="0" fontId="12" fillId="7" borderId="26" xfId="0" applyFont="1" applyFill="1" applyBorder="1"/>
    <xf numFmtId="0" fontId="5" fillId="17" borderId="29" xfId="0" applyFont="1" applyFill="1" applyBorder="1" applyAlignment="1">
      <alignment horizontal="left" vertical="center"/>
    </xf>
    <xf numFmtId="3" fontId="12" fillId="33" borderId="48" xfId="0" applyNumberFormat="1" applyFont="1" applyFill="1" applyBorder="1" applyAlignment="1">
      <alignment horizontal="right" vertical="center"/>
    </xf>
    <xf numFmtId="3" fontId="12" fillId="33" borderId="18" xfId="0" applyNumberFormat="1" applyFont="1" applyFill="1" applyBorder="1" applyAlignment="1">
      <alignment horizontal="right" vertical="center"/>
    </xf>
    <xf numFmtId="3" fontId="12" fillId="42" borderId="18" xfId="0" applyNumberFormat="1" applyFont="1" applyFill="1" applyBorder="1" applyAlignment="1">
      <alignment horizontal="right" vertical="center"/>
    </xf>
    <xf numFmtId="3" fontId="12" fillId="33" borderId="19" xfId="0" applyNumberFormat="1" applyFont="1" applyFill="1" applyBorder="1" applyAlignment="1">
      <alignment horizontal="right" vertical="center"/>
    </xf>
    <xf numFmtId="0" fontId="5" fillId="17" borderId="30" xfId="0" applyFont="1" applyFill="1" applyBorder="1" applyAlignment="1">
      <alignment horizontal="left" vertical="center"/>
    </xf>
    <xf numFmtId="3" fontId="12" fillId="42" borderId="1" xfId="0" applyNumberFormat="1" applyFont="1" applyFill="1" applyBorder="1" applyAlignment="1">
      <alignment horizontal="right" vertical="center"/>
    </xf>
    <xf numFmtId="0" fontId="5" fillId="17" borderId="31" xfId="0" applyFont="1" applyFill="1" applyBorder="1" applyAlignment="1">
      <alignment horizontal="left" vertical="center"/>
    </xf>
    <xf numFmtId="3" fontId="12" fillId="42" borderId="3" xfId="0" applyNumberFormat="1" applyFont="1" applyFill="1" applyBorder="1" applyAlignment="1">
      <alignment horizontal="right" vertical="center"/>
    </xf>
    <xf numFmtId="0" fontId="82" fillId="33" borderId="0" xfId="0" applyFont="1" applyFill="1"/>
    <xf numFmtId="0" fontId="0" fillId="0" borderId="0" xfId="0" applyAlignment="1">
      <alignment horizontal="center"/>
    </xf>
    <xf numFmtId="0" fontId="28" fillId="53" borderId="4" xfId="0" applyFont="1" applyFill="1" applyBorder="1" applyAlignment="1">
      <alignment horizontal="center" vertical="center"/>
    </xf>
    <xf numFmtId="0" fontId="0" fillId="0" borderId="6" xfId="0" applyBorder="1" applyAlignment="1">
      <alignment vertical="center" wrapText="1"/>
    </xf>
    <xf numFmtId="0" fontId="28" fillId="53" borderId="7" xfId="0" applyFont="1" applyFill="1" applyBorder="1" applyAlignment="1">
      <alignment horizontal="center" vertical="center"/>
    </xf>
    <xf numFmtId="0" fontId="0" fillId="0" borderId="8" xfId="0" applyBorder="1" applyAlignment="1">
      <alignment vertical="center" wrapText="1"/>
    </xf>
    <xf numFmtId="0" fontId="28" fillId="53" borderId="9" xfId="0" applyFont="1" applyFill="1" applyBorder="1" applyAlignment="1">
      <alignment horizontal="center" vertical="center" wrapText="1"/>
    </xf>
    <xf numFmtId="0" fontId="0" fillId="0" borderId="11" xfId="0" applyBorder="1" applyAlignment="1">
      <alignment vertical="center" wrapText="1"/>
    </xf>
    <xf numFmtId="0" fontId="5" fillId="7" borderId="101" xfId="0" applyFont="1" applyFill="1" applyBorder="1" applyAlignment="1">
      <alignment horizontal="center" vertical="center"/>
    </xf>
    <xf numFmtId="0" fontId="5" fillId="7" borderId="28" xfId="0" applyFont="1" applyFill="1" applyBorder="1" applyAlignment="1">
      <alignment horizontal="center" vertical="center"/>
    </xf>
    <xf numFmtId="167" fontId="12" fillId="0" borderId="9" xfId="0" applyNumberFormat="1" applyFont="1" applyBorder="1"/>
    <xf numFmtId="0" fontId="83" fillId="0" borderId="0" xfId="0" applyFont="1"/>
    <xf numFmtId="0" fontId="4" fillId="15" borderId="175" xfId="0" applyFont="1" applyFill="1" applyBorder="1"/>
    <xf numFmtId="0" fontId="4" fillId="15" borderId="35" xfId="0" applyFont="1" applyFill="1" applyBorder="1"/>
    <xf numFmtId="167" fontId="0" fillId="0" borderId="21" xfId="0" applyNumberFormat="1" applyBorder="1"/>
    <xf numFmtId="0" fontId="0" fillId="0" borderId="7" xfId="0" applyBorder="1" applyAlignment="1">
      <alignment horizontal="center"/>
    </xf>
    <xf numFmtId="0" fontId="0" fillId="0" borderId="20" xfId="0" applyBorder="1"/>
    <xf numFmtId="0" fontId="4" fillId="15" borderId="6" xfId="0" applyFont="1" applyFill="1" applyBorder="1"/>
    <xf numFmtId="0" fontId="12" fillId="11" borderId="7" xfId="0" applyFont="1" applyFill="1" applyBorder="1"/>
    <xf numFmtId="167" fontId="12" fillId="11" borderId="8" xfId="0" applyNumberFormat="1" applyFont="1" applyFill="1" applyBorder="1"/>
    <xf numFmtId="0" fontId="0" fillId="0" borderId="7" xfId="0" applyBorder="1" applyAlignment="1">
      <alignment horizontal="right"/>
    </xf>
    <xf numFmtId="0" fontId="0" fillId="0" borderId="33" xfId="0" applyBorder="1" applyAlignment="1">
      <alignment horizontal="center"/>
    </xf>
    <xf numFmtId="0" fontId="0" fillId="57" borderId="9" xfId="0" applyFill="1" applyBorder="1"/>
    <xf numFmtId="0" fontId="0" fillId="57" borderId="11" xfId="0" applyFill="1" applyBorder="1"/>
    <xf numFmtId="0" fontId="0" fillId="57" borderId="34" xfId="0" applyFill="1" applyBorder="1"/>
    <xf numFmtId="0" fontId="4" fillId="15" borderId="132" xfId="0" applyFont="1" applyFill="1" applyBorder="1"/>
    <xf numFmtId="0" fontId="0" fillId="0" borderId="20" xfId="0" applyBorder="1" applyAlignment="1">
      <alignment horizontal="right"/>
    </xf>
    <xf numFmtId="0" fontId="0" fillId="57" borderId="91" xfId="0" applyFill="1" applyBorder="1"/>
    <xf numFmtId="0" fontId="0" fillId="0" borderId="4" xfId="0" applyFill="1" applyBorder="1"/>
    <xf numFmtId="167" fontId="0" fillId="0" borderId="6" xfId="0" applyNumberFormat="1" applyBorder="1"/>
    <xf numFmtId="167" fontId="0" fillId="11" borderId="11" xfId="0" applyNumberFormat="1" applyFill="1" applyBorder="1"/>
    <xf numFmtId="1" fontId="84" fillId="0" borderId="1" xfId="0" applyNumberFormat="1" applyFont="1" applyBorder="1"/>
    <xf numFmtId="1" fontId="84" fillId="0" borderId="8" xfId="0" applyNumberFormat="1" applyFont="1" applyBorder="1"/>
    <xf numFmtId="1" fontId="0" fillId="0" borderId="11" xfId="0" applyNumberFormat="1" applyBorder="1"/>
    <xf numFmtId="0" fontId="55" fillId="53" borderId="102" xfId="0" applyFont="1" applyFill="1" applyBorder="1" applyAlignment="1">
      <alignment horizontal="center" vertical="center"/>
    </xf>
    <xf numFmtId="0" fontId="28" fillId="8" borderId="105" xfId="0" applyFont="1" applyFill="1" applyBorder="1" applyAlignment="1">
      <alignment horizontal="center" vertical="center"/>
    </xf>
    <xf numFmtId="0" fontId="55" fillId="53" borderId="104" xfId="0" applyFont="1" applyFill="1" applyBorder="1" applyAlignment="1">
      <alignment horizontal="center" vertical="center"/>
    </xf>
    <xf numFmtId="1" fontId="84" fillId="0" borderId="47" xfId="0" applyNumberFormat="1" applyFont="1" applyBorder="1"/>
    <xf numFmtId="0" fontId="28" fillId="8" borderId="22" xfId="0" applyFont="1" applyFill="1" applyBorder="1" applyAlignment="1">
      <alignment vertical="center"/>
    </xf>
    <xf numFmtId="0" fontId="28" fillId="53" borderId="28" xfId="0" applyFont="1" applyFill="1" applyBorder="1" applyAlignment="1">
      <alignment vertical="center"/>
    </xf>
    <xf numFmtId="0" fontId="0" fillId="58" borderId="30" xfId="0" applyFill="1" applyBorder="1"/>
    <xf numFmtId="0" fontId="0" fillId="58" borderId="31" xfId="0" applyFill="1" applyBorder="1"/>
    <xf numFmtId="0" fontId="0" fillId="58" borderId="86" xfId="0" applyFill="1" applyBorder="1"/>
    <xf numFmtId="1" fontId="84" fillId="0" borderId="48" xfId="0" applyNumberFormat="1" applyFont="1" applyBorder="1"/>
    <xf numFmtId="1" fontId="84" fillId="0" borderId="18" xfId="0" applyNumberFormat="1" applyFont="1" applyBorder="1"/>
    <xf numFmtId="1" fontId="84" fillId="0" borderId="21" xfId="0" applyNumberFormat="1" applyFont="1" applyBorder="1"/>
    <xf numFmtId="0" fontId="4" fillId="15" borderId="22" xfId="0" applyFont="1" applyFill="1" applyBorder="1" applyAlignment="1">
      <alignment vertical="center"/>
    </xf>
    <xf numFmtId="0" fontId="65" fillId="7" borderId="105" xfId="0" applyFont="1" applyFill="1" applyBorder="1"/>
    <xf numFmtId="0" fontId="65" fillId="7" borderId="15" xfId="0" applyFont="1" applyFill="1" applyBorder="1"/>
    <xf numFmtId="0" fontId="65" fillId="7" borderId="16" xfId="0" applyFont="1" applyFill="1" applyBorder="1"/>
    <xf numFmtId="0" fontId="0" fillId="58" borderId="73" xfId="0" applyFill="1" applyBorder="1"/>
    <xf numFmtId="1" fontId="84" fillId="0" borderId="92" xfId="0" applyNumberFormat="1" applyFont="1" applyBorder="1"/>
    <xf numFmtId="1" fontId="84" fillId="0" borderId="3" xfId="0" applyNumberFormat="1" applyFont="1" applyBorder="1"/>
    <xf numFmtId="1" fontId="84" fillId="0" borderId="43" xfId="0" applyNumberFormat="1" applyFont="1" applyBorder="1"/>
    <xf numFmtId="0" fontId="0" fillId="11" borderId="5" xfId="0" applyFill="1" applyBorder="1"/>
    <xf numFmtId="0" fontId="0" fillId="11" borderId="6" xfId="0" applyFill="1" applyBorder="1"/>
    <xf numFmtId="0" fontId="51" fillId="8" borderId="132" xfId="0" applyFont="1" applyFill="1" applyBorder="1" applyAlignment="1">
      <alignment horizontal="center" vertical="center"/>
    </xf>
    <xf numFmtId="0" fontId="0" fillId="11" borderId="90" xfId="0" applyFill="1" applyBorder="1"/>
    <xf numFmtId="0" fontId="0" fillId="0" borderId="0" xfId="0" applyAlignment="1"/>
    <xf numFmtId="0" fontId="0" fillId="59" borderId="1" xfId="0" applyFill="1" applyBorder="1"/>
    <xf numFmtId="0" fontId="0" fillId="59" borderId="17" xfId="0" applyFill="1" applyBorder="1"/>
    <xf numFmtId="0" fontId="15" fillId="0" borderId="86" xfId="2" applyBorder="1" applyAlignment="1">
      <alignment horizontal="left" indent="1"/>
    </xf>
    <xf numFmtId="0" fontId="15" fillId="0" borderId="30" xfId="2" applyBorder="1" applyAlignment="1">
      <alignment horizontal="left" indent="1"/>
    </xf>
    <xf numFmtId="0" fontId="15" fillId="0" borderId="73" xfId="2" applyBorder="1" applyAlignment="1">
      <alignment horizontal="left" indent="1"/>
    </xf>
    <xf numFmtId="0" fontId="15" fillId="0" borderId="31" xfId="2" applyBorder="1" applyAlignment="1">
      <alignment horizontal="left" indent="1"/>
    </xf>
    <xf numFmtId="0" fontId="0" fillId="0" borderId="31" xfId="0" applyBorder="1" applyAlignment="1">
      <alignment horizontal="left" indent="1"/>
    </xf>
    <xf numFmtId="0" fontId="52" fillId="0" borderId="86" xfId="2" applyFont="1" applyBorder="1" applyAlignment="1">
      <alignment horizontal="left" indent="1"/>
    </xf>
    <xf numFmtId="0" fontId="0" fillId="0" borderId="73" xfId="0" applyBorder="1"/>
    <xf numFmtId="170" fontId="0" fillId="0" borderId="31" xfId="0" applyNumberFormat="1" applyBorder="1"/>
    <xf numFmtId="0" fontId="0" fillId="59" borderId="29" xfId="0" applyFill="1" applyBorder="1"/>
    <xf numFmtId="1" fontId="68" fillId="0" borderId="5" xfId="0" applyNumberFormat="1" applyFont="1" applyBorder="1"/>
    <xf numFmtId="1" fontId="68" fillId="0" borderId="6" xfId="0" applyNumberFormat="1" applyFont="1" applyBorder="1"/>
    <xf numFmtId="0" fontId="68" fillId="0" borderId="10" xfId="0" applyFont="1" applyBorder="1"/>
    <xf numFmtId="0" fontId="68" fillId="0" borderId="11" xfId="0" applyFont="1" applyBorder="1"/>
    <xf numFmtId="0" fontId="68" fillId="0" borderId="5" xfId="0" applyFont="1" applyBorder="1"/>
    <xf numFmtId="170" fontId="68" fillId="0" borderId="5" xfId="0" applyNumberFormat="1" applyFont="1" applyBorder="1"/>
    <xf numFmtId="170" fontId="53" fillId="5" borderId="17" xfId="0" applyNumberFormat="1" applyFont="1" applyFill="1" applyBorder="1"/>
    <xf numFmtId="1" fontId="68" fillId="0" borderId="90" xfId="0" applyNumberFormat="1" applyFont="1" applyBorder="1"/>
    <xf numFmtId="0" fontId="68" fillId="0" borderId="91" xfId="0" applyFont="1" applyBorder="1"/>
    <xf numFmtId="0" fontId="0" fillId="7" borderId="29" xfId="0" applyFill="1" applyBorder="1" applyAlignment="1">
      <alignment vertical="center" wrapText="1"/>
    </xf>
    <xf numFmtId="0" fontId="0" fillId="7" borderId="31" xfId="0" applyFill="1" applyBorder="1" applyAlignment="1">
      <alignment vertical="center" wrapText="1"/>
    </xf>
    <xf numFmtId="170" fontId="53" fillId="5" borderId="62" xfId="0" applyNumberFormat="1" applyFont="1" applyFill="1" applyBorder="1"/>
    <xf numFmtId="0" fontId="68" fillId="0" borderId="90" xfId="0" applyFont="1" applyBorder="1"/>
    <xf numFmtId="170" fontId="68" fillId="0" borderId="90" xfId="0" applyNumberFormat="1" applyFont="1" applyBorder="1"/>
    <xf numFmtId="0" fontId="0" fillId="5" borderId="27" xfId="0" applyFill="1" applyBorder="1"/>
    <xf numFmtId="0" fontId="0" fillId="7" borderId="86" xfId="0" applyFill="1" applyBorder="1"/>
    <xf numFmtId="0" fontId="0" fillId="7" borderId="31" xfId="0" applyFill="1" applyBorder="1"/>
    <xf numFmtId="0" fontId="0" fillId="7" borderId="29" xfId="0" applyFill="1" applyBorder="1"/>
    <xf numFmtId="170" fontId="53" fillId="5" borderId="24" xfId="0" applyNumberFormat="1" applyFont="1" applyFill="1" applyBorder="1"/>
    <xf numFmtId="0" fontId="68" fillId="0" borderId="6" xfId="0" applyFont="1" applyBorder="1"/>
    <xf numFmtId="170" fontId="68" fillId="0" borderId="6" xfId="0" applyNumberFormat="1" applyFont="1" applyBorder="1"/>
    <xf numFmtId="3" fontId="0" fillId="5" borderId="111" xfId="0" applyNumberFormat="1" applyFill="1" applyBorder="1"/>
    <xf numFmtId="3" fontId="0" fillId="0" borderId="15" xfId="0" applyNumberFormat="1" applyBorder="1"/>
    <xf numFmtId="3" fontId="0" fillId="0" borderId="16" xfId="0" applyNumberFormat="1" applyBorder="1"/>
    <xf numFmtId="0" fontId="0" fillId="7" borderId="73" xfId="0" applyFill="1" applyBorder="1"/>
    <xf numFmtId="170" fontId="68" fillId="0" borderId="92" xfId="0" applyNumberFormat="1" applyFont="1" applyBorder="1"/>
    <xf numFmtId="170" fontId="68" fillId="0" borderId="3" xfId="0" applyNumberFormat="1" applyFont="1" applyBorder="1"/>
    <xf numFmtId="170" fontId="68" fillId="0" borderId="43" xfId="0" applyNumberFormat="1" applyFont="1" applyBorder="1"/>
    <xf numFmtId="0" fontId="0" fillId="34" borderId="22" xfId="0" applyFill="1" applyBorder="1"/>
    <xf numFmtId="167" fontId="18" fillId="11" borderId="14" xfId="0" applyNumberFormat="1" applyFont="1" applyFill="1" applyBorder="1"/>
    <xf numFmtId="167" fontId="18" fillId="11" borderId="105" xfId="0" applyNumberFormat="1" applyFont="1" applyFill="1" applyBorder="1"/>
    <xf numFmtId="167" fontId="18" fillId="11" borderId="46" xfId="0" applyNumberFormat="1" applyFont="1" applyFill="1" applyBorder="1"/>
    <xf numFmtId="3" fontId="0" fillId="0" borderId="14" xfId="0" applyNumberFormat="1" applyBorder="1"/>
    <xf numFmtId="3" fontId="0" fillId="0" borderId="105" xfId="0" applyNumberFormat="1" applyBorder="1"/>
    <xf numFmtId="3" fontId="68" fillId="33" borderId="1" xfId="0" applyNumberFormat="1" applyFont="1" applyFill="1" applyBorder="1"/>
    <xf numFmtId="0" fontId="85" fillId="8" borderId="22" xfId="0" applyFont="1" applyFill="1" applyBorder="1" applyAlignment="1">
      <alignment vertical="center"/>
    </xf>
    <xf numFmtId="3" fontId="68" fillId="33" borderId="3" xfId="0" applyNumberFormat="1" applyFont="1" applyFill="1" applyBorder="1"/>
    <xf numFmtId="3" fontId="68" fillId="33" borderId="18" xfId="0" applyNumberFormat="1" applyFont="1" applyFill="1" applyBorder="1"/>
    <xf numFmtId="167" fontId="87" fillId="8" borderId="1" xfId="0" applyNumberFormat="1" applyFont="1" applyFill="1" applyBorder="1" applyAlignment="1">
      <alignment vertical="center"/>
    </xf>
    <xf numFmtId="0" fontId="28" fillId="53" borderId="22" xfId="0" applyFont="1" applyFill="1" applyBorder="1" applyAlignment="1">
      <alignment vertical="center"/>
    </xf>
    <xf numFmtId="0" fontId="55" fillId="53" borderId="105" xfId="0" applyFont="1" applyFill="1" applyBorder="1" applyAlignment="1">
      <alignment horizontal="center" vertical="center"/>
    </xf>
    <xf numFmtId="0" fontId="55" fillId="53" borderId="15" xfId="0" applyFont="1" applyFill="1" applyBorder="1" applyAlignment="1">
      <alignment horizontal="center" vertical="center"/>
    </xf>
    <xf numFmtId="0" fontId="55" fillId="53" borderId="16" xfId="0" applyFont="1" applyFill="1" applyBorder="1" applyAlignment="1">
      <alignment horizontal="center" vertical="center"/>
    </xf>
    <xf numFmtId="3" fontId="68" fillId="33" borderId="48" xfId="0" applyNumberFormat="1" applyFont="1" applyFill="1" applyBorder="1"/>
    <xf numFmtId="3" fontId="68" fillId="33" borderId="47" xfId="0" applyNumberFormat="1" applyFont="1" applyFill="1" applyBorder="1"/>
    <xf numFmtId="3" fontId="68" fillId="33" borderId="92" xfId="0" applyNumberFormat="1" applyFont="1" applyFill="1" applyBorder="1"/>
    <xf numFmtId="167" fontId="87" fillId="8" borderId="47" xfId="0" applyNumberFormat="1" applyFont="1" applyFill="1" applyBorder="1" applyAlignment="1">
      <alignment vertical="center"/>
    </xf>
    <xf numFmtId="0" fontId="12" fillId="15" borderId="86" xfId="0" applyFont="1" applyFill="1" applyBorder="1" applyAlignment="1">
      <alignment vertical="center"/>
    </xf>
    <xf numFmtId="0" fontId="12" fillId="15" borderId="30" xfId="0" applyFont="1" applyFill="1" applyBorder="1" applyAlignment="1">
      <alignment vertical="center"/>
    </xf>
    <xf numFmtId="0" fontId="12" fillId="15" borderId="31" xfId="0" applyFont="1" applyFill="1" applyBorder="1" applyAlignment="1">
      <alignment vertical="center"/>
    </xf>
    <xf numFmtId="3" fontId="68" fillId="33" borderId="21" xfId="0" applyNumberFormat="1" applyFont="1" applyFill="1" applyBorder="1"/>
    <xf numFmtId="3" fontId="68" fillId="33" borderId="8" xfId="0" applyNumberFormat="1" applyFont="1" applyFill="1" applyBorder="1"/>
    <xf numFmtId="3" fontId="68" fillId="33" borderId="43" xfId="0" applyNumberFormat="1" applyFont="1" applyFill="1" applyBorder="1"/>
    <xf numFmtId="167" fontId="87" fillId="8" borderId="8" xfId="0" applyNumberFormat="1" applyFont="1" applyFill="1" applyBorder="1" applyAlignment="1">
      <alignment vertical="center"/>
    </xf>
    <xf numFmtId="3" fontId="68" fillId="33" borderId="104" xfId="0" applyNumberFormat="1" applyFont="1" applyFill="1" applyBorder="1"/>
    <xf numFmtId="3" fontId="68" fillId="33" borderId="102" xfId="0" applyNumberFormat="1" applyFont="1" applyFill="1" applyBorder="1"/>
    <xf numFmtId="3" fontId="68" fillId="33" borderId="25" xfId="0" applyNumberFormat="1" applyFont="1" applyFill="1" applyBorder="1"/>
    <xf numFmtId="0" fontId="0" fillId="11" borderId="26" xfId="0" applyFill="1" applyBorder="1"/>
    <xf numFmtId="3" fontId="68" fillId="60" borderId="48" xfId="0" applyNumberFormat="1" applyFont="1" applyFill="1" applyBorder="1"/>
    <xf numFmtId="3" fontId="68" fillId="60" borderId="47" xfId="0" applyNumberFormat="1" applyFont="1" applyFill="1" applyBorder="1"/>
    <xf numFmtId="3" fontId="68" fillId="60" borderId="92" xfId="0" applyNumberFormat="1" applyFont="1" applyFill="1" applyBorder="1"/>
    <xf numFmtId="167" fontId="85" fillId="8" borderId="22" xfId="0" applyNumberFormat="1" applyFont="1" applyFill="1" applyBorder="1" applyAlignment="1">
      <alignment vertical="center"/>
    </xf>
    <xf numFmtId="0" fontId="12" fillId="15" borderId="0" xfId="0" applyFont="1" applyFill="1" applyBorder="1" applyAlignment="1">
      <alignment vertical="center"/>
    </xf>
    <xf numFmtId="9" fontId="0" fillId="0" borderId="28" xfId="1" applyFont="1" applyBorder="1"/>
    <xf numFmtId="167" fontId="0" fillId="0" borderId="0" xfId="0" applyNumberFormat="1"/>
    <xf numFmtId="3" fontId="68" fillId="33" borderId="10" xfId="0" applyNumberFormat="1" applyFont="1" applyFill="1" applyBorder="1"/>
    <xf numFmtId="3" fontId="68" fillId="33" borderId="11" xfId="0" applyNumberFormat="1" applyFont="1" applyFill="1" applyBorder="1"/>
    <xf numFmtId="3" fontId="68" fillId="33" borderId="91" xfId="0" applyNumberFormat="1" applyFont="1" applyFill="1" applyBorder="1"/>
    <xf numFmtId="0" fontId="12" fillId="15" borderId="29" xfId="0" applyFont="1" applyFill="1" applyBorder="1" applyAlignment="1">
      <alignment vertical="center"/>
    </xf>
    <xf numFmtId="0" fontId="28" fillId="8" borderId="30" xfId="0" applyFont="1" applyFill="1" applyBorder="1" applyAlignment="1">
      <alignment vertical="center"/>
    </xf>
    <xf numFmtId="171" fontId="68" fillId="33" borderId="47" xfId="0" applyNumberFormat="1" applyFont="1" applyFill="1" applyBorder="1"/>
    <xf numFmtId="9" fontId="0" fillId="0" borderId="0" xfId="0" applyNumberFormat="1"/>
    <xf numFmtId="172" fontId="0" fillId="0" borderId="0" xfId="0" applyNumberFormat="1"/>
    <xf numFmtId="0" fontId="88" fillId="11" borderId="14" xfId="0" applyFont="1" applyFill="1" applyBorder="1"/>
    <xf numFmtId="0" fontId="88" fillId="5" borderId="23" xfId="0" applyFont="1" applyFill="1" applyBorder="1"/>
    <xf numFmtId="0" fontId="88" fillId="0" borderId="0" xfId="0" applyFont="1"/>
    <xf numFmtId="173" fontId="0" fillId="0" borderId="15" xfId="0" applyNumberFormat="1" applyBorder="1"/>
    <xf numFmtId="174" fontId="0" fillId="5" borderId="17" xfId="0" applyNumberFormat="1" applyFill="1" applyBorder="1"/>
    <xf numFmtId="0" fontId="4" fillId="11" borderId="14" xfId="0" applyFont="1" applyFill="1" applyBorder="1"/>
    <xf numFmtId="0" fontId="0" fillId="51" borderId="0" xfId="0" applyFill="1"/>
    <xf numFmtId="173" fontId="0" fillId="0" borderId="1" xfId="0" applyNumberFormat="1" applyBorder="1"/>
    <xf numFmtId="0" fontId="0" fillId="0" borderId="6" xfId="0" applyBorder="1"/>
    <xf numFmtId="0" fontId="0" fillId="51" borderId="7" xfId="0" applyFill="1" applyBorder="1"/>
    <xf numFmtId="173" fontId="0" fillId="0" borderId="8" xfId="0" applyNumberFormat="1" applyBorder="1"/>
    <xf numFmtId="0" fontId="0" fillId="51" borderId="9" xfId="0" applyFill="1" applyBorder="1"/>
    <xf numFmtId="173" fontId="0" fillId="0" borderId="10" xfId="0" applyNumberFormat="1" applyBorder="1"/>
    <xf numFmtId="173" fontId="0" fillId="0" borderId="11" xfId="0" applyNumberFormat="1" applyBorder="1"/>
    <xf numFmtId="0" fontId="4" fillId="51" borderId="4" xfId="0" applyFont="1" applyFill="1" applyBorder="1"/>
    <xf numFmtId="0" fontId="4" fillId="7" borderId="0" xfId="0" applyFont="1" applyFill="1"/>
    <xf numFmtId="0" fontId="88" fillId="7" borderId="14" xfId="0" applyFont="1" applyFill="1" applyBorder="1"/>
    <xf numFmtId="173" fontId="4" fillId="7" borderId="15" xfId="0" applyNumberFormat="1" applyFont="1" applyFill="1" applyBorder="1"/>
    <xf numFmtId="0" fontId="4" fillId="5" borderId="23" xfId="0" applyFont="1" applyFill="1" applyBorder="1"/>
    <xf numFmtId="176" fontId="0" fillId="0" borderId="0" xfId="0" applyNumberFormat="1"/>
    <xf numFmtId="174" fontId="0" fillId="0" borderId="45" xfId="0" applyNumberFormat="1" applyBorder="1"/>
    <xf numFmtId="174" fontId="0" fillId="0" borderId="46" xfId="0" applyNumberFormat="1" applyBorder="1"/>
    <xf numFmtId="0" fontId="0" fillId="51" borderId="14" xfId="0" applyFill="1" applyBorder="1"/>
    <xf numFmtId="174" fontId="0" fillId="0" borderId="15" xfId="0" applyNumberFormat="1" applyBorder="1"/>
    <xf numFmtId="174" fontId="0" fillId="0" borderId="16" xfId="0" applyNumberFormat="1" applyBorder="1"/>
    <xf numFmtId="0" fontId="0" fillId="0" borderId="44" xfId="0" applyBorder="1"/>
    <xf numFmtId="9" fontId="0" fillId="0" borderId="92" xfId="1" applyFont="1" applyBorder="1"/>
    <xf numFmtId="1" fontId="0" fillId="0" borderId="92" xfId="0" applyNumberFormat="1" applyBorder="1"/>
    <xf numFmtId="1" fontId="0" fillId="11" borderId="92" xfId="0" applyNumberFormat="1" applyFill="1" applyBorder="1"/>
    <xf numFmtId="0" fontId="0" fillId="0" borderId="28" xfId="0" applyBorder="1" applyAlignment="1">
      <alignment horizontal="right"/>
    </xf>
    <xf numFmtId="0" fontId="90" fillId="14" borderId="0" xfId="0" applyFont="1" applyFill="1" applyBorder="1" applyAlignment="1">
      <alignment vertical="center"/>
    </xf>
    <xf numFmtId="0" fontId="90" fillId="14" borderId="0" xfId="0" applyFont="1" applyFill="1"/>
    <xf numFmtId="0" fontId="89" fillId="61" borderId="46" xfId="0" applyFont="1" applyFill="1" applyBorder="1"/>
    <xf numFmtId="0" fontId="0" fillId="62" borderId="27" xfId="0" applyFill="1" applyBorder="1"/>
    <xf numFmtId="0" fontId="12" fillId="62" borderId="27" xfId="0" applyFont="1" applyFill="1" applyBorder="1"/>
    <xf numFmtId="172" fontId="0" fillId="62" borderId="39" xfId="0" applyNumberFormat="1" applyFill="1" applyBorder="1"/>
    <xf numFmtId="0" fontId="0" fillId="63" borderId="27" xfId="0" applyFill="1" applyBorder="1"/>
    <xf numFmtId="9" fontId="0" fillId="63" borderId="39" xfId="1" applyFont="1" applyFill="1" applyBorder="1"/>
    <xf numFmtId="0" fontId="0" fillId="63" borderId="28" xfId="0" applyFill="1" applyBorder="1"/>
    <xf numFmtId="0" fontId="0" fillId="63" borderId="42" xfId="0" applyFill="1" applyBorder="1"/>
    <xf numFmtId="0" fontId="12" fillId="63" borderId="27" xfId="0" applyFont="1" applyFill="1" applyBorder="1"/>
    <xf numFmtId="167" fontId="12" fillId="62" borderId="26" xfId="0" applyNumberFormat="1" applyFont="1" applyFill="1" applyBorder="1" applyAlignment="1">
      <alignment vertical="center"/>
    </xf>
    <xf numFmtId="9" fontId="0" fillId="62" borderId="26" xfId="0" applyNumberFormat="1" applyFill="1" applyBorder="1"/>
    <xf numFmtId="167" fontId="12" fillId="63" borderId="27" xfId="0" applyNumberFormat="1" applyFont="1" applyFill="1" applyBorder="1" applyAlignment="1">
      <alignment vertical="center"/>
    </xf>
    <xf numFmtId="167" fontId="87" fillId="0" borderId="36" xfId="0" applyNumberFormat="1" applyFont="1" applyFill="1" applyBorder="1" applyAlignment="1">
      <alignment vertical="center"/>
    </xf>
    <xf numFmtId="0" fontId="85" fillId="61" borderId="22" xfId="0" applyFont="1" applyFill="1" applyBorder="1"/>
    <xf numFmtId="0" fontId="5" fillId="0" borderId="6" xfId="0" applyFont="1" applyBorder="1"/>
    <xf numFmtId="0" fontId="5" fillId="0" borderId="11" xfId="0" applyFont="1" applyBorder="1"/>
    <xf numFmtId="0" fontId="0" fillId="0" borderId="118" xfId="0" applyBorder="1"/>
    <xf numFmtId="0" fontId="0" fillId="0" borderId="176" xfId="0" applyBorder="1"/>
    <xf numFmtId="0" fontId="0" fillId="0" borderId="177" xfId="0" applyBorder="1"/>
    <xf numFmtId="0" fontId="0" fillId="0" borderId="178" xfId="0" applyBorder="1"/>
    <xf numFmtId="0" fontId="0" fillId="0" borderId="118" xfId="0" applyFill="1" applyBorder="1"/>
    <xf numFmtId="177" fontId="0" fillId="5" borderId="105" xfId="3" applyNumberFormat="1" applyFont="1" applyFill="1" applyBorder="1"/>
    <xf numFmtId="177" fontId="0" fillId="0" borderId="0" xfId="3" applyNumberFormat="1" applyFont="1"/>
    <xf numFmtId="177" fontId="0" fillId="5" borderId="22" xfId="3" applyNumberFormat="1" applyFont="1" applyFill="1" applyBorder="1" applyAlignment="1">
      <alignment horizontal="left"/>
    </xf>
    <xf numFmtId="0" fontId="0" fillId="11" borderId="29" xfId="0" applyFill="1" applyBorder="1" applyAlignment="1">
      <alignment horizontal="left"/>
    </xf>
    <xf numFmtId="0" fontId="0" fillId="0" borderId="73" xfId="0" applyBorder="1" applyAlignment="1">
      <alignment horizontal="left"/>
    </xf>
    <xf numFmtId="0" fontId="0" fillId="11" borderId="73" xfId="0" applyFill="1" applyBorder="1" applyAlignment="1">
      <alignment horizontal="left"/>
    </xf>
    <xf numFmtId="0" fontId="0" fillId="5" borderId="26" xfId="0" applyFill="1" applyBorder="1" applyAlignment="1">
      <alignment horizontal="left"/>
    </xf>
    <xf numFmtId="0" fontId="0" fillId="7" borderId="22" xfId="0" applyFill="1" applyBorder="1" applyAlignment="1">
      <alignment horizontal="left"/>
    </xf>
    <xf numFmtId="0" fontId="0" fillId="7" borderId="44" xfId="0" applyFill="1" applyBorder="1" applyAlignment="1">
      <alignment horizontal="left"/>
    </xf>
    <xf numFmtId="0" fontId="0" fillId="0" borderId="12" xfId="0" applyFill="1" applyBorder="1"/>
    <xf numFmtId="167" fontId="0" fillId="0" borderId="13" xfId="0" applyNumberFormat="1" applyBorder="1"/>
    <xf numFmtId="167" fontId="0" fillId="0" borderId="19" xfId="0" applyNumberFormat="1" applyBorder="1"/>
    <xf numFmtId="167" fontId="0" fillId="0" borderId="2" xfId="0" applyNumberFormat="1" applyBorder="1"/>
    <xf numFmtId="1" fontId="68" fillId="0" borderId="91" xfId="0" applyNumberFormat="1" applyFont="1" applyBorder="1"/>
    <xf numFmtId="168" fontId="0" fillId="0" borderId="8" xfId="0" applyNumberFormat="1" applyBorder="1"/>
    <xf numFmtId="175" fontId="0" fillId="0" borderId="8" xfId="1" applyNumberFormat="1" applyFont="1" applyBorder="1"/>
    <xf numFmtId="168" fontId="0" fillId="0" borderId="11" xfId="0" applyNumberFormat="1" applyBorder="1"/>
    <xf numFmtId="168" fontId="0" fillId="0" borderId="21" xfId="0" applyNumberFormat="1" applyBorder="1"/>
    <xf numFmtId="0" fontId="4" fillId="13" borderId="14" xfId="0" applyFont="1" applyFill="1" applyBorder="1"/>
    <xf numFmtId="0" fontId="0" fillId="13" borderId="16" xfId="0" applyFill="1" applyBorder="1"/>
    <xf numFmtId="174" fontId="0" fillId="5" borderId="24" xfId="0" applyNumberFormat="1" applyFill="1" applyBorder="1"/>
    <xf numFmtId="1" fontId="0" fillId="7" borderId="15" xfId="0" applyNumberFormat="1" applyFill="1" applyBorder="1"/>
    <xf numFmtId="1" fontId="0" fillId="7" borderId="16" xfId="0" applyNumberFormat="1" applyFill="1" applyBorder="1"/>
    <xf numFmtId="0" fontId="0" fillId="17" borderId="4" xfId="0" applyFill="1" applyBorder="1"/>
    <xf numFmtId="0" fontId="0" fillId="17" borderId="5" xfId="0" applyFill="1" applyBorder="1"/>
    <xf numFmtId="0" fontId="0" fillId="17" borderId="6" xfId="0" applyFill="1" applyBorder="1"/>
    <xf numFmtId="0" fontId="93" fillId="33" borderId="0" xfId="0" applyFont="1" applyFill="1"/>
    <xf numFmtId="0" fontId="4" fillId="7" borderId="14" xfId="0" applyFont="1" applyFill="1" applyBorder="1" applyAlignment="1">
      <alignment horizontal="center" vertical="center" wrapText="1"/>
    </xf>
    <xf numFmtId="0" fontId="4" fillId="7" borderId="15" xfId="0" applyFont="1" applyFill="1" applyBorder="1" applyAlignment="1">
      <alignment horizontal="center" vertical="center" wrapText="1"/>
    </xf>
    <xf numFmtId="0" fontId="4" fillId="7" borderId="16" xfId="0" applyFont="1" applyFill="1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4" fillId="7" borderId="8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51" fillId="8" borderId="44" xfId="0" applyFont="1" applyFill="1" applyBorder="1" applyAlignment="1">
      <alignment horizontal="center" vertical="center"/>
    </xf>
    <xf numFmtId="0" fontId="51" fillId="8" borderId="105" xfId="0" applyFont="1" applyFill="1" applyBorder="1" applyAlignment="1">
      <alignment horizontal="center" vertical="center"/>
    </xf>
    <xf numFmtId="0" fontId="0" fillId="0" borderId="36" xfId="0" applyBorder="1" applyAlignment="1">
      <alignment horizontal="left"/>
    </xf>
    <xf numFmtId="0" fontId="0" fillId="0" borderId="0" xfId="0" applyAlignment="1">
      <alignment horizontal="left"/>
    </xf>
    <xf numFmtId="0" fontId="0" fillId="0" borderId="0" xfId="0" applyBorder="1" applyAlignment="1">
      <alignment horizontal="left"/>
    </xf>
    <xf numFmtId="0" fontId="0" fillId="0" borderId="0" xfId="0" applyBorder="1" applyAlignment="1"/>
    <xf numFmtId="0" fontId="0" fillId="0" borderId="0" xfId="0" applyFill="1" applyBorder="1" applyAlignment="1"/>
    <xf numFmtId="0" fontId="0" fillId="0" borderId="0" xfId="0" applyFill="1" applyBorder="1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5" fillId="7" borderId="7" xfId="0" applyFont="1" applyFill="1" applyBorder="1" applyAlignment="1">
      <alignment horizontal="center" vertical="center" wrapText="1"/>
    </xf>
    <xf numFmtId="0" fontId="5" fillId="7" borderId="1" xfId="0" applyFont="1" applyFill="1" applyBorder="1" applyAlignment="1">
      <alignment horizontal="center" vertical="center" wrapText="1"/>
    </xf>
    <xf numFmtId="0" fontId="5" fillId="7" borderId="8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85" fillId="0" borderId="0" xfId="0" applyFont="1" applyFill="1" applyBorder="1"/>
    <xf numFmtId="0" fontId="91" fillId="0" borderId="0" xfId="0" applyFont="1" applyBorder="1"/>
    <xf numFmtId="0" fontId="89" fillId="0" borderId="0" xfId="0" applyFont="1"/>
    <xf numFmtId="0" fontId="24" fillId="0" borderId="0" xfId="0" applyFont="1" applyAlignment="1">
      <alignment vertical="center"/>
    </xf>
    <xf numFmtId="0" fontId="4" fillId="15" borderId="179" xfId="0" applyFont="1" applyFill="1" applyBorder="1"/>
    <xf numFmtId="0" fontId="4" fillId="15" borderId="26" xfId="0" applyFont="1" applyFill="1" applyBorder="1"/>
    <xf numFmtId="0" fontId="0" fillId="0" borderId="4" xfId="0" applyBorder="1" applyAlignment="1">
      <alignment horizontal="center"/>
    </xf>
    <xf numFmtId="0" fontId="0" fillId="0" borderId="4" xfId="0" applyBorder="1"/>
    <xf numFmtId="0" fontId="85" fillId="55" borderId="38" xfId="0" applyFont="1" applyFill="1" applyBorder="1"/>
    <xf numFmtId="9" fontId="85" fillId="55" borderId="0" xfId="1" applyFont="1" applyFill="1" applyBorder="1"/>
    <xf numFmtId="9" fontId="85" fillId="55" borderId="39" xfId="1" applyFont="1" applyFill="1" applyBorder="1"/>
    <xf numFmtId="0" fontId="85" fillId="34" borderId="40" xfId="0" applyFont="1" applyFill="1" applyBorder="1"/>
    <xf numFmtId="169" fontId="5" fillId="33" borderId="41" xfId="0" applyNumberFormat="1" applyFont="1" applyFill="1" applyBorder="1"/>
    <xf numFmtId="169" fontId="94" fillId="33" borderId="41" xfId="0" applyNumberFormat="1" applyFont="1" applyFill="1" applyBorder="1"/>
    <xf numFmtId="169" fontId="62" fillId="33" borderId="42" xfId="0" applyNumberFormat="1" applyFont="1" applyFill="1" applyBorder="1"/>
    <xf numFmtId="169" fontId="5" fillId="33" borderId="41" xfId="4" applyNumberFormat="1" applyFont="1" applyFill="1" applyBorder="1"/>
    <xf numFmtId="169" fontId="62" fillId="33" borderId="41" xfId="0" applyNumberFormat="1" applyFont="1" applyFill="1" applyBorder="1"/>
    <xf numFmtId="169" fontId="94" fillId="33" borderId="42" xfId="0" applyNumberFormat="1" applyFont="1" applyFill="1" applyBorder="1"/>
    <xf numFmtId="0" fontId="24" fillId="0" borderId="0" xfId="0" applyFont="1" applyAlignment="1">
      <alignment horizontal="center" vertical="center"/>
    </xf>
    <xf numFmtId="0" fontId="10" fillId="8" borderId="49" xfId="0" applyFont="1" applyFill="1" applyBorder="1" applyAlignment="1">
      <alignment vertical="center"/>
    </xf>
    <xf numFmtId="0" fontId="10" fillId="8" borderId="72" xfId="0" applyFont="1" applyFill="1" applyBorder="1" applyAlignment="1">
      <alignment vertical="center"/>
    </xf>
    <xf numFmtId="0" fontId="0" fillId="7" borderId="62" xfId="0" applyFill="1" applyBorder="1" applyAlignment="1">
      <alignment horizontal="center" vertical="center"/>
    </xf>
    <xf numFmtId="0" fontId="0" fillId="0" borderId="91" xfId="0" applyBorder="1"/>
    <xf numFmtId="167" fontId="0" fillId="0" borderId="11" xfId="0" applyNumberFormat="1" applyBorder="1" applyAlignment="1">
      <alignment horizontal="center"/>
    </xf>
    <xf numFmtId="169" fontId="62" fillId="33" borderId="0" xfId="0" applyNumberFormat="1" applyFont="1" applyFill="1" applyBorder="1"/>
    <xf numFmtId="169" fontId="94" fillId="33" borderId="0" xfId="0" applyNumberFormat="1" applyFont="1" applyFill="1" applyBorder="1"/>
    <xf numFmtId="0" fontId="59" fillId="17" borderId="88" xfId="0" applyFont="1" applyFill="1" applyBorder="1" applyAlignment="1" applyProtection="1">
      <alignment horizontal="center" vertical="center"/>
      <protection hidden="1"/>
    </xf>
    <xf numFmtId="0" fontId="59" fillId="17" borderId="89" xfId="0" applyFont="1" applyFill="1" applyBorder="1" applyAlignment="1" applyProtection="1">
      <alignment horizontal="left" vertical="center"/>
      <protection hidden="1"/>
    </xf>
    <xf numFmtId="49" fontId="59" fillId="17" borderId="29" xfId="0" applyNumberFormat="1" applyFont="1" applyFill="1" applyBorder="1" applyAlignment="1" applyProtection="1">
      <alignment horizontal="center" vertical="center"/>
      <protection hidden="1"/>
    </xf>
    <xf numFmtId="49" fontId="59" fillId="17" borderId="31" xfId="0" applyNumberFormat="1" applyFont="1" applyFill="1" applyBorder="1" applyAlignment="1" applyProtection="1">
      <alignment horizontal="center" vertical="center"/>
      <protection hidden="1"/>
    </xf>
    <xf numFmtId="49" fontId="59" fillId="7" borderId="27" xfId="0" applyNumberFormat="1" applyFont="1" applyFill="1" applyBorder="1" applyAlignment="1" applyProtection="1">
      <alignment horizontal="center" vertical="center"/>
      <protection hidden="1"/>
    </xf>
    <xf numFmtId="49" fontId="59" fillId="2" borderId="27" xfId="0" applyNumberFormat="1" applyFont="1" applyFill="1" applyBorder="1" applyAlignment="1" applyProtection="1">
      <alignment horizontal="center" vertical="center"/>
      <protection hidden="1"/>
    </xf>
    <xf numFmtId="49" fontId="59" fillId="0" borderId="27" xfId="0" applyNumberFormat="1" applyFont="1" applyFill="1" applyBorder="1" applyAlignment="1" applyProtection="1">
      <alignment horizontal="center" vertical="center"/>
      <protection hidden="1"/>
    </xf>
    <xf numFmtId="49" fontId="60" fillId="17" borderId="27" xfId="0" applyNumberFormat="1" applyFont="1" applyFill="1" applyBorder="1" applyAlignment="1" applyProtection="1">
      <alignment horizontal="center" vertical="center"/>
      <protection hidden="1"/>
    </xf>
    <xf numFmtId="0" fontId="12" fillId="7" borderId="27" xfId="0" applyFont="1" applyFill="1" applyBorder="1" applyAlignment="1">
      <alignment horizontal="center"/>
    </xf>
    <xf numFmtId="49" fontId="12" fillId="2" borderId="27" xfId="0" applyNumberFormat="1" applyFont="1" applyFill="1" applyBorder="1" applyAlignment="1">
      <alignment horizontal="center"/>
    </xf>
    <xf numFmtId="49" fontId="12" fillId="7" borderId="27" xfId="0" applyNumberFormat="1" applyFont="1" applyFill="1" applyBorder="1" applyAlignment="1">
      <alignment horizontal="center"/>
    </xf>
    <xf numFmtId="49" fontId="5" fillId="17" borderId="27" xfId="0" applyNumberFormat="1" applyFont="1" applyFill="1" applyBorder="1" applyAlignment="1">
      <alignment horizontal="center"/>
    </xf>
    <xf numFmtId="49" fontId="5" fillId="17" borderId="28" xfId="0" applyNumberFormat="1" applyFont="1" applyFill="1" applyBorder="1" applyAlignment="1">
      <alignment horizontal="center"/>
    </xf>
    <xf numFmtId="49" fontId="12" fillId="0" borderId="27" xfId="0" applyNumberFormat="1" applyFont="1" applyBorder="1" applyAlignment="1">
      <alignment horizontal="center"/>
    </xf>
    <xf numFmtId="49" fontId="12" fillId="0" borderId="28" xfId="0" applyNumberFormat="1" applyFont="1" applyBorder="1" applyAlignment="1">
      <alignment horizontal="center"/>
    </xf>
    <xf numFmtId="3" fontId="0" fillId="0" borderId="3" xfId="0" applyNumberFormat="1" applyBorder="1"/>
    <xf numFmtId="3" fontId="0" fillId="55" borderId="45" xfId="0" applyNumberFormat="1" applyFill="1" applyBorder="1"/>
    <xf numFmtId="168" fontId="0" fillId="47" borderId="137" xfId="0" applyNumberFormat="1" applyFill="1" applyBorder="1"/>
    <xf numFmtId="168" fontId="0" fillId="47" borderId="156" xfId="0" applyNumberFormat="1" applyFill="1" applyBorder="1"/>
    <xf numFmtId="168" fontId="0" fillId="55" borderId="137" xfId="0" applyNumberFormat="1" applyFill="1" applyBorder="1"/>
    <xf numFmtId="168" fontId="0" fillId="55" borderId="156" xfId="0" applyNumberFormat="1" applyFill="1" applyBorder="1"/>
    <xf numFmtId="168" fontId="0" fillId="55" borderId="45" xfId="0" applyNumberFormat="1" applyFill="1" applyBorder="1"/>
    <xf numFmtId="168" fontId="0" fillId="55" borderId="46" xfId="0" applyNumberFormat="1" applyFill="1" applyBorder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9" fontId="0" fillId="0" borderId="6" xfId="0" applyNumberFormat="1" applyBorder="1" applyAlignment="1">
      <alignment vertical="center"/>
    </xf>
    <xf numFmtId="9" fontId="0" fillId="0" borderId="8" xfId="0" applyNumberFormat="1" applyBorder="1" applyAlignment="1">
      <alignment vertical="center"/>
    </xf>
    <xf numFmtId="178" fontId="0" fillId="0" borderId="11" xfId="0" applyNumberFormat="1" applyBorder="1" applyAlignment="1">
      <alignment vertical="center"/>
    </xf>
    <xf numFmtId="0" fontId="0" fillId="20" borderId="7" xfId="0" applyFill="1" applyBorder="1" applyAlignment="1">
      <alignment vertical="center"/>
    </xf>
    <xf numFmtId="0" fontId="0" fillId="15" borderId="9" xfId="0" applyFill="1" applyBorder="1" applyAlignment="1">
      <alignment vertical="center"/>
    </xf>
    <xf numFmtId="0" fontId="0" fillId="15" borderId="4" xfId="0" applyFill="1" applyBorder="1" applyAlignment="1">
      <alignment vertical="center"/>
    </xf>
    <xf numFmtId="178" fontId="0" fillId="0" borderId="6" xfId="0" applyNumberFormat="1" applyBorder="1" applyAlignment="1">
      <alignment vertical="center"/>
    </xf>
    <xf numFmtId="0" fontId="0" fillId="2" borderId="103" xfId="0" applyFill="1" applyBorder="1" applyAlignment="1">
      <alignment vertical="center"/>
    </xf>
    <xf numFmtId="9" fontId="0" fillId="0" borderId="132" xfId="0" applyNumberFormat="1" applyBorder="1" applyAlignment="1">
      <alignment vertical="center"/>
    </xf>
    <xf numFmtId="0" fontId="0" fillId="20" borderId="4" xfId="0" applyFill="1" applyBorder="1" applyAlignment="1">
      <alignment vertical="center"/>
    </xf>
    <xf numFmtId="0" fontId="0" fillId="20" borderId="9" xfId="0" applyFill="1" applyBorder="1" applyAlignment="1">
      <alignment vertical="center"/>
    </xf>
    <xf numFmtId="9" fontId="0" fillId="0" borderId="11" xfId="0" applyNumberFormat="1" applyBorder="1" applyAlignment="1">
      <alignment vertical="center"/>
    </xf>
    <xf numFmtId="0" fontId="0" fillId="7" borderId="101" xfId="0" applyFill="1" applyBorder="1" applyAlignment="1">
      <alignment horizontal="center" vertical="center"/>
    </xf>
    <xf numFmtId="0" fontId="50" fillId="6" borderId="0" xfId="2" applyFont="1" applyFill="1" applyAlignment="1">
      <alignment horizontal="center" vertical="center"/>
    </xf>
    <xf numFmtId="0" fontId="21" fillId="7" borderId="38" xfId="0" applyFont="1" applyFill="1" applyBorder="1" applyAlignment="1">
      <alignment horizontal="center" vertical="center" textRotation="90"/>
    </xf>
    <xf numFmtId="0" fontId="21" fillId="7" borderId="40" xfId="0" applyFont="1" applyFill="1" applyBorder="1" applyAlignment="1">
      <alignment horizontal="center" vertical="center" textRotation="90"/>
    </xf>
    <xf numFmtId="0" fontId="21" fillId="7" borderId="35" xfId="0" applyFont="1" applyFill="1" applyBorder="1" applyAlignment="1">
      <alignment horizontal="center" vertical="center" textRotation="90"/>
    </xf>
    <xf numFmtId="0" fontId="31" fillId="6" borderId="44" xfId="0" applyFont="1" applyFill="1" applyBorder="1" applyAlignment="1">
      <alignment horizontal="center" vertical="center"/>
    </xf>
    <xf numFmtId="0" fontId="31" fillId="6" borderId="45" xfId="0" applyFont="1" applyFill="1" applyBorder="1" applyAlignment="1">
      <alignment horizontal="center" vertical="center"/>
    </xf>
    <xf numFmtId="0" fontId="31" fillId="6" borderId="46" xfId="0" applyFont="1" applyFill="1" applyBorder="1" applyAlignment="1">
      <alignment horizontal="center" vertical="center"/>
    </xf>
    <xf numFmtId="0" fontId="38" fillId="35" borderId="0" xfId="0" applyFont="1" applyFill="1" applyAlignment="1">
      <alignment horizontal="center"/>
    </xf>
    <xf numFmtId="0" fontId="48" fillId="35" borderId="0" xfId="0" applyFont="1" applyFill="1" applyAlignment="1">
      <alignment horizontal="center" vertical="center"/>
    </xf>
    <xf numFmtId="0" fontId="47" fillId="35" borderId="0" xfId="0" applyFont="1" applyFill="1" applyAlignment="1">
      <alignment horizontal="center"/>
    </xf>
    <xf numFmtId="0" fontId="38" fillId="24" borderId="0" xfId="0" applyFont="1" applyFill="1" applyAlignment="1">
      <alignment horizontal="center"/>
    </xf>
    <xf numFmtId="0" fontId="47" fillId="24" borderId="0" xfId="0" applyFont="1" applyFill="1" applyAlignment="1">
      <alignment horizontal="center"/>
    </xf>
    <xf numFmtId="0" fontId="48" fillId="24" borderId="0" xfId="0" applyFont="1" applyFill="1" applyAlignment="1">
      <alignment horizontal="center"/>
    </xf>
    <xf numFmtId="169" fontId="48" fillId="35" borderId="0" xfId="0" applyNumberFormat="1" applyFont="1" applyFill="1" applyAlignment="1">
      <alignment horizontal="center" vertical="center"/>
    </xf>
    <xf numFmtId="0" fontId="92" fillId="8" borderId="44" xfId="0" applyFont="1" applyFill="1" applyBorder="1" applyAlignment="1">
      <alignment horizontal="center" vertical="center"/>
    </xf>
    <xf numFmtId="0" fontId="28" fillId="8" borderId="46" xfId="0" applyFont="1" applyFill="1" applyBorder="1" applyAlignment="1">
      <alignment horizontal="center" vertical="center"/>
    </xf>
    <xf numFmtId="0" fontId="32" fillId="27" borderId="26" xfId="0" applyFont="1" applyFill="1" applyBorder="1" applyAlignment="1">
      <alignment horizontal="center" vertical="center" textRotation="90"/>
    </xf>
    <xf numFmtId="0" fontId="32" fillId="27" borderId="27" xfId="0" applyFont="1" applyFill="1" applyBorder="1" applyAlignment="1">
      <alignment horizontal="center" vertical="center" textRotation="90"/>
    </xf>
    <xf numFmtId="0" fontId="32" fillId="27" borderId="28" xfId="0" applyFont="1" applyFill="1" applyBorder="1" applyAlignment="1">
      <alignment horizontal="center" vertical="center" textRotation="90"/>
    </xf>
    <xf numFmtId="0" fontId="32" fillId="28" borderId="26" xfId="0" applyFont="1" applyFill="1" applyBorder="1" applyAlignment="1">
      <alignment horizontal="center" vertical="center" textRotation="90"/>
    </xf>
    <xf numFmtId="0" fontId="32" fillId="28" borderId="27" xfId="0" applyFont="1" applyFill="1" applyBorder="1" applyAlignment="1">
      <alignment horizontal="center" vertical="center" textRotation="90"/>
    </xf>
    <xf numFmtId="0" fontId="32" fillId="28" borderId="28" xfId="0" applyFont="1" applyFill="1" applyBorder="1" applyAlignment="1">
      <alignment horizontal="center" vertical="center" textRotation="90"/>
    </xf>
    <xf numFmtId="0" fontId="28" fillId="53" borderId="44" xfId="0" applyFont="1" applyFill="1" applyBorder="1" applyAlignment="1">
      <alignment horizontal="center" vertical="center"/>
    </xf>
    <xf numFmtId="0" fontId="28" fillId="53" borderId="45" xfId="0" applyFont="1" applyFill="1" applyBorder="1" applyAlignment="1">
      <alignment horizontal="center" vertical="center"/>
    </xf>
    <xf numFmtId="0" fontId="28" fillId="53" borderId="46" xfId="0" applyFont="1" applyFill="1" applyBorder="1" applyAlignment="1">
      <alignment horizontal="center" vertical="center"/>
    </xf>
    <xf numFmtId="0" fontId="4" fillId="15" borderId="44" xfId="0" applyFont="1" applyFill="1" applyBorder="1" applyAlignment="1">
      <alignment horizontal="center"/>
    </xf>
    <xf numFmtId="0" fontId="4" fillId="15" borderId="46" xfId="0" applyFont="1" applyFill="1" applyBorder="1" applyAlignment="1">
      <alignment horizontal="center"/>
    </xf>
    <xf numFmtId="0" fontId="4" fillId="15" borderId="45" xfId="0" applyFont="1" applyFill="1" applyBorder="1" applyAlignment="1">
      <alignment horizontal="center"/>
    </xf>
    <xf numFmtId="0" fontId="28" fillId="8" borderId="35" xfId="0" applyFont="1" applyFill="1" applyBorder="1" applyAlignment="1">
      <alignment horizontal="center" vertical="center"/>
    </xf>
    <xf numFmtId="0" fontId="28" fillId="8" borderId="36" xfId="0" applyFont="1" applyFill="1" applyBorder="1" applyAlignment="1">
      <alignment horizontal="center" vertical="center"/>
    </xf>
    <xf numFmtId="0" fontId="28" fillId="8" borderId="44" xfId="0" applyFont="1" applyFill="1" applyBorder="1" applyAlignment="1">
      <alignment horizontal="center" vertical="center"/>
    </xf>
    <xf numFmtId="0" fontId="28" fillId="56" borderId="35" xfId="0" applyFont="1" applyFill="1" applyBorder="1" applyAlignment="1">
      <alignment horizontal="center" vertical="center"/>
    </xf>
    <xf numFmtId="0" fontId="28" fillId="56" borderId="36" xfId="0" applyFont="1" applyFill="1" applyBorder="1" applyAlignment="1">
      <alignment horizontal="center" vertical="center"/>
    </xf>
    <xf numFmtId="0" fontId="28" fillId="53" borderId="40" xfId="0" applyFont="1" applyFill="1" applyBorder="1" applyAlignment="1">
      <alignment horizontal="center" vertical="center"/>
    </xf>
    <xf numFmtId="0" fontId="28" fillId="53" borderId="41" xfId="0" applyFont="1" applyFill="1" applyBorder="1" applyAlignment="1">
      <alignment horizontal="center" vertical="center"/>
    </xf>
    <xf numFmtId="0" fontId="85" fillId="61" borderId="44" xfId="0" applyFont="1" applyFill="1" applyBorder="1" applyAlignment="1">
      <alignment horizontal="center"/>
    </xf>
    <xf numFmtId="0" fontId="85" fillId="61" borderId="46" xfId="0" applyFont="1" applyFill="1" applyBorder="1" applyAlignment="1">
      <alignment horizontal="center"/>
    </xf>
    <xf numFmtId="0" fontId="24" fillId="0" borderId="0" xfId="0" applyFont="1" applyAlignment="1">
      <alignment horizontal="center" vertical="center"/>
    </xf>
    <xf numFmtId="0" fontId="85" fillId="61" borderId="35" xfId="0" applyFont="1" applyFill="1" applyBorder="1" applyAlignment="1">
      <alignment horizontal="center"/>
    </xf>
    <xf numFmtId="0" fontId="85" fillId="61" borderId="36" xfId="0" applyFont="1" applyFill="1" applyBorder="1" applyAlignment="1">
      <alignment horizontal="center"/>
    </xf>
    <xf numFmtId="0" fontId="85" fillId="61" borderId="37" xfId="0" applyFont="1" applyFill="1" applyBorder="1" applyAlignment="1">
      <alignment horizontal="center"/>
    </xf>
    <xf numFmtId="0" fontId="28" fillId="8" borderId="45" xfId="0" applyFont="1" applyFill="1" applyBorder="1" applyAlignment="1">
      <alignment horizontal="center" vertical="center"/>
    </xf>
    <xf numFmtId="0" fontId="12" fillId="17" borderId="124" xfId="0" applyFont="1" applyFill="1" applyBorder="1" applyAlignment="1">
      <alignment horizontal="center" vertical="center" wrapText="1"/>
    </xf>
    <xf numFmtId="0" fontId="12" fillId="17" borderId="132" xfId="0" applyFont="1" applyFill="1" applyBorder="1" applyAlignment="1">
      <alignment horizontal="center" vertical="center" wrapText="1"/>
    </xf>
    <xf numFmtId="0" fontId="5" fillId="17" borderId="144" xfId="0" applyFont="1" applyFill="1" applyBorder="1" applyAlignment="1">
      <alignment horizontal="center"/>
    </xf>
    <xf numFmtId="0" fontId="5" fillId="17" borderId="145" xfId="0" applyFont="1" applyFill="1" applyBorder="1" applyAlignment="1">
      <alignment horizontal="center"/>
    </xf>
    <xf numFmtId="0" fontId="5" fillId="33" borderId="142" xfId="0" applyFont="1" applyFill="1" applyBorder="1" applyAlignment="1">
      <alignment horizontal="center"/>
    </xf>
    <xf numFmtId="0" fontId="5" fillId="33" borderId="0" xfId="0" applyFont="1" applyFill="1" applyBorder="1" applyAlignment="1">
      <alignment horizontal="center"/>
    </xf>
    <xf numFmtId="0" fontId="5" fillId="17" borderId="142" xfId="0" applyFont="1" applyFill="1" applyBorder="1" applyAlignment="1">
      <alignment horizontal="center"/>
    </xf>
    <xf numFmtId="0" fontId="5" fillId="17" borderId="0" xfId="0" applyFont="1" applyFill="1" applyBorder="1" applyAlignment="1">
      <alignment horizontal="center"/>
    </xf>
    <xf numFmtId="0" fontId="12" fillId="17" borderId="103" xfId="0" applyFont="1" applyFill="1" applyBorder="1" applyAlignment="1">
      <alignment horizontal="center" vertical="center" wrapText="1"/>
    </xf>
    <xf numFmtId="0" fontId="12" fillId="17" borderId="111" xfId="0" applyFont="1" applyFill="1" applyBorder="1" applyAlignment="1">
      <alignment horizontal="center" vertical="center" wrapText="1"/>
    </xf>
    <xf numFmtId="0" fontId="4" fillId="16" borderId="142" xfId="0" applyFont="1" applyFill="1" applyBorder="1" applyAlignment="1">
      <alignment horizontal="left" vertical="center"/>
    </xf>
    <xf numFmtId="0" fontId="4" fillId="16" borderId="143" xfId="0" applyFont="1" applyFill="1" applyBorder="1" applyAlignment="1">
      <alignment horizontal="left" vertical="center"/>
    </xf>
    <xf numFmtId="0" fontId="4" fillId="7" borderId="111" xfId="0" applyFont="1" applyFill="1" applyBorder="1" applyAlignment="1">
      <alignment horizontal="center" vertical="center" wrapText="1"/>
    </xf>
    <xf numFmtId="0" fontId="4" fillId="7" borderId="124" xfId="0" applyFont="1" applyFill="1" applyBorder="1" applyAlignment="1">
      <alignment horizontal="center" vertical="center" wrapText="1"/>
    </xf>
    <xf numFmtId="0" fontId="4" fillId="7" borderId="132" xfId="0" applyFont="1" applyFill="1" applyBorder="1" applyAlignment="1">
      <alignment horizontal="center" vertical="center" wrapText="1"/>
    </xf>
    <xf numFmtId="0" fontId="4" fillId="21" borderId="154" xfId="0" applyFont="1" applyFill="1" applyBorder="1" applyAlignment="1">
      <alignment horizontal="left" vertical="center"/>
    </xf>
    <xf numFmtId="0" fontId="4" fillId="21" borderId="155" xfId="0" applyFont="1" applyFill="1" applyBorder="1" applyAlignment="1">
      <alignment horizontal="left" vertical="center"/>
    </xf>
    <xf numFmtId="0" fontId="4" fillId="47" borderId="154" xfId="0" applyFont="1" applyFill="1" applyBorder="1" applyAlignment="1">
      <alignment horizontal="left" vertical="center"/>
    </xf>
    <xf numFmtId="0" fontId="4" fillId="47" borderId="155" xfId="0" applyFont="1" applyFill="1" applyBorder="1" applyAlignment="1">
      <alignment horizontal="left" vertical="center"/>
    </xf>
    <xf numFmtId="0" fontId="12" fillId="7" borderId="150" xfId="0" applyFont="1" applyFill="1" applyBorder="1" applyAlignment="1">
      <alignment horizontal="center"/>
    </xf>
    <xf numFmtId="0" fontId="12" fillId="7" borderId="151" xfId="0" applyFont="1" applyFill="1" applyBorder="1" applyAlignment="1">
      <alignment horizontal="center"/>
    </xf>
    <xf numFmtId="0" fontId="4" fillId="55" borderId="44" xfId="0" applyFont="1" applyFill="1" applyBorder="1" applyAlignment="1">
      <alignment horizontal="left" vertical="center"/>
    </xf>
    <xf numFmtId="0" fontId="4" fillId="55" borderId="45" xfId="0" applyFont="1" applyFill="1" applyBorder="1" applyAlignment="1">
      <alignment horizontal="left" vertical="center"/>
    </xf>
    <xf numFmtId="0" fontId="4" fillId="55" borderId="154" xfId="0" applyFont="1" applyFill="1" applyBorder="1" applyAlignment="1">
      <alignment horizontal="left" vertical="center"/>
    </xf>
    <xf numFmtId="0" fontId="4" fillId="55" borderId="155" xfId="0" applyFont="1" applyFill="1" applyBorder="1" applyAlignment="1">
      <alignment horizontal="left" vertical="center"/>
    </xf>
    <xf numFmtId="0" fontId="4" fillId="7" borderId="103" xfId="0" applyFont="1" applyFill="1" applyBorder="1" applyAlignment="1">
      <alignment horizontal="left" vertical="center" wrapText="1"/>
    </xf>
    <xf numFmtId="0" fontId="4" fillId="7" borderId="124" xfId="0" applyFont="1" applyFill="1" applyBorder="1" applyAlignment="1">
      <alignment horizontal="left" vertical="center" wrapText="1"/>
    </xf>
    <xf numFmtId="0" fontId="4" fillId="7" borderId="132" xfId="0" applyFont="1" applyFill="1" applyBorder="1" applyAlignment="1">
      <alignment horizontal="left" vertical="center" wrapText="1"/>
    </xf>
    <xf numFmtId="0" fontId="4" fillId="7" borderId="14" xfId="0" applyFont="1" applyFill="1" applyBorder="1" applyAlignment="1">
      <alignment horizontal="center" vertical="center" wrapText="1"/>
    </xf>
    <xf numFmtId="0" fontId="4" fillId="7" borderId="15" xfId="0" applyFont="1" applyFill="1" applyBorder="1" applyAlignment="1">
      <alignment horizontal="center" vertical="center" wrapText="1"/>
    </xf>
    <xf numFmtId="0" fontId="4" fillId="7" borderId="16" xfId="0" applyFont="1" applyFill="1" applyBorder="1" applyAlignment="1">
      <alignment horizontal="center" vertical="center" wrapText="1"/>
    </xf>
    <xf numFmtId="0" fontId="86" fillId="17" borderId="1" xfId="0" applyFon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0" fontId="1" fillId="8" borderId="44" xfId="0" applyFont="1" applyFill="1" applyBorder="1" applyAlignment="1">
      <alignment horizontal="center" vertical="center"/>
    </xf>
    <xf numFmtId="0" fontId="1" fillId="8" borderId="45" xfId="0" applyFont="1" applyFill="1" applyBorder="1" applyAlignment="1">
      <alignment horizontal="center" vertical="center"/>
    </xf>
    <xf numFmtId="0" fontId="1" fillId="8" borderId="46" xfId="0" applyFont="1" applyFill="1" applyBorder="1" applyAlignment="1">
      <alignment horizontal="center" vertical="center"/>
    </xf>
    <xf numFmtId="0" fontId="4" fillId="7" borderId="35" xfId="0" applyFont="1" applyFill="1" applyBorder="1" applyAlignment="1">
      <alignment horizontal="center" vertical="center" wrapText="1"/>
    </xf>
    <xf numFmtId="0" fontId="4" fillId="7" borderId="125" xfId="0" applyFont="1" applyFill="1" applyBorder="1" applyAlignment="1">
      <alignment horizontal="center" vertical="center" wrapText="1"/>
    </xf>
    <xf numFmtId="0" fontId="4" fillId="7" borderId="36" xfId="0" applyFont="1" applyFill="1" applyBorder="1" applyAlignment="1">
      <alignment horizontal="center" vertical="center" wrapText="1"/>
    </xf>
    <xf numFmtId="0" fontId="4" fillId="7" borderId="37" xfId="0" applyFont="1" applyFill="1" applyBorder="1" applyAlignment="1">
      <alignment horizontal="center" vertical="center" wrapText="1"/>
    </xf>
    <xf numFmtId="0" fontId="4" fillId="7" borderId="26" xfId="0" applyFont="1" applyFill="1" applyBorder="1" applyAlignment="1">
      <alignment horizontal="center" vertical="center" wrapText="1"/>
    </xf>
    <xf numFmtId="0" fontId="4" fillId="7" borderId="28" xfId="0" applyFont="1" applyFill="1" applyBorder="1" applyAlignment="1">
      <alignment horizontal="center" vertical="center" wrapText="1"/>
    </xf>
    <xf numFmtId="0" fontId="13" fillId="5" borderId="44" xfId="0" applyFont="1" applyFill="1" applyBorder="1" applyAlignment="1">
      <alignment horizontal="center" vertical="center"/>
    </xf>
    <xf numFmtId="0" fontId="13" fillId="5" borderId="45" xfId="0" applyFont="1" applyFill="1" applyBorder="1" applyAlignment="1">
      <alignment horizontal="center" vertical="center"/>
    </xf>
    <xf numFmtId="0" fontId="13" fillId="5" borderId="46" xfId="0" applyFont="1" applyFill="1" applyBorder="1" applyAlignment="1">
      <alignment horizontal="center" vertical="center"/>
    </xf>
    <xf numFmtId="0" fontId="5" fillId="39" borderId="4" xfId="0" applyFont="1" applyFill="1" applyBorder="1" applyAlignment="1">
      <alignment horizontal="center" vertical="center"/>
    </xf>
    <xf numFmtId="0" fontId="5" fillId="39" borderId="7" xfId="0" applyFont="1" applyFill="1" applyBorder="1" applyAlignment="1">
      <alignment horizontal="center" vertical="center"/>
    </xf>
    <xf numFmtId="0" fontId="5" fillId="39" borderId="9" xfId="0" applyFont="1" applyFill="1" applyBorder="1" applyAlignment="1">
      <alignment horizontal="center" vertical="center"/>
    </xf>
    <xf numFmtId="0" fontId="86" fillId="17" borderId="49" xfId="0" applyFont="1" applyFill="1" applyBorder="1" applyAlignment="1">
      <alignment horizontal="center" vertical="center"/>
    </xf>
    <xf numFmtId="0" fontId="86" fillId="17" borderId="90" xfId="0" applyFont="1" applyFill="1" applyBorder="1" applyAlignment="1">
      <alignment horizontal="center" vertical="center"/>
    </xf>
    <xf numFmtId="0" fontId="0" fillId="17" borderId="49" xfId="0" applyFill="1" applyBorder="1" applyAlignment="1">
      <alignment horizontal="center" vertical="center"/>
    </xf>
    <xf numFmtId="0" fontId="0" fillId="17" borderId="90" xfId="0" applyFill="1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4" fillId="7" borderId="81" xfId="0" applyFont="1" applyFill="1" applyBorder="1" applyAlignment="1">
      <alignment horizontal="center" vertical="center" wrapText="1"/>
    </xf>
    <xf numFmtId="0" fontId="4" fillId="7" borderId="45" xfId="0" applyFont="1" applyFill="1" applyBorder="1" applyAlignment="1">
      <alignment horizontal="center" vertical="center" wrapText="1"/>
    </xf>
    <xf numFmtId="0" fontId="4" fillId="7" borderId="46" xfId="0" applyFont="1" applyFill="1" applyBorder="1" applyAlignment="1">
      <alignment horizontal="center" vertical="center" wrapText="1"/>
    </xf>
    <xf numFmtId="0" fontId="4" fillId="7" borderId="44" xfId="0" applyFont="1" applyFill="1" applyBorder="1" applyAlignment="1">
      <alignment horizontal="center" vertical="center" wrapText="1"/>
    </xf>
    <xf numFmtId="0" fontId="0" fillId="17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10" fillId="8" borderId="52" xfId="0" applyFont="1" applyFill="1" applyBorder="1" applyAlignment="1">
      <alignment horizontal="center" vertical="center"/>
    </xf>
    <xf numFmtId="0" fontId="10" fillId="8" borderId="49" xfId="0" applyFont="1" applyFill="1" applyBorder="1" applyAlignment="1">
      <alignment horizontal="center" vertical="center"/>
    </xf>
    <xf numFmtId="0" fontId="10" fillId="8" borderId="72" xfId="0" applyFont="1" applyFill="1" applyBorder="1" applyAlignment="1">
      <alignment horizontal="center" vertical="center"/>
    </xf>
    <xf numFmtId="0" fontId="25" fillId="0" borderId="33" xfId="0" applyFont="1" applyBorder="1" applyAlignment="1">
      <alignment horizontal="center" vertical="center" wrapText="1"/>
    </xf>
    <xf numFmtId="0" fontId="25" fillId="0" borderId="50" xfId="0" applyFont="1" applyBorder="1" applyAlignment="1">
      <alignment horizontal="center" vertical="center" wrapText="1"/>
    </xf>
    <xf numFmtId="0" fontId="25" fillId="0" borderId="126" xfId="0" applyFont="1" applyBorder="1" applyAlignment="1">
      <alignment horizontal="center" vertical="center" wrapText="1"/>
    </xf>
    <xf numFmtId="0" fontId="25" fillId="6" borderId="12" xfId="0" applyFont="1" applyFill="1" applyBorder="1" applyAlignment="1">
      <alignment horizontal="center"/>
    </xf>
    <xf numFmtId="0" fontId="25" fillId="6" borderId="3" xfId="0" applyFont="1" applyFill="1" applyBorder="1" applyAlignment="1">
      <alignment horizontal="center"/>
    </xf>
    <xf numFmtId="0" fontId="5" fillId="39" borderId="44" xfId="0" applyFont="1" applyFill="1" applyBorder="1" applyAlignment="1">
      <alignment horizontal="center" vertical="center"/>
    </xf>
    <xf numFmtId="0" fontId="5" fillId="39" borderId="45" xfId="0" applyFont="1" applyFill="1" applyBorder="1" applyAlignment="1">
      <alignment horizontal="center" vertical="center"/>
    </xf>
    <xf numFmtId="0" fontId="5" fillId="39" borderId="46" xfId="0" applyFont="1" applyFill="1" applyBorder="1" applyAlignment="1">
      <alignment horizontal="center" vertical="center"/>
    </xf>
    <xf numFmtId="0" fontId="51" fillId="8" borderId="44" xfId="0" applyFont="1" applyFill="1" applyBorder="1" applyAlignment="1">
      <alignment horizontal="center" vertical="center"/>
    </xf>
    <xf numFmtId="0" fontId="51" fillId="8" borderId="45" xfId="0" applyFont="1" applyFill="1" applyBorder="1" applyAlignment="1">
      <alignment horizontal="center" vertical="center"/>
    </xf>
    <xf numFmtId="0" fontId="51" fillId="8" borderId="105" xfId="0" applyFont="1" applyFill="1" applyBorder="1" applyAlignment="1">
      <alignment horizontal="center" vertical="center"/>
    </xf>
    <xf numFmtId="0" fontId="25" fillId="13" borderId="88" xfId="0" applyFont="1" applyFill="1" applyBorder="1" applyAlignment="1">
      <alignment horizontal="center"/>
    </xf>
    <xf numFmtId="0" fontId="25" fillId="13" borderId="49" xfId="0" applyFont="1" applyFill="1" applyBorder="1" applyAlignment="1">
      <alignment horizontal="center"/>
    </xf>
    <xf numFmtId="0" fontId="0" fillId="13" borderId="88" xfId="0" applyFill="1" applyBorder="1" applyAlignment="1">
      <alignment horizontal="center"/>
    </xf>
    <xf numFmtId="0" fontId="0" fillId="13" borderId="49" xfId="0" applyFill="1" applyBorder="1" applyAlignment="1">
      <alignment horizontal="center"/>
    </xf>
    <xf numFmtId="0" fontId="0" fillId="13" borderId="90" xfId="0" applyFill="1" applyBorder="1" applyAlignment="1">
      <alignment horizontal="center"/>
    </xf>
    <xf numFmtId="0" fontId="5" fillId="39" borderId="35" xfId="0" applyFont="1" applyFill="1" applyBorder="1" applyAlignment="1">
      <alignment horizontal="center" vertical="center"/>
    </xf>
    <xf numFmtId="0" fontId="5" fillId="39" borderId="36" xfId="0" applyFont="1" applyFill="1" applyBorder="1" applyAlignment="1">
      <alignment horizontal="center" vertical="center"/>
    </xf>
    <xf numFmtId="0" fontId="5" fillId="39" borderId="37" xfId="0" applyFont="1" applyFill="1" applyBorder="1" applyAlignment="1">
      <alignment horizontal="center" vertical="center"/>
    </xf>
    <xf numFmtId="0" fontId="0" fillId="5" borderId="14" xfId="0" applyFill="1" applyBorder="1" applyAlignment="1">
      <alignment horizontal="center" vertical="center"/>
    </xf>
    <xf numFmtId="0" fontId="0" fillId="5" borderId="15" xfId="0" applyFill="1" applyBorder="1" applyAlignment="1">
      <alignment horizontal="center" vertical="center"/>
    </xf>
    <xf numFmtId="0" fontId="0" fillId="7" borderId="101" xfId="0" applyFill="1" applyBorder="1" applyAlignment="1">
      <alignment horizontal="center" vertical="center"/>
    </xf>
    <xf numFmtId="0" fontId="0" fillId="7" borderId="102" xfId="0" applyFill="1" applyBorder="1" applyAlignment="1">
      <alignment horizontal="center" vertical="center"/>
    </xf>
    <xf numFmtId="0" fontId="4" fillId="39" borderId="44" xfId="0" applyFont="1" applyFill="1" applyBorder="1" applyAlignment="1">
      <alignment horizontal="center" vertical="center"/>
    </xf>
    <xf numFmtId="0" fontId="4" fillId="39" borderId="45" xfId="0" applyFont="1" applyFill="1" applyBorder="1" applyAlignment="1">
      <alignment horizontal="center" vertical="center"/>
    </xf>
    <xf numFmtId="0" fontId="4" fillId="39" borderId="36" xfId="0" applyFont="1" applyFill="1" applyBorder="1" applyAlignment="1">
      <alignment horizontal="center" vertical="center"/>
    </xf>
    <xf numFmtId="0" fontId="4" fillId="39" borderId="46" xfId="0" applyFont="1" applyFill="1" applyBorder="1" applyAlignment="1">
      <alignment horizontal="center" vertical="center"/>
    </xf>
    <xf numFmtId="0" fontId="32" fillId="17" borderId="35" xfId="0" applyFont="1" applyFill="1" applyBorder="1" applyAlignment="1">
      <alignment horizontal="center" vertical="center"/>
    </xf>
    <xf numFmtId="0" fontId="32" fillId="17" borderId="36" xfId="0" applyFont="1" applyFill="1" applyBorder="1" applyAlignment="1">
      <alignment horizontal="center" vertical="center"/>
    </xf>
    <xf numFmtId="0" fontId="32" fillId="17" borderId="37" xfId="0" applyFont="1" applyFill="1" applyBorder="1" applyAlignment="1">
      <alignment horizontal="center" vertical="center"/>
    </xf>
    <xf numFmtId="0" fontId="70" fillId="52" borderId="44" xfId="0" applyFont="1" applyFill="1" applyBorder="1" applyAlignment="1">
      <alignment horizontal="center" vertical="center"/>
    </xf>
    <xf numFmtId="0" fontId="70" fillId="52" borderId="45" xfId="0" applyFont="1" applyFill="1" applyBorder="1" applyAlignment="1">
      <alignment horizontal="center" vertical="center"/>
    </xf>
    <xf numFmtId="0" fontId="70" fillId="52" borderId="105" xfId="0" applyFont="1" applyFill="1" applyBorder="1" applyAlignment="1">
      <alignment horizontal="center" vertical="center"/>
    </xf>
    <xf numFmtId="0" fontId="25" fillId="44" borderId="35" xfId="0" applyFont="1" applyFill="1" applyBorder="1" applyAlignment="1">
      <alignment horizontal="center"/>
    </xf>
    <xf numFmtId="0" fontId="25" fillId="44" borderId="36" xfId="0" applyFont="1" applyFill="1" applyBorder="1" applyAlignment="1">
      <alignment horizontal="center"/>
    </xf>
    <xf numFmtId="0" fontId="25" fillId="44" borderId="111" xfId="0" applyFont="1" applyFill="1" applyBorder="1" applyAlignment="1">
      <alignment horizontal="center"/>
    </xf>
    <xf numFmtId="0" fontId="25" fillId="44" borderId="44" xfId="0" applyFont="1" applyFill="1" applyBorder="1" applyAlignment="1">
      <alignment horizontal="center"/>
    </xf>
    <xf numFmtId="0" fontId="25" fillId="44" borderId="45" xfId="0" applyFont="1" applyFill="1" applyBorder="1" applyAlignment="1">
      <alignment horizontal="center"/>
    </xf>
    <xf numFmtId="0" fontId="32" fillId="17" borderId="111" xfId="0" applyFont="1" applyFill="1" applyBorder="1" applyAlignment="1">
      <alignment horizontal="center" vertical="center"/>
    </xf>
    <xf numFmtId="0" fontId="24" fillId="39" borderId="44" xfId="0" applyFont="1" applyFill="1" applyBorder="1" applyAlignment="1">
      <alignment horizontal="center" vertical="center"/>
    </xf>
    <xf numFmtId="0" fontId="24" fillId="39" borderId="36" xfId="0" applyFont="1" applyFill="1" applyBorder="1" applyAlignment="1">
      <alignment horizontal="center" vertical="center"/>
    </xf>
    <xf numFmtId="0" fontId="24" fillId="39" borderId="46" xfId="0" applyFont="1" applyFill="1" applyBorder="1" applyAlignment="1">
      <alignment horizontal="center" vertical="center"/>
    </xf>
    <xf numFmtId="0" fontId="0" fillId="34" borderId="1" xfId="0" applyFill="1" applyBorder="1" applyAlignment="1">
      <alignment horizontal="center"/>
    </xf>
    <xf numFmtId="0" fontId="32" fillId="50" borderId="44" xfId="0" applyFont="1" applyFill="1" applyBorder="1" applyAlignment="1">
      <alignment horizontal="center" vertical="center"/>
    </xf>
    <xf numFmtId="0" fontId="32" fillId="50" borderId="45" xfId="0" applyFont="1" applyFill="1" applyBorder="1" applyAlignment="1">
      <alignment horizontal="center" vertical="center"/>
    </xf>
    <xf numFmtId="0" fontId="32" fillId="50" borderId="46" xfId="0" applyFont="1" applyFill="1" applyBorder="1" applyAlignment="1">
      <alignment horizontal="center" vertical="center"/>
    </xf>
    <xf numFmtId="0" fontId="64" fillId="8" borderId="26" xfId="0" applyFont="1" applyFill="1" applyBorder="1" applyAlignment="1">
      <alignment horizontal="center" vertical="center" textRotation="90" wrapText="1"/>
    </xf>
    <xf numFmtId="0" fontId="64" fillId="8" borderId="27" xfId="0" applyFont="1" applyFill="1" applyBorder="1" applyAlignment="1">
      <alignment horizontal="center" vertical="center" textRotation="90" wrapText="1"/>
    </xf>
    <xf numFmtId="0" fontId="64" fillId="8" borderId="28" xfId="0" applyFont="1" applyFill="1" applyBorder="1" applyAlignment="1">
      <alignment horizontal="center" vertical="center" textRotation="90" wrapText="1"/>
    </xf>
    <xf numFmtId="0" fontId="32" fillId="47" borderId="44" xfId="0" applyFont="1" applyFill="1" applyBorder="1" applyAlignment="1">
      <alignment horizontal="center" vertical="center"/>
    </xf>
    <xf numFmtId="0" fontId="32" fillId="47" borderId="45" xfId="0" applyFont="1" applyFill="1" applyBorder="1" applyAlignment="1">
      <alignment horizontal="center" vertical="center"/>
    </xf>
    <xf numFmtId="0" fontId="32" fillId="47" borderId="46" xfId="0" applyFont="1" applyFill="1" applyBorder="1" applyAlignment="1">
      <alignment horizontal="center" vertical="center"/>
    </xf>
    <xf numFmtId="0" fontId="32" fillId="42" borderId="44" xfId="0" applyFont="1" applyFill="1" applyBorder="1" applyAlignment="1">
      <alignment horizontal="center" vertical="center"/>
    </xf>
    <xf numFmtId="0" fontId="32" fillId="42" borderId="45" xfId="0" applyFont="1" applyFill="1" applyBorder="1" applyAlignment="1">
      <alignment horizontal="center" vertical="center"/>
    </xf>
    <xf numFmtId="0" fontId="32" fillId="42" borderId="46" xfId="0" applyFont="1" applyFill="1" applyBorder="1" applyAlignment="1">
      <alignment horizontal="center" vertical="center"/>
    </xf>
    <xf numFmtId="0" fontId="32" fillId="49" borderId="44" xfId="0" applyFont="1" applyFill="1" applyBorder="1" applyAlignment="1">
      <alignment horizontal="center" vertical="center"/>
    </xf>
    <xf numFmtId="0" fontId="32" fillId="49" borderId="45" xfId="0" applyFont="1" applyFill="1" applyBorder="1" applyAlignment="1">
      <alignment horizontal="center" vertical="center"/>
    </xf>
    <xf numFmtId="0" fontId="32" fillId="49" borderId="46" xfId="0" applyFont="1" applyFill="1" applyBorder="1" applyAlignment="1">
      <alignment horizontal="center" vertical="center"/>
    </xf>
    <xf numFmtId="0" fontId="0" fillId="0" borderId="81" xfId="0" quotePrefix="1" applyBorder="1" applyAlignment="1">
      <alignment horizontal="center" vertical="center" wrapText="1"/>
    </xf>
    <xf numFmtId="0" fontId="0" fillId="0" borderId="45" xfId="0" quotePrefix="1" applyBorder="1" applyAlignment="1">
      <alignment horizontal="center" vertical="center" wrapText="1"/>
    </xf>
    <xf numFmtId="0" fontId="0" fillId="0" borderId="46" xfId="0" quotePrefix="1" applyBorder="1" applyAlignment="1">
      <alignment horizontal="center" vertical="center" wrapText="1"/>
    </xf>
    <xf numFmtId="0" fontId="24" fillId="11" borderId="44" xfId="0" applyFont="1" applyFill="1" applyBorder="1" applyAlignment="1">
      <alignment horizontal="center" vertical="center"/>
    </xf>
    <xf numFmtId="0" fontId="24" fillId="11" borderId="45" xfId="0" applyFont="1" applyFill="1" applyBorder="1" applyAlignment="1">
      <alignment horizontal="center" vertical="center"/>
    </xf>
    <xf numFmtId="0" fontId="24" fillId="11" borderId="46" xfId="0" applyFont="1" applyFill="1" applyBorder="1" applyAlignment="1">
      <alignment horizontal="center" vertical="center"/>
    </xf>
    <xf numFmtId="0" fontId="28" fillId="8" borderId="81" xfId="0" applyFont="1" applyFill="1" applyBorder="1" applyAlignment="1">
      <alignment horizontal="center" vertical="center"/>
    </xf>
    <xf numFmtId="0" fontId="0" fillId="5" borderId="19" xfId="0" applyFill="1" applyBorder="1" applyAlignment="1">
      <alignment horizontal="center" vertical="center" textRotation="90" wrapText="1"/>
    </xf>
    <xf numFmtId="0" fontId="0" fillId="5" borderId="2" xfId="0" applyFill="1" applyBorder="1" applyAlignment="1">
      <alignment horizontal="center" vertical="center" textRotation="90" wrapText="1"/>
    </xf>
    <xf numFmtId="0" fontId="0" fillId="2" borderId="26" xfId="0" applyFill="1" applyBorder="1" applyAlignment="1">
      <alignment horizontal="center" vertical="center" textRotation="90"/>
    </xf>
    <xf numFmtId="0" fontId="0" fillId="2" borderId="27" xfId="0" applyFill="1" applyBorder="1" applyAlignment="1">
      <alignment horizontal="center" vertical="center" textRotation="90"/>
    </xf>
    <xf numFmtId="0" fontId="0" fillId="2" borderId="28" xfId="0" applyFill="1" applyBorder="1" applyAlignment="1">
      <alignment horizontal="center" vertical="center" textRotation="90"/>
    </xf>
    <xf numFmtId="0" fontId="0" fillId="4" borderId="2" xfId="0" applyFill="1" applyBorder="1" applyAlignment="1">
      <alignment horizontal="center" vertical="center" textRotation="90"/>
    </xf>
    <xf numFmtId="0" fontId="0" fillId="4" borderId="13" xfId="0" applyFill="1" applyBorder="1" applyAlignment="1">
      <alignment horizontal="center" vertical="center" textRotation="90"/>
    </xf>
    <xf numFmtId="0" fontId="0" fillId="3" borderId="2" xfId="0" applyFill="1" applyBorder="1" applyAlignment="1">
      <alignment horizontal="center" vertical="center" textRotation="90"/>
    </xf>
    <xf numFmtId="0" fontId="7" fillId="0" borderId="34" xfId="0" applyFont="1" applyFill="1" applyBorder="1" applyAlignment="1">
      <alignment horizontal="center" vertical="center"/>
    </xf>
    <xf numFmtId="0" fontId="7" fillId="0" borderId="51" xfId="0" applyFont="1" applyFill="1" applyBorder="1" applyAlignment="1">
      <alignment horizontal="center" vertical="center"/>
    </xf>
    <xf numFmtId="0" fontId="1" fillId="8" borderId="44" xfId="0" applyFont="1" applyFill="1" applyBorder="1" applyAlignment="1">
      <alignment horizontal="center" vertical="center" wrapText="1"/>
    </xf>
    <xf numFmtId="0" fontId="1" fillId="8" borderId="45" xfId="0" applyFont="1" applyFill="1" applyBorder="1" applyAlignment="1">
      <alignment horizontal="center" vertical="center" wrapText="1"/>
    </xf>
    <xf numFmtId="0" fontId="1" fillId="8" borderId="46" xfId="0" applyFont="1" applyFill="1" applyBorder="1" applyAlignment="1">
      <alignment horizontal="center" vertical="center" wrapText="1"/>
    </xf>
    <xf numFmtId="0" fontId="7" fillId="0" borderId="52" xfId="0" applyFont="1" applyFill="1" applyBorder="1" applyAlignment="1">
      <alignment horizontal="center" vertical="center"/>
    </xf>
    <xf numFmtId="0" fontId="7" fillId="0" borderId="49" xfId="0" applyFont="1" applyFill="1" applyBorder="1" applyAlignment="1">
      <alignment horizontal="center" vertical="center"/>
    </xf>
    <xf numFmtId="0" fontId="7" fillId="0" borderId="33" xfId="0" applyFont="1" applyFill="1" applyBorder="1" applyAlignment="1">
      <alignment horizontal="center" vertical="center"/>
    </xf>
    <xf numFmtId="0" fontId="7" fillId="0" borderId="50" xfId="0" applyFont="1" applyFill="1" applyBorder="1" applyAlignment="1">
      <alignment horizontal="center" vertical="center"/>
    </xf>
    <xf numFmtId="0" fontId="1" fillId="8" borderId="44" xfId="0" applyFont="1" applyFill="1" applyBorder="1" applyAlignment="1">
      <alignment horizontal="center"/>
    </xf>
    <xf numFmtId="0" fontId="1" fillId="8" borderId="46" xfId="0" applyFont="1" applyFill="1" applyBorder="1" applyAlignment="1">
      <alignment horizontal="center"/>
    </xf>
    <xf numFmtId="0" fontId="0" fillId="0" borderId="35" xfId="0" applyBorder="1" applyAlignment="1">
      <alignment horizontal="left"/>
    </xf>
    <xf numFmtId="0" fontId="0" fillId="0" borderId="36" xfId="0" applyBorder="1" applyAlignment="1">
      <alignment horizontal="left"/>
    </xf>
    <xf numFmtId="0" fontId="0" fillId="0" borderId="37" xfId="0" applyBorder="1" applyAlignment="1">
      <alignment horizontal="left"/>
    </xf>
    <xf numFmtId="0" fontId="1" fillId="8" borderId="45" xfId="0" applyFont="1" applyFill="1" applyBorder="1" applyAlignment="1">
      <alignment horizontal="center"/>
    </xf>
    <xf numFmtId="0" fontId="0" fillId="0" borderId="38" xfId="0" applyBorder="1" applyAlignment="1">
      <alignment horizontal="left"/>
    </xf>
    <xf numFmtId="0" fontId="0" fillId="0" borderId="0" xfId="0" applyAlignment="1">
      <alignment horizontal="left"/>
    </xf>
    <xf numFmtId="0" fontId="0" fillId="0" borderId="39" xfId="0" applyBorder="1" applyAlignment="1">
      <alignment horizontal="left"/>
    </xf>
    <xf numFmtId="0" fontId="4" fillId="6" borderId="44" xfId="0" applyFont="1" applyFill="1" applyBorder="1" applyAlignment="1">
      <alignment horizontal="left"/>
    </xf>
    <xf numFmtId="0" fontId="4" fillId="6" borderId="45" xfId="0" applyFont="1" applyFill="1" applyBorder="1" applyAlignment="1">
      <alignment horizontal="left"/>
    </xf>
    <xf numFmtId="0" fontId="4" fillId="6" borderId="46" xfId="0" applyFont="1" applyFill="1" applyBorder="1" applyAlignment="1">
      <alignment horizontal="left"/>
    </xf>
    <xf numFmtId="0" fontId="1" fillId="8" borderId="41" xfId="0" applyFont="1" applyFill="1" applyBorder="1" applyAlignment="1">
      <alignment horizontal="center"/>
    </xf>
    <xf numFmtId="0" fontId="1" fillId="8" borderId="38" xfId="0" applyFont="1" applyFill="1" applyBorder="1" applyAlignment="1">
      <alignment horizontal="center"/>
    </xf>
    <xf numFmtId="0" fontId="1" fillId="8" borderId="0" xfId="0" applyFont="1" applyFill="1" applyAlignment="1">
      <alignment horizontal="center"/>
    </xf>
    <xf numFmtId="0" fontId="0" fillId="0" borderId="0" xfId="0" applyBorder="1" applyAlignment="1">
      <alignment horizontal="left"/>
    </xf>
    <xf numFmtId="0" fontId="0" fillId="0" borderId="40" xfId="0" applyBorder="1" applyAlignment="1">
      <alignment horizontal="left"/>
    </xf>
    <xf numFmtId="0" fontId="0" fillId="0" borderId="41" xfId="0" applyBorder="1" applyAlignment="1">
      <alignment horizontal="left"/>
    </xf>
    <xf numFmtId="0" fontId="0" fillId="0" borderId="42" xfId="0" applyBorder="1" applyAlignment="1">
      <alignment horizontal="left"/>
    </xf>
    <xf numFmtId="1" fontId="4" fillId="9" borderId="44" xfId="0" applyNumberFormat="1" applyFont="1" applyFill="1" applyBorder="1" applyAlignment="1">
      <alignment horizontal="left"/>
    </xf>
    <xf numFmtId="1" fontId="4" fillId="9" borderId="45" xfId="0" applyNumberFormat="1" applyFont="1" applyFill="1" applyBorder="1" applyAlignment="1">
      <alignment horizontal="left"/>
    </xf>
    <xf numFmtId="1" fontId="4" fillId="9" borderId="46" xfId="0" applyNumberFormat="1" applyFont="1" applyFill="1" applyBorder="1" applyAlignment="1">
      <alignment horizontal="left"/>
    </xf>
    <xf numFmtId="0" fontId="0" fillId="0" borderId="38" xfId="0" applyBorder="1" applyAlignment="1"/>
    <xf numFmtId="0" fontId="0" fillId="0" borderId="0" xfId="0" applyBorder="1" applyAlignment="1"/>
    <xf numFmtId="0" fontId="0" fillId="0" borderId="39" xfId="0" applyBorder="1" applyAlignment="1"/>
    <xf numFmtId="0" fontId="0" fillId="0" borderId="38" xfId="0" applyFill="1" applyBorder="1" applyAlignment="1"/>
    <xf numFmtId="0" fontId="0" fillId="0" borderId="0" xfId="0" applyFill="1" applyBorder="1" applyAlignment="1"/>
    <xf numFmtId="0" fontId="0" fillId="0" borderId="39" xfId="0" applyFill="1" applyBorder="1" applyAlignment="1"/>
    <xf numFmtId="0" fontId="0" fillId="0" borderId="38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39" xfId="0" applyFill="1" applyBorder="1" applyAlignment="1">
      <alignment horizontal="left"/>
    </xf>
    <xf numFmtId="0" fontId="80" fillId="5" borderId="44" xfId="0" applyFont="1" applyFill="1" applyBorder="1" applyAlignment="1">
      <alignment horizontal="center" vertical="center"/>
    </xf>
    <xf numFmtId="0" fontId="80" fillId="5" borderId="45" xfId="0" applyFont="1" applyFill="1" applyBorder="1" applyAlignment="1">
      <alignment horizontal="center" vertical="center"/>
    </xf>
    <xf numFmtId="0" fontId="80" fillId="5" borderId="46" xfId="0" applyFont="1" applyFill="1" applyBorder="1" applyAlignment="1">
      <alignment horizontal="center" vertical="center"/>
    </xf>
    <xf numFmtId="0" fontId="4" fillId="39" borderId="4" xfId="0" applyFont="1" applyFill="1" applyBorder="1" applyAlignment="1">
      <alignment horizontal="center" vertical="center"/>
    </xf>
    <xf numFmtId="0" fontId="4" fillId="39" borderId="7" xfId="0" applyFont="1" applyFill="1" applyBorder="1" applyAlignment="1">
      <alignment horizontal="center" vertical="center"/>
    </xf>
    <xf numFmtId="0" fontId="4" fillId="39" borderId="9" xfId="0" applyFont="1" applyFill="1" applyBorder="1" applyAlignment="1">
      <alignment horizontal="center" vertical="center"/>
    </xf>
    <xf numFmtId="0" fontId="5" fillId="7" borderId="35" xfId="0" applyFont="1" applyFill="1" applyBorder="1" applyAlignment="1">
      <alignment horizontal="center" vertical="center" wrapText="1"/>
    </xf>
    <xf numFmtId="0" fontId="5" fillId="7" borderId="36" xfId="0" applyFont="1" applyFill="1" applyBorder="1" applyAlignment="1">
      <alignment horizontal="center" vertical="center" wrapText="1"/>
    </xf>
    <xf numFmtId="0" fontId="5" fillId="7" borderId="37" xfId="0" applyFont="1" applyFill="1" applyBorder="1" applyAlignment="1">
      <alignment horizontal="center" vertical="center" wrapText="1"/>
    </xf>
    <xf numFmtId="0" fontId="5" fillId="42" borderId="35" xfId="0" applyFont="1" applyFill="1" applyBorder="1" applyAlignment="1">
      <alignment horizontal="center" vertical="center" wrapText="1"/>
    </xf>
    <xf numFmtId="0" fontId="5" fillId="42" borderId="32" xfId="0" applyFont="1" applyFill="1" applyBorder="1" applyAlignment="1">
      <alignment horizontal="center" vertical="center" wrapText="1"/>
    </xf>
    <xf numFmtId="0" fontId="5" fillId="7" borderId="125" xfId="0" applyFont="1" applyFill="1" applyBorder="1" applyAlignment="1">
      <alignment horizontal="center" vertical="center" wrapText="1"/>
    </xf>
    <xf numFmtId="0" fontId="5" fillId="7" borderId="111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17" borderId="19" xfId="0" applyFill="1" applyBorder="1" applyAlignment="1">
      <alignment horizontal="center" vertical="center"/>
    </xf>
    <xf numFmtId="0" fontId="0" fillId="17" borderId="130" xfId="0" applyFill="1" applyBorder="1" applyAlignment="1">
      <alignment horizontal="center" vertical="center"/>
    </xf>
    <xf numFmtId="0" fontId="0" fillId="17" borderId="48" xfId="0" applyFill="1" applyBorder="1" applyAlignment="1">
      <alignment horizontal="center" vertical="center"/>
    </xf>
    <xf numFmtId="0" fontId="35" fillId="34" borderId="35" xfId="0" applyFont="1" applyFill="1" applyBorder="1" applyAlignment="1">
      <alignment horizontal="center" vertical="center"/>
    </xf>
    <xf numFmtId="0" fontId="35" fillId="34" borderId="36" xfId="0" applyFont="1" applyFill="1" applyBorder="1" applyAlignment="1">
      <alignment horizontal="center" vertical="center"/>
    </xf>
    <xf numFmtId="0" fontId="35" fillId="34" borderId="37" xfId="0" applyFont="1" applyFill="1" applyBorder="1" applyAlignment="1">
      <alignment horizontal="center" vertical="center"/>
    </xf>
    <xf numFmtId="0" fontId="5" fillId="7" borderId="7" xfId="0" applyFont="1" applyFill="1" applyBorder="1" applyAlignment="1">
      <alignment horizontal="center" vertical="center" wrapText="1"/>
    </xf>
    <xf numFmtId="0" fontId="5" fillId="7" borderId="1" xfId="0" applyFont="1" applyFill="1" applyBorder="1" applyAlignment="1">
      <alignment horizontal="center" vertical="center" wrapText="1"/>
    </xf>
    <xf numFmtId="0" fontId="40" fillId="8" borderId="4" xfId="0" applyFont="1" applyFill="1" applyBorder="1" applyAlignment="1">
      <alignment horizontal="center" vertical="center"/>
    </xf>
    <xf numFmtId="0" fontId="40" fillId="8" borderId="5" xfId="0" applyFont="1" applyFill="1" applyBorder="1" applyAlignment="1">
      <alignment horizontal="center" vertical="center"/>
    </xf>
    <xf numFmtId="0" fontId="40" fillId="8" borderId="88" xfId="0" applyFont="1" applyFill="1" applyBorder="1" applyAlignment="1">
      <alignment horizontal="center" vertical="center"/>
    </xf>
    <xf numFmtId="0" fontId="40" fillId="8" borderId="6" xfId="0" applyFont="1" applyFill="1" applyBorder="1" applyAlignment="1">
      <alignment horizontal="center" vertical="center"/>
    </xf>
    <xf numFmtId="0" fontId="5" fillId="7" borderId="8" xfId="0" applyFont="1" applyFill="1" applyBorder="1" applyAlignment="1">
      <alignment horizontal="center" vertical="center" wrapText="1"/>
    </xf>
    <xf numFmtId="0" fontId="40" fillId="8" borderId="44" xfId="0" applyFont="1" applyFill="1" applyBorder="1" applyAlignment="1">
      <alignment horizontal="center" vertical="center"/>
    </xf>
    <xf numFmtId="0" fontId="40" fillId="8" borderId="45" xfId="0" applyFont="1" applyFill="1" applyBorder="1" applyAlignment="1">
      <alignment horizontal="center" vertical="center"/>
    </xf>
    <xf numFmtId="0" fontId="40" fillId="8" borderId="46" xfId="0" applyFont="1" applyFill="1" applyBorder="1" applyAlignment="1">
      <alignment horizontal="center" vertical="center"/>
    </xf>
    <xf numFmtId="0" fontId="10" fillId="24" borderId="52" xfId="0" applyFont="1" applyFill="1" applyBorder="1" applyAlignment="1">
      <alignment horizontal="center" vertical="center"/>
    </xf>
    <xf numFmtId="0" fontId="10" fillId="24" borderId="72" xfId="0" applyFont="1" applyFill="1" applyBorder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10" fillId="8" borderId="44" xfId="0" applyFont="1" applyFill="1" applyBorder="1" applyAlignment="1">
      <alignment horizontal="center" vertical="center"/>
    </xf>
    <xf numFmtId="0" fontId="10" fillId="8" borderId="45" xfId="0" applyFont="1" applyFill="1" applyBorder="1" applyAlignment="1">
      <alignment horizontal="center" vertical="center"/>
    </xf>
    <xf numFmtId="0" fontId="10" fillId="8" borderId="46" xfId="0" applyFont="1" applyFill="1" applyBorder="1" applyAlignment="1">
      <alignment horizontal="center" vertical="center"/>
    </xf>
    <xf numFmtId="0" fontId="0" fillId="11" borderId="103" xfId="0" applyFont="1" applyFill="1" applyBorder="1" applyAlignment="1">
      <alignment horizontal="center" vertical="center" textRotation="90"/>
    </xf>
    <xf numFmtId="0" fontId="0" fillId="11" borderId="23" xfId="0" applyFont="1" applyFill="1" applyBorder="1" applyAlignment="1">
      <alignment horizontal="center" vertical="center" textRotation="90"/>
    </xf>
    <xf numFmtId="0" fontId="0" fillId="11" borderId="101" xfId="0" applyFont="1" applyFill="1" applyBorder="1" applyAlignment="1">
      <alignment horizontal="center" vertical="center" textRotation="90"/>
    </xf>
    <xf numFmtId="0" fontId="0" fillId="12" borderId="103" xfId="0" applyFont="1" applyFill="1" applyBorder="1" applyAlignment="1">
      <alignment horizontal="center" vertical="center" textRotation="90"/>
    </xf>
    <xf numFmtId="0" fontId="0" fillId="12" borderId="23" xfId="0" applyFont="1" applyFill="1" applyBorder="1" applyAlignment="1">
      <alignment horizontal="center" vertical="center" textRotation="90"/>
    </xf>
    <xf numFmtId="0" fontId="0" fillId="12" borderId="101" xfId="0" applyFont="1" applyFill="1" applyBorder="1" applyAlignment="1">
      <alignment horizontal="center" vertical="center" textRotation="90"/>
    </xf>
    <xf numFmtId="0" fontId="4" fillId="11" borderId="89" xfId="0" applyFont="1" applyFill="1" applyBorder="1" applyAlignment="1">
      <alignment horizontal="center" vertical="center"/>
    </xf>
    <xf numFmtId="0" fontId="4" fillId="11" borderId="51" xfId="0" applyFont="1" applyFill="1" applyBorder="1" applyAlignment="1">
      <alignment horizontal="center" vertical="center"/>
    </xf>
    <xf numFmtId="0" fontId="4" fillId="11" borderId="91" xfId="0" applyFont="1" applyFill="1" applyBorder="1" applyAlignment="1">
      <alignment horizontal="center" vertical="center"/>
    </xf>
    <xf numFmtId="0" fontId="4" fillId="10" borderId="89" xfId="0" applyFont="1" applyFill="1" applyBorder="1" applyAlignment="1">
      <alignment horizontal="center" vertical="center"/>
    </xf>
    <xf numFmtId="0" fontId="4" fillId="10" borderId="51" xfId="0" applyFont="1" applyFill="1" applyBorder="1" applyAlignment="1">
      <alignment horizontal="center" vertical="center"/>
    </xf>
    <xf numFmtId="0" fontId="4" fillId="10" borderId="91" xfId="0" applyFont="1" applyFill="1" applyBorder="1" applyAlignment="1">
      <alignment horizontal="center" vertical="center"/>
    </xf>
    <xf numFmtId="0" fontId="4" fillId="12" borderId="89" xfId="0" applyFont="1" applyFill="1" applyBorder="1" applyAlignment="1">
      <alignment horizontal="center" vertical="center"/>
    </xf>
    <xf numFmtId="0" fontId="4" fillId="12" borderId="51" xfId="0" applyFont="1" applyFill="1" applyBorder="1" applyAlignment="1">
      <alignment horizontal="center" vertical="center"/>
    </xf>
    <xf numFmtId="0" fontId="4" fillId="12" borderId="91" xfId="0" applyFont="1" applyFill="1" applyBorder="1" applyAlignment="1">
      <alignment horizontal="center" vertical="center"/>
    </xf>
    <xf numFmtId="0" fontId="4" fillId="7" borderId="100" xfId="0" applyFont="1" applyFill="1" applyBorder="1" applyAlignment="1">
      <alignment horizontal="center"/>
    </xf>
    <xf numFmtId="0" fontId="4" fillId="7" borderId="92" xfId="0" applyFont="1" applyFill="1" applyBorder="1" applyAlignment="1">
      <alignment horizontal="center"/>
    </xf>
    <xf numFmtId="0" fontId="0" fillId="25" borderId="14" xfId="0" applyFill="1" applyBorder="1" applyAlignment="1">
      <alignment horizontal="center"/>
    </xf>
    <xf numFmtId="0" fontId="0" fillId="25" borderId="15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29" borderId="0" xfId="0" applyFill="1" applyAlignment="1">
      <alignment horizontal="center"/>
    </xf>
    <xf numFmtId="0" fontId="0" fillId="43" borderId="0" xfId="0" applyFill="1" applyAlignment="1">
      <alignment horizontal="center"/>
    </xf>
    <xf numFmtId="166" fontId="37" fillId="8" borderId="87" xfId="0" applyNumberFormat="1" applyFont="1" applyFill="1" applyBorder="1" applyAlignment="1">
      <alignment horizontal="center" vertical="center"/>
    </xf>
    <xf numFmtId="166" fontId="37" fillId="8" borderId="96" xfId="0" applyNumberFormat="1" applyFont="1" applyFill="1" applyBorder="1" applyAlignment="1">
      <alignment horizontal="center" vertical="center"/>
    </xf>
    <xf numFmtId="0" fontId="0" fillId="15" borderId="90" xfId="0" applyFill="1" applyBorder="1" applyAlignment="1">
      <alignment horizontal="center"/>
    </xf>
    <xf numFmtId="0" fontId="0" fillId="15" borderId="5" xfId="0" applyFill="1" applyBorder="1" applyAlignment="1">
      <alignment horizontal="center"/>
    </xf>
    <xf numFmtId="0" fontId="0" fillId="15" borderId="88" xfId="0" applyFill="1" applyBorder="1" applyAlignment="1">
      <alignment horizontal="center"/>
    </xf>
    <xf numFmtId="0" fontId="0" fillId="4" borderId="90" xfId="0" applyFill="1" applyBorder="1" applyAlignment="1">
      <alignment horizontal="center"/>
    </xf>
    <xf numFmtId="0" fontId="0" fillId="4" borderId="5" xfId="0" applyFill="1" applyBorder="1" applyAlignment="1">
      <alignment horizontal="center"/>
    </xf>
    <xf numFmtId="0" fontId="0" fillId="4" borderId="6" xfId="0" applyFill="1" applyBorder="1" applyAlignment="1">
      <alignment horizontal="center"/>
    </xf>
    <xf numFmtId="166" fontId="37" fillId="8" borderId="93" xfId="0" applyNumberFormat="1" applyFont="1" applyFill="1" applyBorder="1" applyAlignment="1">
      <alignment horizontal="center" vertical="center"/>
    </xf>
    <xf numFmtId="166" fontId="37" fillId="8" borderId="85" xfId="0" applyNumberFormat="1" applyFont="1" applyFill="1" applyBorder="1" applyAlignment="1">
      <alignment horizontal="center" vertical="center"/>
    </xf>
    <xf numFmtId="0" fontId="36" fillId="7" borderId="44" xfId="0" applyFont="1" applyFill="1" applyBorder="1" applyAlignment="1">
      <alignment horizontal="center"/>
    </xf>
    <xf numFmtId="0" fontId="36" fillId="7" borderId="45" xfId="0" applyFont="1" applyFill="1" applyBorder="1" applyAlignment="1">
      <alignment horizontal="center"/>
    </xf>
    <xf numFmtId="0" fontId="36" fillId="7" borderId="36" xfId="0" applyFont="1" applyFill="1" applyBorder="1" applyAlignment="1">
      <alignment horizontal="center"/>
    </xf>
    <xf numFmtId="0" fontId="36" fillId="7" borderId="46" xfId="0" applyFont="1" applyFill="1" applyBorder="1" applyAlignment="1">
      <alignment horizontal="center"/>
    </xf>
    <xf numFmtId="0" fontId="0" fillId="0" borderId="57" xfId="0" applyBorder="1" applyAlignment="1">
      <alignment horizontal="left"/>
    </xf>
    <xf numFmtId="0" fontId="0" fillId="0" borderId="75" xfId="0" applyBorder="1" applyAlignment="1">
      <alignment horizontal="left"/>
    </xf>
    <xf numFmtId="0" fontId="1" fillId="8" borderId="84" xfId="0" applyFont="1" applyFill="1" applyBorder="1" applyAlignment="1">
      <alignment horizontal="center"/>
    </xf>
    <xf numFmtId="0" fontId="1" fillId="8" borderId="114" xfId="0" applyFont="1" applyFill="1" applyBorder="1" applyAlignment="1">
      <alignment horizontal="center"/>
    </xf>
    <xf numFmtId="0" fontId="0" fillId="0" borderId="99" xfId="0" applyBorder="1" applyAlignment="1">
      <alignment horizontal="left"/>
    </xf>
    <xf numFmtId="0" fontId="0" fillId="0" borderId="122" xfId="0" applyBorder="1" applyAlignment="1">
      <alignment horizontal="left"/>
    </xf>
    <xf numFmtId="1" fontId="4" fillId="16" borderId="83" xfId="0" applyNumberFormat="1" applyFont="1" applyFill="1" applyBorder="1" applyAlignment="1">
      <alignment horizontal="center"/>
    </xf>
    <xf numFmtId="1" fontId="4" fillId="16" borderId="115" xfId="0" applyNumberFormat="1" applyFont="1" applyFill="1" applyBorder="1" applyAlignment="1">
      <alignment horizontal="center"/>
    </xf>
    <xf numFmtId="1" fontId="5" fillId="16" borderId="98" xfId="0" applyNumberFormat="1" applyFont="1" applyFill="1" applyBorder="1" applyAlignment="1">
      <alignment horizontal="center"/>
    </xf>
    <xf numFmtId="1" fontId="5" fillId="16" borderId="116" xfId="0" applyNumberFormat="1" applyFont="1" applyFill="1" applyBorder="1" applyAlignment="1">
      <alignment horizontal="center"/>
    </xf>
    <xf numFmtId="0" fontId="1" fillId="8" borderId="85" xfId="0" applyFont="1" applyFill="1" applyBorder="1" applyAlignment="1">
      <alignment horizontal="center"/>
    </xf>
    <xf numFmtId="0" fontId="0" fillId="0" borderId="54" xfId="0" applyBorder="1" applyAlignment="1">
      <alignment horizontal="center"/>
    </xf>
    <xf numFmtId="0" fontId="0" fillId="0" borderId="74" xfId="0" applyBorder="1" applyAlignment="1">
      <alignment horizontal="center"/>
    </xf>
    <xf numFmtId="0" fontId="0" fillId="0" borderId="57" xfId="0" applyBorder="1" applyAlignment="1">
      <alignment horizontal="center"/>
    </xf>
    <xf numFmtId="0" fontId="0" fillId="0" borderId="75" xfId="0" applyBorder="1" applyAlignment="1">
      <alignment horizontal="center"/>
    </xf>
    <xf numFmtId="1" fontId="5" fillId="16" borderId="83" xfId="0" applyNumberFormat="1" applyFont="1" applyFill="1" applyBorder="1" applyAlignment="1">
      <alignment horizontal="center"/>
    </xf>
    <xf numFmtId="1" fontId="5" fillId="16" borderId="115" xfId="0" applyNumberFormat="1" applyFont="1" applyFill="1" applyBorder="1" applyAlignment="1">
      <alignment horizontal="center"/>
    </xf>
    <xf numFmtId="0" fontId="0" fillId="0" borderId="84" xfId="0" applyBorder="1" applyAlignment="1">
      <alignment horizontal="left"/>
    </xf>
    <xf numFmtId="0" fontId="0" fillId="0" borderId="114" xfId="0" applyBorder="1" applyAlignment="1">
      <alignment horizontal="left"/>
    </xf>
    <xf numFmtId="0" fontId="0" fillId="10" borderId="103" xfId="0" applyFont="1" applyFill="1" applyBorder="1" applyAlignment="1">
      <alignment horizontal="center" vertical="center" textRotation="90"/>
    </xf>
    <xf numFmtId="0" fontId="0" fillId="10" borderId="23" xfId="0" applyFont="1" applyFill="1" applyBorder="1" applyAlignment="1">
      <alignment horizontal="center" vertical="center" textRotation="90"/>
    </xf>
    <xf numFmtId="0" fontId="0" fillId="10" borderId="101" xfId="0" applyFont="1" applyFill="1" applyBorder="1" applyAlignment="1">
      <alignment horizontal="center" vertical="center" textRotation="90"/>
    </xf>
    <xf numFmtId="0" fontId="4" fillId="7" borderId="44" xfId="0" applyFont="1" applyFill="1" applyBorder="1" applyAlignment="1">
      <alignment horizontal="center" vertical="center"/>
    </xf>
    <xf numFmtId="0" fontId="4" fillId="7" borderId="45" xfId="0" applyFont="1" applyFill="1" applyBorder="1" applyAlignment="1">
      <alignment horizontal="center" vertical="center"/>
    </xf>
    <xf numFmtId="0" fontId="4" fillId="7" borderId="105" xfId="0" applyFont="1" applyFill="1" applyBorder="1" applyAlignment="1">
      <alignment horizontal="center" vertical="center"/>
    </xf>
  </cellXfs>
  <cellStyles count="5">
    <cellStyle name="Čárka" xfId="3" builtinId="3"/>
    <cellStyle name="Hypertextový odkaz" xfId="2" builtinId="8"/>
    <cellStyle name="Měna" xfId="4" builtinId="4"/>
    <cellStyle name="Normální" xfId="0" builtinId="0"/>
    <cellStyle name="Procenta" xfId="1" builtinId="5"/>
  </cellStyles>
  <dxfs count="7">
    <dxf>
      <fill>
        <patternFill>
          <bgColor rgb="FF92D050"/>
        </patternFill>
      </fill>
    </dxf>
    <dxf>
      <fill>
        <patternFill>
          <bgColor rgb="FFFB3333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9966"/>
      <color rgb="FF66CCFF"/>
      <color rgb="FFF08774"/>
      <color rgb="FFF0B474"/>
      <color rgb="FFFF6600"/>
      <color rgb="FFFF3399"/>
      <color rgb="FF9900FF"/>
      <color rgb="FFFB3333"/>
      <color rgb="FFFF66CC"/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8" Type="http://schemas.openxmlformats.org/officeDocument/2006/relationships/customXml" Target="../customXml/item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customXml" Target="../customXml/item2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Relationship Id="rId4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1"/>
          <c:order val="1"/>
          <c:tx>
            <c:strRef>
              <c:f>Forcasting!$B$10</c:f>
              <c:strCache>
                <c:ptCount val="1"/>
                <c:pt idx="0">
                  <c:v>pesimistický odhad (-20%)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val>
            <c:numRef>
              <c:f>(Forcasting!$S$10,Forcasting!$AK$10,Forcasting!$BD$10,Forcasting!$BJ$10,Forcasting!$BP$10,Forcasting!$BV$10,Forcasting!$CB$10,Forcasting!$CH$10)</c:f>
              <c:numCache>
                <c:formatCode>_-* #\ ##0.00\ [$Kč-405]_-;\-* #\ ##0.00\ [$Kč-405]_-;_-* "-"??\ [$Kč-405]_-;_-@_-</c:formatCode>
                <c:ptCount val="8"/>
                <c:pt idx="0">
                  <c:v>948075164.03439367</c:v>
                </c:pt>
                <c:pt idx="1">
                  <c:v>1030516482.64608</c:v>
                </c:pt>
                <c:pt idx="2">
                  <c:v>1112957801.2577665</c:v>
                </c:pt>
                <c:pt idx="3">
                  <c:v>1201994425.3583879</c:v>
                </c:pt>
                <c:pt idx="4">
                  <c:v>1298153979.3870592</c:v>
                </c:pt>
                <c:pt idx="5">
                  <c:v>1402006297.7380238</c:v>
                </c:pt>
                <c:pt idx="6">
                  <c:v>1514166801.5570657</c:v>
                </c:pt>
                <c:pt idx="7">
                  <c:v>1635300145.6816311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1F-469C-ABA3-6A5F6527846D}"/>
            </c:ext>
          </c:extLst>
        </c:ser>
        <c:ser>
          <c:idx val="2"/>
          <c:order val="2"/>
          <c:tx>
            <c:strRef>
              <c:f>Forcasting!$B$11</c:f>
              <c:strCache>
                <c:ptCount val="1"/>
                <c:pt idx="0">
                  <c:v>optimistický odhad (+20%)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 w="25400">
              <a:noFill/>
            </a:ln>
            <a:effectLst/>
          </c:spPr>
          <c:val>
            <c:numRef>
              <c:f>(Forcasting!$S$11,Forcasting!$AK$11,Forcasting!$BD$11,Forcasting!$BJ$11,Forcasting!$BP$11,Forcasting!$BV$11,Forcasting!$CB$11,Forcasting!$CH$11)</c:f>
              <c:numCache>
                <c:formatCode>_-* #\ ##0.00\ [$Kč-405]_-;\-* #\ ##0.00\ [$Kč-405]_-;_-* "-"??\ [$Kč-405]_-;_-@_-</c:formatCode>
                <c:ptCount val="8"/>
                <c:pt idx="0">
                  <c:v>1422112746.0515904</c:v>
                </c:pt>
                <c:pt idx="1">
                  <c:v>1545774723.96912</c:v>
                </c:pt>
                <c:pt idx="2">
                  <c:v>1669436701.8866496</c:v>
                </c:pt>
                <c:pt idx="3">
                  <c:v>1802991638.0375819</c:v>
                </c:pt>
                <c:pt idx="4">
                  <c:v>1947230969.0805883</c:v>
                </c:pt>
                <c:pt idx="5">
                  <c:v>2103009446.6070356</c:v>
                </c:pt>
                <c:pt idx="6">
                  <c:v>2271250202.3355985</c:v>
                </c:pt>
                <c:pt idx="7">
                  <c:v>2452950218.5224466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1F-469C-ABA3-6A5F652784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187648"/>
        <c:axId val="520184368"/>
      </c:areaChart>
      <c:barChart>
        <c:barDir val="col"/>
        <c:grouping val="clustered"/>
        <c:varyColors val="0"/>
        <c:ser>
          <c:idx val="0"/>
          <c:order val="0"/>
          <c:tx>
            <c:strRef>
              <c:f>Forcasting!$B$9</c:f>
              <c:strCache>
                <c:ptCount val="1"/>
                <c:pt idx="0">
                  <c:v>Celkem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(Forcasting!$C$2,Forcasting!$U$2,Forcasting!$AN$2,Forcasting!$BF$2,Forcasting!$BL$2,Forcasting!$BR$2,Forcasting!$BX$2,Forcasting!$CD$2)</c:f>
              <c:numCache>
                <c:formatCode>General</c:formatCode>
                <c:ptCount val="7"/>
                <c:pt idx="0">
                  <c:v>2019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</c:numCache>
            </c:numRef>
          </c:cat>
          <c:val>
            <c:numRef>
              <c:f>(Forcasting!$S$9,Forcasting!$AK$9,Forcasting!$BD$9,Forcasting!$BJ$9,Forcasting!$BP$9,Forcasting!$BV$9,Forcasting!$CB$9,Forcasting!$CH$9)</c:f>
              <c:numCache>
                <c:formatCode>_-* #\ ##0.00\ [$Kč-405]_-;\-* #\ ##0.00\ [$Kč-405]_-;_-* "-"??\ [$Kč-405]_-;_-@_-</c:formatCode>
                <c:ptCount val="8"/>
                <c:pt idx="0">
                  <c:v>1185093955.0429921</c:v>
                </c:pt>
                <c:pt idx="1">
                  <c:v>1288145603.3076</c:v>
                </c:pt>
                <c:pt idx="2">
                  <c:v>1391197251.5722082</c:v>
                </c:pt>
                <c:pt idx="3">
                  <c:v>1502493031.6979849</c:v>
                </c:pt>
                <c:pt idx="4">
                  <c:v>1622692474.2338235</c:v>
                </c:pt>
                <c:pt idx="5">
                  <c:v>1752507872.1725297</c:v>
                </c:pt>
                <c:pt idx="6">
                  <c:v>1892708501.9463325</c:v>
                </c:pt>
                <c:pt idx="7">
                  <c:v>2044125182.1020389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1F-469C-ABA3-6A5F652784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20187648"/>
        <c:axId val="520184368"/>
      </c:barChart>
      <c:catAx>
        <c:axId val="520187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520184368"/>
        <c:crosses val="autoZero"/>
        <c:auto val="1"/>
        <c:lblAlgn val="ctr"/>
        <c:lblOffset val="100"/>
        <c:noMultiLvlLbl val="0"/>
      </c:catAx>
      <c:valAx>
        <c:axId val="52018436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_-* #\ ##0.00\ [$Kč-405]_-;\-* #\ ##0.00\ [$Kč-405]_-;_-* &quot;-&quot;??\ [$Kč-405]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520187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5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52C-4AD7-ACB2-CC9A09B6ACCF}"/>
              </c:ext>
            </c:extLst>
          </c:dPt>
          <c:dPt>
            <c:idx val="1"/>
            <c:bubble3D val="0"/>
            <c:spPr>
              <a:solidFill>
                <a:schemeClr val="accent5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52C-4AD7-ACB2-CC9A09B6ACCF}"/>
              </c:ext>
            </c:extLst>
          </c:dPt>
          <c:dPt>
            <c:idx val="2"/>
            <c:bubble3D val="0"/>
            <c:spPr>
              <a:solidFill>
                <a:schemeClr val="accent5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52C-4AD7-ACB2-CC9A09B6ACCF}"/>
              </c:ext>
            </c:extLst>
          </c:dPt>
          <c:dPt>
            <c:idx val="3"/>
            <c:bubble3D val="0"/>
            <c:spPr>
              <a:solidFill>
                <a:schemeClr val="accent5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52C-4AD7-ACB2-CC9A09B6ACCF}"/>
              </c:ext>
            </c:extLst>
          </c:dPt>
          <c:cat>
            <c:strRef>
              <c:f>(HR!$D$30,HR!$D$41,HR!$D$52,HR!$D$58)</c:f>
              <c:strCache>
                <c:ptCount val="4"/>
                <c:pt idx="0">
                  <c:v>TECHNICKY USEK SUMA</c:v>
                </c:pt>
                <c:pt idx="1">
                  <c:v>OBCHODNI USEK SUMA</c:v>
                </c:pt>
                <c:pt idx="2">
                  <c:v>EKONOMICKY USEK SUMA</c:v>
                </c:pt>
                <c:pt idx="3">
                  <c:v>SO SUMA</c:v>
                </c:pt>
              </c:strCache>
            </c:strRef>
          </c:cat>
          <c:val>
            <c:numRef>
              <c:f>(HR!$E$30,HR!$E$41,HR!$E$52,HR!$E$58)</c:f>
              <c:numCache>
                <c:formatCode>General</c:formatCode>
                <c:ptCount val="4"/>
                <c:pt idx="0">
                  <c:v>67</c:v>
                </c:pt>
                <c:pt idx="1">
                  <c:v>10</c:v>
                </c:pt>
                <c:pt idx="2">
                  <c:v>6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52C-4AD7-ACB2-CC9A09B6AC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  <c:userShapes r:id="rId4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7166085946573751E-3"/>
          <c:y val="4.9798643152792685E-3"/>
          <c:w val="0.9962833914053425"/>
          <c:h val="0.99502006984770253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bg2">
                <a:lumMod val="25000"/>
                <a:alpha val="49000"/>
              </a:schemeClr>
            </a:solidFill>
            <a:ln>
              <a:noFill/>
            </a:ln>
            <a:effectLst/>
          </c:spPr>
          <c:invertIfNegative val="0"/>
          <c:dPt>
            <c:idx val="11"/>
            <c:invertIfNegative val="0"/>
            <c:bubble3D val="0"/>
            <c:spPr>
              <a:solidFill>
                <a:schemeClr val="bg2">
                  <a:lumMod val="25000"/>
                  <a:alpha val="4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F0A-4B7B-ACC5-7CED4B2CB4BD}"/>
              </c:ext>
            </c:extLst>
          </c:dPt>
          <c:cat>
            <c:strRef>
              <c:f>'Záznamy o prodeji'!$Q$98:$Q$111</c:f>
              <c:strCache>
                <c:ptCount val="14"/>
                <c:pt idx="1">
                  <c:v>Island</c:v>
                </c:pt>
                <c:pt idx="2">
                  <c:v>Dánsko</c:v>
                </c:pt>
                <c:pt idx="3">
                  <c:v>Finsko</c:v>
                </c:pt>
                <c:pt idx="4">
                  <c:v>Norsko</c:v>
                </c:pt>
                <c:pt idx="5">
                  <c:v>Rakousko</c:v>
                </c:pt>
                <c:pt idx="6">
                  <c:v>Česko</c:v>
                </c:pt>
                <c:pt idx="7">
                  <c:v>Švýcarsko</c:v>
                </c:pt>
                <c:pt idx="8">
                  <c:v>Švédsko</c:v>
                </c:pt>
                <c:pt idx="9">
                  <c:v>Belgie</c:v>
                </c:pt>
                <c:pt idx="10">
                  <c:v>Nizozemsko</c:v>
                </c:pt>
                <c:pt idx="11">
                  <c:v>Velká Británie</c:v>
                </c:pt>
                <c:pt idx="12">
                  <c:v>Francie</c:v>
                </c:pt>
                <c:pt idx="13">
                  <c:v>Německo</c:v>
                </c:pt>
              </c:strCache>
            </c:strRef>
          </c:cat>
          <c:val>
            <c:numRef>
              <c:f>'Záznamy o prodeji'!$R$98:$R$111</c:f>
              <c:numCache>
                <c:formatCode>0</c:formatCode>
                <c:ptCount val="14"/>
                <c:pt idx="1">
                  <c:v>19.850000000000001</c:v>
                </c:pt>
                <c:pt idx="2">
                  <c:v>32.823120000000003</c:v>
                </c:pt>
                <c:pt idx="3">
                  <c:v>34.300000000000004</c:v>
                </c:pt>
                <c:pt idx="4">
                  <c:v>35.480000000000004</c:v>
                </c:pt>
                <c:pt idx="5">
                  <c:v>59.600000000000009</c:v>
                </c:pt>
                <c:pt idx="6">
                  <c:v>62.471539999999997</c:v>
                </c:pt>
                <c:pt idx="7">
                  <c:v>71</c:v>
                </c:pt>
                <c:pt idx="8">
                  <c:v>77</c:v>
                </c:pt>
                <c:pt idx="9">
                  <c:v>80</c:v>
                </c:pt>
                <c:pt idx="10">
                  <c:v>139</c:v>
                </c:pt>
                <c:pt idx="11">
                  <c:v>334.81200000000001</c:v>
                </c:pt>
                <c:pt idx="12">
                  <c:v>375.36700000000008</c:v>
                </c:pt>
                <c:pt idx="13">
                  <c:v>532.91800000000001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0A-4B7B-ACC5-7CED4B2CB4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9"/>
        <c:axId val="395907144"/>
        <c:axId val="395902880"/>
      </c:barChart>
      <c:catAx>
        <c:axId val="395907144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395902880"/>
        <c:crosses val="autoZero"/>
        <c:auto val="1"/>
        <c:lblAlgn val="ctr"/>
        <c:lblOffset val="100"/>
        <c:noMultiLvlLbl val="0"/>
      </c:catAx>
      <c:valAx>
        <c:axId val="3959028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5907144"/>
        <c:crosses val="autoZero"/>
        <c:crossBetween val="between"/>
      </c:valAx>
      <c:spPr>
        <a:solidFill>
          <a:schemeClr val="accent2"/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>
          <a:alpha val="1000"/>
        </a:schemeClr>
      </a:solidFill>
      <a:round/>
    </a:ln>
    <a:effectLst/>
  </c:spPr>
  <c:txPr>
    <a:bodyPr/>
    <a:lstStyle/>
    <a:p>
      <a:pPr>
        <a:defRPr b="1"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"/>
          <c:y val="0"/>
          <c:w val="0.67481333333333327"/>
          <c:h val="1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F66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4C4-4AB7-94CD-DA414B49510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4C4-4AB7-94CD-DA414B49510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4C4-4AB7-94CD-DA414B49510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4C4-4AB7-94CD-DA414B49510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E4C4-4AB7-94CD-DA414B49510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E4C4-4AB7-94CD-DA414B49510D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E4C4-4AB7-94CD-DA414B49510D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E4C4-4AB7-94CD-DA414B49510D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E4C4-4AB7-94CD-DA414B49510D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E4C4-4AB7-94CD-DA414B49510D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E4C4-4AB7-94CD-DA414B49510D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E4C4-4AB7-94CD-DA414B49510D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E4C4-4AB7-94CD-DA414B49510D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E4C4-4AB7-94CD-DA414B49510D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E4C4-4AB7-94CD-DA414B49510D}"/>
              </c:ext>
            </c:extLst>
          </c:dPt>
          <c:dLbls>
            <c:dLbl>
              <c:idx val="0"/>
              <c:layout>
                <c:manualLayout>
                  <c:x val="-0.23636981481481481"/>
                  <c:y val="5.7011111111111108E-3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6576" tIns="18288" rIns="36576" bIns="18288" anchor="ctr" anchorCtr="1">
                  <a:spAutoFit/>
                </a:bodyPr>
                <a:lstStyle/>
                <a:p>
                  <a:pPr>
                    <a:defRPr sz="14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j-lt"/>
                      <a:ea typeface="+mn-ea"/>
                      <a:cs typeface="+mn-cs"/>
                    </a:defRPr>
                  </a:pPr>
                  <a:endParaRPr lang="cs-CZ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113832"/>
                        <a:gd name="adj2" fmla="val 61242"/>
                      </a:avLst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E4C4-4AB7-94CD-DA414B49510D}"/>
                </c:ext>
              </c:extLst>
            </c:dLbl>
            <c:dLbl>
              <c:idx val="1"/>
              <c:layout>
                <c:manualLayout>
                  <c:x val="2.1094188951084281E-2"/>
                  <c:y val="0.25185186435357315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6576" tIns="18288" rIns="36576" bIns="18288" anchor="ctr" anchorCtr="1">
                  <a:spAutoFit/>
                </a:bodyPr>
                <a:lstStyle/>
                <a:p>
                  <a:pPr>
                    <a:defRPr sz="14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j-lt"/>
                      <a:ea typeface="+mn-ea"/>
                      <a:cs typeface="+mn-cs"/>
                    </a:defRPr>
                  </a:pPr>
                  <a:endParaRPr lang="cs-CZ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-86997"/>
                        <a:gd name="adj2" fmla="val -65395"/>
                      </a:avLst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E4C4-4AB7-94CD-DA414B49510D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4C4-4AB7-94CD-DA414B49510D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4C4-4AB7-94CD-DA414B49510D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4C4-4AB7-94CD-DA414B49510D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4C4-4AB7-94CD-DA414B49510D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4C4-4AB7-94CD-DA414B49510D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4C4-4AB7-94CD-DA414B49510D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4C4-4AB7-94CD-DA414B49510D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E4C4-4AB7-94CD-DA414B49510D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E4C4-4AB7-94CD-DA414B49510D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E4C4-4AB7-94CD-DA414B49510D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E4C4-4AB7-94CD-DA414B49510D}"/>
                </c:ext>
              </c:extLst>
            </c:dLbl>
            <c:dLbl>
              <c:idx val="13"/>
              <c:layout>
                <c:manualLayout>
                  <c:x val="-0.11827956989247312"/>
                  <c:y val="-0.10731011669736694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6576" tIns="18288" rIns="36576" bIns="18288" anchor="ctr" anchorCtr="1">
                  <a:spAutoFit/>
                </a:bodyPr>
                <a:lstStyle/>
                <a:p>
                  <a:pPr>
                    <a:defRPr sz="14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j-lt"/>
                      <a:ea typeface="+mn-ea"/>
                      <a:cs typeface="+mn-cs"/>
                    </a:defRPr>
                  </a:pPr>
                  <a:endParaRPr lang="cs-CZ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125741"/>
                        <a:gd name="adj2" fmla="val -40277"/>
                      </a:avLst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1B-E4C4-4AB7-94CD-DA414B49510D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E4C4-4AB7-94CD-DA414B49510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endParaRPr lang="cs-CZ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('Roční Rozpočet '!$B$4,'Roční Rozpočet '!$B$10,'Roční Rozpočet '!$B$14:$B$26)</c:f>
              <c:strCache>
                <c:ptCount val="15"/>
                <c:pt idx="0">
                  <c:v>Osobní náklady</c:v>
                </c:pt>
                <c:pt idx="1">
                  <c:v>Odpisy DHM</c:v>
                </c:pt>
                <c:pt idx="2">
                  <c:v>SW</c:v>
                </c:pt>
                <c:pt idx="3">
                  <c:v>HW</c:v>
                </c:pt>
                <c:pt idx="4">
                  <c:v>Systémy</c:v>
                </c:pt>
                <c:pt idx="5">
                  <c:v>Režijní náklady</c:v>
                </c:pt>
                <c:pt idx="6">
                  <c:v>Energie </c:v>
                </c:pt>
                <c:pt idx="7">
                  <c:v>Marketing</c:v>
                </c:pt>
                <c:pt idx="8">
                  <c:v>Výskum </c:v>
                </c:pt>
                <c:pt idx="9">
                  <c:v>Pojištění</c:v>
                </c:pt>
                <c:pt idx="10">
                  <c:v>Údržba</c:v>
                </c:pt>
                <c:pt idx="11">
                  <c:v>Doprava</c:v>
                </c:pt>
                <c:pt idx="12">
                  <c:v>Ostatní </c:v>
                </c:pt>
                <c:pt idx="13">
                  <c:v>Materiál </c:v>
                </c:pt>
                <c:pt idx="14">
                  <c:v>Externí služby</c:v>
                </c:pt>
              </c:strCache>
              <c:extLst/>
            </c:strRef>
          </c:cat>
          <c:val>
            <c:numRef>
              <c:f>('Roční Rozpočet '!$C$4,'Roční Rozpočet '!$C$10,'Roční Rozpočet '!$C$14:$C$26)</c:f>
              <c:numCache>
                <c:formatCode>#,##0</c:formatCode>
                <c:ptCount val="15"/>
                <c:pt idx="0">
                  <c:v>88330802.849999994</c:v>
                </c:pt>
                <c:pt idx="1">
                  <c:v>6395833.333333333</c:v>
                </c:pt>
                <c:pt idx="2">
                  <c:v>87500</c:v>
                </c:pt>
                <c:pt idx="3">
                  <c:v>96000</c:v>
                </c:pt>
                <c:pt idx="4">
                  <c:v>15898230</c:v>
                </c:pt>
                <c:pt idx="5">
                  <c:v>72100</c:v>
                </c:pt>
                <c:pt idx="6">
                  <c:v>800490</c:v>
                </c:pt>
                <c:pt idx="7">
                  <c:v>500000</c:v>
                </c:pt>
                <c:pt idx="8">
                  <c:v>2120500</c:v>
                </c:pt>
                <c:pt idx="9">
                  <c:v>105000</c:v>
                </c:pt>
                <c:pt idx="10">
                  <c:v>1898000</c:v>
                </c:pt>
                <c:pt idx="11">
                  <c:v>938530</c:v>
                </c:pt>
                <c:pt idx="12">
                  <c:v>1438300</c:v>
                </c:pt>
                <c:pt idx="13">
                  <c:v>988825058.80214286</c:v>
                </c:pt>
                <c:pt idx="14">
                  <c:v>2500000</c:v>
                </c:pt>
              </c:numCache>
              <c:extLst/>
            </c:numRef>
          </c:val>
          <c:extLst>
            <c:ext xmlns:c16="http://schemas.microsoft.com/office/drawing/2014/chart" uri="{C3380CC4-5D6E-409C-BE32-E72D297353CC}">
              <c16:uniqueId val="{0000001E-E4C4-4AB7-94CD-DA414B495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400" b="1">
          <a:latin typeface="+mj-lt"/>
        </a:defRPr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'Vývoj trhu'!$D$13:$W$13</c:f>
              <c:numCache>
                <c:formatCode>#,##0</c:formatCode>
                <c:ptCount val="20"/>
                <c:pt idx="0">
                  <c:v>392182262.95311719</c:v>
                </c:pt>
                <c:pt idx="1">
                  <c:v>835913419.7763207</c:v>
                </c:pt>
                <c:pt idx="2">
                  <c:v>1005832082.1942464</c:v>
                </c:pt>
                <c:pt idx="3">
                  <c:v>999352133.20373213</c:v>
                </c:pt>
                <c:pt idx="4">
                  <c:v>1187990648.2609208</c:v>
                </c:pt>
                <c:pt idx="5">
                  <c:v>1317589628.071203</c:v>
                </c:pt>
                <c:pt idx="6">
                  <c:v>1393189032.9605343</c:v>
                </c:pt>
                <c:pt idx="7">
                  <c:v>1470228426.5144246</c:v>
                </c:pt>
                <c:pt idx="8">
                  <c:v>1526387984.4322133</c:v>
                </c:pt>
                <c:pt idx="9">
                  <c:v>1598387417.6601479</c:v>
                </c:pt>
                <c:pt idx="10">
                  <c:v>1619987247.6285284</c:v>
                </c:pt>
                <c:pt idx="11">
                  <c:v>1691986680.856463</c:v>
                </c:pt>
                <c:pt idx="12">
                  <c:v>1763986114.0843976</c:v>
                </c:pt>
                <c:pt idx="13">
                  <c:v>1835985547.3123322</c:v>
                </c:pt>
                <c:pt idx="14">
                  <c:v>1943984697.1542342</c:v>
                </c:pt>
                <c:pt idx="15">
                  <c:v>1943984697.1542342</c:v>
                </c:pt>
                <c:pt idx="16">
                  <c:v>1943984697.1542342</c:v>
                </c:pt>
                <c:pt idx="17">
                  <c:v>1943984697.1542342</c:v>
                </c:pt>
                <c:pt idx="18">
                  <c:v>1943984697.1542342</c:v>
                </c:pt>
                <c:pt idx="19">
                  <c:v>1943984697.1542342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9D-4CED-B689-C447AC0386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5218680"/>
        <c:axId val="385220976"/>
      </c:barChart>
      <c:catAx>
        <c:axId val="385218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385220976"/>
        <c:crosses val="autoZero"/>
        <c:auto val="1"/>
        <c:lblAlgn val="ctr"/>
        <c:lblOffset val="100"/>
        <c:noMultiLvlLbl val="0"/>
      </c:catAx>
      <c:valAx>
        <c:axId val="38522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385218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cs-CZ"/>
              <a:t>Plán</a:t>
            </a:r>
            <a:r>
              <a:rPr lang="cs-CZ" baseline="0"/>
              <a:t> vývoje NA trhu</a:t>
            </a:r>
            <a:endParaRPr lang="cs-CZ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'Vývoj trhu'!$C$4</c:f>
              <c:strCache>
                <c:ptCount val="1"/>
                <c:pt idx="0">
                  <c:v>Plán prodeje etapa 1 [ks]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'Vývoj trhu'!$D$2:$W$2</c:f>
              <c:numCache>
                <c:formatCode>General</c:formatCode>
                <c:ptCount val="20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</c:numCache>
            </c:numRef>
          </c:cat>
          <c:val>
            <c:numRef>
              <c:f>'Vývoj trhu'!$D$4:$W$4</c:f>
              <c:numCache>
                <c:formatCode>General</c:formatCode>
                <c:ptCount val="20"/>
                <c:pt idx="0">
                  <c:v>677</c:v>
                </c:pt>
                <c:pt idx="1">
                  <c:v>692</c:v>
                </c:pt>
                <c:pt idx="2">
                  <c:v>799</c:v>
                </c:pt>
                <c:pt idx="3">
                  <c:v>786</c:v>
                </c:pt>
                <c:pt idx="4">
                  <c:v>883</c:v>
                </c:pt>
                <c:pt idx="5">
                  <c:v>964</c:v>
                </c:pt>
                <c:pt idx="6">
                  <c:v>1011</c:v>
                </c:pt>
                <c:pt idx="7">
                  <c:v>1100</c:v>
                </c:pt>
                <c:pt idx="8">
                  <c:v>1100</c:v>
                </c:pt>
                <c:pt idx="9">
                  <c:v>1120</c:v>
                </c:pt>
                <c:pt idx="10">
                  <c:v>1150</c:v>
                </c:pt>
                <c:pt idx="11">
                  <c:v>1200</c:v>
                </c:pt>
                <c:pt idx="12">
                  <c:v>1250</c:v>
                </c:pt>
                <c:pt idx="13">
                  <c:v>1300</c:v>
                </c:pt>
                <c:pt idx="14">
                  <c:v>1350</c:v>
                </c:pt>
                <c:pt idx="15">
                  <c:v>1350</c:v>
                </c:pt>
                <c:pt idx="16">
                  <c:v>1350</c:v>
                </c:pt>
                <c:pt idx="17">
                  <c:v>1350</c:v>
                </c:pt>
                <c:pt idx="18">
                  <c:v>1350</c:v>
                </c:pt>
                <c:pt idx="19">
                  <c:v>1350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58-40D0-9CEC-333ABDE86B16}"/>
            </c:ext>
          </c:extLst>
        </c:ser>
        <c:ser>
          <c:idx val="2"/>
          <c:order val="1"/>
          <c:tx>
            <c:strRef>
              <c:f>'Vývoj trhu'!$C$5</c:f>
              <c:strCache>
                <c:ptCount val="1"/>
                <c:pt idx="0">
                  <c:v>Plán prodeje etapa 2 [ks]</c:v>
                </c:pt>
              </c:strCache>
            </c:strRef>
          </c:tx>
          <c:spPr>
            <a:solidFill>
              <a:srgbClr val="FF9966"/>
            </a:solidFill>
            <a:ln>
              <a:solidFill>
                <a:srgbClr val="FF9966"/>
              </a:solidFill>
            </a:ln>
            <a:effectLst/>
          </c:spPr>
          <c:cat>
            <c:numRef>
              <c:f>'Vývoj trhu'!$D$2:$W$2</c:f>
              <c:numCache>
                <c:formatCode>General</c:formatCode>
                <c:ptCount val="20"/>
                <c:pt idx="0">
                  <c:v>2023</c:v>
                </c:pt>
                <c:pt idx="1">
                  <c:v>2024</c:v>
                </c:pt>
                <c:pt idx="2">
                  <c:v>2025</c:v>
                </c:pt>
                <c:pt idx="3">
                  <c:v>2026</c:v>
                </c:pt>
                <c:pt idx="4">
                  <c:v>2027</c:v>
                </c:pt>
                <c:pt idx="5">
                  <c:v>2028</c:v>
                </c:pt>
                <c:pt idx="6">
                  <c:v>2029</c:v>
                </c:pt>
                <c:pt idx="7">
                  <c:v>2030</c:v>
                </c:pt>
                <c:pt idx="8">
                  <c:v>2031</c:v>
                </c:pt>
                <c:pt idx="9">
                  <c:v>2032</c:v>
                </c:pt>
                <c:pt idx="10">
                  <c:v>2033</c:v>
                </c:pt>
                <c:pt idx="11">
                  <c:v>2034</c:v>
                </c:pt>
                <c:pt idx="12">
                  <c:v>2035</c:v>
                </c:pt>
                <c:pt idx="13">
                  <c:v>2036</c:v>
                </c:pt>
                <c:pt idx="14">
                  <c:v>2037</c:v>
                </c:pt>
                <c:pt idx="15">
                  <c:v>2038</c:v>
                </c:pt>
                <c:pt idx="16">
                  <c:v>2039</c:v>
                </c:pt>
                <c:pt idx="17">
                  <c:v>2040</c:v>
                </c:pt>
                <c:pt idx="18">
                  <c:v>2041</c:v>
                </c:pt>
                <c:pt idx="19">
                  <c:v>2042</c:v>
                </c:pt>
              </c:numCache>
            </c:numRef>
          </c:cat>
          <c:val>
            <c:numRef>
              <c:f>'Vývoj trhu'!$D$5:$W$5</c:f>
              <c:numCache>
                <c:formatCode>General</c:formatCode>
                <c:ptCount val="20"/>
                <c:pt idx="0">
                  <c:v>0</c:v>
                </c:pt>
                <c:pt idx="1">
                  <c:v>469</c:v>
                </c:pt>
                <c:pt idx="2">
                  <c:v>598</c:v>
                </c:pt>
                <c:pt idx="3">
                  <c:v>602</c:v>
                </c:pt>
                <c:pt idx="4">
                  <c:v>767</c:v>
                </c:pt>
                <c:pt idx="5">
                  <c:v>866</c:v>
                </c:pt>
                <c:pt idx="6">
                  <c:v>924</c:v>
                </c:pt>
                <c:pt idx="7">
                  <c:v>942</c:v>
                </c:pt>
                <c:pt idx="8">
                  <c:v>1020</c:v>
                </c:pt>
                <c:pt idx="9">
                  <c:v>1100</c:v>
                </c:pt>
                <c:pt idx="10">
                  <c:v>1100</c:v>
                </c:pt>
                <c:pt idx="11">
                  <c:v>1150</c:v>
                </c:pt>
                <c:pt idx="12">
                  <c:v>1200</c:v>
                </c:pt>
                <c:pt idx="13">
                  <c:v>1250</c:v>
                </c:pt>
                <c:pt idx="14">
                  <c:v>1350</c:v>
                </c:pt>
                <c:pt idx="15">
                  <c:v>1350</c:v>
                </c:pt>
                <c:pt idx="16">
                  <c:v>1350</c:v>
                </c:pt>
                <c:pt idx="17">
                  <c:v>1350</c:v>
                </c:pt>
                <c:pt idx="18">
                  <c:v>1350</c:v>
                </c:pt>
                <c:pt idx="19">
                  <c:v>1350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58-40D0-9CEC-333ABDE86B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3489472"/>
        <c:axId val="693486848"/>
      </c:areaChart>
      <c:lineChart>
        <c:grouping val="standard"/>
        <c:varyColors val="0"/>
        <c:ser>
          <c:idx val="0"/>
          <c:order val="2"/>
          <c:tx>
            <c:strRef>
              <c:f>'Vývoj trhu'!$C$3</c:f>
              <c:strCache>
                <c:ptCount val="1"/>
                <c:pt idx="0">
                  <c:v>Max. výrob kapacita [ks]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'Vývoj trhu'!$D$3:$W$3</c:f>
              <c:numCache>
                <c:formatCode>General</c:formatCode>
                <c:ptCount val="20"/>
                <c:pt idx="0">
                  <c:v>800</c:v>
                </c:pt>
                <c:pt idx="1">
                  <c:v>1400</c:v>
                </c:pt>
                <c:pt idx="2">
                  <c:v>1800</c:v>
                </c:pt>
                <c:pt idx="3">
                  <c:v>1800</c:v>
                </c:pt>
                <c:pt idx="4">
                  <c:v>2000</c:v>
                </c:pt>
                <c:pt idx="5">
                  <c:v>2100</c:v>
                </c:pt>
                <c:pt idx="6">
                  <c:v>2200</c:v>
                </c:pt>
                <c:pt idx="7">
                  <c:v>2300</c:v>
                </c:pt>
                <c:pt idx="8">
                  <c:v>2400</c:v>
                </c:pt>
                <c:pt idx="9">
                  <c:v>2500</c:v>
                </c:pt>
                <c:pt idx="10">
                  <c:v>2600</c:v>
                </c:pt>
                <c:pt idx="11">
                  <c:v>2700</c:v>
                </c:pt>
                <c:pt idx="12">
                  <c:v>2800</c:v>
                </c:pt>
                <c:pt idx="13">
                  <c:v>2900</c:v>
                </c:pt>
                <c:pt idx="14">
                  <c:v>3000</c:v>
                </c:pt>
                <c:pt idx="15">
                  <c:v>3000</c:v>
                </c:pt>
                <c:pt idx="16">
                  <c:v>3000</c:v>
                </c:pt>
                <c:pt idx="17">
                  <c:v>3000</c:v>
                </c:pt>
                <c:pt idx="18">
                  <c:v>3000</c:v>
                </c:pt>
                <c:pt idx="19">
                  <c:v>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658-40D0-9CEC-333ABDE86B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3489472"/>
        <c:axId val="693486848"/>
      </c:lineChart>
      <c:catAx>
        <c:axId val="693489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693486848"/>
        <c:crosses val="autoZero"/>
        <c:auto val="1"/>
        <c:lblAlgn val="ctr"/>
        <c:lblOffset val="100"/>
        <c:noMultiLvlLbl val="0"/>
      </c:catAx>
      <c:valAx>
        <c:axId val="69348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693489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'Vývoj CF'!$D$23:$X$23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'Vývoj CF'!$D$33:$X$33</c:f>
              <c:numCache>
                <c:formatCode>#,##0</c:formatCode>
                <c:ptCount val="21"/>
                <c:pt idx="0">
                  <c:v>-20000000</c:v>
                </c:pt>
                <c:pt idx="1">
                  <c:v>-12856332.28797506</c:v>
                </c:pt>
                <c:pt idx="2">
                  <c:v>-4862792.4691553321</c:v>
                </c:pt>
                <c:pt idx="3">
                  <c:v>4958384.7081841696</c:v>
                </c:pt>
                <c:pt idx="4">
                  <c:v>14659318.20320724</c:v>
                </c:pt>
                <c:pt idx="5">
                  <c:v>26375773.934553105</c:v>
                </c:pt>
                <c:pt idx="6">
                  <c:v>41066783.440227613</c:v>
                </c:pt>
                <c:pt idx="7">
                  <c:v>56504447.259860486</c:v>
                </c:pt>
                <c:pt idx="8">
                  <c:v>72687669.282464281</c:v>
                </c:pt>
                <c:pt idx="9">
                  <c:v>89366533.807661146</c:v>
                </c:pt>
                <c:pt idx="10">
                  <c:v>106690839.47450584</c:v>
                </c:pt>
                <c:pt idx="11">
                  <c:v>123077125.68816361</c:v>
                </c:pt>
                <c:pt idx="12">
                  <c:v>140044489.94335833</c:v>
                </c:pt>
                <c:pt idx="13">
                  <c:v>157550803.66547203</c:v>
                </c:pt>
                <c:pt idx="14">
                  <c:v>175545512.56496307</c:v>
                </c:pt>
                <c:pt idx="15">
                  <c:v>194363811.95169505</c:v>
                </c:pt>
                <c:pt idx="16">
                  <c:v>212745322.27678752</c:v>
                </c:pt>
                <c:pt idx="17">
                  <c:v>230602685.72791255</c:v>
                </c:pt>
                <c:pt idx="18">
                  <c:v>247831072.93027666</c:v>
                </c:pt>
                <c:pt idx="19">
                  <c:v>264304688.63412768</c:v>
                </c:pt>
                <c:pt idx="20">
                  <c:v>279872578.53976297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E8-4213-8439-073EEB418ADD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'Vývoj CF'!$D$23:$X$23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'Vývoj CF'!$D$37:$X$37</c:f>
              <c:numCache>
                <c:formatCode>#,##0</c:formatCode>
                <c:ptCount val="21"/>
                <c:pt idx="0">
                  <c:v>-20000000</c:v>
                </c:pt>
                <c:pt idx="1">
                  <c:v>-13788115.033021791</c:v>
                </c:pt>
                <c:pt idx="2">
                  <c:v>-7743850.5197365517</c:v>
                </c:pt>
                <c:pt idx="3">
                  <c:v>-1286267.1040452532</c:v>
                </c:pt>
                <c:pt idx="4">
                  <c:v>4260273.1070163557</c:v>
                </c:pt>
                <c:pt idx="5">
                  <c:v>10085422.316793829</c:v>
                </c:pt>
                <c:pt idx="6">
                  <c:v>16436751.137895912</c:v>
                </c:pt>
                <c:pt idx="7">
                  <c:v>22240340.777576521</c:v>
                </c:pt>
                <c:pt idx="8">
                  <c:v>27530664.763312064</c:v>
                </c:pt>
                <c:pt idx="9">
                  <c:v>32271839.023335345</c:v>
                </c:pt>
                <c:pt idx="10">
                  <c:v>36554142.428359725</c:v>
                </c:pt>
                <c:pt idx="11">
                  <c:v>40076263.595448226</c:v>
                </c:pt>
                <c:pt idx="12">
                  <c:v>43247585.294565775</c:v>
                </c:pt>
                <c:pt idx="13">
                  <c:v>46092850.692890994</c:v>
                </c:pt>
                <c:pt idx="14">
                  <c:v>48636018.752507262</c:v>
                </c:pt>
                <c:pt idx="15">
                  <c:v>50948683.968079589</c:v>
                </c:pt>
                <c:pt idx="16">
                  <c:v>52913019.83651334</c:v>
                </c:pt>
                <c:pt idx="17">
                  <c:v>54572431.169935346</c:v>
                </c:pt>
                <c:pt idx="18">
                  <c:v>55964573.046258345</c:v>
                </c:pt>
                <c:pt idx="19">
                  <c:v>57122096.938122839</c:v>
                </c:pt>
                <c:pt idx="20">
                  <c:v>58073299.353872977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E8-4213-8439-073EEB418A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5"/>
        <c:overlap val="-3"/>
        <c:axId val="486384592"/>
        <c:axId val="486375080"/>
      </c:barChart>
      <c:catAx>
        <c:axId val="486384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cs-CZ"/>
          </a:p>
        </c:txPr>
        <c:crossAx val="486375080"/>
        <c:crosses val="autoZero"/>
        <c:auto val="1"/>
        <c:lblAlgn val="ctr"/>
        <c:lblOffset val="100"/>
        <c:noMultiLvlLbl val="0"/>
      </c:catAx>
      <c:valAx>
        <c:axId val="486375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cs-CZ"/>
          </a:p>
        </c:txPr>
        <c:crossAx val="486384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+mj-lt"/>
        </a:defRPr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j-lt"/>
                <a:ea typeface="+mn-ea"/>
                <a:cs typeface="+mn-cs"/>
              </a:defRPr>
            </a:pPr>
            <a:r>
              <a:rPr lang="sk-SK"/>
              <a:t>Průběh kum.CF a kum. dCF v letech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j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>
        <c:manualLayout>
          <c:layoutTarget val="inner"/>
          <c:xMode val="edge"/>
          <c:yMode val="edge"/>
          <c:x val="0.12962701198494764"/>
          <c:y val="0.16179640718562877"/>
          <c:w val="0.7320866141732284"/>
          <c:h val="0.798283433133732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'Vývoj CF'!$C$12</c:f>
              <c:strCache>
                <c:ptCount val="1"/>
                <c:pt idx="0">
                  <c:v>kum. CF</c:v>
                </c:pt>
              </c:strCache>
            </c:strRef>
          </c:tx>
          <c:spPr>
            <a:solidFill>
              <a:srgbClr val="FF66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'Vývoj CF'!$D$2:$X$2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'Vývoj CF'!$D$12:$X$12</c:f>
              <c:numCache>
                <c:formatCode>#,##0</c:formatCode>
                <c:ptCount val="21"/>
                <c:pt idx="0">
                  <c:v>-216999524</c:v>
                </c:pt>
                <c:pt idx="1">
                  <c:v>-296906159.60000002</c:v>
                </c:pt>
                <c:pt idx="2">
                  <c:v>-235926638.37500006</c:v>
                </c:pt>
                <c:pt idx="3">
                  <c:v>-165969439.70600009</c:v>
                </c:pt>
                <c:pt idx="4">
                  <c:v>-97404716.981700152</c:v>
                </c:pt>
                <c:pt idx="5">
                  <c:v>13042225.772938862</c:v>
                </c:pt>
                <c:pt idx="6">
                  <c:v>159421950.5289371</c:v>
                </c:pt>
                <c:pt idx="7">
                  <c:v>316864499.81173527</c:v>
                </c:pt>
                <c:pt idx="8">
                  <c:v>485644796.23530519</c:v>
                </c:pt>
                <c:pt idx="9">
                  <c:v>661552855.62650192</c:v>
                </c:pt>
                <c:pt idx="10">
                  <c:v>847858108.97654009</c:v>
                </c:pt>
                <c:pt idx="11">
                  <c:v>1024335862.7474599</c:v>
                </c:pt>
                <c:pt idx="12">
                  <c:v>1211083291.2996182</c:v>
                </c:pt>
                <c:pt idx="13">
                  <c:v>1408023848.181448</c:v>
                </c:pt>
                <c:pt idx="14">
                  <c:v>1615157016.1315851</c:v>
                </c:pt>
                <c:pt idx="15">
                  <c:v>1839644974.9668732</c:v>
                </c:pt>
                <c:pt idx="16">
                  <c:v>2059724464.0144699</c:v>
                </c:pt>
                <c:pt idx="17">
                  <c:v>2275317724.1519184</c:v>
                </c:pt>
                <c:pt idx="18">
                  <c:v>2486326166.3218236</c:v>
                </c:pt>
                <c:pt idx="19">
                  <c:v>2692640530.4510994</c:v>
                </c:pt>
                <c:pt idx="20">
                  <c:v>2894113901.3157554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6B-470A-BD45-2C5B9D01DD10}"/>
            </c:ext>
          </c:extLst>
        </c:ser>
        <c:ser>
          <c:idx val="1"/>
          <c:order val="1"/>
          <c:tx>
            <c:strRef>
              <c:f>'Vývoj CF'!$C$16</c:f>
              <c:strCache>
                <c:ptCount val="1"/>
                <c:pt idx="0">
                  <c:v>kum. dCF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'Vývoj CF'!$D$2:$X$2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'Vývoj CF'!$D$16:$X$16</c:f>
              <c:numCache>
                <c:formatCode>#,##0</c:formatCode>
                <c:ptCount val="21"/>
                <c:pt idx="0">
                  <c:v>-216999524</c:v>
                </c:pt>
                <c:pt idx="1">
                  <c:v>-286483554.95652175</c:v>
                </c:pt>
                <c:pt idx="2">
                  <c:v>-240374276.14744803</c:v>
                </c:pt>
                <c:pt idx="3">
                  <c:v>-194376282.44711107</c:v>
                </c:pt>
                <c:pt idx="4">
                  <c:v>-155174179.69630617</c:v>
                </c:pt>
                <c:pt idx="5">
                  <c:v>-100262529.27387764</c:v>
                </c:pt>
                <c:pt idx="6">
                  <c:v>-36978534.779921576</c:v>
                </c:pt>
                <c:pt idx="7">
                  <c:v>22209951.155399211</c:v>
                </c:pt>
                <c:pt idx="8">
                  <c:v>77384529.446546197</c:v>
                </c:pt>
                <c:pt idx="9">
                  <c:v>127388578.706389</c:v>
                </c:pt>
                <c:pt idx="10">
                  <c:v>173440388.00467792</c:v>
                </c:pt>
                <c:pt idx="11">
                  <c:v>211373085.13764474</c:v>
                </c:pt>
                <c:pt idx="12">
                  <c:v>246277514.81301668</c:v>
                </c:pt>
                <c:pt idx="13">
                  <c:v>278285861.11124086</c:v>
                </c:pt>
                <c:pt idx="14">
                  <c:v>307559713.76205087</c:v>
                </c:pt>
                <c:pt idx="15">
                  <c:v>335148045.89791036</c:v>
                </c:pt>
                <c:pt idx="16">
                  <c:v>358666789.82030851</c:v>
                </c:pt>
                <c:pt idx="17">
                  <c:v>378700984.69239318</c:v>
                </c:pt>
                <c:pt idx="18">
                  <c:v>395751546.95060015</c:v>
                </c:pt>
                <c:pt idx="19">
                  <c:v>410248291.92800301</c:v>
                </c:pt>
                <c:pt idx="20">
                  <c:v>422558371.086927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6B-470A-BD45-2C5B9D01DD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991222824"/>
        <c:axId val="991222496"/>
      </c:barChart>
      <c:catAx>
        <c:axId val="991222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cs-CZ"/>
          </a:p>
        </c:txPr>
        <c:crossAx val="991222496"/>
        <c:crosses val="autoZero"/>
        <c:auto val="1"/>
        <c:lblAlgn val="ctr"/>
        <c:lblOffset val="100"/>
        <c:noMultiLvlLbl val="0"/>
      </c:catAx>
      <c:valAx>
        <c:axId val="991222496"/>
        <c:scaling>
          <c:orientation val="minMax"/>
          <c:max val="3100000000"/>
          <c:min val="-300000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cs-CZ"/>
          </a:p>
        </c:txPr>
        <c:crossAx val="991222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j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lumMod val="50000"/>
      </a:schemeClr>
    </a:solidFill>
    <a:ln>
      <a:noFill/>
    </a:ln>
    <a:effectLst/>
  </c:spPr>
  <c:txPr>
    <a:bodyPr/>
    <a:lstStyle/>
    <a:p>
      <a:pPr>
        <a:defRPr>
          <a:latin typeface="+mj-lt"/>
        </a:defRPr>
      </a:pPr>
      <a:endParaRPr lang="cs-CZ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Kum. CF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'Vývoj CF'!$D$23:$X$23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'Vývoj CF'!$D$33:$X$33</c:f>
              <c:numCache>
                <c:formatCode>#,##0</c:formatCode>
                <c:ptCount val="21"/>
                <c:pt idx="0">
                  <c:v>-20000000</c:v>
                </c:pt>
                <c:pt idx="1">
                  <c:v>-12856332.28797506</c:v>
                </c:pt>
                <c:pt idx="2">
                  <c:v>-4862792.4691553321</c:v>
                </c:pt>
                <c:pt idx="3">
                  <c:v>4958384.7081841696</c:v>
                </c:pt>
                <c:pt idx="4">
                  <c:v>14659318.20320724</c:v>
                </c:pt>
                <c:pt idx="5">
                  <c:v>26375773.934553105</c:v>
                </c:pt>
                <c:pt idx="6">
                  <c:v>41066783.440227613</c:v>
                </c:pt>
                <c:pt idx="7">
                  <c:v>56504447.259860486</c:v>
                </c:pt>
                <c:pt idx="8">
                  <c:v>72687669.282464281</c:v>
                </c:pt>
                <c:pt idx="9">
                  <c:v>89366533.807661146</c:v>
                </c:pt>
                <c:pt idx="10">
                  <c:v>106690839.47450584</c:v>
                </c:pt>
                <c:pt idx="11">
                  <c:v>123077125.68816361</c:v>
                </c:pt>
                <c:pt idx="12">
                  <c:v>140044489.94335833</c:v>
                </c:pt>
                <c:pt idx="13">
                  <c:v>157550803.66547203</c:v>
                </c:pt>
                <c:pt idx="14">
                  <c:v>175545512.56496307</c:v>
                </c:pt>
                <c:pt idx="15">
                  <c:v>194363811.95169505</c:v>
                </c:pt>
                <c:pt idx="16">
                  <c:v>212745322.27678752</c:v>
                </c:pt>
                <c:pt idx="17">
                  <c:v>230602685.72791255</c:v>
                </c:pt>
                <c:pt idx="18">
                  <c:v>247831072.93027666</c:v>
                </c:pt>
                <c:pt idx="19">
                  <c:v>264304688.63412768</c:v>
                </c:pt>
                <c:pt idx="20">
                  <c:v>279872578.53976297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E8-4213-8439-073EEB418ADD}"/>
            </c:ext>
          </c:extLst>
        </c:ser>
        <c:ser>
          <c:idx val="1"/>
          <c:order val="1"/>
          <c:tx>
            <c:v>Kum. dCF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'Vývoj CF'!$D$23:$X$23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</c:numCache>
            </c:numRef>
          </c:cat>
          <c:val>
            <c:numRef>
              <c:f>'Vývoj CF'!$D$37:$X$37</c:f>
              <c:numCache>
                <c:formatCode>#,##0</c:formatCode>
                <c:ptCount val="21"/>
                <c:pt idx="0">
                  <c:v>-20000000</c:v>
                </c:pt>
                <c:pt idx="1">
                  <c:v>-13788115.033021791</c:v>
                </c:pt>
                <c:pt idx="2">
                  <c:v>-7743850.5197365517</c:v>
                </c:pt>
                <c:pt idx="3">
                  <c:v>-1286267.1040452532</c:v>
                </c:pt>
                <c:pt idx="4">
                  <c:v>4260273.1070163557</c:v>
                </c:pt>
                <c:pt idx="5">
                  <c:v>10085422.316793829</c:v>
                </c:pt>
                <c:pt idx="6">
                  <c:v>16436751.137895912</c:v>
                </c:pt>
                <c:pt idx="7">
                  <c:v>22240340.777576521</c:v>
                </c:pt>
                <c:pt idx="8">
                  <c:v>27530664.763312064</c:v>
                </c:pt>
                <c:pt idx="9">
                  <c:v>32271839.023335345</c:v>
                </c:pt>
                <c:pt idx="10">
                  <c:v>36554142.428359725</c:v>
                </c:pt>
                <c:pt idx="11">
                  <c:v>40076263.595448226</c:v>
                </c:pt>
                <c:pt idx="12">
                  <c:v>43247585.294565775</c:v>
                </c:pt>
                <c:pt idx="13">
                  <c:v>46092850.692890994</c:v>
                </c:pt>
                <c:pt idx="14">
                  <c:v>48636018.752507262</c:v>
                </c:pt>
                <c:pt idx="15">
                  <c:v>50948683.968079589</c:v>
                </c:pt>
                <c:pt idx="16">
                  <c:v>52913019.83651334</c:v>
                </c:pt>
                <c:pt idx="17">
                  <c:v>54572431.169935346</c:v>
                </c:pt>
                <c:pt idx="18">
                  <c:v>55964573.046258345</c:v>
                </c:pt>
                <c:pt idx="19">
                  <c:v>57122096.938122839</c:v>
                </c:pt>
                <c:pt idx="20">
                  <c:v>58073299.353872977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E8-4213-8439-073EEB418A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"/>
        <c:overlap val="-10"/>
        <c:axId val="486384592"/>
        <c:axId val="486375080"/>
      </c:barChart>
      <c:catAx>
        <c:axId val="486384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cs-CZ"/>
          </a:p>
        </c:txPr>
        <c:crossAx val="486375080"/>
        <c:crosses val="autoZero"/>
        <c:auto val="1"/>
        <c:lblAlgn val="ctr"/>
        <c:lblOffset val="100"/>
        <c:noMultiLvlLbl val="0"/>
      </c:catAx>
      <c:valAx>
        <c:axId val="486375080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cs-CZ"/>
          </a:p>
        </c:txPr>
        <c:crossAx val="486384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="1">
          <a:latin typeface="+mj-lt"/>
        </a:defRPr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B70-4936-8EA6-96DA97372AA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B70-4936-8EA6-96DA97372AA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B70-4936-8EA6-96DA97372AA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B70-4936-8EA6-96DA97372AA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EB70-4936-8EA6-96DA97372AA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EB70-4936-8EA6-96DA97372AA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EB70-4936-8EA6-96DA97372AA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('Náklady 10%ZW'!$B$5:$B$7,'Náklady 10%ZW'!$B$9:$B$12)</c:f>
              <c:strCache>
                <c:ptCount val="7"/>
                <c:pt idx="0">
                  <c:v>Přeprava</c:v>
                </c:pt>
                <c:pt idx="1">
                  <c:v>Oprava a servis</c:v>
                </c:pt>
                <c:pt idx="2">
                  <c:v>Recyklace</c:v>
                </c:pt>
                <c:pt idx="3">
                  <c:v>Pojíštění</c:v>
                </c:pt>
                <c:pt idx="4">
                  <c:v>Zajíštění marketingových informací</c:v>
                </c:pt>
                <c:pt idx="5">
                  <c:v>Legislativa</c:v>
                </c:pt>
                <c:pt idx="6">
                  <c:v>Propogace</c:v>
                </c:pt>
              </c:strCache>
            </c:strRef>
          </c:cat>
          <c:val>
            <c:numRef>
              <c:f>('Náklady 10%ZW'!$C$5:$C$7,'Náklady 10%ZW'!$C$9:$C$12)</c:f>
              <c:numCache>
                <c:formatCode>_-[$$-409]* #\ ##0.00_ ;_-[$$-409]* \-#\ ##0.00\ ;_-[$$-409]* "-"??_ ;_-@_ </c:formatCode>
                <c:ptCount val="7"/>
                <c:pt idx="0">
                  <c:v>43328</c:v>
                </c:pt>
                <c:pt idx="1">
                  <c:v>135400</c:v>
                </c:pt>
                <c:pt idx="3">
                  <c:v>2000</c:v>
                </c:pt>
                <c:pt idx="4">
                  <c:v>15000</c:v>
                </c:pt>
                <c:pt idx="5">
                  <c:v>5000</c:v>
                </c:pt>
                <c:pt idx="6">
                  <c:v>10000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DA-4F56-B07D-4C39054F4DD2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261890443026108"/>
          <c:y val="5.1657504139341122E-2"/>
          <c:w val="0.33137426542907156"/>
          <c:h val="0.8866059318300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latin typeface="+mj-lt"/>
        </a:defRPr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k-SK">
                <a:solidFill>
                  <a:schemeClr val="tx1"/>
                </a:solidFill>
              </a:rPr>
              <a:t>Matice rizik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>
        <c:manualLayout>
          <c:layoutTarget val="inner"/>
          <c:xMode val="edge"/>
          <c:yMode val="edge"/>
          <c:x val="0.24898056349548242"/>
          <c:y val="0.14441346648911266"/>
          <c:w val="0.60119178496962355"/>
          <c:h val="0.70766014003914968"/>
        </c:manualLayout>
      </c:layout>
      <c:scatterChart>
        <c:scatterStyle val="lineMarker"/>
        <c:varyColors val="0"/>
        <c:ser>
          <c:idx val="0"/>
          <c:order val="0"/>
          <c:tx>
            <c:strRef>
              <c:f>'Matice rizik'!$B$4:$B$10</c:f>
              <c:strCache>
                <c:ptCount val="7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F</c:v>
                </c:pt>
                <c:pt idx="6">
                  <c:v>G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tx1"/>
              </a:solidFill>
              <a:ln w="139700">
                <a:solidFill>
                  <a:schemeClr val="tx1"/>
                </a:solidFill>
                <a:round/>
              </a:ln>
              <a:effectLst/>
            </c:spPr>
          </c:marker>
          <c:xVal>
            <c:numRef>
              <c:f>'Matice rizik'!$D$4:$D$10</c:f>
              <c:numCache>
                <c:formatCode>General</c:formatCode>
                <c:ptCount val="7"/>
                <c:pt idx="0">
                  <c:v>3</c:v>
                </c:pt>
                <c:pt idx="1">
                  <c:v>1</c:v>
                </c:pt>
                <c:pt idx="2">
                  <c:v>4</c:v>
                </c:pt>
                <c:pt idx="3">
                  <c:v>6</c:v>
                </c:pt>
                <c:pt idx="4">
                  <c:v>2</c:v>
                </c:pt>
                <c:pt idx="5">
                  <c:v>4</c:v>
                </c:pt>
                <c:pt idx="6">
                  <c:v>5</c:v>
                </c:pt>
              </c:numCache>
            </c:numRef>
          </c:xVal>
          <c:yVal>
            <c:numRef>
              <c:f>'Matice rizik'!$E$4:$E$10</c:f>
              <c:numCache>
                <c:formatCode>General</c:formatCode>
                <c:ptCount val="7"/>
                <c:pt idx="0">
                  <c:v>6</c:v>
                </c:pt>
                <c:pt idx="1">
                  <c:v>8</c:v>
                </c:pt>
                <c:pt idx="2">
                  <c:v>7</c:v>
                </c:pt>
                <c:pt idx="3">
                  <c:v>5</c:v>
                </c:pt>
                <c:pt idx="4">
                  <c:v>6</c:v>
                </c:pt>
                <c:pt idx="5">
                  <c:v>9</c:v>
                </c:pt>
                <c:pt idx="6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B3-417D-80F9-58082D83EF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7037288"/>
        <c:axId val="1007033024"/>
      </c:scatterChart>
      <c:valAx>
        <c:axId val="1007037288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k-SK">
                    <a:solidFill>
                      <a:schemeClr val="tx1"/>
                    </a:solidFill>
                  </a:rPr>
                  <a:t>Pravdepodobnost </a:t>
                </a:r>
                <a:endParaRPr lang="en-US">
                  <a:solidFill>
                    <a:schemeClr val="tx1"/>
                  </a:solidFill>
                </a:endParaRPr>
              </a:p>
            </c:rich>
          </c:tx>
          <c:layout>
            <c:manualLayout>
              <c:xMode val="edge"/>
              <c:yMode val="edge"/>
              <c:x val="0.42724407543818016"/>
              <c:y val="0.934317173099109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007033024"/>
        <c:crosses val="autoZero"/>
        <c:crossBetween val="midCat"/>
        <c:majorUnit val="1"/>
      </c:valAx>
      <c:valAx>
        <c:axId val="100703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sk-SK">
                    <a:solidFill>
                      <a:schemeClr val="tx1"/>
                    </a:solidFill>
                  </a:rPr>
                  <a:t>Významovost</a:t>
                </a:r>
                <a:endParaRPr lang="en-US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1007037288"/>
        <c:crosses val="autoZero"/>
        <c:crossBetween val="midCat"/>
      </c:valAx>
      <c:spPr>
        <a:gradFill flip="none" rotWithShape="1">
          <a:gsLst>
            <a:gs pos="3000">
              <a:schemeClr val="accent2">
                <a:lumMod val="67000"/>
              </a:schemeClr>
            </a:gs>
            <a:gs pos="46000">
              <a:srgbClr val="75854F"/>
            </a:gs>
            <a:gs pos="84000">
              <a:srgbClr val="FF0000"/>
            </a:gs>
            <a:gs pos="100000">
              <a:schemeClr val="accent2">
                <a:lumMod val="60000"/>
                <a:lumOff val="40000"/>
              </a:schemeClr>
            </a:gs>
          </a:gsLst>
          <a:lin ang="19200000" scaled="0"/>
          <a:tileRect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Rozvaha!$C$13</c:f>
              <c:strCache>
                <c:ptCount val="1"/>
                <c:pt idx="0">
                  <c:v>Stav k 1.1. 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(Rozvaha!$B$5:$B$6,Rozvaha!$B$8:$B$11,Rozvaha!$B$15:$B$16,Rozvaha!$B$18:$B$19)</c:f>
              <c:strCache>
                <c:ptCount val="10"/>
                <c:pt idx="0">
                  <c:v>Dlouhodobá aktiva</c:v>
                </c:pt>
                <c:pt idx="1">
                  <c:v>Oprávky</c:v>
                </c:pt>
                <c:pt idx="2">
                  <c:v>Zásoby materiálu</c:v>
                </c:pt>
                <c:pt idx="3">
                  <c:v>Dokončená výroba</c:v>
                </c:pt>
                <c:pt idx="4">
                  <c:v>Pohledávky</c:v>
                </c:pt>
                <c:pt idx="5">
                  <c:v>Bankoví účet</c:v>
                </c:pt>
                <c:pt idx="6">
                  <c:v>Základní kapitál </c:v>
                </c:pt>
                <c:pt idx="7">
                  <c:v>VHBO</c:v>
                </c:pt>
                <c:pt idx="8">
                  <c:v>Závazky k zaměstnanům </c:v>
                </c:pt>
                <c:pt idx="9">
                  <c:v>Závazky k dodavatelům </c:v>
                </c:pt>
              </c:strCache>
            </c:strRef>
          </c:cat>
          <c:val>
            <c:numRef>
              <c:f>(Rozvaha!$C$5:$C$6,Rozvaha!$C$8:$C$11,Rozvaha!$C$15:$C$16,Rozvaha!$C$18:$C$19)</c:f>
              <c:numCache>
                <c:formatCode>#,##0</c:formatCode>
                <c:ptCount val="10"/>
                <c:pt idx="0">
                  <c:v>84570000</c:v>
                </c:pt>
                <c:pt idx="1">
                  <c:v>-18516333.333333332</c:v>
                </c:pt>
                <c:pt idx="2">
                  <c:v>75150624</c:v>
                </c:pt>
                <c:pt idx="3">
                  <c:v>40541784</c:v>
                </c:pt>
                <c:pt idx="4">
                  <c:v>49754520</c:v>
                </c:pt>
                <c:pt idx="5">
                  <c:v>22690008</c:v>
                </c:pt>
                <c:pt idx="6">
                  <c:v>32897612</c:v>
                </c:pt>
                <c:pt idx="7">
                  <c:v>139631932.85473228</c:v>
                </c:pt>
                <c:pt idx="8">
                  <c:v>6510434.2795000002</c:v>
                </c:pt>
                <c:pt idx="9">
                  <c:v>75150624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B5-49BE-B790-F5604DDD0775}"/>
            </c:ext>
          </c:extLst>
        </c:ser>
        <c:ser>
          <c:idx val="1"/>
          <c:order val="1"/>
          <c:tx>
            <c:strRef>
              <c:f>Rozvaha!$E$13</c:f>
              <c:strCache>
                <c:ptCount val="1"/>
                <c:pt idx="0">
                  <c:v>Stav k 31.12.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(Rozvaha!$B$5:$B$6,Rozvaha!$B$8:$B$11,Rozvaha!$B$15:$B$16,Rozvaha!$B$18:$B$19)</c:f>
              <c:strCache>
                <c:ptCount val="10"/>
                <c:pt idx="0">
                  <c:v>Dlouhodobá aktiva</c:v>
                </c:pt>
                <c:pt idx="1">
                  <c:v>Oprávky</c:v>
                </c:pt>
                <c:pt idx="2">
                  <c:v>Zásoby materiálu</c:v>
                </c:pt>
                <c:pt idx="3">
                  <c:v>Dokončená výroba</c:v>
                </c:pt>
                <c:pt idx="4">
                  <c:v>Pohledávky</c:v>
                </c:pt>
                <c:pt idx="5">
                  <c:v>Bankoví účet</c:v>
                </c:pt>
                <c:pt idx="6">
                  <c:v>Základní kapitál </c:v>
                </c:pt>
                <c:pt idx="7">
                  <c:v>VHBO</c:v>
                </c:pt>
                <c:pt idx="8">
                  <c:v>Závazky k zaměstnanům </c:v>
                </c:pt>
                <c:pt idx="9">
                  <c:v>Závazky k dodavatelům </c:v>
                </c:pt>
              </c:strCache>
            </c:strRef>
          </c:cat>
          <c:val>
            <c:numRef>
              <c:f>(Rozvaha!$E$5:$E$6,Rozvaha!$E$8:$E$11,Rozvaha!$E$15:$E$16,Rozvaha!$E$18:$E$19)</c:f>
              <c:numCache>
                <c:formatCode>#,##0</c:formatCode>
                <c:ptCount val="10"/>
                <c:pt idx="0">
                  <c:v>84570000</c:v>
                </c:pt>
                <c:pt idx="1">
                  <c:v>-23932666.666666664</c:v>
                </c:pt>
                <c:pt idx="2">
                  <c:v>2966472</c:v>
                </c:pt>
                <c:pt idx="3">
                  <c:v>8405004</c:v>
                </c:pt>
                <c:pt idx="4">
                  <c:v>116049000</c:v>
                </c:pt>
                <c:pt idx="5">
                  <c:v>611892331.4701668</c:v>
                </c:pt>
                <c:pt idx="6">
                  <c:v>32897612</c:v>
                </c:pt>
                <c:pt idx="7">
                  <c:v>418228075.96216667</c:v>
                </c:pt>
                <c:pt idx="8">
                  <c:v>7680173</c:v>
                </c:pt>
                <c:pt idx="9">
                  <c:v>341144280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B5-49BE-B790-F5604DDD07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36608736"/>
        <c:axId val="736606440"/>
      </c:barChart>
      <c:catAx>
        <c:axId val="73660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736606440"/>
        <c:crosses val="autoZero"/>
        <c:auto val="1"/>
        <c:lblAlgn val="ctr"/>
        <c:lblOffset val="100"/>
        <c:noMultiLvlLbl val="0"/>
      </c:catAx>
      <c:valAx>
        <c:axId val="736606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73660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sk-SK"/>
              <a:t>Plán CashFlow [Kč]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(CashFlow!$D$2:$F$2,CashFlow!$H$2:$J$2,CashFlow!$L$2:$N$2,CashFlow!$P$2:$R$2)</c:f>
              <c:strCache>
                <c:ptCount val="12"/>
                <c:pt idx="0">
                  <c:v>Leden</c:v>
                </c:pt>
                <c:pt idx="1">
                  <c:v>Únor</c:v>
                </c:pt>
                <c:pt idx="2">
                  <c:v>Březen</c:v>
                </c:pt>
                <c:pt idx="3">
                  <c:v>Duben</c:v>
                </c:pt>
                <c:pt idx="4">
                  <c:v>Květen</c:v>
                </c:pt>
                <c:pt idx="5">
                  <c:v>Červen</c:v>
                </c:pt>
                <c:pt idx="6">
                  <c:v>Červenec</c:v>
                </c:pt>
                <c:pt idx="7">
                  <c:v>Srpen</c:v>
                </c:pt>
                <c:pt idx="8">
                  <c:v>Září</c:v>
                </c:pt>
                <c:pt idx="9">
                  <c:v>Říjen</c:v>
                </c:pt>
                <c:pt idx="10">
                  <c:v>Listopad</c:v>
                </c:pt>
                <c:pt idx="11">
                  <c:v>Prosinec</c:v>
                </c:pt>
              </c:strCache>
            </c:strRef>
          </c:cat>
          <c:val>
            <c:numRef>
              <c:f>(CashFlow!$D$22:$F$22,CashFlow!$H$22:$J$22,CashFlow!$L$22:$N$22,CashFlow!$P$22:$R$22)</c:f>
              <c:numCache>
                <c:formatCode>#,##0</c:formatCode>
                <c:ptCount val="12"/>
                <c:pt idx="0">
                  <c:v>-11954070.557277769</c:v>
                </c:pt>
                <c:pt idx="1">
                  <c:v>-45848292.260055542</c:v>
                </c:pt>
                <c:pt idx="2">
                  <c:v>-78998700.400333315</c:v>
                </c:pt>
                <c:pt idx="3" formatCode="_-* #\ ##0.00\ [$Kč-405]_-;\-* #\ ##0.00\ [$Kč-405]_-;_-* &quot;-&quot;??\ [$Kč-405]_-;_-@_-">
                  <c:v>-210374754.50344443</c:v>
                </c:pt>
                <c:pt idx="4" formatCode="_-* #\ ##0.00\ [$Kč-405]_-;\-* #\ ##0.00\ [$Kč-405]_-;_-* &quot;-&quot;??\ [$Kč-405]_-;_-@_-">
                  <c:v>-134697641.20622221</c:v>
                </c:pt>
                <c:pt idx="5" formatCode="_-* #\ ##0.00\ [$Kč-405]_-;\-* #\ ##0.00\ [$Kč-405]_-;_-* &quot;-&quot;??\ [$Kč-405]_-;_-@_-">
                  <c:v>-59735780.346499979</c:v>
                </c:pt>
                <c:pt idx="6" formatCode="_-* #\ ##0.00\ [$Kč-405]_-;\-* #\ ##0.00\ [$Kč-405]_-;_-* &quot;-&quot;??\ [$Kč-405]_-;_-@_-">
                  <c:v>154888821.4048889</c:v>
                </c:pt>
                <c:pt idx="7" formatCode="_-* #\ ##0.00\ [$Kč-405]_-;\-* #\ ##0.00\ [$Kč-405]_-;_-* &quot;-&quot;??\ [$Kč-405]_-;_-@_-">
                  <c:v>222955363.7021111</c:v>
                </c:pt>
                <c:pt idx="8" formatCode="_-* #\ ##0.00\ [$Kč-405]_-;\-* #\ ##0.00\ [$Kč-405]_-;_-* &quot;-&quot;??\ [$Kč-405]_-;_-@_-">
                  <c:v>279221655.56183338</c:v>
                </c:pt>
                <c:pt idx="9" formatCode="_-* #\ ##0.00\ [$Kč-405]_-;\-* #\ ##0.00\ [$Kč-405]_-;_-* &quot;-&quot;??\ [$Kč-405]_-;_-@_-">
                  <c:v>545713617.31322229</c:v>
                </c:pt>
                <c:pt idx="10" formatCode="_-* #\ ##0.00\ [$Kč-405]_-;\-* #\ ##0.00\ [$Kč-405]_-;_-* &quot;-&quot;??\ [$Kč-405]_-;_-@_-">
                  <c:v>579828026.61044455</c:v>
                </c:pt>
                <c:pt idx="11" formatCode="_-* #\ ##0.00\ [$Kč-405]_-;\-* #\ ##0.00\ [$Kč-405]_-;_-* &quot;-&quot;??\ [$Kč-405]_-;_-@_-">
                  <c:v>611892331.4701668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6F-4E62-81B0-6727F3F732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2"/>
        <c:overlap val="-24"/>
        <c:axId val="739144816"/>
        <c:axId val="739145800"/>
      </c:barChart>
      <c:catAx>
        <c:axId val="739144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high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739145800"/>
        <c:crosses val="autoZero"/>
        <c:auto val="0"/>
        <c:lblAlgn val="ctr"/>
        <c:lblOffset val="100"/>
        <c:noMultiLvlLbl val="0"/>
      </c:catAx>
      <c:valAx>
        <c:axId val="739145800"/>
        <c:scaling>
          <c:orientation val="minMax"/>
          <c:max val="650000000"/>
          <c:min val="-250000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739144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75000"/>
      </a:schemeClr>
    </a:solidFill>
    <a:ln>
      <a:noFill/>
    </a:ln>
    <a:effectLst/>
  </c:spPr>
  <c:txPr>
    <a:bodyPr/>
    <a:lstStyle/>
    <a:p>
      <a:pPr>
        <a:defRPr/>
      </a:pPr>
      <a:endParaRPr lang="cs-CZ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790303534589387"/>
          <c:y val="2.7750252101207573E-2"/>
          <c:w val="0.81599895682694557"/>
          <c:h val="0.7924506932282465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CashFlow!$B$22</c:f>
              <c:strCache>
                <c:ptCount val="1"/>
                <c:pt idx="0">
                  <c:v>Peněžní tok 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(CashFlow!$D$22:$F$22,CashFlow!$H$22:$J$22,CashFlow!$L$22:$N$22,CashFlow!$P$22:$R$22)</c:f>
              <c:numCache>
                <c:formatCode>#,##0</c:formatCode>
                <c:ptCount val="12"/>
                <c:pt idx="0">
                  <c:v>-11954070.557277769</c:v>
                </c:pt>
                <c:pt idx="1">
                  <c:v>-45848292.260055542</c:v>
                </c:pt>
                <c:pt idx="2">
                  <c:v>-78998700.400333315</c:v>
                </c:pt>
                <c:pt idx="3" formatCode="_-* #\ ##0.00\ [$Kč-405]_-;\-* #\ ##0.00\ [$Kč-405]_-;_-* &quot;-&quot;??\ [$Kč-405]_-;_-@_-">
                  <c:v>-210374754.50344443</c:v>
                </c:pt>
                <c:pt idx="4" formatCode="_-* #\ ##0.00\ [$Kč-405]_-;\-* #\ ##0.00\ [$Kč-405]_-;_-* &quot;-&quot;??\ [$Kč-405]_-;_-@_-">
                  <c:v>-134697641.20622221</c:v>
                </c:pt>
                <c:pt idx="5" formatCode="_-* #\ ##0.00\ [$Kč-405]_-;\-* #\ ##0.00\ [$Kč-405]_-;_-* &quot;-&quot;??\ [$Kč-405]_-;_-@_-">
                  <c:v>-59735780.346499979</c:v>
                </c:pt>
                <c:pt idx="6" formatCode="_-* #\ ##0.00\ [$Kč-405]_-;\-* #\ ##0.00\ [$Kč-405]_-;_-* &quot;-&quot;??\ [$Kč-405]_-;_-@_-">
                  <c:v>154888821.4048889</c:v>
                </c:pt>
                <c:pt idx="7" formatCode="_-* #\ ##0.00\ [$Kč-405]_-;\-* #\ ##0.00\ [$Kč-405]_-;_-* &quot;-&quot;??\ [$Kč-405]_-;_-@_-">
                  <c:v>222955363.7021111</c:v>
                </c:pt>
                <c:pt idx="8" formatCode="_-* #\ ##0.00\ [$Kč-405]_-;\-* #\ ##0.00\ [$Kč-405]_-;_-* &quot;-&quot;??\ [$Kč-405]_-;_-@_-">
                  <c:v>279221655.56183338</c:v>
                </c:pt>
                <c:pt idx="9" formatCode="_-* #\ ##0.00\ [$Kč-405]_-;\-* #\ ##0.00\ [$Kč-405]_-;_-* &quot;-&quot;??\ [$Kč-405]_-;_-@_-">
                  <c:v>545713617.31322229</c:v>
                </c:pt>
                <c:pt idx="10" formatCode="_-* #\ ##0.00\ [$Kč-405]_-;\-* #\ ##0.00\ [$Kč-405]_-;_-* &quot;-&quot;??\ [$Kč-405]_-;_-@_-">
                  <c:v>579828026.61044455</c:v>
                </c:pt>
                <c:pt idx="11" formatCode="_-* #\ ##0.00\ [$Kč-405]_-;\-* #\ ##0.00\ [$Kč-405]_-;_-* &quot;-&quot;??\ [$Kč-405]_-;_-@_-">
                  <c:v>611892331.4701668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29-46C1-A13F-C324BD6C87D9}"/>
            </c:ext>
          </c:extLst>
        </c:ser>
        <c:ser>
          <c:idx val="1"/>
          <c:order val="1"/>
          <c:tx>
            <c:strRef>
              <c:f>CashFlow!$B$24</c:f>
              <c:strCache>
                <c:ptCount val="1"/>
                <c:pt idx="0">
                  <c:v>CF Kumulativně</c:v>
                </c:pt>
              </c:strCache>
            </c:strRef>
          </c:tx>
          <c:spPr>
            <a:solidFill>
              <a:srgbClr val="FF0066"/>
            </a:solidFill>
            <a:ln>
              <a:noFill/>
            </a:ln>
            <a:effectLst/>
          </c:spPr>
          <c:invertIfNegative val="0"/>
          <c:val>
            <c:numRef>
              <c:f>(CashFlow!$D$24:$F$24,CashFlow!$H$24:$J$24,CashFlow!$L$24:$N$24,CashFlow!$P$24:$R$24)</c:f>
              <c:numCache>
                <c:formatCode>#,##0</c:formatCode>
                <c:ptCount val="12"/>
                <c:pt idx="0">
                  <c:v>10735937.442722231</c:v>
                </c:pt>
                <c:pt idx="1">
                  <c:v>-35112354.817333311</c:v>
                </c:pt>
                <c:pt idx="2">
                  <c:v>-114111055.21766663</c:v>
                </c:pt>
                <c:pt idx="3" formatCode="_-* #\ ##0.00\ [$Kč-405]_-;\-* #\ ##0.00\ [$Kč-405]_-;_-* &quot;-&quot;??\ [$Kč-405]_-;_-@_-">
                  <c:v>-324485809.72111106</c:v>
                </c:pt>
                <c:pt idx="4" formatCode="_-* #\ ##0.00\ [$Kč-405]_-;\-* #\ ##0.00\ [$Kč-405]_-;_-* &quot;-&quot;??\ [$Kč-405]_-;_-@_-">
                  <c:v>-459183450.92733324</c:v>
                </c:pt>
                <c:pt idx="5" formatCode="_-* #\ ##0.00\ [$Kč-405]_-;\-* #\ ##0.00\ [$Kč-405]_-;_-* &quot;-&quot;??\ [$Kč-405]_-;_-@_-">
                  <c:v>-518919231.27383322</c:v>
                </c:pt>
                <c:pt idx="6" formatCode="_-* #\ ##0.00\ [$Kč-405]_-;\-* #\ ##0.00\ [$Kč-405]_-;_-* &quot;-&quot;??\ [$Kč-405]_-;_-@_-">
                  <c:v>-364030409.86894429</c:v>
                </c:pt>
                <c:pt idx="7" formatCode="_-* #\ ##0.00\ [$Kč-405]_-;\-* #\ ##0.00\ [$Kč-405]_-;_-* &quot;-&quot;??\ [$Kč-405]_-;_-@_-">
                  <c:v>-141075046.16683319</c:v>
                </c:pt>
                <c:pt idx="8" formatCode="_-* #\ ##0.00\ [$Kč-405]_-;\-* #\ ##0.00\ [$Kč-405]_-;_-* &quot;-&quot;??\ [$Kč-405]_-;_-@_-">
                  <c:v>138146609.39500019</c:v>
                </c:pt>
                <c:pt idx="9" formatCode="_-* #\ ##0.00\ [$Kč-405]_-;\-* #\ ##0.00\ [$Kč-405]_-;_-* &quot;-&quot;??\ [$Kč-405]_-;_-@_-">
                  <c:v>683860226.70822251</c:v>
                </c:pt>
                <c:pt idx="10" formatCode="_-* #\ ##0.00\ [$Kč-405]_-;\-* #\ ##0.00\ [$Kč-405]_-;_-* &quot;-&quot;??\ [$Kč-405]_-;_-@_-">
                  <c:v>1263688253.3186669</c:v>
                </c:pt>
                <c:pt idx="11" formatCode="_-* #\ ##0.00\ [$Kč-405]_-;\-* #\ ##0.00\ [$Kč-405]_-;_-* &quot;-&quot;??\ [$Kč-405]_-;_-@_-">
                  <c:v>1875580584.7888336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29-46C1-A13F-C324BD6C87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9210608"/>
        <c:axId val="529211920"/>
      </c:barChart>
      <c:catAx>
        <c:axId val="529210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529211920"/>
        <c:crosses val="autoZero"/>
        <c:auto val="1"/>
        <c:lblAlgn val="ctr"/>
        <c:lblOffset val="100"/>
        <c:noMultiLvlLbl val="0"/>
      </c:catAx>
      <c:valAx>
        <c:axId val="52921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529210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D7F-406A-823D-6CE4E41EC0D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D7F-406A-823D-6CE4E41EC0D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D7F-406A-823D-6CE4E41EC0D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val>
            <c:numRef>
              <c:f>('PL. Prodeje'!$AJ$6,'PL. Prodeje'!$AJ$9,'PL. Prodeje'!$AJ$12)</c:f>
              <c:numCache>
                <c:formatCode>0</c:formatCode>
                <c:ptCount val="3"/>
                <c:pt idx="0" formatCode="General">
                  <c:v>1852</c:v>
                </c:pt>
                <c:pt idx="1">
                  <c:v>274</c:v>
                </c:pt>
                <c:pt idx="2">
                  <c:v>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FD-40F4-A2AB-9E05164FAE4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 w="85725">
              <a:noFill/>
            </a:ln>
            <a:effectLst/>
          </c:spPr>
          <c:invertIfNegative val="0"/>
          <c:val>
            <c:numRef>
              <c:f>('PL. Výnosů'!$D$20:$F$20,'PL. Výnosů'!$H$20:$J$20,'PL. Výnosů'!$L$20:$N$20,'PL. Výnosů'!$P$20:$R$20)</c:f>
              <c:numCache>
                <c:formatCode>#\ ##0\ "Kč"</c:formatCode>
                <c:ptCount val="12"/>
                <c:pt idx="0">
                  <c:v>54081000</c:v>
                </c:pt>
                <c:pt idx="1">
                  <c:v>55568000</c:v>
                </c:pt>
                <c:pt idx="2">
                  <c:v>59376700</c:v>
                </c:pt>
                <c:pt idx="3">
                  <c:v>165324700</c:v>
                </c:pt>
                <c:pt idx="4">
                  <c:v>166143200</c:v>
                </c:pt>
                <c:pt idx="5">
                  <c:v>168746200</c:v>
                </c:pt>
                <c:pt idx="6">
                  <c:v>145164700</c:v>
                </c:pt>
                <c:pt idx="7">
                  <c:v>145164700</c:v>
                </c:pt>
                <c:pt idx="8">
                  <c:v>137550200</c:v>
                </c:pt>
                <c:pt idx="9">
                  <c:v>119806700</c:v>
                </c:pt>
                <c:pt idx="10">
                  <c:v>117132700</c:v>
                </c:pt>
                <c:pt idx="11">
                  <c:v>116049000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FF-4FAD-9FF9-DF2ABA697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7"/>
        <c:overlap val="36"/>
        <c:axId val="541945576"/>
        <c:axId val="541942952"/>
      </c:barChart>
      <c:catAx>
        <c:axId val="5419455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541942952"/>
        <c:crosses val="autoZero"/>
        <c:auto val="1"/>
        <c:lblAlgn val="ctr"/>
        <c:lblOffset val="100"/>
        <c:noMultiLvlLbl val="0"/>
      </c:catAx>
      <c:valAx>
        <c:axId val="541942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&quot;Kč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541945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cs-CZ"/>
              <a:t>PRODEJ</a:t>
            </a:r>
            <a:r>
              <a:rPr lang="cs-CZ" baseline="0"/>
              <a:t>  vs  VÝROBA</a:t>
            </a:r>
            <a:endParaRPr lang="cs-CZ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'PL. Výroby'!$C$3</c:f>
              <c:strCache>
                <c:ptCount val="1"/>
                <c:pt idx="0">
                  <c:v>Plán prodeje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'PL. Výroby'!$D$3:$O$3</c:f>
              <c:numCache>
                <c:formatCode>0</c:formatCode>
                <c:ptCount val="12"/>
                <c:pt idx="0">
                  <c:v>70</c:v>
                </c:pt>
                <c:pt idx="1">
                  <c:v>72</c:v>
                </c:pt>
                <c:pt idx="2">
                  <c:v>78</c:v>
                </c:pt>
                <c:pt idx="3">
                  <c:v>211</c:v>
                </c:pt>
                <c:pt idx="4">
                  <c:v>212</c:v>
                </c:pt>
                <c:pt idx="5">
                  <c:v>215</c:v>
                </c:pt>
                <c:pt idx="6">
                  <c:v>185</c:v>
                </c:pt>
                <c:pt idx="7">
                  <c:v>185</c:v>
                </c:pt>
                <c:pt idx="8">
                  <c:v>175</c:v>
                </c:pt>
                <c:pt idx="9">
                  <c:v>153</c:v>
                </c:pt>
                <c:pt idx="10">
                  <c:v>149</c:v>
                </c:pt>
                <c:pt idx="11">
                  <c:v>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FD-47E1-8625-ACB4FAD7FA5F}"/>
            </c:ext>
          </c:extLst>
        </c:ser>
        <c:ser>
          <c:idx val="1"/>
          <c:order val="1"/>
          <c:tx>
            <c:strRef>
              <c:f>'PL. Výroby'!$C$4</c:f>
              <c:strCache>
                <c:ptCount val="1"/>
                <c:pt idx="0">
                  <c:v>Max. výroba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'PL. Výroby'!$D$4:$O$4</c:f>
              <c:numCache>
                <c:formatCode>General</c:formatCode>
                <c:ptCount val="12"/>
                <c:pt idx="0">
                  <c:v>166</c:v>
                </c:pt>
                <c:pt idx="1">
                  <c:v>166</c:v>
                </c:pt>
                <c:pt idx="2">
                  <c:v>166</c:v>
                </c:pt>
                <c:pt idx="3">
                  <c:v>166</c:v>
                </c:pt>
                <c:pt idx="4">
                  <c:v>166</c:v>
                </c:pt>
                <c:pt idx="5">
                  <c:v>166</c:v>
                </c:pt>
                <c:pt idx="6">
                  <c:v>166</c:v>
                </c:pt>
                <c:pt idx="7">
                  <c:v>166</c:v>
                </c:pt>
                <c:pt idx="8">
                  <c:v>166</c:v>
                </c:pt>
                <c:pt idx="9">
                  <c:v>166</c:v>
                </c:pt>
                <c:pt idx="10">
                  <c:v>166</c:v>
                </c:pt>
                <c:pt idx="11">
                  <c:v>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FD-47E1-8625-ACB4FAD7FA5F}"/>
            </c:ext>
          </c:extLst>
        </c:ser>
        <c:ser>
          <c:idx val="2"/>
          <c:order val="2"/>
          <c:tx>
            <c:strRef>
              <c:f>'PL. Výroby'!$C$17</c:f>
              <c:strCache>
                <c:ptCount val="1"/>
                <c:pt idx="0">
                  <c:v>PLÁN VÝROBY</c:v>
                </c:pt>
              </c:strCache>
            </c:strRef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val>
            <c:numRef>
              <c:f>'PL. Výroby'!$D$17:$O$17</c:f>
              <c:numCache>
                <c:formatCode>General</c:formatCode>
                <c:ptCount val="12"/>
                <c:pt idx="0">
                  <c:v>152</c:v>
                </c:pt>
                <c:pt idx="1">
                  <c:v>158</c:v>
                </c:pt>
                <c:pt idx="2">
                  <c:v>156</c:v>
                </c:pt>
                <c:pt idx="3">
                  <c:v>160</c:v>
                </c:pt>
                <c:pt idx="4">
                  <c:v>162</c:v>
                </c:pt>
                <c:pt idx="5">
                  <c:v>160</c:v>
                </c:pt>
                <c:pt idx="6">
                  <c:v>132</c:v>
                </c:pt>
                <c:pt idx="7">
                  <c:v>136</c:v>
                </c:pt>
                <c:pt idx="8">
                  <c:v>156</c:v>
                </c:pt>
                <c:pt idx="9">
                  <c:v>160</c:v>
                </c:pt>
                <c:pt idx="10">
                  <c:v>154</c:v>
                </c:pt>
                <c:pt idx="11">
                  <c:v>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FD-47E1-8625-ACB4FAD7FA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3118232"/>
        <c:axId val="553121184"/>
      </c:lineChart>
      <c:catAx>
        <c:axId val="553118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cs-CZ"/>
                  <a:t>Měsíce</a:t>
                </a:r>
              </a:p>
            </c:rich>
          </c:tx>
          <c:layout>
            <c:manualLayout>
              <c:xMode val="edge"/>
              <c:yMode val="edge"/>
              <c:x val="0.86134182357129341"/>
              <c:y val="0.766579246558059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553121184"/>
        <c:crosses val="autoZero"/>
        <c:auto val="1"/>
        <c:lblAlgn val="ctr"/>
        <c:lblOffset val="100"/>
        <c:noMultiLvlLbl val="0"/>
      </c:catAx>
      <c:valAx>
        <c:axId val="55312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cs-CZ"/>
                  <a:t>APS</a:t>
                </a:r>
                <a:r>
                  <a:rPr lang="cs-CZ" baseline="0"/>
                  <a:t> Meower  [ks]</a:t>
                </a:r>
                <a:endParaRPr lang="cs-CZ"/>
              </a:p>
            </c:rich>
          </c:tx>
          <c:layout>
            <c:manualLayout>
              <c:xMode val="edge"/>
              <c:yMode val="edge"/>
              <c:x val="2.2203175666018784E-2"/>
              <c:y val="0.234657372147184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cs-CZ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553118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'PL. Výdajů'!$C$4</c:f>
              <c:strCache>
                <c:ptCount val="1"/>
                <c:pt idx="0">
                  <c:v>Výdaje na PVN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('PL. Výdajů'!$D$4:$F$4,'PL. Výdajů'!$H$4:$J$4,'PL. Výdajů'!$L$4:$N$4,'PL. Výdajů'!$P$4:$R$4)</c:f>
              <c:numCache>
                <c:formatCode>#,##0</c:formatCode>
                <c:ptCount val="12"/>
                <c:pt idx="0">
                  <c:v>75150624</c:v>
                </c:pt>
                <c:pt idx="1">
                  <c:v>78422379</c:v>
                </c:pt>
                <c:pt idx="2">
                  <c:v>77128272</c:v>
                </c:pt>
                <c:pt idx="3">
                  <c:v>79411203</c:v>
                </c:pt>
                <c:pt idx="4">
                  <c:v>80094744</c:v>
                </c:pt>
                <c:pt idx="5">
                  <c:v>79411203</c:v>
                </c:pt>
                <c:pt idx="6">
                  <c:v>65262384</c:v>
                </c:pt>
                <c:pt idx="7">
                  <c:v>67545315</c:v>
                </c:pt>
                <c:pt idx="8">
                  <c:v>77128272</c:v>
                </c:pt>
                <c:pt idx="9">
                  <c:v>79411203</c:v>
                </c:pt>
                <c:pt idx="10">
                  <c:v>76139448</c:v>
                </c:pt>
                <c:pt idx="11">
                  <c:v>73478259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65-461A-AAC5-6C463CEA8BCB}"/>
            </c:ext>
          </c:extLst>
        </c:ser>
        <c:ser>
          <c:idx val="1"/>
          <c:order val="1"/>
          <c:tx>
            <c:strRef>
              <c:f>'PL. Výdajů'!$C$5</c:f>
              <c:strCache>
                <c:ptCount val="1"/>
                <c:pt idx="0">
                  <c:v>Výdaje externí výroby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('PL. Výdajů'!$D$5:$F$5,'PL. Výdajů'!$H$5:$J$5,'PL. Výdajů'!$L$5:$N$5,'PL. Výdajů'!$P$5:$R$5)</c:f>
              <c:numCache>
                <c:formatCode>#,##0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540000</c:v>
                </c:pt>
                <c:pt idx="3">
                  <c:v>0</c:v>
                </c:pt>
                <c:pt idx="4">
                  <c:v>0</c:v>
                </c:pt>
                <c:pt idx="5">
                  <c:v>720000</c:v>
                </c:pt>
                <c:pt idx="6">
                  <c:v>0</c:v>
                </c:pt>
                <c:pt idx="7">
                  <c:v>0</c:v>
                </c:pt>
                <c:pt idx="8">
                  <c:v>720000</c:v>
                </c:pt>
                <c:pt idx="9">
                  <c:v>0</c:v>
                </c:pt>
                <c:pt idx="10">
                  <c:v>0</c:v>
                </c:pt>
                <c:pt idx="11">
                  <c:v>540000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65-461A-AAC5-6C463CEA8BCB}"/>
            </c:ext>
          </c:extLst>
        </c:ser>
        <c:ser>
          <c:idx val="2"/>
          <c:order val="2"/>
          <c:tx>
            <c:strRef>
              <c:f>'PL. Výdajů'!$C$6</c:f>
              <c:strCache>
                <c:ptCount val="1"/>
                <c:pt idx="0">
                  <c:v>Fixní výdaje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('PL. Výdajů'!$D$6:$F$6,'PL. Výdajů'!$H$6:$J$6,'PL. Výdajů'!$L$6:$N$6,'PL. Výdajů'!$P$6:$R$6)</c:f>
              <c:numCache>
                <c:formatCode>#,##0</c:formatCode>
                <c:ptCount val="12"/>
                <c:pt idx="0">
                  <c:v>9247974.55727778</c:v>
                </c:pt>
                <c:pt idx="1">
                  <c:v>9552842.7027777787</c:v>
                </c:pt>
                <c:pt idx="2">
                  <c:v>11050136.140277779</c:v>
                </c:pt>
                <c:pt idx="3">
                  <c:v>9652842.7027777787</c:v>
                </c:pt>
                <c:pt idx="4">
                  <c:v>9552842.7027777787</c:v>
                </c:pt>
                <c:pt idx="5">
                  <c:v>11050136.140277779</c:v>
                </c:pt>
                <c:pt idx="6">
                  <c:v>9810842.7027777787</c:v>
                </c:pt>
                <c:pt idx="7">
                  <c:v>9552842.7027777787</c:v>
                </c:pt>
                <c:pt idx="8">
                  <c:v>11050136.140277779</c:v>
                </c:pt>
                <c:pt idx="9">
                  <c:v>9652842.7027777787</c:v>
                </c:pt>
                <c:pt idx="10">
                  <c:v>9552842.7027777787</c:v>
                </c:pt>
                <c:pt idx="11">
                  <c:v>11050136.140277779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65-461A-AAC5-6C463CEA8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3167760"/>
        <c:axId val="553166448"/>
      </c:barChart>
      <c:catAx>
        <c:axId val="5531677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553166448"/>
        <c:crosses val="autoZero"/>
        <c:auto val="1"/>
        <c:lblAlgn val="ctr"/>
        <c:lblOffset val="100"/>
        <c:noMultiLvlLbl val="0"/>
      </c:catAx>
      <c:valAx>
        <c:axId val="55316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553167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Sklad!$P$9:$AA$9</c:f>
              <c:numCache>
                <c:formatCode>0.0%</c:formatCode>
                <c:ptCount val="12"/>
                <c:pt idx="0">
                  <c:v>0.39</c:v>
                </c:pt>
                <c:pt idx="1">
                  <c:v>0.67666666666666664</c:v>
                </c:pt>
                <c:pt idx="2">
                  <c:v>0.93666666666666665</c:v>
                </c:pt>
                <c:pt idx="3">
                  <c:v>0.76666666666666672</c:v>
                </c:pt>
                <c:pt idx="4">
                  <c:v>0.6</c:v>
                </c:pt>
                <c:pt idx="5">
                  <c:v>0.41666666666666669</c:v>
                </c:pt>
                <c:pt idx="6">
                  <c:v>0.24</c:v>
                </c:pt>
                <c:pt idx="7">
                  <c:v>7.6666666666666661E-2</c:v>
                </c:pt>
                <c:pt idx="8">
                  <c:v>1.3333333333333334E-2</c:v>
                </c:pt>
                <c:pt idx="9">
                  <c:v>3.6666666666666667E-2</c:v>
                </c:pt>
                <c:pt idx="10">
                  <c:v>5.3333333333333337E-2</c:v>
                </c:pt>
                <c:pt idx="11">
                  <c:v>5.6666666666666664E-2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52-4347-9452-48419F3439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1752080"/>
        <c:axId val="561759624"/>
      </c:barChart>
      <c:catAx>
        <c:axId val="5617520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561759624"/>
        <c:crosses val="autoZero"/>
        <c:auto val="1"/>
        <c:lblAlgn val="ctr"/>
        <c:lblOffset val="100"/>
        <c:noMultiLvlLbl val="0"/>
      </c:catAx>
      <c:valAx>
        <c:axId val="561759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561752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Sklad!$P$16:$AA$16</c:f>
              <c:numCache>
                <c:formatCode>0.0%</c:formatCode>
                <c:ptCount val="12"/>
                <c:pt idx="0">
                  <c:v>0.56999999999999995</c:v>
                </c:pt>
                <c:pt idx="1">
                  <c:v>0.49</c:v>
                </c:pt>
                <c:pt idx="2">
                  <c:v>0.96</c:v>
                </c:pt>
                <c:pt idx="3">
                  <c:v>0.63</c:v>
                </c:pt>
                <c:pt idx="4">
                  <c:v>0.3</c:v>
                </c:pt>
                <c:pt idx="5">
                  <c:v>0.78</c:v>
                </c:pt>
                <c:pt idx="6">
                  <c:v>0.49</c:v>
                </c:pt>
                <c:pt idx="7">
                  <c:v>0.2</c:v>
                </c:pt>
                <c:pt idx="8">
                  <c:v>0.78</c:v>
                </c:pt>
                <c:pt idx="9">
                  <c:v>0.55000000000000004</c:v>
                </c:pt>
                <c:pt idx="10">
                  <c:v>0.32</c:v>
                </c:pt>
                <c:pt idx="11">
                  <c:v>0.71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41-427D-A450-B1E6326378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1785208"/>
        <c:axId val="561781272"/>
      </c:barChart>
      <c:catAx>
        <c:axId val="5617852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561781272"/>
        <c:crosses val="autoZero"/>
        <c:auto val="1"/>
        <c:lblAlgn val="ctr"/>
        <c:lblOffset val="100"/>
        <c:noMultiLvlLbl val="0"/>
      </c:catAx>
      <c:valAx>
        <c:axId val="561781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561785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5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D7F-4270-B58C-EB34783F2F00}"/>
              </c:ext>
            </c:extLst>
          </c:dPt>
          <c:dPt>
            <c:idx val="1"/>
            <c:bubble3D val="0"/>
            <c:spPr>
              <a:solidFill>
                <a:schemeClr val="accent5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D7F-4270-B58C-EB34783F2F00}"/>
              </c:ext>
            </c:extLst>
          </c:dPt>
          <c:dPt>
            <c:idx val="2"/>
            <c:bubble3D val="0"/>
            <c:spPr>
              <a:solidFill>
                <a:schemeClr val="accent5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D7F-4270-B58C-EB34783F2F00}"/>
              </c:ext>
            </c:extLst>
          </c:dPt>
          <c:dPt>
            <c:idx val="3"/>
            <c:bubble3D val="0"/>
            <c:spPr>
              <a:solidFill>
                <a:schemeClr val="accent5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D7F-4270-B58C-EB34783F2F0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97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(HR!$D$30,HR!$D$41,HR!$D$52,HR!$D$58)</c:f>
              <c:strCache>
                <c:ptCount val="4"/>
                <c:pt idx="0">
                  <c:v>TECHNICKY USEK SUMA</c:v>
                </c:pt>
                <c:pt idx="1">
                  <c:v>OBCHODNI USEK SUMA</c:v>
                </c:pt>
                <c:pt idx="2">
                  <c:v>EKONOMICKY USEK SUMA</c:v>
                </c:pt>
                <c:pt idx="3">
                  <c:v>SO SUMA</c:v>
                </c:pt>
              </c:strCache>
            </c:strRef>
          </c:cat>
          <c:val>
            <c:numRef>
              <c:f>(HR!$E$30,HR!$E$41,HR!$E$52,HR!$E$58)</c:f>
              <c:numCache>
                <c:formatCode>General</c:formatCode>
                <c:ptCount val="4"/>
                <c:pt idx="0">
                  <c:v>67</c:v>
                </c:pt>
                <c:pt idx="1">
                  <c:v>10</c:v>
                </c:pt>
                <c:pt idx="2">
                  <c:v>6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D7F-4270-B58C-EB34783F2F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97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k-SK">
                <a:solidFill>
                  <a:sysClr val="windowText" lastClr="000000"/>
                </a:solidFill>
              </a:rPr>
              <a:t>Poměr nákladů dle úseků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pieChart>
        <c:varyColors val="1"/>
        <c:ser>
          <c:idx val="0"/>
          <c:order val="0"/>
          <c:spPr>
            <a:solidFill>
              <a:srgbClr val="66CCFF">
                <a:alpha val="99000"/>
              </a:srgbClr>
            </a:solidFill>
          </c:spPr>
          <c:explosion val="7"/>
          <c:dPt>
            <c:idx val="0"/>
            <c:bubble3D val="0"/>
            <c:spPr>
              <a:solidFill>
                <a:srgbClr val="FF6600">
                  <a:alpha val="99000"/>
                </a:srgb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5C66-4822-86CC-BD1B7E6B8965}"/>
              </c:ext>
            </c:extLst>
          </c:dPt>
          <c:dPt>
            <c:idx val="1"/>
            <c:bubble3D val="0"/>
            <c:spPr>
              <a:solidFill>
                <a:schemeClr val="tx1">
                  <a:lumMod val="50000"/>
                  <a:lumOff val="50000"/>
                  <a:alpha val="99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5C66-4822-86CC-BD1B7E6B8965}"/>
              </c:ext>
            </c:extLst>
          </c:dPt>
          <c:dPt>
            <c:idx val="2"/>
            <c:bubble3D val="0"/>
            <c:spPr>
              <a:solidFill>
                <a:schemeClr val="bg2">
                  <a:lumMod val="75000"/>
                  <a:alpha val="99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5C66-4822-86CC-BD1B7E6B8965}"/>
              </c:ext>
            </c:extLst>
          </c:dPt>
          <c:dPt>
            <c:idx val="3"/>
            <c:bubble3D val="0"/>
            <c:spPr>
              <a:solidFill>
                <a:schemeClr val="bg1">
                  <a:lumMod val="85000"/>
                  <a:alpha val="99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5C66-4822-86CC-BD1B7E6B896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'Roční Rozpočet '!$B$29:$B$32</c:f>
              <c:strCache>
                <c:ptCount val="4"/>
                <c:pt idx="0">
                  <c:v>Technicky usek </c:v>
                </c:pt>
                <c:pt idx="1">
                  <c:v>Obchodní úsek</c:v>
                </c:pt>
                <c:pt idx="2">
                  <c:v>Ekonomický úsek</c:v>
                </c:pt>
                <c:pt idx="3">
                  <c:v>Manažment</c:v>
                </c:pt>
              </c:strCache>
            </c:strRef>
          </c:cat>
          <c:val>
            <c:numRef>
              <c:f>'Roční Rozpočet '!$C$29:$C$32</c:f>
              <c:numCache>
                <c:formatCode>0</c:formatCode>
                <c:ptCount val="4"/>
                <c:pt idx="0">
                  <c:v>78037995.81410256</c:v>
                </c:pt>
                <c:pt idx="1">
                  <c:v>10856198.761538463</c:v>
                </c:pt>
                <c:pt idx="2">
                  <c:v>5343132.653846154</c:v>
                </c:pt>
                <c:pt idx="3">
                  <c:v>9451868.9538461547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14-4CA9-B80A-F24954E11281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076579225229667"/>
          <c:y val="9.6682074120859995E-2"/>
          <c:w val="0.47807063418299928"/>
          <c:h val="0.7914437191297659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F66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C4FA-4B08-AA66-5945608BC92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047-4055-BEDD-9824CFEB4D3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047-4055-BEDD-9824CFEB4D3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047-4055-BEDD-9824CFEB4D3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047-4055-BEDD-9824CFEB4D3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6047-4055-BEDD-9824CFEB4D3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D3F-4C02-8314-4FB83B346DC3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6047-4055-BEDD-9824CFEB4D33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6047-4055-BEDD-9824CFEB4D33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6047-4055-BEDD-9824CFEB4D33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D3F-4C02-8314-4FB83B346DC3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D3F-4C02-8314-4FB83B346DC3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D3F-4C02-8314-4FB83B346DC3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7147-4E60-9B3D-DAA3B14EDBF1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4924-442C-B93E-6B4537AE325C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4165-427E-94A9-168E9245F49D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AF3B-4290-9B95-D2299CD0E827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5CE3-4C23-A39F-2C66D4D5E3AF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0783-4B11-9CBC-6064CAC75C87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C4FA-4B08-AA66-5945608BC929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CD3F-4C02-8314-4FB83B346DC3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CD3F-4C02-8314-4FB83B346DC3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CD3F-4C02-8314-4FB83B346DC3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C4FA-4B08-AA66-5945608BC929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C4FA-4B08-AA66-5945608BC929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4FA-4B08-AA66-5945608BC929}"/>
              </c:ext>
            </c:extLst>
          </c:dPt>
          <c:dPt>
            <c:idx val="26"/>
            <c:bubble3D val="0"/>
            <c:explosion val="33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C4FA-4B08-AA66-5945608BC929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4FA-4B08-AA66-5945608BC929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C4FA-4B08-AA66-5945608BC929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4FA-4B08-AA66-5945608BC929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C4FA-4B08-AA66-5945608BC929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4FA-4B08-AA66-5945608BC929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C4FA-4B08-AA66-5945608BC929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4FA-4B08-AA66-5945608BC929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C4FA-4B08-AA66-5945608BC929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C4FA-4B08-AA66-5945608BC929}"/>
              </c:ext>
            </c:extLst>
          </c:dPt>
          <c:dLbls>
            <c:dLbl>
              <c:idx val="0"/>
              <c:layout>
                <c:manualLayout>
                  <c:x val="-0.49809364019302105"/>
                  <c:y val="-6.5426246754420339E-2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6576" tIns="18288" rIns="36576" bIns="18288" anchor="ctr" anchorCtr="1">
                  <a:spAutoFit/>
                </a:bodyPr>
                <a:lstStyle/>
                <a:p>
                  <a:pPr>
                    <a:defRPr sz="14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j-lt"/>
                      <a:ea typeface="+mn-ea"/>
                      <a:cs typeface="+mn-cs"/>
                    </a:defRPr>
                  </a:pPr>
                  <a:endParaRPr lang="cs-CZ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190900"/>
                        <a:gd name="adj2" fmla="val -75385"/>
                      </a:avLst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D-C4FA-4B08-AA66-5945608BC929}"/>
                </c:ext>
              </c:extLst>
            </c:dLbl>
            <c:dLbl>
              <c:idx val="1"/>
              <c:layout>
                <c:manualLayout>
                  <c:x val="-2.1766208269428124E-2"/>
                  <c:y val="0.22467578030427868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047-4055-BEDD-9824CFEB4D33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047-4055-BEDD-9824CFEB4D33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047-4055-BEDD-9824CFEB4D33}"/>
                </c:ext>
              </c:extLst>
            </c:dLbl>
            <c:dLbl>
              <c:idx val="4"/>
              <c:layout>
                <c:manualLayout>
                  <c:x val="-0.12061576219180577"/>
                  <c:y val="1.227436788213514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047-4055-BEDD-9824CFEB4D33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047-4055-BEDD-9824CFEB4D33}"/>
                </c:ext>
              </c:extLst>
            </c:dLbl>
            <c:dLbl>
              <c:idx val="6"/>
              <c:layout>
                <c:manualLayout>
                  <c:x val="0.20026768062035666"/>
                  <c:y val="-6.137183941067571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D3F-4C02-8314-4FB83B346DC3}"/>
                </c:ext>
              </c:extLst>
            </c:dLbl>
            <c:dLbl>
              <c:idx val="7"/>
              <c:layout>
                <c:manualLayout>
                  <c:x val="-0.11151268579997137"/>
                  <c:y val="0.16263537443829057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047-4055-BEDD-9824CFEB4D33}"/>
                </c:ext>
              </c:extLst>
            </c:dLbl>
            <c:dLbl>
              <c:idx val="8"/>
              <c:layout>
                <c:manualLayout>
                  <c:x val="0.35171868053416422"/>
                  <c:y val="-4.51116846666566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047-4055-BEDD-9824CFEB4D33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6047-4055-BEDD-9824CFEB4D33}"/>
                </c:ext>
              </c:extLst>
            </c:dLbl>
            <c:dLbl>
              <c:idx val="10"/>
              <c:layout>
                <c:manualLayout>
                  <c:x val="0.40380764125318463"/>
                  <c:y val="9.946358842959135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D3F-4C02-8314-4FB83B346DC3}"/>
                </c:ext>
              </c:extLst>
            </c:dLbl>
            <c:dLbl>
              <c:idx val="11"/>
              <c:layout>
                <c:manualLayout>
                  <c:x val="0.3668176283139617"/>
                  <c:y val="0.22793739015114681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D3F-4C02-8314-4FB83B346DC3}"/>
                </c:ext>
              </c:extLst>
            </c:dLbl>
            <c:dLbl>
              <c:idx val="12"/>
              <c:layout>
                <c:manualLayout>
                  <c:x val="0.31133260890512715"/>
                  <c:y val="0.6838121704534402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D3F-4C02-8314-4FB83B346DC3}"/>
                </c:ext>
              </c:extLst>
            </c:dLbl>
            <c:dLbl>
              <c:idx val="19"/>
              <c:layout>
                <c:manualLayout>
                  <c:x val="-0.14731268404386608"/>
                  <c:y val="-3.0458553953820348E-2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6576" tIns="18288" rIns="36576" bIns="18288" anchor="ctr" anchorCtr="1">
                  <a:spAutoFit/>
                </a:bodyPr>
                <a:lstStyle/>
                <a:p>
                  <a:pPr>
                    <a:defRPr sz="14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j-lt"/>
                      <a:ea typeface="+mn-ea"/>
                      <a:cs typeface="+mn-cs"/>
                    </a:defRPr>
                  </a:pPr>
                  <a:endParaRPr lang="cs-CZ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36243"/>
                        <a:gd name="adj2" fmla="val 94939"/>
                      </a:avLst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F-C4FA-4B08-AA66-5945608BC929}"/>
                </c:ext>
              </c:extLst>
            </c:dLbl>
            <c:dLbl>
              <c:idx val="2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4FA-4B08-AA66-5945608BC929}"/>
                </c:ext>
              </c:extLst>
            </c:dLbl>
            <c:dLbl>
              <c:idx val="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4FA-4B08-AA66-5945608BC929}"/>
                </c:ext>
              </c:extLst>
            </c:dLbl>
            <c:dLbl>
              <c:idx val="2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4FA-4B08-AA66-5945608BC929}"/>
                </c:ext>
              </c:extLst>
            </c:dLbl>
            <c:dLbl>
              <c:idx val="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4FA-4B08-AA66-5945608BC929}"/>
                </c:ext>
              </c:extLst>
            </c:dLbl>
            <c:dLbl>
              <c:idx val="2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4FA-4B08-AA66-5945608BC929}"/>
                </c:ext>
              </c:extLst>
            </c:dLbl>
            <c:dLbl>
              <c:idx val="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4FA-4B08-AA66-5945608BC929}"/>
                </c:ext>
              </c:extLst>
            </c:dLbl>
            <c:dLbl>
              <c:idx val="2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4FA-4B08-AA66-5945608BC929}"/>
                </c:ext>
              </c:extLst>
            </c:dLbl>
            <c:dLbl>
              <c:idx val="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4FA-4B08-AA66-5945608BC929}"/>
                </c:ext>
              </c:extLst>
            </c:dLbl>
            <c:dLbl>
              <c:idx val="3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4FA-4B08-AA66-5945608BC929}"/>
                </c:ext>
              </c:extLst>
            </c:dLbl>
            <c:dLbl>
              <c:idx val="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4FA-4B08-AA66-5945608BC929}"/>
                </c:ext>
              </c:extLst>
            </c:dLbl>
            <c:dLbl>
              <c:idx val="3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4FA-4B08-AA66-5945608BC929}"/>
                </c:ext>
              </c:extLst>
            </c:dLbl>
            <c:dLbl>
              <c:idx val="34"/>
              <c:layout>
                <c:manualLayout>
                  <c:x val="-0.11827956989247312"/>
                  <c:y val="-0.10731011669736694"/>
                </c:manualLayout>
              </c:layout>
              <c:spPr>
                <a:solidFill>
                  <a:sysClr val="window" lastClr="FFFFFF"/>
                </a:solidFill>
                <a:ln w="9525" cap="flat" cmpd="sng" algn="ctr">
                  <a:solidFill>
                    <a:sysClr val="windowText" lastClr="000000">
                      <a:lumMod val="25000"/>
                      <a:lumOff val="75000"/>
                    </a:sysClr>
                  </a:solidFill>
                  <a:prstDash val="solid"/>
                  <a:round/>
                  <a:headEnd type="none" w="med" len="med"/>
                  <a:tailEnd type="none" w="med" len="med"/>
                  <a:extLst>
                    <a:ext uri="{C807C97D-BFC1-408E-A445-0C87EB9F89A2}">
                      <ask:lineSketchStyleProps xmlns:ask="http://schemas.microsoft.com/office/drawing/2018/sketchyshapes" sd="0">
                        <a:custGeom>
                          <a:avLst/>
                          <a:gdLst/>
                          <a:ahLst/>
                          <a:cxnLst/>
                          <a:rect l="0" t="0" r="0" b="0"/>
                          <a:pathLst/>
                        </a:custGeom>
                        <ask:type/>
                      </ask:lineSketchStyleProps>
                    </a:ext>
                  </a:extLst>
                </a:ln>
                <a:effectLst/>
              </c:spPr>
              <c:txPr>
                <a:bodyPr rot="0" spcFirstLastPara="1" vertOverflow="clip" horzOverflow="clip" vert="horz" wrap="square" lIns="36576" tIns="18288" rIns="36576" bIns="18288" anchor="ctr" anchorCtr="1">
                  <a:spAutoFit/>
                </a:bodyPr>
                <a:lstStyle/>
                <a:p>
                  <a:pPr>
                    <a:defRPr sz="14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j-lt"/>
                      <a:ea typeface="+mn-ea"/>
                      <a:cs typeface="+mn-cs"/>
                    </a:defRPr>
                  </a:pPr>
                  <a:endParaRPr lang="cs-CZ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>
                        <a:gd name="adj1" fmla="val 125741"/>
                        <a:gd name="adj2" fmla="val -40277"/>
                      </a:avLst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E-C4FA-4B08-AA66-5945608BC929}"/>
                </c:ext>
              </c:extLst>
            </c:dLbl>
            <c:dLbl>
              <c:idx val="3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C4FA-4B08-AA66-5945608BC92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j-lt"/>
                    <a:ea typeface="+mn-ea"/>
                    <a:cs typeface="+mn-cs"/>
                  </a:defRPr>
                </a:pPr>
                <a:endParaRPr lang="cs-CZ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('Roční Rozpočet '!$B$4,'Roční Rozpočet '!$B$10,'Roční Rozpočet '!$B$14:$B$26)</c15:sqref>
                  </c15:fullRef>
                </c:ext>
              </c:extLst>
              <c:f>('Roční Rozpočet '!$B$4,'Roční Rozpočet '!$B$10,'Roční Rozpočet '!$B$14:$B$24,'Roční Rozpočet '!$B$26)</c:f>
              <c:strCache>
                <c:ptCount val="14"/>
                <c:pt idx="0">
                  <c:v>Osobní náklady</c:v>
                </c:pt>
                <c:pt idx="1">
                  <c:v>Odpisy DHM</c:v>
                </c:pt>
                <c:pt idx="2">
                  <c:v>SW</c:v>
                </c:pt>
                <c:pt idx="3">
                  <c:v>HW</c:v>
                </c:pt>
                <c:pt idx="4">
                  <c:v>Systémy</c:v>
                </c:pt>
                <c:pt idx="5">
                  <c:v>Režijní náklady</c:v>
                </c:pt>
                <c:pt idx="6">
                  <c:v>Energie </c:v>
                </c:pt>
                <c:pt idx="7">
                  <c:v>Marketing</c:v>
                </c:pt>
                <c:pt idx="8">
                  <c:v>Výskum </c:v>
                </c:pt>
                <c:pt idx="9">
                  <c:v>Pojištění</c:v>
                </c:pt>
                <c:pt idx="10">
                  <c:v>Údržba</c:v>
                </c:pt>
                <c:pt idx="11">
                  <c:v>Doprava</c:v>
                </c:pt>
                <c:pt idx="12">
                  <c:v>Ostatní </c:v>
                </c:pt>
                <c:pt idx="13">
                  <c:v>Externí služby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('Roční Rozpočet '!$C$4,'Roční Rozpočet '!$C$10,'Roční Rozpočet '!$C$14:$C$26)</c15:sqref>
                  </c15:fullRef>
                </c:ext>
              </c:extLst>
              <c:f>('Roční Rozpočet '!$C$4,'Roční Rozpočet '!$C$10,'Roční Rozpočet '!$C$14:$C$24,'Roční Rozpočet '!$C$26)</c:f>
              <c:numCache>
                <c:formatCode>#,##0</c:formatCode>
                <c:ptCount val="14"/>
                <c:pt idx="0">
                  <c:v>88330802.849999994</c:v>
                </c:pt>
                <c:pt idx="1">
                  <c:v>6395833.333333333</c:v>
                </c:pt>
                <c:pt idx="2">
                  <c:v>87500</c:v>
                </c:pt>
                <c:pt idx="3">
                  <c:v>96000</c:v>
                </c:pt>
                <c:pt idx="4">
                  <c:v>15898230</c:v>
                </c:pt>
                <c:pt idx="5">
                  <c:v>72100</c:v>
                </c:pt>
                <c:pt idx="6">
                  <c:v>800490</c:v>
                </c:pt>
                <c:pt idx="7">
                  <c:v>500000</c:v>
                </c:pt>
                <c:pt idx="8">
                  <c:v>2120500</c:v>
                </c:pt>
                <c:pt idx="9">
                  <c:v>105000</c:v>
                </c:pt>
                <c:pt idx="10">
                  <c:v>1898000</c:v>
                </c:pt>
                <c:pt idx="11">
                  <c:v>938530</c:v>
                </c:pt>
                <c:pt idx="12">
                  <c:v>1438300</c:v>
                </c:pt>
                <c:pt idx="13">
                  <c:v>2500000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/>
            </c:ext>
            <c:ext xmlns:c16="http://schemas.microsoft.com/office/drawing/2014/chart" uri="{C3380CC4-5D6E-409C-BE32-E72D297353CC}">
              <c16:uniqueId val="{00000000-C4FA-4B08-AA66-5945608BC9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400" b="1">
          <a:latin typeface="+mj-lt"/>
        </a:defRPr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5528455284552849E-2"/>
          <c:y val="1.8518518518518517E-2"/>
          <c:w val="0.95447154471544726"/>
          <c:h val="0.97685185185185186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>
                <a:alpha val="49000"/>
              </a:schemeClr>
            </a:solidFill>
            <a:ln>
              <a:solidFill>
                <a:schemeClr val="accent1"/>
              </a:solidFill>
            </a:ln>
            <a:effectLst/>
          </c:spPr>
          <c:invertIfNegative val="0"/>
          <c:dPt>
            <c:idx val="11"/>
            <c:invertIfNegative val="0"/>
            <c:bubble3D val="0"/>
            <c:spPr>
              <a:solidFill>
                <a:schemeClr val="accent1">
                  <a:alpha val="49000"/>
                </a:schemeClr>
              </a:solidFill>
              <a:ln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4AF-4914-B3E7-B510BD317E59}"/>
              </c:ext>
            </c:extLst>
          </c:dPt>
          <c:cat>
            <c:strRef>
              <c:f>'Záznamy o prodeji'!$Q$98:$Q$111</c:f>
              <c:strCache>
                <c:ptCount val="14"/>
                <c:pt idx="1">
                  <c:v>Island</c:v>
                </c:pt>
                <c:pt idx="2">
                  <c:v>Dánsko</c:v>
                </c:pt>
                <c:pt idx="3">
                  <c:v>Finsko</c:v>
                </c:pt>
                <c:pt idx="4">
                  <c:v>Norsko</c:v>
                </c:pt>
                <c:pt idx="5">
                  <c:v>Rakousko</c:v>
                </c:pt>
                <c:pt idx="6">
                  <c:v>Česko</c:v>
                </c:pt>
                <c:pt idx="7">
                  <c:v>Švýcarsko</c:v>
                </c:pt>
                <c:pt idx="8">
                  <c:v>Švédsko</c:v>
                </c:pt>
                <c:pt idx="9">
                  <c:v>Belgie</c:v>
                </c:pt>
                <c:pt idx="10">
                  <c:v>Nizozemsko</c:v>
                </c:pt>
                <c:pt idx="11">
                  <c:v>Velká Británie</c:v>
                </c:pt>
                <c:pt idx="12">
                  <c:v>Francie</c:v>
                </c:pt>
                <c:pt idx="13">
                  <c:v>Německo</c:v>
                </c:pt>
              </c:strCache>
            </c:strRef>
          </c:cat>
          <c:val>
            <c:numRef>
              <c:f>'Záznamy o prodeji'!$R$98:$R$111</c:f>
              <c:numCache>
                <c:formatCode>0</c:formatCode>
                <c:ptCount val="14"/>
                <c:pt idx="1">
                  <c:v>19.850000000000001</c:v>
                </c:pt>
                <c:pt idx="2">
                  <c:v>32.823120000000003</c:v>
                </c:pt>
                <c:pt idx="3">
                  <c:v>34.300000000000004</c:v>
                </c:pt>
                <c:pt idx="4">
                  <c:v>35.480000000000004</c:v>
                </c:pt>
                <c:pt idx="5">
                  <c:v>59.600000000000009</c:v>
                </c:pt>
                <c:pt idx="6">
                  <c:v>62.471539999999997</c:v>
                </c:pt>
                <c:pt idx="7">
                  <c:v>71</c:v>
                </c:pt>
                <c:pt idx="8">
                  <c:v>77</c:v>
                </c:pt>
                <c:pt idx="9">
                  <c:v>80</c:v>
                </c:pt>
                <c:pt idx="10">
                  <c:v>139</c:v>
                </c:pt>
                <c:pt idx="11">
                  <c:v>334.81200000000001</c:v>
                </c:pt>
                <c:pt idx="12">
                  <c:v>375.36700000000008</c:v>
                </c:pt>
                <c:pt idx="13">
                  <c:v>532.91800000000001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6F-45DE-BBD0-52BD65799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9"/>
        <c:axId val="395907144"/>
        <c:axId val="395902880"/>
      </c:barChart>
      <c:catAx>
        <c:axId val="395907144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395902880"/>
        <c:crosses val="autoZero"/>
        <c:auto val="1"/>
        <c:lblAlgn val="ctr"/>
        <c:lblOffset val="100"/>
        <c:noMultiLvlLbl val="0"/>
      </c:catAx>
      <c:valAx>
        <c:axId val="3959028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5907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>
          <a:alpha val="1000"/>
        </a:schemeClr>
      </a:solidFill>
      <a:round/>
    </a:ln>
    <a:effectLst/>
  </c:spPr>
  <c:txPr>
    <a:bodyPr/>
    <a:lstStyle/>
    <a:p>
      <a:pPr>
        <a:defRPr b="1"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1"/>
          <c:order val="1"/>
          <c:tx>
            <c:strRef>
              <c:f>Forcasting!$B$10</c:f>
              <c:strCache>
                <c:ptCount val="1"/>
                <c:pt idx="0">
                  <c:v>pesimistický odhad (-20%)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val>
            <c:numRef>
              <c:f>(Forcasting!$S$10,Forcasting!$AK$10,Forcasting!$BD$10,Forcasting!$BJ$10,Forcasting!$BP$10,Forcasting!$BV$10,Forcasting!$CB$10,Forcasting!$CH$10)</c:f>
              <c:numCache>
                <c:formatCode>_-* #\ ##0.00\ [$Kč-405]_-;\-* #\ ##0.00\ [$Kč-405]_-;_-* "-"??\ [$Kč-405]_-;_-@_-</c:formatCode>
                <c:ptCount val="8"/>
                <c:pt idx="0">
                  <c:v>948075164.03439367</c:v>
                </c:pt>
                <c:pt idx="1">
                  <c:v>1030516482.64608</c:v>
                </c:pt>
                <c:pt idx="2">
                  <c:v>1112957801.2577665</c:v>
                </c:pt>
                <c:pt idx="3">
                  <c:v>1201994425.3583879</c:v>
                </c:pt>
                <c:pt idx="4">
                  <c:v>1298153979.3870592</c:v>
                </c:pt>
                <c:pt idx="5">
                  <c:v>1402006297.7380238</c:v>
                </c:pt>
                <c:pt idx="6">
                  <c:v>1514166801.5570657</c:v>
                </c:pt>
                <c:pt idx="7">
                  <c:v>1635300145.6816311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85-458F-9CD1-9C448727CD8B}"/>
            </c:ext>
          </c:extLst>
        </c:ser>
        <c:ser>
          <c:idx val="2"/>
          <c:order val="2"/>
          <c:tx>
            <c:strRef>
              <c:f>Forcasting!$B$11</c:f>
              <c:strCache>
                <c:ptCount val="1"/>
                <c:pt idx="0">
                  <c:v>optimistický odhad (+20%)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val>
            <c:numRef>
              <c:f>(Forcasting!$S$11,Forcasting!$AK$11,Forcasting!$BD$11,Forcasting!$BJ$11,Forcasting!$BP$11,Forcasting!$BV$11,Forcasting!$CB$11,Forcasting!$CH$11)</c:f>
              <c:numCache>
                <c:formatCode>_-* #\ ##0.00\ [$Kč-405]_-;\-* #\ ##0.00\ [$Kč-405]_-;_-* "-"??\ [$Kč-405]_-;_-@_-</c:formatCode>
                <c:ptCount val="8"/>
                <c:pt idx="0">
                  <c:v>1422112746.0515904</c:v>
                </c:pt>
                <c:pt idx="1">
                  <c:v>1545774723.96912</c:v>
                </c:pt>
                <c:pt idx="2">
                  <c:v>1669436701.8866496</c:v>
                </c:pt>
                <c:pt idx="3">
                  <c:v>1802991638.0375819</c:v>
                </c:pt>
                <c:pt idx="4">
                  <c:v>1947230969.0805883</c:v>
                </c:pt>
                <c:pt idx="5">
                  <c:v>2103009446.6070356</c:v>
                </c:pt>
                <c:pt idx="6">
                  <c:v>2271250202.3355985</c:v>
                </c:pt>
                <c:pt idx="7">
                  <c:v>2452950218.5224466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85-458F-9CD1-9C448727CD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187648"/>
        <c:axId val="520184368"/>
      </c:areaChart>
      <c:barChart>
        <c:barDir val="col"/>
        <c:grouping val="clustered"/>
        <c:varyColors val="0"/>
        <c:ser>
          <c:idx val="0"/>
          <c:order val="0"/>
          <c:tx>
            <c:strRef>
              <c:f>Forcasting!$B$9</c:f>
              <c:strCache>
                <c:ptCount val="1"/>
                <c:pt idx="0">
                  <c:v>Celkem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(Forcasting!$C$2,Forcasting!$U$2,Forcasting!$AN$2,Forcasting!$BF$2,Forcasting!$BL$2,Forcasting!$BR$2,Forcasting!$BX$2,Forcasting!$CD$2)</c:f>
              <c:numCache>
                <c:formatCode>General</c:formatCode>
                <c:ptCount val="7"/>
                <c:pt idx="0">
                  <c:v>2019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</c:numCache>
            </c:numRef>
          </c:cat>
          <c:val>
            <c:numRef>
              <c:f>(Forcasting!$S$9,Forcasting!$AK$9,Forcasting!$BD$9,Forcasting!$BJ$9,Forcasting!$BP$9,Forcasting!$BV$9,Forcasting!$CB$9,Forcasting!$CH$9)</c:f>
              <c:numCache>
                <c:formatCode>_-* #\ ##0.00\ [$Kč-405]_-;\-* #\ ##0.00\ [$Kč-405]_-;_-* "-"??\ [$Kč-405]_-;_-@_-</c:formatCode>
                <c:ptCount val="8"/>
                <c:pt idx="0">
                  <c:v>1185093955.0429921</c:v>
                </c:pt>
                <c:pt idx="1">
                  <c:v>1288145603.3076</c:v>
                </c:pt>
                <c:pt idx="2">
                  <c:v>1391197251.5722082</c:v>
                </c:pt>
                <c:pt idx="3">
                  <c:v>1502493031.6979849</c:v>
                </c:pt>
                <c:pt idx="4">
                  <c:v>1622692474.2338235</c:v>
                </c:pt>
                <c:pt idx="5">
                  <c:v>1752507872.1725297</c:v>
                </c:pt>
                <c:pt idx="6">
                  <c:v>1892708501.9463325</c:v>
                </c:pt>
                <c:pt idx="7">
                  <c:v>2044125182.1020389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85-458F-9CD1-9C448727CD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20187648"/>
        <c:axId val="520184368"/>
      </c:barChart>
      <c:catAx>
        <c:axId val="520187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520184368"/>
        <c:crosses val="autoZero"/>
        <c:auto val="1"/>
        <c:lblAlgn val="ctr"/>
        <c:lblOffset val="100"/>
        <c:noMultiLvlLbl val="0"/>
      </c:catAx>
      <c:valAx>
        <c:axId val="52018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\ ##0.00\ [$Kč-405]_-;\-* #\ ##0.00\ [$Kč-405]_-;_-* &quot;-&quot;??\ [$Kč-405]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520187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cs-CZ" b="1"/>
              <a:t>HNS - 1. úroveň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HNS!$C$14</c:f>
              <c:strCache>
                <c:ptCount val="1"/>
                <c:pt idx="0">
                  <c:v>HNS [Kč/hod]</c:v>
                </c:pt>
              </c:strCache>
            </c:strRef>
          </c:tx>
          <c:spPr>
            <a:solidFill>
              <a:srgbClr val="FF996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HNS!$D$4:$I$4</c:f>
              <c:strCache>
                <c:ptCount val="6"/>
                <c:pt idx="0">
                  <c:v>Logistka</c:v>
                </c:pt>
                <c:pt idx="1">
                  <c:v>Svařování</c:v>
                </c:pt>
                <c:pt idx="2">
                  <c:v>Lakování</c:v>
                </c:pt>
                <c:pt idx="3">
                  <c:v>Montáž</c:v>
                </c:pt>
                <c:pt idx="4">
                  <c:v>Testování</c:v>
                </c:pt>
                <c:pt idx="5">
                  <c:v>Skladování</c:v>
                </c:pt>
              </c:strCache>
            </c:strRef>
          </c:cat>
          <c:val>
            <c:numRef>
              <c:f>HNS!$D$14:$I$14</c:f>
              <c:numCache>
                <c:formatCode>#\ ##0\ "Kč"</c:formatCode>
                <c:ptCount val="6"/>
                <c:pt idx="0">
                  <c:v>630.37255082235163</c:v>
                </c:pt>
                <c:pt idx="1">
                  <c:v>3036.010691592604</c:v>
                </c:pt>
                <c:pt idx="2">
                  <c:v>1858.1976061565701</c:v>
                </c:pt>
                <c:pt idx="3">
                  <c:v>6788.4745162937979</c:v>
                </c:pt>
                <c:pt idx="4">
                  <c:v>2228.8665747267341</c:v>
                </c:pt>
                <c:pt idx="5">
                  <c:v>848.35103687812853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88-426A-9FC1-C52E47A6E18F}"/>
            </c:ext>
          </c:extLst>
        </c:ser>
        <c:ser>
          <c:idx val="1"/>
          <c:order val="1"/>
          <c:tx>
            <c:strRef>
              <c:f>HNS!$C$16</c:f>
              <c:strCache>
                <c:ptCount val="1"/>
                <c:pt idx="0">
                  <c:v>Nepřímý náklad [Kč/ks]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HNS!$D$4:$I$4</c:f>
              <c:strCache>
                <c:ptCount val="6"/>
                <c:pt idx="0">
                  <c:v>Logistka</c:v>
                </c:pt>
                <c:pt idx="1">
                  <c:v>Svařování</c:v>
                </c:pt>
                <c:pt idx="2">
                  <c:v>Lakování</c:v>
                </c:pt>
                <c:pt idx="3">
                  <c:v>Montáž</c:v>
                </c:pt>
                <c:pt idx="4">
                  <c:v>Testování</c:v>
                </c:pt>
                <c:pt idx="5">
                  <c:v>Skladování</c:v>
                </c:pt>
              </c:strCache>
            </c:strRef>
          </c:cat>
          <c:val>
            <c:numRef>
              <c:f>HNS!$D$16:$I$16</c:f>
              <c:numCache>
                <c:formatCode>#\ ##0\ "Kč"</c:formatCode>
                <c:ptCount val="6"/>
                <c:pt idx="0">
                  <c:v>2244.1262809275718</c:v>
                </c:pt>
                <c:pt idx="1">
                  <c:v>12083.322552538564</c:v>
                </c:pt>
                <c:pt idx="2">
                  <c:v>7432.7904246262806</c:v>
                </c:pt>
                <c:pt idx="3">
                  <c:v>35300.067484727748</c:v>
                </c:pt>
                <c:pt idx="4">
                  <c:v>7176.950370620084</c:v>
                </c:pt>
                <c:pt idx="5">
                  <c:v>2587.4706624782921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88-426A-9FC1-C52E47A6E1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2336464"/>
        <c:axId val="492329904"/>
      </c:barChart>
      <c:catAx>
        <c:axId val="492336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492329904"/>
        <c:crosses val="autoZero"/>
        <c:auto val="1"/>
        <c:lblAlgn val="ctr"/>
        <c:lblOffset val="100"/>
        <c:noMultiLvlLbl val="0"/>
      </c:catAx>
      <c:valAx>
        <c:axId val="492329904"/>
        <c:scaling>
          <c:orientation val="minMax"/>
          <c:max val="1500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#\ ##0\ &quot;Kč&quot;" sourceLinked="1"/>
        <c:majorTickMark val="none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492336464"/>
        <c:crosses val="autoZero"/>
        <c:crossBetween val="between"/>
        <c:majorUnit val="15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cs-CZ"/>
              <a:t>Nepřímé náklady za pracoviště [Kč]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6"/>
            <c:invertIfNegative val="0"/>
            <c:bubble3D val="0"/>
            <c:spPr>
              <a:solidFill>
                <a:schemeClr val="bg1">
                  <a:lumMod val="6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610-4EF4-8A18-634580CC8020}"/>
              </c:ext>
            </c:extLst>
          </c:dPt>
          <c:dLbls>
            <c:numFmt formatCode="#,##0\ &quot;Kč&quot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cs-CZ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HNS!$D$4:$I$4</c:f>
              <c:strCache>
                <c:ptCount val="6"/>
                <c:pt idx="0">
                  <c:v>Logistka</c:v>
                </c:pt>
                <c:pt idx="1">
                  <c:v>Svařování</c:v>
                </c:pt>
                <c:pt idx="2">
                  <c:v>Lakování</c:v>
                </c:pt>
                <c:pt idx="3">
                  <c:v>Montáž</c:v>
                </c:pt>
                <c:pt idx="4">
                  <c:v>Testování</c:v>
                </c:pt>
                <c:pt idx="5">
                  <c:v>Skladování</c:v>
                </c:pt>
              </c:strCache>
            </c:strRef>
          </c:cat>
          <c:val>
            <c:numRef>
              <c:f>(HNS!$D$16:$I$16,HNS!$M$16)</c:f>
              <c:numCache>
                <c:formatCode>#\ ##0\ "Kč"</c:formatCode>
                <c:ptCount val="7"/>
                <c:pt idx="0">
                  <c:v>2244.1262809275718</c:v>
                </c:pt>
                <c:pt idx="1">
                  <c:v>12083.322552538564</c:v>
                </c:pt>
                <c:pt idx="2">
                  <c:v>7432.7904246262806</c:v>
                </c:pt>
                <c:pt idx="3">
                  <c:v>35300.067484727748</c:v>
                </c:pt>
                <c:pt idx="4">
                  <c:v>7176.950370620084</c:v>
                </c:pt>
                <c:pt idx="5">
                  <c:v>2587.4706624782921</c:v>
                </c:pt>
                <c:pt idx="6" formatCode="#\ ##0.00\ &quot;Kč&quot;">
                  <c:v>22735.836570849933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58-48D6-9AF3-95E050503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3621928"/>
        <c:axId val="503627176"/>
      </c:barChart>
      <c:catAx>
        <c:axId val="503621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503627176"/>
        <c:crosses val="autoZero"/>
        <c:auto val="1"/>
        <c:lblAlgn val="ctr"/>
        <c:lblOffset val="100"/>
        <c:noMultiLvlLbl val="0"/>
      </c:catAx>
      <c:valAx>
        <c:axId val="503627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&quot;Kč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503621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series layoutId="regionMap" uniqueId="{7B8898B7-3DB7-49E6-9220-A10273422DEE}">
          <cx:tx>
            <cx:txData>
              <cx:f/>
              <cx:v>Počet zákazníků</cx:v>
            </cx:txData>
          </cx:tx>
          <cx:dataId val="0"/>
          <cx:layoutPr>
            <cx:regionLabelLayout val="none"/>
            <cx:geography viewedRegionType="countryRegionList" cultureLanguage="cs-CZ" cultureRegion="CZ" attribution="Používá technologii Bing.">
              <cx:geoCache provider="{E9337A44-BEBE-4D9F-B70C-5C5E7DAFC167}">
                <cx:binary>7Hvbct04luWvOPw8VALEjaioqogGeO66WZIt2S8MWZZ5J0CC4O0b+g/mZfpxPqKfque/ZssuqVJK
d5azwxPZEZMOh2yBxCG4sC9rr43z57vpT3fV/W33aqqrxv3pbvrL66zv7Z9++sndZff1rTuq87vO
OPO5P7oz9U/m8+f87v6nT93tmDfpTyHC9Ke77Lbr76fXf/0zfFp6b47N3W2fm+aNv+/mi3vnq979
yrVvXnp1Z3zTP0xP4ZP+8vo//vXeleb1q/umz/v5arb3f3n97JbXr356+UG/eOirCtbV+08wl8oj
QWRIIviJMOEifP2qMk3698uYHRGCI3g7TGkkBeWPjz69rWG6Xu7vsvz2cfBb6/mymttPn7p75179
/d+fTXy2+J+N587or6+uzcNC9Ycvb/bTc2j/+ucXA/CuL0Z+hv5LYP7ZpZfgX9yWxv9Y+MURiwQS
iHKGIhFJ/Bx+eoQpkg+bw0OKQkIfkf4K/79413f/FfifJr6A/2n8Jfz/cvX7w//uvir/9m+vVJf3
f/u3Jr9/xOJbVvfgBf/vDOE0X8xyX/9QU2DhUcgl4pILzAmKmHxmCuyIY7CFEBEqmGQhZo+v/9UU
Tu/77L6rbptP7vHCt3D5tjc+m/zCJJ5de2kWp8e/v1msu9vm7p9bw/PA8asxkR/xkIiIy5DDljDy
3CnDI8rgT4Q4ZlIKgl845Zf1/KpxfnsTHue9wP9x+CX064vfH3p1X6U/EnmGjjjFSCIiCeKcIkg3
P8tG9IhzjJAUUcQwpCXyIht9WY6vf7v9P018gf3T+Evw1er3B//0P/5nfX/3I8kAw0dIkjBCQoYh
4fC/Z/BjdEQiFMowkiFlHLEXIWhz39W3zfzb4X+a+AL+p/GX8Mf/DeD/P/9r+Nu/3912PzQJUH4E
ZCtkiDIh+C/oWHQUEoxCwRFEHQmcDCLTVyb4NQlcjnm/fM0Cjxe+Pwk8m/xiJ55de7kbevv7O0MM
jOCH7gTjR5BqI8wFxZIS8iIdyyOCJRJYcCkwJZAPHgH/uhPxfVPfduXj4PfvwtPEFzvwNP4S/fjw
+6O/zn8s+JweMSwhvtOQiQj84VkcCvlRGEEQAieQUUhDDEzp514Aq3ngQY+D34/908QX2D+Nv8R+
vfv9sd+5f/ayv60iBOwBecixIRh2RIl4Dn6AoyPYEykhU/AQEoUUj0B/tfzd3f0/W9C3+c/TxBfo
P42/RH93+fujf2p+bALgIVR8mDABZh29gF4ecQSlQYhxFEKKkOIF8rCW8fa/kH4f573A/XH4Jeyn
Z78/7A/J939/+qEBH5CPSEQfDB5IJmH4OffE/EhQgiAph5RyiD6/SL33n+6bR1f4/phzOX6d9wL8
x+GX4F/+N2A+T6z4R4lQf9D+r+rgN/WplyLUYz34o8AHyvlHtftdyD9TQn4U/H/IPr9Uyb9rN56k
yh+1E/QPLfZLj+K70H9WEP6wHfij+v1Fx+i7duNJKPlRO/GHEvQbMvJ3NMF+Wwn2R1PuN6D/JIz8
MNv/Q/n5/jzwJI38KPT/kH6+H/wnZeQHgv+H9vNwTuO7su6jQPLD0P9D+/nWyZmXBfCjNPIDYf//
Rvj5z49EPDXE49v+dvXldNHPjsf8+tVHb3kx9dcOKX3dvN2nv7wOGfmiJ37tzz98xDMx/3K47f/2
769cb6r7u0d57Wne/a3r//IaP7TkIypBlAYBT4QcpLvx/vEKtNKgZ8kYF6BXv37VmK7P4OATPoL+
zcOZJgFNZfyl1+mMf7qEwgjuj7Ag0Gp4OtJ1bqo5Nc0THH///VXj63OTN72DD0avX9mvtz0sU8BJ
DUlDwSIC2i107gQszt7dXsCxMbgb/4/eBmE6TgQriTLV+Tc5fZP0t0nSKtHHrtnOaCOmS8RVIbdn
69peyPwsJOkqycKYkVIFtV2TlKtAtirqrpr2HbHv2Pw2G9+i5TRrz33fxsVGto0qpg1P9By94eYu
EqfpdCySC4af6ejPXvHO2LnL0+zvB9eefv3rlanh75cjNv8YfPDef/x28nhg7lfv2tybh76Be3nT
g6U+fRbg/XfLfbCPZ7/8wlT/E2N8zij/a5YKku/T4bpfGOoXVfT+mYU+SMRfDJQfUUTgPMmDboz4
Qzvrq3mGR4xSzMFuoemO4UzDP+wTKjCGGIVGDFgOQtAFe/3q0T7lEZVEwNETFIaUI0l/i31Cs+zn
5vlwnALOuFA4UhQxMNAQTrP83DwRLaaqrTlTSUUbXWfitHRsNXbVVULMXhb0klWs025iX5thX/34
G47xcIzml0/m0MygEaLQ8X7x5NykZiwiylQ+0lHTpbwqguKKZW6Dl8+WoF1V98esyuLC0HfJSK7R
MN96upxNaZIrua/3YLmJEnjYSzKeCzKeHdx55NOTyJ36kG5pO+5Sv0lJkmviskYFUXM+1c37n+3z
N14E+sEvQcQh+Dg0yzBnDLaawT7+HEQ/pwlHSRKqhcpZY1ysm0nU2vPluhg6vKZefhwaR7UTg1wV
9bJzvAk2zpD36dR/HMNI0amTmi8m1FpUKd+SpLwphswqJ6bPQ+87zRKL4XPLRcsgPwmWJNPERtsM
zndqm4jbNMnK2NV4RUl1yAm/TyWBgalIlB/LmHXSxaQt83U0VURNvWR6RuOHQWZEZcWKR+nt2LBK
8a4UEHXC40AMb5PmM7lhzZsRNXdURCrPOql6z1Cchl2nSgoL7nufaNrlpaqFGgL5eUZ1oPssOPhk
PDc8OCyeFu9y0pVntPBn3n2cehTqucK9zl1V6aBeUkXEZeSbSI+dOSVWfs59vWurJd00aZDHZSuv
5dC9bz0r9kGUn48XlNS6dnUTJ9YsaonavUN+1G6oToQnuqdZrZhFh4czLXFaYxaX9VidFa7pVTQQ
1cPJW4369MHsk+3St7B/RSn3eTeOp2Rq9kSklWr7SHW2qpUMm3xd+UyltKQbv0SpqpJhiYOseABj
x0rvYt7mx96lwVbmxp+mYVnrIE/mDa3pohmx69ROSLVFOa/K0G+acEnW1bysg8yWquW4ik1R3cx+
zGJLGdGsm0PVtsuVzT+ytu+UJOmlbBOvRFGUCtq452U2auSE23VporuaFor1rUrT7DTsyCYw6HrM
rdNGchl3HF3mvrdKdEO0W+xqmddrMo3FMa6DRC9Rt6g0kwfSiQUwikpdTDbQPrFbimqvIp6I1SzZ
GtGeK4PbQiOrO6bduFw1U1+oOirfyMocV2n6sSyj93MafEgY0migdsUKJ/TM5q1ln+1oopgFuY8H
jnemM29o5/ZM2E0w+S0KSnJKCEqVbBZYQF+d+2naeZYVa0qyU2fTfU3yHUuS2C/THCe8vbR1hFUW
skp3Yv7c9ulKTBirGVGqxFmVmJtp4Vi5acfr2BIzK5kmo2aD6NTkEY/xdJgD26nG9oOapqXcFq7L
ztKWn8y1BNRmk6567HO90HCfzMvxEARc5U2O1x0KVU/mYZsmaN0303A+ecXrQsFhtn3U+fdlVLhV
6qZJzUV2neN8UeNU3TJHqaY+UGNdH8NhlErPAt2kfRdnTYM1Gt2OmiE8dGV50oZNuBqJuTFYnE2C
Oz2xqF1VEmyqrrJKlRO7a0rfaN6mYYxE875CJKb8sPRiUI3s6tjgS1l3Rs89GuMiao+FyTudTQHe
QobSpUFGN67zsJ7BqLaq1km0jBvDu0vD29VQmnZVeEkVM3RNjI+AuASLagLm1IN3lJPpVILJoIwZ
1+JgBn5MCF8UlmCwqGuN8mg+OCNOPeFe87m5zOpkL5rk85KWpZoo/lTZqdJ11Uo1ZGzQPu/SuB26
DUlJtZ54HyjKBoCPsPWS1EUsaeN0YZWtQ4iKMrGxrOpE5Ul+mRqqA5JmKmk6q9tgPE/6XAk0X7qg
JrtumFekcSuwjEWbJIxWeC41EM1+Z6P8ajRTrrgl0PFNgK4ZG1MZfSwx7hQvML/GFmzsk6nQBxuI
FNyvTzZF3U+aOn/mUvuRkOR90mHyBqVzpVKWuHjiSafpnlbLNekborsCiTgL3rB8+BhES3jBeXSb
FeDWRfI2p7DBtYgmFQR9uLYdX2Nu33YBd+t+aM6Chp/kY9rrnk9vEA2KuL4JBV3iSGajSkOzJi1A
Ze0Iu2JEr6sgw8ov5c24+OLQoUotAr8pZ3PNhAlV2kV4I5vdbA5dP6QqyOihfYstGJcxasTyXU0i
2NvZ3E65hcxhu1YNlVE1POfYU2t0X0ddnAhuNI7eWl9PmrO0innGbwuM3/mqqVRSyFrhqcXrhBUb
u7SzLonddxHr1y2aLhor4qpqsZ5KYB9dP28rk2yHyr7veBQ7a4Lj7tAsSbLGWdupsUFvRdF+dqQ6
a+d6t6Q5UyLJgCfQ+qI19a5akvc+qMiWecs2ZR7FvlnMuoyCz2MubwqIGmrMl8tmWJJdbQ3ZyMQt
mgeu1S60yjiyrCfww2hJzL5NbLEGWleo1r+XWLz3KAp0lIkaMifd+b6LdF/yVtGWp5qEpZau17UZ
PpjaTDs5ZW/C0kabJcqP5yQUK7TwRkXjvqtPgkwg3fli0nmbX08oe4gEbR/bMVkX6ahFWdZqqKsL
NE4jOFS9DqNuUllAPuZVpQqTHjrhNaStIYiuIFXq1FKdV8OuKbOYujBXuC4iHVlqdT1PEGFHsUk7
GigXkfMCdpC2EX9DXV8r7mmkemdMXJVztsa0CPTsCnBON++pIVR5ByZkxFytiDln0zCpHONmTXg7
qKJNLiIRfOwzmcd8niKdROLGTeKymaMsruvmMEyNksM74GvwLnaOGc3AXKIoDsdKrpfWxXU0nCZj
mu5aM70xfZ2rsjZvMw6BpJ/vylAsu6qDfA+57dS3w3yST75Q3VhGG5PtfM5ucClucXFsBtSftKn7
kCJ83k0QV0qRnS7GJVqGy6RsEd6luS33gLke2wnwID45DeviOHDjLkxIsM4ortak6T8HSa8Crxjk
/6BMV+MIySIa604Nxlvtiqw/GdJNGG78PJ62ke8u8yl8m6BsUTV+IC5h2W7HRE56Xui0aSpxxpkF
jpvNJwWpjYpKp4gTcRKlVyGRl0FnIzVm9p01olIQyxTK+nfCR0wvCfs4CnEIrFuHDTurB6HHqb/D
YkpWaTjHPs2wzhpWalI2H9gkhfK5rPU4ykrJBZsYDfaitZ3mo7OrrswTXQS3ka/BLQUt1bJDaVkp
R6tGFzmE+2gsLxgbV3aam80Q5qcPiwmjZJO5aTUx9G5g4ZmX03XXR/O2NaI973ICVGaJolUBCQuo
CwnX49jobrbpQUCG3DgOeQyRy9xEy8E1ybCZM/fWETTt3eS2shzyTTVn5RYl0Y6kap6sXycjbeJN
QToZZxFEFtvJdD348mYaS37ZtZs8AOLDWDCu7dSxS4rFoPOpCE8gklwWUQoBGSdp7O24Y33A10C2
r12F/LpbesgLuL3KaGi33k7FCa9NGs/Jkh1C+clEksRC+kktYzbsc079Hk2erDpYjXJxtnTAMKAQ
QW5MVRatZbSkWmBi1UQaGpM+/BTmY/12Tj67gbtNY4ZIV95XW2CoQ7CkJ3PL/H6Z3CroeRPTLi10
MLnd2Fc2vgLGi68gXe/CIQdTY9N8vFQlVQ1brjwlwTVIH6tcUHdDaR3FXSHdeua+2wJkiSpK3sUC
uF5WJFBKMR2Ukmo71ZGqgupdJpv3jV0ihabrPiskfCemJysMT0tk+lH6ZVZz0t4VDGSLhizdKh2T
9D2p7X3ZDv15Vcr2EJT8JCjDN5DvlpvWWW0WVGtmm2I1SEl0lHKueR+e1gZNm2mi1QHLGfwKZW5V
GrdtkmnUc4YPyOMIeJ+ZY4raWzSSGSo8H+0qQ4ADkfEST+LEhmZep6zDOvXRoklKVRIYDvWYBACJ
NpCaxLgpGrXkflRFwsNtmpPLxbvlhPlxX+Dwg4nCdb74XLUoFSojUatyKMG3bTA3aqpGuaJJpYIl
sir14d08UqdtkXptyuiGUIhOtu098PnirDbZAYq8KkhP6r64YQljh6bKtyFxQFMRqmMaAKn78oPP
dFyPrCEqGT3XI+LnQ4nMpi+ZGlu2pm42J3x6T3s3r0Q6Q9WcbyUyb6u5D1XN++jAeF5CEbJshhnf
ICgc1mVSwbsuwVVn23DdUbYu5Sw3QTMr64tIzY7Wb2bM032aTq3G8BzTlZDmCsgFIwKaFBUoUKXp
2lOGkreTSfnFbLq3ruF7MwR305SFOxEcp021HMaF3wUVpJ00ME6hofKqouECUb5LISoOZ3k9fwok
w6prJXC6JZf7YezkPl3EDZFps7bjksR87K4nm5/VUAJoBBxzampVeFYfSlkWCpzHNku0DosRttB7
uQpKs7Ft0kLhmEFIC3tlEnluuixUOPeQ50N7oL4k2rocbRxa3vsk+2xmYMlmzO+hjushjANVgLOe
clUN07FFVaTg8GurBzcy3dZVraupDTSh9rSohI3nPhnWvp8wEMrFH8pIDJsAhXaXeXD9VDTkwFJ7
KPMmuEFT1m5EMOD1QEi367Ns0UNe1ru8yyvlCyjYKPf9ofBFtrJLx3UbDt2qbjwQ6mSwpx7bTQrR
mMOWel46IEhyVuVAxGqAyqTrR6BSMxYqSc0pG4ZrJ8l5CD6p8JCdD2lerMcamD3iw7omMxSwfXca
yOiKtIHRIv2I0wONRKGqOVkNVF7jOb+jCyq3BtP1Mot3vujtrr1rbQsJO5jRDtIguHDD1ZL054E0
2Taq6wPUxE0syxSYeSsa5VtV95iv2mFXIQRxsxn4xhPFkjBfN1V/V8LGhz4DxjdcEerEGVC8nIf+
4Oeg031otKwqEBlmcs6j5raXItMDa72Gg/vhZTnsRmQc1NdSjWJWjC2nPcpuWN8/UDZ8LFuzHfsM
bWpfHdNWfIKztUaRGpgHa8tWdZjNK2rRPh2W3TSIUgfZgE7LgZPY5Kham3wmG+7kFWZlemC5lRr3
ttFNwXVvpN1A/kljWleHuiqQog0whjy3u6Rp/Pt6k3FIREPUXGJIWbzNzstpvByycUU95OysE3sL
gvGJSUHZreuYEJ/pUKQYWPZNNFSgiLQLlFlRS7cDM2oBY1A2rYtNUCU3jWiCk2X0ygRFfmqLvgRt
Rsgtxm6/iIAfkjzuIZBuC1DW0wwqPJpBbdO1RActlKpRU+SbfqaAkO22XgCVBALdbaO+gaqwOSvb
CdJDmYAcgE8Sl6jKhJctDiNtwuIzS4IrPJVQjD74HJNdAK7qhuN8h1yGFLy52OSTtPu2LU67tnNn
dc+2aClLKJ+Rjz0e0rdZRcZ93YZShZmJNEo7vpmSPrwYLN5mrWGHlgfrdrT0oiB82LE6wFBmFED9
K39l8iG9slO/gXu6dvTnURewHYBVal87q5Z+cYcvNxmo6ZULfKETgr3OBlufusZtBhwGp2YpdYpH
F6dD7dc28LGA4+/nZVq7OCnKaGV7cSU6KQ++FzFyDbhWjeXO0XJD0+6dz6f6/OuPhL7rrcm0pQqF
waQj+ILJNi/JoRnH6GwJDSSQsBrW1YA3RqJB5YRmu2Ro78eSXkkqUqiRmdskUXtR5CJTqC1TnUXT
lRwVyEnzKmRYrFqZnwB9IasoMDeWgPOzeqJqNq47m0x/PBf+eJETFN601YsL3/OxP2FZibTkA48X
DGm8zDv1wHfMAQSRUBWWQZEs4hZV3ekyFU3sUpWW7Xnf8c/GZ2/Z5MZ1x30eQxME6CA590u7bLoU
XbjmUFhvdCLop9LWTNftBpH8JEWg6Zl5LBQKpjpO3Lxt0qWMOwokJnlgErciyal68PBGoC2beQml
RQW1Zd+i1eygIEvMsk7ha7HryNl8leaAUD3iNQ4w2VA59jrlVqg6C+IFdMKqBvWPVnlyyA3krsEI
DCw6d3ocRACNhAaDi04QJ9BWelvoeij3dQXlK7Vdo1wyv7fQPNJZ3fVKhBksfP4IV6zOR1etRJut
wnnCKjDgInntPwYz0ATfjK1a6qswZ7OaGhYq0ZZej47gFQ8TpwLM2Eqmq2qebkHnB8cDbmK7rFzL
sLtgQ3tHoYUEmipd5VPDd93c3jmgvl1oh0M3oW0VBKHiZmxXeauZS5ot6aByE0FWH/J6WZeEgDLB
wk+NvW3gsaeCW6fqJhoB12JU5QLFF2ge51Va7EHgROtkJQgE57SvpG5HZ1YHPPUmzkFJChFfTR7c
mILxdBgF6yIH7QG+lnbbeamrquQQ/JOLpWpA5UJ5oStGFcTBM0mSRVWIwrN8fp4t8wkrKgdWNrNN
WIjY0V5xVpN30SQ/R3L42GgS8PcFaYGW+eTDOGGiRotDnc0QDUPQc+qBqayZZtU9gNzVHMRdW+vc
Dv6NAQGu7w3d27rPQFCNopMS91s7tXQtLSiSjSB5XIH8royFWqEq7LYnzW50Zb3KLeQMzssV40Wv
CCoMGFd4GNsCuANuoIgRZwsUFFbWJOZBoR1t2+OIc+D0PthP5u2cZfVeLAA06PBxG01xyp2CnQwu
oj5JFGmE5lMUgKLcFxs39Jt+of44I8OqKAwCktjuinyYtKmS4xxaJFqMalxyt+qLd7WB2m9ybbfm
+bipp+OFRSDIpFuSp/kbj+qLQZhBQd25lzwaDtxu+mn6OI5k0LyYTwbjoHYs63lLKN6ikX7goI1V
GYMAlpYXtGmAR0VtDgFoGOJqzEFYgfVahxcoStIr36g8sB+zCaKCLKYzkY6pjvJUl9USapov2eZh
IxeugI5IRcvsbSlSs0KlOG0rV2kgkkXNjk3TrzLpNkWYNZvO8Wtby3ihDiglaZNNVR2TdZ4btOag
9OqqK0/GsluNiYh2xuQ3VYXFjk8BODap49llB+5nE2MIOkV7Jvrqss0d3bulfEN5VL0x9XQadEin
PbvDrT8tiubc9eU+aMTKZXKdpzVQWOq3Sbmc2GwOTkzzKezZvIlYNulwKfYd4hWUP2JSJYb6n9gQ
CqjMa7YYiCBhRZUDCVrPqSw1MEbRz1bVANXoXLrOE3/ncb2JghCigJRrCcUPZHSaQ0IczsfFSSVI
KXQZjO2DXhfLCWzLFCAPlVPxILumfMNb6AQMlahhr3oDclKQKWjSHgxmGloicdhHpw0hd3kfZTpI
RgdSTKo6xu3WusUoIYBzG2h6a1GLHPR4nusiBDKIRIGVyZThzaiY5FaTpOYapN71kPhBUXrCWygB
uwiUgSrvS93A3eDWTNnBLFs+9fRYAhEsqvzENhlEd1N/zMe8XUOiu5bGBFC8dN2qyZpZD0NTqrRh
m9ZiyGslbI9EH5mPk27kKl1O6zbalgtqjlEOsAaZv+jIUmgJmamj1yiHQhYRB1GgoZ87vmyCvMw3
YPsgNqWQGqICOk8DjXZ4gQK1Ho1iuBBqoj52LajpgvomjtL5Uoh55ZMWwp3LL+bF5RoafBAa64Ws
EDVbAXJAI80EuJRSSzEMJ3Xqrhtm90AiYftMpaF3i/XcbrtALLocU2ixMOi0FxjXa9QUEM792Wy7
U2unTKd0ec/D+jNx8l3XQR+Hj8UKCygOQpmoJa1bnbLhWo74nc/sCno+bDPm3ZmD0qzp++u5hEbi
vHSptgt0a9LpCiSkLfdih6HJocOEdrqmCTjjEGqZhZecmbelZ4EqyKcowy6e52zclAydFw/FhXF+
XBP0Di/1vJ+CZSXZEDcFGDVzdt1nUCanJdYgcAb7NOg+YFGDhjdXpZ7qcAWMBzgmHfy6FzM+iXS6
hsppVLPIs9VMzelS9zeLxfPOI7RLFjZumwa9T3Jijz0MhAK2YYaa2yZBq9qwPzcTzlQ+4nJFw+Jj
1+dNDMcwZExBIp7Dk5KJeU+KcbcUstGRcAxsCfRNns+5Nm3wYebo/1J3Jkty41qTfiL+xgkkuOkF
p5gjMiMnSRuYUgPBCQAJEgT59O2hqt9u3W673b1tM1mYokqZyeAAnOP++cmM4xsda1as7tRh9+C3
pUFdrto42pF4+YzixZxsaNMpDGboIdWM8oK/Oa3HCyaKwKt/j8pLbqEI98GCH93b6uq0BnaL9KHT
tuHei93XtsGqGEII750kxV6oy5naWzXBF2FsHk90DVVeSzxgwYITXUO3S2fV5thToQ/huYW9Faeb
R+EiUv+4SkpPE3QebC8dxNiCq+bd2O2qNh6Vqq2+OINKbrGwIdoc2ItV01zm0OkKSNaofFy/iLh9
bVZ1b0Z/y+pY3kXN77VBre+7Tp4026tvRy+tWwF/wkSfLPQyB7oIDkK+ycZGaYCTnmM//S2i+Gll
aOEqYXGi0NkvFRoQzqJp1ya0QC1S75a25Zk7bM9qDQqWoN2wMpoO29hA95XnaYEcvMB/S0mn2nLt
uxwjM+aijvqhCGnvHVdUF02FB4ZPdsnHMfj0h+Ft8R7agqjnbIssbqg+Om69ym3CjtvaBHsYC0/c
6bO2EujtGgsRuOqWXM/G35NEHsxUn9xK713Z8bSvqjpXw1n1y1gEMeS4JSjqbaW7cVQnb5pI7lro
mOMU71ndvUDQauOtIG6X9y13c+n4NhWsOcUTyzxN+C6K7VOyiLekFTx1WGAL1q+p29By6lqOAnvf
2/UOK2/OLJ2fjYQRN9VvhEafrkStEVlPo9huIIRGNlMda/MtaGiuLqwPnP0QbAxuDsgGM7tb6mhx
x338WdPq9zxfE4lP0PDNT2UAVWlgNl/R0KVikCc1dOFl9Tu5W0eX5j0Zf8bd2KcToIZ5CnBhqbxv
KFzp9OTPhhebWD7czap8NCTD3rOk9jL2i0qnZHk3A2FQr+PnucPJj/n4U/r+a+f0Ke2gvbRr9GVY
saCNcVdsZO13q6JzmnSoGfoWDr/XNu/dZvhBJC5J7SgP7Vb5JYPVXtZ2OEKah1KCvT2LxdTtqsaD
AcbhZ8ckOMQ2GrMqbuOSNt6185xb8qVsfTg+HZtZYWs4p3GL5x4d1ZoNie7ySet32s+/3AYH1M6A
DdzJfhud9aWHAJWtycw+wu0h3XgoyRx6DyWvr9YNj5GF2YpeUaVQB9tyDKIkrZX48rxVLiou48FL
W+27K5cg2+pxRyyvQBUMJRmdN6ONQotATOGO8XhIKnWf7HSbhfd9eOzaf2iSv/mlv3GSvwCyf/JN
/8Sd/sf/R1AUBbXzn6GoP2HFf02IeQBxjy/4i4pKQD8lYGmiEHN0gDEFGDfyFxflkP8CC0WRLacu
wuaRF4AR/Bvce0RTqOsS3FIPYurPxLL/BqO8/wowTiuiYRR4mJMEDvC/abB/O++Yzfb3+3+Ce4+J
Supf4B4J4xCil4uUOwbR4B3F4f0T6mnxdIxMCTft+mXdm8BGBZsgII3G52dM4uBngFFBKefYvEis
l4v4hm3LwcI2EZHG27Ze7aqWs9xUlf7jLP4/HRvQMB85cf8xDARn8X8BjsDXKJhyGpZ+Dw+2mlHr
EChxA1/dZwlWBcqVP6TNEjQPxCSGFGacvRgh0yQrBXHhTjQHxdOeqybw8v/zwT2u27+fOAIc08OU
JFBl+BPj4v3zxMmB1JK5LZYKhZ0h1AHJ3M2MVyYoKdavC0S6axMkfdHCPcor5YQvrUNyQd4MCs3r
PH5XnQ1LB/vHeSRHBm7tTbJa5rGHrikYmgBqgq4OVkHq1wufi61baF6vrt51IRwWZ4mOgeXjzqHO
wWyCFpGBxZB6KjkH3sJvf16SpEJPELgBGqmB/F9Ogve4Av9295AEvoLr+kD8AlCkD/rtH9gnwIiI
TRXE4L9+tFu5h0DmdtnkB4/BPoxLDekjfPWTKnjDEnjyUBAf3KXbDn8+Ta/d+jKxZHxuG8ZLwr2/
BkL9R/6OYLTfvx8hZsrhMfEwZAPTHOIID+Y/j7Ceo7jhoyPT1RDowEs9J7uqkhe4xdtF+mNYqphC
EqITTi2X177zusIQz6Llb5fSdqsHPMSX12Yb+nzTUCGsndeTaFfywuv+MxmjWxfaJ6Bh42FM1vhC
nO4paDvvngR8Vy39CvMJpSG2DX1bmCVZQrq8gfmWcV9UZ91s7VWhrHpzPXHcVAxVb578Ayrs8ezZ
KgMN4n0OfHsD3WduEwQMCumpZAFaIJWQ5p60Cd+HFSQmmLs57Nz+NZi37a8RB//5VP5vdzygzsc8
nijEooXV6nGq/3GxQxvKfonAR3Bsosbtprsm9VToGj3StqIKUuSJCU88oR8I0C/L6qZa/dsd2HKb
I73v2klCA04asWNjcleuHC99lHzD10IxX9fxAqf6U25CXzyrg2IzAzZP+JuppCHaWJiS/7ocC3zF
Q9J0ougGy1+sP6kyGudzGDpgoJZzwGvyVI1FtxHYBVAOY8pehQmGr1u8Btms1zHdLGvLRflTSaET
lK04uIGj73E0Phs49rex71/qzYWIAgjkyrX4mXT2raPWO1Zkrv4aG/efzy/muvzbzRpDdgp8TL+L
MR2PEgwHe1DW/zjDPa2jBNVUm3pLs+WrjYJ0nJKrtf7z0IJCcLwNmtdK/J2kEG59Dl9ou7IWFXk1
nWsZupkDQPu8Ku8b7RPAlKa/KPJjRHd+YbyHrCHjOF2XrWjqJL502gfa4Dl+DjH6c6yAFcFfDQGx
+L/540HefPbVLpAFY/g/m+c5KSftrhXAbMAW6VyoZDxHg58GkMIy1iiohJ53lsHon2bI1xyiXjy6
TrZJcqcNfTNwEPzW+TYABdkr6dPcjs3bOLm7Sg3HYC7aPuIFIX6Ahqa/zqDplrUYeRM8oMx77LaX
mlOVe2F8AuQBMyNIobXceb88q2RDfbQNZz9CHRWyoAha+tk1DS5Z99Ly6sNBmelBp3A6lWL4hUrH
ynvT7fgSey+bguuPQUgs60DTQQFD6+g3z31kvsv1rvsJMCSWXQ3J5Nbz32apw3cv7NK491KMFiWn
LfGeqOM0h8Stk0wZERyA2nAotGS6jGKyJawAoIZSi2chLr5Lmztpb5DPpu2JGRrnPSRSKC0mUoUn
cBBYBTyUrnUM6oNCdySrX3jVIp98t9op6nxfejcp9bje2nb1b2gO/34hvgu5mcBqQle0j02/ffFh
U8TDzHMb+qCyNqBKSRVWd82bpZgTrm7xWjW7YPDI2ZMadvcgngjx6G6ZSb0DT8SeKA1QD8ed/vD4
9pt3lP5ckiYDK0L6yL9qx+O3Py/JxMKdXXGWKwYwyDPsbHpWBWkkwqjANwAZohg8IP5YciVfULa2
4a+w/VCy4jz1e3Vo7Vr9VKz72iSz/FYTvaROJ8FI9zVMh5AsL9SwHLRqBB5L6KvrdpkVXv+qRxgo
lUp85AKOXhfGr9w1X0OQDVfPRP5bT+D9b8EpTkAvTs40v9amLfxoCD/aQUE/m7ZyqINhNziVfnPi
5F2vQIfCEfa/Gjh/2rDfJ8lEnkcybTczQdaurLwOswiziaDHB1tcYPmkh8RsNOspWaE0SQvwNODl
vCr/BagXmlDcQ28hq77b2Jff2OA/y9VrnoKA6KxyTHKUYgbnPI2//7zTDVXkr/8x9OD8lvC4udwR
D2jLOf71AqtnCKqeY+0gYc4fz/gAGfjYxRjgK+snkLriVvnzcB5CWDOD4OCN2bWzbVK4agJHk2xH
SZLpNmlQC5JJeA1WrGWgfYMb21bwCWBnZ3Ho0vNfLySiGQ8yQLIzzIhsGubp8q8X7bN2byTXaTLg
4hjNduCFly9Mu9G+waFkteD+0TEDO7chD8qkC80phrHZcu4+w5kXqV+p+eB3MzvESfhee89OPf2K
+2osbd0+i2Udb3E/RCfSwtH3uXf2YOF9hw8sLTef9UBZ6k8b0WWIB2A3Bm57VuCOj2Gj0z/vBJ8Z
SOTVPs1gLZ3G6Gca1N65MeQi8e2fpyE86XqaDnULagpcc1W2ZBvycZb+Hsjnb937/qPAkRkdyIes
+YtaXZuJMFy/QOCCwsZWgqYvQoHmurPewX6ZjsZrp6NHzbp3YQYIRzewubblrhtL82oK3Z2dc6dL
1Fd3Wn55o/6s/UXfwGtMuUcEqkff7Y4DxY3HAIU+V1ocgf9M97aOhl007hLr63vrwNGbknuHnk4E
IRyWRE5wzN3paVwRGPCZz/aQocCET01VqooWcdh4Rw/DmrNt7X9IbMJnEPb+wV9Y4cqju3o9bGvI
qZ2p6y+ENCJz4FvYMAaPGi8V/9KZZP2GHnQSr8RMbrEF0Janx9sWbTUKBhrfk7X+ZWZcvX7bdh7U
qQPl4QsgrfX052WGyrvz5NC9B1Oy5aKf5dmO3QRucISVCXQB/tgqcmMDFBZLaCZgWzzZhZR9d2kg
L5szodKL6hCrqAiLCADlHle5ytYxNHcfoPNxDNEvh1tv7k5T9ecq6T4Miea7dOb5Do1wzevQRT7J
OE1qQj4cNuaS09qKCnYMZFrMmw5Py2gsKC5s18ksmlPthBqa9uOvf97/+RuFXZ5S6IFWztUT7Ig6
//PRmG67M7TgMRgM+D09FZQupcYlXarRPxMVguKuW1v2KF7AyXn+PhhQb+LpSHa89YCWQcQvVbCh
WsVmVPYN/DjWrct5XNtxV0XAaP7UnhvMdtr5oLVcWxh/8y+odMbdNvfvAxPxs2O3GFQ7JY+d7uef
z+lW6gCGpn+KsZFksYbvkNTx+LyZFlzPwHeeP4kC5nXwxqVCEynmImCdviXLEZmxoQSruaRDTMXZ
rJAc1WaOztDLs+8KLLArbN1l4OIVyvWWebVpYGtwVlZxlQBTqMDbRsHwUkEcwszIu0MEzdeix9qe
Almv8Wjz122UZ2xp5t5s27TraTKmTUOflWU8bdxFHPgAS3TYgnm3JNt1VK56nmh10tE8n+s+Kram
Ul8fLim0j8A3b6tQ9BhaOpYTJX0p5YCdmAbdNd5imASOEiWf1pcE7cIFT6O8V+LXpEBJt+Emct/a
7gmupsq33tUvDuFwk2310yXLWP755/3o18cqelQfevmcva0+D4M/vNSt902utYH7UI8vc1+VAU1I
jvZGQpGVzy5K0nxeml90A7w+h7em2extQEKhjtAiY1dRa69/bI3/M1gkfw3IYgoO7L5CmuSoV3Md
DWzg2FP0EnetPI8tti40IF3Fh7Ja4q91M02p8pcWoRHzJKBmnDbleukmxa4LxnuIjfSIEmW5+hqm
yWTas5soD/AGlE9V+6kFf+TXL02YNTz8FtqmOiw+2LK4RomotqkuDb0FCyxWGaPVsiLJm76vL26C
0rQbLwtv2rd1Mhdt5LP2HDwsi96wWASlZa7M5dC+N15FzhrddTrVbZUSDWugCd4D3PUnnDuzdWVk
GcmabjoN4VofFbDEpoyNcndsXS9BM8kCaYU+tZv5fMQVq8oUCYBA8KMdrprTwxt2ymkwmfHh1TLn
skZOgcnyNovn3pyjMW6KerJrsan1FkEfz8PNyYXbRPtwDss5nsRekzZtl4GVVpNj8JDJE4Ci17m6
17PHSgjnKGKFgzLNd04qoHYn5c3t3JQqXT3DGENiYyAa9R7k3vnFVkbi3vrtNG5Qmu4IxPaM6cEI
vKC4y9fWzZNtwC7QGgeG/vrNbd3mHvQ7R3dpKO8QAeIjxm7DqJM4lJkvz8OmS6sCdZpa+CM+o0co
4ajZ3F3CZzCBi7ihFcFuOPo2H09D7ZqiJvmIdj4XvhGgS9kL8l3J3tk8BH7klEfJ/I2IJM5I3/1C
XOwaRvIhTSKpYmdR+mE1AMPO64dxXU/utrfdzy1RuVNx9wy88pVXRO4HSU1uDdYw2L17WDTnGVkF
3eO2jFfc7ZRD4GfN8upBnC9I8jXG3oJ56gqeOrKwe+bJj6ZDrsAgQZa1HGVMO8bpMn4bg2TBZ2AN
9sOv6KyxSi5Oamrdl1u3/krW1gIWdrPe9d5JHyOZ0NTjiTvqAvD92V9gPvgBQkJd01+qNrkg8fAW
T0GVL5Kw3aCbW+PFpKj96PeMRaTgvlnxc1Gtrd5XEYDZww7/pV6dENeEzOWqtmNAHVaGzHa5CLfj
EE3Lozc157VbnnT7Y4nGa42Ux21tPx1o8zvUdfalF+43923Gfb9PkK7J+AZcK9FB6cKvXNSwnS/M
+LllA8DAWNcgQqLbTKw801WJNGy2TwpgWUcDEJVB0zyqK3K0nihW1a1QbNBCtQhRKNKWhg+24FNw
91Y0aC2f0rV7kN1KECyX02HhHjxUNcZI9An3Cpjooj31ShIzlNEQXImah2MHwXA2uJ2D0YIkRRql
E2DmmFhPVTUhwYul3kWQAHw8Agrr+qup251fEXsIJ5iAruqxiSTjSQdDkA4oJpvAkQeofG91Hz6B
kN4AQwduLmTyq1mXdAZSXLq6R6zuNfa7IOOT/62SrkLKjEdAnrCcVit0FiAEevXoUa2wPI2JQW8t
ILWiKsortJjdpl4rpNt61sGoDDQ9J31r0OM2Y26Q80Kpf+x7M+961bwJhyUviUGSpnH1HdwCqN5o
Sgrafy6bgKle0SCLOGQ7uyIjlLTz4dETNQ4Y/8WNcfEbPCQtIDPiOeVCORCkDbdwguUoDTymUg+b
d1Sxe2Pq7RQNA0uJsvvRYP3nMzjaOHG+i4dLIBBsS8jQnzoNp6ZPli2Devq7hraQKxdA1GQdRCzo
WTrdht0gOLEqZM9CRc8oqsB1ye80pM8WHZwvu49Nxs+NjsDqWVLlJB7FbqWoRmgg8q0JxUV3EGJ7
3Q2ZWNBMbWTbbQOFGDh5Zw74R8Joyn00VLgn19SbQVIJBrg/trKBwze3lyihS4EyKJDJlMP/UCiW
O7uHofZjwC+WwIIwHIBf6HxTfZhreiVND0vXiJ/IHN+rVZJUbCixIwDROZU9dCEceUZAQ6H8zm2A
7A3uEFhYCU4rZ37mSfxyE71hiRBtk9OmP5iHHsEiRFHaqQOLxvGdYLICeBouXsPcPci+U2va8LAu
uGaAj7194JIBPrmfAltHlnIiXyEKyNTfvmmggztA5vCUK+fQ+YjKDiQ5VJqB3w23uRBbv1eEtXch
o0LNH21UVRk8fl3SjTxThjK5Qh2XWV+QnPoM/S2p0SoPHtZGcBKw6Od05XoFkQMhwreeyoSLc4C4
KIRvr24KpDqANGItFTw0WRfXhXCWNVuo3Xum7na8fwDeiBaMdB2z2R1xDdb6ywi40Rj1OTGB59bx
y8h4QxZwmZQKFToyg/3BCfSBJstX4+RtRX6tNRx/Aiuv4SkwFUQdQ9By0Uu8cbQwcDczz3gHhFlX
oAK0HPjiI+f40fltnREJoK6lQGhc1K8zyOFlqE1K14SVURPufAgL91itz1UzoYRtvTbvIywJvmhI
vjGsZUtd8Lm5VOFgM94itEIXSOxkwFZEXWBPjd3AssKjqzT27siZDq1Gz6Ik0uCo78ER2bnNPRUV
rkCoKVoZ3/uMHDyogBEiXenDbqjpwI4N0mKK8A7ublyOehsz2gVq5/KhzRcu53ybYKIv6jLqHYbc
akDJOOsWSBCaAn2CNBRdIAuPBgtp7SO4RlqowaGrjiBd6iL27MeaYINXAuduHjkQJrRotazzVcV1
Tl1EEhY/Om9hs+RuME8F+DWZt7O/FnDTT4uHp4IqWnrdSLCeSoUN7sE/Pe7KSPS2oKH55vfmFPrd
N1HrqZTCwREQiVtlCC88lHmPOHdGo5dpBRqNYDtoE5qNjyy2r7eCk8eCBtE89HW+ICf3CAQCYfmI
CP90nXjO63p67df4ZZqHdy5mlgojELgxNofB6pUEWbx9JTMgfxW2BnYJsT+UlFlwuUu8D4XBjkkE
PHXifvqQvvJh9KpCR4+yDvDmI5v8MhlWojjFRIkocS7thN5hQx2Uio4GqaJtMS4Twsg1Yny2RqIC
qwMW/wq9lrWQTumGzLlX5ZMFRNALcG+N/+ZwFqed2oBuLbG49G6QAQPxc8+ZERKNY+doONY4Gnp4
htb5pC1vs6jqfHzA2AF4iz21r6sCGdg2w33qlq2Lr3HMW5A005FXeK7I5hWLpx8hdrS6iI+hno2y
GF+/1zVq+XYRuMCNOUoG4mlDWX3WvbxqFwAgfo2HgZmDnw5SC+a+3Yrera6o9CEHhljalxgx+EnW
WY+Fb9mwEwJIVgEEHEA7Crquxk+YIrSyyMip9etAlydXQV2poOlCiSHPerU3TltEZdwZzY4/FKg3
VwY8zedxqlrgU2w+wSQgWNJavaNIXackrIGuwJlCanMLr5DxC7Szr4lHN+hp2EtwKw2Ds4OZNuZD
DJUE/Z4+OoFEczE2MO4RkjmKDmHKqa0wQGCk4uSpTZxIzCwKcyyA45Lsqy0c98uMgDgS9rnHYrRi
PrNFA+Ykb90xKbvKpu7YdMdwGr4OuD4XG8yHloBAdoRESor7l8dwAbP24OC0yitv+DrZcT16k9Om
Kurx0Ls9EqHeEW3k+g4KleSxQmaYoL0E9Lmk2lTOE9rLet8SyctQw4w3cRE7lXf1RXuQyWpSwFxI
hnjdk42e2s0SkCTT7ypCWnqK+JX4iGKR5dMh4xXNQe6qAmXvNaHY/LiR37XrzcVIgysKjdSuskym
C5/DL3pQ3+OWg8EtowXI2qaLhsc/7Ir/FHT9nkbrgc7LYV6xUkfydR7ID1Rj9xa9JzZ200W/mN5z
OANfFW5wHYQFrcy7JsxNSRWfh36YUCngQw5WvMLi8dJYx2m0rENm3e2BLcRfm7WNEStAf0yaX3Pf
3NfBP3tNFjFxVYwUZu0gKycNnEyTGgVtMvqhlvBTGw+2ZdXI1GMSei2AkB8x5nIgAm0/vH5FJIS6
r5NG20LWg4/BCQhqsTX3kWNvUJchZ46P2SbeTx5a6IneKyQw3HdYxw1IHESzRLaAFy54hINsVp4v
GpvQNERgxWYvM7FiOUSToXXfJgmshbiPB6O+hU9GCnVkDIke88gfBE33OsXTzemfG6ZQ2QL4A0zS
APikhhzY4L50rXjvYgdSslXXsWUaRCHwi6hBWzE7Y5C6oQ7ziiH/MSDAWCMfDJHpsfmFWFfMCxPt
eCG+s+feHJWY142gWGfgoXgBACynA/ZH5HHRvEKL5/1O6sh7CC4bAMc8XnTZwlDTAKdhfwFr0yGy
sBalX7oYZPcTTDqpbfiJWseWI/+EnVQECw1v8Q9NHkpLNIUHDlk+X+u2AA4OnHREXerEj/21uc6o
Yg8N6O5CYHdJQSxhte9QmiPSyK51L39NyA9HVl8c15bNQt4n6Oc4HkwVQNwhStuWUSzVSIBzMoGw
k9UVk37AzmIBe0aMieT8aXXlfOmqGfAkvnZakZPUvD8L6eVuPXxbmJOvC9U3V/sViMfu1+JCTnDb
7wztKYpz+0WhP02pBuYi4NMXDEGv/QKtPE/qPmumGhQQtHDg82jKZbDBlvfXU6+Z88GCtowDjRqM
OfWRRMtHuJhTEgN0dYDTlLyFBDwE0331a1U63lRlDQEHP8GCPWvzhr282msJVAo53Xj6nHT9Ftmw
vbsC/VVVte+DXpbd5r8LhMtuLn+k4s2ITVLjnHTccnQ5ti5jUCBYJeZ3PqB9ZWa9Qc2udxv/Ho7Q
U2eMQ0AycMTUkOQ9FgN6IrbUOQxj3GS+Hs74/Tbgo/qCmiKqp+XTbfwsgASSdlUS5WLkL8zHg6NV
YzAgQlJwot1PTcESYObIl6Zjp6hF+jFeTlQefciKgI3is/WbL3YNIAePL1OHKSg+cCJZD85TuNUS
cDDK8HBld+3PgPeluEsfBkCiqQB/BoIdKNNq+uXIrd2FHtjFUQeQCADSlo7CPAqxLegEW2Q+wcHl
A8GNFcQhZohIDtQbqeDeW64mdo/R/BY/5it47UYQHwOXNVUJlAWKYslM+TQivIgVqykHSCp0BnUB
yzgfsPyGTH1/+Iws/BJUCmnEkLB0rXS5hc7HgMRw2vrdo0zE+Kkk+Y3ottz3q/Pmi/jazaY6wXQH
PivQIoguuI3OJZjn4zC7ZWVoOmC8Sa7HuFCMlqIH9gnPL41itB59XL0C7frSxfxRMbPfFWSZxcc+
b6YlHR2sLASVqus9g/v/IsMNe1Eb2kxjFIYzE4UCoEGlDvmMYQDJ6o0gbZ6ZTPyi8bAI4eIimwjx
GXXs1yhG7Y8jTjLDBE7EXbYBIEzCvoQaumV08epHHGFooZUFULE2saeDWvJlXQgkiaUEZf3RutOP
bhjfW6qAE2i905COQPz5GryuehJdk9t66vOaNegsDKoTRI5PxjSvEdN31KQZs86EIClh5QS/rjSq
EI/+KWgjXvo+ogD45WPQkxa/EI0QKEcoxsyMwB/8IDa53wh4nuEsC5kgyEkmzEqqFGAihBmXW6UE
1LFmw+VaJQw0aDICi65FwuMc6OYqxVBn7hpnNsasG2vVkMPsTVtIqymzCPnLNFyYAYNnurJzh3xN
PjiPn2OWeHsJSQKyxNxAmJUoMptoSZOFnUbk7gBAYPaKA6cy7KrXBM0Y0tURmIF1LPCrdJLcm7if
1bI51F1g0gogDp5fIK0u0uz4mF3uYpm/eBD2HA4Zt9VQGhcq7ZNCKKuyCJfECidp6MtGtaBkIFcn
mJby4ZS9BmkCzc/TPM7Qjty1E3+L/Ok3lgZE3jXvMgNJK01670sHXTkjEzDbpjl5MXxlZHeC2oeU
5L6usbfjgLlRmoVtSbv5K0BGDJsa2G1Z075ZkzOEUIGtColUie0KGfiase1Yf/qq83aKyN+RwfiH
2XFZMdjqecaSiKgvxrzFwNkBnaJxiBCUpKhe4YimgNnoLmqBoPv90XO2fUfq31WAXdgFI7wwb8mW
BqtTjVbM8inaI1ti0bni4R9602XBpmZ0HfBS2NPis08zwi9DCgRrBub7Y1Xb1l2ll2+NK4p5gdtH
yTAdu6096f/J1HktR45rUfaLEEELkq/pvTLlq14YpTL0BvTk18+COmbuvORVddTtlpRJ4OCcvRbm
vNhKPg6nqZ9OlTbXpE6CpiTM4LPk3vMiihQ8EEts/epFz4Nm5O+hDE0wZEYt1UYO7VGVfCdz95sE
HPi8F8A0Gf1bzJPhmlR5nkV027LzS7ypMvdnzmT6PS7UXbUFJhnTcPYpjcutSqdg09sD6RVD7rMp
YUTosdBknnWLKlPXxj9cW5THAUtLlu5nelyrqWteqfgdNmo58G4QHJUOeara8WwGTBP/slLcIiN4
yuDU9vZy8ThLbqMiIHIF6ctkqbXQjUQ2fGbTOS+lo84evOv3/06LooppY8LJzYdQOScxp+5WHeMj
MRTdyZ3BEoMyf0E99EC94VEyMR1lyrId/drcmkEndst5oSXvFz5DMQRO6zlllN4Ty2mCrOUcBIXe
hUl2aosPKqjy3I/DqXCMaQPXxZHFT3fLKI6VWn651YC2hXBvtqwY4qyiwik+s5Y5cGbdONGrIbjm
HB6htn/HaJ3mWBBPlsQPEva9Td+YyY4pdrgKYp8kVO3wiSwoVJy/HLk3rUkHn1ZIJR5KfqaRKckN
kvLo+sXFq5bvpcMv3UjCXdC4NM3kC2oeay29utrqHF/QlaSue3bymThI64tXYKd86wfVsJ39MV5z
Qi03dd78rXNFK031KwCGaB3Qkeavf5qdX0EfimXf+4PY1hUhiDQZNz7z3mPzWmdxfbXq4JjlTbPJ
ewLDfJpYTH4BKN39CU9cOYwcthrO8pnkaaOFCc/Ak5K1gLV9OQEAxOpKLkxcRh/pgIouFjFicu1R
vs5U/5SP5DgC+adoS+/kNe2vKHiJqxZPE9voKccicnWN4n1p+Fwmrj+Sz4iHmxNEj7ihw4FizPhM
reJduNYhr+tqH3RMfOu7Q921HqtxgQ2o/mTlJlbyoxVEUjoqD8d3T1a9nI3MTS895/S4/4rciEIu
JACXxHzVhskffBtpQLg+khLTUDmc2X8ueSm7jZGxVictGrgZHib242OMG23L1INwdL0WyINupese
JlXl26gf740RkqCWAIKedjsFTXiu+7E5gkAyyiQBYLtPZTeLX3NGi8zHvLTOCjd6TME+8VnuGRAb
p6xJhlOMWGxrT9MWAvYMFn8qenOFkopghNN+yJLe8VJ1a7F0N0Jwu7qo7F3ZJzb4jcJ1FpdyPZR0
hE2fQ6/hDDEdLaN8mER0VqaEQLAhVOk4wfGiJthluR1vnTi4duS/V7aIFmjLYtW2noK2FMmx9H8o
RoznbvaOXOQDfmPFE960aisX8S9Pk7s5x/uRD/bOUO0hxZOxAp/k2VjyLe0zzG8aQVksVx2Z16+X
cZn4Jfok4qpo1zXnOpt+slz56yG3HqU2axpZlu3yyrXx0PnWtW2zW5Z3fKvdDh/dYXQh+RtJGYCz
Ua1kqCk/atq2y4HFpuySFta0o5MQbtq3OZWvc5B/zWbUrmTvXm06eRtiTqSl6BGvB92VFRnyIX6x
k+d3x9id34xqNzeM5rIooS/uB6vQ37YlkcM8FV+lmYIdx5JJLEe6WAVUBbPf0o86TVlCIkI7C9xw
esSiuzM3tvaWSn8li/8U0HaiRQNaaFjMnvvqGUDu2vZZsrENRfgkp3Mqja9pSu9zJYzNyImPYDHH
QQMVQ5zO8J5Gf10c6tAoaG6GMM5G2p+8GDZGBFZxEW54Iyn1bMfRvsokZZdcPnve6AoHxir4BDyc
wmbbK9GvHGF711IOAB2F1WxMfVQFOH7vugWyUG2qip6UNTZvYjm1ffzOMtGu/MbadowQT2WLg9DV
JO2EpJEFUcsEr44TnPKJsW2bNmxj87Uz6x+JsC8J2MOWgd/rMqTlyVHNuZ/T4Cgz749yUvJwJoVu
Qa8c25JnrAmItCTD+g9pzZxUFfsvbGy8rpqJSF5IviaycSwZtMUTCD+Yv2BPtJJ4sXCeXfeSeyHK
GuxRJFL6Q9UWByOrWZOIbR04/65DsmareLLb7SiJ9hgzMiGmJODJCWIlIz/4TfCL4gxtnKwDpiQF
YSOKrlWk2AfMxah3hQNcGIud4GpVIJ95WfWO9TeXiTgkWMZWTfBjVDp7pjunJL/LrcPpCRUQW0LL
lJIigdRezz7liXsjzb2ciEHGS0DdyD5GhOBk00ai3SjOrdN8RFHAhxYiYoWh7DgvkvYJOZjEnXOi
QOExicYNHtyE8wX1WRF0MVlL92DHBz8nqlgo8buKPdA7C5dC6p5p7oScBNjRFKn61ThWTyZtzzAp
g3VfufUupTlwTvzknTcfwURkwGQPzvPoypVZTlgGC9NZu0QfOH5sQlwChArzFNFYHu8ZjoYbhuEo
DVXA+DzhIXWKczHifiEOILnxOTGvrMcz8IjFWS77mbXeR+cuWKsiG7UHZ8vOTHH4QRPGY0EFGL/4
TlRv/Lr87RfuPakdZzO0DJ3UTBAJhaES6WPolnoXjAljR4cuZC6WbE+LB8HJvxCTyp2OrKm8fcG4
NBcU0h0dYXOomE6B74fuzTcKd1VkzJoLdo4uRssl0rDZz2VLgUgeykJDyWHbuqTumG46tBOc4F7N
wv+19PlfRjDpqhNlT4IE5Ck3T5yjHNwntodzofyjGvnqTUCnQHjxiqHnPo5/BShLeYAMJvm537EM
gdClEueASVsOVuuJNvgwu2rfAOdqSJSgazZ12789VicP1em+kybTCr931r2P+M+ii8jsR7PwRsNW
E5TbVD+ujlK8bbTUZFhviZ+zhw4hnh6+Zydp32QE1OXFrN6gT0xLwkdqmaStdHHq+F+NPV1ifVwN
SFBvvX45VEZzzpb8X6Jsb9eO3W7pzm0c3uKayDQRlz9lX+2ZZ/6gMCOiNI6bAR6aCrKlm6YeU5p+
RbpXwHaUYzgyXIBVxeQluFkJ51ZiP8x9sqXYBhPwe7PUHxltRiN0yp3b0B6Pon7b21hgy84ho2BV
xcEZPsIGWJG8doVMZ2QPCspDblfnCQkXR3pgYM8YNmGkulXRW5dMjs+VAUdXd828qnr1Yw4YR9Wz
gMQPuouAnWgFfU9hU/gM8l0xJGdE9pnF/6xuig7jyJY+xF8zQDACL+AK2wt/8yC6+zAJaBDmjVjV
JF1WYs7+qdoTm7iS+8IZnipfbIjdnkVuFLvJ7Z/ZMljoMv12OeZG1vbv2cONwMFGCxQkleVE2uMo
Bj177pc3cPx+FasR+jGOP2cHVUHddFRl5pYp/aOz4r89atgFhoUkivev9FZuwweh1xbZXPtkY4vj
/MTmsGHsC16um8gG+tny0bwXzl/CTG/NaFzkSI8D4wJBY9S1jPRGbbKVaf9z7gJK1QnLraN9t1Kb
bwcUuJ124cbaiotPhExtdqYFtY1Cn4emcX8FMaUmONIhnWW89pHsFroh3pWpuRs7DLwdKt5MO3kd
5Ly+tvTuPG3sdbW7d4z8VRWoL98xfrRNJPalPVFe1Ph+JyJrENlfGcOj3YAUeFHkBCa6XKIgAdto
imwAJ+vBykKiiKbmzNya1BVtIMB9M34HN92ZJJ82guezDRm/9ABr/cAYDbSk3T4Tcf4szTBY5a6X
7ZRm3TxNvSE/PdGLT25JKp6tKdm4mpBbNCv3PQ9vwedMMLpc83QQ1PnW6Ju/TP/f+a3B3JG/WUvN
4ZlpCvZsVCFYQ2Gu19N7bQdPAfBerCm+MqB9V9busbIRilQM1VZ2ZeT7RXKgZcRbb1h2TyJiyEXd
alHMVIwD4AYLTRBaoISlZgrjoB42ie/0K0MTh4CyZBO7eJ0DIwaaSpxY/RD5vZZN9WfQ3GIU+Q9o
WDSwGmlkqV3NV9+GdGxBHoHDaz773Yfl1PHWBIs00lULJGl19Nd6sElR9USGh/7P0nDoWjRbqTRl
WYFbLpq7HIUzIYvt2VhhMkNNZw64BYA1ZdR80S18HjXFGelsMQQ7ZOc343k1NPGpNPs5awo0BAf1
NBeadUhtEVd8uebrqMlR02sfTLT6NfqS58Tfu46MLr4vdyFncqLYHO80hxoCpHredLdaCFUcE+sG
KcA3e4vWkUcFnDUHa83ER1GWLz6GWLrOC+eemac/VOdUE7GTvXU8fgKlWVmUFqVmZ01N0WZtd2ii
7Bw0FMW1bR2sWo3EyjhTtgEeVuzHa6IEd0PzuYyfTwa/+wVw19AEb6BZ3klTvTZ4bwvmSwqMpRXv
I/KCkvkrLHAqmUWE33xwWmwYBdE61ezt1FZiXSTqMpCW64akPwpNGucmI5jGfEyaQQ6KON0bnEPM
NEHpTfm/7kGWY80uL5pirqR3L8neO5pvdtCws1KqNxrw9EwXHmtgaNVhCrUn+GhXma+QAlQZKcxs
lj6DZD0nmqm2jYYu4vIa4tcZaqhra6J7AqV0HZkhr4aQ+mKpaDWg5vlUmtseAbgTQO4q2zIfzY/w
PPtFk94NyLeh2W+pKfA+YnOVvjqjgtvMYsFpNpnoQ3MrWbf9Um8sSN4zdw+gxxXDU02sf0donOVP
nFpF9eQa86vF+2J4E2HeCVC2isropvPQlUfyFana0+ILihj2QdBfB+Cd81x/aB0YeDNjHGRxoAzK
/su0F7kf/axcTzOx+IEqlK09N8hdz5Gxhov8qSIkx6koaXtnFW5AjzhAavZHnz7TSbrG1Yk2NKyZ
3aug2Ixp/CVt4i21Plg1VnfvTA5duNjLVbhY5aZomVp19cWzpx8WrqlDD+c2RN18LF31qcLiJnMc
OYs2C8Q7ij3tGqgdrAO+SAEJU3ObaiMBURFtOm1+1jrZT8Z33Wt/gdQmgwqlQez3mzxAlKRdB0v5
7tjluBtSftGgBnfZyGGfeQMe9PJPC90DvlS8uf7y0o6KAKDPf3gxmnXNIY5Ao3cctHihWF47x3pZ
tJFh0W6GCklDh6xhQtqQKHgOtoRtOJrvqIo/BqUY22HNmyKBM027H4Yhgq723j2kEDFyCHrk8TrJ
ultejU9+mK5ZKYodCFG49vlArsTEm6BIvmvrREjRtjZGClnVnMKm/3A9d7iSigjW6CmnlY++wkRj
URX4LNDUjySjcFzEyC4Gbb3w0V/4uUGdqn0YlBCrGUWG1K6Mb10I4tMPKimAMTayWps1Bu3YwIMe
71HvEJM0/zF4Y5nSRo7W+ZhQHwtpp4SkxmdTuztoF5WXwg4OY4B/hRmX7KHvjK84Lx8ycyL6zHQZ
B5WtmrmZ14KR4TbUtpAmFx8SumnneNVXEFNe2356jX2F6tXGNUIz5eBOjP4XJ15NbMa0kHCTeNpS
4jrXUVtLOvQljvaYcP0ClYZ2m9RUsdp1MrQcVXuXB2yocLCU2okitR3lWxdiZ0t9wLiCrhCHSqpt
KsRgftvoVVI0K6N0dJfxTGsxXhGxJIimnSyetrNU2tOS610bqhARTO/Rg/BHqne8Luw99Ny16yVB
+sL0JsFCiQeGO7V3gTbDDChiUlQxEwzrrkQeYxcA5vk/rqJHeNiaAPdh7ADPJmKbenFPX5/SSZfP
hRbTiIlJRp8mJ78OmIPlM31f5zcYi7gW7XSdteCGvP4bgxsGS962w4ADc3mPx/YWY8aJWmNdY8oB
Tskf2ZI85jJ1TnadvgziNgXTs6clO0ok5zib0e6U4Z4zg3esMfJgufWPE46eAlfPjL1lrZrY2JG3
8M5GlYb72WnFqtKRHmF/ZFr7Q7m5r/EAARheZmbKWg+U1e4tJ9i4dTEHDVohNIT0ZNx3V6uFci0Z
CrAN+Vo7FKbTU6JFRCm/qYGEJn6izpHLpgkJVuJvOiSROWywZJPlLBA4+UnxXGjVkYfzCCPzzxTp
s6NlSOlC3Gv2l+ukRUk9xiRk86EWKEV5dBq1UonP/rOjJUt0gnj+/GM5XRLZ73MvbXaIT1t+8++T
1jT52CcttE1R71/siXBV7uOlGIjZMLTcxvHQX/yi3YsUX5+nRVAOLhG/TfjCzKOXiDz5LOeNgT3K
/9ZIaaHUXL0lWjAVYJryy1hdZkKAZh/bG9F8A9tPtdZTOS4/a2ecyfeUW6kVVh4uq6QNqUAX2rFT
XRxjpzzwdzhEplqBpWVYoU4XKy3I4uKFQ6OVWUrLs4jFoNHSY4F66B9ZTGKWYaqeluI+1fqtQQBK
2O060WIuwhUWtSuyrh5rV0n+Z+0I+QPoJSA0jtvL026ojvGajfVLaf1X3hMfwMhxFX1yL7QirG4S
A2vF+DT1mCPsIl0PfmfsAi96KbRizK6pbyr7F55u2g1aQ2Y6CMkQrh0LWNFtqraWVpbtG60vG0sV
8NyhNBOcMRCcFZjOhDaeafVZpSVopdah+ZJEDjiYeavqX8bo/sm1Oo3rOHYixD3L90S20rXKg6SD
zyEfIMWnETAZBwzgw5nkyb4Myt8KWv04NfY2QtevO5i/ISeeOyq8XcvWutb2UFf0v1CYL4OerTce
ajC0NygzBdnhiQLZpEeymotX5mhw+nqWqebmqykqwqAB2RJbUZ3YRb7tkrRem/OXb3HoSrSaTmlJ
XYetztXaulIL7EoYjVAr7diZDy6bNoo6WrQ0wbctcsZ1ujBnTCvKM1fr8QotykPPty8x51Vmxwks
oANLmNDel/j1EA5w74JW7sVaview8C1ax1drMd+iFX1Sy/oqbe2zKaks8qYWPj/+a1ruV2nNXxhN
ByNoIXS0AjDWMkDTTq6wLXlNptHKrD8iQv3WhqeSRYfP2rI37Hul9YIAKOjCtXKwxj3Y4yCMtYsw
wkWMmjARA5LCGHsAq4IYCZgiO+SqF/KS2LcdZxu3jDVkjPDQw3xoYECsBz48Bn9twY1ohv1lFlbz
lAvD4e2jFMu65tOsfMzNuBVpKXvkptAthnTysC+aWsNInB8XDGZGi3HDPtSyRsDMV+i8v6nWODpw
U5yFrT16lmFHMxX6cET7mOJ/DGj/HyAefgiiY8SJfCu9ZbRB1v5sKqxpcXaLTEa2UxbfTRG5zkGU
oC2NpkYXx5erQNJVyfRVFKVkq8miYO8OFe8rhprHOMCKdIPxNXDQpHkUn0ib1Gun59qbzFGPMdTK
7TlDmdddw2lWZ64yQJAZ1DOaaCWY7tMfYVR7YotVBxEKmBJyQrPZnfM85hKgUjBBiqylhNDrAm45
mAoXn2L6t8g8ruAIlkmfKLOD7RIvKLvhmVNPQywAuTfUfPJTZWOHI9uZniRw+i3r7J8OY/Eyv/BZ
zo9+1vwmFxgdZ3e6uGEg7swwvmo5gdToPw2Y2mfXCs5VVhvXNtF+bzrbIYOVQwfQrqaR0KRbE81q
aOPEBG63dEBIKGbpvB0WUZ66qmotkpxRfiASH+yYYnBPT6a4aUa/fH81mEZ0aobw+r9/3gin2APi
54f0yimrfVESxGchwb/uCb6YhHCenYkkUYa/uh0csvydFe3pJ7eoAILwmHdNvFcB1QMpdBBVlBCb
wrT6O4FCVN8Jfw/yiIlLlv5qA9faUvKbW0GTFKek8KEUk/BgdNTckz8dMSRseJ6LL1L/rHUE4DKu
f3idi4W8vK3P363nvlpl8LNJEl3/WMu7nTMwMBB+3hx03u8lq9uYFN1zMnryzfL331E+xpvJw0bL
8f1/qXzTv4xzgEjZauZnnAZ7q3bLk+fqKx2a0n77//7ItncTyntvemt4FA1adrN8dvULgY7qSNjn
yyAoYc+9cwsNvzrb87gfoomYmolTVcjo1heddxtsGynGFO5KUpjnsAycY2YZr0W22HIVF/5pjJEq
h4uXX4OO6wyU6Z5NxPdnnnh+sRPrbpLjwP/fyzRk/nlIsW2aXrJsYSboUfrc6wGU5zxzS4q8mZ48
BKqw1mXRjIdElvlbDd2ehZP9PI1G/oZQ5eZko/0U+Hl8k9bwrmbeeGn05qHpxPSMk7Z+lOFHNi/T
cztz9QwuMTTrGC+vwqpAeoE52sF/rt0ixLiXhn9Mnl7fyYuTg14GZRKGb0/5+W6RXrfl6oPw4Ooo
k0duZNtRnRzSPFM/6pSN0G+KDwAz3NsBd1gAemyKODF/JMDiq6osWKXATFdzYAbk61pmV0n7yG3/
97dDg4Cexnzfkgxn/AlJgQdITOt/DohcZpZbHlRspoe+c4zL90vHh+i/r77/aDICwDpeH0yaYQcx
BgFRKJLIQTG8BXMcXf2AaZdL9GHTO61LfM/IdqARBmEaOb5bqknIRPfqKB20kH3dnwvbVdf/vXgh
H+pS6Z+3PJq+bZIR+b8vkY6njoFxbcgNH8tvRJ5kbMvRCJuB5EqgNSDVzFEAxDIfu+5CZmnL3RTx
LUt6/ePWZxkxclwZFSCRG5AYJxqVxxdZtAeQ9Ojg2Mo9iTY2/e33l0PCxVDwtOs2QBhhjlU2swiy
QbjoWNq6fcw58buynosT9zg0DyHDLyxC9d5ET332x8U8p+LTqjEnbINhDN/Y2MWKZ7l7cGAjx5Jq
WRCRqvrizmdUbOXGEDRnjcky1pVbZk+eTe9sYeZgstt8TxJU0qGsjeqdkdcXgvX9X8t2r17hyEdl
LJ+VNddrWjrGs8/6Rjzd3xbTIvaWe/Pgh9754biywp3Gi0svt0idDzPrDZhVXO2z6MkdKzqnfhn8
msY4Obtg4wwXZkaFobUbymQ+DiAElA0xx5iirjTFckT1Q9xuMp2nui79g1VQiRdgfVi/CvJ3+vfw
/RIZRHB6Ne1ax6D80LDwYMkriXrr6GgGnLuYMgLy4HmmubTrHF5ll3U//lsscuiBZcKM6aT5OxMY
+gTaAqNIFGyMpR7W3++8sbT9akgTyVtoE/AHJVJnZldNe7Aa8z2DTGL4ZRd3Bo3OtuSRpCKSapNN
Nox4Vl65gi7e+lM8nQ24m/WoO64t41miJsGZrG94NnGUYXUtp01qGSDCWf9MgBwNnXKjZxJzx2mK
2MCDpbhWsTC5rM1LzoJUxdh7Cdfr7Gt5k43ZPP57Gav6CZEf8eESwV2o7iM9kHvaLAb97CTYt8vy
Q9bSPnRuWO4tSj86Zd69aD0ivUY/khhe6ssyphUr2XRMazt/542KT5El4h1MQHHgGp3TaGOAxHPY
uecoUdzfUYXphZuaFHFF50dWjzQIpT0yd5KvjYyGt9pr0o1cqCtxKH6YSQMryJbqlO6wRylQvZgu
YyMmC0kn+nePy0HscUB/CA7yaU+23LRtnXOhhr73bUEBMVsvjTkmt5wPUYTv5WvJnXtKu/aIfRte
KhuzD4caayvmttwRk1tHy5Kf7cXPOYj6YL0Ydkia80df+eqwjN3BmbjUAdnKccSyC6yvV+0KRqYv
UXqGs7XJPM+9V8qhJzy2+v4j1ex7kuC3nJDnDYiE76U3/qCwwoqZMi2UHBE2jMyLSxPX5JK8ljvh
tFwqy/3oTlsPopRG135xZ/e1SSa59n2wrWIusosSRbBvEo9SqZjODgIufNE1Q620m2+Z/w68OF5L
wxXrfCQmWmTC5L4vuqvxe2dU4kohOrzaoudQXT+G2be2NIyoTWTsAvXMY3aY+pZrXL7lR/mCY9rv
frmic1+c9M/IFVkrl8Z0TegCuw+snEUQknUiBpMrUg66VXpVWvAAh2qd/1t8MvQLvdYV0Th8pelK
KxGhLGmcuHpyTFLnlW2sSIDNPyWRD8sO8m2jjxJTjydqobQ78dHMQ/5KbzKPGY9xkRn3UnR/zJxY
Vh3Z5qVB8EvF2LgvlsquMeQ1wSy0DQ7oqqdcaI9gyk5oA8r7ksb5VpCwIekPaOCa3T+vtsli8VNe
Z6Msrj3GiENT2M+DBXbUNiW8UDWE53i0j4nMvzFkGnkDMhPpG9hhKhT/FBNAtDLZjgnof6WvvwAh
szbfb2zoD8+2McLBq2I5hxLjP/BkQZXm2VsW7BCAiNsWhrgX2JvnUi8OtEGNdr5MDhVYKkMiE239
u7XY5CMOAd8rVM9auKMC/meZCRfTpD66ksWDNej88GjGpVhDHHFp4TgCQMwtIHac/IgwXLxUEQ1s
ij/v6HE+4d48m+tP9IsoUj0SZoVOnwdCSU8+11W0DkufCOwcUpwLDs08N05TToe8xqo2xYgrTFqC
34v/HKO6d1ueA/SOPWGN3jx/v0zWzPk7KEqaMAFlcmYmzOkb4e5jZ/wkwwEc1sSsIYGLHSnuyDL7
lnmKGSVuZzktl1G/TJ3fnrgxjJwJdgbO0d58SnVLL7PTm6R3JwU1UcRk6ImNHr+1IZtTnRafOY4y
LtahwCzJ+nDnkjR4SLlWQHpqYJMlQeFC++3ztl1uc6XL6DG6I/sJ9lVkOv+dfVoe0rcS+YWGGt+R
G7jXwZTto1wOjaT6+15yppgLBvtObUszfwrnsDu69khjMG6mmzGm5IlZivZd5/t7Qe7VwOLNDXb9
zCgmLLJNn5nzoY/qiyIP8EwEXKy5xBA/k00OvSlLuS+VRLNN8dEOaXcJJjlyFstfChaeDUDT+E5B
o3Z5s8R0pyQunWG+ALuIfR227g4AxHsefBaIJdNnejfhsCnjjZRWsrdyueHSkYPTDPFzGVI/tNDF
VeqtF5U0l7Zx4p2t7Rf/fedTMv6c9ApIfPe+uBY15swBB3VEjGhHl3iCeLBKgdy4SmraGPqRMQE5
Drn+o50P8X4WiVoTNQnPfKHIrCPvV2WK9oJUs+m2PRVfhbusDcludjQFEy71JPS47GVN6BvyObsw
9kyPkSo/KodG5RT79iktJBdqJYzjiVw7N8PLw42XdxMwUPHuQ8odoAVzjv5ocPyZ5HwdchNSisEr
kPllGH+MS+89uRX9C4NOZQSo9/T9zKFYNjep13lXfSfUKTastya1TqOYjI+RQNWu650XINrmyaFT
bUmJ5ouqFLsxehuZI69VqtIpXliRggSyWUQ/i2XG4RTky8E3FE8qDywNwXS6fH/VxpdJfmkWaJER
1zZnrbyblKV3iToYh9B5ykME7P/vHxOPQ8yEdi2fCo7xk7tNs6Y49fmQIa11q81siL2RSPsmOwZj
nBTsQzpwm4vZqt3M4exKF23fqrS+pNqZB4IQnr2mPzheQ8mD22JTDk2GXi/KroKMIMsZ6tlZvhrV
4J+BfiSXGeSc7Qdvw163LbjD5aF95fu+AxZoZI2+eE7Cy+z26ow1fLj7Kbfn+dTy3CYTDffvF2Xa
3O9Q/DXy5eEUHjNvisvAnO55uITnYW7xULkkbYK5PieyO1epW54bbo18uJJ7JPRmMC5Kbf77rPaV
84nb7MkSfBzMLstelevxZkSWvyEL7Ozxf2ZHO3DdzYQAilzzjJ2o6bnBbnTPVq9vepx4qhfYp3NV
m4zMg5biD3secUmrfE6rRfyg+8nMwpXRXpZ4xjHxFnvVpJqkaqLb94u0zejWRc58arLmyNAVOXDN
VZk0EPF+JvZEWMNKxYMnj1oiC58Dk4ie2ZP1rbxFMTCEmU4VFn0RBWIruOXn2XZec4RxJLwl+yG2
oI4p6d6qfJoptcoooTPHPPdI7ZmvsVc3NJ24H7QKdwjq5c5j0V7F+jMNA4u4AQXGVlJ2NBGXpS7J
lF8m/SL7/AeLwsSWk2Tn2qvULqgX4G5yGK8zVUPvYvHmQoJ2V499cAC7ecjWDM+9xQnQIXp9amFP
V4n+L9k6hKc89bNENHd27T5+SaDN18oq4sMwDIhsCE9x+Q1TjcTw4NhpNe08FEBEX+38PkrnNkS5
u3XjYN41YZvfA1PevkVQ2TD1u2Qw5nPSE9qqEsfjjitmAjJvcaw15bvq1RgdXbf2yVUM1bro8upM
SCzaDMEyrgVnp1Xdd8OupnNaVlZxKwp3eIA91XuthiE6ZF3DxH3Q4mlfbOzblyTN/1L6jj8y2KRR
5DlCvICdFZuSMGfOXlauTuYY/Etnu7l0sfIgLphbMd9djmVI0qxoUAqbs6/uTmt4ewM+89TIGNnF
HCGbbsVapGXxVIauvxGphbCr8f3V97fe09CmTYnt+fuPADasaCjytcgf9HvUVzOXHAx7CdbE93SF
OabdbgWbanSdc2Z6Ffy0TRRWCrLToY031QttrukOUT8oZItDAWabTqK9Dx1GMTuC9Ki74N12KCs6
Tnsbc/FJJ+hE/dq2GnmhXJMXl3uxj1NcvEjuScrCILkvpRm92mPMBtSmYm/qS40qc2nOXO6ndnHs
Mo/35aY3rOSTFCliCgKat3kSv1LZim3huuV99OL994Iq0E5mphxpQDzqKDLO0luyi4gltxYJ3U/V
P2UCdOKyp2yESTBk6e329duupPLjGEzODVOScyELhmfCc6KrYyXM9gOmxaRSOzXfHZnZT9wyHLqC
6qUZ154l5CFP+ptpFnSsOv4bAIQMXTi90FKxbYzk57pIJepIoweyeBg9OndLd7U4tazomIib2Xcv
QR1mLJjuZyvn5ehyv1/Fv5H7Newj59pw899Byyqb9UKjAPoliPaNn+vMZlCMB5O55XmyfDY11mma
yega7eUn9w9A1OseRW8F99o2onMRuvFJ5pTqUSuPVpT/Vf2wiVwu/4Yb5QZCN/8/3J3JctzItmX/
pcaFW2gccGBQk2gQLSPYU9IEJooU+t7R/k19S/1YLUSavczUu09pb1qTMJGUMkE0juPn7L122jOw
Lb2rGcTJnReTvb3sARqzB8wg5n1LDlyAML7cDGxdjjdum2PJr/XcMCnEjb1ta1edIY6+RhggL8ny
4bTOdRRNcazhiVjhsLNkZl95AAYQQ0sjEx9ffqxbh5Zj7Xy0ZgluIR2ip+m9w87hZwV/U9O7+WQ4
3Vb2vGMqOJyTMrTXmhARWs+EHY6z8RqoPLwHkhS/rS36zae6MTPfRHTg5wnorJsVuZiK6K5jXcuK
7xK6B7Fh/PqtEbvXP7/Ma9EfBWimP8hnqd57u4oxLk6ejOBJZ110qnoxTLS3tqZNCzU/5YIS0Cd0
5e5Mj5dvmyJLLpeCok/rEBRBgus1rl70cD6S2YcqLHtaFKsXDP7x/e0jnSgInLSyTniStRfEQaD4
7zUlo3eArYxgw/bTTPEm9lpq741ypM0mdtEQ0j+CcQVFANvfJijwZjqaV29LrSdBsKtouM9T1x+D
z3oo+2NTK/WFCTXPqvtFthhPAcfnT55bnR09Yh/eFLMfkNGI8rtu9rbeNw9ZsRkleU6emvSvpW5x
vbz40c0Z8su2f07Tfk96NjC7GkmAG9ntsXPrkPeOPd2x7Qr9UICHC5wuOCIKx4wjoRpaWvOlCbue
ZCroOjGbY2J/POhpo5hJtAt+0qlCM+55kNZYNFmM0Z+RNOeiHeqKizYe7UGvwbIAWoZyz2yIalhb
acI8Cw2mR2443wtZz492bF3ArIqrgbLfgIr7x1cZBlnLyEpfh07wZS4eaaHKr4Wt00wlgNG3xpa8
XXpDsCftF/pp2FTFGxi8fltO0noi2xYRFuPzExQDMLDMPLs4+2ppU31oMPFsCtb3AsrPk4YPanP7
U5wwKLz9iQhXJu76sBUKmXJix+bD7UPEDYpBiYpp+VY3utllmcs2RDWnca1OFIv5o8pn/T7mjd0l
LUBT3uBUy80EcKDX0YktH7MHYIBetFpTUzwMTq77ImX+D8euRKKDJd9FM3BGYiRXiQDR4AyRd8ij
mVSHkB2BGizmv9pwV7rj2ZgRdAqTcmjsDmxOkxPR9AbDMLY9XpM+OxCPvsIgecNnrFEMgKiIjUzd
pRPV98B8fp+BnfbtGgW7BSUFK4T8rLHY3PeU0lX4Qesxfrh9MLYV+2g5IFlY3r3+c5RYPmMt7B9s
C09iRMf+AdUyu8ulKktH+CqlQZJBmOQ/UrSw9Njb9FpjJtiwr/0xlE713GvdFrUc8Oks8KCHOY6P
t/HeRnkms75D1FxuZt37HNu8OFsyrN42oqOYQrDqPjqKk1iNIB3K5SEp0/qB7VX43vfUYw0cKPQJ
7U7aVf5SJ0zuURwQH0eITLvgKvRZbcdRw7TQStegzyggwMyEqIDcivFcI//IenCDPcrBLeRV+zxW
6M9TWX9JcbetreizQc18aqgQ7LZ5KHT8v7c6mPSlCzRkNgBa5wnEW5XDi5INl+5+x7aMbFeiOqX3
RtjiqCenevQS1PQk/cLlOFd9lZ+oOU6MhHwYsd4hWrplxhyV+9uLo42RuARU3ttMK499NkxfhF6o
dZt7jDsoLlINUnM76xPv/iVQQ3gIzzGWH7Fgmfz/P/UaUMgwes2zjVoSskl+Mo1cg8W9depwWGWk
bh6nqTSeJeakbaJaw7992ZskHOqN8QSGCx6iu/AtotF9ryvCPa2+fB3aqtm1ZJjvy0Ylz5E7fbda
w760qU1EpdGKSz7hbirQ1OzLGcnepitHshwm/Y5ZMM6QpS9ak171sIBk2DfyPc0O24fRdLIjbCLA
ZLHkr4RK2/c5lzPXurPpjRNgQXqheabs73oyvVOf1o8KVbM3t1eWu2oPwDNHSly111aywGhzXO1y
k944jSgcywtkXLRsyIAh40Kc6DwPs/uaaNZdNzv5jxZqVihMHySQ/kjdbjwipkDmr6O8Fh4TBQlj
4KEpFxlk7aXfjbLb9TVFo24xfXBJVT33gki/eTmtuRxPvQtkyEJChxy2I9fdqt+xheAMLMMDS497
jBjzbsJZ9k/EJq4bTLxvDHERsBhY5MM2MU+0WPItcX7h/Vh9uozA1nBChjeKANjUUtZi545c4Lgs
O78zy/gOwFF85wYlk9I/v7a65KmhabG/fevP79/+VEaKmYoGVsnLg8EHZmPjbtLny58fsgW0LZ3g
I9FCtb99P3J6Eq0j41M3VartJ5rQpxH18mlyWvMQdMJ4hEHav3TfGxOFIA4CnJqNmu4500zrXALF
WdWaa1CATPKUF3/pwSNtwkikB2Ph5Teq3WP62usjpQVEFPsxCII7Xg7Tl55BKHWGAXys9J7KBCmP
aX2UFr6KUO/Ei5nwgifQb+8YoL9u+1Uk+US2j9IvmdvyuKGaaz1ahremRK3D/ZjwxDzWlqYe0mBn
vMKn7n5Uk9GvzYRuguGU2QkpBbeDAxeyp1d3+xj0Ec4GAltO+AttgQPRLt6dXD60Xq/0zdiaP7kv
Bdh9s9Q3f/wEh/SuHXSM4P/xt8F9zeACZsqQvq3uRzl/0PAwD7evbh81yOg9r8OKN01pVNih0HI1
znhyjKbcCAvXJRFeAvlAYx1pmz+0aSCut2/dPrIyIq6wBrfzyw9koF4Mp742Fehtl+zaO222Qogr
2Zs7192x13ux5ezOFFrmzyGZ6q+4l+j+z6FzqO08/zptCA2sv5bCMQ6yqe4pVukMS1M8tlbP7ns2
xCuKGe4wTa9eYlk8zo3rl101fRscgpuxajPYhtd3gE3nTzh6n+ah5B0dTJZ/q66T4oRKel3GoXVU
WY3eUWXaKpuawMApypJOr+pDuBE7MLNQ+3BCJgFH7iccq8V415TQbazmTSe/SguBZ7VG+QSRpV1b
FV+BHGXoDaiJEfqMZWyVNOI+TcJ1rVs/R+eN1j9bU1Mmu0zhAqS+RJosEgvBfJ8cLdJN+cWao1zc
x4y0yDPKsmVNRaMqaSM00Ve2FTqWfJt2sOgkqgALJUhA5BGpq6EzN76WvFtMgvdW7AK6YzKOaGUT
SUiqToL73KPcdNHMMdzG0FEBUwTNUp50q70PBoWkqY2I3p7QVisekHIIFmIgkmBbs1ZTTRQ7Q2Rr
iTpO4Sws9jS6dMjeFbndNcPw5R8WID9pUaRbT3N/FEv3U5AVlTHiX3dGA7eDjeG2bqnZoog98hB+
jPS/berMNf5gpjRAipu+qC84rmAa094LvOtkkX5n56570J30EAuQJQxAq2NmWzsXpsrabYhKc8Yz
Pcz+mmNeKxNBhlg1K4yp0kRHmBNxZLO17pCjeUYLEBPDi5NQQPEm+x4GtG1C+rFIIRbrp5i+Bsjf
VoVuVHdThVQ5FKrfK+zI2YAtlAbkcWxF/jArlouYeW4laIUtFnhPJIc+yM9tV5zrsB3Wijp9NVsW
FIyYdyT9t83UfTYBiSPU1AB2y/C+0yzvrBMwUrkdQJWeXX5c4dSmmqFjqZOy1mHjjciU4yVxSAx9
VxKCDlas1fzS1sH6EKPEgo+py4ZGv1Z5/U0n8WyV9TWgF7MKtoGo+Bu0NjXjEsu0WkchGlYHlfTo
WOKbpvfrwGsJsJwT4MFGe8hRcuzLGIdmT8YWs9sXN3LwXUwdvTak65ZEtGir4B6tMM3vhSg6B9oi
veKNxibI19PBO9S9eaUHk+0YRq40kPyHoIzjQ19rm4Y9zcYlZwCjF/i1OQMCMgXu16jJ10pYajvM
Qu7jahNFnwG+8UdSq1dDV8WHuYMVIFx+ZYU98FgoPAphYqyyRfaNV8YmDhGPSL7pC5meB4iMTaho
l2I6qqcO3EsoR8CtjJ9JDC3HBvVE+gjdgMlV3n+AsfsGhGMCoWgpv6rH61hhksMgmi0cS1KJ9c0k
x6+uiCAjptJdVM5H105fEOyJLcQz1qKewnWwP9lEbU3T/nDQRGw8h8StYvTFnBq+1bdqGZKmG4dN
8MrsKoGVjJRAqw+OQY1oMgMYx6QP3CIIQkZ9M0Wclb+kGqPjwgq/4lCl1Vh+kscifDmY3dVCRyoF
tMS5Up84zu3XioWy9KzdPAdvSY5ZtJkYVNoYMY9jbH7VJDa60rHvw9jIMc1hwNYi8RlLyZmOtG8e
jVK/GLu9jPqHCqowZXHmpw0+i6MhvfTqsUOqZu9ssO3/ZkVql6hEbg3WXlBR3G+i/mzd/pMczW5N
Zki37kMyMaqp3oEW+B7J4n20swUEsoCRoK6vI9Rcd+XyKLg6wbg2PFlEL31zAAb8NvNa7gmZ2Hby
uaJ/cLUSCPyhCWoBir1POLQ4x3GAcLoZAaiQWMMLgKXKrCDbWPC+anTazoQjgtD5bNWWZEYMBAvP
/bp1qneiYS6x5VT3kNXpGScAjuhqAIps0o92Afs4zBHp4hr1xmgIAdftg9K17tgNznUqxLkykMEz
I7p3TTjlwpvjgzIdwlOxeSIjoOQACorSoL/ryKZapQnSb73PH0nQwfMeVN/6Gh3GVGMCDea+3kSm
uZ2bQhyhHyJ6Tk4F6PFFzXMZZXHvdSreVk54Smvjp0brZ1sM1T4dMu3YTG5wdHj0aOrMZHxa9kBn
p6HsKAeE3x1qZMDrPzXgj6C/vFOtXBJwNf2NO+mtjuEWop3zXdLpaO4QFy/coQDPyhlrjWZTmqj4
RIkiTbPhiXT5B8w1WIXxuqhDzNSGCW73ta0AyhK0/JTWmndUwbVucFrjE6nWqEpRIdlMMLwU5OA4
yGtGChve3wENHOuOb91rLe8OekzhY+OhlTQZyFPvmQer1bIDJkNc/FFz1rPCuxD4FG8Dl7AG8diF
JEBAVr+bCWldGc2U3Gmj9nPM1LXCfbardOIjpsH4WRXFG50XdFFB+rPq+peimb80s3mxIrzsWHQq
gfyZinAhnVpwbzw22Skk46b+OirQNJ0+fKknRx6NFm/awPcx1sK1zagYZ4NnJyqn44M3lwzilV7s
c8nzIdWeCftWDrFx4tF6AujDLoPw42GcMBRAiEM8v0smbTgmSMLchJhn8NNnRw4XB/X/EZ0CXPAg
PubeSEJFiNNEaXVx7OK48/OCeynFjTpO7DOCOr+kg+NjZPggve5e9dXVCEvzzm3TY92EeycujDd3
kYcg08mQS8ffPC/moGJtk/CzpyEIC5pWLOto5kxauKtSixN/tAL9Yk4vkzEhLo3OttQRJ5aswaaF
RckU6EXgp2v6Iz48vOu4ofdjXLx7cHwSrZNbW+VrXTfpNpul2rkmlUetDfo6mEL0Zcredrib70TF
/r0AB+U0JnIRJCN9mX/SIuwvvULbKshQoIG19hY7PiLLDXzWh9kh/mKWyUOPCSwYz7N6LypCJHJH
+G2u76os/Bbo1Udhj6iZwCLQeocLYSSXQhfpnoHCKtV2mtbR4NXCbGviv9gxaXnoNfMVSl3ilu9m
Un2Lx/5HNdooa7Dk+DRrB8TM093QgIiVWfUTR97PxCoecEPhRGAmsHdHKsJeeYz3vbg6GmNTHamZ
GCHf1fhfVpUH4cdqyBdAiGj7LrOK52o03wzowli5i4Zwx0MWAN4u0jLA8jw/Iq7FQZ0W+zQGTBr1
7gM52inbAQ8kEzCKrekOiMBsFGS26NaqGg95T3dWGuTDBBSCj41gdmDo8CzHTZpgK2d09RAb4BA6
2qdr2w5PqmnFYdD6ndMSVN2487nJU9RVjedc7Yru7XyNEMl+9IP2gAF8OxBH86JYuZoFQGk6z9zW
7aVGZj9nUH6d3vWHnyo01NYUQB0UKpISpbDqvepQmZhVxBidk7bkow53EnvsjF/rzqO4Wqm0J9+i
cvzGzgE0avp3N6yMa5UH+hV8t3K1cO/BkDwaReqjpqL0mebXaIYw2oj0G5Yf7UkYrTqEiF1WY+C8
KcZ2mzQwHmkgOIjR7GyP0sTeT60LToFIHMlTsmdQC924gkxCxOdwzXG15rmyjmyX/2c0MBgS6YJQ
UYUP1nI41HhRk5BUn0mnCwZjLsbUrtEQsQeE6sTE5GF1wepnPTtldeolNKzR2qDuMS3kvKNxHYso
2RexPLCX9svMY7jCKHNP+C6yqfnRSQM28oKe4+T/PpHPcEjHKrMpLIslcpH+kGuZDiQlz5CmDflu
+flf0rMQXknwexi0m5mkGbcDnBOlQm5dEnWYfqErkbwREQ2GxbblVKNuRiFQdO6TOdnvYbt2zdhi
aIbyJI3Hy++PzvxP2V6uZev8DwwLO6TDCPbvRwcqhr3PpDi6kPdGmhB/C6wneOhsH3Mhp7KVsW/n
+pZc3unRsBTKhvjNNqI7Xjua3xLlDUSLNFoSqECzsJIUJp3lXNsT/6G/zfh48CJX/xBKJowlIO9v
Z9Vzdcc1pXQsXZe00f5+3E3rgP7JOtB7t4EJHNr0gt8b/Zk3OWd0Wvkji9N3rKTFfqbC+kMTAy8H
PpgmSA7CPcfg2h7owzWTr02Ncxxcrz02Y79FjZQ+CzN9Dr0p90N0wwytOp9VvEPvmOuPWBz1xw5j
l9bCoJsxa5NiARlBr10gjdlrr9v9uSuSAS9xay6h6NHGViBBMSsBgxTEGZQleIHAjc8IvvNTWM7j
psZFQaFkLZHZ5b3qjPaJEyAAd5EAoVWAvtqkYhZu0KHM9CI+xXAP1+jnbKyTQ8ySPcKkUUnMqgit
bd+C5YIhh/eprlyXq2tDZauxobPXUqe+gEyUxsYy4IW7WXrdFgQba4OZescQQyDEWZC2/DeIPnZM
bZeUVns3O2W0E9EUrqNMKB89fX20Kw0G//Jx+xKM+muCjtH/81tZVEQ+vbNXWA3MxVRKG42XBHlU
y7+6/fvbP5URSeoZuTEimKOrs3zUBRZg0+zOc1NhwSjZmhpgusm1LhhvMmZiDTB/kPrs3iP4X9VL
M7EJB/eJ7hDhHgawc5PdT9qrCUg6H1kLd6KzUeZjYLvcWl+VYU0Ho0dKEtLI2I5akVGCd0SRxCZd
hRJv7u3DMZwX9Mhih1cq2eLmKSGt1HLvtdqPNulzfMiQPgi9LI+3L0UaXyfGMW6rj4Qs54+dsus9
vVr6qNplVuRizZZ513tIQSGIfTGoBQ9TZEFsN6qERAMw+2M7OQ9mUyHdcEl6ADsRnG8fRZ0BqZAt
WFMRaedcL6mJdUVyDHXWQzNU1ksMUNHTkvlpLgoTQeFsbkJqKSMK5bfQMwd8WyBQrJCMHnNk1KTq
Ye3EJNdkdLyZcaLwn7gW3izuzeoudT33qsxS3LfTRaZC8+1OeUd3RFAwNApwreWMbKlt60gaDZT3
qpnO9yN35RmPcoPK2Q7hB7SN8hmBBN1qlrE4K/Zl2jIsxeqVHW86TF62dGDm06iFxYVAsZrxYfMJ
dJQsU5krPBnV2qwH4zhaXsnsZNIe6ZYwFqUbuqZFmdCoJk6hqI1xnS7PiVqejmLrhU62J8mvfOur
Il2FjLesJq8eBVhBOBkzUQoLSICJkne2MUBsB5ZzErVqyPhkjAHW1b+4BuAL0ZvYs+BY32chboGy
KOUmcpY9TJxB62slQrY5b9dSjs3RxG67InmhzVvoso2LkTpBX8E4Nj5ObvjR8oZAnTKd51mg5IVV
b5o1QRlOeVBu0hxMr6I0p/u116a4vcRBi5e0REkW1B4Tk+V7CesN+WVYT5rWZatCCY0C1K1rrqtm
naTmXQiaSznaKjqjofgR2OnIMPuOokGcA2EjX82Kr8zh7ZMMhhDaUYMhMG3zbSOwRE7sPYMlEdaq
BNsTvWi3MSlcuzEvEGBoxidqiulLtODSvTIXsAUHBjgwglt7xGqMGjxHSoXO0/Win7h2zT1zy+qQ
Q5HcDCw363bSYHoOenWfWHO4xzJ7kpnXXq24sSlWq/Sli3hENHUsRZ6dERcmft+6+kWTtDncxsuO
lkTFK8rhzsIFjiXVItSlTCDbTMfUTZKv3QJwntJOEmNg0NVA74AdHS2HGXTvNx8Qga/zKtHeiBsY
YVQd3QlREPxYu3tF7Xui4ebtvXyUu1hXP/uozx/ibKwvhaHLlbKs7oKCUWwnZcVne0infW/2X8ue
zkc/YBYe5bjJMWZOgdO+tcWXWCDZDS32GM2QldQnEDCz/qLsbpmuaOUOu0Z/dR3vGETGXUyEyjUI
hHaYCrchUCRa6YFF7QA160ItxURuZtdhDIWG/63p/bzslhO6jCotjGkaYQr0/52PCrbQORmgRqkw
HI7N8iHooK273rS30Ex4g8ra2DNsy59n6Nx7yYaDbCBKRSsAzZSZMIZAYx5i8jE2Gu2Cd63fg9gp
TvRq6l1uB/M6nFAr0eNHaZ3nd4Kz8JYPAUDTIBiPDGrNPxJ//9ffUkr//wnudggk/q+Duzf/9/8U
bVoS1V2oGAoDVeTyD/4I7jbMf7kMLEmdlmipDOc/crvdf+nUmsQ9Cdczbcamf4ntlv+SWPSkZ0rX
drBk8SNkeyr63//DFv+ysTwajFTwNcOU9P47sd2u97eqzPE8wKy2J2zH4DhoUfySPm1RtAshYIFp
wHOObABe4apae5xx6BGL3tjX2vy9LzLEFAHT/IH4GtN4RvMh9w0TQ5U5wRE9/rVFB7xGYrAuhhwv
N/BzX8j01BUeFt4GzzBeljs7Bivj0HUx2WVQplklCmGiA1YmrbD+PfJojtSpe+y9YtgCVMy3Qfhm
IUD02y6hkTbHiAanZtdP8Q+reIWx4kD18k23ZiPlNcW698oTyZQL/tDBwGgxTcr6OaD/zdoeNy4u
H1POG89zdjpD3iPQWpZrRCGrwloKyWDya3Agnx1P6gpxJ/EA6kvqdu5JTBePwISzkWgXz0Btmmcz
LJW5U9s+ET9IdxgQL90X3isl4XNGd4BZOjMMK67UbpoXdlQSfJqL8J5o4I1JiXOwGdRTOa5tSQOZ
TjWO61Rbtcq8/8vNeP9Hjf3XbHbxy5ZB14XtWoK62/V0guLlL/nnGsmuzTTjk+oq9xQ2cXTo8nal
EBOG2cJuAlZ0UWVabjvnlEeiAeoH5NqjZWHrFdj1Uqq1NdYnkpvgRvGeI0/GtYjUsr4lRfCltnJg
JKqwgd6THlK0wWNXlWqbuOrBmBG+sQarLXI6pDnFT4DbwCoq7RvkK6DKgX3vzK1DwlHr3GGyX1et
5wcIcEpiv2OZvSFjbta/PyFyyT/+y16ExxGmjfRgA0nJbkr8EuatyEeF2EVigCxC7NaAKTc2Gwr6
VhohMDMXy+o/3QC8pBdhv54mHZpvPPXreQHYuyrG9WKrjaUqk7tSM9c5MGJXorFfCDrMc0EsZkuE
CzkDXkFAVG53m86lNLUMLM3wudHHexm+Mhg/LmCjkhHS8iFy0KqDSHlA0h5WiHyjeett7aEjazLE
eWiKKT/baM6H5Zl04qk5DA5MOOwSNSIynWQXuUsd5BpdPzOfiLioSX4/y0hu4zCZfUEDwsTLgbkR
3Yynp7uWXtZmKusPxCTNU9TQPcH6sYBHRlw6KqWUanbkjT+0IaAtREXBV6dvkNvVTb37/YUxl+Xm
1wtjeGy5PdddJMq/bG6FFnJ8bCnWTPtmf5BAPVT9HLWgTapci2GRtAYT2Sw6VcQG2R2gCwltRaKd
3RH+tpUIrTahN3S7MgvvhkXjBSjmHpxAujFdJAgBTJoVVrmGu7pR298fvvH31VTe7ivTtFxbgh+B
HvBL7rbpAJygcq3hk3F1TObUK1TkgM8Liwmnzny2DmY2DMut5GjzeAEfwCbN26toGUwF+X1dJ/2m
7dPDlKQ7ht1kmIRKHRy9P/z+WO3lof/7qbbZZzk6XQ7blXCj+flfuhxIrpBlYadcE17H069T60EQ
XlslTg49k6+DzcQ+bJlMmc5mtqS7l2aNLhyolpGUz0FUH+den30aeWzWZg3qRsxKTcNw45qgUCyb
DkpNbAEdNLTHdpRGG/LO8g1QclrL5VSD3pirr1lQ9buYrPLccdnU5tWCAC37nYvYBLaUP6CZXg1o
SVOVeru+f1dT/i2sET9BP3s0loXUsIqnHnwbe7su3FrZcKfbkTprrnx1nEVBYzpqr5XFB2qlRUzQ
7QxwThtAoPnq92fV+Hu2/XIH2BYtDtukyeEK49c7gK7l3IVBjAhi5MCCioliMpvbyQYYPDtdc2wj
ykPSPtBx1OSEpiDnU6SuGVCv27G6QOp9V4LIRhO/BHb9wwH+m8tu4eUSy9LH8HspOv562ZkbY7hE
7whWlWOrg4i61RbIJLVhqzHmQHjYbXpgUj7urnUUdfiJbMs8eh5YUxcfAD4y75kg1s8sj79WGSPK
fzjCX9pvyymUlmkvCwCdFFPYfz/Cfmi7KoszhsZIxiGLpD+HNIaCTDRQAHDFynAwqwZuUqEXK3ce
Uh92MTCjLAh3lvZJouW0lSP9GxM4/e+P7dfm2+3YHJtHxhKw+T3xywPuuGzmqIs7Qt/qO44SlGYB
OVjv6y3UH5tqadjWejusSktnw9AwZ7egKliBQhaqGfWeENGOAWty0U1u8CmT1qaNHM93khcg16fe
Qg5p2vPr74/boPr89WF36WXalIsGt6f+6wvPo2EYsDNcS6difN2yvRFysYizXejqjDjayuw3RJRW
e8vrftIYIG/w98dg/ps7zxXccYatu2AMnV+uKx7SEmJOwzu1fB5tL9/JjvWi6oznwM5JvejMo+ou
GnNLQBfWrnJtf+C4obdBTTHNkXgwt8o2RHJ+uWmNpBwCDGPec+mBy6tlS5pUV1OjnrLl/acsMhci
TLhR+g+/ifefzyblssuOlILUM1GY/v0OnQ05MP3iDiWo+4CUk85E0Xo75Cigm8sfVJsHMi2QSitG
yCA+dvAOOHrbhFiwfB9bOMOL0Ma9HH1RoY08P2JtKzv7g+xk8nyXqtqsIMEYAZWTm6kWBf24ykST
r5qFwGD0CFE0sdPG6odi/7DSF264E8gfiOool0sWxcwVZ13DbOeoa27ga7gVKFlY/xAk1MLlI8x2
TMj80HHiMnB9DiYSY6OAAACFrmPTlNVnJ24i/3YTp6namIX+fFsCIBqv6MqlB7mgkfWp5vgmFm4i
LEyQWyntEfDtfj7Mr4Hn+o2O98US4exPy2s9q0J/Dmim9lr5sARH+tJWPoFLcklyw04R2N8AYBmP
MciKr20YYJGoCeVbIrkzm6uaBKTTdsTy7XC63i52MzLNqWZ+Wc9qGNLjy7dEY/7D4y/+zYU3lxXe
tFie2LD9snhy6pMER8i4tlIoKzqbfiLiPZTujnHOP8M+fMQIhGyzcN/tQURHcwmP7qDbWeStIdRU
WxvZMp0iZLD6/Gyl3uynclr3ivMWm8GDbXhfkuVmyXUuY8pvQEk0bOpJ/zB60j2KxLubRMObxcad
UnczQ0caI8hXJtQtaJVQTBJhWiE7cNl0EfcCIZ2sb9QGGFt//0D/m2rHEa40TFYWUwpL/nI2PKXC
0ith2TfpNF66Fn2lbdWXAOXd7YaHijDTKwm/my7EhMwCN+aM5LzIKX93czvZMjz8YmcttdBSv8W5
3GkolrQylv/w1rP/TbXjUJQZbJulbbAJ/2XxAakqCMdNOzCA3bShRVuvbzeO5zJ7c2zxPRLhddaC
vYH69JQMFTwB2eHKnHk2EnIQwuL7H29zOMtAqfOPNtvfdnH0kajB5zunJySdQST9fA0PkpDTj1FD
YjbOC/JX70JIDnILZVBujPSltBWXRwO8WY3h0+0RhBMNh1+fP0LS7ejut5SMEELRPly1WKFqcGwk
bPPWgT3KL9DCix+/O66qdhP9w1WiR0dRaLub1TdJQnDV+eQHyJ6ZBMHHoRMLM8OB/mxCkqYo0yLS
GIcH3Zo2g82byiiK4QA+rd7e7kDYzcaqQZRPRLF4l13VrTTTvA7DaABa860Qh4vM4jPVerPTBner
i+wAyBJre+7tmykfLgRfeMzZNoCG3hMz645x6mx6l4wzzHUQnJcsBMHqvcaUbh+ztnxKtZokTicb
dm2IXa52CTigTCkNBGOGmb5HCeWckS/3eAb/r8u1bzlAvpNmAVMBv29tEU9P29QjFSgsfhq0Mzdp
NU6byWofo5bSakiS7whFfphUt3rTO7saxgKxzR68sH5Q2yBSbxThL0PaElVnGjQJYgiMyCVeeqCc
W4scJ7QgBQIwhAyhDZEr0gbMyXirNYKkTg6sXPbH+jOzdDbKQsGp4DG9rZtkdPe7YtoxuguOt/3l
OEetTziIZ8dYSfrxNWacQVQO/NyqpMJIVlbO6qr1WrLJcH7e+p6gUbhpl8q2JBtiqxgGIsjNcRUg
YJoQCsJ5ZD488vCnqlLbEMuD1zXSv93yt6VFK5jFVh4UgWXxloF4oIfu+nOLLr8jYQ1uRgLIO4Hg
MVAhAl7dtBq4KDwIaustL6Rp2T/Bf0Pb14jd7QkGZcrVcXnAU7LPWTbI/nwvI44ADne7YWeJyCz+
YHqBPjKl6eTq1b5eDhOr7aOewTKGqbUtlj1A2pTvXSYYcxYEhuQOaxkWGq+lHgWqwa+vu/GKQmYR
uHRsVHS93aQMKpK6ILw90RHdpZwDwPeM1nmU3Nl6oXZM1xY2j2s1tj86R34zKoM8Vi2hS9v0xGjw
GHSsVszunNNUdPhybGW9mCOw+BJFSJNz0DGX85HosfJa59auhlqWOrhZcJnU98n4g0EzgJGYTacg
Jiq1l2hF2JwwuVA0OFgvp5msDx0Bl7DSL7ko4BvN9SXtgSSNiBmpE5bMiDnZdUUU+lGM7v+2ko5G
OzMFtZHCqf6kRfW1aMENaknF3c1MqZ/Y+0zXW2NLjlmx8zDAMRsejHPQBCASW+N9imkyaDCit7mL
DSWJMenerqvWq+isJS4QyKXtAXMg3AjIMCtc2rRDPHfBWyDvV2H0LONltoi/4/8Rdh5LdhvZFv0i
RAAJP73elWE5VnGCoIX3QMJ8/VuZfAOJ6pAGrehWU6pbF0DimL3XtmYah3mIvS2HIj+PdS7VRLzs
xlnpLRikMD9B36XvlzJRjwrCRTdK5n2BB3EHzHQP4uN7bBrO799xbHCYIdNLewJGxjS+gyD7WAnX
uoVjg/Jg5J536wnjfLV+8tf1x7gIBwAjf4CJlLG3Z+wGEKOiKFaiAzZ5NvGE22wcsw246fEYOqC+
091IG3tg9x1dJrJ2dtKGzeclP5wFoLXJWw8Ccv+NIpA7s+ZPOsbVz4mJRdl8MYLuAoHYv4QNizA9
hpElGulMTP1DCRse0W78yW/Y0LBUoyX1jQM044M79OsJ/ArEWsmgyJagw+E2tn3AtH7ksiBFd3ey
7m8LRpj9rHA27NI57wuzu1mz/ax0+vxBtqnds578+OoDGkASu3IZdg1byXs7YERJ4mquZj0lp6Bh
wjZrasG3LZYvkDKC44B16zikGLJnVsmu9E9xs36gRV4vQ4etyTPjeRe2yXCwjP5nUPngz/gYuNfI
usGykXmDdYjG8nPqpV/6wtnr46zuAxynBb+/ql/S1TrHAieM4wV73dTrI+D35ANl/YoBbsCitJUJ
IBn9RFecA8Blp0Of8HxXFukNiVl+15Mg+OU95j1OMkR62TG0eDEYorC+9V02HOeV2S3PuD7s9OHY
AObJG6D7Uy4fdHkiSjcFlmq/s9kGV2491WPAuyHnUljYbeoiup9dom/1gEafGA7HCKfP1J1Ta/jd
9oK33Rb0d5ArkbS7dfA9UyUqTMKXUtK5DXQj5sANp0+SNqUNIXeWbrCMnL3TVmTOl8zT2mbcR5l/
5HEfdyVgDBfU5o6IAxKpfPk2e5hT9VP5+wKrx1WfmVJ0B7Ox/K3+QgdUsgiNnUOCxlm/DfThnHjc
67H1FEFnBAoyDHv8avjzPSqA8pjUnbxkIXTMfl4r0Nr9FXMeIAQz/6K/ZF3Moxob9nNGjDimtC8D
lGjVUemOhDzHh96c8mM5FSU/eibZXZinwKAjNzPiIQVJTtul4anK8JxvDY8Ooek55ezA30FYTQnM
Rl1IFgJ73/HgFz6pCExGtrw7ML/Xd0UIvaEIyhuwvBtns/8oBvLR0QCnrnOCXDLu9FfJhAV5cr8Q
10bqySTKYhuzzwTw0J0DCq5kg4/z93BZDiybg7Gq/6Ou/FPUwjyAspIpheWyRLHY4/y9E8yLaPCD
UBLnFBXipfGsdwZtzGF5gY0ezvAY9ft2ikNyE0qYHwVrTZBZRNUHZClOcET3iLv+q9n/53TbY97P
bgjSGZVwoLqYv0z2kt6OCF61hi2JhEi1mVWdbZqlQ5ziP+2ZSe9CjMYQzTv2POke9cl8+PfW4H/M
STzPFKFglMOs3dZrp798BCyOrpuxPCXKkCZd5YPO/vLLKZxP07KQHAX5We9O9HnAOTGfVvk24Cs5
r/gGNmIwfo2Bf0ZLf46d8W0Iae8qwJmXFn5cN3nZk7+O7//+oS11sf4+EeVDOwzFQo/PHagV3l+/
txHFyNLGHKdoe3DHeRPaQVIabUqxo2FNxwgI9A3J9g+6upjShz5wZM2Rxwgw/+Oj/HOM6AUWQ3DL
Z4bIOPGP1qonHW5xYKCh0Z4p7haesDGXIUZcQBjQf3B7Nya4maB6jIyoPPHkY3E3m1s5pndqz3sX
pAM4u37ZxoC48Y6TNmqb89O/f049JP7jKwscxxJuaHOVkcv9/SurU4ygYwp12yI+44guCztgjfqi
L/rfjbmIyKoX4bMRZ0xyPHb/k4QgYBgRURxdMx4nv1H+a9NiGcERPicMSWD2cxK29lYE63joC6YD
3ur9PvX6tsQe7k5PA3mtG6dxvrfeFd0K5XuM8lKfvm3gDpspt35PThpYVrYokv0c8fKtcOI444JY
ouYYymsol1Xw0pQi360yqNgcIna1U/cCUwUwCHVj/I4p3NtEyHwu02pf8fK0OEQYW4SSZJnM2Ht5
96bf7GmTQ+NK6PGDAM19ByfbqqCAuC75e5ygjUXaOKiEDRFLR6k6Kf23K0w29PrHf784/+twQvDN
hplhKnLBUA1a//IQRuOUVknIxdE7PZD3OPDUUMmeEHEqjJ+CLUz+eS6/IWK4WiPH1ASxcw+68osg
GO4/Po+6Gf64WTiSLFpt4QiTDL+/fx52bWXOUJUt2ry6u7CejR1N3HmlUTlkMhqIQqjYNY+YK7Fu
eW73s186Sk6ifRIk25NjwaxNSML698/1P5ZOTEVtpjo89mxI/3zuW99rZ9w0sAma3tmjzyGepHY2
9UgmNZOuSrG10RhRcpj4h44xhtWgdjOWI0V5jICYbW1clnUXEHne9PIQfGajS5fUMXNLF6TofZj7
11iu17KhkPj3T2/51j8Hq75tC9N2UAUIxjF/DHe9JqMuCQhhqGrzzaKJD3ldoxuDgYWKcLzRr8xb
GYQsVMLhW2r2MFSWbLh/M6U13vvpFzPK0z20x5oV4XASlpU9DKTP6qrMNgkVZmUTeipqwRz2esuT
mdkXc5XkXSzxeZw8BlvtcE5zVhp6249O2R2g+ekHu+vurBW5sEeEk5pbYJZPvbXYwU2nEs9OEKs4
99VksDJWYxc2DNRVV5qNfb/jcD1jMguOE2T+rGKEbYPkn6e4Ok+d9avG6rgpa4edgCt/6pLcliVE
kBH7sCHjx0pBz3T5AsonP2Tx9AQZ50HPVCtHXNcgHsANzzdWj9SfqsFIA/Dvoo+fBvGqV1Cdb96D
cs1oivlE+mtxAqxKAVoGZP75ecpG4jTJnkD5TVBDI4i/qqEte7swdQjmHayPsBYfJSwULEExLgl9
GmS0Fb2Fk2ckDErSyQd+hTiX/nenvwD98lzZCs5UUth4mDlCuSaRNOw+I0IDTTzcwbM3Dokf3/nU
zrfJB+9thJ8y6DPSsTZDQ8diruseb2a0071+4bHSXVW1ZicPVF/WzWR5XRKmfmD22wPaopysVb0N
UfOSrqTdjl3J0NZgFrMcUii2mxIs8QnVQf9Zf07Hba7gYHBRJdh2DPW4IOpL9hgpHGDDU7rXkzLR
GgQXTo0D/oWYQPy3xCw2wxeMj/HOcuERWs7c7ry5Ww9xt45A/QsGYJb/RTo030TZEpcbp3vTBZTE
14gvG9Aq0AY4qBNqpjyNOcQRDDSI7j7BhOnOAC5fTZ8wz4IXdY13BPk47VLPIrvKWypQsogFjcM2
Rj5/FCudQCARaWnFQmDMtPeLvUeWaB4GVrCemQ8A8FSIkxDnNJDV80qaSWOfxOQgMrZjnCNkX7YD
vf5KbIBu3K0EYgVmhLU4dDbzt9SR5RFl8rIpuuDqOsQnx+F6WlEZbusIClxHqZggz8TI1+9cD7Mh
9TOx4BwqrjSQZgBE2jY6GI7t6FZXw8ZYzrtRApOVyvwS9tbZ6yiz0pV5/KabQUAFNX4v/USOZHtt
GNEXBHS2LHd5IwWG+7wA45Rrt5UlDyR9Jdv+JlEeyGFrQl4iwJV7QJf2au1ShU2+pWbzUaG2yDh7
MPi6yTeW8TAsebNPyxZqZWhbzOCKjBBB5sHxTCFAfCrR7lpQEUzplvu96NIPfXuaQfWe+1mxAxNo
o592D3JdcUr58yl3MlopVSWIqjsU0gx5rz9OhRnuBmGKfdohELRrfBSNczBj/BmlsW7YlMBvUDuO
Qel7GO+erC5cjmADaA/R59WwEO79ENNo03+S9YWvDS9STBp6Oraw/LMIeINHpE5gHdG1pNsRJ4sL
fXMDPa34PU0RXhldWlltE5jDe3IsmYFIyoTMcPFMmSGtbDbwtluNM1PPg/7Vo0fe+c3OUO0dSZ2c
2G676UzIWXZYbQMfIpKaAdRNsFzT7lu/+AM00mDrqOrIrTiWw471GHMP5M0oHWzSzHDaPOrxqB65
ZGXdbpN5KE8r2yORzfNOSvoOtfVDoMBewsuKAzUUFjyVKVf+AipEAqFvMu2rluiUMazO20luWHJa
2z5NSlBffP9jTjDYVIqX0DV66ITNuocQXDDRDT57Tc6IqbfwgUA62/DSZWqxAgZWLw99ELdqRTWt
TBOrqn+tbUnAQ1fDCUvR+PaqCYAjTnBvdYln/wUHzHd3xWHcDWrsJ8ixwHqT2aw3eCn6CFp6ELIs
xpp5pg4OXnLTp1fFt6dcUZt5U/d1eGly81tRGjDg+8S/gEQUTMZUPofiyTfR+ASmhHQqpqLgR3t6
e0IkTVStalmzWyghd5gyL6AlG6b3gVL15NZWDA+AuDCQg0ja43k8UVh2Z2caiue6ZOSrxqSNJUAt
2dGDvdBTO4j99l6a3JNHm+Y8z7BBP3qGp7/feMncpudQUNw7ih8FsRy1Mm9rd2XwH9WPeAki/3HJ
f2CzTzYlONHH0e+fQEG/5uO8bkvBqiebsS3oxWE+Rxe4H81923zEnilP+r6TEXPCWv6oijk5JULa
V8ABILmUlq3hJBcT2UeDmsFkaUu2TbcxTWz296MAxTeDTOeiqjIy1GIAa3qbbFH/HrLqo3tgW7EN
JU6ukO5Nzdwbb532jZnD31Kvf7e3uMxGvmlFxw9J0q9Rpa5UGhFAy+UwDMAKpg06LM0fu+U9KwAT
CWLBsbevNzuzLz7Atg3avx96pzoZy0vcNq9ZyR2m385wiybcrKRDVS0wUTeEZOf5+StQVWbmY8Tc
hF3yHZSDu6mq8f5J8+JMZXsmabg5M0Dz8TmIghaGl6YNAy1E7q4fVE9WvxZPYGZXkzRrpGYqE5QR
IrIX1Ae7ZrIZQxRR92kMf8nK5J6IqVCWOSS3S9z3CydrFgJXASAUgzlkk9FpDpqj1kisaD45Rfie
x2CaRP2qZ+P6Ha5/rUZJ/oWyururXe3LmvleafTuLjOKeKcrKDnPzbka6ChaIHMHq0ckaQwxaAOO
PJhA3ilaAoA2soA9lDimwfm8oEUicdATxReusbyu/hHz8rQPZjkdUtoockCCa1ZB8leIZVlYn2Ho
RpeCSvFAKCXyHHXZIC6WpyGm+SOYkxggxjmuva8DAlP8zoP8WKF1yAegz3RCU01ubCqjkz5P/JAr
p0870H3+LqXd3xLyMkG+/S2VbFHs3fSZNhUuRlcbOXSGuePYnfRTFj50yLuOdZZDnLAKeC6vxtx7
3+dpPhQL4V9xQhHIOFZ3jboV0oNxspbajZw4NDvP3uAQ/ekKXMkz0i1EcAaIQSUT9Zdvi98yeK8Z
3C0OF2HubHk0+bAb32TK4VpOt7PL6JxVvIfWEIu5x0RXLwxNgsMOGC0ahgXh1XStfqHYi16SCp0Y
kdQBFYd8lyN5cL7PvMYhPetB10sezmTtfp2X6APxRLIHvTrs9di6JmAGCjur4854S/SNXzcn1xdf
Ex4sNYcMAqekPAc5G7Bh1c8hAsKvUNa/p1XbnHsAycBimZOPJPnu5ZScchugRrQMeEseWg8FsH7O
jY5HmFljSYRL99SaI1YBVb7WSw5F9N3x6m91SaQQUencE+r/SZz+gRA+bxdLy9zRuxzFW8yK96aU
HFlqkjy3i5RaEs7iJ/Z3YJVq4hhqCfoylBhVlbdT/dv0diStw0dbCDgcalNU9sYRug/wrRQceBxV
Pwcm0AMpHKeKKfjenLyXabEuosjdo+PUL3AgLymjSNIq+c4SNXgzc//scZQkaT1hMk1PssW6OCLG
OuhbIyQt009h+v7/VWTOb06v2VoSEaM2CUhTuQxG85LXv/p8ajeNEjHM1vJrTBZxnl1e5L45/YDC
lpK1W/CGYdUGg7F5tmbCbIaUgxfg7MZc+SWDmFG5V5uHPj9V7cB9pZqfvBixGCzzCRRQv9Njjd9d
DOr+jTvBBmmTfa8qmslyv9WD2PgWmi0l6tKVU67W7eokbfJgOOh/PlzH66CIdgAvmCj78lvrWV9/
D5p7xBm+a5IGIM0tG+uUAy7vUEMn5UmfPUTc/XDL/iMTJvpgP7d2nRh/6kfSJmvM9yYYvdMab7rR
s7eNJHcVTZ+GEUfljBEf/Q5s3ug4BNNeWjl0pKb/DCMdV9coXhcqf/o1wjfUqBiZYK4CGA8OO0bD
pQrD50Yep6qH7DG4tUxkLpzJEj9wBlGMd1WusLGBIbEG11GNzpKUS11oLEOOJHkdjokfvegSM1W1
gy5GG7ZzVxVdXHpfsnG3BEZ+qlWZgfWf7VTcX5aNaw3LtvWBv3jLZ7Op64OT5m/TSIS37KYfuiX0
/OYBvjcrnz6ILmEiUc/0HjvyuNop4ErEbGBfp5gdTalW1NwygVIvdVP2VJS0NBBBD6wUuzNGwvcM
9yl2Kdw4rkfWqMdyVotVCaLB8CSYIpHioJcnabMvZhR4Pbz+s9Mnh3QliDJHuvtbSNmpb60gipHV
yHCNpwClQgWbNhvqM0iYwxgE6ZHQ9WGX9BJthOgaBFnjLpOif8BP/b0PGNHZEzS8NO3P4zDuY4Ms
K8hjNm6m6ZmQ9p62H43E7N0tRKnu+k5yyczoWViNJPcrfCVYHoKQ0xx55CYyO38ZDv+AMc1HDxH1
NRVHDEb1vmGy2fK6Ojl85jFBHuFaaX1A5YWKqwo2+l9slXREcUqKp4WAbkeIJu9Pl5HhmE4LvDaq
236MX4MFlVUUjEwUMmIkUntiuANEapvZ2bt+RlaMgmgerVddKDXG+B0bojwH8iQWhqbGoHqSKstO
bV4+/+5UXJw2HZyfcOIciVTVTuYubjf5MI30hwIcscum4MnBmO+twddCGa4MZcKKj2GNrHJjUmyB
+QOa0RKVhA7OK5D/Gt2Ju/tWx6iWbddwNhrKbTY8YgsE7E4ze/Y1eSvIvtZgJ73ZIOqYvOYWI/QB
IxaNZNB8IsGX5AW3I5KhENnVHbjQXf6SRh7lFOQUFFYA4qKZnfHAjEuQinsJgMgQnomyiAwNHgO1
jSb/07jFrjzlYzefcw6/Gknlo/6apRioZjvv+1J76h5jd0dsLhUqv95+teWLrhvrpnxmBU8A6Ark
yI68+UDW36WYnBfHSZvPdRAOu5Kk2HZdJKRuoqsMwHXweWv3oNuXRixcTo5t8mZhmvsVsQn05BY/
CDUAVgeks8zNiUYKjJ2nkNsjgHZALuxyA6CFboc1Bc5sq9aCk9IsrBEsS6skjjoKKuvahRmuXQfz
NDOLkBjEwH4jWPuCMj55ytzuVjTmeOctDmpJTqZCpi122jZ4WHr3q0tmCj2H4dy5uL+TMkse/dXq
N37K2zSfRH8DMUzCdXCu6/VHP2THKogI4eSOAAjUWjvuXbE3gNpfk2a+dGjeoIcCOC0FKMslBqi4
WrS86U+vBbFCLAl7ybVejsla3TI8vufhjN++3QmvSo8GaW+tXfN3fJK3IyE3dkBSizDmcB/L5QHg
W3+Y4BrURf5tUrJiK8M+HLKXW5blJbda3A/oVS8lgRDedGdbXX6Ygsk9VVFIJ0AE79bpK2ZqeHkf
jB63NQcoQIdJZT73cjfgwcHO5O7t1SiuJVOE2Q6xtQBi3Q5r/UzHT7gxHuC9lXATG0AEaC+HT5PT
Me3ruomrQWiEhRX3UKYer7x+OvtL2L0RfIgq0kv2IlqDk0vftcDd/cwCocw/F2E+vK8tQXP6xSgi
89AufnUIRULeo2GiXxjn42Ajv7IM5vKMPE+G0eYHv6m+aM8QaoP9uCQlo28joNRjDOWgIz+aGfb4
OnmP2O5+gr9Pkl3ZvfrWJ7dwQBmtExv9aFifTdJRUXbfcsr6uwRy7+vQIpryXeNa5GZ8KsfVeVmr
a0wADniuLj0XMOifefviWS1mMN7S/zobQ/JJBhwFbOkDcGIkMU7WzukRFxcEAZ6chMM4z3XC8Ii/
UyV4VKH9vRJrfoglGFNpshJJVMTdNN/rkIrcV8YB9TBnTAe9mQzsLjFeSLJEk2Pz49eheFzqKjqL
qr7Fsu+ORQVnd4WvcmyY3BLIC9jDF4sKmAqpkdcs2AY5wEEnGZB4JU+1YOsp8+kuG01EjioXZUIu
5GdnotHSW2mF2c70WI5z6t9opKr9UhsnkHLJAxxBqBf4BnYWLIDD1KcTDKlsPpn1UJKYWh4df+qR
9U8mywlnGwboM9K59m4NUZcAMMXyvLiwtkDr+Ki5hhPTCqheVhOQ3j58+H0RvJD5A+oEptopKEWy
jf11uUrPu4FVsR8WhkYPaxPdBjDEvP1H6462RL5NoFzitAgIx94m4LZvS1OHpChkRG5HqcnCzbOO
BOs9s+fIHhByk5MwJmS/2V3uX/RfPGjyosskUQ/Cv7SOACSQs+NK5yy9GopOCTeR9HHF/l+zhRhE
cEWwfXIOkz7GXc00UV+s1Q6KE3l0vLzbvjzbhj/dwFIAK8UVMHE/HCrig57zAuePMfvyBE6XY2kR
69kz2HwHGQ90lxcQ8j3xKVqd6KrvHdIdv3RiRrMWu9ahG8wffQjbLjXZkbNf9A6lb1mAXd3pPhiy
+b4YE4jaymnkxaM8zNwDoyOMR7hr9Rbe7HqfZQmi9ihSMGHzvWFfE4IpgKtXWvdrlzxOrRefJd4z
dndKO8FHTxxIEAHu+lOQrp66Nc49+X6PDI9ehoVrEseZeLIn5Gzi64pS4EHL2cauSU9tB5IziPzo
Dao7sY7lc4aE/rlXQVnFZGXH1Rs4GzHq76uiLDEfB+AX6FCY0lmACAPxShox3tl2PsWS/GviDHZz
HRGKHbfk7aKBfGDqDIbPzC/MxfeK32+OIjoEadlsoKlCz/TN8xBGxa5zO+NRmulhbLrvzIht1Oyg
tRY/vfNq47movZ9JltV3iyQ7wnIGRojjnS+j9a6sJKSgpp327oiCYA14HlrHvEKzERfGAe5Bk+Fj
4DlTHxW3iu3BTf+3uqLxhEKaHyvS0g++FjtMJpLPoO2tO7dOrTtRvsDI766Z65U32dloCKuZP2C3
q0PaYkyu80ISsOoHbrTUB7a7LE2JIjmGjDCuRtvRDKDuOMmOWjxLof8V0/yYMaEbHMInmyHae+t3
l83Z/Zgbw7mKxWs9ds7NQhNwSHB1hjGpruaaPRTSF6iTS7lNXMu/t0K32jld62/9MYp2tunCCPf8
+TaerSnonygDyFgiWsMnoHYtxud5Rs9ixMsZYYXHJg4xbF+XhDwENujAIMhPTtPAoE6n+gAtX2m5
5nTfuZE80mDkD9zV2B2IliaNFwgVc2AClcvo3oaxiPuvns/tOuwGry0erXlYseJ5+dUx2JzK2gWh
7SfIXtf6c5On30o3YPSJwpxt5Uh3F2GSVA7Vacbdl07cnKZ11xLdwp5gzu8Hwawlp8nvZE0WNy3z
xo/Rb+tqClM3kdzjFa9KSEuQNeVAwCzzzxJ2DyOUalfM3sz6n4oYjw6qKg/AF0ljbnWrlJrcgxpC
AAluMkupjlgEvrRT5t45y3APYj/cIz4ykImb32YI/J8nPJsG0cetKZ4Szy+2VRqMe4OR/J6Z3612
x/k+bPNHn06mHy1ysq4dM4m92SFUaZX2UU/smmb5Cto6uBXtGvxe7Ywc8NsufHAiE7dtxeRB6ajg
RBvhNuqaD8epnGtWpmzoaFDrJQIKV1ZfFZjTY/rc9URWYiEmviJECDDNyjqZUbL31Qke6JnXQUv/
xvRA97aLqWwLzE6wrbTvOvhNZtD9FUvcWBGCWqVL2nhyGmfkalU8x2dGvzu9dFsN76WfUZGK0OxP
ebM81ox4tlXwaH+KFE5vFD/d4NmuX7M6GB+yYaaoMkMoflH0IgN/LyTUJdcuLwCrUC6nIbvhhtHW
sDgB+jQPyaA0PiOnBC4RxQwywJCzUEke4oDlknJ3NaDzodvUhGos3La4OS1ag8HCGDZCUPVm3Fgc
wecyf0FKANzTf7NnUd35wbyn75iPwpzu5qA6WtRan1oTdnVXFNG+lmawCes4vhlOt0ez/2ATS3y2
FUgc5OHRNOXPfLVWagwHRTp7GLZ+QH1N6zqjygKLmETbpIEqxIjwvQzy4ZCOOYORJJ2PllFdq3hM
b/ovrsF70JrpG2TOmg2132E00JJ2lgNwLcL22BXmNfZs84qTijq0cX+y1houI+MXo8M7CBC92vsD
KmTCnJoL7Jy3gKjvR1E1qENnVOjjPKbHslqgsBuLo4LnjUeD0rl4zYcy3wvgXqf/2KWb/5QoYFEy
MZ9aoWPzMCldzl8kEzBZmzkwgVKWWcTSqKFqVNJ4Nj+wOTqsCfa7tvrgH8jAnjlfqUrwtxTZkx6B
9p7DGVYNX5gMDtvUqHZNUyx3keJ2lTKNjwVIi5SMkc2szpPcRqrND/goYtuE9kCjNqyE5lUZU528
9j6TBpfd4/qBDcnjzQudKZbb/RrxmxDrxQAti7unslg+F5m6o9VUXqYlRyTc8F0I1h6v+VNpiAv0
FKa8PZL5sr1DLID+s2X2XrevNbyHo6vnikrfLQw6CoekS9d+1UPXispk45j1S9L5P1eL/JYhm8ZN
1CJWdY0BSYlS4ztpS+pwud4CmygCPG8qfKEnsG+uD3XAcKK0FEO/Wl+Ln1p/PkdEphAgxAspJcBY
+KxGpuAGf+VU2x2FJb8cjnkbCmvzkTZMR9RGmvdnjbAALXxuGMElC5r3bsmfgn4uHwK0xTtQNl9b
HGycPPkPPTNqEx+2wBocQBh92FVZ/ZdUy/un/IJXo+mgHLPC/6F1ywTjWRNN7FZPAa0px6ldKoAt
WtjFNc9RVN+TrDU/9rkNz7ombDqKnoxUIfTd1T/HUQZKspjQEsmEayIloj36E+rB6sXqcNPYldM9
2QkstJWw162ePUSdBM04N8/67eNl5tcikB/VTIWTOmZwgh+PljtpjU2NsIFIntYkNrL4BeaZnbwz
DpfK6pONjCNmyHktt4WFRCyV6Skqxv7BGN8pcdGOrnQFXlCTgSlt45jD790VifXRxQYgRoPKnv3c
Jm4Y8jcd29DSsoqzHtRqawSNn5BkpaFLl731xXKSeKdvYxyo9BgVeZM96fDKjJH7jf3po0jusLlE
l8YOrnbjFrysnP5YGNijGdS+JUGB7gOPzdJ1atCe8NuuNBrItUboDGQPJ+Q/IcuSgsGzZY/HFKZL
hzFkQzsw7T38bLiRVwwHMQXjDC7TUxF7Vc/ivCuIAUVIxjKR25fO4WA022HZA+MLr1pg2wfiZ1os
7/p/hMAy7dr5qZ/8KoteRuUPUbJFNI6cFcYc7XTRGqnnFk02+ir4nUpaGxOY5Xgj1NVMjZG8+sNt
w8d86UhzaxSIzX+lhiM5cgUqldsLS8mkQ9BBL+mx/ama0d72lGKlkgynefXhWgt7HjWTCriWsK+s
XWBb857h8XOiht8gz+v9VCafZWY9TYuY8XyI77EiRGv5jfSbdxZwpGuEF/2eNMi+w9bIo09PmbvV
y2SD6lUSZlE5xsl3+h+uMTv/cQLb/9Cuep4dCNyhaB9N3w7/sFZ6iQc13SGV1M66i2Wn86HMI4/d
kb9uGh/XVpCtn20rqmibYmBr4LLUGpL1RHQigKk71rZz0JeHq7YvZfcD7A8CazqqbRCi/zfj82TA
RmQkpFX32ldA7crcuBQ76YJLMp31RUsg/v3tYv9DX+qxOLcD2yaHkOPiT1Fnm7C0SwkP2qa+vGua
ZKHJntNPRFf8iIQxnkz7i9776JWYHiXq0i5lxLjFlAHV15/winjYR6zvNmJuKEC/5ij6Nvt+cGxq
tgSx+yCsGlKoWho0zdeiIolptTp2I6j/CrKENl0oow1b6eY/5IbiH+ZIfj3b59ohhbbJC/1D3lez
tLOSHuhq3yxveevVO9HB2spnogedRkoevHzeDu5RDyP12kG/d/yy4+CB4kqGHAPXPM6fSRObMN8e
tfdp8LFsIGLewjj7/u+X5J8SST6z42vWo/Im+39IJPuyDKl/kP4lhkuq13qGiP6Cb8MhJbToTs0K
BhwpzWaxGbkb6RjuJ2epIUuNVCwJsyxJfNJ/fCal7f2bTNKDSQIEQ0EZkJb/qSlvBWkoHe/erWmW
3mYw74OGnXRAXmAak2Fa4C04dZHABruszakx1ajCjl6MmDolI37sPz4OOIX/8YE8IWBaWCH3rr6v
/1IUWf7Q9xmrKqVuFPhrgNMWnAYXQ3gXHh9SRtyB+KCyr7atawlY+8L8pgkYWu6XIJPDwSvDQ+yi
QJkSlPldJd/0bcBs5q6wUEf0/nttVSB1MKvtXOQ44HaSfTYBn7BaKFw9k4FzNxufcqUKtKNvsUnL
NKbNNe9mppTVihooWM0Hs63Pwqp+Zl3MbFQdifwnuuixsg90lFFWf9RFXFZX+U4Z9ZehfSBSJHog
+GfT2+yyK4PeLqIF2lhJSU6XJOyXfSnQFOy+fZ1/zd3EvE6ggTa5qIyXJfRfWfFhGltJHW2zqf9c
JdNHXU7DRe8bRgGR02JWDi+Goydzm2PmPoEXGl/nNv7hdgMs0TyriaCwkTxb8OCUVBKTfrUZpUVO
udeQjvMzjMkHsO1Jvouxf2MWzruqeG6DDoYSYXG06L9mivHO8cmRDO2KspyRhQ727tjGl4W93uZS
guUP1zOWNOPgk58IAdGPHx267LpFBEyA5KlSnRgwj41bzfa+6jrKhDp2j0uNIIZK57vTf+/IsL/r
YiUfNOPsGuDQAxYxlJtVgCCD88Oqx2SuNYmjmypIiBfSxy6IrCk+iShAh0IS1n3nLY8JCnYiMxOk
XHEc7JLUCXctIVsXvQxdq87Yu2S2tgMtKoZo0gCX37tms7MxhwRnyvQtyMLjLIIQbz0tlciyaa+k
5szLNSZAMA+b2C1fPHwQpCDiSPRonZOVYHrPTe9y5F4bLYCelU1uzCTB2OqP4dg4Iw3kXVMaL+Dn
P5KeEl7rLbS0eiKbg8FbfTcNzjerTplfsmmb6aeYOBo3R0iOwYF9cihucPGljDfoDhyqPJaiFevT
jXR+S1mUBExrwUaTRLdcwf5Tw97Jyes/t7wwRpSgW9cIh6t4y8vW+i2HSyP8JvpW1+2xru8ZHpKv
XRl3eVd97yxsdR7/6Qgl3vUDPG6VyyXXRO7heYYbHxSMQo+/TeiNgDe39/olZKwhcOQU6lxbH7Ip
EbdAyGMO7fGghRTYnflt7HHTdev6GJuXUGDHYjf64daeh7VzJIAiACcgTYCfmDML8YjXKbt3G2K3
x9G86HDn1HAPhFoA/zIshvjrerfmVH3V7Ln7pbNfWlEfc0bvjzaky65H0dMMuThgu3QOY9eeJred
tx4m5jP98kmOsGziGIysjHCcojzRIt5UOET4xkhyC+EditH5yBzwxC5KmGNr1OhnxvEtaZj12E70
vbTvx3ZZj50kS/b/uDuT5biVNEu/SlvtkYZ5MKvqBWKO4BjiIHEDk0TK4Zjn6en7c/BadUpVldm5
bbN7FzKKVDACgP/DOd9xUsa0VZBB+m2YGHkEobdquGhiO2SFqjFdmPZOEl8tr2QjEE0Hdm7yQsTP
s2KUNfZIygUixmbsf0Yyzy/9UtzavTyVoyZPSXZLaX+wa3t6gNlLxtcivrD0Hk/q059b+8a1autk
4IJwcmJT2CAAKHi1lji+L9lPiUo1GtjzWcDFy5faoA4mKhGGaWHvzcTGMemh0vbt6LVB/chIg+ww
WCOyjFhqR5hqPDQ04WBohwyL7g35w5fMFOJxsCwAsdgXbTALeWxgijZUJLgRv+gL1k0j2jE+B6JV
IQSxc4P5ev9jradWD9qgxE0WPu4rZZhaK+KUWx/eXTX+GHqLUQqL9HV3U1f1x7JUb1ZeQHcuCnFK
KnmzlnFEcf3UtdZFhO/4BwL6kJSyh/i+Fqk1k0amkc52TiGhjzheZB6ERrmcZ7JmPz10kVQqnTyF
Rqk8kZOvOBWG/wQWj0lTxVoJDLae9xruaL3ZGTsy3qaDXqOm7Yf+ZIvuFCulXu5nhB/UA0bTYboz
J3Qeg3juO7V8tnoXlxdM0jhZdmm18HBXp9R/SqvWI8AfvcdkZHM52Ozieu6GAPjP2iH8JUgxjo2G
RLFVTyWEA9YIXcxl7r7WSmtT1Xdss/QIVYAfMBlIkHKvE7W1UGTWfFiQ0+ziouXzrD+0fGqPg3J7
5qrPSEwXChlPQJIzyreoJnCJsKK7PkiMM43G1vG5sxLXZIimNvR9Nd0oUX2dpN2xSt77utlCg4yJ
thG3+ey35w4qR9cVwzFGvUICBy276Tebts4ukUK6iACpN+w0gtKbLaEYalrO27WKq2XMwj4VEbtv
cGrJ0H9bxxd1MN+6eG62q9leTEQngMYPY0Er1ip7+YpKSMw4vx8C6mLdwqqVLXA0EkkMp67ernVX
oSEiR1vMAsdfTuuz0YTBdAY46t2CaQyLrJf3BqK4Qg1ACoZTnLOqhgB59um5NzuqERpr6tbiW24j
Gc80pijA7tg2K9JVUtobqeLBFl++L73t7rqlcgEr+faxKZIfsw4oNTYR1MlpucI0PWrc5TzygYuw
7QvY0Y1dm2/N3LpgOg8OejE86JolL1nSBKgW0CPqA5SgKCONgpZySaYI6IKXHVb1ip1FWDOI2ulG
AzN/x1qvtwco0ojsLGwyrFh+KaUZk49l37fOprJFtB37gOW2EnKrubEzVwirFvHRuQxQvac0Kir4
NOU7OU0kF9csrmqmU8iZYrJVq/4ZVIY+Dd6uByi/lSiEVK0DCN7FeDDXl8L62UDMfrAfgy+Lrhk3
tdLzsKp8MpIoOKyf8XpwZqTChVaiGZdZJoeq1RskOculUpLQUgX+5n7+atVmjk+qOuf+vcOs+tbx
p3uKkvFsGLap8MX5wZgbsS/MRPG6EfuhcwxBMWfnyjTuCmZj2ypuj6rg2K7CucjPXtvKKHYTEkUE
WN2xLmQfVsyviAStH/Wx/Ek68Un9r0arNM3Ey+VW+yPl/1pPpwc9Ku4yjrVmESb6SJ4NYAi+aREZ
TquyKmF8AYbkmI8gNqbxhCo7OABhJ3aYhWnYRAXhNkqc4iT6/Vj4C2/mDsA0CvVu+iiqGTQ0CukO
PDSxGRatOkEjp1EkT+Mk+hMC0KehpZQaK3BJs/3eQ+IGJjznm9rw1bB5h+B1Aq6O6Alg1cU1iYj7
XOD5ckas1pSrI30d0yGQcZn+e/tVytWOxOPkPkWZcOR5mJen9ft6rjzQx5p1AvR2KyPfPMZFdFzL
yliQ39R56FmWjLk/8d2uGkcDYNI1/Co59xTiinjfVFi3PQ/TaWknj5GfUDnUzY6gtnqfVLG8DWgq
D1GgfRdzptg2HYAgJ/P3qZNwunsoMtdizMXjwAAc+UxEeLG/M2RiP+T5cvx0Oqxq2bWNtnMCcl3E
PI4ENadrzmNMLMMdgc+7fJqTPfZwznIiVA5BRwqzkn1NinnXc81a/paHEKsbJR0RE5JsuAWl9hcF
kgRSwigN7VO7D+0Z+1JUH2Q0s8vhODeGPt6tt5cJ7utt6srjepZhajnkRosCDDciCLuBOBW2OCvT
Y/bZyxHsEvopNs38VNYUql0trK0zoFdeP50CSaaMSSNaf3bX8xRJEnm73s080tjWlizBFo4hVr1K
+lU2ZDWpcnOEL7IbMsQwHrHJi584G9shNkuRNpq4ANPdG/lmct+wBIoNF293wHR1u3697ehalgqt
8WLj2mLJpkbV4oD+v9gOM/cObLhzz9OsqxzrsCpmpV08xjCpCAC/J1ezgzlQyDB17Lc2Npsztl4q
AfrALLE3nqTcXGsp5En1iOMnHeIvjMfCjpd+K1z47j0rMnu2nCIU3mQSBjseejjJYdGSbYXNKwpd
m2gRI8pL+oRyj/I9fkkClicDuVJFTOJxZEe36321zh8HvVnQt/I9hYrKhmgojqYqslVZth4X66xr
wrJB29YeIf4pVEmDnkQ7ZZMKhY/MTyvYNGOwGciiufEafePUlX3njgJrQc3WLLfr7zAzJHHJbFHZ
IT+m4DinXvBclcY7qQfOg+kgsSq99tVIMch4ARoNO8jeuxSRQ2Rf1tNf2OO8Lfr6KgcXzP2isbpV
WvL1lqg5Lkh55hzySlo1ZoKuHzzUtnezsqKMnEAVO4huh1pcV6mgPzuvTebMYazUnCgq4bCCtFN5
38qGNzG6PIMz+TLiqTjJarojui5AzRF/T2R3TPT50AB/v4PG/QnAWAq3Uymb2TEJWNmrg2WdSdkM
TNo2vYvZpPNZJ1/AuGWEtE977Jj5xu2tR5a/r21kxtSn6EVFMNe7yCAKhuDW62o1cpXtSTozGCHd
oUWI+MyshVhgKwWkooNm2FRVobwBfn1mIlGAVC04FfcD1rh9w7SmM+vpDnXH0+RKcekdGvqpHE6G
VvV7Qqin00prSO0IBlcaP68mhsk2qkPUecS92E3AWmYMNqgtqm00loTrBPEYxo3DIGTVO/fEzS6B
9bg4bUkzEI+8AifbaBUD5jaad501I6FJSg86jtoX9nIJc44eu4LBEECV+RTvx6ZANDoyUC80RDA4
m34MsDCPzaAfhiCtb2pamJR1EAwKuMUWPGTDKxi49ArJGw/vg4DOoZAW63NFF/Yt8RkXkWYa3Sg3
eGsT/MZs4DJHwD4AOLxqZexvinm+Xdkma41Z+HTd0pHKTQSrzlseMgVq6iUrJri/T7M9ZNT+0WUF
faQN1pypfKkVG6Wf+y+yH6adP0hSpbSKcZ603mn5nvOG96gzeJQ7QIK3o2mnt/R3BkCH+lpFLY3q
aH4+BtyJkACH0vMuj/AtkR5Jr+fn7sGouNEfVd13iAVhCHmXlZdeshpwublRFfAYSBDTTN54nyE/
3bS64YKTE/bRjdQUWTlbyOLo9ot8SAfOI5nSqJvsLSQZmxvwy+xU2ukpSEzrUNAH9b3TfKrgu54A
rFjd5QXJwM54Xm+ddbZeJDXKKfmzjGge5zK54Dgs72iv/gmy9b8bIFsgX1w2TaYOX+EP+mSWNX0w
dSQ5ufD8MflTlsQ/DbWmScE7nsvNpLA26+G/YvVY/6qDH8+HorZaMviWK4pUDlC4SF40QoKOWNeP
6PNI1ISmhEvK/CZzzkZdDO4uho/KyD+jx1pSM2zNiHWI0zxkhHje2Po/dTKv+Lw/J58gFQEj+QZJ
5n/+fnaXAZlxzAnulvcVJyIGlWw56aP/lBgcVMBMzb2hM471iVHaWHq6oJCzb1fJRBKwZIE2cNZI
bWX5ltpnzafuIbcDj3uSnia73U+IGR9blNX4g0HQNnG215BvdN7ZHVBXzp1DmAecw1qK01pD+O70
mHNAqX8Dik7u3+jNRTomqhVmRFvV7AgaA7POr8wejVOXFxcOzXIX+2pKSsejo6DY9qmrAdd274gs
RSSDr9xRygR9yCnnHjIVakAsQLHTND3ZIPAMs7ztD/VgU1mJvr6khXWE9YRBqOThXoLjgmo55Bd4
KTfFhNyCAR5nkNunj1OrbcqU0KdUAUBgCp7r1n3S5uBIjHp8DEiJ3rRWH4Rrj+4jgHUitMpB/2Yp
pmEa8/bbKoRdH9roZgIGKu/xFefBeB0x0yJkbbZVgO1ApOWNGY8kwqhqx6LsqUwzJ38T++zQIPBj
S0O0ZSGHsPXn23iULpLQ0rnDMYq2Ct3VsfedH/i0cQCoejVLKpzroKUM5EqbwuuS7Wz0EGmTiVPP
PpjkPyOGLKL9AGaV1beLkjP3dvpAwS3siK1B1u7K0focDEqFi+xmCAypva3L6SsynvSfLH/N/2al
42EIYudhW1x+/h93JKQnc5TMTT+BP4yec0ZsS0wgTU+hb0dk6DRkNyq8YapA9LGS4K+/rYGIqlWj
01Jl9uheC+CsN26SaThk+oxDvtEjkoGC94xWYQusp97948G+9WfOFc8+ny0D7YKCHgA9+YMbwPlf
0O0DT1vRarHXu7toHqipg/muxVBG9mb9JbepbnqNPpADZNrQTe+XEgUofDaufQBaXGjapWk6sckm
8U7AGTQwgjGIrhQnbIw4FDNsO+Djvb0w62uUJN4x9k7rfsBvQXL3vnRxMICYsuwpZCvNrbScZYUO
pJbw0PQK892nd8HN3rSF7pbuAWmxq993iheG8E+VXfi6s2TirCVDuybgyrbfTEJKfJF/NUn3YEAu
nhPTf/NbpIcroLLveBJkFENbrnXiWgMCllsQeh2ooV8uhSrOQeMLBtpbxXarA8y0BR/UQtr0au0s
XBsAkXgQVPg4NUEa2bObMSJ/KV2Wt3M74vxwP1iwMsGdv2O4LZiXAadOX5N6pO05rca3dSgiYFOW
KbpxNYXed1UQIxB/dIPpuC55EzW7sqrXjDt55zSFhxP+bAZUQYqsx7QUb6niVS0FLjBkrp8twlSn
Z6Z8+K3U6i3pUI+POCSU0IOwUwT8SZOHY2dRjSh86zqCrJQKTNEd24DHD4lYzA6qogqXTnu3Rsu7
lEQ4ki7+UQrvWyKi05ChEaJAnO4W2gbSdv4arqcmgNkZ/a3tNK8x6SS7ta52lETMqxlVpSkzVEVU
GNHrhnYlr+sGPTEV5qPUyUbxvBBSBcKIkfksK1BakxU9WDwznJLnzPeRF0i5Y3tBdrxpzQQHsdBm
OLW3YvexB39/XBvY1tqbZokjVX17UUXFHrV4Ew/TQ8wBqINsjXR2F0oGk+YJyoJM7YnMNz8ZmwPa
Do7bMj6v3117NROnZniKq3PR8RNg7IZzp7unoEAnhtNkwWVwYAXFYCWOcsIMbFoZKQ36A4j/5IxB
bIEq6RGSxxmIIwPzY9Vg12J9+2ixVAEdkl3FwnhrTa8ASmFtXCsHaVDhrWlvDC8N9txAt2tiRcKs
h/JjAefZIBLicf8ZAJAocYBn4N/4vA0RJogOteJS+VRXaALSBF+B3hNjFoAlWR2CTWfFwCajb2Jh
q47uGFWf7uF4ixqcgY0R39VLT+BD8AQt5C+QfaRgbFPnaBtbYCpdq3/Xji8zR9ReKwaU2AwDkFl8
NqrrRbCOOHWwsdsqI1xz3XXpDLhLWyqBp/qBEVMbR5BsoCZmth6ht4q6u6jjURq5RUdEZfAwCQm1
wRuHI1lB13pBHb0U0bMuaA3bDNtJ60a3ZLlVZ3Y5+PCH8lKU7Q9tmhFe+h7Gw2RmoO9jP98MTIUe
lph5n1Xr2pM3tO9xM6WXFi/JWgsEOq7aHhrNXSzabzKY5WfVXkn3pE+GeS2c4hnWZwyoqA62rtJ6
NhaOW6fj6o2zBqnfwKxT6BgLW7SFC8FWhzgpu61Xwz/Oh+5WFPGJLGbnC37XfZWo4SOh2nuf7eE/
WzOvWJjfq63A0q3AdhzLdnRH/wN3tVTmCJOX67UDpoLblfFtOtvGnaHn9XYAEUFfEbT7XG05qmR5
i7F9PLkM2uC8jeexpqkSksGVw6kvsKM9GdA6tRa445LnBv1Nol9Sy/7padOO/p2ENZTV3KXIhAv7
CDkKxkRK8xDYMto6mGu2/oiTQCNL46i5PQrGwnnWtDchpbNlmOAhMIuTfcGY5VB5Ai18fjeQwUDC
GeVKunjnrqRr8WbfOMoUIIySrKexbUMkIS6pEr29S3K2MGoysn7RVvpfMaTNuerz6zgi2o3VdW9Z
z9WoZZ8OMlyj50xj+tnGBLDDs8wOY1K+2gtt2joj8HK8TFrGy7W0jSHdtxWegqyg2EY2PCnnyrZ5
2a06lSpzol2DktAjKfWwPk9GBdtYh/i9mW4KM7hvaYU3hM/il5zYErTeZtVS1WApMcO0G2tOm+06
ZhlnL6LxzLY5Aq5okXemwyxzfb5bRZtfHBWQZZb9c5BUA0FhP3vjuU45PKQzWOjrwgEiBBomSLv3
hSrqbKUyXrUiJaDCymTsQqTZrmmX10kM9cZoKsxSmtiTZ7IWkCtbEcp6f5nt+HFdP64bVK0axp2p
pSdoaz8qvKoqFxmZd6az6YqyW2dmqt+zLQdMy6No7tN2Y7arqblDN8x+UjiY+ZHkFGneH4TdcO/1
bGXXEZ0gmgr3wHgyedTfRW61hGUcZYdGL/dL7Dyw/2X0KBn8MthHXCJHEkWUqxYFHKNYcuhr3RpD
Er6pHqbhfWokWg5hfFpQF3NyNxYJd+ijY16MZBwRpfU71Q6bCFKpUX72JVCk/TJO1jEyPYGssgB6
XLnpZ27m/685WYaJmuV/Dso6fzTtx/z3OVnrN3wGZWnm33QDkhWxCjZofdvzUBCNH233H//Gl0zH
Zozoe7S9SIwUUFDtZAjEsoO/mS7yFzgyCn5FKfufWVl8yXBJlvcNG0GvEib9S1lZv8lgHJvMUl/3
fcRN5HL9V61QjycVYKNC0BQfRnbPFbOwNG/hzUQEY9uMpf/urXn4fBL/fWzT7wzAz3/PIGWCV+7Z
KOL+KM/TCchoPTH7jZObxXwfifcdXmbzfcovg/NPVUe/q1j/+tdUOFRgQGj7L5FIntuo5bs3ABei
/VxexFGr7gHIEPxe0Fl+1KwUe/PU2l/aKMzJy8wKY+/qVzbNB4/N2z/+3dE7/flu8+R2YJn5jml4
usdH95sS2xRNMWsJylWYH18a/Uaw+5sL9mlNvOfk2kTFT6e10DXiYqQiCgiVidJjpI8PSGleci+6
TZcfUsN1W7k+mmydg8ECBOCci1Q+1o57Z6E4UQHOWeP+mEVxswTNDiXypZ6CxxizOlC/dJiPxvDU
9r8M5iM1PVhtmZuSyNDCq/CFEGf8gbwen1wTlsMPCyxBjHCoC3XEm5lkyN++YDIMo+5+tlrkmk6I
hHmbEJ+gDRgqGckxoMa9ezJ7inQRcRYfWsylDlcVOohw7JewKKuw7LyN+h1ivnPW4bH64C+wPgGI
B+SBVD5HFZxvkBKGCKtD23p3QUlgbw9lw+kAQWpWtm4Do3cp4bjN1DzEy/BLQfCBnPMuprABhGL2
HU/Fo41fE3eFE98jBXYTxixgzSTToEDe+6R2eQ00IMQys/HiEFbIRxVKkLI8spnK2CAPtuhYZv7U
4E1gGx0CD4D6wfDW2PRG6NQvC6N89f6J8r7r3iTOzoVlac4/ZS3ZsWPm34/ky3uwMiR6x9nYObzj
fvoiF2RuuK2THiPpW+W39FS84+ULv3OUPqAJk+inO68ITfFhT6dpfsnQUTAk22rsFtwJNk3bstOF
vD+0YTXDKuFganj3FrRWTXOjMlizNsPwh2NMq3biYIzvJp7TunqbnfcKPDirB9YRQF35KNRLYI6r
CqgNVvoQCIJyc2zyoWdgP2wNBNwqmjyw9xXbHAQROx8Breknj+rXxbBPtrzYIfzYyoQkMWyf8TBj
Wn7PlpuyfWOHHQzXlM0kPhmV28PUa4oZIksm5ejW+iJ0Ud4VxfuwdKExm9imNFYBsPfHe0u7M8s3
h0+v4HOaI/ho7Yu2vBlgF4aCK9FAxiE+DD52BOxd8qUduUz4XFqid1wUvxabZU2ifAKiktUgPC1K
Gr42ktCr/p76HGRH8hv53lZ/bYt7jTvSja5cEkio0TxH4WTiabcMjEak/zGdtxCoqcvEA52kT1xw
DvFxnqAXbHaRn17wvCz1cgyq6EgMOVYJlRnFYow3Wg+u6jc0kg9kvYyzeZvxrBAHstNbcaj07Gh3
4gB4vsuQrZSkyXHP4q8OW2KpnIzcUhZiM7OKChxXnHw0XMR5C4wAGwq/pRw+jPLg1O8THywBnhvJ
xRdx2fBW1vilWaTgO+LN1B3gAbwTC64br7rr0hRVBhoHO7upHf+FJxq6o+W50qaf4OnDss9vu2Z6
ptTaIvGBom4fapMfba7KuG1CsxvoW1ZMCx7kgNervqoboOW48Rvv21g57GoAKTvWZjBx8YybNHuT
wtw0ZMFZRDgM9YtBem7VQ0Yr30vKtIB3tDv7hrFTZ9M0PXr2F4OPq6T1jUkhKscPE8uVxyq1wZpH
dsuWhMNd3IK+xOyesFKYm0MLA34ylF6MrCORU5dtezd9jIV/0msDOTsXEs1JzuU1uASU8A4VCNsZ
x4QG6IWK+D+3/oDMH3r2NTLfkvR7DEmowiWbEZNSNPaZecXdQkpKxQMP8cSmaN+ybj/FX4H2hQlW
c3XtqhuV+4CGBl0sqFBekjqdjJKnHVpYtP5b0hyxeKZHZFZbLXnBh95CLVtMJ3S4F7P63Zso5KaX
enppuIkkz1Iz/5i5AT3vpDgRNsDdVieqhue4HufbCVtmg824JiR5inaZJnYlSTa+AOuOA6ctFn4p
jsWRTI15wdeEI7q+r4n6CGrAhBPdTB7j5NM9fe8X1r6VAq/Q9LNpUQ17xLJmbnYebQw2ftZ+DVxt
24Pc9vAikOawabpsI+ccyzQoMl6rzD/0QSXxqS20i0aFS9e7lvAAe/PaJLw9433pzoy2nC2+rmAU
6N97hIcdMpMFMpN7ouM7Fqgds7ZWu+6NOoAKvLvqk0O2FLrw5Xkm0kUFZFeUgQATj5DRxpmtWQw1
Bb6L4FvlKCCNfdOznsG3rS5t8Skm/5fK3qcy579/V9/zs6zmRoq4+9///tufbuVPtpnlr+4f/q3D
R3n3Pf9o//xLv/1ksmr/enXb79333/7AbUKq62P/0czXj7bPPl+F+CjV3/x//eL/+lh/ytNcffzH
v/0s+6JTP03AAPmtHKbI+5/L5+v3tOz/CJpVkvbP+tnwVLVLqJvpWnhmXVUwfpbPwd8cal/yYvH8
EUTr6r9VzxTdOvxmimjPwMn0f6tn92+W52Ns4t5BsY24/1+pnqm2/xyWm5ZO+hipSWagLAJ/5gUl
Qnaxv0wqkwJMlw7ndF+BkF20vGXAlE+XCSOq77yaGE27aJ5PYma05kyXaECW4SIoLTOeTJC4kMWz
Rp1Fi2IwtnEXEJ6S+QU4k4R7ue03lUcQtCErDqXFQcMX3QvdvXZwhbelY770TvakszPtmPGScefC
Pe5wL44AKATcSMDJchNY8nGw88dpmVkXmaAZUtnfoJH9HvncUuYIYGga0jdf48ZpR/yAF3KAHaQo
hht6fqPOPtJ/ciCZSHCdw5Q+a1HXIEE19rTkrxl9P67g4JdvUpskLjrDrrwv1JHmFsYdo3v8N1Fw
cmTEs9xCgxFUNB+zHVRoFrr4OOmUcigvYoPFbCOe212l5D8jNXMR3Md53aAxc9FlxXHNpGIXe119
21bLlf3CrevG5B3kL3lRR8xs069ASnmzuq/Y8OqdNqCacZMInAyFQmaArzA0dy8bl8x4/QtsiGXr
zU1xSEW9zXGgGO4QsA0biSb1/I1m+fW206k4tVjHf1aW204xTTOLw9oZXYZjI51/Ubgo3M3lphpi
NPsdpIOMxQF4gOIox3SbBGT15kp4MvgjZIQ8OhDQMWL2SSDYdiBkB39+RBDItgRZu4w1Y5t3cA3n
aoNJ8BfB5GjBpp6IkzR1ts0cjKFrleYNXEFiarvE3y6i+CllQmABY18YGgBmgh5qQkRcY9Mom67G
6MaaznVCWTOQtXUKpP6MTpUHK4K0MCqNo9GSOBxYiIT8Dl/44IrlMLStdmTxcmwY6jS4kU0kG3ub
YTYBCaeyIzjFH2ipvASATVHkQ+iy270z4uRpioJr3nlXL+bsp3BMXZ/fZ0iHY78cBbVUMHho+RiR
8Rl4BIAJ79E3i2BvsWBCwyGOoEPm0NPg3+gdeahzRmWSYxMpLT/eETL8EZnBfDJEXTPUkja5jyVq
a8l2twugp+LfZmQGYLLpBmdPjtqDboGLIPcd4Hqaoe3wg7ccKvuGKaHxHCzJa+yhs+ojOHLBDS41
bxdg+qToA+c7TXRsmA6zE/sQZCEChRXz5nONM2+TmrgJcBhiQzNNBQkF7jlmwbdYau2mT7DnpaV2
Dewc8gvI6I3TpOWeG2dTVHXC6Koijjchy9UfxD7XpwDHnIDWQrsgep/cNGfMOL3DbPIN2mj8juxv
nmYXT4XZPfZotw9Gmmw7I8MLIK2fpjprsXAfLTdJj0utMzCsNi5mHeT1qBrRa1P6RiNQUaTSSCKW
XanToeN6ii5B1dlEZLGD1EEIVtqCABnA48FMrQnjgtxAu6MEr64TTIxXUMLPCR/f1s1lyuBKProg
ArgDmcUGC/Jt4GUAptM70reOk/CysEKLAE8Kcm9c+OUuYoKXLr2J4INhZ8lj0HWEuZ09+s3aJ7us
lpazK6L0a5sZ3+Mgz3aJlb9nSLO2QFi8DTwSqFiBZrJDIhJEa+kH6c/oK89YdsQe0f793NTXofYt
yiEWR+h9buvktbGqQ9okyaky43fLxeQA7xiFGJdrDvrRcQiV9VAr4mmrcJohc4tqWgnpu3dGbuv7
Hleo3wFHJzlRsp9JXuzSoooX3Eao6ekc0+R7lHTZGb6hCSqur8fqTlLVe3TOl3KYWfwmDP9a4z6Z
cBsPXGUQT6DIBvCvu6HCOBa/wl8hVCe1NlFAaV5Y0/c+8sERmGyV/FLgp1jOxmDC4NDj66Rmi6kh
5E0UbyIWBmlSXYA5uuzQNawBjdy3TItxTNPQxNWIPlX05nmKmovuoxjWeUj7PrNGNpIPTj2Sblmg
DsiklYRZF5/dOHaOXkFv7lrGbYTXNSQO7tUoPQ04WOxxr9UIUKoco4mGqnjXNwaOxjoFqNcZtzn4
hq0PherWyO8bt8aM5hcYjRUB07fOvmbbBz1q/Y1EQMDEun2R7qvTNPiKWSlael2chi49yCzo9h0B
VVD+QZwnNiDOgoLecq7lUP/S67jZyk4yTc/0m8Em6SwPjHCZtB8lzO2tQHrVYvAwKgINGmTRfIL9
Q9KvV1Z21i3nbOoY14pmvtcKjk3TSe5dpt01uPBIW+6EFzlfxu7GTxMMdAmd3Kw0A47H2rZLHKUy
DDZB0fECwFgh/kG/kTWEslsWTZ2WbluWUfsg7IzuzRLTvFtmT5ygu8JitvJ7bgcggZH1q7MzcJua
8S1O5bi1QNGKtnqUDVq+Oh22CF+jjZjHA4XPIa0F7A+B4jNfOLmhvJU86L9KCV8rhfAXEgZBdI6y
w0YJ1oEkzk/VAqaZBweliBpq4N8ueh2W1zdIcCcMGkfakuCQ6zwZej/Y4k1GeL+YzClYOY1Z+awb
TbGXBVdBLOU1LovkPGsDThMD6EgkD10usPrLatxwsRqN8jUY7SOL0YCA0J1dsnOu4Tc4JaiL/tkm
uJWFZ3pwvfiH5bT6NqpRxKHgBm8yMKe2KzxsIkXDazs32A6fqbJSLXmdIxxbJOeEMXVEpTMSig2P
ysz5bjm4Hfyo/+61iGgK/2byvZZ8Mu041t6pkf5JJf9Gsv4+4ApqC6188NoYapbxCnuAFfUg+bbU
P1VD5+3SSQsJzruzKgiCsjMuheQZALOdoxF9ZjqzwUQtwTPJztjEmT0Iiul+UkOxvMNRCNURW6hN
5lwGHA3CAIaoB8IG/E1Hkk5ozd4Bd1TDB+Sb+8l2wmLq8V4rtL7I/M3Ym4g6B2/PoYSOQbjJMfL8
F/0V6hbwz3H0j4FLO4WNhSWKfuMIWHFyFC+Y5ft9ksPWGKP5GzUMsUkCOFGVyFeSnlGUzyBFowJl
v8ELJwSN4rH4ZQ7DFyHGcc9G+llv22YHnEcnoe1BJh30JHPiw9HHr8uY+8TL4FkP6JdvZ3zjKH+E
gyg6nm8WLrDZ7JazkIBw8Di16OW5L0e712/yKXGPlpGLW6TvF/TWcCIRtNZNXO0JpBmpNzIWZnGB
LVyz0ZS48k5MuXkEiRpjZWwJYuTxQBOh3dbt3G/Gpd+4ZuRs4srgESKs4BpF6cbuaXDtQrx0hf7c
6S96LgTsjlPQFQmOsIwcWLZ+hdVVp0kpfybohlnhOmejFW04l9UTBv/pUrHVpo7UWGUGhsnpiygq
Gw5FBaNLc4OXQIzv2iRubPQv8MqMwzAF+Sl2WcMjkbSwUiGjqTGG3Jk2hDWtg1CAAbrI2U8eyD2d
79uovRfanG0mIrYOuOJFm53avvkQlX/TlFUfugQyMjX9nnd6dPRaCJXxyPppxgOqu8dZjxwgiM6r
rkmGeH3xgJUVcVRllFtrWSg2irCLMgY02SvcNGLOiNcL9cYut7Y+HAIxodwth3v2gj4XbXq7JBtL
EqXgLzxqrRa7n4Y9GmWy0dAZGDze8nw6+jbpk7p1KTjcQ6F5l3jkyRGRgYrNpjXP6NsOfio3EJ33
lsFKMbWxNsJciTfw3DOE3SrtMWZx5nvNz9SWOgScZbxHtwFAyCP6ji/lo6iPjDSxJbGW1y1VEOMq
jFS6HPhe0NekmSTVuW9G3PFBf9TMqmHshK6MPj8N48nHnJpDCRp91vBD/LXUT27uF/uuZfFoF82v
xGFwILtJRQIXAcgE85dj5EXoDeUMjji9cQWPvrSHwUnuQZ8hVM2LHKdNamMh9OavaOFG0IwRTKgS
yGAMuSFZnticgrQZYfzJOTnjNbL3AWJqQ0beBcsXPt5iP9bWz05znnLSmrZRzuv1tOAVa+2PtOY0
HLGH1tN4BM/8S9XZTd39ygot5lkDEcopTca5selg1jr2VqRSleHOAnm6Lh0DSHPUKeWY0MS2/2Ii
2gmLyD3jpxsYcQ10bAZ00BEWt03W2RxYDynJVQBgMPWeEvoD1+NpblXWnZdf6nmaQR7fZOWQHicC
6nk7y4tfFIe8MXmXwMnAAvR3sBFOXiLsfTva92YusBVSzw7sI412/O4Hyy8fiyF56AuO/tINS6lc
cyUV+P+h7kx2I1e2K/pFfCCDDDbTTDL7lJTqpQmhpop9z2D3E/4pf5gXn2G4ATzw0A+4k3dRF6oU
kxHn7L3XRioYGbXybWNyH0yo9MNagaBta5JL4WxySFA1P0CYsBCs57VP0OQSPqbNccjckFJHvmVt
+KJBign6MYVicR0yBRuhBdvUEzGkV8wjsto8gh5u/aiv7+PYdGlfiw+V7XAEt+yj9Q+zoDy+NGuM
T1BrQXLIPxPVKAej8PjMMfbsxOjQQzYu1MLUbJ8KfJfHoagV1XH6ozK88SxXv3EHcQ6tZRsW5XKc
ovS3Bbq4cUYxBJMTW+y7tXcXnQIADq9S6GO8gvmvDdito/7Wmr06hK51AaYDGNGhx9ckxGaAPa95
YWzdZ96Gnl/GDgfOIrl+ZgSNs4jFqwNMdRzGl3BKgdp2tGvjK2V4a1ubTBtTcTro2bm1pRUINf3O
cVvt7UHcGb3M1p6fnRii4YHShu6+GZ6NiOUyXNXnkQeKjEaKZmBOP8px7zTLeOhaayPZgfbTydRC
fq1RZVyEQ9PwHI6Ppqa/uH31Y7ZwEuOGd4ridUbOHJrgijlrn9qcL49buD+Vww5S5i/a0vO+6RR1
snwfGsHNQcZu7ENZowfMw6JlTc56wLt011A9oS3TvaroWEn0cO9a5pfGmGGK8SDj+pBaiABQEthd
8kstFgQkZ75XUqPJeAY5hGx/MnVUKsHmd1vBszmLaL8sFpNVEaISWcyumuxOQKxqnJokzKaVA4V3
ndutKdSee9uTHXqUWXQNCwOKPFsj+zBMuz6qmtKJNHnWRss8RL35JMBbsLcMfceciqDPsxOgy+4A
7v0U67VxjclhTIV2F11TB45DVQ5loNfeJZniGtmCxCiU1xDDk2b1NyoajWs/24SBGByjxMPmkWXX
JmFfTagBF4BsjvpvFIfJjoT7LGJqRlztYOMFgS/jUOIqxxS3/1rBmLhywxpqfVlzhyekOnH9rjJU
uXobj/UVI+PZ7O17rC7slzPnLZsxjqc06HFQxjhqPYLLlpMawQi7pOTGtYuRUZbavNCiSfGBePVm
blIzK5tWcRcfGqJWeEQvzCLHjt/AzsbSjT2DU4o4SLhAhkwqiDbCtD5rNDVDy6OTUqiogAY38G65
cnPebei43w46l5IcZk0OnJi+l/Z9maoIbTBJDy5ONB2r3+TuNGkdNLIkkd397bT+aum5wXcNQTaq
eridxV0+D1ciV8ecmGwxrm99i4byvCcaiVP3PQI/x+59xQ6N89F09PKYzgBTbe9L5eq6gD3YNtN0
Ujk/ssbYzrpzI4z2jUxUqDm8y9w/WSU3dRLVgcWgR26PpUthUQ5fG6gnGClr6Q3nzpgWqjlSJJBs
ASGcIKl24sB4/6KWO+bFQ+cWmm8tCef4gNcymU4drys/TzWsHW1zP3IB3s46N2HHmEQgqUWFokrm
0Usn1mr81UIOcy1uYZuUxmNPZwvO0PIbYyPmqYT2kCwznspbavI4VU766ZGBjzX9VpWuPHgWtOoy
dD+GqJx3ijMunPGIMSRiUZzoLGjb/DzG2S4kj0Vlkv0l5RHnyaer4kNZqhcUJp2bWnJKK+PoUGaS
LOzjvWL0Vcc3duSIzwx6ByhzYDo0f6kDb5hNEGLf2RclG8TZQCfYx4+3S3UQT4PlMhVP3+68Vr3q
diCx+6/MxopBC8GLEuhy4M0bI5ZSGXEF2gy4VWb3PK8egc19ZSsblIoS+05L3+cupisDHITS8l/w
qW9Kb9RJuhIshHOibNifUuM98zIukUtI7lkDQjd5XuhPZPMYPUO5A1R1LnKEoSI5uzWJXFxIdzTr
eJvGKoH32128B1TvbAA6nilZT9jkZY9ONFmbfolONLgwM9X1cK9zO16mchdpORAmaTa+NXE/oZJw
6/SG9aicCE4kkxzI2IEwPH6kNMaC3boh93HLHyJCibWrf5HBjRBfeSSzcNu1M9c/8exo2DfHihdA
a+HN70vuW64495kqttrs0s4s46NckrMcvFteTcbJ8saf7EHkZflucqkCqEsMy/VrbN9+ExdPqieL
bBTZUc3hqzXyZsAscdRWjlvkLvR56wCvO4p7gdtnMcfZW2Sk+IVRnEfKB3dS2scxZt/MQYdhxKPb
zEDST4e8PIXS+wR0s5OL+tGb7lUMIXkvdDt2e42xfj3pQnac8mnQlm9LmYVvZ3wmRXxS8WtjX3ST
sqy5QXkyJdgIbvhX3fs75fi4I02818jXVY7EVTmNFUQ9z547bk0xwE8AXW7xUF0cVq0Y+2M6L3BX
uSl6XFwDrOuVsQ1pMgPCdeRbjDtQcz/4cVqoxJMvUGerkIu6CdvSsYyjmdm/XsFXsNM3pI3Z/RFT
YishDe4I4xlDrSKHQCeylRa+3vA0Z1X9s1S8kBJBzo7KkpE7xG8WLTV1QeajEdkWcr762xTcJkeB
WJY4cj+W80nHg082QdfwGuIEjVzJf5HQxiS1Z9BO18jJzn2dgwosvN85MoPBHXIKxHCeNuGEJXHV
QGN9vOVtK058y4u1uO7dZb1wBwng0ifY39noQM/1gNCyGsQdD4BBNX6HfZbPubwV2fgxtc2nzY5e
e20UFTvj6hjRShDIBACTh0HrE95U4V0api8wyjsAj7jE+SHYgb9HygbP4347zfwB9pPRIAtfMvt1
6CXXdz2hvk/Cbu6TW6fMZqWosY30SpCBVP2xzt32Lm9jLnl8W0fx3dZ/QnoXtphzQr/QtXVz4uP1
fEkVFR647i1Mwx/0ya/dAjpdfvTwdCYUwmgYqXwrjFsNfrhhX1+QeYLylTxU6b7Xlss86I9xG2ID
rt468gQYUjMCqHbkI0Yf8BkTLqDwoSnHFUgmBc8Lik9fjmeLT+PZym1cmTJHtGQnNdjPlCtvczU7
uy7FED3F3WcxSeYHx8vQOZlsCuM0mt5ynqll4DjlzTBO+FaSJMONSB1f+zbopXFq6XbRDZHciBnd
AApQ57X+fqWgqMsmc13ly9ZditwXtkOjUXzNTO1RFDB4Ql4nW8nyaKLsIFXy5j5NlaHW7dqXqxnM
KfOnTOdzwUtHZjGgHN5cJZ1qnvdEYzTuI/MhN8ZDLZj+uYmaytpnrG6qTLqbCo5DB1Tcw/PC+2dp
/uaVEbTjyqwxGUjZuxyl0Z6pmNsYpnePjP1ta8vzqLcFaHbUdv6R+K0D9H6xGe5Gei4kGURtHqon
AO8z8cUIx1J0l8cHgoNsXuhjSvTiL/kJEPWdfUl6OlqYNPNL4vJXHfuDWxf6vbO4H+FAnXs0Iq1n
ndkdUs4PwTblqRTCX9is7c15DQfwEjJn2jL6zKOJ6d621IhJw1Y4ORBTVcV+KuJy07D43Qwbg83A
uWvdEjvcepQsLovM+SFF/hu9vjlmevGyhLrz6JbWYysjKntF/0DXIFN1oi0bBbAKqOxy5xUwIjXX
+RD6pK5tZexbGV/L1XVQuAgiQ5d+rBipRu55sUS+nlfmuXD5Nenzc+sM5lsoWYTYgwr9jg+jU/rB
HuMnCBs4plp579QYXCqBYm6ph6kjZ+OJLui7JgvCwkv30Qcbf3IZVcgOEa1BZdN3bDV/K2KAG9UR
AQnHNxeCAewS+tiHnediPVAN+MxFEdVPc2xIFKGgNRmXZeo/gCsSpyzMII+mz8UNL4szrkTC+l6k
xYGdhsHGE9WutajdNgSIdCjI1BtN913HoqaQ4x5EwhAUKXZlVqbPU+nFD/XEK2biRD+w1NZhI8BZ
csLHRoMMlla+JLC4XbJzxNCGAGt7gcoK6XfkZIMYizfaqOWyAM/zyN3mVNy3OLU56ld51TyMuoxQ
nV6sXPuC5nIwVPFHC52jNpsHmiEticQBwXakmNnkTlXn79rRbBqMU8qR/uIq9rcDxVYNz+uA2vX9
JGyCrlrGXa4yx1OZNwGQsHhT18l6N4IvNbrQyDSulCPHm89h9ECvQ85nVpkfqbo4KgpkrIpbXYyY
1Sb+bITwa+b2CMEjvjqz/ZgrKi2rHmJV3dcUSjQ1d76evaSh/S1V9eXpszjYw7KN88pjfUeG1yqG
gZHKegn13mY1k7oHq0jMbRMTeDRt8QOBZAigTIq9FlXxVnem7h5nJvJeQnqzMNzAM3D5pF03BqyQ
wQfUvU/nQs5PWdsotMvYDEdTZl+wgDdG0e4NwwMFyVJeDcnXIG0qDDm9GQ3SN8FqfQM1s2cWpIix
LRx8czr1Hs6+TrHrd60Je6mS2JqSkidfFlArqmvBp3i0EvPQS8oBWo+/CWcVQIRwXSdAiIdiABXG
sA4WQr0CL9E0YULrnUtrZgh7x32TUXPBTs4KWFA3yyZOqah47KV+V9Cdc2mn8cQ7v/XdAdIs69qv
EsLTxbbKa2XF9wW/04AIU4qUHL03QIDYw8NNpnLOktEdtnCW6URlGC+TYwLAxFa6/KCNudq0SnAg
U+TZZPkX3x3HF4ojZTTMG/6CX6tqMJjJ8j7mx6p4/hMBsaBUC99w+4L/Hxg+ncC18xmNONMTE4kg
TNIf3GsicOk0I2YcsS0wkid8GkSFvZjHDJM732/FyeN0R5lbBPf1wrcgFKT5I3LFm9dTJhFPrNwc
sCKIaKy9G8OONrGGgQnEBHVtBQjxEDWJCZlrEqd0vvYOiAAlGkvX0hwMw7yIbupuRRz/8W5tfO9F
w3OZMF/oWfrJdwFfq5M8aUkSbpaVITLJmyY15heeUdPAVqqLmYNr0N8GuoHIHbIMjVAPrDjxmB4q
zKR9Z9+4hhgjBmBXZu9ANVhmelzPZhN2QFE697Yn3tESvaA39IuZE+ySqYK3ScaqEUt6Kmf9yIpx
vgxmlDO0YlfS49Ck/as5uJP2QTsLe3pUq60oYVozSNx0NtgPychlLwN7vU34KsHC+JuMy2cf4iQZ
XfOTejp1sR18vUlEk7RaZLBMLarRglOCjUh3HDkkJz7eaGl+Fs9NDrkHV1PDXYdCiYe1Nt89nozO
yl9jkNnbBC47eG+nC6KEfkugOprlIsk7SvdHm+lAI3FQlMm0SePow6yOhBmfGWNOtnvfJXhc+5qI
YTzPu0JrfkudqxjI1WZjWmkNr7tipRdP845AU0mgqeGgi8OL4Oxa1jq4hM2AjjSd0/12drnFeFZH
/UXL7BzOBjzMZeLWRec6hem0nTB4kqvbuflHllFPkDdmuldZ/UTgBXm7HEMoHx4+L2bPmJ0ZbUsh
vG8xP5spbjp+viK3GwDiP22knmFmGHtuOpXP74J8K5bH7eLpT53NLRvCeUDCnx1um1uoIYKUfsE+
T5eyOLl2RUR4QgPPe+1laVk7NqMdTHNuo8HHVYA/hSXHxgz73w4L36iGiv0IF6u6AdufFS2lkz1r
dzukslJzWwLZaX4Ms9reC4i4viTWi5NWEVvHUpI8zY1aoNt1e4ZBceAolCBw9NbOfMuKzrO8qb4Y
D22bceQA+qXcabGA1ZfLHoQa+RhP6bs8ogDN8LpTTsPyHrZLx36+Pmhj+TNN9ADa5C7BJtfce1VE
Oy8+TH0utVMGAwfCNTYbM1+dEfCX+EsyXJdl/eMVa3LJGmx2QxiKhrljn2ztDCwLm85YG0tW7TED
bUI7UMHuhOfT5bphM89FOBFCy3gbs7Df1PgRdskU5VuH0K6vZeCaDCBIa5XD0HxTjsPBXC23ComH
PKc0rlM237weE99wjkFucAXGQJDYj+Dq/wxhRp1WZJwEEOglpRUr13qfdrsM3bFhXM8jcNql84uh
Z9qV4VuiaXxqSju5NdWr5dxbu0Yde0Jsp16wMjaHZUCg86BjxNglOyO6n0UYHxsw2HPLrWgivoUw
9jWkYLxUkaE9Q8qDZphs61Ugj2oHxzK8BrL2ftfM3x6EwtgAna6tlxKolpel1H6WshKBQ7sRf2tG
JQR+pkrt7p8YIn0NG5uoA3z2ywAADmYxN1veyaVhBV0TfiXLlqzdeB0RynxvQJzNivk7Cqe3wemH
QHjFIa4peKzSgWZcoatATJPYxLkJNphumQ1KHv7Q6tZa8cT+rjot0kr2U756RqAI8j1wBJBMXlMT
fdmtthtmuwtQh6JtZHZvMaeB74YpKqdpYv6+VttZs+onubAAzqKJPQf7ZZyfx8xBDkfFNJNcYw1v
v0fA+Dd53eIBWNJDKhlq6hLnTCQwr07qy0O58duckDOKV3H0Iu5V5B/92aOKtR7rMmgEO+1HL+y6
p6p5mWrtEi/xxVLw6mr8ZFF9P7uF3CtN/WVnRa9jWLMNNrloZ6nYpXP4W7SW4KQfX7J45VXi+GiQ
RYZ64eriop6n1PIETsYIEcfvwpbt2aE0NjQyrsksaXoJe5gJvz83WhHMw6uRh/2WcRhk9cQjTpRB
HvFHnMC1LzrXsWjhIU1cFsS9+9jZ7aNpgFRci40UZ2tgrXg/94/De2rXxNqhhYFz9YDxa1Tswour
b2MPkKs32PQwKbBhqdIHkFHzzkDuA8GMKmiiQmoVlU6NVmcbdFVwDV5UBvUcRPgmfLbFrd8GCaaK
xzQl1KBbFKvYMFPRy0EupBEV5/yaMfrtEweeZjK2bDAUC5R4Phu8gIwKeINarlEL7mZWuXOSsaxR
O/LHRkjbd5vlKxEl7ImSCuCsuMTTKAGcflHkPG4BwDyBaxsv6KhHfJVYje202fYAkjaUcl4XgQed
o27YOrz4Zo17ddiPQdfrp8yi76/i+oCjYpUp0yFwDdIJHfOVU2g8FetXyDLYqGkyw5IZJ99e4byG
Y1dvtJDYvdSqsx7lT3Ud/Z0VNWTUp4sAEAdBYIWLhF+sG4rxE5fWD9TCL6vhQ9ZL+KbQzVF1zOpL
x/Q1WbEZiKjGGSj/dGbW07Qjuq0W5rcupGug5SHKOO/Z5FtXZ/pbWSxRufIarOUo5SqqZt61aQay
x8ZKvsRezJ7mNMipug/pU9vQ7aMd0uoAlORxHlY4aQ4ELv0G90GpaZI8Uyh5crmvbnlvDL5pD6dG
xq8J1UHnLL3TB5A6VHwNPhRiUiW2dSeQVTaRSIzzqJMQ6ejVCzA5fEowPSi4w4ZCUkCyJovl0MYu
Rx+ix9t4U9UJyQer5eSFdyMa5veykE+qVQcnIkONORM51hy9IDOwuSjVnqJiZ4MPuxtCG48nI8Q+
1pygE5jcaZlGnzJicc7WvHltm6dUv7UJv00kaHZEdeTsY7s7N0LD9sYP6YfuCH20QZervazDEYGq
y9Y+Ao1oHRFzFUn2OQM+am1Byec8Kwp2Ugz6PJ2Ib0x07bBh0QOdK6QvLR30a/81jMadJ9nxxzBI
hD1EwWCz2rOA8PuFFb3QCRfY9kmGFdzAMcE/pAA+znYdaO4CzwJgvLKnIWhd/hRJXkY/U9yp1CQ4
42L27M0Pu8lPEg8w1q+fWdfJchQAOEsLjB6XN8feWdG+sfsnVrflmzDYI+Oy7NyoO3aZesLsuBNu
SK9Gbr/xBHSgUZZfL5kenEj90p+H9qDr8XFyzjXv3SvDmWb5uT46B1wyOveD8ZrWDk99zJQIJGVj
WMBUoEK+gSwBIgNlCglR4r5Ehe6zi9vSXDAB4EI1udfgGPEHkkvnIra4iuV4Xh7CKP1OyYmyGrVg
S87czknabOyMpk0q35fa8Y7JyOJz8jjvy9jDOcqcQdgAcH9H4j3I12FBpSlXVbQku50gm7TYkyGG
syOv8pvAYrbEc0NRXn2Y+T4ciOHz+tCnU2/eDTWjN76NVdRyvmB1cAdb8Csg8jJLF/q3zUVJK4Em
aAtNOV7yxYJ0PMftY87eWXaxDfOHODQbs0NESDHQFMe4FUb4/FaOsO6d3TmWcFXdB6cW13kN6aeG
1VwWLQ1meQ3z5aHJ65guLsPESstcjZ1BBXUUn7rYJLy1zC+5O7bBwB2NA1fQpEaACSST81VnJIow
JJ9G9t57kxwRQ6UY/a5Gp+1tuDNwzTZjA91X6dspmj6o/nnKK23YSwO7tzZ3G0Mbh13PmZ4yje0d
emkCzLVgxIvwusqsTtVtbewiy8K1e1qPs0or1XO9qpHSg+NgpC2JsfImOb99nRU00kNyDr1Yuytx
7R3MAUOfzL/7bL2SrrmyyQNSEHON2wrLWRCh+sW3SOhNyMd+yz0HQMRBa4db4Tl/138BEW06ZIP6
MwkgK1HlCqhS46u34A5Zksjvy8zcLzkHRp1hZeL7TYCZQ8OlIKQy/2ClXYAkTxhmnK/U4IrAvro8
oj5iorPy3v9ne6wbe3fsx7d5NmabMDTx1iM9Eh4U0AhNOxneDQoi1veNX/GkbvXQuHTgBzZ9YREm
aXqegoLCum42ryCP2pW1vZS5r+kIn8vc1XQhcitUof6aTJOzaRrmr2gqj+ZcM6lKYe0GwbclqaMr
VdT5bjSs5zDB4boAaSbDJc5s12Ep9cJktyB3Gddm7pfdXR0VKC30vHHin7IpPVuu/RS1elAu9t0M
U5adaqPQtNUxxlx6wPvBX64Q9LhZuuE3xPy5ODu4KPPfxNjnos2O/WTtLEm/QLNM0AHLw0grBPFE
OEOEKrSd7hiHiTr4vZn2z3ZICSw7/kONV3GbRGokNIc2wb2cF0Tje7HenWdDiYPTyFMqKZc311rN
uPWAsqFFAY7MdxTiPkmIE5sZ/z/gu5kzi2RA1bTpvhuGNzxYBwgyJPOgEcCvZW9LsXWNWPuTlXZz
bET0midlewv520kolRpb5K3IdKQ81/ui91IAZB84BIyiO3WhGcD1mVYiYbLrxR0wqOjC43srJRAv
K7ZtX87erhpLcagVCjLawk9I7VfALO5tW9tuKKvDTwSNftOPZrbFPII64zFs9LYb7WgS9Hus1g2K
zE/qPFpD8dn3OUm2qETJ126K36CP7XPZMrzMPt91YbuHJGeydchVeu5QBZG39jraIc6R4piYeMha
51iEQ32nioG8a6jF+8hMeJc7pKlsgmBhkT9yiOVBbQ/BHNVHe6lPdDpv+il9b4UxYtpxOcqaGWWe
1e5mSnUbckf/2icMJTgjZs6SaVehmlQKE1ktxc2wYKRYw6tA9H5TeKYcT13NGQl1vUizerff1GoP
ANEACutiDZ2DcUOIA3oFbVcdlTJwHg7dinXGlvvBnPGr5/Q1NA5OWV28hCUidFJMlISCBveUQomO
cRlwiHAjsIAWucVCP69XzQcwHBmnMLZiBsjLWKNEod1pJ7PMHBag3lOpkbqsmyNzncGPNP5ieMYQ
pgJjdlmashIq6dsVsyDdko3n0ZQPtVYGucNydxbPJv6ZjdFNxp1DwBakL/7oyW5LTI895qXV4jO6
2UOL8xgyJt8lm41HIXkz9dguo3T87KH97R0TBxc+X3Khyg9NzXpI6wYatpBsAUKTF1XZPemlemvl
TxbHrC+iCdRo/pW5ROVno9nXWXdJPK89JbDsij6ar8YUfRt6dgmrOAuYFL4Lt+bx0dTR7qZsj0LU
sGLK6VvL2NUQFQaF0ZLRzEj/o5XxKihs8aEG3LIhlni7MiXvks+123ebkTTAvYfhtl9mwNluiI/U
r1K78U02/ru6F+d2eVEmgRItpFxj1O/G3i12JD2AoUCkV6X7h9KreO8Kxmiql2fWJlA3eq0925Se
+gjwvW9Wv9pclgx8FFFJFoZscxdB6rRNmFWt2U+mkBi4WR+QhmTbvXJbEgfegSFaIuZ6jmez7eB4
GLXGKZczqycBmXBJZHp5FmrNG5kTUtkoanrnhh+WWDDmYlIzFKcxjbVf6N/UHnlfORSu21hSizws
4KkTVrtKZd+LFmIn0eIPOd302BJHlt/EYjhsOVLOPGH1PcvTVwiE70KI+8RtoAE22VNmez3JP2Hs
uwxR1HiLRiJYYcKYFLo7UccARGg/340p/nEP4Dc+nnG6MjjEjK1JYl+dUHe3XlE0e7B5gy85uENZ
HBu2DICsoERiEp/Gjqc6c8pAsqf0+8WLD8xnFPoyDLFVL3kg6/5OK7iQGfqMF80FwVKEZrJvzEkx
38DhYN/JAnboBF94et1zm0+3HNkgL1jfSY1M+25dcXhLX+yi2ZQ+8wlPVS4w9lnj6uPGBzw5neMz
Cleskr4BF9kBrWgsVmJEssYjf2VIvT+WWnmFFwqJyLKYFRvJMDplPrYFFmHN8hu2psFQ2aHRevre
6PN7K88aREG9vS7jKYrnhZOUrM8cBkXcgUVZvx9ua2zsEYrXgiROdVt0NidyS6Wh6LacK6xJ3yJW
5r5Tay5edjQYpHR4WzXrZNMo76KwQp7I8Ekp51JNZnU26ZPfDOGIztTsB4rYgtijO0p4rXccx3mH
rsm3aQLqKev0r6vhRxwUrcZyacKzxaM6Js593zpvjXDqoLEbuk6jdbLreHDSNH2l5ZDBZ0qeOFP4
f3Dv9wDjCN2YRTCVMdtM29n2tQTwAsvQvDdYMG3X4M9Y1AXQFG4PVvXkNqDl5FL8Sh5S6ea5X1LS
t5nu59nIHyKNXADE3b4wUl8kyYOjj5J5xvvstPzO82J7w6sAtUS9Gnb7MOV6d4ocEgORXv9YCaGS
NHSeQq05LHZGo+Wom1sPck4whRoxjYhT3XKx5866/NU5vcdxJaQ3HC8WOKQg1ibYPEZUXJ1fS9a7
lpbGbY4Es+c6XlGtS9/qcYHgdwotTIb5DA069zDy6vrFa5BiGeKgx4lqx1oS3JAXn+AzjgE2UczG
XsZaHTD/ppF01Lk5WaKGvSplFgrK7wQjVWr+VJbeqdR+dQ3bKrXPxsnJhvJxBF5K+TnX+YzYbu8N
D4rO00M558Ct088C0fVZX45t7tyghWp+mMEW0sZjGvIrFl4VJBMuObIwqP1YHQ99Sha+S+GUh1M1
Uw2NHlh6k05UUUfMV3PQ6ErjAG6as6GlO4RVzisqRbgllvHBA60WZ8WBlUh/yVFnD2IO6RmzISel
iKomqIkGQni5jFhzTdzi9rS621tc9boTlbus6u4qZ5GIYsNwbeXKIcxRbYyBKJfb6FdhTFcu4C9R
mzzUNa5bnS3Vtm+cNUcSsz5W1UOTFFerd3EF2NQhDMKhX5lyYmqyZ1s7w0IkRT1yh5qwNUytF1+Y
0bihRgAL+tpytkqvDhxSzb/jIv9Pqeb/T2HkNSf8v6eRr1//+i9fFIJU/y3AvP6Zf88jC/EPQqqS
awRhZNeF5/MfeWTD/odhGO76P6g+RIz5N/9B83H/gQHMJq38n1FlRt1/gn7kPxzLtA3cQkJ3dd1x
/095ZN1Zy73+KwBNoD1K2/N0XVgwtv9n2WeUdmlqlYzt+ZCxTq7N+ozASQJWoG8CxBqt8JiTAVUu
7AHRF2io1ODkiTpjCJ92Sa1FoFyyk4WJhuYJ4NC8NyO/cd0HHWDeLtMVrfJ3TWnsU4bUoHTIz0sm
1ryhNIs5mut4hGDa6U3gVsAbrRmDkm73OZJyL0k2CsbY+NUgY+93+LGoPcJlNtBaL7FkYDWsKPXI
ndRvBoykPR5q0gaoR9EyRdsKtvJU4QBvZ4u5ZB56H1cUUyI2ziFopNJe6846lXixtYS61dizPpNO
Gw6hmQG+H4lK0ysw+bjwYiBcM4QIbXhKphfecL4eYacYTA/UHkwQUQaY4ThjsalMU8PO3GEKcrzk
ZOVkyOaaapmMSdLXCYUxRyWfyehcMhqyziaEv7n79mzPONnIqJteGw9I1c6pagoyzmr8cJdbC5Lw
gsIXVBbTGre2OAgdFhwz1Yf5Mq72hT95Pz6bI2NWNZNaQiffxjYkBMqJqEH5Axmd0kg+jm3Wf8Et
0Hwy6n9Do7ojMQ+7vJpXUhk1TULf62nsbZwokttuwvteS/1jsX9yQmPYNfCqUCJ9qrgFLBq/7bk8
6yEGv9ZIQMZMNArl8cmoCWM3Fd6pGRBNZpND1zt1q3N6tj1ODoMt8JYBcFOlvYOr1mEbxHKQK1y9
pVPMNxRRSDCSOsIBpA5E45upcub7eXgzbcCSS+NdIlvit3AJtdKYhaJSrTA1lzsLoe1tP4+wNcy/
XOowI7TxCwPauxF+KBZ9uIB/UrPX8BCu5EnXDeZQYBuHq6MVJ2D9QtbTzlaIQoPH2QA/nlNdx1I/
2q8Yzl4S0It9nT3DvWawIHCz4aW7dybzk2K8CS3PoV+FLh1gHA5JPhOraY8Qo/L0gj/RBIoBc8IS
83mimZNZ8i0p3eFYDt4dWeE/lPOCqbkfKjvZhUMhNqHpTuRA8UjEdB9OnXypiSFf2gF4S7rrcFGq
73Si6RHz+BawH7o6Em/hNKjZjmntcfxeMwt3T4uwX3D66pXcajgRTRhW7NfGceVnbyZghLslMt7y
Cg2gnLqWHuTegeDLRmfum0My4GuZxm/2lg/CHSmmIxow9J7c0oSAUN9Ee6n9emGznNOuWjDw6i1E
j+a1lAhChYEOODk0romYNUoz6VS9MpkkE14kPDjlwSGUaxQDUx+qMRRRKtPqxf2TZ9qhIXqEmrNG
wLxM+OTvRz93jHo3RygReIO/pZc9hWntwuTS032OiZXKmLU5nvD4QICGZRcLNd3zhWm+cqFmFUK0
hjexCMYOxFdZ6Ld+Kj/0GDv7MmJkdh0qF7OZB6Nzdab2+NWyLSOoy/IL3OG/kXcmO5IraXZ+FaHX
YoGTGclFb5w+u4fHPGRsiMiMSM7zaHz6/qwkCF2CBKHX2lQV7q28FcUgzf7hnO/8mmNkq0CD4YYv
jBgJrx+z5L1RVU1+HKUI9qH7CHH8BgnNHo1vu00q8OsitcpNk/CU9etNVt3WJktq3xcQva3l5vVG
DODQYL6W6axjAMrZwUtgLk0EflPK4+4AzF6TDa5PM0rx1jLDaq2QgM8MMyZF1lbafTo65tZpFGMU
pswQgDwIWC5ik5nCKs/7DuWPfDWcgfWMHS4TaMc0YkTrs+IHNnv0zfRDVVofn8I0FWibIzte+W1i
b8VBjK/Hby7kml0XswClM7Gym9TD4EXqmk+veYporTUQmFr+75UAE+BZASSjuv1OR+Y7lfcgzOKX
lxinwEIT5LfuCeiTg4Ow4DlNgTwIhw8XTl58dNPkdXTRF9NZeHs1MAp8HO1sDcUS8D7kFsBv9hTT
tLzEI2fAiKODjTG6a2U/toVxWwiaCpvUhh9lpK9kamKbahDdpt0SslZ9J27hUPGRkqu3+vbHZF8d
Cx134SGNWrw/EaDU/TAQu+sdjQGFABodAJZUlqjr/Z+ADnO2xfdo9HfpwPq793qsLKRDCuLahWix
OuJBNqYbIkQIkFFNvLONVV6hmvAt/xJ4lo3ijqiEVaaPudOmh5TFjzV9+JJgHCPmq1Zx8VCjuN46
IqZ7E/YHHAKBNgj5s49h15i9nAQM/xES86kFYr0bHb2gALVaLPJZNXri58dnq10u3JMfbhVhghu/
l6hEyOH/KoxVL8iCQ2OzKUqyEV1clJw7h/cmjxh2WQttYuWlJh6JDzgRz342ElI1Y/3uGbqEo0z1
cVJs2655shW1/DKGjv6ECxNYRc4T4zjgjV3KN18O37FgvRN4+NES749CxxRGEVuHUdlhrAXOY48a
DrdZ4mOLnpFNE6/0T8I25QJ6WDxp4tg2M+hiRjcu4UKhHPs7MHgA/Ib02zJJ3WsA4Q/ssPQ7jEQT
joYU+C/wDKkyBrCdPyKBxt5GpllVV69TmgHm4OPaYKU9d0PkHI3CExsDvy0RCTMPkGRhzAc7FotR
KDljxzIlWZZbVkgoGzZ594hpKazjCoW6P+P2xOXmI9EwVucn8LKHhhUkpRH70O7D9Rv4eTZvYh4M
qAh5bmS2CdHdz9QJfAWF9vrR0xis7oJqO69DFLIklAKYiTIZluYge2E/fHayYGNXwCcNiuR3ir7V
gzCzZcKrMWkT3ja1IyMRYUaJZEdPxucmoxOvul8cBxga010pTdyirQzZRZOl2Q1PfdwicARAw/Ky
xG11iogk2fiO9+a1JYgsUx7wDTL2wTi2TbQ1S2KaHPsnpM14WGcLTKK1nPAXknM2tmCp2egMggz7
AVo4Q7ZzNoLVhjRJ2kbE0kTy0lQp44AAoUJ/B1C0QbyLKZrVMElf7dYT045GBWSXZDYwFNEzMGb+
uQ7LkGh0L8687HKidaBDaAFZdy+I5grg6XITCRZm8yPhFPhpaaDhTqNY7K6YzZ6UhykFEk6YjuJP
DRqwxbeYRyh0gsi/a32WrEFJMnF2b/VYYZxWkAuK7XOoCN7uJiaqgqmoFMah4kzX+9Cz71a4WfL6
4kZPLtcymjagDEYNMSTWy98a1ItRGnfBap+8iLd0VR9kjIBRUDaOHP0k5hUxzRJdPcmTxQ2PHQP2
y9a3vRD8LnD9E7YfSbX0TzY2NsIeuoZrvbTYsO6qqD6iJJ7vV+PT5aQC2RW/+SPG/VauFBxjuQ0W
BlJrfWVvxTqK/dOkvmUMiCjon+DAVyTMbV0R/eQA+zaCMyRARk1k0gIcG69wt1ONca4NoCnoe7BZ
Lp69DazmGVrctsm+qhLfa09ODY6Z4JbJ7IZQ4dDl3haSgyZZMkdkJET1wfwumYe/gd3tZAwg0kDn
TnDMRQzyNyUYVWvCKGO24p1dWzxNf9nNdnBdohdZQJMZ3fxrdbL9YtrH3lPvpgkUIHH00pbxbtqB
KWkL7bYW1Qt61ML5UUkDXC/1AOCRnZOSfkftvs8i+ew1Y8pWGAdKVTOwJ41IT6dxLShEJwSZDn0n
j4lZfzi4Y3rG0sg/+O7jOvsT2M1OFcln3vROSCFFAc1601mUzUHYvzh1+ato0igkVnlPv2Mj1fZ2
oMjzw+rM/baUH+aELhNp0sZsQAdXtsf2Q9+ZDXkXcY8qyvpy8/U5AaaNT3j9zn6ZhceCYIkOSGSR
fzZ6X6ExdUk5Jti2+jtniS59TwaK25fnKYq9sLWRPunAwT7CkYoB++rwAp36mWuxJ95RUvMXAgRa
wdFg1H/82PwW9JS7JGvmfYllVEHKlCpi5p5qAEBa3Py8SvU65Uh+HLL3MiEdR/4G2mPyGGFlusZ4
YEgPsqdkXoloZkaX4IS2SoAkrUXBaHzkjsT/oOI+I550SELgVlaKiMIodcRPcq0Db2YBjavJX3hM
o2sc0hHAcwIcCwH6we7nS8xah8cqlgPiwvNsv2Q1AUWZFbHA66f6UFQeijh//RKqprpmrkti3Rxm
elU2++8Ola9I44fZELuyUdPGlo/WIv6WZfdsGAS72cFZobCkH+AbFaUBdCor7sFDIBnW/4IrYIZx
MOOlnL+hIzY7ya41Qni6nXse3gg4AjgpduuOg7VdIZbCHiornfsKtIPG7Krwf8+pQEVFBsUut9MF
gVeFejx7zOrieSo4C5waK483eM8+ealJW77mc2DtrXU+ITzc8NSvC6m1RKsjbZny/liUKDyD5oqR
+pK5gl2/8dJ71X29pp+2nm5FYROhOSHo2diXWL7LXGasf/g2RJpegROibf4u0xiqlyy/e2qJ0PfW
Z99xdrC59xktYidnZIIt53Rev6y+Axk3j353s/d78dk92bn3OnMi5gNDsZityizpupeAecAIC+1Y
2AkT/+wC4uE6C4spGnbfDaAeAiJygN+ITFE1rPC0FHpBulP7uArm2mvaEtvHld8IOe0zO2YlxcLR
6SYkNwpiWVeyO06cq9+gwHb72twh6CUlaHoY4u7Wdcxks1SK3dwiIFRlEM4s2MGjl5tUsFVkevNo
5RBgAh1cjeCAWB0whwlBp6pCnoUQ69614ZDUWfw5kq+xq7C0MzDOtgnpbltPTb8AU/2O3x0Hn07V
JimU3vbDZfi/6eX8CAUF7RJLrKBUExskmolqxtQIkw4c62JeYjJkEFppIW2OlWtEaRtW2fRor26x
W5OnlOBaEwt7yl29Auvpsg9e+DszjeHBQldIx/teTcdiujggZJKcyIS6DSc+j+TJjtDs1bTkFeiv
Hl1SB2phwAZhRk+Oug98NMHF1qXF6JedOTo7WYDzWsTx7uSyytpU0twDMD/htXzQkv11nB5naxv1
8hmZ6l2b+HfYz/7i5/LT+ImQDAQALns3aaWndSYQsT77JgMdibir8XEgSNnfdXHwQljrPliIc3C4
V8s6+TCX+ndkZ2Fd50jLHIYEBr0Qwrwi9I3gdzv6zsGKTshwiZOkHbY3fJU702Y2Ghe7Fs1dsNif
Q4vGhlbgcXSWSxET5JHJvwG1LSF0u3YZL4tfPlakShlNcZ7m6ZRzHTrUhGswPABPC1X01HjGRzs6
92PR/1AF3oRXXWLPf5ARs6cuL9/kGt+lM1mOE/lkER1ucjBM47FtLg73oBd4V844MigbsBSxud4L
bUwZ2uiPG6xHDHZcqx26rJgFqky3BVmHwHldc7xMJQEPZnvBNjCxWoi/yhp8Esx5pAovHfXvmuGN
cukwXQBRG8IqzY2kR4YclqzzpaniCymqfd5dEusARBHUaE0urjMiJHEpj2wDRJi+/zrtN8akizcD
+xwq9Ag5AdwJgpsxxFoc6n0OP4z/REmdXSwWK8d6yZ9KcmubDv6Wurp49teWCQQNuFcP50B6r1ls
Odw8mNcXri2YDSjwkWJjgC+N32ZqfM8296lsmBsMHHmr/B575xrXyxVp9N6YnGnbjeWVrf22NdFN
+Hb8q3FthFf258LDryuPfheFjSrUPikALLTDjzf5p7XAIIViVwNOySP5PQXl39VkgOPBXzMNfmTR
qpKt9kY8VdDQ+CdHz5Rql2ZA+mEb1pvML6zbkt1i+XeyN3hWVFDQQ6JD2QS7yUgfi9z7U6ruZlVk
YVsTenYfv2jt/jKt6iTG4IQrrpTl68KuuixQZHngRJ1qOKhkfYDtfpxd0lEb1hNZ/x4L4BoIQ5F+
s+udJ+A6rnOXGz9r8eEnT7kj9UT/3Qt87X+ZYBeAHoDUhZIqTTmCTP/ZbphMTs5jQlL5XWu3u8wf
3xYZX5V8QF5wjYEd7lIJO6AAzLiWnL5++bZGqJPBFIFlpCnMKhyEkY8MmXAQhy7LVM3BdwiMCKpH
OzfeUGKI6cBq+sEv4wh3h2MfBwZKqWv+DUbJWdwKUhYDb1eSP1qDBKVHYRDURUxh/OVjpBu2/J6u
vAC2YHZQRGLVl2ES0EYJNoBQMLp9vFJ/0ifu80y5ICjjt97Cs8jCOKoJ0el51yRO1Kklx0nWwC7X
xTrZFAebgMgWf9VXgdPejAbsTkM/B5LsXbbiiGKQJXg/PzXluK8txkWIfqbPPPqqJXxkO/Aeewea
jM9OpJroT/qCaoyxTjFkQKkencCpd3ZBBGg2feULu/8oyFsO0DB1inGfuhPjgQ77IkUNeN7Ffu3L
4FaNNJ+R+MsI5WKWJePefvjTST6zWEvVXKrJpsbCFCxIx7nHWMN2BNREhhi2taoACZK2SbMT/5Zr
z1gdQdIqNHkiMPnRagjm6O6/rbz7zBjdHrk5diO6jzXgiH+A5YieqMq+Mqd/kBhEg9x5aVpBF2oy
4y4D8kLazHuPKzXf6XA51nGAzWNx36O9u9DruY1NL4/iIElvEmcMF3oaTmMz35Gd7W/RhDebuLQR
knfEqPLruKH8uAltlzSKhslyQtJJ7CnMkVO3qYTIkahb6t5qRXDszeU7ZSbHWp+1Ws9N3InhtzMz
Q51SwSipb/4U2HLJmXW22dqee4rtB8zWWrFvftpd+huJbhROC0NgOwu+y1bsW2s7m74OoefMMCRN
HenlL3MRdYBHqJ5ZO24yYvPCPuu/lWm99D0nF/H1ZxgFpAMh+NwU+YDGMSXfFacMc0kajAIv8EXA
gGHDzkMVHZ5GNEqYAyIUsTWaayLrkAhhAtphkY5kdkeF9jebdAudryjXNaYlihCsZiUp6GmDk8sp
Ih1d7PM7oq3NGVAc2hI2TJPPlEBIS5uaocmcM/1fTMXw0UZsEizIZ+AGgTWZXmviXh4NXnCw3xdX
xTfDI7OQ/+8QHHKgLwxWwbgwGDKYyhxmwCobKD4HYzBA5gzwPvwSFtpgSfwg8osI5MOkU1EQ9HzZ
CM8dk/+tVTlIgFP3Z5SY/ZoVSWSNcYjhnt1vMHGxRU9fahRyR1RGUH0mtFS2be5qNCAh1g5YULyR
oC52bh7/aXEF7xw5QIymke0jiKcplLneX37LHICETS7YDrgclHWXjTXJ3LTnWieWcZS2bnzvl+nB
xIGz5/Pi5VTMyESHiyQ3FKQA0mdoRtR3UKEWxjFwKuzIohGnK8y9/MRo+ZawAGDg0ZH6nieANbFA
bmOIP8n4bUl5l7fJ/dxSaM5jdYIwicJzbM59A5/VKIZ2i7GaO27tbj06sG3AiI+gQ/8KgOjqE2+d
RxR+fZffSmG2YYZ6yrcQtvd81Ix+DjwgW7tYEFTVebRH0sWPMfAAYE1H2GOKBxKKbnUzhXEHCp5Y
UYoCYUTbKTGvTFWAvDXvKVQJG2Kb0pA1au3g2FiP0b0Jn/WBrRn6X36BrKOaF5hVzraAb83Q2b3W
Iv8DJhR6EQnlGC43MnhMWwTejpn+MnKqlxQnWVSmodd2ANK8mtSu9RwNLdazCfzqUFioyaWZH3PD
ie+tVT7Z+Bhoz3rW4a20Tr2XPg6BO6OPYayPp2frJ58p+eG1MatrbV1yv/K1gRdnBZ/+oNilMFiA
UKH8LRATJkB2fTOkgO5do9CwdamqZW5IeqQeuzrI5KkhrK49jGMVhF5Ke9zFNsD2kc2RpqsOxbOV
JmzClDovzEobpqpgB+8szD6ho421qZXf+dxeuZnLi+Lba2fa6BQEwsFj+B+ulNHC6NAAuMVDn+RX
/HEzf2zvx9vVinLE2h1o1w5vwdy3WBoNQrDaie90TIxH4fCtThVAe4l1Ygq6PMSgteySXHyNfTCd
y3Ui+yD6ih2m8EyL8Dub3RH2AFooU7HlW/iRnPIjMNQGgzgsjvXdDPw8LOPOZmJLXoVBwLjFS7xp
l+Ie+pLNFWVDBbW/Vjo53Rr85Eg2NqYBKC9lX2HKjo4HemVBCNSmmPGyrS0T0mXNv/1keW1SfZJT
BOYeErKM+3fpRIOgs8NpQikuhuYXJ4r2hIKikGmA6og8a68ntbDKWzCq+bwfXG+8m0aUx9D7wWNs
Y8TZzQKNOXc/co1RXVcr2KzAXesSXP2SdfdBzfYh7ZPv3EkNXDPuY1dmP62tM+O7k9XmBh+5R5NH
QDEgqganQGzcsrKDu48q8jD7yWvsNQwAJ8ffj425U8p9wrRN/llXBrTh9j5KdHOWeaTn1f5nbvU0
dxGvUq0S4ui8/Ar4pNmzkmTm292NBrkProtTL6VjJ/sluaRrGzaMEkJBWAwZgEAQLdbfMWYKvmft
QPZ3DbOueGo+LMltkJA8XmuG9TggzMm64U81MDXRqUkMbvrXNDKZyVgEdazuAh+PdHUEtAx9zYo9
5STb8oIadIMOGXErAiPhj9ijEloB3tnQyLHPxThsKbKffdE9OphnXdRrwYz8szPGFx8XZj8SxkfK
GSy31DW2TqW31Xy9x2iMzrx1AyPJSnK7ovSJOA2IGHRxPPeHSVJ5BSVysgAg0Z6dNLsDk141J5tz
b0/Jc2cYZ1lbEsST+9OkSRW2ngOTRsVncryesSpIqAX+Jy4xe+MLiFQNkR+y7YYwV/hHVOz96ilg
4cG9TEV0Lyy6otl/tTOWlK56DRAVqSoHCY1NpCOSbZ52PIKdOYGdlcQVMVJFQFME6y1CltzIp9j7
rXwBJULQIWP3fcopOMuW8QmrFM6LGa/tLu2o9BKjFDvlETxeEzABOPhP3WO7T+vX3PffDMKNN2yA
X5thuoy4+61ieJpKHOA1IFYUem1f3dk26v60/IMy92/dd99oPH8xnt4Mcn22mdoDNmSm5cq13baM
XKfYKu5ih9FgI5ASN3UUoq7EhWVbNG50GdQEuLNbTnOLFVpSEE5udCT9OUX2Bof7MTfjN4yguFjz
y9ypjkXArG2HT1nbgl+A7MGjD348fq+2ogcF5JC42GJU2RKk3d4Yqz6PtjKPpaQGx8thczs7gEBa
gIjTgL+/YDMdtmVD40igROqNVwN92ikM8qpmJjOjR8qkd0ocBAU2hpZdYmKn6tMkfelb+zCxdjk7
5QTCx2N5XjKZugduYm9rg3yLdFHDpcddIc2ERMOeShPZNxiAZmLe5eXpjiSEjyzP5NUr3BezRk9V
cvWFndsY4HvT4BZjYeMvbQ30MqTNt6hoB9wrbCUPw6heitUVNw4I9P1ZdcJXX21EEEX7NNAbOH9c
dmW59qcsJ8SIhHAGtZTinlOqawYk9yCSQW8DTXSb5itBiaWlDlIt756iTuq9yEXrWj6xJVr35kq6
Borwo2SXQVHa74OS4mIF2LOM06VIEe7WnvmUJ/Txszc/eakG9Igu4q3sdmsGf2nAqrgfx0MfsQhk
fM+eambcooKJnA9mBSO9w8LrRAA5ISGd8ZV5ki2tk/yyKY68EfVv7/D1DOwJE2pLv5G4eTrX2U4L
FSqwdqQIfJnbgvo3BFUFss/t37FFT/T+jPfSnGSaCP/kPvZHDOAUgXo3ZQ1p9aDqPROk6nk001Pb
O9zMJkFzCyjOC8Z+JJoLylA+Ctbg3CTQK0VwkBFhQ1TtHd721I5f4nh4DyyYeNns5piJpsc6XWOG
RcsLSxnGMCwQwDnvy4T8AqeoxVEWCMBblOV+JdXFbheSCUsMVn1cvtXxDzDy9Txi/ycrFibRXNHh
zi4ygmbGOdmvjGDJj52YD4TtrG2bZrFy3KADNdEKHn2FerMrdx039sknXd2LRm8Lzy/UsdX7zmhO
8RK1RxTXGKVH56kpmn3RexArXZfcJNyG2xQBF+N0VEXS8yI8f2z2uqW9jzKyHyHKrjcy8qCktZFN
KCu3aTZa5SkG7epoxmsE7NWP5+9sZp9mrOYhqQ9jbntaIkQGribF1poZW5czuRBgZMn3IbWJ8du5
wGUTyBgFlSqYnBWETs4Jjt2EcEjiwnPHMU5N9Sai5XWOglc4ORRPHOpWDNM21nRb8rtFOBN4pLDA
hULCwB2pHdBz0ph4WYKvNrKOOchcxtjTYUmg6Fqap5tpsm6jGbtCw3Y1dbe0oR1qDm9JiNnR1YDe
bPJWhJMotFwsJWwe8/WMLZjIXXe5NgCmdjJCQp/AO7vzKpzR5gwHGEfaRzkyf8w0I7iYHhZdzlo9
9GDHUa9zxwIiaodn2/mRHZLZbEzIsyVC+thHI6xl7PeFa7zlhscaWZOKF5DFuWYX811BMQZnLDXX
2NCEY2Ao5IVx7TOvhX0MBdl6N0Ai95qNzLSXYC49oR6BZwA+8xFCwVLWclTF7hlym014LueuV8tD
k+AQKFpsddYsHvCA7FMRGIcihtfMIDiKJk35huQsy3sOiIz/Gj+4EQkvNFvG060mQE+goEvNhKb5
unhtNTJNLW4mhIV2gh+9kq47jNxwrKipLHzFQNlArGdCnW7NazRXX4vV7xwlTwtbBgWmWvnwqmuo
iVSEiK/6r7XReoPE+YpBXPPzGoBtfJCUFNy6MszAYXviXQYeUypxXTQt2wF8EU/ws7OYCjTQshNb
07XRmSLCpoEk7ehgagA3HSWJUgyP4gdfE7otQJ2a2G2C7kbtrzTJW/SgHIL0ANwZquBsE4Akpgy6
MwBwTQJfNROcCuG1B9I0aFq4HOGGd5ogXrDFNzVTnO3UcQIyXngfmDkvBNVzjfAIeWu2taaSo7It
TwEdlOYqbWzNLs80xVz6ig1y8gEesN7YLlsJMSw+EHM4Y6waDwk49Ehz0ZPUwFNVKzS5zLk0Ol0z
1Adg6lT9EDTBq5skN4HOyu+ThQFPpVZYt0ardoK5C6O4ysr2kYv7WQ72AcUOfAvQchvoYoxiMd5U
UxyECzpmdPSM8NaVAYZmwQeaCh/nVzDY4jnK1a0DG0/rRRGT3SO8ibddbd5DGlWhBWo+d0rm1EO+
66L+gTURxWKjufQA6g3yZXDBIfcFXV+wwED6ww8wqqtyI0DchQ/+z6r+DoDvJwD4libhkzBFDQoc
P9GU/BFcvq25+XAd0Glq/Ip8tzRZPwEq7OdkizGwcSkn7LPsxMFzCSUxqsLfJv6t74r0jjx7biBz
vVsmdryEIEfHNt3BziQJIT85bmGHyQjtycSpcOhc7z3QqQCCeABEywa81kQcc6IDcp0hIHWawNA0
5YHj58HEK0hqHK2Dzh4oKCewv9jnoLOqLawQBNxm3yJ4IrVgJL6g1DkG/lTBpa3P/KmcCO+rBXgc
O7jxmFBRhHJazn4QEJxI3Yqlm04yn75gMaJgI0IBoiWcNUIVfJ2uYOqchVknLvg6eyFd9hZRDEbi
TacZ5aA20l1abdSPS/xcS0bTEUZLXpwXgh38AvoFxj1qU536IIh/KHUOhKcTIahitiY2vj0JFLco
QOtglYxbbBfPrSHjF+piDDBEKSIWQAigcydcAihagijMxkvREOLEt98KgiosnVjBYstB/dBiDTfv
C07UPbvps6NzLnKdeOGZ52iU2ArMYApX06eq0vkYvFrfQ84ilw7/i1zJjy4lS4NiEdqhT6mU9p61
dR0KPSPAE69TOAK2sEFnQ8oMuMSDhui0AjMUbCXcgTK/NUwKETQwy20C1mslE4LKjB9l6WWHqrMB
lg/pq9VG8XvqV08m3EH+T4XjBIHDHGAwBXJsGDDya6cT3wlE+xxmVXRZJVvP3oExBJfqV961CcQK
WC388qEDJWLeKipCsBR8ZXVu5IckgOsF1Swv6/Ua2ZwrgAUu9JQXSpUBdLI9wmWeQlEQGUz+NwE8
7bZR6g4SuCaPMZtWOBETYBUdtMTDgqG9x/OzpTkw8xGDc8S31lisqesogZ1ZSxY2OXxPZ+WmIMnu
VnqQFipH8wKcglXGUt4opPFaDiYj8uzD0kLjHsmUFONxnaI7A602BND4PiibJVSSorGJUNXl2SK2
ePi+KpxNIbSbXWkBKy07n1UTx98sjSfXg0noCecZpo4A+mmBAMsneTTK+mIR71uVnLRRIy8yTX6p
qG22SzR/FlBhwzFHZLpgKunmNOQweHTjG9ni8GuICJ0kpW0x26jVTKTbnQMWxwuyvREPhyZ6q5Ky
JWiICYkzFff5WJtharFcY2KS5u5DM/i/a5IA2b4jDLAB2MkODa7KkUNlpXFgNZ8f1FqgLiMXJAPl
ttj1S8eMXeNlGJHyLm0KfArMjOIXGKE0xlbsgl0Y2SJZ3aEOrAd3JPAujlV6wfyfPcWyeWwc1MMx
pJfCyIbNNBjNrTYHm+0CYwlQEp/Co5DAnIfohxBDZVQbK76bhuykGvUhrPGrZ9i/WfzkzAjtC1aL
e6679IV/P8FqWH5Vyd+gRcZQFB48JB8THHHWGz/oAVTjr15RPVpIHtzcPgwmbjaV2AdIy+iTefCo
MzfegP0tbhkF5w6RiGXG28dvaEJwh8NVHCqZ7H3Q50lSHbtVC5o646/t4KwqKXjs4g7vDO8oGTsb
Om4lTCQt9dazlu9B9rytM52o4/+lfP0V+QUCOubdwqH7SzDsm/456YOjAtpYoF3hIIgIes6Iqplm
dlEdHp6gYI1URs9VxfmdGcRtTs63MRGyAZNImhlflm7rrcY9dTiHHIIMQjVFLREx6MimLjjWcBLN
GqF07TrGWaXVR+Im0wZ8qebNvRrFilzNygq0EUkC8a2TjwWbSGPRew5vuF+9Hejz7IUdPIw9rJmk
qoFkQU/Pb34YtqVKSSRTVBnlAIskTng2vW9Ph9mWyJyr4oIJ6CEdGUrHcVnsI9Ip3WoIkNoar7Jo
96M0OAhxxKwzOlCmHzayliqscTNv5cJJyCOyyH9BiY9zfPSRDPotR3gs2mvtxX99Ez45Fo8PwyD4
0KWgXur+2yiHfe7NKuwt73Otv6BufXsmdVhZsdOZzfXozDGT36R7KOX0WQNOHDw0yEQIPMGj5/cb
+PtMK0QUEoGu0M4euSUGzD2O5eswmVzjCfE/MXoFnuxGaNper8Y/MR4lNIaY5Vv3p1gwmCZot/kL
m0TLm92V4V/QzlSYQLHKkjYorwlv4HgSY/M3lZFOGFdHe12oD/LxwU1r5+SPHtKDuHnTE5+erNoy
IeiN2NI5QfcaTflzvxIei9r6E2p1SE7D6+zb+X7JWHwEGqhZWdySeYXMIHDh2YBjF9hpwFaiuSzx
A3Mu+i9R1u3MNbmL6ernGkW+1aTUkw6udjog0z3x5gJw4qQIG9l9qZqdDwTIk2Oh12fdOB1LK/40
ZtwQaABYdDm/o3z5nNAIZHUDkDR3LlnbfUc1obgjj471j3XJCusVsYF38JviNTGWGkvmckYDQAqS
w/bbiCSry0KdXbG+Q4KJ95NlQtgyxc1f1EkWBs1dnD75YnwjtY5QLyNgVjClBEf146GbUSp2ygCt
mrNFzY1UEkSl7skU+XIM6aBiZERNaAw6CL72NpGPdlGbBy+HD9fZeKujxEZf76JcBA+/ACryGTwh
KkRjah5jxUovwNhtAu70bOvWMKvZuKX87YIVQ1yX/rg+lkgnFbhBKb78uaWHWF9SC6wjGlFmjY17
N3nH2TJeIA3u4B0/GXOX7JwxgwNPAdPEmGp62lZC9PSK8NL1TcuSl5kQ8IDYbk4DKlA1ITlXOL3L
QYEnuC119bIM/p/GlsFZ8rLU/HVB4suRdaNut83L0DNUtp3PGT8T4MTgHRpNtscPxGXG3kmkxo3f
AJJ0Zz1QnbcsSdSX504P5bJ8BoyK0PCgBxViAR8sr7GBnDopvS9bTWfX8Gwwxj5ZEEawkLFn/m7c
mipSBfE+UeLgGkF2HaJPOxEr2PH1PVUpozpQe7UVKziKCbjWu5VJ2Kwzd30nodub13PSZOa+MrwC
vqtLc9+1D7Xwnv7pLvsvuef+v8wE9TCu/d9teLcUXPVP+b/78PQf+vnqh3//N+8ftu0RPyhNgZLe
D0z+zvyj/47zD3iigqB127Qtzw8E4Z//04cnnH8I/Xf4gy4WPsdy/lcuqDD/QbkU2IHlIM8nWNT9
r/jwxL8Gz3umGTAz8lFr2NLkH6f9g82fr6e0ivt//zfrv1vAzBcFAYqhPzl5zNV8xml8biM23TYo
7nA+B9hZXSpfuNuopbJhV8s1Oc1mJsK4/JkwH4Xx1PsweNiVs6t0QmlOmBz64BAXY7Kv4yZixA1O
ikzMLO+n+6Ih9ZK++MSVTlPt4rajZ3uw4BhY6MfyaawvVUJJNIqJS4cqw7AwsRmZ8SPpex7giyx3
McL4CMZ5iHVfnbPFH0CKtQzkO/OyFiT/eRRa23WwuxcpWGFLBpWZgAG2ZAg50TmSmcJUNGhYdGWC
z7DAhPCfXoWH/2Fm/G940h/IeBn08/o/PF3B70gEHmBuhz3zvz5d0wWEisQVhmbcPGCKM1CQC8V9
3FpPhK0sWCRZ9IHG9Y01dIfswxZaZkizCnmy7o595nwFjOvten5b8Lf/P34+yRv2Lx5MfvvC9+k/
BXJk2zTJrP3Pv33ltnXZzcrfzMG7aLvknIj4Puos9zIu8XmISUP0YawdRYZjZGgZa+V540IVip9H
v7miAQKTHk/R2cNydREfDJUfMXvY18JHqx6TlMWd8aFS4r8HT/++WQAdmib/lE0/7aiD7v/5BpTT
eiVzvKLtX6bDajf4oEyQUeAAcX6V53V84D7bx02BSm1O1r3hteoyddYRGBtC79KebnYGShcFxj4G
tvgsZMKdi/GvEf/B3Zkk2a2k2XlDhTQ0DjgwvX0ffccJLCJIwtE3jn412ohGMu2rPjCtpNSrUqZp
qgmN5HuMuHEv4Pibc74ztQ+zmEF5VvFvQcl9K13WpSpxyAGU9h1GGmaPDDejoD9YoZ1u1Cz5wGSK
H35ow9OfC4Tclf7vdmQSkskm/i8uDvnXQF7efEisvu1IVzjCFsuH8w+3HpoAs5dpzWQduF3lhk9V
6mdHL7Luy4k43t6Cg+RAiT1YJuuhUBm7qJ6QJ8pXx81JYqryaquTPF/3XhLvXdEwJs0JB3OSgmEG
k3jNahmN5FGV83iDtJOAyfR5LhbUdVuHliBtaGabPu23pkGCtzfjjJHWvC87FP2lPxD1FcdyPePu
yXF/gJEs7k3XP+Lya45BXJS3VhBlGqIIWk0di5QpI8o0xpG7meCKclPXJZpKu6Y3734pskyupS3i
azpHH4IN/eJJ+GbPqGnZUC4Wyy+4AOjnQJGimHYG/rXFyJsRV9DZ9qHRVoTUIre2NDgvypuDg0dh
tYcAzhTLooEOCzqOf34X84H8p9vE87HAeoHr25zi7mJl/odPanBEn1ktLDVdqmEXAdyQmgWc2yb3
nXIQrAXOvYAlFETlzZwYcDoD/T7hsleflgG/D5zTTjd6ZzJc24n2yw7AsJRedQtHMPeV3YOxnhtv
bSQV/p7FF8fHjE8BXx7nksY5wekENNVojr1jWzDxSWLWgWm8A0g6D8nonAPHYyLshtXRj5NhHwNV
otEwnn2hC36jT96wJFOx9FzhAmgOsYV7GU07lTa7j9EcABmnI8Dn8pnlwkFY0jkqptdVNJ1nBoUF
OR/QBDiZu2TrWQGxWWUKKyAlQoTJtG92DbLo9tAK/7dRoWuqIss6WkCpYAfhJS0LC7xc42+YCJBn
SexNE+JdM/1SIlu66bzC61uJb2exaNPyMwJJNITHKXoIS9u/gA845wAhhozaqiPgdptqt8EMNWbg
RLH1WW7L2HeYWKyy8IQ9kI0HrVvY4IZGe2RrxJJdAuA5a8f7Ob1ykY87t8FsaPSCuDHnsSydr0gZ
zzgvxl3kGW9SeHLHd1CracqzQ6oZ4AsT/1OQIA7vTVbYakw/YgZAZ7fydsES3EU9Xa8b1tFYrfme
hd3oRSb6kZLvuq7j8VfdaEIpDXA6fbj1oDsRcMXLDCBmXdL8Y7bDYT+1/i+TQcmha+S+q8L6ZNcI
dWRPc91b77BWrBWluFrniD4cd3EFDuZ1Uo08OXgdZqPbZuPwhF70Tjnxoev94ikiVTbbB2TXfDRx
XB2dYqHBJyYrOpJuKgx1Gl/1PocWYQLvXLdBGwBUa6NzbRrPZes6+3Lw4Dv2+ICjuDdvE+cXhjnz
iOX4VFvutBU1nWKSoTSXvkDfHYc/sy679K0y935dMlF1Ll6LnLNS6XtgWjcBdj2MsY8uIvsEcLpv
2U+dCyVKB1JBei8+k8m5B0jCmtFGHj4hz1Ge3Z0L4uGElndV/4z2o91pFb7PXv8tQhvyFp0sgqv9
OGISJykuQ1W2bfFQ1zjCKweLVTc4xcZnahYSAHtgFXXfBTB+Ijy2nTGZx6qqi3P8Oy+t6tgzmhWS
OJzMJzquyL47ERAfxd4toA9xHYjan0ksS7JuffjTzS1z0AT/81Poz+Pg7yXG8SdlpGkBhJIenASB
SItHx19qCQKk4pHiAclAnZFk0yC4DZz5xDowXyPkCY7MEJ67Ga0GgCrEQtPALSKDq4Hx5NhVHs/V
OrrCgSf9RpgPWVHps0LUEaj+wuwd1cW8pz7qseQyQrXCiizPPvXPmRP9cAM9YqMCZE0NaV2dJJdE
HyF88CLhnlrMoKeKyL24ye1HmW+DFolMKcBzzaSqgcinymvH+hBwauOpvIxd+6tzh273z98iaylW
//IWQUcSLso46eFSWM7xfzinsbHDlEX0Dk+VE5cUipVT4SeEhtFuVQsrAaUkCSko9Q9MgQdWxgeb
OSw9JXGaOr6gWv1qbfcTxyYcUmYdsQD9InP7+i9eqPVfvFDhOr7LM9yzvL/WXaNjwMaSTJjNh7CR
NV6bwni2bJ4wWTlHAPeS4SICMimMQm8IycHU3f+L62npLv7yZlGVSslnbXGY2/byGv/hzTKh29tG
Nxjw8mCajWl/rkLB4HLS5xxCwk2WD5AFX4qeoPnz36uHmgNm41ZRSlYT4e5ljFnJC133DIcTkl2C
wK5vmNL/KerI+Z4PFsI8RKkaNRcA9DQtCWopyHCulDJOzNeM05/fccXrvRumVxOh4mlafvkj4qjG
mZaiR52Enpw5VzLewZo0Fr3huhaE+zlUlAwa63bLfioVAfVDJe8y3sCTq5d1D2wIc4whzkT9nVcD
VnU69TQjRO0mw9//i4/VN//Tm8rqayn3Me6boE2WNvAf39RmIH8zNggpbGfvK29RpcwNaWbDCNuu
LB4dsuZXPd1I6yAl6Vjfk5TTbGorfau7ZOS6lSbCl6scTvNMTnoNq3IL/OhiYVbY+6N6GAlBHZP+
VYqA6KxKfdYwnlhEPbNTl1YcvAhFIA2+Cwung48fVD7O2HcROg3EIQ8IB7HLAqPEulKRJJwOxDYL
mFed+8kInKKrZ6XZxvZ3JVGS1ZLGCDbKaRog3zpZ1Ox4NMMXw/3fMkTBgZltPfgqYCWilJWjxlgW
MPfHSp8eWlNoAtYX7VfPZD4BYRB5d2Men/rceXcqEr2QLtlGuatFAna0EGfZFTuiMIA8AiZCuNR8
qx7NNfNH6HANIHy6qZVnI1JLgoJUNlOy4OXxUQac2462n4Tt7KfIZZFJHgfWRRTXIKRwSjooHVn0
SZZjjMN/a69DkrfEVXlaX/IAnb12iVFrLBaJYTbw8bgIVbUg19Ou8dF0pnpn2UILAa2hYgiPAgy9
q0kSoRlIJrMpvR2qRm0DI5wDPdOX9h2wgYIIN0ZQwLZuJQZo5S3iBgbk5LO8t7P/M7P0t3Ax6rM7
Z5rfDucxfPUS2EiVYHkfhfc2MMDcnggbJy9hD44OW1L5wYuUa1fYxl3wrd0CCZBr3kvKLZWSYTwH
fHxhDNEfYtihkzI9eddcx4g3NL5E6eL21PIBbWtGVp7zkAWdtbayJDg5YBHsVDOifiX95QcRzgIL
yHhVzvhjcLXFsxTZVGw98jF88VTK1gIx2xyK5F4287SGF7WAx5CFRwBlxh41pheiggnysnoQfvZV
mkW4q0bex5lknY0VBp+hLPY8SfYRIGaqI30sZj6QUuTVlS3kNTPgldo5oqBmMs+Ecc+HPo/u5s49
grTUtM9lhu/QezJ9Eo8z0bx1zfyWIj6fCWJb+ZMfPdeJPpYZ0oY4x6luGuznUsIw1rgDrgbjT45B
1NoUZSS8lqeye8wTdFFpl7WLHYIsygvZfOE1z241wKzA/dVjIKRciYOt6P0fbPMRulY1gsxkNaPl
OmbjAhzKWg1N9NWlEcQznry17ehsXQJs1gW3B8tREAdcvGfCr9gtTvoaGWrHE/6Pp5wvRi7KuRj6
ZmN79wQO+o+CafjalnBDCsN/jHz7NtPKAWX76dRhdi7YWG0jO4rWFIgs41c24/qVmjys0FG2dyIf
Cn5fs9aMh4tL9qgHqpeQNuse+jZCBWBoTID6GuziIHu4FfJuGEprlbHxQCYBCq9QTN4ZnpCy2Kw9
scSjQE1O0HymiQFLj10YZLnfJkJyQH+zzaXYVg9eJrFnuqA5da12gd0/V5RIWS7fx2l4HnGTn1mS
oKTDS8vu9TTXgIFdI8IG7pMYOugnlVAJZ9XZGGZ0cwGAnQqnRSc4Jpv5q2cXvzIXLlCXZg8q/6Gm
cY+sKFo3c+4gHcImO8Lkrwo0FRzFiFX1JxKiaF/Ra+fRwNpzAgUCD++kQA+OtbUyUwzh6UCDJ3gE
sZJt620DHQHBoxNtuhIiel7jFbfRzmyswi5IC3LHnZEOYhM15W2y2dFnI9sc9g/3xLC9Oqa9zc1h
h3YqvHYtoGYspdTeYOyY9C1bYYJZkfkSQSlQAkjJaKIBCydu7PU7BWsiWaMFyEB4wMVFAQiBveOW
1xiUcg1sE8QI1Zd/Z8geASgNOyvjidgUNB/Lp7pmTvnAkUQoyzh/isA986Dgn0Fm2iA4MdEI9tna
BCe1cvMm3pqR4qaJEFBh9h9j2qrCCJjsl0R6Lop0irGWtggctVld3aD7MfoDP60OnryZLAw0xK8W
0cJwB5rLM13ZdONJRVL9Xc8zaGV3truNCflBEx49zC1rXlA9aKPd6BCMxhU/Ajxi27y4TIUi3r+t
VTaMNRKfHsQ3TrCInnOyf1i0cMy75E80EWNxGdOCtD5LIjYnrQbLz9IQGkllqlM8p7+9QeIPNXLI
qn2Z74fTENTRo2+J6eAs9GSwGitaahajOTahHObhvtM5EWxNefT7fE+q8TnS5jsP+42rkyVZfHyy
au+ptywUdHNF/2QAI3JxWehmQOvlKzoCEparuXpK7Z5URvBXq8SLcmRu5auJJzZEjW5jAZ+BOWY1
nXbTf7b9CYlbQJRFVFDwxAvJkKEXS3CSy5aUVJsGEZB5uesMMs7CFpC3U5nfRmEvSnPv2XJMZmK2
79+MbueEOG/KzEXTlDI0g/oMmSKuP6ycwzcY7Ad2pS/Q5AseVpyHR6WmC9FpclU20EdIlkOu2RAb
Eo8g6/UeAfs5LNCuNGKWx7nPTlIZd+SSalqBWZ/6Bupw7WLZ9+V0bm2NUtqoHqQaf1ox36YewqMa
kdwGhYC4oaZtpyEeFKr6gfB/WaVrzPAZqgLf/mgYpURpdgsrMbERZT6XRhOy99ki3L3xocp79aEt
Fbs5M3wPvsfe/8UBwBq0n35J/7c92/6hQ2SSwK1e234a7OYY2ZmdFoy15uBsh/m3zHgIY0geVQKB
chrQ0PZNQ8YNMLO28b7CHvc2F4C/aT2W6uHsFIeEAAU64PQzj7tv1szt1ffMVT8391CTMQHXBY/x
vDgy0nUukpIBV9me4cCvMuxNQvfa/GCotgeHRg5YEpPbbE+CoPfyDIab6aXlk8MVIiqwmuZOle5Z
Qq2YKJdosi3jwW+mSz0KXKD9n16MFKkwefXN17HLnKvZcNY5WAa3HoHrqP+sc8lE+uwt0fUENU+k
KzZFS6Cchmm/KrXgbTGHp5HxHo+MGCErcSpWzQFdtIxMEdLvUBPPq4IpOsqJ6pKLAtiuLjKQAQ6I
bWkOL4Yu+kM9kbbj9VO4ktMTmeYkibb1caY4Z73NtNVndICDbLxaOr8mDAEelFO/dUYS3BUEL3T6
Hl3aF3kP7H213kLGU8w98jMzx3uiMf31mFQld+IJP9NCsoaE1tTmKzHOVKZBRNShriV730ItZBKx
UTZOj8L1drHVEGQasVvwZUvBmuEp8xeZep5ZTOaiV4fx0EoWHk77qfyN2aQ5CQcjzogZU85vc4kI
GrAwN5p/V0tFjw04Hh0y3kPUz/Eu8++CwZnP8BZWpYWnltVuvE6a6F4NQ3XqY++QZDB77NoiFNYP
XqFsHax4JiUw79PzWGvuSv4EgDG8jIYicWvMqK/GEj2QYAdeGNggdzBQfCShYE+9iT2MOw6PPEq+
oK9aqzKaA4r8Kj6UFdGOump+jKAFzmXXz2Qc6enksBqheK8uida8J0ZkntycHOzaCjc2q6fnwNEG
e30g4hgrEfwH4CKSiEmUFNd43FZy2du6wbtqMxeT2o49bHBMpmzXGst6W/XPSIQf0vEhks6TpY0j
A6d4lxhQ8lWtiSKU6c6h3Eg7hKg9iMC93fqkZQrx4aUTcRkODhhwXGvLQoKfFj/ZwmMOaLJPx1Pt
IVpWKgvMMOGRUoJ676QzPnbFGO/w6LkPBX55N6YiG4aw2LNsoLEZa2Ntui4kLdwSa/sJFt0mVsxG
xuJWI2oFC2g7xyDFQqQkeEX4OutugR3Fuk+OoQkTIrEHfVeOTDl5jv4SyY1YDe8amVRQLWb5ax5N
u7l1sUclNnRt/wG5cXGPqWMhelenPy/BndzXtlDeUTCmYifj44jbClS5d2nBJTM6cXluJ3FoA+bg
nSjF2upe0R+wCSnj8zCJ3WhZv42gfAkKF9tTgQPQa5Po4qbEGCGIht4tMYmlOm+wDAlv5+LqG61G
X3kuR9vEBe2WtKOHYpAh8hQvmx39KCrPvhFS9uhhJDzYqHEOf/+CATRLMhRkx0qIGUEh813X1cGB
MVtz9nrT3tdO/QDtFSSQ1zwj8zKx7tfyHBWcm5J3ff9nbzB11yrLslsCqk4r1R+jbKr2ANKc45SU
b+GimqvM7js21aeb/ULD/qMIdXcIAvx9TRidwiIwLy2y1TDi2Y7c6k5zoV0mXHOgGbAtFLnhnf/8
ktrgdycT2ySm5fHqEoSWVZ4EgZc912oyroUsjCskaoqixEx3eDqnm8qWUaRmljqOVbR2I6t4VF31
Fk55cbZGdpv82CirjenLLYfipN3EujeVseV5REZJVdMoIhO8D1vNOBaN4z4sRHPrzF7sB0UMfJFw
1khKrT3zSrZjDs5FnS35YyhGKOPqZ7udiAGE6hHQcpsZn25TOC9jRaSCAVdfCIijeAkXLmlunRWx
elkEEMDP2ZjZ3mORqueUlKQtuGx/07jM+/FvuB0+mGFaUr4NQtqy8rc5T5cWo9imAyVwN0gq0I4R
os1TXnvUlnNMqHFaXtrU654bcmdnT8dno666s2ZmRfxvvMHTGB/CRDTnJvKmlbPkbxYRAkfoXNZr
ieZ9PTvleIK7gVMr1t3NzprXwBmy+0zXGgMR0kInf1t+iMI2xnskLBts2fKZ+LAYudv4WC/7AeI3
4rVDdvdulGQ38OS1L41qL3XP8ATmCj4ERp6rPFHdFo+CcYjM/JfpvA5KjheA3gXkd4aiiCSXGbut
yVeJyyFY+Z6FiUXxR1jkm3Fub4lIShz+ZK8ELU5c2HPhfp4K+pesIzEAub5j4T2R/SwX2yWEYoGo
TrgV82IkYX6FLLAjv0fbm2boHrnPkH2XCt9ahE8QxiXNP6GNV81EcJOi4sC8e22Aa55KNHBtZZK6
WeIiGnoyNrNLFQuO1cBOt1VbjM+EMP5qPDO4CJwgawP30TFy8CFURTAcO1lfpQsWtBAmXDu45Ci1
uK2BwV8TPzN5IvrdrpV1d4VeQz/d9ZS5LZqzfDDeahEkAKkzlnNMTac2ye8cIbK7kMOLYVVIeKUj
TnnJYKgXAIZ0SXYeRAkF+SXqYvyz8+9BqWzttcTADqH6rWzlHfrQvllZwBEeofeN5OL1KGqaNESd
mz4X1WVAcUY6Y3LEoOK8OG17caa6JiqHr19mCNgC+oME1SP9V1w+BhJHi0Rq/sgKLN8heD4IEYdI
svPoaUo4/DK3RJQlpk9AEPSAEVe1Zy7qVmZBaLmLV4bQoDMS/71hVXWsFDl6FvDbfZbU5qYWojks
cp+qnce3DIYAARxgUIwJTjqRt+l90GtaJJhrA3r4H7ryIdBP47PT04u4WK/rOvGPVWjri7bJQemB
Eze28WwSBckAzvwwJ7J84iY9mQUbuL4y6byj4QHNxCsbLGs78PZymMsvIx5wNpcxQlTmermk+Kia
Nt7jyfqIohAXjMMdDnSeryIBrU7BoHc9h/y6USW77Kl4QRHfHk2Tb0EQE3s2u2nJAArIeOjL82y+
AFtZ4KvA8kvrLY/wiPEDBMpyGApGGK9deYyT0liPI4hTYuJLJPtiZ5RFdczHBjVCjtg6ZXPYsH+I
FxkyRkK1PI8bYlWLUXnrVtUns+1Of674NgiJxvYIGy9sd5l492+C9O5LunBx0HkwMl3IR+C2hl2D
LHvXjMy54qlbhRNYDx8F6LZlBNC6fbwf0IPsBrOsdm2JFDsr6/7WZjVWeX8416L+9pHSKXKs7Zmn
oCmbBlkaNyHxyQNiYRsszszLGucdCgwPkLF8R1+WI1wpzON8MufmUXv8maOtv7dk+dVNwUtUsfQc
FEF6fIWLsjKDAewy/KwBQWKPNQoWVXSMM0RisDEbU5qCAZKDs7grv3tJFwVBSeHhXA3pEO/J94Oo
l6CKzo1LlRJKAFTVXJhv2crt2ge7HDi+0RYTAYPmuCeqY1uyPvOQUlZsmi5+lqKmBFF8i1oyJv6s
G0efNe1izGb6RfgACGqiw5aM03wkXitj31Pp6gCRjXyj2cv2eb68Y+Fwth3kBGHf8L+G+DOY+Yid
T9y3xaCIwWMHLcb7XZRKHN3Cgshoq+YiJJ9OVbxXnWnd6UA9AJ1Ru8nTRxgHMy42g1DwjllJPU49
udZXg/y6q+VYH0ziQh7tCDowIOMhLjsVXYch1SjUu3pNJhmWGq6+Wb4XntMgRY0Q8xYvhQ33oyjD
G+FRDR2f3mLWCM/DwSGWdjO4dEpkXw77YfhhLBd6YxS3GAfibnYAP9cyuI8cqNqjw8MAo9T4SG2Z
7goLcCwmMp7I9LezzZKjsMdjjnskmcF1J13WH8y6F7sSo2veQLlw0gvb/ubgO12870arwxE8zXth
srQEo6Ka4DExeQGxM8MUL61TWqcWywDSKHs7Jryui68t5kDous5PRgzA2dr2NOHr2s4xtuw08xDZ
85AoBMMFx7gyeCq5V6F/xMr4US877VEUr7EKOyi8DcXTGKa7rsrcDbCucMkzKnbk2b7PuCtO3dAE
XF6K2T0h6rijpp9diRAL4zoBGmQf08CD6kaHuiLiGD1QFXyLtpvPTnVt/co+Vr3xDaIDFUH7MpWR
9+iZ4QsSpfoWJCb2PxML5pSIxSGKcMZGB6tostZTljB0cZPioa2RliU+ap2GAxcJ665Xo40WRb3o
GNm97pFGdJP1DmZwT7ZISuSs45+rEt2sCuoXyg0PaSldao7ViaAGTRxHz/fRkCm61Cz3penf5xU1
1jA06I8nMewcI02vf36JTDwSzBYtdugJF07iYdrJ3jWLuGtzZOR2hiV/ZwVzt2tsdEPDFL5bQ4pv
zod6IhL3e2Z8sSoxn7edTRHBym41IUY4BAbxFnVPfYjWgWIGd15s2T9EN5ymTs9XQzlPWPdJiIw5
hyGwaDmQSsdcco3wXW8DowRrwiseJNcKNwbSG7skMnqUV56QT9iF4C/anX+0Bme6AfL4FDqBqtNZ
PrMK65yHIxzBUh9Ck3bUrewWV4LKz2Evx71LBpWMPL7DDEImU+3ClyYihlNg7YbN/B6m9kMTymtV
5M3ZbL32HiToL9Fo9YGgeHE/oplHGfTtRs5En5t82WZ5TNBLbNXcBrcUmUTm+Iyp6o/UyF7pSX3g
owH+I7kOrLw44YY9xxh/8LWIkMgjhCJ1EugdrEZ/w6RbvzuI2lvU+G+5Oz8TLLtY08bpYvUMRAq+
Gyo66/lpqCIibkd9dJooWSejUWwINKUgjvtTw/T0im2d3XUGzAQ7ZNMvfoPwd9gk+ctszz+zMhZM
uxlT+D471sjfzXqIVr5N2n0Ks4yjpEVCg1oT8/MArbso6v7Ud6jjC58YdSv4OYHhPrtUQhs4Esk1
EnaFSLl+hvFGhSigTjfu8GaVudzlApfgjPa+x2y0MYzwaUKKeHUshuolMIsn4aKvVqgSN3XNcZV6
T7OK39vIibBBY+GJed83Z96yYkM/0u2wJM2hf0wnlR78lGcgoYSHxiFwcFT6pSnCHhOvP59n56nx
qBc8v+n24LGi81CWa0447jWbpe2yLtvWsYP9H/Hkfd36E73m+Na59l3WT68RuD3Lp/RV7SsG1FsL
/m8fyHErh/QxjqGlgyEp1jPjuJV/SCQBjLidsTgNn0VFqVCDoth6eOKJDHqsmGRt+iEgHiHGiCGA
Li4ztx8tzBO2iDRtcAI3thzDbenX3wz+1lbh3oUV1YyUZ1hVXwUXx3p5MQnFHY5onr5OzqusQA45
wVPuhE9N621SRlbOCIPU75zxWnfFW57JuxGexR556bjuVFAd7G4mdiQm4aYuzZcJUjl+3u7WoTl0
lypXXzuoQQBUK/gPsUwPoZFGW8HpiLQK4VTS1b/xrmZYxcnUasLu2I3qQg8X3qIGUobFCH8YovRk
tfN3hXd6BWcjXGsV3fqYcY8yrfsm0j9KrHNXPE9mKj/b2H0vCGseUh85O8qLtu6nK2CMW4r3m3QH
OR/19B0t+atJXr6InoaqLvqHYIiiY+b3t6JlO0TNsYsLgoAxXq3natq09tKe9K8N70nnUvINiHKa
UT7lTfjuafCUWpG4YA7xt9FGT5Lh0KqGh7Nr45kye74vyY/d2h0mOpyC1FiMjUadZGsXJyyb/Ent
tC7LDXUv0KyBc7EMC/nA/Hbd+M69UfMsoJqUVBjcW7NfEaqNa5MdLTUITe9kM4nhBwx9pjeG/wx/
p5ZwlsrorFC9/Ru/KQe6GAA0efGBSPBeaGItIo8VZmntB3c89ty6gb7pPL7qR+BwA1qn6b4oxpOK
FGys03jJ8K6tbFrquZ8+7dR6i0vxKjK1qfzuQljh0Zx/g0jep0by7MzpM9SLYf1vpmBCCvyK1jqS
LPKYGVeV9wRz7TRkyXPCotDO3FsXzsX/3xk1to0w/f8ujv+f/63/H//9+/OvKTV//tXf1fGW+TcR
WOhgHd+xnQBB3X+o492/Ba4kHyOw8RO6NgKS/6WOF/JvvsmzMfAt/pEtbJS1/zulBommF/i+a7sO
Ynvn/0UdbwtrUVX9H5IiBEWmycuQwlrE+39RXTkxIHIrxq8z94CTIqAPPnuGDQMJ4s267jYbX23b
2KvWD60TdyPxGoQ8rufQZmFk3mIBfgIQHRyGkWc/CgagvuzCveEq7cekRbbqQjpsXEvCEyMhNTX9
n34yvqK5BagdPwHTDwmS+SYhiuTN3iF/pbXfdT+Xx6bq9sC4EcePHH66kkCGaV+B5tDudj5NnL2U
WsJnt2Dl3cEVRGF30byzXNhybibknvnSnlTDEYMqU+S8QM/Demfc2ewXkRXTZxbGPeBo9zBbaHz9
ejrUXtyedZ2zi42vdWSlu95IIRIDZSZTBSQZ4GZFokaOckjD52Jbh0edOr+SoCJqen+lomZ1tu0U
WGHSdoR+5F84cu4GwuBRAIw88GbxOIb2r4qN9lZ1HYQc8QzTkcB5sre9ysSZOHrtCgT3L0YS33k6
tKdYQA27WF6LxVRLpBmtf+o9L34aLN/YVj1LWRGR/0io5krZIPgrI/3q6so60Fu+j55R7ZtwOvoR
E34YDHdtnvDa4C6jGiPkvGNmldQfaqmCcEGs8F5Gp4FA7WnwkNlU8QnNurXBXXjDZ41tjIzmdd/O
x5E56g6DIX2avLjyM7Z75zzN8VNU2+FmTIOrKQkm9mPSDTysmwOBEDvPGJGsNZW3RWP/0jUckoJ2
AFaFAd7FAYJNr/TIjQUSgWq9dOc7OupD55XnaDlwp8AjV0Z9iYZqObXEY+1m9D8qRFhsA4lhDDFY
hKKALMiiwtmpinNeOOqFFI4YaPPABx5bt7Ztnxsd29tiLXYuXtZt9F4jgFp1jj5S2fg7v2l4bhQE
yOnxh59rUjZVL7fCBmSbwd+OwMKtiXnQ90aPWzazziaJ2QCTcH/1uGj3tSTJAHreuRqLAdL+dHNM
uEaCPMYKyMwuZd3ICtIn+Wco2HQNb9CU2c2Ti7RtrQQJDGiFU6AZ6DtkedNN3jQzPJgCoNW8ilfA
VAXkF0vmDC6BSee9QW0X7uqmx2DFLj2WVCUKc7F23yXd1ixc59yWwQv4jvEBYOR3PhtU/arbL15M
xT5wUyMTxCdWNOtokU9DOZnPo3QeTEPRmwFIRgvbavPV7vPwErNTM6Z+pwF+nymaARw13o0FbHtw
2x7ajR7BJL7DdaDQHwIAWNKfebAamBD7FkDecSQSBlqkhfaFZZLGFY16rAT9JCle83QnCdph8e2W
21BFzJ2r6YEw0oCfylqFLu2dah4NrhxLJwM1PIR9sigcCCBEwRk+UQrx/BGaTrI3qvqjn72zwKZz
EOg2MHZAam+Bo9ajc6lgxu+sNqUABoW/BbxFZC2FuiGKe660dlm3n+k8S7KGyUahXatm1No2Qe2F
y5Dc69Dqw6DBhsDmMRAby/lZVTbU+VCVwOKZzszYEWHmc4a0ERPp0cQvl0b0t/VgpFtfd/hCwi8H
jHfQi/aIwO8lESWAQ4M61ppvbphgMSaHRJsMcBRISybkMUmTtTl+VmTnoRaM1tIewq3LkRURen1o
SaxuRLFtGiSjPmwDMjtYQAmre8uT6kvxT9DCk04Q3Smjr7ntA3/vufndbMZs2qz2Bx1xCXCDsG00
+5g9ew5Yn0wuiMaQWh5dVgLwOZ1F/41/kw6UnNnXOj3lYzacUJp6myTyQ9TuIJe9EUNOZzM28hL4
kflUrZzlbAC0vrZaOznIzvmJ1g8sBWyA3J+3MhzUiSsMQU2xtcvSBRSTmRs5lm/Avh8ifL9IhvTV
qsdTnENhkPwwDRGwRL1Y9zEDkp0qp2GlM4RGAUwptEv3TWMpcAW/qoT/D+t3vaIU/URx128zwmP9
XPVbI6L8Z577xjRHTQzSa4wcmyn2T3hM4rveM+5lg7A7ZPWzmhkFegPGfkmC5E5SNbP3AtxktP3e
5fEYIu5x+YuAi2E7aTJjkiYk/sCbtw5/XbrYzkuCjDInZiLZJuEpM85tAUp0KtBXohUwVqWJZC7E
grlVIS5ZuJKQK8haYEPMFoFtvgt6m/E5W3gTczKj1W6rIvr9VI7GKqm94MOrvydjOk1Rf82DwngM
i+EHKi0GLIx6iHRwWlpyZsMFEzh3hgjHf2OMp08C7ca/c3dmyXEjW7adUKHMAQfgwG8Eog8Ge1Lk
D4wUSfR9j6m86byBvQXWs7op6Vqm1W/9yJQmKRmBxt3POXuvvfOnnWMoHVALrPixpCNLOuMPh9Mq
yyLKGTLcSVvS7np9+Fjed4PNZd+3sBalHxLTRrs5Quw2MvbMlrjuKYiuCNIcPHNyoUj3S96YVhwi
E5zLhJUbDrFk3AL7VXyHgevEgttLQHhDUjjW35bc8H4JEE+p9JC2ECreLvHijc7bvASOGySPGzFG
cnMJIwcSuFPkqCTqmYBygIwx8NmaZJWKScWFoRthHMsXa4S7NieYpNpClUhzNNP1sM2JvN+Fg/hM
0NHBzvfaJTS9IDIp9/USxaRj7IDDe/6sY6Y1hicqVuM4GSM1pFF/WhUxCwOADz+yvqAU3lpqQui3
8DzAyyx/UCyh7voS746Mjhh2y0bPyCa1DgP4HPzV9zg296hUNAQ00r8UTgCnSHIekVUA/zG/HZdg
eRxZTP5aSBFL6PxkwjERM3ozRSK9uUTTdwspkvgEdMaEJBFenwywNjqXyegSbM9ag5yFrPusIPR+
iOZ7cileei5X1RDkPeEAZic+85PRFw4GN8+vrPU4CH3HaPxYJS1BreqNSB3kK5wOEGGrVDvSioXJ
5ojHpqcSQg4FDQHRk0b4Avueja8yHsIdQoWb2bpCeLps7NW5sqgsadFdOZlz406hRRl6Avvg7IYG
WWOsCp8lisFDPylCLBbw3bJBZsskjJUpzuj/utGbDsh7zfdFfmVgihbvqeOPNKnYh9O64ISg3pAL
BnQGk2zZ/y/RSO/BcKYzOlBY/1O5F+FUHSRBBZYBl1nJLUOQ5sRou/ayYNRhF2vrOB/HK1srzpXG
ABCtDOwPwoeXIfPQs94rk53eQTnNMkB6WRCU/WpchIo3vIsssSVBjRytzOu5HbGPtx6zRTAWTF4R
E4J3Tw11sFUb3dWpeOh77b3zTdgCM/5KLDwAb3JGwwSJI6aEkLyg7wat+oo75dypUnOwywWGh3yA
vxOmt5zx8ClJ5lF1yKsUJlcueE586ocIojgNiOEjjOYbsuA+YDiidRqd584n0Evk3TYph3tam83B
KHyG1umzWc758xLjaOY7yRR4eUtTJPCiB/Dn2xr3s/2pA3aoVHYsXeulckhP62PpZdK4xJFFze6g
NchsJMYQnleBO+tnG//AxNuAOiGvPdsvyp2CH11g2TKDR2tA9YUgm0kTMGmI7XJPDiLaULZK03/F
RcEmbDTwgBldTgKQQTJWC6oekZfWUp8DtkPdMwM/t6fk5IAy4dxmHYigbCDec0eneANI0tpxGM0Q
92NUIJb6DadciXhj4fShjNwwTTC3pQXXpMTGfobhMGMeHmw6i5B/FEhmyNMhA6WiuatK664p0+6U
dVwhu3fEhoYZ3flhPrUidW61S0t6dVlZCZRpnSNT0e1Ga7gN9ckLSNs5jWQZwQQRG1/O0z6J5U/B
QbFXOZlmGklY6Q51IyClqHhDFFkd6yZfklQmApPQU4X5u6rsbhcLd+nWZPt5rN6cjowP3bRawIrT
Q2uRbQy3IiQuY9MSK3+scMnmmXOcsyC4qaoKLpFZ3OqueJ2TflwVJTgTn66YX8aXMtUJU2Ggpsih
9AMQNNlgTceZI7gT683BHW1UY10Q7NnRImV+LOViVxdMtjxSBYdbU5GbNs4dFY3ua3uhT1da2TJG
k/KjyklktnXOQL5xQx9KgZOIlAdSuPUi2jSorvSXjMd8pcJCbJwePEaGgqn65toD/BnTfYg34ByI
xlO0Iylw+OwDWjEnrcSqG8ioL8S+cOuGjGRMp74+zh6TnMeaxyjoofb2AimWToa0TzBjRCgGw2YO
dNLJGLfjHHIVjdVgYCZaVfsq9V/RKhibBuAkkpb3qY7sLckI1Dh5T/kXzoBgDE4ESEa7HtBhAB+L
XjqpG/0MLdDaWE3TL6aZL6TJ0okJu0jOzEULzjFogNo+h2HlMEq20cqEAWVdpIDiIlHb1fVw7DjJ
HacfQUyE1Rjhx0wV7VAxHNV8a6QsezUgWqagCHM1EtJSL9JRRUqYDNsmK64zW2UHH8umhZ933XHV
8XD7W3qnmBBzuz6Hk3oqeJKjoRl4kzTMbwnZcrHFc2HM/gsc8ercdqgoehaKrqqRTpDQorfltRxF
eBjJh5LIOxwRPkfZIjUy1basmbUXY3sEL8/x8D5ICdawnFFDfx8fbWcAgKk5P0fiP9hJCGibc56E
Mv3Qgh6mqAUJsK3bw1TzoNeps3dMBCWDAF7MCaFnR+3rBkBvQ4D7MEzktnJxSocRgtNaFfx7hWO1
YJmsNAjsok5+NjUAyAJQkfVJMDV9y/Y6R9AMwYhWCHMIa4C9rgER5AREf5Hsjq42rwGmgCeKENNm
SE0wjaz1UHGm6uwvzWEpcVO72qR2+ANi4brOC7G1rZEmXHAz5ezSMFLt3A29rhrXZg/nuS5JcCIv
qxxQvqJ3TGXanNxCvSbZXeN+YvBD5j8c7AZtroioNJj1MxEpCLRq0oJ2qjQBuLchyivLoejvD514
BC720TjyK2NhNxayUS2SLzOZ5C6WbM9hl60bjkasBiN4yoG8H3AcQz9vXYxAQhu3/mQT7oM9j8sN
bRbJPfyWqvGYCV8hAxsZnaPUD0apPH2Orx01otwL7gZY3q7VXhkVQcG99jGZ+oukVdpZ84Q0SKfw
p9+zaib/WEfBtsxaHLbZm2vQguVViludN7t8TS3zptCxiEPDqizjpiB+F0rd1mhqcOMOH0gTNKfc
Lypp8v7awMYLGC1ckmxjduU97+VXyzh8QQjCvHVaoF3ogANlZzhMss9G2D8Hgh3WeYJqgjvcT/Ki
KDPyAMqiVi9nUzZrRDztdpj9L4atP5ssfq0GbMOF/ZBbjU8FahwSOzxwTkQ4MQCerWNOS8xZ1wge
9M18aUq+a2KzGzDjuQ6ndJ9GLMGRDTJ+0sJ0bwzhOTHX/aIG9/Po0XUYtqkIIw0G16c+hMk6Dv2H
HcypR2Z8xznoVTaSKFejOo9Zh2k9AL/aMEOmT6htYu1cdbZ9ph9W0HLkT/XHXqtea9O5Cdr8ysWt
vY4lSRFGS/xc7BPjkPPSpFA/ton5E0xjuc1kdzaFfdMXorgi0pTbTNbclhTUPjWvK+MDFdwDCGRg
PGGxsVH+nUF9eXPR0GgJYJuzJCCky9dR2D00G5HNxzqlKpIo3YfA3E0T/Rca2myndXwYBpEib0aD
4FTAvlBWgPjJt0DkblJbvbLtfqY1aW02vqb1AOuhbA0CFEJdre26Q/SPzSo7hBE4+WoJBtO0M8cu
4SHSByco063qm8OImH4kJQ8jE/Fl6VNnLnjAjmQzf1j1mdTP9KN2WpOgkVX4/azeOGJcOiLNLo+J
paWbMohPyqraIxNwjSCtbFOo9jU062mnopkBv+T+K5lQAhv++xz6N920M+eyu68z/AlyNEkDtVAD
kcZq7yE0ynUfc1LyCTeYATRhRywoCYKvke0/glMJ1fkubDpnN5pMMhzKAxN9Qsie74UJ2QBOT0vJ
EPUdUWg3aNf8jeppO1VW8SXZrXfxe5Ua85G2X9FKOICd7yX6lK+MqiAJmmUKW8Q1iIizm3YvajIT
NLWKNVfpOzsnqLmdjy6LvcrzqyQ+2W2ewN9HxmMJ+WMmCHM1jGm6ZjNVoEmHr1YD0ZXbd6FwaPB1
9zn9Vo++DjLh58wnyayEYmVCRhWKEIyide6IPd6ZmGJult7Qqh4lAmNn3OmZIHw5Z/MZRKOwgZjr
EMIX5+WZl4bXrbQcmMzgur18xNbe43UpXULisPo9ENiCGwoHJ5o0cR86Dl1LTugMbHzPj+AfBDrJ
TVpsgOHQzNtoeA4lcYFtmW5pgffrF6r+grC2Yvh+rvQmIXEP6wzIQ3sdpEuwwxQiEbPjM8pXusQx
rkTaWutCxjyUDqQBGM/XQUKxbbYMgoYQnUA2i2JD9DPBYFL1HsADEt2VRmC30eVYDg1j0y8NQsZf
m3qAGpIlSOY7UBmln25LgZ4Nb0kLFhu3id/czWX4oLsRlOc2p0ejobcNisyLS4jBSX6jy75h4Ryo
M+N61wwJRx38XI7PtBIk6awPWwxMmAdDavSpyPaMEq5URfPeiCAfw+S/KuDe184P2j+MDKq7DoeH
nismpRX5GwSIv9g01EjAnO8Qp1M5Locd55qzClEW0tyGg/5q67Sq5twosSPBkZ3BNgRAUxYN3o+k
uqXCvcpnmTyQUUozmOPO0Eu2S/WFegu3WOD86HQm0A1C1VRDpIACgHGds61rtSlLsrC1zuHEKbYY
F49oFIPGNq5x8JCAFXH3MNudssa6+DRFSyBee4RYX8mke6JiQbOdBVdjas8z/gDfInmVMjXaZ/WP
bHZewU+8LXmGfV/VntD6l6pztwaJQNtxwJwb6gTTZwFUntz+hDHQISDpLU6QyMCi6FGVkLbt7kLZ
XtDqCI90PBEvWJAKtbkloxqnyaxXzWZmP16ZVphtpaCzjdQ+XacFIAW0tMdeJ8Kcc1KZAgQLkECS
B5TeQTXvT0Hv3CWFIpC646iCQIG1BmTqCDGG21ne64Fx1Mvwh94qYMZQH93iKPNThcSAsDznhEVy
+iFsTO5p/FHVjroXavEQEcW3qukeJYFre9xb2l+xgSa9Hd5poHWMVoHPeIguq3NvhsHKB7FPKEKc
7NSgnqIe9lEesPfhbyBfmzylGjHgNFwHFer/BEm4LRyMJhOK94RXmv3ArgkCpKMkNGi/FItkuJdP
VVoihjLCJ0AxPN6qSe6sJHhs8vp9/BKh2tYlBEMRPZauzM65qnk2dNTPU+YUW3Add7oeN7f1woGz
BHkogUuaXdc9162MjhrF4AYP5TazkZESKH0KxhbkaFCY4MiYQ0vysa5KZMiFtHrPt4Zsr0ZCoZLe
oP9CRPXKDLrxR4ZH04yityLX9oOZfs4NYgeejua69zWAndUrFAaP1ld2Lht9G/XlHumjtcOtgJb1
olN9egnJMbf+4pRPA1+7SjH7S/ToBIH4pPHIwcYNSUlRMkfb96l8qhGyTlZ11RAhGGbFJxATn8KM
52ogd9fLap2sv6GRm9bto4OKL/6S9KJVg33Ma1D3Y5Rs0rAiUKpLzUMDH2idvymQxNflENECehsL
f9jajv5uxbgIh16Djwh0oKkkcaNowdZ1PQpKEmwyaDdJlR9A6WD4WWZI+vRF70ZbDRbAYErxtRHT
FxYCiblK6TGDMrW3tqHtaZ5UV9jI79OQNp/i4AB4YlzTL38yi/onOFMTn2Kx0BhpsFQOZMoq4ZyS
jOWF2E2HFnPy5KfTvexz62DFtBjtgTWIuGbF1AaWU3+tyvyh5nWE4o46jKlDeZQAsa5NWPHbEhn5
OmqNxyTd133vE/IAOsgqFbeLPTgnooFADP+lx8iy0RbOeNGD5bSYJyFso9x6dCO9AeVnfkTLGyxj
VNOEh3uuAxeFyAydxf0Qkh2yq2L5YGQTaMxxfpaqrNbVVyLLu9CqLnlGPkrCgWatJ+p9KD/ipfFH
wEATwgBTIr9ThJJbJP9Ajx4r42wU6V05Qi+zm23eFsx/Ov9FL0ydaRCjTxk5K2EPZMLK8qFzUW5G
gCzWTLHPDtoV9NT9U0NyJzSRK/uFAsSAv+g7n51OV4FCecrvkKb9RMLLYR0BtTseXBtbC2kWbegj
C6kB3WSbSCIxaDdy5nDQmNlb1Jk/eKQnUg9KAz2LtC6tQFoY9cWb77gtBG7nomMXcTWP9/3StfM7
/kqvFPEFvk6Hy3z4SmfM6ZN9M875TWPPLKguyy9xwQfknPplUJTLTGeapA+xUWISSqxau4F+SGXp
dDupWWwd0OpYjcr5SfnHsS8DBsi9RQubqfdYigl7ffvSl5U3xzgVWp/mGq3Kq44PuhNZfGCAeJiw
oVyZTvMi3Do9hpQYzTCRpWjjsl+wXVT2UbFFaOUF5oDFtgiaPXlfHOMbJLGKqyTol53q2slPOFtg
LrXQYDVZ2kfZF6WnmgZuweI3tGO7WJuWWXtNhd1E2fdhULw5sO22eFMeYhVuhD2bF4tU4i2SccpP
2nLYv5NmJ0ygnwyCTgsOmOOqjX9bart540YciEJLdKvASY71NF5Pqbw1UcOuBWfxQ+V2NzAhX2Yy
ClsbCkzY2LR5lsBkyYvRAIqfGamkCylhyakrBuBFhUMChWENDOqDiwmpfiq0eRNKnUmfJfttLSg9
66y4EAuin4uYxOIgUN1xwlTHUYHTFv2DfUn6+RoWF4+3fVfouHlbvdWhyTL0duP2GMv2kay7I4cp
sRVaTijL6GieX4/7rFcaMgaY6vUIMbWfuhPCh4nFiPdpYms4cRgsECwTdJkK5EcDT3hSMv/0Qx9D
cmw8dmPB5CAh9sVHvo+vnTVlHL0IvOo5IMebQ/nIv2XoWg1EKRROssmoq6lioNKIAct9HxTBxe1Y
9UdD2xZOdh8JDO81KBHqZzi8uu34yHPF+2jlBbJfZqSM7dWeh2IvU40tTyPaWDOCo8ZCwil7b06Z
vl3EBWoOS2zCUNXIk39KJ3UfRu3DrKnOsyzS6Z+rrGXKKp2eZu2IN19Qc6fJu2kwHFIlaSJuaLxY
TX2YWadQVK4Y+TblEVmE/aFrX6B1kGLX0cRL/mFY7jPzgoQZ0PzaNU6wUdIGUl7uwi5gpAOpLtSR
SCW9dYvJZyc7AFtGG2s8DeOGuMzq1SZRhwBBqTPOHD6m7Itk6E/QVY86m/ps9glWoreS88WcMGq0
K5yxUKy2HDchnPfNnfC50I0e41DLk6fMLt+sOcuOssk+EYrDMcA0Y3QYHEONdB1f8G2ELB4hj9O+
junCRtUzbRmqXBk81SJ/Siz1oCWKJSSBvAaf7KBqScxOAN03pvO0QqoSHESssaFD82rTILvOjZZ7
xvbl6/K9c9QxSexP15xNXC+mp4WNszdcJoVMHR3Csz1zafdPXLd8xCNroeCnaiGAAE7GMJoCjphg
2DonoB/R3Go0O1snoUVJ8CjKNPvBSswObpmKNzocsQk24J4W1MYEB3slqsxgqL3EU8Y7nCrRurLA
z+YBs/+KuIKi8A8cm509F/21l7yiWqwznYXBmpgM4YcGtEyGVkEaHwMj/WOckQcxTljuqveCju2q
RqXs9YHQEayToxt1n1lhvFY+Z8t86bm6JPrkdMZkHC39l/cu929pFF1pfpLtprKhV8fgv/Rpqhld
t5q7dawTAaJgm686198GFEnQYvjLeC4/YCmMXqain4FKBXPYHAsf9t8QC8n5+xfOXem56cl1Gy28
X4Wf0drt6uYUt+GnETK/mWvYapZvjps26l4NKzjo0BKJ5TY8I9I/XQMkuPBzkCYdf9Ek1GEFshgL
YctUVgz00ZmTtZthZlwzJ8bBf404LJ+rLGdk7r9xmoHL38PtLaw30cmVqvz7sAD/ldcjJ5PgUkre
12hEn588xa3B+jF1LxVstbmnv4TotFNZt06d4T43zPi24YZT/dy0sT7fDWVxIQQwB75VaVuUxndm
X7DnGJVB9AKrsVTBu2NbS6gHtIeO85I3o6b0qmHuvbFjiNnl6mL1fYCaln+U0AIoEju6MQK6071F
9K1rFvMmcpA81FVyMrTkGVVRfByrpttg9mU4ryjGXOwuqxjnqjfV7uyJWkYedfe+t9LbdkZSnNjy
Y+hITRmwHm3bId4yo6bBPl4V2FiY7bPQYWyoI9WzyHPV+o5yyJ6edbYi/ORJsLcxEUaAWCud1IDa
tZ4TUD7bxhT3qQQpbXDGgqBB48MicdzKCZ1hngQ0w85ApNa4CaJg/wabO76us2dtvC3oF/e+qL1F
8e+TB7xOYVIApyOZtcp+xpN2AbSBUxz7XK8TucBg5qbPo8WwBapoZubaTbR39I4ksDC65iVPX+sl
usIpgLik4rYiSBiimthktdYfSPuSSHjhqvZiMMl2CwCj1draNO6qDKeNZcL2wa1OxHJJrpiPicPG
WPFsLaP8RBG4KAKCoLFbnqaqJJG3uqE8/aqKEPNThHycPjctqkwj3mAmD6MBnj/k8ykbO5K9Yr/d
GIi1CHVoc9Y07t9TX03C6xDZEfcxvmeSonFQ6SsaOLn35+KxHS8EbNW3SbUYOUwhOAXlb107CQrL
6W122vQc+5PEnFquotIrQUQcIyNuGILTMCb9jrJen6q96odXRip4MND8sgDMVwZ7qiCMfKVKRqYY
NWB7YPiPSxOLQCueusn5HOvWPOrwfjcDmYAIpTMNTVamd0yiM7w2dRxeNcX8YmYW7QAfMFQ/aOW+
gDLl9f2DuXSQo/ysIRxZ+/XEeKplBUmqnFFptQ6agoWuZlrm02ZQ9KdT94QrPXqlSKPBa73GAUnY
c4t0XZtWlUjR84QxXh5qz7a3vixDvyJoFJVRnZ5nlVOjWeLURxeilkrOIA6C4yoFYNXekiXJ/U2n
fefjBUGN2Kz/o7AytPHAh1E1I8vRTPcjZ9gpu+Ge8S46J/s5RPecEq654ntBKxDbSskH4E5nol3p
nvc87GQvkNZdv2gVcov/6FQ846SlHxTYqDhG7I099SyPOUJijn/xQC9dE8FLRwvHGhgq2Vr03oj4
PnPSGwMaxcoFV8LQJDsqcpJYGR0sO6mOOwVkAAIqGsLjrSHS9pjkLwL7/f9ukS+E6b/R+F7+7//J
Pn8mBbzrvI3aaYEVLv/i/+t7rf8U6HRR0CHJdUCo/kvey5psM5ZXUnCWZWf6b3mvxb9hBsLf1w34
2GAE/iXvVf9pKAtsnbSkhbrDsP5H8t6FxvaLuBfyMfINFMg27A1L/oY/npWflZJ4tHVnEgHsp0a4
7W1lruCXAq+Fm4ZenRc97abyimAZ+IgpttqZhupNoIuDzOS2io0m2jKmugK/FO1NQhCQw3GgEG5p
oG/iPxURZKCIhg+wt831XJmlh6+03WizPPzlyt/81yf/K29a/o4UhhGpBEduOAaWbUtz+fO/MP3U
0MBgCkJgjqV60xhynNzlF6sk8tztfjgGIzWyZlhcDViObuv3Zx+Z/Zm9h7dIxf3G4SQStS5giKB/
EIz4rv2qOeOdBTuSwgcsdaho7Qy9wyggOUpIDGdEBEQO/8zKPVkBxRaw4HCVRQXDbiPbhT3ajb//
murPrwlLmxwjVOG6bTrqN1E20ovWhMZDAFs5WKeKJbnejEX2UUNq2EURaqrUTNbM7jUEk9LcWfhg
1pgz5CMrKMrePj3LPBuv2hH0BuUxMm0R3gdddo5pm6Gl0WFf4EmPFYwIu7RJPwzHPDuk/szF9P2l
d1sfOofulIBX8F6Si2IebMMPrnuEiPuk8K2TO9Edx2fyWfaB/tLGJBbLss/3w0hit53nl+YSK0Q9
KD5xFRIIA6VNjpveIOqzSfNTOdTJniqPYhjIFVA4CHyo1wLE3zYJ2RC3tt//OaKuXtHbti5hlDsn
Z8gYcXCoNGSpEcdnP3eRKA3k0L6kCaEuGmCXtdbiXvUZVICNYFj+/QuNmH8AIhrOHy8Yg2nksuxf
ynaF/O1GtWaDz8zGVz/KNtviVkrO6eL51KI+3TsoF7oUSBqS5KvaVilt/XimbUPfPIliiaJwfCOY
VyEOK4pLNXXB1uknQc1T0e1q7CstRtPqLM9AtChRAyxeh9xYQu5hzTJWbvSTSiTwbHDk3t8/g8af
CE+5iGOoW2zw3fbiQfjrq1YOJedLjWKBMrnemzIoAUfY2QXfkL8LgeGe1Ai7d0Sr4a8cn0BphNnj
Sg+lfdQaAJQlUkmCfSPYBIXLRM3gZYFu8CObQv8iBkueR6NJz8Qun//+o+v/5qOTu+HYhuDW2I5c
7tpfVglQu2lVTQzpycLytGq0Dz3b+RM+Map0etply2AfmygBY4t/zGJgWC75Kn//MVirf199JdhR
y3ThF4LNVL+tvs04jDQowC0O33zYlI66CS8PwZj5GLdBfvZdIzuHy+8mkcO7zsvnMCqxEdBld61b
pLgQKB3TPX7/brRoeXz/LrCp9vXehlegdfVZr6PK6zkOweAe5l2GX+qfvsq/u6ImPhVdMAh26cv9
ekUbol8no8TTBogL4fcCSmnlXYPQ6vj9H93yUn//bi4wDSOJZS65PCP/+mVG83Ga8EUSoRA52++9
Iq2DDcEnp9zE7ZY3yT+so//uQeCNZ9/TMd640M1//dhl10pnIm1tTYgSXKGAlC+LBPs+JqUnWIAc
aRB/0Ap3DxlRnDvbhOqX/MOe9afDhgMCGcnLQs4zYP6+mI+zgAglq2w9wjrYzlXwE3uKjkaf3ijr
vMBnbZCgFBmcnqvoRoXVP5H49T+XKc71ljQ4o7BKwRD99Tr0U5QBt2FOkaSpdULPLT0NOchVxFCZ
NAz/5BTNux1LlMauFpwi1Ny9RIZVocEbo/IeBCuiRgvKTxX0JzEUdLIzt0v+CRu8LJe/nlfwj0sl
LGVz9LHVb8jeHPOcY5ScR0ONmAhdk+qq1plLL0qO3OzQgqre9fBtm+cwu6856B///p39vhK/fgKe
E360ZSFaWPJCfr1SStOhFBlwuOd6r5tBdD8i8wtN8ZSkSfVC3PEC3kLcVHTNI/NlY2NPmnGwGOsB
d9DPzJ/ybeKALfS/aT4Orj+C/OjP+rD6XFbZFcROksRb+040DCdN5ZoHw2rarWVt7dItftDIX5AQ
UJq+N/QMVaunJcWzkZDA+93mNWqFbG5Eifu9DGMUak5/fxmMP2+E4vDhCJyDQjqG/tvSlThEQLb+
xHQ7PoaVAgcm3EFcQnxHF6laoKUAjpgMHbseetlki4dvko+uw9JP6YarXicGNAv67XfwgWglOZNE
N7RtSlBdFLr/sBH/CcZWQi5VpOCwS0P3t887T4LeGNvjfx2Y2kpEO3swgiUwpeM7uD+G1l67XMZL
Wvdff3+xFuj2r48MP5sfKXBS824tp/m/7jZ2Bhk2Nhnrf4d/yHigZTdLLVg3ssse+Mi8TLhy/mFJ
/jcscKVz8CC2QedBFdZvX7lFlUhqS7D8WE2um7e8AxuJ0l95owszmtmgONd5RhLp5G7STiIdNe34
FFFOOjWkTZk1GWqVaKbOl/ulHrlvTn1a1/+wG/+bg4TSeaVNqgl2Y0i/v16fNm+CFoM3ghVlCGZX
iJ7DelUZHcYWyTy7sMK7ZMya2xg97nqQEH7otOy6voonlHcoc4zMardpNL8zDUyuxq7OrrukIYbU
99t7MdOAGKHz/I/vqjJMk2gjUs3/XIoq3YEO5KMAk5lIt6QB4EYhrKppK8uriSrdz+ngeH//M/88
MUBKp5bkzMVybfDbXy/Vvyr/pNJZrPWXruoo0qnWXar2aCnfMwWs1qaid5bS3qTG97+L/aXsz6n/
W/oAUxO8u0nTsr3QK8z8HzIhOaSld9DRQ6jj79lGKFaaZf3De8gQ/o/axTZ0AVSGobTJ6qF+ex1A
zNcwKFHhxybnxskxb+sxKXdOpG27OWa/d0L6YkDCsLkYV3gr8fJo8V2/Jb2UccVcEZdqbgSx6hvi
39BHL0Irwmgh1pULT2Hyz0TX2utQz2Yc4elN2eJCsOyF6UII7VYP6tt5poy1eneLiNW94lx96BGj
02bUPi1sFLkOOd1GCTMXySlx2zuIPc5dY2LpcsAY1w7D/PxQxNox0SPr0PhhB3GCGYCBMm094znX
sk0Fm+EEVCBd2aKBt6MjB9PiSwbc+6R3P7C18okL02C46UKNQo6/pmOOAgMzRhqWq8YdHhmTLqDF
8LMp5bZomMfmnLk9ESB5b7XuC9mBCYg0h2OyMjE7bFxXg6aroSd6dPymub+llCs3xVDmG976FjIt
CGAnQLgyztkBlBQCHCpzL3XfAjDxK44btoeC2ToKP9mH5iA9RAkJk0v7hxGl2qZZdEix2mQokA4p
PxZY0ngyZ/1m1MzynvYqzA4Z3yofwXkgJegHo3mWAuxLN9nAIoG5hiMIPdrbRawMRvmYJHXsISvN
1KJdo4OILDDkxt0tbrhuXeomikJQA7j6dGM1GKIDeQPoNShJR9JxpHSqxYgFwSHOpvcRpCrtZ/Rp
GnIqbi2rrHqrJ7mpx9TYjImVe1M/HwmvXdDEltyin3GTCjuudhnTxCDKC3OpdPzVlBeIrnPtZzKM
Z78tUGLp6XTlFEgXqum9AcXjaahTwiXUQQEu6PDBojScV22GjamLtXLd5m8tpCD0mbPvlahF0POF
h2aMrjsHnbiTcDLnTEizhWPNqqkb51h2h7lewEkVutE5DE9RlMRrVf9IQvrijeZ+dHaVXSPxJ8I4
K5NFaNh5sZOD9DeOxAUdOz9xQMbITzd17rKJnmqa5Kfu5JCLAXlpui3qHomTy/8Astqt0QKWCPrq
PSyZgJA+e5zFpw1Cy4uMBBFREibbYOQRz1LzuQoYk6CURF4PpMfg2TsMloU6GkhH2noCLeuWARzY
YGktxWqztzC8BSat0VBSymd5+TOIufYub/LKSNN+nTs2Q2fhJlsUhRqwHLluu6BGersAHNPOZVCp
DWvMSz8z2sxuQHuz1DNjh8z8WBq85QZ1yVYjnw0PHGwov8WtUeXL5KtOzE3b4uaNutuhjnBYsp64
k55t4BU1obGvmnZXzUQ+lSq579DWbcIwQyR2yAzaVFoC36oDMlonI0Znw+n30YjRUZRgPZCcRJtg
AMPPGKNYI/dAOjR8gO7SVwzNY+SsOsX/aiIwtU940kZkSGnnOytlF7XHOS87stgzwhDWSA+AKWA8
NAByiTasbZxmkyvuZQ4W0ok1zEO6AcM5RIypZcNDaP70W7diZvxBr1CHeSceKlakdQpafQVG2waS
4hNfpfsIgrkzflHfJywwuzhR4uDML0If7S1RWe82X80gtGxjuSaTtpa8X3zga8dsFhWo/RDmU3hK
4tazIzRBTa0DX54OErTSOcYz5tLKgdoppy0SS8S3ZlxuQPeRl4qN0fP19oOUFrTZSwxCjgYNIGjt
JscuSh8MfHxh8ALCBKx6rwoeM42YXtztGGuBnfw/ls5jKXYli6JfpIhUyk/LOyiDKWCiwF15m/Jf
30u8HnTF5bkGSpV5zN5rl5D5zRQpoqPWMburVVSPatmY6aufACPBs/2GG3HBB22OLO1OAsXzriia
72Y+KQo+nlPQ7Al1gk029LMOBvJ/NJafZGLivyt7pMmN/WGpNkNlOH2EkPtIbQXuEY3LSrFTSrIu
uoxKu2R1D58DnPGy8jClYJZ8d0kDdaGvXewSYleccoFIT4zQGeW+RBV2oLmfF1UxGrE0uildnHxA
Omu7tt6aeHTOvL+cg/iDh5CxpGMlLF9zfRP370Dz7SviUXSoYYRkpDCRKwD+al03WvWduE9yBCSj
I2MBHbz0LZQ+CPqQlvjbOGTeMmnJk2hqfHEi/WB5yLaecWYVnsNnqtHfzHHVdVAWYZv1TlmkpDkd
jh3Z4lIFXMbjlKLDCPCTLYscORTWJjzEgwdhsEC1Z+MRQ62PENFFPr1SZnpnwW+AvSO4BGA9gjDw
k2pfYxFjwakWRLkgkEgASdVW8gRrGQ5ohYET5BQ8+Db4Do2aPXSHtwqrgoWowQ0V2lb7lLVIL0Ip
64OCk74O4rOw8rNpoxcz2/TH9ErjynyPoaJmr8Yx+iznR6NqSXfQ82JBlpY1IwtYRstoTyTEqSU+
dWNY6C88bV/7JgYIE9hpH7yFek1udGHMvrHwbJn5A7I+60SIzCftClbmNiGpZOgPEJvsk7LEI8cU
rorep1jl+6qJjNJlfcITdg9d/5lmG4+WD0GodTYGAKUGKNQuGUi/iGBf1SYpKEmvrQxjwIYRUfMW
nQlnsYz2TAwf9NTKNjaKaQJq7ROK6wJaBTPUqXBIMRDfOZBAJGnEukNWBxToQHUoyFcYwfzWRIig
jU0/9UKcpe5B9EXFS7Yhq/D8EyRot28KjY0zmYMLfUGqPSzRvFwnSvVr5N/1hog5F/BPFK+kcDa6
M6hzEBZAtNNRbs1K69amLb9HYiZQLKAnzUbH2UlGxXyQ5YuVdbjn5wDkKC28BcjQpS9GuSva4lNq
/9IGPlWmFBfT2BnrXktdwrfJseike6NAfQAvyr2KCQeJEAD4+btMWyu7ai0ZuPh2I2m8c+Nhq+1i
yoiqY6UJZsO0aWIoBUllJrC6zfl3mfStS6M/BCm4eLoP5/jcowT9qrviKaebIX8NH1HaYmHmzArW
waEo07fc0J+SBHRkUWyDYEM5EkwG+j57b8n4NzIxiKbaZ6BeBmERXWvssCxwvI2uvso8E7kPzH2L
U3shLdzl/gqeqsUdkFmrijExhmuOeZEcbSEFwv2C425AlOT4N10IVLwE3412syPZpqAK8cKLrJLn
POb5r3QcYTn6qUa5RJZSk3hhUixbXRIQXZskg+nBd2MAWCWiahcE1TlPRY06wT9Rp33EPeALW5UP
UDffu7rVmS2l+6AGCoqm4BFXeLCE+U58d9NvRGRTdyJOrqZ7SzZAXyJ/0IfmH6yHLy+GNY9E82jB
qFj0n36WJNsh6ZP1YKKUUK29bo3+kmuaedLI9BtK5+xVcNewQT3Vrdi56JPtWPirzCLWRKs8406X
+Czh9CYtcX6lYeO8E/a2n9axk74T00V1lRvQA/r4wSCdIBNO++Ao/92aPxIpQcscpvk2iUB0lRay
5UQ2l67NgjXEvVsOAvaWuPCjIlntc+oOKcWljyeX5Tiw4Fll96e3axdVTaHdIwzkkNXWRWKMN10y
qhgjMUvcL/jSYX1LlJ2TaRH9aVJ9FuE2JkEyG3HHa0O+VJGmdkFqSVZrsbc2Yu2ddEFxLvSd3WaC
KnNKTzaKr0XCYZIxhcRKkv1r6deHNOPTQThr9Ygnq1uFFpoyWugCjni+xV6wqS8MfVkpwy1fjzqm
Iv43iDpbOdr03Jvm16BrZyMusWjXx6ppcedBjFc9S3iLY15Xzb8AxqSIfxWntVCPeQJEpaYelK25
TWu08VKcEr3f0ZVcTLdclNWzFQcEvMPUQkABlM5f2PF47DP9g5nYXKGR02q2i+TV6JzrmFD7dPle
SsY5bVNSwRvabYzCB8NmmyHqdDXaJdo4TLilJb2tl2PKMxOYh7l9pdKJrhV1VSty/aD85k5TknQo
CzRaKZDPLQVH7x86MmOOXaYfIJXTr3n48AergFCqPuq4MniORmeTGMWSUfhzbx1SKyX2k8CplaFi
7VkBIwF3zVPls58fiTNYzN9pQQDZ3uMzDVx71QNWRJno8/36xT2q/Y09yhsO0lMe43GOLqkpkWuw
XSsa8RMWxrVQOkFcrpssTX0Kdrmur1omdtzR7yxbcRG37PIBUb703UraUYkCvPTx7xGep5m/IrG+
hBhIHxA+0KLYGCA+QIbw8gc6nznn3qvA9EVX1BCnGD8aun8X+XB+hybxwicjXeS2eI8c98tsEYVL
+Wbym8UzgwBGQ/fsxy924D/2WkO4SXRRlP7Mv4tdmJv9FvFNENxnO3VdfbTT+B6V5bVpbOwjNcGY
jVkdEhf6AY1RtE8y5DHR9Jp65j1L5ENVOujOJCp+E+PW2jQOTl3pD6PvVOj4SMIUsx+qTZaZoCfO
daW4Lc/Eq3L5pWT+2GVUb6cZElrDGobj3i4oFMRBk76c44+ZVmivik2MtYmmOti3nXiGbn0o9N4j
hg97ppDhvxy43Uorplcc8dg8sxgahXcrDYRnOgo4NySzge7uwJ27MaWSjzKH42drgb3KKfpsBIGi
g+IHmfWzUtq7PvnxOmvM31gz1gh4shXnnF+Y98QLvx2N3yv39ePoVBS+2A4YMtJ6+LQCWuIt04FQ
hFbTmIB60TYznogtUiDP7Scjifctmu2lHQK7aA3eGtKah6VIS/jAE4VOpgQ+tOg2quYz6h64um18
3pia/WAPE/RDxrg9gYtXy7DwkORrp6TOiUcPPzQtq3ahtON1Z/ho6JMGOwZ6zsK00SAR1ZBS6pc7
z3TcNV0nv7yk3znB0Q8BCZQBedVjM2fe6kjP8+jmJgyUAuk8jeyUd3bE9mF0YKVWKgIIxiGTjZix
/GQI7/CjwTNUabCZRzEk481B8en0gOaxXFYjlCxOTUGnZE389xfgRNztGGfZKqwSPnh+d01s2e9k
kszJFZgXQzlxFxFSuUCa64LZ8DmKwCYuTK27EF4YWiE+8Cyajv4en7hCGA0jimRlx+B6DNHdLDXZ
7VVnHjTGy+yLo49KNr9+TbVk+uLc9iaPaXivh5oqTtkzG5MXDzIzRmfnt0iqtXabmOpCHJ4NcUw1
WtcCKG7gC7LdbtF4eO1xG6MZTttrUnSHsMBSXAHg6cd2lVhjQamkp0d0mfUyKXmMtDywEV0aPjSK
4l9KIMchtO1V4NIugDl31kNovpsxW+AJSTv28NeKEfzSablp+gQPXojmCZvoHD6ZwzWZcH3ZJtbw
tN24eeMcfHgNTtZ7e3RGD0mrvoceJXMZ4wEZdEAI8Ii2VaQuJhrzQHP0jc+bs4g0eY+SXsBAgrjQ
9tq4tn/cGkdk1UM1Vomh0W0A1a4zbTNqTnhipfimDWA6hYkwzLUIEapM97kqc7wuLNWy+mskURgK
TREv/TjKgNDjbOgcLrdhoJ0hcG+RaPtqniGRsPIQZhnzDBcDqsWUpa9dGtTulEbxpjO1m8phlHOy
H1JMMjyb3AJe/eMFDPtax/8wQEp0qUTcnNo/uUKzAGEKx3wcXKs4eMUKHy1Ru3OYDVxUmZOAqh/a
Dw1nmS71/WiP22nQOAb8VxhVkDDTLbZIdPFMlQhGWUZl8lrm1bHJUt6dlrfQQICns5nEgXHqP1go
0/4i2N6GWrEuayxwoa0rimwcS/DBl45X5CvlgKVBFMvMYI+JljmKkw0rdCZcopqnU3xAeaorsjcN
i1+IT0hoZLEhSDGotQWH4igJWANyEc+aBxq9Evc1SrGGdLEXhZPUSOiErZLInWruHWpGpDICWpXB
OYj66TDYZBJNvY5+HZ/RpqLn8ISzzXUOrHAotXVolhS+/kQMGtwSg+lfamnZTowG9iEqUuSULDAC
nn2MEzggWjSyhrZ2cv0p9fQAbaANLatr66WAOUw9Ob32Tvivsc3ZLbhtLPnhyR6mvWdj4+34+HQ6
AklkUNwn2U8adFvXZnDnEEG07KFRMH1kHCrD76I1fzlTK0aJvGmodeRZ0LGmoyAo3IK5klWvbV9c
85x9LY+H5wmynMBEUDhaNxnxk4RK7WdUbBWatyj3f7WxLxZ1miPrliC5sAEuQ9mQZ+tS6ARUOYK5
RYp/GsHqgK6kJhklnAMT5vejMlv2pI69Hob2Bgc33Hp69WxoUX6g1QuO3Ziu69KanQKkh49mi3Aw
x7NXSWz+qcEIIiIxaniIMMbyDmfZOvajdd/i7YwbfBHWSAHTj/AANIMHs+lJ8NMYT/ZwXxbY8BPN
uw1E2FVjcdNcp9wP0XtNqOgpyBVW6morh8zngOhR0uvjIQNV7CV3u3puR9RO6WReHb1nyIKqGa72
Hl7rHYEPQIt6LPZFpa3w0e4jA9qtH9Rv9JTx0u5CKHZV/QIPCX9YSLUeNg+Tr30ZKiCIDvrS1KBs
hF1DRKXyi0UUOPUmH4pd6kCfUOGOmTi8aCwaFd0YTkZ1cPBEcSx0GydPOPAk4cOykkuvu3ukfB5q
AEhAJFelw+QvbsUedA9NpefjIpmzAE30DK4fE59uA1IP+UyljnxsyuZu1CEeBdkRpqUBGakMex/B
BycsKCJqAem5Hj5qmXoqfKLHPfRN8fRiWMWDJzEDpcBTHvGhoyIlARtHpb5xlfmoHH1YG5k/Ma0j
rdFyUCzA2fvOxzHckctFUr2FssROcRAs9K5CX4nuHuOrmZ/agVJPMNfN9Q7hjMWyIO+ITBKTguXR
QhJ6H8xKLEd9gl/AG7RJ8+nc5PNE0oM/Tq1QZQjypqxwF1mbwqfs5oKpQm5P0gR3cdW9iQc/9bl4
A9YoGUrlUBCkm5TDTNWIj1qdnJspnWENHEQ05Sz4PYLsYlMsaEtvWsKoBxv8mtOF1hskJkskdqMJ
OlRBpbAg6GIgDbF7YZaFGbq2xq0QcLi6KfvWYAwAQ2yumsn6rZAlnURG2pWdmPjlMYgzKJPgIw2e
X7dvYMjZMYwFRQRf9IVz7qfgHYCgPCLFdZnUQvnyFibsMDn126Kfnp1CYxzUNXvgLlDaMNKsZOAH
qwlaT13TFzSNj+tBfEo/Jz3B030+TnjtO7JaiZ4FY6uD9RkBc7QG89ah7G5BCWq8x9PbJQPIyAK/
MOPxmhVUz0dWpdskZZro9FO6je0GDS8bdwQ4pAnBd9wS+PVFImCwjcLpYBAPTwaYSZRpYWqzi+eH
xorT2iToBDobNIvhhzV1Bi7LWgUhd5UqZ1qfydFUJ5Z8tZn6kmTWN6RuBok/ANUPXbJ+yluLd4OD
Kj3gRX2yGuebS4RJQheOR0cGP15fv3RAYfeR1A4oA+EQtBlbpV/bdRhLwsFzqYtD/1XV8Y/StA+M
H2qp+X6xsdVxHJx2G/Bj8ItE9WQ2FsYdFzkM9xyZiy6td5kz+CsIW8DjwqArGCnhSnhsLBnbAAJk
IQht6MzsqE/hEoSqvUYA8plXdAkyeBhsnrgeGCC+efPZGH0+v2P22OrIgNwSRph5s+lFSEWHC4Fd
Ke42IfEVkAGdrRaF/4I+vKXVvEPPaQNdX+psPNRvrREn4wfVpteMlwieQjWJU4nCGgxWhZkeGRQe
JBATjw5+A570lqsvg70WiGwd2OWdDxL1QPobzA3bICvqgoCLL0R2uIJQwu21IYAHGIzDyqL2Rnul
1yaS+ZYqE65UyVXddP5D7uWYduNm6bf2z8g0AsrRPAw1HqY2uZRGTWBnqG3zCZyVHjN0xFFUw6Gz
TuUwbEQdEGvT5d5KB32NJ+jeNRULxCYMgB+gD8v4qCyNFgcsZFE07j+pVr5mfrlLvDh4tofgYJyF
3A/ej1OV/Bz+M6OdJxb+xcbv9ZuPq7L1OZlLfgdMGw8jz63F+0WwvFjEOWFxY288iuGD8HAga9As
F5iAkdevvRT0Tjh85iyK9VosDU8TTFebbaSP3+aI1N5mdl+65msjrUfpT/aBRcbe59MAkR+hYxLv
BodwrqjOFPFqlKo1jszMBjEJle+chP0/1+CQKjRdwYdqbpaxTjX8A1nc3Zuaz7eNMIZ0nefQBcA7
8grLnfCKadQZ0mBrFxA6l9HEqZgNcwKzkXlEzvWYwcl2WHkKeJbNqNMNz55dWUve1ZitRA/LKiWL
x1LmitCapxI8f2h5PdFn4IfwI4Er8itv0RFIveoD4ybGRp567rMy5L6s+lysrUzd/a1U4YciQ3Zr
Rg31X4KvOo7gwSs/ewIZOq1Mxl3Lnl4PU4e/tK3y1cDUQmZfxhUw+7sqzSEI7kvWHkVRyWGjjegv
0ha+W2qPi6jKqn0Vs8xH+cTziVWB4A6dBEye1DSsL7lU+boxhL+s7ezOxNXcSidgOGo5yVqnAV/6
xQ8p9mKHTYDYdxq0hYQyMzUsWfDqE8dRb+KCR6/RurODpXQ1OgwvM0TPtA2Cxz+Xnw4lHUktNReu
R7nC4VYxDOnerJ4zH1elBdwg/rGnP/sz5n9VZkdmQbP7yuVCpjmegtnLrxhvN/JYZuyp0ibiW+k7
HJFtdTSR0bBuhDg/zCw0vQInZbjmgTf9G/jVHiU3lipwG8s2XoGxChaW0QC09KGSTAyLmx7pRQon
HSACKTIW2ydl/uvBZ6/TFCN1a+9k4YGshzJYh0yt4tWoaGdbetqFPGQ9wOKxA9Pk9ylLDGgwpuaQ
EoAJSqpxUyXaIfCJTWYfthqBTLk6wywoLWeOg1UCzXspiinjd8dTqZAGEA5D8HOxi03mwIG3rS3t
biqCJJg2MyTwJlac2ltAW5K57mur+Wc3B6nfNGKTFarAH8m6rCaNcF0NMInSmU/ReqgdgMWcQq7b
SCuLHX0lqZDmI8NEjB1U+OTgLCYbIxvZQd8D2+ScGVY//ugNp0gtaRyGwWLhRmtbY1Zil/0g04Ds
MwG0spqqt2JqX/3YOLp19C/25N0ZIb20sni1varfVwXefQ1/TT/o8E4n66n3ayKFQ5+uLXKWWJX2
otOIJJ8fodYB3+U9DCaOd2mLAx+6CGNNzMelSNUmiNWdEfTVqOWZ+G/8Lv2rbwYDMRe40PE0UggM
1AmZ760Zg3pbV/VsCYtv24oJxNP5qDvOKUbdw+Bp3LZu89RReOYptzjAcm/N4OP9U7hQ+uj6tm6C
TV6UmG1GET9HhX8d7eozIgOUVRR2YnsmIQcAtxEjyCurOxzNoUvfBLSRPyXkaIbTmzVmtEqF+93l
NONW0O2HzvupyGOzdHWvFbSmNDLfSk6RtWw4k/zKPwNAX8W00YF+TVN8ox2NeKzjESJZh7o4iNK7
r7Ly4Bb/anr/5VQ9wzpCOhjnL6IjNixyrZPQbVgt2hsyuUM5MyRqi4MZ5lK47gab8jMbrmOhHmQt
wAK1jOqAQZF6jtOueu5SqhN2vGjnE8wK/DrBUpALZl4ZctkHPyD2dwxgzbhAcGGWhYxspkXitr/N
2CNliL2bjJmaGWm211uMuX3WbKeAT3ivZU8x/FIXB/aKDcG6dsxtmDN0UEpUmyzhcSsY96J3I6/A
rrfBYNkMJGfeDfglQrKvztjx1OaJvZb9p5XIbC20gqQo2AheQn1ajPF7kTTXzidyQfFebTTf3PWF
m4Ie+2ttAiyTBFsoZqyOUUOxkTWigbF+0sWtStIPK693jcpfVJas6Dpw6Q3+cUQvvfRqfn9uRO1R
z7SXeSe1aHXH25dZ9wqAJWdUlA1clD3HIe3A4AMPjAmgwwcTPRdCYPkfkUHmV1+xctL16hPuNtPt
HIGaZdVQT4waxppO6LCcvmX407Hq2IGGA2IDkAgLaGx36zJG5pHRCPh0AJp+I5RmFzPrpdKwKfsG
1oWuAOtX7q2RW6PVop8kl7CXYOuRKBExHBzTy6Su5UAHZDsPVp5d0MGh6sE6DFtqQQ+AMdvZeqGo
1m1j7ybBrmSk4IJ39gYDl46RuZVnpszfHCdfp8YeMtFHq9OfAcz8tMh18etvcgLgM+o4CVUynpDH
DCu6TtgTMfNs8iFfgnoUm4TFYdV5J+xwJTc1mldTyx6TwTkaQfEUK/b5HkMH/N3Jg8W4ZAeA95DN
/ki7hLRVsLWNjRIxVA1mjm+tIPFwqRKUPfz/lXlwNLtgm5jM16BLv5IrC/NY4zoTy2TigrCceNEF
nXNQJWgNAm6psNhdWK9UheE6d8QImdraExTMgKEUQFIQkSQJ8HwwGeSwcdKs4L2h5FD1NkHGvyn8
+mqbA5ABsmTgLgA6c86qIEHKbpnaqeKT7ECdrQ/nGLFPL61NLh53cLKqMcfoDNI6Jt+1yowHeAbc
XkxGytRF1+8+y+hbJfpN7wtYvgUkJpN4pbAYjC3b498w9GN4Y/1bA8qKnypdK/rJDVHVnzcCzCjV
HONWjtrS9o2ayZh660T7MvUxMohX9KUF4bSj3uG30TYgTqN1QTjWui1ph1v/JP0ZCMD2qHbNXeqB
PygNbRlVCiqIO9rryBN0nO1HZoCfGtnOLKqm+Qp65EjIwnhcf5yOkVDdOCbx5vEiUvHJDvsDhbjg
/oKIE6bRaxKLz8CDQG9p+m9PXtXC6uWwnNwA3Fc54X1BEGd6OYcY12k8jv4GfvfbqMe/okUV4zTm
IgDuuW3T+h+zHrtLb5WID8lA/We63OOesIEpIFKYPJAPOtvPhWjz99bJr6bebWyCYzD9sj5IUj6O
lunj+H2ZcHDaMGmOdgkVtUNRoQce6xqJBK+lU5dZn+KgkL/CH5s3Yt/tca18UzE4NZ+ikfOHoJZV
Z7WvbZy+VQnlA3uDZ+LsNDRIKKQHbHDMY5jYUl6EtkMwevxuOEQFu3byQT4saDsmeswYXoVbsvTh
8CYRiGMTQ/FSxSRl5ZZe899grFCwiafYSpNlKQHOGNG3lV9+C9SbbVxBF7OQwrVGfO+MdLy0a8TM
w9FvdKhNoROvOq+61xOWfcbb6UqzM/SECAlkRmhHXBqrkjZq/oj8K6PyTU8wTU1xe4EQtcUyN22T
qnsaql5fDQYcRHREauYM8D6qqxjKzZjNB5iWpEAN21/fw8xsI+jZQ46ENEt6TjhnvcpxfPcmAZXa
Obl8Mw9DlMlVEDvvrSHLbVuOED2B6Q4/bmFaR1RGX9VkttvcKyqy5Y3HIDPcdd857oIIuBZMZ3aT
Y031N3572H2YqfPGdQwlB9egtu6ajUMNvxzCylz2pV+vCttrlkNLLikD9y899OeNx/jZi7+QsI5s
H83bcG+OMDypr7C7QKBW3WXsroWoodX4gExwYXzrTfUq0i9y1CEB2x3AYzEiYegb5jfspbICjV2M
ZAB2kx21BOvNGzwGcdFRdwhSxZGDDLsytqPFm0q6Uz4v0Am8MMo9jMQvjZyBgxLudMntXFw6I7wW
uv7qCpfQXyJOngZrem4zK2UFBsQYv/khU7W2J8Ot3oV9TJibpZgEo9AJYtY8WaYOVc3EdvCNcxv2
T4mIt0Y+ae8ibK5FGhICNZUrUoDYdOF2ImCiepyS+hQBbGFl6b2D6Q8x/JXI8mhqNvDx96KuQibj
xiarrHYvmT8x10VZbDnMSF2rZTPVVdtA5Dkj8Mw+D6ZBTpx+1TVmo2YwzjztSr0WvLHYDtVpisdH
9MrJVRXBhoX1UbBWPoaeqpeRiKlfpzsZKtEG1HbAW45Ey7eZy/rD9AtMbzXE2hMW9FPXhNTrLlNd
NzIOwooR9TgOjLge9EiEBCOxrFs6xN5yBrmMLdP8bgxgnjjwK7WIlCwGN7i5LdzTrjmcB2f8SFv9
AQiKQfcx3VXvVSeXVf6yD+J9E8mv2oGMV/tyZ7vascB0z0wtNZZYmD6hefDJQNhGhkNwaxkK11q/
5sFHDpifqqmAFg5Th9CJ767jgK+c9Ozg0+EMjgGEyxHwEQNfeUH5SWZARUSnkYTL+jxQEh90N2oO
Vtl1S9bOZ6wG88w1MlaxxYzT4ieMOUl7/wyVFtN3BRBYJ/+pINX3IR+ah8QP0buY2QIk37YIQS8V
xNQuBnMHIekBum5yJj94Z/XOtWlJ0u4Tg/zWut7AVj7XWi2O0Zi1C4eJPHWlfwDX4YBHZK9ekljJ
2IuBgs0hQUD6U+x/DGPSHDLgePUeEv5z1Xg3gysJiKPHfJW1R91Ou2oKUAuM1iU3smNJUJaO/mqM
x7NrdsRzqnGLJ6/aexpzsyax7hnDf9CoMxZDS5NdRdTa0HH3ZW67zsrIeNFlhUrFycN/CbEWdvvG
2BJWOpaEYz9QqnV99q/3IPOLGOOkRHeyMDMtJL6sutTwsnZwVohqRE0a9YD0R0qrVWbS8YXMaEvN
CtiXIUz2LP97mCD2jVl4KcIh4WNBEnAL1pPf7K9b6ze3NqGLTeqms/S9teAYeMCkAQKBLw3u+OWQ
IRW3/EI7SpLVibwMeKsT3KEA+cXFdGz1UIoQuH2pX9r55b+/bjiX0mnHY2242HLMjswgr2xP5CPt
gqmAG1kN4ZNVeeGT12h4Tm0ZbSvHsUAHwT9dOBLqUlnQ+ughlCpr/tIZRLDROqZ/HEAQJ3w6zMH1
kgfObePx76VxGBa5ZsDYm0XQqWxfyFCn7A1CdR4ikCf2ZJQ3NOilCXrbGMCSab47vWJF+yxk7j/+
fZUi3uvgtlx7yHLNbIuBrXTmAjcfI2Ylzy7Qfc7t1t7+/c3IDPJ9bD3I3PQoamvrqbGn4gkcOHtc
6ykouZrBizwmcQTWU8qbYfj6TZTp0Qys4lHA+dj7qhiWYabMbY4+A7GqNVxqsuHYhvbRuAgbGCW4
mPJ3xuDPXV85q5bM2U2rsbdk2woQiON/z73PePvP5Y5cLd4Qe0MCZlUOM7Hr/y9JP7LdrEprHyu5
/HNkggapT+P88vfl30vWmgQhTay8RMtsMM6XdmZ5B6/By7z4M49VlcYa2vG/y36sr/Ldtq3k2vpe
fbVcz4P7gO1Lvo9SkA3AKBU9/9tQmhrnVdUeejivb2Cm1sptOnQaKrzAOPTX/NwkrsCTPFoG+0Ij
LL+IGUoeK5wdL0qvv9r5K2ecvNVgex20qZ6u2QlfM/YKx65wfeTkrn1Frz3/nb+XSinzmKZQEo3m
R6Biex5bhjS6axsAGaN81bD6u0BmVFtbiReA2BD2XeR2uIuKjclQYB5avBJegcYME91yGKCYLGoI
PJN3zhkonJkemGfz7OiFd8Ys16xpgnJmGYLkovnFDmvjONjtjxsajJAtBheOrJ6jMSwedSJZHlUL
r9lrvWNW7wntQZ05huHGYTl6+3sh//2QDyUzajgYt0H5uHrcaJ35jbVFzWW+w8LGCTh+YBLUNjle
1v/+ckJ956AYszRxrfVUXqKRYRRJy4RhoYheTQBeNuizwDNWJg8MRowlSd71i1s4OTAVq3ktkxDx
AqwdruIl6vHgVOVZ8ubB0sFJthdFlb7GZV7vO4wzN9Lqj5gEAf9mGgsVZyj3qd1vKs+Kb0S4O5uQ
QEhWhCXVI0tS7gSkNGhCoc+H6q5buQcxb1n3GJh6kXEF6E53nMsCkJRkvtOS9+eksn8ZVpgrz1Qk
FOu5hpKATxr1lvXE8CQ19fbJARR1BgC3oX7WjxD0WfP9/fHvxUgArFP1YnqIE287+HctdOUTXX74
IgcXm7fwzwUwN4I5ehJ2XNzLc47t3szPYdj/mJUMjm43tGtHNdmhLJpvIdj1JIrqEMyAIU9j+5x5
djt7VCjlnabayLoYD2ZvxTCsm23mmBfFjXpJBtvY8t9TO7Pt2yeUgQstlJvUJEP17yUZ8/C/P+VF
/1MIbAc2jLGFk1TRF94sdKWcrbfMiPVD1wyK4twILkD/ZtjQZ49+5kd4OUcpY50nG1ni1tZFt8UR
G+/+zmHpuNkBbBccJJECC21SLCxRQIpmZ91wewYXFPy/YLG7xz4kqCTwwo2GgO/oKE5oAWmGfsIh
tdHLttpI/xYNHYrXQpAGPx8O/XwqTD1vIqv3jY4ixxIM2HFn1FfHApXVDYBuwQWgL43rV5lbiJg8
CvqiiKI3qG/RpgqrfqvZXfTmRO67lULxtZSkfStHRcZaqY7G/KewijY+noALILl5V12+O04IhadP
zI3noD1UhMZSmbBHbJueiA3WX7e/F8Mx7xrq2OPfV/iI+DgH4Srm6PvvH8DFMG1d7Vv5RM4hQW8f
iajrG0edTT9VZzvS3J2fmKTk5QctK76zEixhgXv8pQmHmYHQ3WotADvNv3LUsOCv3DoeqA4YDPWl
ML4EEUtomfQfK0BAn0cJIvbKHC4mwL9H0LIQR73iwyLACqg+MdhVbP4jDw9mdsdCcWkNqDt8IgxX
g1PbS7xgRCmXPhN2lnYbxYXOLNd4LEUnHvL5Bd4im82/r80+D8mTYMbx96VH1AcZeY2NKANGSjeV
ISvtPD101my6csobpjSodxRYWw2U5TKvXRQ7M7VjwInxJBFCL1zDY/02m5K7UUbHv3+ka530FNmo
VHgcCvvO7PRO5pD6Ai/9XOhHcoy1B9towyfDrPSd4Wjp0nN8m/CyglW+xVTn75RDM/E/rs5sOU4m
3aJPRAQJJMOtqqi5pNIs64aQbIt5Tkjg6c/CHSf6xLlohWX7d0uqIvMb9l4bPUW3Cxp0zE3yZKmq
ONjIaQ5pF6y4Bju/8/qbTggRYVCuIT/3ur/855d6Gne5mGw8kQn6syEXb6U3i8OSEJghampyEQkj
rEo0xeR3i7fC8DlpOTdzmxJrTbgKeu+JxUSGC4zdYVUyLu0Dj10RwKY0lVlIvec+z4xp7lH/XYOI
eBPOa2cTW/lwk1N20vDKzqPSh2IkJi6vjSS0zV9m1g33N8WDcU9qVL71m+4bQpuxN5aevECflNRE
45mT0iREjhbHC6Y3O2irQ15gsBZW8YogxNDGLTNm566q5oVRLCStkoYTciM27YDH7zYM4s3oJfNd
xQZ79gYkMn3SnkpW+qDm1KnW1l8H83KYuLZ5Rg1vngvWHb1wynsIaqTbLFQmBCseSYtK71zDFfs6
HtLLvw+WUZ3HJCUvgSOG5U7U7+Yx+xBFxy2HFo7pLXN/6kdxrhoG6ya7SiNxwgLr04aj6W+Hs2ZP
yN5DJnMuECkfFhtMrW8Z52Y0/bu+KKKwM1GnWxBJHmefBB9TX6lXCTZwdZihTb7mnsNLxzlno87V
g8heu1wdNLL4X0Us9cYwPXR4rHm9CS2iTlUUYgFvrngEzGM9NfLgL01/3466Ya0z5y+JXkdphZD3
1YDO1jAIWmM08l051n9+sf6OUTMETWOsGhj7xG5BA3hA3RW8FMn0NGA/Q6yOVlItugCOgjPPG/34
ri8t6zVw+R4AAj8jkt/NH51smo8mrcS5p5veuE0zf0yOeRyxiyaokBZMnb6+dpn3PsSMBugCpiv1
7bRf0m64y9ocUIRYH2JVyOeJpNNnR5wc2YPB7r03B9sYHaT3bLtgNoeMXUQp2uaGTe9XnzH7TMf4
RbmWIpUAHxzvwud/H3CrPOrccM7wmnz0hTGC7P9XPP6rIP/9HpJJD8HB33YUzSNuTtyIaV7+zkf/
4OZk2KhOq5090be6Mn1LVmVxIPgpc4kQ1KgEqVWJBXTCXRuAkePiPjfVtyVqXtYVWfDvQzSzZ5+D
aWOPtn6YSPXYZQ5NUDC38mZA4AmD2joL4SXnbvbGQ+xm3aZirsd+qVSHeT2yBNFjV84/iYEBOq66
6GGkD2GPdk96sbgGaHQiuDGf2dIfko6XJWTn0h+KHupfigD9sxXi6BZ58Fr22XKshvSbTISrlXEL
m+MoHizfYHmdMMDI1HyPBzbYzxMZGlNlmWSqABgE5c8N6LXx8V9l2Rjg9jOgBzxsmv/jgRmgiz7+
BuRB3fu6B78nqARLZEdHZTJqtYZZ0Qhh8gESuGYvAEPKef+BEnQOpYFytl9zL1TX1lfZtjvTaefT
v89EPpwCs8ivc/vMiMa7ZYMVPRqe8Twh3rbSgJQ+Aea+l5m4dWUSh0E+uNt2/fTf7wUjV4YeV1Py
vPK2ioa4l4HME8SCuv1qrLnaOyy0Lv8+1K5bnzRfQZL47aVXD0bSUtyhxiACRQlUTxJOb+BP56Bh
AdvCztr60WAf0Qzx3m8iYoGaYa7e+fGwD6/nzzRLCB4qiuoYjZplKJlmd9pd3WFuLRHBKu8lc/WF
PHF+kr1loacYma0USIUAf8XX1MzJ4vRVklw9CGRlr9NfVYe7AkgjYk2z3Cuh/UNnuf1zYwJEx+Zq
bWWDQMgAmXtJGwdmfrFjJ+lf1OLm3h3jwWSX9hNmmkoTTtmfI5yTb3aLtZto98+evLIwbgBRJ3Jy
Ht0meE2xrUIeWALMzIN7/14GAaIJIVk8LpLUKWbG97NKsasPri4OeeT9RZFY7QY7ts4Y2j4QIiHZ
KEayf8aSdnUkEED2i3k3k3l37Aes4p1f4GQVtkXonLwPSCD+6xSS7fcUp/f8VBTr8dY8YIG9VZ4T
X0UbVbslElVIJiWPo1t45xaHCaOaYGH6zw/fVmzrg9keHnI2Ug/emD05ehi+6ia6F3PefEpBTggO
NOdpIq1+lxfzfKkiRhORL619PCNgSVRj7kmxR7ujg4GYCX4FnWd8SILlBRuaPtUt407PBeParede
T/rFhVSDKM2d+5YR4EG640+c8dm/WcC/3x+1KfdJQloOW+OWnRxyJrNmL817aImvqHyqHqPe//6R
occgNEGm4Gz3rJODEO8fGcVYT5h/v7JTe9xDYnjrm3g+//fDMjb/99M+lzSRA/Se//yVFHVUE7TE
fK6zin9f2r+v1F3XJEmC2ObfHwwpxaAQc3bWbUSqwTJ+CptzKsdgxbInTwlkXpJz1Kn5MrgdK37c
PCig5seliKbHcmm3dTskD5Eam3SzfNWtah9jiz8ngoQfpVFu/v1FmWgyMnAk7aRn5ScfCN3GTm4t
i/pLvX5IKw9R3H8/L1EABm7xYGCG/xK+h3eh7fpHFTDdnMa+QZmLAmtJFsDI1R+TuMwkxX47co3u
Uksffcf5hU4Gs76DNsU3TW+TOVjj7WzH25lTOiC3sl2DSBkeHA3Xfs7WrN/4cbCS8aU3ps+UFYUC
6n7M2l3MhXYlNPKDdbuxTwDpNp5zDdws3gM18jeOtR1YV28aJzcOpAaLl9kChq9YILelgzJuWoMG
m/pCf7OWYhltWV4tR6H5yftO/amrCW4UfcchVgpBuduJO4I2v+uo0E9VBn0Vb8vRtAo/3JQGgmqU
Oyk+HmM4mzXVYuAjhjbTJbrYcMUuwdTRbpc55D8+Q0h1wHD7FnlITeCHSNLcKFzJyDjlXXxreqzi
jUiMrcXcL2mH5dxgrCvNdDeQH3FnTlAYOi/pQ6fxH1p3gXZTk5HtLe++ZB0obfaDWXdizPZjmyy0
nUJNd1LFbw1UTc78aTurAQ2lp/KtHU9En6H5p6Vwd8qZAgw4xJKAUNoo5nEbjK/WpkCL0+2obpCi
J3jLDRbaWXEqkrRmBIaZK6nq2yDKc9IzpSytsg8bqz2QmPHtDf2txCVtZMFDbLfvKQ7hR7MvryoY
r75syQF0mVlxheGHIEm1ZfgASACtEvlHHZlwvALViGrL1K/DukJxemRAFnXUti90c8kWeWJ7Sv4V
AsG1Wd8Qy6BfaBxvMWS9dXrGRN3Uz07NHqUTKWYeIzDVgcQIpBsXkhiQ0Dizf04XbixpMErrCvje
HXkJeijsa56+d3X51i4+cwkTdVpryrBPzUvlxvFT27LYJeNvHSedmUM/DBF+gVr4mkhernNcMtAd
Z5Kys3R9d9qQ2xWsbhfyLF2MGba1+NvKvSuRkk29si91WR2XtmKlDe8q9MzmBoAZZX2srlHf/a77
9MvA3kgAlK4OMiGwzWRkgGB5Ioq6c7+nDFywHuGnj7Pu8J9lFqmcOxTALY1N+TtegjMsVhT96CJR
Q5I7YyfIAsqcd+Ni+Qff/3HH+S8XPCMDS/5tvtrS/5iYkuGFYvbeze61MMntziNkVJhfuY2cBbNW
m9ESu3yV5q84hp6BU+A2sDBBO19+gv6cUXjqcBILRX7cTRsERdERwUpotMOfdjCbR5an/IPzfEb5
saFM8jEDtOyJWnJl1ndQZWQno+2841Cg3qxGee54/FHbxhLcgp7LEaY/2RgI59070ULSJBcKzTii
kNWp/Opr63HKzWo/pwRrV3O2sQXQEUdFwxaNbr2Nhl1l+f497ER2j4OLp8siH6cxfweKkQarYfor
XUDVzMcD1vtyt8R5OHTiPuGFDI0yyTY+UBHcFvAUBtmD4wZHiIwdzcvy3ln1nhQnRidvYyWLAzrD
AJFR44TBUD1LLftjmcX3+dhCVBkhjfcOK3IvdzcL81RSHR3OxfFZWJG9MbS7raPpw1HDORjLve7q
49iXXP+qFGhARnJcM4ypERqCLED9Zfp6hkdgGI/x0VFJuU+NjEN3nBZgaclPhF3qhGSq2g49hmFf
V+GYmPYxN5F30LSFDOjsXawVPAmFrbewX5JpIS7Vd3dW3aGgSUjHdacR86tJk5/KXeME13E09u5U
sqlThKanBHq1DZlEuH4ksjc2JnSr97P/YkRUxc+QNnCsBz3Ov+Bt1kN5F1d4vXztbtxg+AxM2rM+
ODuuow5xjwG4ZgfOk80lnhoKnai7IUFnOYk4OZIek4ZCwJ2YPMqPqatMgAEJCqUZhbcM5NmP9Bei
mRz1rvPY2M0m1nHArknhQrDY2eEqISpW+Q9FZ6RhUfZ0rtgCBuRX82Qhk7Lb7FBYhNazDM9WlRcC
QHzLGbIBjjFODKpLNwVZW/KG8OhJeEhm/ANzrM5KSaJFClKNB+DhM4ER1vA2BjbzQIPv1mnARLTA
1nNNJKwnp51VWRV8pxTH4zrSH+s1UbMnEbTXbHLdQtEhs7jbcFzg8aCeQFuJV25AoeTG+SkZm/bC
8u5DzeN5riJjZ6jmy2cX01acdeuduM0ZcRu4TdljA29nJE7z/KvMs8c8wYc2LL5BTfCtHJcFTuPX
W68ZviON8rqcqzNb8/2s+2fbT0+OEZfbUTrtblYnnKYoSmcmzzBCgnPQDS956X3UcwJKdHxp+jZB
6iJREhUeayLVPPrLYoWLwTZqLJufIirCLDOiMBfEiQfjtjWIss87jBaMhA5lBXGAZTE13bwuR2hz
6tR7UNobcU+25s7PVx1F5gJ1sIS4SeSxJBAsRBkRDulm086TFi4GJ9sHtcAHy7FMc29wK+H0jGOa
gaoNrTYqziL9M9socQwcHWNl+E/Cs9jAY/uoF5PP3FvJyUu0qLDJZVoDx1pM/fgyCTeaEcJRMFcB
PQ4B5qBNWKkSa4k+ve7ssHHjd3IDfS6y19SgKp2YnfGYRNMRLj6TVXXXr/GpdWJ8dgXlZBbgDHZy
+28qmTvdN8kUXbMzpe4aRpIg/oZ6y/X31LcdHW2KZ6KUIfAwRGCwWk0GMiwC0JunftsiCIY4n4r2
mNc65lkka8KHKD4Y+r2WbffeW9VLMTjPyWCwzh4B/FaGjWc0fkhKsXCTzWfSgQ2Cjdih+7O6Vk7Z
XKlHJT7GoD8a2KkMbItodddl6betM0qONbMv5qKn5K+/G3NpHluBQU9lI8yPOGUFUDHILKoyHNf+
2I4UfAXXD5VAH09G/TdpRU+5Uvej7MUxtqfPDtbxkAf2wUuIaXu2wKLdvClA9eDCMqIn5eYRjwRa
FFuvlY8GMRZTuUjWsiAq0ovVLPmpjXlP9V0a2ozONkUkV0c99spkMG+wWQ7Nl3I744HLGPelhAWQ
LHds9GgLms7dozpH+XYD6WpBkMctPUdvjdLw8z3nBCe63ZSi/82j9GfMP3JfdWFhADiONQAFmNf3
BSJOrHKbLBoHHoYeB7DFsLesO7bWebgQl7wlDpNgCH8weQoniWuNqDQd/FiV8V72eP87p583kxOt
2CfWQaNcM2d6mozBGrDT9P0lHdJh27nDiFlu/Bk5Dc4FWqbGHgEIkEZX6Rg9+xpzMw/2qVbWfqnM
Z2KRBT7ayF9hQF6YYorHz78mI/kd3huxsXNkZSiz7b2BMC9wJxTJEMZQpFW7Oq+cc+NkX8Lg+gTb
s8y0KI75oQiOqTPnIcqSNxzR2U6ucB7T6bdJnx84+hGSuSyFHMxqhsToNe+cMgAnWfsnhpgCY6De
OEXc7dLZTVFCJac54F5VGCM2NL+/m8VHetGxYSYV5wu5oLgbq+HBnBMPAxasQxcCeKFDP2MXaZho
g6fxSRc8mW45izuqI0LaRRq8BnLDTdVQHCMKTL7GQiJlzsY3HRWkTdfTEXL+p9+rTQfNN2als6G9
avlC0JxHxAcg/SnvGMVCnC6iX83wC6Tlapzke/aWiInIaJ2rHj5RR7SgNBB3gk1bOIdre0++YHQc
ybZH/4LoLg0+Mt/4UdVS77LUBz8D9TrKEHw0mf9rdomXcsonN0pWFW26xscUx84uHsag/2G4+5pw
emJGjKJde+6ammxVF/RE0fwCln0Y5XIIxgB+hxwIrSU+jPXt09iQGEvE8qlIyxnTY7qHJS12WABK
7HsIRXL0QF7ifqWoDLdFlDD4GF+HBTxpE9sdmgRmG0OcyMuCiDVuOiwwXQHjeK6/CBKhG8TuT/SU
2ZAp0bwuyPKrGWHibJz86mi0vtg7Xm3hE6nfZ088Eo+AzQs/lVryD9h7gs6DRWYwLx1JoJKXUtR4
5PDOMaVfttbnArmPuxBRsp/zGiX+tR+rh9YgdIz+45UaZhcZJFgUns9jyysXVtMr5CyCQV2fxK/F
enLS8Ts2cPCSU9Q5qc0Bzgl5LEay7Qwn6rfmWhNbsrEfvcr/5fclysT+IS0V4/tSEaxreOwwCvPT
nf6YzJUz4b5nAvurHfjfHTlaYHf/sa1eNAkYaGXjF19odcRtyPJAYwlb3PVR6MnnpkU1Svvom/Mz
AIU7YLe3iLt2k62qQ60IpnPjZ4mDGDkXIEGRI6KmU2kUEsU5KknesLXc1RTNhQf1xInRuXZjtx8K
HsBlxu+A9BRPYYaTRGFcGuME6bbyfsTin+aheB4aCytLL+8H1AWCqSIW6BhMHJBvwDvuxT3z89oN
bJvuMi45EBh0h4akxg9Q+lr1gHWecMJR0MQMed2GsSRNTTTPho/DDnsZ23cUfR2zWSo3Ez4BaXvU
W1BL6hQJFrNDNxv11i+R/GP4LQOoI0aElVVPZ6wrW179X2kAf2Yasi9jaPdRDF3Qw5DGYuGVpWDo
lTR0Y4qCulm+6XDVXRQt/PddcSILMBm2MS/Ixkenb+C+lemXVvhO8vSU9N0nKRpEAxk9otQi/w3h
h9ROiHNNm9wH6sLDvfeG+pdFtAvnkLqlfvEVFIJeUaGWHZbd0iFyZ1fxXU4tGW7DpXcGRco3IbFY
Ook8ap8Xwwkdo0Y7Lsb3GDfK3ZxFP+kyHfKEs8m3eLPgM4Yufud5zbsOnGtkUbAnwuGgnC7D6MQ7
R/fr2fzbS9JwbC6L8Wx2jIosq6KoR1Q+5U+NDi6FHZ2WEVinHOqXXnpvZY/YZyH5iq0kOrBCvboA
EUrGSelvxuMu0iQL6pNRvzUTbU3rvBqDwnNYMy6xTL0Xwdiz6Rj3oENYGcWqRgBDehP7D9+qnoh8
11vuhxPk8LB1jgF1UsyruzURMRxmtbyJsqt2Jvck3j27fJzZ1/Hkh007lsR6cYBAhiEKlnwbuzPJ
e0KRsGtw1sO0g8FmFljrKvlqJDg/GaHdBcqC582JfSGqjww+uIaeSZU2t0wmy9UTVmDtvDqGUoTE
YBlXccPg2WtuU4AWtW2HL5K635kKtLuoJnRZTvYf13tBsQ9wYOBVwnghwvW0qGCPgQ6Pu82Ad261
UVWodBOnPzBOfUBP9GfV28QQJXaVLUHjGUgcvTEOqTcsxBMYGbvJfVuG4QV9B8A0r3rxRHkpkojQ
Ue4jz/y2kx8v7rPt0DE8T8rkPmcNDITkg+213pTZvbaGCxyLV9s07hY9EV7s8ThhOFrnM8Fvo8PE
mXX43ciwtuHWWiwofehz7OQ84fK2F+mjjQeI2YLe+7P57bjqZcLtsNCbZMyMDad+SmLYKXmSoNqt
IGyYXfntG31w0JUk5kCKbyNlNZOzcd7Kme800M4fxjDNXWTjIooyInZLGkePPQ1vpYAfQ625b6hA
yWtNKi5BNDrEztEO3AmxgPJOMSOSsqSMFI1w9GGZOBTiDsNM48kwQm79QN14KqrxOrbOwShJvSiC
o+8xO2/0r7IzHyxkklvkkvfgLG72MG+ZLL04Ac64FI4I7XIVNnLE6uga1IYCDqDll5x9oEM2vcuS
0q2Qainb2v2xYDGGvg0Vpi1QLg+zbElC3VgL8hNPdPepC1LMi4fDXFC9U0POeJmbYCPmzxUxY7vM
pt0JJSPF48sSV38wqjAczciGZtVIgcN+XwHocmB9UYwVf+Uiv0ShXmjqYDHojDQs6xJ1PQZjAyeP
S/OHV7eDEMK73mBMu8ZQbj0SWsF5RPK+oCmq2V8AWGuEzU/fM5iZeXvceQHejlthGj9L9ZRDsNxr
gh+xRqfMUxVdXmNkRKfdN7OvGBK4RArK2dn2lX3zmuo3y4JmK8fkOUa+SFgzM33ItWohTjfwY/vY
w1nJeu+9G/LPBv3ezEJzW3rWVcwsmwdUNvqaYtnVGpAQfKUg7GrQNz4yJXNCD5xixwYxBxFybsiE
dZKXPpDOxqx4EOvRo5pxnyxLJmE3QGlI/PQtJYTvrGrZ7IIUPqipPaaJ7UMaRCRwxuUc5gtvyII4
Dx3h6JjXKNDW+M0GtOGfPxiJPFSBSq6tLHlJIu7jNNJbaHpsbGYSoXQUTgvPHAXDcQli9kmGz84w
H97Nso4vqKlAWFG9QBoUK+9HTpZz17Iq7zzj5qI8OCGzXtGUPaf4kAYbO3hLmUiF4Eyqu3rl9bTB
r6RDdkvjwCh7kn9R8ZNgxe265WnfoTDamIvZ7Iym6TfuwrBzCTCWj2yTAE4I/moXfDkm6oi0vsFe
bzGLo5gGbgvREvteyBkPLwfRaUGsGxw07np8WAdLjAcCaptN7kWYrM3L4ltPFdAEYp6CfYKmgi/b
02iK7HGNI1jD5UAwpBTNiH04+lzfucpev5c2hfxQonnHDIIpO2cWMKeMtlo/+IPoCSxM253pRqtT
Wc8vDP4aZqLWBfTur6aaWW93x0bM463ujJMW15Znp+h9uVGLCdtufVz7IZhO5mCHUgzcN0PyFpun
yFGveuLd3xXt+u69T6zyTSZg0lRPvnQmTdiVeepf8fiMdwJnUkjx9VYrTeQYhErpLh+xYzFZcKPd
OMgnT8Ro+0i/GEtQoL45nhbDPBt+d18ZoyQpjf1xNtNymUypU40lY6bEnrE2E9CT3ErX/I5GemqO
qxOPAFpQZ7iKoX6yTKu+lGN8oDcv7xgBPIg2+5J2y2bMUCsW5xF7QrN+tYpB5ylHqhCqgHhR3FDb
moUckWn49ska+u4qapvADxEjBVy46d3UCcBYsEzl/Ko9Xx3xI0So1DYZNJhtb1HkDUXMQe1mDuHJ
8uriLgCuWTNHdl+6VyOrVj+PPwGvLi/mgBLIGEbeavEUEojHdncCeU4Y4mr6Kg5ZoXbr/7o+v89a
37rmmPS3JPWhPUamgrndekQc5iN0nz6JSZDsH3cgwMIqcSZKSZ5tS7KonBhaMjLhPM1lEWrVMXIx
IHe1Pc1JlO/o3fboaW9yMX6qrA5rC6Qnl02G/85blwjJufR/qcpIj10P8guUz51lxNBBPRT2dhJc
UcMnLJZ5pRmJ7iwXn4TpVlg+S5OfnG9Wj4szJhvTJ7Z2qPBzNwnDCC9uaboH9OwYKuzdSL5StKj7
GZ+UrMwGtFj/XsOWD6N0lRYZJ6W8szVNYdzxTZomFoRMGMup7W30pdbeJ8b60fdpF9uUEivjrv9y
pP0wkVjolOMjOOruSDzm2VirXsDoy27EYn5nKH0LprQIl9454EUa7lPeWlnLZH1UkLxjMzkKR/zM
C/IaIcfNZJiKW7W5xKZiSORCEw6YNFhqk9fxH7d3yYp2QaY4PO/bWnXfyEEYzmUssJaz4/jyNGCl
9uOKQE37fQVKE/DkCG4d2/GmjbpPiJjaSD7sFyUOY5+/EcBqflABxngwolvnWsM9bby+VAGVedHl
byx1zWvuT/4pWAFCjn62ZfNVauyfU/cHUo1EGtA/wBBm22GCvUzjJL44w4dVCOPiJO0VYLS7z/qE
rULTcHhbeWjmHMGEOzpEk2IZy1OkMxnc9fmjHlneJD3xTBnK3q1o2LJXdn2tnkyl8mOVj1vFTofO
FuwQqtllP81WHZoEdXGubJKY4J1+AsoAxfNcF91fuxorbCU6WVlKOCYh+oW+GbyksE564jgp94zu
YPo4J1CVhIGmshsd57lJnX3qeMGunYhRZOzYzLV8KCB1PPNsAY7tPzoDJXPBwFSEFkrJoP47cexb
JqMLKQSbQE1/MBgDwsiK2NwhYo3cxpJNKKgBkLvf+dC+NWNwtcdvrzHve8zOpDeWHy7oNtoxTf/q
1CN77nb5smMmC066A6lE3qUithfN68mCIXzO5dsap3ySce1uWrArG4W/bMqYiIB3LXCIAvKYYUTN
WGMUoya/EWHad+E0c4yYc0ycb5I8yix7BkPu7jsXoeeEIaJQDDS9GG9123Xvru4TAq5H6s68ORvt
qm1tzn2WOM86houwOmscMwsJOfsxqOVcmjqi7i8926F9bXkPdRfc65iBsBhn+5yOznIEaMJ8GLQN
1IUYVJnqXiZFZGWg8myvH4LFro5jXf/ShRkKoa17LMzW1vyHupTUdiN4FoxKW44rULB4mvZNj7Mk
LttbHgz1G5TKz3grbMCZtEEIYBkyx83CzTC8Jl6AzZB3FH32txvDnVJrc51wVCaCNB3XSq4CwPlG
eXpjncjDormYQYS5mDgUO35UeOlDKikcZCdiAtDrv7nrfUZtdstFXe1mlhFwVNsXweQNkUOxgXtw
jE12bNQAtD22Bd4lCA0qduYy04kFidu9eNEKFZixKUAAgC7TI8mft1LNDq51wBaGle8mp3txi79+
q50H5moDMst0KbgHEQBetenfEM5epJ22u77605iB3PXDKqXhKCkp8zDycZrJumabUjTMgaNbptXn
FIvXSrqMIGl9i9y7GPjRYoCmbc++dIoZVVMPgYhkR8HZuJX9J5IVHOKo8bdaj38GYD6hVRZvCG0n
sD88XtaYvxKCSxfMeK3A5Tk1xaGt9YiXlYo5nouDGoqHzPXNsGtWqRWyEhDPQ86BYvf8hFJ0K1TH
zc6ssqMGL1XKPsId4740etiy3/+kEfkdD5SwS++qnWnN+64nKrab4E3Y7C08Je+nPgUnMb07q76x
b4PfkVv/dVaxhedAr+2YgZidSfptA5uC+uenXrrncSGt12O80hTwp+HhpBACf9DpYxUcCPEW3I6e
SR43G0fXcW5EptVmm+6lQ4nuN58l2qoNJKeGh2Yumy908r+RrO66GRSpyTdrdsK/syqNRtLwXyZH
/CpH449onVMaSHUdp33VxE+eNx342w8GXce2ijIYaFY6heh0rw38d9410oAbweIiFsYLyJlgsxjT
zu8wqeiRLLfG3GHRuaBBwejMgguNe8koDCLziBLBVtVPqdexj0Iq4Ns/0Wj/Gc3XDt7cyPJj53ag
vZM+cLaVxuzdGeLPGjwdmj7a/NZeyC5fTH3MEAMEf7PyCV/CJxGvPeOdc61Z0vrFnB1ajIJMkUCB
TTQHDjXeZLpXwLcjYte2W06QLEzWPORwVPlHVLiMmjiy7wDk/EwGEl671PkGSfuLl5ofDqsXBA/O
g1tkXN5sybMElCm2lIT8iHnag4S5qwkYRhuZ2PmmbX5q7wAXO92JLv9NXiMr5XZASrF4XRgo2bIA
pMH2oegzHE82c28DRc/pgQdAIYbroK+o5lczJ8sVDfPCYH6fBFjSLKAsMfJuRHXpH5ZeZ+yhWOQN
09how//dkk8FQBOfWaz4HUpNsC/PAk5HM0Ef6oZ1pOt4u4zY4cBM3jvXfyIeYrfMfnK0VPNQoTAZ
+XsbL2JLGgMscOuWJzBLPrn3J96EC/IQenRogJrDIAOM5gdvQIT7S5RwgotORLsocG6ipcggD/lM
5H119NP2YcEqsks1QrgAa71rNFtzTDh+SaSxC+/LlI+oWk+lN70TmY3UH+vFXcpqhb1524HIRvux
T7x2G8cZ0EEXKgVyamCUOaS/dRE2eKs3jrREy8/OWI5Vlf1wnI6sg0OpeA9kg7b3iYPVtEqBa/UF
jb2N+3lIlq3UkKsjGiFo/KsObvzuAddWOGS4xqPPvMJj4aERtohCOo3xlvY/CJXiS3RHrDCR/VOY
MVkA7fxmDPwQW6TjAIZeAzHhb627ih1QzT/ozwel85tXUDaOKE4mPSNJjFnaoujexthSLvNUHLzh
0IggZzdAlHOTg1fKBzOk04uRQ4hfaEixEKZKbfOCxKSEKJ5zHTk3F6VQqnEFKdv+EzVMuPDzXm0R
GQe94D+zPaK7vbnSj4yxVFeffTSEbmb9ydnjDnF8YGoz3XlMII8zsckF+51TEAtJiHci6Qtqvifx
HGXF/dCgmG342isxIyYa7E/baR/nQVthhaf0thD7BzPjmFT2cioWaYbODHUO97US5ksTxQPleqJ3
89R+tXFfHlLkhW7L+5yy+tuOyCkwV61+Xz2wsm1PS1p/BYCMcadXez8J/mKb/1jAnWaZ/Xs27fng
zbCUBO8DPeY+K4BlK9z5sbNG0GGMCOpW5ud+TVq+783Cf7T0ctadjK8Sa1eI0bXYdk0xnJtGPsGH
7p+cFfIzex3X4TIyJtfu2jIjLqDovNQygPUjHGfni8oKTWFW564ma83AOFhVnCR4D8p9LR25nyhT
mtLYLDEalgUc3K5JVq88xdN+anF8B75etrof5baxjIB+uj9Lq/L2Iy7m0ODtfmcba8XknFakHbkO
1hmQL7AJzI4blf4Pdee15DiaXttXmeh7tOCNQj0XhCHomb4ybxBMB+89nkGPpQc7C9UzOtM9cXSk
S0XMVHRVOiYJ/vjM3mujye/EagtU39ogPC7OY4sPsN3zvFm2IMh8nFmYTVGHxF4Z/DzXHjj12cCz
49DURtwVqJc3pi5BzwPnlQbsqQiw3tcKLZiI4GujwgDtI/mt4UG6g8gQV5Bi6SAJ6KzkJdXOFVrm
IK4GZ6Fu5DU5R2kbHPSYPPl22id5ysApBwkL2IFojfgxM1kcTkn+DsnMm4Zhm875fYxk3YwE38qY
RfTaVF7MGrqSFdmjzlsbxhROamucPSBrYIEnZtiFCt9Fn77bTD0lDZztAdlgExTxNgiyu7EEYSfy
PnCk2PySwuo4qpECkzrbaUp5K8GD2yaTatx5LL8N1A9yJ30YgTyCzEoZh3ReLFUG0vBBdqfeAN9Y
hd9mWjxkC1uyZl2qK5Q62mQ9W1H8HmhE4SgS6jpr4l1RiAn5Pn2M0oXzhvgGgGUJrybEdXbiHI2p
IGGgpFcR0NdgJPQJLAA2NSQaB4V4ahWONoptkC6NyFBaJ9QJB+ZxDOeHUY1xCUU3K0Szu6Q5TM3I
jQhM2hoU8KSk6U6A6rbTJcT4s6nvxxTXeCtNJ7GsD5ASUeegT+1ZGf/XIWDqP2XZEdFoGKaurEGE
hICtoc7/kF7KVGYQfi7KC6qpR4vreFat5TajtN5giz+UJB2dxUS3DuyqGlda9BtlwuDPvPnvaEMe
ukoqf3QCSqVUNllKrzIrkm8OKnwZ7iaYUYSO8b1QibzL4wetEcR7sLQ6Z3JTnhRRBUhFlAhm/wIZ
ac7YeE7VaxEyry1KiEHQW561RCnZ5CDNrhAwbqJiughqX9ilKNU+G632Uhnu79mwcYcpKpQL1lXq
nGJdQxFXW7NxCvBGuv/1k6f8UxifIVLzGiC+FVnVlT8HRCtc2KhxBLRzaq2vwTqGG5S9tW9NlvWg
fsD9ixBzlsaZqxbJQ6VYXoGUlgJz3jcpiBKFhR5auNBLhYhOjFA/W65jv2lSAjNCiEZirO6SinCO
ZGJoqrQI1ey+rCqnBph0p/U1hmlp2lq5qh6UMiMEeDTYq+ah9WjOgoOm17yr+6n2TADZ/5/8Ncn6
p8hvgwGKKCqyvAZZ6uqfrh40iyBaFKS6pHnhqCl16VoG0SHphOhFY+3NvDBkr5ezk6+wzPxosuhr
bCfEQTHtupjFNaOrgjZJAIzsoqaeOZuK+ZyCbsEFFOKq6jW0qcwOf0ZIL/DFUKruIyJnfIzy7V2k
84fcgn9TSxAjKek2RyqLm9IU720z/gDKvIIBW9mZmrHGu8smp5eTp9GS0PR15Ljlne5YYttvl7mU
HjtB0r1VnuiGaNg3qsLNVank8iFLwge6dpo/hjxHJRIBSnH0bWKjCvewrTJ6GGD8AkTFsz5ujJqQ
Dmn9wn6EZVYlmbhD9L8m2GDiqdIW5h14mrwDcjQHnXhhnrzspkGjGCmL0a7pk9do5oHtA+TApQ+Z
UVcUf7kpv8P9tS4aMleLTIRTEM37nPAHv5bIbtaUyUIJHL6VavQtD4PpTSa0rDZDZBeuhPdCJr/8
ZyBrlqopxOUB1IsgSNjuJOnciNRiDYQm+CqrX8n/mTNZKwBSZ4MIgqDvY4D/5nUKgPmAPCjPkcYC
B5jr+0wk2OzpK4M+goGD30A6/vxjKnTpmFvi/ZwZ0SsPDkR5z6mqjE9BW+nOmMEC+hmwXpdDcCi7
G5E8ZxkFlE/oV7xljWPdgK1Sks/IVasGOcLSenLFm9MNDVl870GX2GptnBRiWs9sgdDDy+2FDbnp
jJG2R06nHaRqQZGtt8U1GmQ0Pr36bpSjQWHPLmZeF3qM1T+VeZK23SBOzgCd7G5pPiCmHrk+c0IL
iuUky2HlWjViAXCCoN7KOrrLB/ElLuMUtgt4o2gVLTRr6cx+D7olpMyTqaN7EycWmK3SPKZLvUIn
q5Y5JPRxsCH1q8gRkibTuV690MuMFDoVCFFk5LKRI1F+0luY8zOaa2eJYC5qytLuIJoV13YAGl3h
KHYaIxFpcgcN5T6GwUAdWa2EY4ofoE69n4ffv3xM/xp+ldffM0fbv/4bf/8oq7mhTur+9Ne/br/K
8y3/av9t/ar//Ky//vGvfNHfvqlz625/+MsaLtHNd/1XM99/tX3W/fxx/Pj1M/+7H/zL18/v8jhX
X7/98lH2Rbd+tzAui1/+9qHd52+/WITO/ss/fvu/fWx9/L/9so3fm1vW3Zo/f8nXre1++0XQflUU
A+sC4ilDU7CtkWk8fv39Q7qucDRqusKVZojKL3/h7tJFv/2i6L9KmmaiNTYVBU+EScJwW/Z//xBH
p87ED/QLImrpl78/uD889f/3pfhL0edXMla7ll9G+WNktqYbCieRuD5AXVNlXfxTfjpmmCjhwP0G
Yxrtll31mN9LPzp2CZ2NGKZydPcz3ed75ABHyceuQ7DJNvWNg3WYv7Tj8IlC5Upyy2O2Ey7ZZ/Ip
OZqfPS6Ra3yMzx1pBrfWFW0w8HbtWr5sAxXyUT0flt3wiWDbYH1qh/vMqe/qvX6Lruo32Wkn7Sjf
rIgm1oeSKz83j90RIbjXutalczKvcEDL7dJn+Y5Szw3ukh25lPeyDWHzOrv1HVDysnfMx9yNfWK1
uHdeyruRtRDin017txzNLQqJ525X35NQ84Hhx4asve2O+jY9ax5yEafzGSnvwRbY+jfiwz2P8qwc
DD94zu8p3q0P8xunGfr7aLBDH3CPyigPl2jrmPsaiqFtcRpeLE/zxadwutT7yrq+9yfslXzb8Bxd
6bgu8zNP4ZHf4Zt2ygt2wJn27PVc7VBcOAM2lZc9BI/yrtzyAO3WfmSy5OZudRT3yjFykLl60dl8
DPZYq1zAew4JXNvxqwg8Ooroh+aXe8kjuM3t/P4U3DUJoNVD8MbMYqs+MF+b7lBcddom8Njrt9xp
UQ45BBIUfH50WiV975kEhcEeD9qut3WbIv4AOamawIbY5K69dg8ENMJLHaEU/ViO9Hd31aHewldL
dtB6HN1O+L1AM/C0JLtox23IJ8zqIO+Lx/ZNOOcn88pPeLE8tOGkHu6w9po87emWw9sx7hUf71Ty
GdLhvKSH4YIc4ZvdILD+F+s+3EwvyqF7aC6r6h9wFB2M6INNQwRCPXNmLOOKDjQvW/L6G9KlfVfY
jCRc/OkX4YHrc2BCX6DS8gkX25Qnvt6JbULlPP1AqCiTI16RbeZUr9x1N/XdcI1Xw9pGOfOk5aBR
nAmpEPAER3qcAo8eB2MASuzqOHgjApBN/q45TLq3DKYY6Jyuub1R7fIe4MYm8ww/+/S6xxBwH+gD
7rEn7jnm/g2SIAJpN7DpKlzZFWx23EBy3vLTcii87sISn50yvgfeb1xGQMV26C1V6aLX4SYtjqCX
ww1gLEn/0aNGt7pvAbXODGAjOGg54yyy2vxJOXWb6wcJHWBN3MIngBlOrQP4Rnka7uYH7SnHys9A
KT/wb3RbGZxOKJcfvRNtpicWHpLtN6WLN3SWbZ1tYnhAYiwgM1XwAiXsi25C+4kJUklQSVGsKIyI
4YdexR+02GkPp2QHjHSmhX41pQeyPDfYwgmAfS0Dp429pb0IxkQurBfz7Vw24fVmvGSzE2Cl6Zz4
KYFiKKM3wr6c4jP6Ch300tXyBo7AhTCdiE7oFs1Lb7jafaw6fXywXPMouMsBy4LqBdO1mO3ifeQx
6b7Bchm9XHPA4t6+Tva0yd3xHh2mE1K4RQeWcIBywQvyhHaGgwQilV5mSoe0fEMcJxU2rW8WfARx
5ime8gA9CvbShJmVhYqbPut8zqsKI/1UPNX5Ln/pX2KE+hUNoo9jF+3GuBVPEGzsN0Pf0uy2z2nk
6fpzl3qW+MIurfTJTxBZVsZQF0k4dZYfvcXMYsuCJt3NlDnwkh/gH5j++DA+GM+8Jjasr+nc3bPs
bZnU4+PZd3ep82DsmPWQO0AjZFK/fEbmMbTuQsEZX9oX8U7UNkyumZcLXrLptr1g+0rvFE/Clfhh
/9NyWOgyYMoYWZ0E9WacRAh4/Y+auGtQAZ4WjCcpvC88+G4EudHkvhn9U88sMkZuwsIZ1YZgTx+J
PW8J8sg3qHEdlIZOfD+6FPOkfhqnxGHaHj3yfX5kdnQXGdqmHD3CmCT48fvG7auTbJ30dzAXm9hh
IEC+bLTjbbdhYlLoLwoeLOgqAE2lGgPrhoLbPI057Jje5uowBkd4ZtKcv1rqhlWJnJ/iH2LxQ7o0
3ZsU7oyOC/rYfis0+XX1oTVP1M3pod/nOJnFrQO4dBNfNALrJvtpcN3xA+8bQXIbcM4brHXqS4hu
kvREBvUVYEHOGbc6sf/mbETfgzOFc4n0SIyOXgcfcx5SHRWFeOXAx9PxQbjQYhbPaszWJM1fBCca
TwU5PgzlbFR+FvF7W6QYyb7fIZqy63fz3jyzH46dDpKAjX5bfueP7pTt52NwIXXCqd/HjbbjR/Gi
EtrjZkfYHS0uBb/a6RzO6lu0698r3mWH/l25jr56QJ7JUmWCJHAtj3Q89Y9RuyLCdHBNefyuI1MQ
z5i2/EeEHc1vmJBiVkfnXUQ+1ype1Bgm28i8xzXSbV3t4Asgye1Lv9NeRlKOP0mFaxzgQ2yECkLC
saxNHuT6fbTnIuNqHk4q+hlSjf3YuZl+xGy69HTTG0EFd1cRUTKoss75FMl5UX9vU/9HlepjmfO/
Pxamf6xt/zcVswap9v/vYvY//v0LntQ/VrLr5/9eyUrmr2vRaVnkvqsmU03mQb8XspL8q4iU1rLY
ACgSXm5K3L/VsZr0q6iZpmmodELmyr38zzpWNX+l3kSOTxlrYetXjf9JHauI2p9HKrCiTB6EYZqy
pdBV/qmQXcqJh0Yap11HQ0ldiZ8aTO2BoQFyzsrcjW1SeXrOOk4QE/LxcEwALyS7bnErJhx2ZC5I
d+jWbLqzXZirnN1YOGQpT3d4gd0qyh86QQOdRRYuTtr7RFzhlJwZ6T3EfnDqpbRHMXjHFxzEPOEI
wVSl1WzFUlNmUVHUfk3LBqtMg5vCqlsR5ceGufNqVWMOgucnAYhoirc+BFeoqI4QZyiMyeDbYChv
19E2oCa1wHapxJehibT7QpRQh9MDRwj+UEBnLGwmXPsLGs6qgqK/lCNuwHhfaCKrkDS9Zx4Qo+3K
D1naUGLqZMLrbT8SF9NZQDDbs1Fx5GXxIVexEGs94fHK6hAmS5QSgjgGkXnjhoUmmlmLdUI3KT/C
lNukZux1U/uW66Xf9xUYcan81C20nUsbfbdt/qOrZHk7ImO35cQfUwZdoZxfjIFZd61ZJ4utXTKY
bGe6hnWDvMlEo3QzDTdCrRiuNY/WtpaW9yQTXpQc/QnTH09K2HCjrLRkgjHmcJ0TaX5AannxFSWj
ukVlX9kzy2k2jQJSewSRJnI9RGdOXEo70ihYipIFlxf9E6g8lsjTm6pxN9VvXGrcBgkdn5smO+SQ
S+Eco8iYmxERVrTpQyREZDa+Ajmk3UiJumbXf0d4hDc2ObtKitTyLkulB5LTmdWlMjj5rHjv0aOS
Pi3dJ5BGqF5a8gXzii1nwiR5AUZvBXCsdRZWOmk57BMTssnL9pKvptNuiAEkx/zSk3WnLavPOFuH
dUriB9Y5TuanppV9ocjpPyQcktCT9h2rqfUZHg5sBewhJ9CU+6C1hTSwCTW4qaiVKzcruSpV4avU
E7bH+6YbX0JZV7jTcHeSlzc9XvZiS+51gH+76sL3oogQlGPQ6EdAFgE3bVgeIpHU4Sv7Fep+dSHT
oeLZTofprMb1TqunUyiXZyssO5I/VvpVxQ5fGU6MVr6BcZyxXPmjCcAWYYoi2wVUd3+eVtFqAhFn
0Vf3OdlFHe9y5IX2LAqkxDS4XCxJRJ61mLYoZJiK9NCVFPVtBla16QOhthUEy5uW+WjN/8V0oLEK
+10NTP7Y07XVOB82uigg/JHwQyTyczgHxyHUkNEjr50Ir2Hb7PbEQFFLcDKkiz552JDJLZlpk5bU
eBEMLDNyp1+WqjmEY3WqSZQJa6a3Rgq2vS00wYYbEINh5wDI6443PCpeZD4wNbUIh0pkCv4kR1T8
8UEIA0rgT/gczU5pNe6kXE5NmqKdSKAMmiwI21n3qniRTige75gEErG0HxrAkRGcGFJxrGOBTsll
zKjaAhqJXDjjew/FSjolSb9v5b712Y3udTA8riAS0SWVCIdb5SEYVcVne9Nx5rmiAmWmltLXkTxI
NexBikwkRs29+UBCZb8VDcpuAkoRhSsFYDS5qPbQrPYoIQdfIxkRr45FfjOcQjZTB6noSRUwGq54
kMHiPKJFawheDoz5kufoy2saDUvMvUFFfS3JKFKxHgQTyiBVuRUxaLm+DN1kWi68ixdsBOZOmWgU
DEGxNq2K9iELo9iJc2am5LZTkbT982KVyKq1x8JoulW79DGIyFEFq3sIxCV2rcHvoCCH64timAGJ
nWr2kSjz0xSM95KBkS0NS+koC3j85r6b9qBGAKgGqnStNOusKNOHEqN7GmTQcpFEqqsYUtwPj83M
ikGC/w5mEhVJRwmpDfJ5ihpaeqX/zJlwu8NgpQccwfGmZ94JErXJNw2KbNuaOKeGYXwCEuAkIfhS
RIwoZxST9jpDbaOiI3GMx7IFvcdbAGY0803CivpLUupnYnCOoEh6v4mGOzlCEVuA7JIb9ZgmPQWZ
FmGFI8VhybBRjJy8Q4EAidCxzx6Fx25ZmHngPvGsRCWnMJ8Oeitz1+vYNKgVsxNwKmRAqlgrR2N2
VP708GDTMeDco1syv5K+YsyZDHiwckJdl1eui4JkWCO/DHLkh+gbfaGtLs1EDZgr9b05SJbdwlNL
dHWwk3RJHOMyaWBrglZNXbjGTzFnIjoeAubHpN6h1oKhLe0nAQleFAe+MY5vMXmCmkDNOMK4X0OU
kJTGFVEQCeOTqR/J5W7p/ABs4SUu9U0Sr/VnMG0Na/kW2xHDUANqAr+JlIf3DXIouKcqaTfmLugI
FK1q45ZbNLvmwKs4Z9UBVsuRzM3U73E5x+GyFYZDkmlnCMoJ3sOenM5ol6vDWyJ8Tzi9MxV3wxTj
tG9L6UHXO5KgSd1JWtSWMVLtUDWf0UXAk8DchnAk8CU9ujeqEeIPwgm2sn4RyWSFlzIiKXK7WJck
DGuX2dflkOav0h7LJtLxMzaYtYl68puJc7xdDDvNZ8AEc2MrnYQTyRxwgQSdeuBk3kpocRyzbvND
unTjJdB4KyTagk0+1W6xYdDh9MZt1oWtKSXbrCt6NqkCe3+0MHJqPiZzO0EnSZg0o/vYqBV4/0Kp
cbEAuyMTnbQihNtOPuWyPyo8hmlMCjfgT8eq36YOlFUfq2QMUpZwk4aUVonxrhyL9thnuAZLeHG9
mibeuCjs+8rgHIjcfQYRegeopLZuSdmeRmm3RMUt16RyJ5B9zYKnPQ0xmZ9hhR9ViSef9epwnCWD
eLsk5nQdWdlHVXPqJyjVVaChPxvMW6XEDCBT1NxLSuT9mCn4QPvASRHgHRbeAmJoWTtSHfaLJc67
ViZhF/mvigSBGztpyyLSYMLEsBTHUdnbMbcHR0tLvPYtPAHENCJRwIrmTZF4b2XdtzqFGLot5c1c
iF0aJgPhSLN2qxOpSTJsMiEEZ6kQdJ8kaes10SycqlDbotZJXpqhIJO1VImKXXIoGgsDk476cICX
fCkKcRtouXQKDetChY8DAmMoyL/EMWFKsrE1fCnCEl+xFIV+1ieYYVTAKeuPyJGUYMCE9DjptIWd
pN6XS81+vY58grfIaTYyio41FxHtMunjTxCPgd2K+yzHGSQPY3avrpY3ltfooOfBsicTRxQ7fltK
FSzqA7C0gKhYj+CmBx0I3IacitSvBN6tQh4cyDEhHNisw31afyJVQoymsz3TihmJRqlti2TckeI9
7Jmok3mklme1B/rVdMWpLfX0CpXANoreOC6YbMWa+z/ipt7uAFrYY1pPvlStWVfLdKO7gNu4+g0i
4jMXtfDLhgbCmDEoKiKRQhXLNYQnptAAuNWTA+T70iELpu4PWiwB/mKtx0YPHBYk1RPQu84rs7g9
YGUO/QadOFfw1KwINgaMoqx56RDynDTuPLBeI9jpxgMV/B7YiQaAYL+I8lcmJbCFinl9SwE7BYXG
vFMh37TSYgHQR/8BtqwjT4ywQrIjfCJiIHan2JGWdTnVVeJeLsdmU4pF4za1cEmaLjmztoQDpOHP
NfZpWn6JCJ+XHCthydit6I55y9hpkkAKiuDmp5k6q0yEZ9SwndsuaxsxmdshYiE1ZQnqaAVZP1Cz
SQ78Qp86exzFtxJ04CYZtMEj6c+eMLJgWyxLtwunrdpYih0KHMODTrWE6D6s4qMEDhYGCoKxDHcm
8IjZk2ZfU5GjBujojBX+CiFx0+DaZYmMTatUe2Rq5b7LpsVTmm03Y5qQ2xVuKLSXZKGPKVfiCQfD
V89UQRjqL+rRzMv4/aKB8eKo4v5HnUomAbIANPbA9/GZJgyyGpIc93H2XFYMolkuv8cSi4m6IdkB
z2AHyaUPcDfBEEF5Tdp6IyqO3CXzDf0ps+waew4tU0H8OqfTBjFcKMkCfE+2hHPIGy8pMAQUI/a8
NjDfMxVDK2qsu6AyLhWIBBsSwzMO+3ozd/OT1UKMCfLZdEBxdgghzASlgL5TZ+Fq4bBMBXSRTFUM
XPAzXt6h6TgIqubBKK4zfZkiYBtqq54MvpGZYLwsF5KR6+1EFAGPIz0aA54gIxpYDoAcqS00Z42O
Y66bPoy6iHadTMBGQ9x53/uDaUoHcQ4eCVAK1yby0AcScqdZcazqWxVkv9SokhsJRYVGyFBFNnrY
DpKDqYeGRCrfKtlwadoR1mhS56UBDF7Sybt+Ss9CBjtcTr7VJ5Ua0YHZxShqBDweVbonwu0L0mR2
JrF1pW2eEJQDJOCpjyZMoZGB16qh9mxR462PYFo05m4F8QYknEa2Qn7XlIETaHkBXKPO7B4cJBez
fhM4wcLBFGwD0wI/T/0KXleb/4SEsB35Hfp0tfRi0YMFhuAwmOuduoCvq41Xi5mmIuUYokbAD2L6
nmnUTbinDmH0FWf8dziObqkMd2DRodSGTXWIxuISqoTBGVO7F7mzKtqyEUhNsGUd16vOUczgvCRR
ymu6+qYJKgiQ1NPA7+LUcRXY0pYs9YDk0H/Pw/zRzsq30JeHKlrVAROLAwGFEOxCEsVV8sZIjQ0Z
l+usYAQe1DtjFmb63Ury6uVn0idx2rBracPlbkhSptvheBnKRNlZBW1oLA4BZr3KqQxSeUvD2oMC
rHbmZGBnLK9QdvEuEx0BfVr5qKQqIQktZTWEZjgxUhLTemxwmQnVKqWYslPNMUzCSxW8cK4VJJeJ
CV4ak6lNrps/RAwkxDh/DJfqUqUatxbrZtXCa2OkzOfn9HPQ4OXkdXyKzLWLkJGmptVjAI5Z0XA+
dNXgE8itIpPvXElotlLcb7U2vOG3aKAkpD+mxeo9xG+vdYCpiiitg7BUt5ZQJ3uQMSKVspAcGu57
eVY+dZHEGopyXgkhl8cRJHhknPx6WvkYVcCGCNwdCFFkOhKT0CXJdJzZjKM2qYhkm5q+ZDmESENg
v6bKBShsUqA3MTEwmx4TJ44F+WVCe6wlkeia8FghltJQNLcimlkH5SV5lRmpywRMUcECyJHMW6pn
so8+x6UN3OIx0jcBTlFXUTUnKzGjGN0V7SAj1i6EBcAB2yUJ9oTQsNV2yJGQEn+p589lnItbiHiB
oxv1NzLXpmUAleZoAprqoShkhTcm9IGR+OiE0BgGv22+NRg0CaFFBKk2fE5S1e5balZWRdEbdvUE
sjlMztY0fL3PIhtbU7CMLiZ99kgFVcBSCZugXkv7uHiVJaJGtBa5Co4NgbmdjbrsZ9BDrhSsiwHr
EAKkQyRBc1sEgXbohmFXqCQpgytYlbUgJgw5HphD5zlawCJzy35vCnfVqlbU5fkBTaPT1x4hfeyy
s+lhSvX3RuxxbSeoxSAM22LWvoZL6CDeOAxF+KnEHSjlmDHHgvacKQ1juG9Z1IBhaSL+/xGpkUV+
w6Yym8PQls9aHbN7M9DbpeH9yPqcQ2neADofHbVN2AZaRsUFCzEGNZrbgOdwf36G3BJMn4RQikKJ
dCEwLIKug5hhfK4EAdyxpvMyAq42aNJVsCH6k9kzYRlWP6BatdWeov9Efsu8m9X2fmmX/inrhcBL
S9BQeQ/OpzS6R0VyFxlsqdLWSJvL/hBbDfdffNubXmzZC8jmRe+QfDdogBoVY0bSPBMb9pEu8rmN
ArsablkGNKvPUha6SkUyRXGmouAE0Qd2iMzQIFhL+PdSehXWCSncmrFIzqhdoLYHJNsR8P1eC/I7
Zu01jXN0Wv7FzqTXtn5L63I3hAn6XDTVOiRFbOPYhIqMHVeeh9egn42zNuVkxEdYNSAtaXr9SMxZ
7LP4vHZqQhxAQ5DzIqObT0bCk5qWe3wxYXrvtnTWnZ6nz+EIamEe4ntYfbFNpvB0jFRsE40aGQ5B
oK6+DPF2NkteSjJWBv4djczsdGkY+Lp0bk3uY2bCKjCWCRwS1OSFg9ZJEzTGiyRcgVVHh7FvkU8V
K61gmb6nWDjMQjjucpYb2diYrjxwtgGUBxGFEqhe1mj0zFhtRCwNYXKCpEPTPbGRTJPqAclTsIlp
cnbUHYxTxI+0VlqWnwQ5GnXFIEIhrXUwI0fVmc+oVFpzx1mOuk11llrfgo/M962APN8gR9tCaStF
TK8bznkvqztHqBSSq7TZUeYWAdICwRt/kdORaLWphOyllyKfO5ifiCqVFUt3s4wcI0QklBDzRRxD
eegwgUY1VZ2ODMbLtNV+lNNYDYgnkomDlW/MT+YG0XSsvhl3qT0w00EzX9TFwMlGZOg2Xakfvc5Y
k/uoHkUIk0TgCjrmyiRt8lMBUoZY82prNAVwTT0lm2bVuAsYEZfirajn6CiJ4fM4dF/4Bjqp5C6T
RafA6IqzYAWnMaEBy9IjM3jUo7KBC8IUEAivgZE9hVgCA4GURTer25c+Hb5bLCF22OFpZerjdVbz
ppUQV5aWEhc8jptOq/uaUTIWiNyjOE9tvRstjK9A02uD3zsgpTprmSuZDBRsfU06BR/A2HD6HoV0
usqpuOPc2nOTOMuFOiKvbp3awiYfCRneX4nxlgF7R8QpCQww8SJRa5whnrg5L9WV+faD1E/cxqoC
S6cmyHgSp9hBtMrkLCv35FsPT3QjfqiYixPLYYJfBMME136Yzvc9ePzVYffNJYJFuW0wkgajx/lD
LiENCysQFqciMTCCIoIxgEjYcXvzzblm+MOIzKmKjNyooC6dfoI2FlvSlRjHmVkWf5si9Y1sjWNk
Vndpj1/UjNkmt6nwuejFNTe4WYYSkw9zGZiZ5t4kVydzoFMxSg2uefE4ZZj5VCyJLiaYsm6DcwZG
JisJRi4ehKJnwG7iSOfmqAzxM2hjK2X4J8KIIO9zRiVhhN2WoG4njEa0QIucOtDq2VXi6BCbOTuF
w82ozdQp4gnieHLg3Yf10yB5sEnIssrvUvI+baGebnJP2WbV4ZaMKRH9RITSYxE200Sk5Mpdh4eU
7dOEkXlcaWtQBz+dy4OOBSIEADyuxyI/Ye1JT0kPwgULeLPFemMHgmV5M/PBcoXwSOAvGcLliG/6
tNoKiC60JZU8Ke5OlQKEuJnkSywFjxpnlF0IXLpq+KFECfMRUWBhWgbgZ4TsscCvxwCVkkGcUIgH
pGniAqxAMbagB/ihvqA3w4bQ396pOxVU3LryJ0NeMhkodQXWrzpahamR/smkHFwOUcatDuJ8iBdm
VaTCKjT2+gq0aImbJr853zZQtRRhPFIPoLqRmMH25Rw6iRTc8ww3Xq7IEMUTVNWLJbmlVN6P9cjm
fojfQjkuPJMw1jjFiBqgmTe0Z3qLk2bpF2541IiNfgjD2dyYoSVBd560zWRmL4UZuvKo5G5HfGWm
jmjw0zEAj6BcgoFgWuJ4uUIHhupgBM8ZKAlmMTgJ4OV3+YG5xMwWJS1JfJqWOzlTHjKl8/MSi1+P
7Lau8l1qjXBMwxerqidcFi9YdlDsZyEgnJavlqu7OdRf4p4RW1ZJnUP28rmNqUN1jGottbw9YEmO
VbaH4hoVgWPnIWsthBAyhUDdKYstRyiHxdG612R0QRlrE0ngiwmDsKOAPBLD5D2QTnQrYCgQGZiJ
4YUmXVohNFhguvo+WoNEmMosYA1a+EmA0i2wLNrMUkR+h3GbjIVBbAbXyFgj614RT3USVT7bS69c
iicVEQLjs8Gr5OxFiof6sIN0Br0JPWpIMgghWo3hmVj+xM8WcxvHIEtKvefiWqGJVhG46G1nZxnJ
Bh/60O157bnNgV8rWHlMsvKcdxdFY/UZVBuYCS9DSbz1wroHuJNxP3Z4oDkOwK8snGB5Yl07pvli
/mh1rLDEEduOFKq5F9QzGNS4eEOxageL2e0hGBLO2+JJZvuSO4rYPJlT9whgBPdyjd89qtqQslCY
mUvJWw4S9NaEzS8DU0E6cVDSMxAYhfEMKiIWTjnNBnMqAsablwqlJlkfO5MSbV9RoU/AyERzmL2R
a3HU81sSqx+1XheM3Xm7RYb+hh0aF5iAjKPjyBxqLhWcqKbd6YXiYNgz6ZHS0iGguncTFkkU7tWD
EU21O4Xjlfn80QgBpEjUkhoJ42UQMAeNNBB/FqqmKn6LhArGwvuCv6oeSCtq/g9z57WjN5Jt6Rca
HpBBMoJx+3uXRumlG0LKlOi959PPx6zGQErVSHPO1aDRQqO6u4o/TcSOvdf6lnoOs/banLsaTHny
ZQ7tH/xyrKKjuA9yzn5YWO4mhpqHPkAKVo9n4dOyytWLzfzSJ1Q2HbuLtunwJR2w6ym+GBY2E0yC
btrV5wRbSuZDzsvx0K07TaRI0NjPps/JzCWOvVi2q6VvmxcmUnlVqZVwxmktK4z4WSiuQ2uykINY
jNodWe6tBg/jEi0QGbPcREnAeasOt8YA/hHASVzk4ixrC1unBeer6/e5Z2Xrzu6TjTTGK6dkVlE2
GgO06T/Dz+IEZdrPEYZip8R3je33Bq4V560pDK75GyBaLNtzRj0CDvytIFppbQuGZgwKnycT5Vzd
2QDXKxeLVJm+tpCHByitG3wAP9LWqGkAUJRolTyaqhLH3L/PI8Nmy/2eYRI7OSJ6Jj8w6w/4tJv1
gMkKVAwacjY+yjQSGTcG+dv2EsRdLZHcGdncfYGJRVqkdXNE5HV7a/vhOCxx3unkvtZtrdENzS/l
EvkdL+HfZUgMeLcEgs+2+SkwgRIoRVh4ssSGxzUZWDNJ4vF7onj6sGxwNMVL9iecxHsWhU216lT7
OXcqvVUdLc9YgAkKATDU5JYnBJiXCov2kmg+ldGJBea1AftkhbVGuOXR/8+8PQAi1jyckth9KdCt
4akmOY+Gk7zB1PfJ6bpnR1J6l6Ja8tWJY+0avO6BTyXkGFdI/4/1wNfYLuZeYtplhJJ+yW1nDFQQ
renejyOZ7pCdNvWS8g6CcTiKJnsiIo+gcC2ekzT9YRANX87dU5QVL0MXkuq3pMc3xMiTr4Awnlj5
EGmBMKkxxnzyaBm8mUsG/dQdYyLpiVFEY/bmDpQ8bi1xwNbi2qqyc7zE2ZO9+Vqq9tIuQfeTCkxA
rgp1/MQpKtIOU6yiKQivNncse92xN/yb3POegA8BUTNeaozTxFYLd+G/Yc+OXmyM93uMbTQkioMJ
AmZlHmW1GO+yDn8Ax+p1O+JmVhH0KKlWtFRPtQjQg4BqLRPjZDXTri0z0h09pZBloUEeUPD2eJN9
7Hbr7AgqA7FWQwRxtKlCw+JvOGC8or3URcegnS3QoEJss1z9UBl7uT1bPMIsvS1HZzNkqH91ioQs
ZYzBlDlYEaydxYIv0KGYxUZ7HEPvVXVAOlymc8Pim4TvghXJZBbfBV11tnDhJpyhVkWGr2ZyzTMQ
oeMUoA8jbAV3EZ6JeqS6aAR8JsmRQBpMzYkEfRuU4W4wiYULbg46gSA2zeE+Oxqwoe2UHSSr+WtS
oirLQ0jwM4zVlSSLaSMJ4aJPslScePNhQOY52D5W111fYXdA8ZShV3Hmg3BfSxfOAitrss3oSG2B
Yjh7o0ueG9v01wlaYOJQy9su79l3WHy2grP0zskX3DkQ0ij1yyN1D+FZKUJkw+HKSghvdk0Jm34D
7ovYZonFgZLAgd4XDB3c8omkJH894DpzWJn4/fYMwim5z0dvXGcDqkYaDWzrOaw14fmfFw5l+Ty1
tIF0SxE2cvetqRWXMbDvZiyodDtywqcWH3KwLM8BG/i2kPUGAuh9UuXOZkRPwJCQmsyrYpjzlUtb
9KZtFInSuGfrBhJpAcgQ802oQfOxJsUz4hZLQYhcLsuc8AMUVovXJIRPr4MF5qL8e8nIsiQhcEM7
8DkzclpBIx2G+m5wYAa8w+CavP2hyuoml62iszUjM63mQ7xA9iYVBxdT7XMRzGtUFdM6s/KjxZz6
JLERWaN4imoEnCLzd5PRv/Jk9w6JfMysl/sW4BHsvvopnQnipbWx6RMHE5sqbPKplxie63witMAg
1xmx8ZiuYAXVGfkhTNBapD6w1p0XRjt3aAbyXdVZ94P/QKeNdEP9ZomjupKhgQDdNu550Pj6y6e8
HN7mXm1Fh9dWcJoU1YLsaRETIf/Ktip+BqGP6x+rMr0MQXFUD7txtC+NzcBdMHldFTOUD6gQ+8qu
AU50yW3u2lcGjJE9aHpeP/lGMG9L5zzHONL76De3LUh6TnUkh9fOIy5EFJcKhRMfIef0LaA0mndY
ajcCxdTKKsFkFraDHM16I/g6RY6RP5Osu80dJgzziGon85jHuhyC33Ge7caFfkF9zqXXJJzEVcsI
3X5s/QC6h2EB52m+V6zCm7lVHDmjqlgHnfHJj8If8Sz3cDw80Aogn/r2gZOU25Cm5aIOkDEodMY1
5HFfK5PWphiU/TDYdB4lGW6+uGQVRCa/ar5afS23rhegHYf9VsJ0HTMZ79KehHC4ZuFEwA6/bI3m
Bo6cAzrIUToAh0dLVY9UtoU9McsT1sLPaOCWjqrbM48LYW3tFLOrtdfqL4kVvMW2ehoQVVm6eHaR
8gTyDQYDmPIl214Yp7hMJaDo8hHr9CtCERDrM/Eq2nZeDdu5Ry548kvUyBF0vLR31RFVLsXPwtrm
pWM5YY1xxZPrgCRrS4BcIQ4yHODM5y07u0/0+EY/lSw3x76CaUSrWnpvU+EgRacVjVKnB53ZY58O
smBvBN230aArTqv5ql4eEIsf7K2+SfdeN4qVtNN0LwpEYQnKxmhZhGqv8gBntMXBwEY3lP0dseLM
G2Ya2RXuriKHDOeRFXgaoeYKUJ+M4fEPlEgNGW/tm0WWAZGY5Z70rLDh+4Zp4MJ4a44euQGrcpgf
7HnYB/VwjPh6+JJxFk8xFJUypaVoOe3b8BkWt15PIdB2w/LVnrxXSD+UF2VFnXFN5hW0Ro+eNz7C
bGW5ZJdQMn4i5IABHNutZVqUjPG0kFY4N5J5/agH9L5kKuGGT5oRdaYLTpkIx5TUp1XKd1LX2AuL
srkTsWOusHTiJdUdJPFAHemlBWsGWje+E5zTklmaFvyjsiGwObsBzFSSwf5VWvUvo2BckqMGWyHi
sPDVIiruCe5e1RmrIklUOIf1qwsod0NczE2WErc8lQMYjDTDwVh8NnsEIObc7G1VRLsSCboJO2zd
UnDQtNWbrHLyizS5IYK/74aTtUxhodLLWqc7k8AuGR5KWb4SlMXJpMXhH0uUU61iedWNc83oEojQ
SMuhQDkCUwSs3QLXV2N1lcTzoyIDoooJLcqae3zl1zGVgByJLkOFssl0J49RQPlC8CrRuXX4hjDn
GQLj9RDVIWMsmaxN/KDcfOJAQCIDiPf3eavZZbR1hE5KmJSW+abh5Mb3eBqjZytcALpk5+QwLld+
3+88kqc2hTs0nJHUOerrRxICqlUdHhJFMy4bi0PIfrUbJyTitu9VPKqeNL4+2qpCA8Cr9Ld0AgU5
0iWshCAHBW5Bj23bgxULWLN4Ce1lLBm4x6LiyJ/TMIYLUKzTAZYIOoAjUxxpMZ/qeECfWrLPK/uh
nJ79IXxBAIF2gD6rNaJ0c1scvSj2mWmGFxK/fOCIR2hcdwOSstjQdxWzynDRM3S8dzHF3jEoaJ2a
aMycaVK7qDVIWOxyiH9+tEU+mOHKVzmIgCv8kLeliUNkQhODnoXCYXS6c+wzPamAm/HQsJb5PSYo
zrAnz6oeeqsK93bXoK4KFRnVi9akgyrVZhtUulRYPupd0MAoDZnqJgGKYIbAy04J7YXMEzpkwa5K
cyL3pmGxufvfZSLvODJQ0zfN0WJlSnOi5oGDrBEgUeT5OR6O/NgOxadMP9LIY5w/mQxg2D4MULQ3
dAop5sYC32/nfK9F+FoPKGeRRazkQIc5aTuCa2wa6w3+rCXPRLmMh9A7rAAqkVcvho7RkPgyWQNH
BufZMZMfaTo+kX8LKKiDshsKJAyJtoITetj72TY4hHO33Rop80hKVE2SD01cDmQFBpkwc7KDTwIA
GwWUzsFb6QJPSZrHBulgBiPMWu5lZPO6pbgTBgsIo3SZfw/zqWylWgOf3cU1tjcMt/kGcdJRJLq/
mFO6HdmkTLPd2qqb7yh+5zvd0JWq43jFzASehpo6GIY8EzzLq8Afup1wh6uxs/21jFP+Boa2OBNw
wqVbO+KS5njZwTqKvPJbVvt8JUj5hkGjMwNSQj8DOXeNZjIwii3x8MV+NKCqRS+6ay6KmFRO6+Hz
UKJNbbL0syXrMzPGp9RBW5In0zfVK/im6T6Y26ua7c1GFTuN457t8Oj7HcVS9yVVTBp9X3U0QTHH
INagOyv1YxsHn4jAYarZ0H3pUvkGnLFZCztkju19qYYe5WFWMtKjgTmgWC/rGHJlbm46x7hLIsxr
bXuBF7hzaC/4HhivgIyrPRlMVyyVIweoIxJu9NjMaFhQm/CAmnGj4yjbxganwSh2aRDMxTfDzUAi
IWiuHO9BucHd7ETlxh9rfE1l9TJCQ73kpDdVom6P4IqXjWgZedRIbt23djAmUD4x4u5kMPehIZ51
xc8yfDSwNkjXMmpuRSfk3g4nKCglp+ZUIJ3qmlfRwcNBb4QoD+FBItRJRE23a0zJd0a5yrkAW6NF
SzxIr4YU/qzslLOtPY5D1RA8G8UyYmJ0M4TO57HhozUUAK9AYp8kVOvUksHlx7Z/8HM6P3FpQCNh
1rm2pZWeY3cqyGjqNiXgK/h63Z620Ykv/pOoGBpXEL7QjfT0rAy6jJ5rAgFQrNILB9ghS4NWKqdb
J1XfPcfP6QwS0VI2/IEB3OcYGz63g3NizbjpTJtkX9ES9Bd98aNRgXl3MNn0x0CjEwmlg2SWUw7t
e7pWTnPSxyGL5nOAbBewFuKu8VaHvI1JTsduWhKqTTWwlvBNEaUATcaiObiOJRJdQq0+BVVSYjfI
so3oIm8/KaZqwH/70mOXzNAMNA6iaMs3r1wfYRhQUY9RC7HQNpvSXidj+EzeKpruePlF78PUFCle
xJF2TJ3kYFjqHmCXhacquZsUxVc+tdyaINxhSKAH1Z8it0PMhVrfcxQkjHLppW4x5jPkcO7apgZ4
hNIXLAfWBR+yoG9k1WEywi90TzZZbVyCQp/iBXdgLXGtBYYAZrDB0e0HDLaLXuiKtK6vQRTdGWlj
HolS2M7L7KQISbZitW7WKlxABh01cz0Rx1B592VB3GhQ34862i+90m3oLAJoJvRTwlkVwKSD4oMT
y6iqdVFG15LomE2sw1fhWYy+9qktsw3tpm3aOt8FYZjbygtpMqZfTRPQVdRzlIqmtWsEcmPl2A1s
0cBBGAk2EIE+oSO7EPOeUTNn+2xWd7D39qPQgNCK+Um1MfTCPvkRke4I7YhVSi8SHyEeqpmsmTTY
EwrUGk++hfLBF75YDUUKaTdi6pKyKU0Vj4Rpdb2HIxJyXGCuZoob8k4aJDeLTbPsqDBMOimOdRx9
uKyyrtAi9idEe8F2JtxoU5Z4wXFJXCWahlw0PwnQ8Qrk6hH60WgtgeqU3WTMqIuK3Iy8FOeF6ow1
iiLwRLU0fAoTRPJkhOKoBJ3WeX2658y8RST91pSpRYx4cg5mivAwekQxueCWXQ6+OeMgJKQclOZq
z8oIJMTd99AaVuVCueR9+WEGLAxeZd/FqFE4HWNdZ+shAdslVZIjblqUr42BBy20/XQz+/ISzla3
Mjw61mSSwJsjdmUmVGilLEKG0G8Tyf1m5PaxBkQB8MGFyJrvi3ZkRCerveqNz21MrQzaQxuM6Jql
TYJX6UAgzwwEPs1XfjyGWxla0MSi5tKOxlYINEhmHo7wbfbSIuWgsKKRJRipSuu+EIslyZH5MRaN
eyXQuJo1Wo6EIJ99KUknfOoyXHfsu8HoZZvOmL9Jld+HMnwrl/Z61qV02wFt+qQFVM0T/g66pMVO
u/pL6XnZ6d169t8y311FrzV9tB/tR//dL9iI/z84EQpD2v/dWgcl+aO1jv/9P9Y62/ovUA7Y1zxT
IiyTGtPdf6x1+r9c0xMYwUw8cib/q/9jrVPm4rozCTxzFGQJbfJf/QcR4er/8iw4tZ5cer9MsuV/
x1pn8U8v/4F4LPgLZZpCKkJIsPgp3H2exN73M+gp7oQ1xg4qCPLNnGPleres6SPCXfgHjTs9t5Qr
m9rBZGJWj7FhcxqYinJHKkmwiroGfbczUjwZ0j7+dAf/A7P4GV4hPlr+TAb0uLNsFAWOsLjSX6+s
Q5bHokuCOgv5yW2H8ZMdDjeZces0TY3OQbnnkaBR326fOnr0XyyJU9hvFalU3q0ZagNBZLYbsCWl
ZQB2IvV/qN70rwpbJXQTFwlrXem92TXehmCocifsmv4VFoci7MfbP/+ahQTy4T4rZdkSjC/hQLby
PvwaOcIArk3Er165dHud7kIkxzZzjUfTLednTpacbprwdm4IdFnVlR+usz417rPIh09Gw7xcEDj1
8keu7dc5M7y9gZz7xnKC4pPU9R0nkPpJO+3iFCyLW6fbZ6bd7/qweTXiUj4OhPM6qAQ8Y6wOQ493
L9alOEqvQD7YcbiqiAHdQhrJ95RGYAAS5gt/vgvWYtP89W3jpRW27WjXw7Tl4hj9+W2LSiovOhXx
tvaH7BDWE8ezTqP5qZn/68ZeDWaGftOu3POglp6AND4pLyLiARfdP6SaX0A1P79g1q9wlOXV52Js
xcfnwOqCcvbrxXgcFLC0xzhPnGm8fX+h3MDNbyHtb+Mh9M/OEr1OKuzoh9C2wkKzvXdi/ed7Yv/+
nnt86MKFE8b3zk359TJ8NxxtDmLJ1lElxLsY11w3s8o3UUj3oB8u9EgncPrxFhKuvbMYQhlD/lAq
UEV9TaVE/tEdJD93B4Q1T2fkTZC5z5ZB40mlHBvScpsUBLlIqDsr3+VzlX37JZTG11aNclOnXbwp
NWMHJAdqb8b1qxflMyaR+I5zDd2izJwfiaC+dWPz/s8/Xiyv/a8vBMuis/xuz+WLNT8sP3ZpOoL3
kR/fgJNttT+clJMfTXJ172uubtXlbvJUe8MOUjjnJhW4h6GwmSGZ/YkJOHOI0MddMHT62gNEthai
pC+VNRcRePF1W+l6/+dL9pZ39NdLZmW2TNtyPZeX+ePzyooqJlwOzDwLurkLJnSCRl+CczBLeSTa
msP5SAvNSJ4cx532E7IBlZ6lmpMLBmvNEIjjfqpj82YYvWcxkQwgR3FOpyy5mN5cAKA1rAcOhi8C
HvROT1qcTCshjdgC1KgMjEjo3/BGRj7anGrhomVzCjzEAcxr8RjtoXD2VIbz7XjqYy+7je2Rk4iH
iyMl62xUHO+z3j+mVRfvDft72vTuue8696xGJhvJHEBnZ8knpsrEBNsoupGDj6mT+lA7fblvrEJu
0lIO27hZiGVu86ld/jmzY0Ps4GacrRkDkWGS+r18Wn1gGJsuseHlBs4Po6/PmkVWSPeF7AjshZG/
p2NRXYgC2Sbcp306OO5FMhkZQsLilRyiPRNrfnKhNV9qMY8Xx4Cg9+cna/++IGg2aM+0bE+T5mN+
WBCqyuwCxzcDHIMMyEjsALwD9d6fao/VEMmcO6B2KulOT+Rfvl8WvauNOc1gW+o24qQ3A8pfpr59
Hd21Imsea8Bz0DO/dIKQZy0gGad43D8VNFoE89St2RuUnDWtK+SB1Q9mZqnQ9E6s8lx37pe//MLf
d3uAVKYleYEtbIX2h12oMotuhuQWkkck2XCsWUHVXBCLov9mJgjXwDtf64q+7qBrolviEsgxQadF
0R4U7VBED4RNZCM5S6qc1CZuewKLWO5XA2CLbo7te0Uu9e3cTsEqrUM6quhud++7lReJTy5gkSzs
0Xz0WXIzpyBxEiJpDu6U5PuhqeA/BAZq5ax9+PMvd5Zn9/GrZbnXFDv8W9oUVD/vPEXildTeCKQJ
ug93o88qGHEE21NMwLnT0W1oEVPhj34HwSkvdfGJnI+bnJMuX3dzseMwI/kl8/HGuND0pkSfeocB
b1BjgMhMh5wkMAJos71tPRi0omyPatqbvQ1pA5TzVaZvmmB68DJx33rtt4mAnoNn4ABMlvgoVC5J
YYE4JqZxJ5doYFPK8Fj6jJhiHYuDXD6ClMVtX0QEpBhoG/58h8TvezMLsMvrwVpM9MPHtz+06eHG
UU0/Upv6ZOIzhb2HPweddI6rdgZbVbQYS6voJajDBE0TYiKfULiLodN90tThTW1Y4c0Qx7fztqLy
fSyWKLKIu2FSwwFKjeJzk/Xb/8GFK1NJj3LRFjzeXx+taTX+mGHx2gbIG+CBRjQ7A9RFyJ1vgsI2
NkjW3jB+xWu80jpsNxVTXRnndLYzw9nPvI+PjYChXaMCSuYb4p7lvlt2eh7ufXo1oue/+fM1O/+y
iWhKe4H+xIWwShH/y+to0AqIo8pMtm5zEoC8w3X/0nqNg+qShqUXFMMlzYm9BMM435c0O0N61HRD
mEZh1PTH9EHW80vsRP5dG6rvoxDmoVrcfJzpWTr1994bgpt2+cPxD8VoUSzre0bn2cPMcAyzY3sx
87I81I7vXVd5Y7AMx93iuqRVg9ESomC3yYKGqPFiuoQZm46o5UVJyTCRLc+rq/jy55sifludqPYF
TTLpebZUlrlAaV+/3kV5ANzO+l9Vqd3MnpGG21EOzC1LbJhMHZp5+Ezu4PnnrH0iyBJeOtE1O5SN
L00To7tYqInogAn7vBkoGzdenc87Zxh7fKtmdpRleNvSRn4/pFQdQ+TAam6yMP/+jn/884/4/cki
Abf5TKWiyLWFWDaZn34EloGpmZiNoKS21aW2Cww1ftBegqi7myBcE/BHrHsJkjMfSculFSSuNM6u
oU4+9UTsljqzjtLvUIwY8OfZqIw9kJD0EAk3fpit5I0BQbCfRyNDodK0p4EXYOX0OdIdV0b3HSP4
wLXyDfk/9iauFeoaqLgrD6nUVdMRfzkI93M+USsiwSBhtcelQfKUt8GK4hxEUT21ufxROcp9RPHw
l7vzkStsSpM0R8eh1l2ILgtN5ue7gwg1nbwctJVdVbQo/dqgK1RuJb20O4briGcWyStkVRuHsEPm
wfLHYDpfaa7pJVFlOtZhH1w5I8Pj0kmcXabyRVNBzFbe6Gff75PzPDHvr1LgZKNF2kUyw1PKSjKu
ZpyrtFkogJ2m3PUe5oiKwhPTOokuYdycF9CmMAiLmExEUomJFBCKqh1iMR6Kgmty4vSJGdlVrnLj
KjKyWzlwqZgzbFq2EAGGUN8CE2/XIR7Dvyx01u83z3KkZBYHcJzdWy+Lyk+vlugH4YCTdulCS7Tl
swUJJx+OHWDqY9TnT3I5r8zTpqBSQk6HJRsps67Ml9Dn1ye9nr7E0HMYD2JgykbG6xAPrDbz/nJ0
//2wK3myWrDXKsFT/njYtfJ0Io1uclHjL2/X0HLifPeq8vUfABQ/mMAwwq5NXnIUDbtCj89z65f7
AJnMoXVQl3TT3mvT8HMV6oMyrOahjn3rKuoh88nlrzsiNNZtn8Rnan14VEnFGK5xL3iY8flheOSP
Rzyb2QWJAqOXsXXJ0DAxLM7LMWL0kvvAAFPIAgFoJJI3wBPk3w6Yvy3yksO+FlpC7qe/845J/ul5
pSbJ55GRqI3GudtM+jVDmL9Vg0YF3cUeogufs55PCcwjz+/jGI4cYFvcx/L6/6GjYv3L9WgoPRzA
+ZflAhf95f0Z+tG1RxbTjTbHAKl4uLhZQ99bx22NYl271sFh5rB+74aYI+a/2bcxnMWyPfgRaZRB
Z5t/OU69r4e/FGZSsFa6Dku+Vpb7vin8dJOGMJ0smzcbCw5W/MIN2pt4JBcacTWMRFLnPsWFC71i
+fLKGLqF7tHfCyYHJqpatGZtfgyaZGJERGhHgvLzyk6ajYgqUJW5N1yRwuAgjPnLw7V/KyilsCiC
wFyjKuO0sGxmP133lA2VllHMdTMh3EhvDNdlFVSX94XKbAQxbIoJRNx2xS1cRvbWseyL6wApuuez
BRTDSG6JbySnorFOpZ+7ZyOucPga9ml2SXQoQqb+jHbjgDvvTmF7EqWTbd/3rFklnDqpHzZg/Ima
H1oU81rhonKbzdBCkaf4uPvz2s1j4Sd9eFTsZ8v2BhyAV/pj0UKUD4WANDew1FubMSpuxp4jEhpM
YzDA95jJ/IUEthdWXAatOK7fDwOYh9FtAda6RgK6VW0YXiHTDtZWNePMaPR0A8spZxN7P91ZxLtK
nZIikJv2I0ZcKHx5fZKlXOaZs0Cym5fPJUfwYyvZ1xIY20/vXSQWYsbx+gYDP/yiEXKEUoR4kctF
ZYhWgabWTBLaUB2Dys4eSADm47M5eM1hcm31lYXUJmW5aiyAE+XCR5a+F+x9jZhDMBMr1r3OEMWl
cqp2HBHqSxM2X+ZhVMeOOmM3+abaOuMcPVhFlT4lOWFE8Dlh6GbCP3ohfXwPjIyWVKOtMX4uS4QT
k3C8fWgjjZVOZu5zZA/7aZifq6SCRQkX69J68hYpGfkOPgIYGe1FlVzZ6ISuDU7kO2KFkmOVbWBR
YfxMAVRNpdLrug3O2WzBPoCHQBwHGMowC80rctCv2qRn7gsW6VBpl96R8tWu46+/n+bytMvWeHcW
WYOJ59aAj+JcVz0Fghe07b6JxNkR5bOorad6+b5sxtj/3Li6QVL4z3/E8I8X1ZnrSwCbY/ES0Y60
1B73THeUqv9cE3J9bdSJPui8GY55PX9revIrcYujmnJALNzECZFQQ6kT+CdLIAwGs4Mb2T5yckUZ
i+Rlk3JiNJMvRKrUDBgDwZwprQ9izLAKyC47dQ155nY17PLGz8/BZMNV7BOXmR4nT+jNjGDcKPqG
kPGJDvTNe7dCDmG1izSEUnRWBy8EO1BTZ8LBjcpnTHsb4su/DbwOz/R6NXMryAk4iBDzD1320Lmz
eRN182PRLCjZSFjnkHA1cMvCPamu7VZMkJ+8tq6vRNXXJ5r/JzF1zrWYU/cYGDXR0UP2XQ7FeNfG
bXKOlhZc6t85tElOAOLRd6K0Qh54m2oJl3cggmhIeu8sYaesUVk+Di3dhMgGkZE74jlcOOiYEZ/N
IFL7Qs/68v6f2r79MYAY8v9S4rm/9TOlEJCtrWXWwdj1YwGMhzP1iimyuL/Y2N7x7XYJj2vqXQzE
EhBSwAcsjNDAN+hABcALTB6P91m79YEQGAQR7t0/hUMDZeTgosA/EQu96c20vQvk9Gp2QNcztEiH
smQdAYXRPry/u8Gj42CernvpnHEAM35WJNl25hgd8gncivYzQl7HPr94NqCdDA0/QmlGELvYzOw7
DGgQxeLR+TZn05MxBe4DPeTy4PnjfSdHD2XHZH7OtY9NcYIiRpiiJOD4HNTM4FiCjSdbTHpDHN2O
ZChxwVgxbUtoNH+5xb8PbSQ9dItumsUu+HsVXZhG7BApZqOit1dSZMV1Vu+6BZ2fSos0jIQglIKB
Mh+B8QI/KthrMPl7NqW1kRj65NmGsbOnIl//eYuwfptycGHMOEx6mAyVqDF+3RTlEAgvG1N7Iwen
JGOGB9Yb4Y/2/csu8ZjESTl9CdCzOH083QqO6gM8j88Sqb0ZMHCfZ8IUcIDR6cRfYV7GHptb8t6s
+vOl/lvd4VCTaYsK7V/a7sg5bVUPytkkDuFA9P7Wth18mxuZn8u0RGNc1fldlg/F0XdhJnYkAW5r
HKph3pXPqRzuiUFxz5jvvBvRkPKapdFhTmpj57YeTdPRfDCc9uufL/q9LfBhB3aYhvHMqaspmT60
OlD8hspKUmDOKt28N/5nozjYnNmisGXZ9lyq+7k8tZ6DFdaQP9Ckj9e40+FzQFjJqPeSaFx+bnT9
l0v7l0fPC+lwO7V+P8b/+uiRNtNchPeDS4jt3k5fyNIezpANgKqhG3y5m7zQw0wv7U8Z4UQsp9o+
DTHjHhrf0BszPHmml1jXEViBU5mCEvQo9/5ylf9SwjikXzDxWYoYW31o8TqFqcLWJxGyyOzi2FZm
tC8yWN89bs9zjk8JWCSPvMCJc1/lELUjcTWTdBbxV74F7QiMkATAXVfjfeo7r/7LEU/8y/Ux9hUO
TFXmwvbHEh0XTYVKzhEbYdbUH8unHUa4UxOvO7R63GZV+c+KboytXiE3NjZljRqRkNL2PmMLCwzo
Z4YY6O6mafiliIMrj9DTk4Mb5fZzkOHKppnQbgpHJw868b8IqwJ6BHnqz3da/H7YsJdJhlxOP3I5
Bf76PuQZCRhRbbq44JgNewoTgy57tJ3RS1gAhsbJCvS+wU/pLc2HQtHJMbW6rjzFdheZR8MbnxD1
wUXorBiisLlOg8q9ANYAtAM92Os0WZXTp7D0+r+sY/+yONi2Jzwbfu3SqxAf2hQxjcxa0vLEcIjz
cPA7Qp3iS5y7mkzHuNvmftMg0UDsF0WoRPMh24vZsMFVlEQPtKxeaWx660YYd02RBVcGPuUIsNMx
n8VF+01G/2wOP//lli+39NfVgatmhiSUyx+/nTf7UXRmW5JANs9wxGeZIhHRslkHYwufraznY0wg
FmGGw3WDE3gAHHNhMQFmkVXU9FAYMRWvZx3Yj5U8NWFPGqslMaF2V+8nqQiDwl9e+Hdw74drZj3j
sqXjYn36OBEmqrsckxSSQeVr74JgqbqTpnf/PgsFXCOZHWLoGrG/lLJ6LNQkunWZcqs5D36F+9rv
3/+PXie8XV2PFD4p77Lyipbu9QSmESTd1vIUHvGxf7KD2rssw8iL4IO+2KDeOEEOyS6KWrGFTNav
8pIPj27DyxKws6ssGnVIRm99P77DP9EcMvJbL8Fcexu+f9LpSuORmDpoJsliwGdLnv1XZbfNWSjR
nP3U+u7ZcXOYJ46zouvpdUVediFT1PlL1+X34bqksUZOs9Kmg1Lw40k6KNu4cgGebhKPifAo1L43
kwgV6cJMyZyaxHoht9NMpONkKn0ohfki56A6aRbf/8nFuI5tKscyWc4+LrSkWXexUVtyU2UNDmys
fuSZxhbPCGnSbPfqOloGLnbfEgQ+wZEhSFhv+zRMjkWJieTPn8b7YOvja6ZshrWCVBYmYOLX1ajB
FRpwlJSYNqofxD3bp34wUoCzFmwkS16GWNOiMUzEioPbY5CIqm3T6RcMLffS9SnPaYdajE7gqigs
niPOb4ktcYyTJ2N2ffwFiujSAv/JVFOzGr2573izMI80A9q++BJhDTy+933dWLjnP/++37UMPHsK
QQYJVKsu85tff587TdClTMhA75oWMZDG9N7yjAmHOPdR8b8ZO88duZGs2z4RAdog+TczyfSufOkP
oZIJeu+f/i7mDHCn1YPprzEoSIWRxEqSEXHO2XvtDZ0XYw9pbthGNtHYKm4DW8T3/30Z/23dZLUX
tEQEhwHe6b9eBs31XjqzsDa1hpA0Nt9UazTXghjfZ2V8DuvZ2LpxpdEFkSFqcqf0xpz+RVl0w0rt
jIPmBuomcgmnYL13T/HAGPERWqZBeG2Bvv6wguyf8sr+PvlaHgn+Y2CvownR/jhVjQ6H4ygBHlLW
dJTQEsxehJuPlNy53OlZZONFG/SVFlPW0RxQL+GsfGhulZ3HyP4FJpfXOyb8OFTQhetWHZwaQdHd
Crxrrq1key2UEHPlroG58v6/P/LH4PKPJ3vJGTJt3bIFJ+8/RrpTAW+pHtiqHj2Qh35GwRrExafa
iZEKQ59h3RTK+EJ1zpCR8Ykbuu6lZ5r/KJoCsaQSuOqp7tVwI0wsizxl+gsKIQ+TVfRhq/KghgRV
mYqFbGkRTTkQCrB81/JimmezB3DV4zX0+6VdFzaSo6aLFyWzbHmsnXmP12K6aFoa/MPuYf+XHY97
x+6hc/Q0kfL89XnL09wpncb692PPVLJnrY+wdyTBiN0nrHCjKeiHi9AFimak2hchrSFPp1QhapWv
tHLgBWVdTD7SUie3NYBqzcF7x0cdHjIljTxLCz5DHZZ4gSWKnASl53yyTM8tzAqPlpefYPdepXP7
xZRX32Xa+EwE/XA29R5rTdjDYOFYh0Fg+izEkvEKbaEopoKWTvkZ6wMQ4bhRN6OCQ86IRHVpUuVa
Et50Lnh6VnUafKRaRQgmNFDUcKQHZ4Ndk7PgqPBcS/OiTuNX1ptXlRXiGLROj8MyrDh9m4mj4sjK
V6NbRWsmqOpJz1uczESThJpxsrQhO8yyDjATIg2T8JNznZT4//2M/peyEKq+y0nK5ApQLS5nxf/o
lUqnKQlLm0nFwKq9V0I6y7kk4oney5qEwumDwxhNjjCiz9dNn9pkiRsHRZDYJTnDapQic42L2J/c
MPMzzCUfI17j/0tZ+Lceuc7owqLpwmQWZSaqpL9eah8ZVYSkDm+FIMGik32LqJZs98lBGaMsqd1h
/nNAS3Cc7eLVUfSPhyYMYa21Bv1tbv73R/c4af7n6831LMspG7uDSNNV/zhGF6o66aXaql6EjwMc
BYzyiNjH2cXCE2FG5andRBbgEGghJfpjG6u70YXPHM5ZObX4CLPiK0JquavjSd/ry9itMyOAxS5g
ZfDGmBHUYl9G0cY18i+GqgQM99b4xJMabIUKe5rTxPgPB2z7zzpn+bEYL5o6e5Jqa+Yfq1YWSLrX
pGOz9zeHkeZKs1K3j7bpCN48wsMNh7fMivXYwNM0BJ6GxB5v4AF82XZe0CkQPGL8RI8FraPdpDLT
quZjKgzyQnN2v0oSbVYkr1oBFkdHj7iG91q8SssYIKtC74RaPeA6qC0Lj0GuPPXQF1QXWFuIS2Kv
qJ17hf8JMJgXsbFxB014DhkgWcZF5WNfoZzk9V5iYHuY0iel0n4/FlTwUhJnCwnu+YAqfjFAw5H3
bLz614rG+tUOrYMeJNlB78E7OnixVqrMO98Zx/Ro0XCSpTUcm9n81ADU4XSJjVckIRw2x58asbr8
cPlnhHzLkwTk+sVks+DZAZeVEVestCMyP3KhfV0Di0a0bPkP77O+LKt/fSgdNEQajRP0FsBZ/3if
65yXhzDD3AunnBvnSJMijg3zXzs03bBdVcaHxxlem6JTE1cXE0PtK+HB0barOQgVubyXkzpcrVrb
EJVYnrIJTowzOFvXqMedYtyhtZafiIk0RGeEF5XLY5qm6gmQsbatwXTv/w9qTP1PQaKxdCwRkZhU
fkw67D8OijkvlMmEwt3wf8MQl0IEhZ5DdH0G7k2bFf1StdlTSc783qD1506WsW/dxD2Rj3Jsywoc
wazUHRzcZSDvJsYW8XF04sfcgblk/D/G539YIpYl6T/vxnLJqCgf9Sqly5Ld8pfVVVcyyV5AQZIH
uu9GOIiLarwVdUfxbbmvYwWSmcac4hlG45DWgxMuUPvdYzij0EiypEara85jX5kCmF8pvta4AMSR
j+Ko5xB0kvkWl0G8Sxu9OMd6g9eqtot/OKT/rbv1+EHQoSPP0izkoH989q1BUx33F9D7ReyUOK5G
elL03ZjVt0enRsW2NfRGfdXTXGdvzJBChNUrzwMqAMwPcaW8hbaCxNlFjPe/P+W/Cci4OK6Kj9qy
+U/8KZQXykB6bQ+q/9HPkEG/bYtYHEuZJDvwF/emqptrOGAdhvUEQV15cZfuNha0cuMCHNp3Tfcz
ycMXZySs7DEC1EbSkuylx1OCBiKJNTzns22expBT+oz1u5e1hEs32WeMYkg06eNVS+3baF11kBJn
ZD3BzKPNSeIF57OsEs+YMg1wwvAEOtazitjg+yACZStlaJ5pybkcsqnFzDH6hxpkOeb//Uk0dCoQ
hPv0Vlne//okFknaJFA3KYsnU/giQCnXDVO0rwyZQRcDVLlXqqw4VbaDZWn5khfiWa3JKYvcnNNp
Gx94sKzt43dy+dbjV4OMvwx8UYc5qS7xOPTPvdqUR5ij/QH5ksrx6R4JsODMZI9W17W3rinf7Taa
Do9vPQTeSi++9YayGPNslfUUeEKHCun2ONCGZgqyeqoUjko6M3Bgy7gKx8d8pKNPtdzcWoHfS7e4
3j5+q4kADBn89W2rsnZLoT4xqku8Tm97gInsPnFFelljoCfFjMxDRaLrFKrEl4+QDvDpXiI3wkI9
o/MyOV/snNIYj8XwjYFYuZhtu4uDwfBlZk3RKkfb/mtsb+DrQTZaThDPpunooMb994U6gXOEoPVN
cc1mO4yMoN2ZFDglsiAadYSzcWDHNL3ci0EvCpQ004K8QnJR98Y5iFXrgNdrq0SJeVH0Kd4Q7IMA
JsHMZ2WKcethLHl0gKGNFrPvpmnygpqUVIKhjV4Zngy7cqzbpxAoAU92eZ/xv56tdPqQCNdeWssd
/SENtd0AQwnvnS05g9s/Q9OYvvXa7Pz70hJTA36sIAEIwRfuExNDgomL7arKatskmvpEW/dLQaqP
t3aNWDF7aSnPqN61mjK3NapVn0TvltU+VzB5n93KekNW7ZkMpd70rgw2EArg8rVgUsC5KK895/ih
CZ+m0YSN0QTq0+gEFIN90yHWeI5MNXxW5nl8yuyNbbbH3mXrbuuqOFexjE7Ig21faU3j3cZDkYnm
yZ7h0hnJYPkyCmPfdSEqZVWwSU0XtDVC1DUmysrnVBNuOMkLT9WC3LftUd0Axg3vU2EQ8zLhA6GS
g0rSsQrUIm9AjyQuImrRo7JVN7XQsqvaSyjTfblJ08GN1nZjcgaK8ve2c1d9pK0e5UUrFqLNojpY
lHcesint+PhSDcr28XJ0sFW2mqqFXuyO27qW2Tm0X9vWVKGGIwKtQ0DJD3FFZQ53izJ0nyeQJmTF
tHg0xDGaqsi3jeHNycvPwU2Pqju19zTPL4+ORELuCyUVGoZKw+1cAfTFti6hAHevTPzH9RDE2qnB
lob5m4aRqQ3jScXaw3rsxWnjvJVgjtcDcy/At9Swj7/VeehYJFH2Xmv00T7RdQQGIleIk6Gn3IvS
3cbtmPiaxvADjmgxtsRu6Lm2Q/MDP8IeygNcQPsW1jBLDeLRyY0uTMaQNjU9VBk4ARmxt5iGxTh/
9Is7BbKhYzUFEeOFwFtaxWykZuIbs26vMhx5RzKT7bXMmtA3Q+ZzOSiQiZG+LzU4aUpBRgFJAtAZ
BG1+aJ2Ay0PciJZZ2GdT6cptv7zwYKERizTMfJ1EOQ05iLwAC4rHSPDHiAnwnM3nhxSZfoQ4Pwrv
kqnf4wBKLgUDlQDvYSSj3xmErQ30pGgf6SpzWJnn8yXjOb8Usp4OGR1ODxQHjJGZTrZmbVy3BKYp
6p66nei0x3LA4PQD5ATYA4RjniJy6+AGEuOu3fQv6YCrt5yRlE7Rda5T82pMxjd7gF3czKzVOfx8
NcqDjczc8nMazlMRp5eQgem56k86aOALVC46t86lbVOUMVN9HweZ7x81eb2oCnL43fj44T89ioRO
DvLQZFZwH1VL5d7mbC+gjVZVO0AcTral288/Awf93hiN5pMSxltSYiKvsbKGfm5pYpdASzYCqtiV
DKx9EfYvaIZoHMzB8fElJT5pZbZJvTUd0NN9SRR91mbMWN0p28K2Y09FU0u3PRTjS6FXOSZYTmFu
8i0Nc/UXavNfUJVIAXNJIGIBRy/S0joxwmD1WD3GNCjOyVQnIPgWmZzKcrcF+TcYs3FDeV1iI+X9
K8EBAK2jD/2vMerMfn+sHCRlcyOeBxVZSZFFu8fi0mSEetkAN7a1qBjAjjm5pXT9doWjLQGtitwB
3htsbApLQ8wfojncIz6WI/73LE+hgJG+Bhx3H05QSpo6+nJouG2w+N9wowU3y1guVLqQC3XReoR1
oK1UFPtQDdO2Q4QpFpkL6A8F6CTmeFtZQiaK4JdSvj7kPUWk9v5YwXz7V9HWm/n2oeiEhwdljrgf
hvaEcWEo9wyJEf+RZf7QO8wp8Pc50mHOw2pF6YJVa/lYgl7zH+UPusva1xXj5fERpYb5O4lqCL9G
nJ6hfPuTIZTj4/mJRNAzYBrqayl0L3JexpnDr8irJ0NO1nNrKmvAhI/3zBgWL4jbSQgi6i4uwuA0
VCC1Hn9P4xCuDLlgLvSvugOPmOipvl5m1o3MaWfagAJtPVR3phsmK4F1fUUeG3bwOkRiHcynNG1g
79rFAV74YbR7KlXB8yGA55lTedBb6JyBBJpTp/6CoXU5mrSE5VBbUXUecrEfDAmpb4/1qa3OZf1C
obouUSFYzCpLcQ0FKOQQzBVY6/4lHH8AEmXmyd/Iy1D7SrXZYJ2iobFoeBiq/RJ3I/9kjaI7snKQ
XJWAcrp8VDkfkNwXqTPYlPFbT2YSZAf5k80xXIKmcCmk4kXofUE7AhSHomsnmU5sRJAhQNPIr6aK
PxMHyhul0AAhv6ycrRZw1JD6RJWhHcJgMzYeiR6aXyWG483otW7T2FzqUR28PmjjLYfidm2BK9gP
LhCirGQPx8Yce46rKgcHqWlnX2YsQ+zz+7FFnZa78YfZpJcqCpJtTbrFOuinrdVI7G5RXK/glIV0
MDlG1wltpj6YkTjhIoBLfuVMfUuXzp4tp/c8mIztyLSaHEaGPJwPYBpGzfQ2auHJCjnkw/gduZ5Y
YGXJ8tNEXwGiHUaJxGg8NBtEkI+x+jbq2avSaG9t2vvktpOWUDF0gsqhu8rWiqYRIT/bIHdd4ncb
ystYRoWfzuIY4+mcovDG+axZMWLyZzQJI9mRkETbtYnuoLbELcxUkOa99oJD4Ow09m9L9KdBhW3X
a78XSJFdZ+AP6n2p13csvq9Zo8+bKYpu0hrvrj7h37cYvZaEGJH38bOaybC23KH39ZomuB1WB8XN
LgbT6LmcTsZMCl1fqS9Ja2RrbLfAX4s2uxoDxG2ZuoS/tRZh2ggUOI76kUJxSZHjI6l6BmX5UsT2
6+NBwSeC8o8swHXUqoQVVKVzcBHCE7EUgJaqIJBDLy7im+IUO6A9fl0Ex9n67VrDizva91p+WV1w
pFPqs5degwjKDfRztGDe3CM8MHVa+8qqMgH3LfZ4GmN0yBg1zHozXrntZqypcKVhCA6Y51ZDzsdi
6D/p76MMDIk2yWr3K4nmLyR/52LqngZVf7X1GNdtjVKIJOIOWCRSNe08RGpxbMZpF6cAIBrE4SRn
2/aH1botiZCT9KzKEXel7QDHaZju+lir1xp2edAEGuE7dR29L1kSwirddeeSmaZCI52vwJLN4ndO
yKSTf4nEOkDcZlIbfhurlBpDN88uSZR2V3qcHLEM9Duz+jWVyUqd7kyHyBg51e50i0E5KvrvFs2a
y4w43RqEqc46bqQ8TZ6EwUbvtMN2bEyU1mx5XVcCh4JznuklyUURUKu5OndBrOwm3XnH6WV5NXrv
0E2nfWq1mLGXSiodj5jG5nU3Fz9dfFYO7S6jf5OvTYBH5SIZ8mdIdZFBBra6blMcaX0IcRA+cMwC
scCAHM6C7kebZO6b1CbfVbLxNcPNcZSVqzHWzIZPPUCPOsiJuQxbulL17c0Im5e4TNrPpLcZ5ii2
ja+uyQ55jUYY1+sJoQ5RB5VVH8p56nyK2fvY4KHO3JaJj/1m2TnXYa4zkuU6zLCEpa17i5dVEmmB
4bT+qAjptijIDYjLRKyt+lF4g8sKyXhg8MF4Kc8TDCWDpDpN2wzxOw01GIyt7hKtRasF3PAVsOmJ
DA1/0sP8hYNnuw/sUt0EVQ0iqVqHhNKg4mjyLRkD+5imFZEbpI9NEmxfg0pGLQKgDQ3ITVsCzWl3
Yz3f27plg5lQPyp8eLlw36KAWM7QMbzeSn9Og3VFl4WdB8lTO4y+Ze+CItrIKd/RzPBzVG0mwFwa
ldjQORC1P+kF+da85EDCo+mBfkNb4+DnO8aLVn6qQ/YtjF81V6RPEfy/Nb3QnigeKt6rE5k/e8H8
t+p2XzFsNyvKvwegBSUAaFgltXmPwBA3qVBfXRXIJCgQT3O/JxlmfgiSS9Tpog+kEF1ZGpHXFuPV
Q1+qR8UgiK9S419VR8k978rCegGcE5zJ00v5qelLNjqUnZ6s+PqZB0bAGQbQQUuXZM2RvuY+b+Hs
UdfFkHCJsjOj/JQKGuKxbtb3Nph3ajfzsEmKxVCott86rxo9T61kuSHlLRT4aGGf7IltdU4WcUjM
eloNFfPcr13yBraCbDE7hU85T3qyxAze0zj7astE94tCRqRsFMrdKOoTvszw2JFVcrKrfikC8VM+
zDpPECA5F+Qvcbek7Jzp781muE5JERTQXIwl2gcUKo8ATHUUD6xxpUQeSs6JCrmPsmCdaAcHwoHt
ELbhpn4ctwRvFoO9qrSUCEiYMevJmWuvIKAY5Sw84ChcMDJs65mi+gyrMTPmnH95aj0a2DFcwnBu
nvoienXt9A4lAFFtV0+EmBjNjvQ5YqIiCLAIZUijisxvGv1Wj0928To4BOjx/Xz5ye2QBDXElAm1
TSOj6S0n0HCvBPJXI/SFa5+Qp9XKzmcge5YWyzUb0BMUaV1J3tXf/fBbc+4Ra7scv9IYHegEi5iE
EmvgjB4gtAWv2pxV/B4vU8LqGpITlb1l3Y9CgVzDbsDraYXpgQp6ZTQV3oOEMyDyUXBex9YiTFO6
oKyavvITQy28ELw3hN+aGIGk85AoJ292AexK0h8JzqlKaEjaozUfHfiQk/19yOERCnoCcYXvpN4M
6nkOzrErjsZigCL1dyBdpTBIQxJFespj426NIUbSUvo9ehxN2S6X5YzGezjR9no3SobqdMXByNBa
u3MU2OY0QInp4tQ/4DgFwA+UR1LK5AZ5of04/hR18qU6PYVFO+5GnSOk0yT4JAgYsStex4of/RJj
xKGnawJiLdEOu9JaUcNyXgUcBUVrvE9Tv25Dlr3+tUUYF7/F+c84+zBCE8o3yTxeNg7dLVbCt2pu
iVHEW3mY4fS890N8zst8C4lyvFQi1p+TEi8/77xKGM2KPT854BQ9O7HoKDeBHjaOqr9XYXszlVOj
p8d8Hpm0yG91Q1+TaObXCF495f0qEYO9IdzoKBL0WWFuEiJrMxsNZzg6DRvE4l0hYmo/pRs9awGa
taAop00K7UBuDORzREuPyoF4azJBhmFTcivJphkzToHCOEZsQ1wHwi3CoCqs9vJeLa4FDvdANHFe
hJoPRmgDic09wMsmrCsvPcNR61d8IXANy87+qYgfJW/lb6cwXqgKqYz1955MF6CopknRuWbjHJhi
TQdGXEXM+AoskskV9L/syBeZF+QIZQ6jcRMZrKC9rT23UAoN7VlNf0uFoz/GHY4udCMWE8YxV3xW
1wH68QCEfbzE9ccQ3HqgxCY7lz7vpL5VggNkial7NYoXCXiqemPSnyr+NHrRQPDLRmPfkOouDYkq
ogLLe4KEmh8GGKq+YKuuf9mCmRc7j3adnI+JpmJufUfrwrBstLZOQnTZfrCPnfyQxxmTBSJ5tLNi
yzbYvAWwEJwNb6BdE0OwMZ11RKJZwTzreWDJTVeCj9vVlCu06I0Ntc91WfxVQ+HgZGJC7/wuk8lL
UpBu07FDenLqEL7mzkcJnjGPyNDT7Ex4RSobL8Xg2GXbxG65XwUVF8njjdRYHJt7XGvadhKw+mFS
bYo409/Mdv6ZqwnVs4XibJYZ8dYNWgal+JW2y+eXZhE1EpHxYeruOeswK53M4TpSqWzhoLqp4jHr
hJsKv4NsrltDK0oI2M6EjROhoBBszW5AXkNfx/C+W+gitemHgxWdMszNh7G3rK0xhuZ1HkklInec
Tbd7rgOT6TLKo7PLVHLbK1xCyIKz7oageApMMDjExKbrsXSOAH/gfk/l2ei0vapzTE7lUWCsaHEl
5l2wRCFs86IHT0uaTPoxCgjk2ORM+j6Gp/WdP0fodwqwViXxVvVLibc9SN+Z1q64Yo++8JosAJcg
BtvYZ/05gL6vTGTXFh2sOXXFHwcuXu8S8GwFgatVmB45rEBJrpv4DgqADIUKjRQErAxHxK0Yd2mM
rnY8xRienlTMNoSRO83W7iQERcm+VwP2qai9563O+9JazL/NV9Z1YjJWPfY+ZE2MvqtTrdLjg+Dj
gehugDGnFOwl5fuYOtoB8XQMJ7CjGsh9ATQ7iCuPe79S5+Rcu80+N2YIGBjxK1oPo0MSc07ErMP+
JXedTsYlKk+soJuS3M6ht86RPe4G/Zn0hm3YmdspUODHUsbGSyhJdFg+Z+YRRDjqG4tcA5X2FHab
U7fcE7fcwAZYYwGnFyyxAgdgUnHeoRIFhupg885fYZBZ+pNGRA70m5Xqpl4Pnz5nmW+DjII/3+pk
jwUGVQLJiGXH8wlbMFeQzpPnMs68xM6pLSglh26zhKU36FLHHI4fNyoqT+PKgM8PQHAz1dW2Ks0D
O5UnB8i2TLez6sz/ouxbND0XOmrXkMgX+KlDp9KReM4AKGQNx0pGoIyaiNfQwL0i+IHgYa6doSQw
HNdg1zGl0PCQZ74eRicODTQPcURr9Bp2QfNNxOzRFEewTXhLm60DiNIa3ji7sxOZ25Lc46y7jh25
70mU1/ds+dLk9nsbHJHR6uRK5sewplHb5V3FftJuSgJjNO07rQ4371l5IgUrx7Ajnnw+K26sUaVN
axpuhPsNwUEltLtJCRzJJ0iOSNHsDLMwRTs/UYqGIgUbLAjAGA2VxoPkIbT3bgMQkUwHYSkbfSb1
GAJd7sOF2869xEZNCxfKnkNZN9ow1jmIhYENOtTwiavfhPLTiF4SeD51aK7RakBqxeCXg9elhDPZ
3tqOoTqQKpCtnisMrwpMr2uvYfjZ5E+WG3lU7uvcHjeZeFnAPrEKJRcxYqmnYCMsoKJfLEqRuPEc
2HshoWoO4+SRJutsVMU65UYNwiScE2/K6nPIRZ6XrT7j+Ox3mv5DGfgOCHOJgRrMHAZHYslthdRR
QQhJVXSIW8uUtZPfpd2sMWXoneaCyt/aVnTSAAFWJv/c0K6FcBkL2Cu1/0wMhqcx0O9NY3X6XtY1
ATRVfc4SBHbDDCcSsaC1HW3jLCYpfzGduk32xAE2nY5gTxFZVkTMMjiq2t2Uc2+73n6OiuTCW78t
q60RwW2CmA///dIb6imvw4ND76xrolNBi3LEY8zEh45zn7wE9SLCGt1mk1U6lZTdQlDH7HMlyPVV
DExhiMs6jpU5Xbqp+0C8ob307stC613V6nP9bnX5VUnaI6G/F2KojoHyc3BD3zAy4N7almnukfDY
lRou4fEEE+beXDiegdk9V921gVw5B/ssW3FB43Ci289681zHwiMHY1NzLqNHxQTnOlU/JdRxTX9S
JEY/lH3qcEdrwtGdJXUMDlQx3sgTAKGTXgy1wT5TvGwgE2td0gvH7/1dTbbUrBxH+2bjkj3dzbO+
6uQO21p0bYLgrSKtamVQzHju2BAcBAIOHld6qMzywyE2YG/2GciXDNWz3licpZ3pHnXFV9YpKqJd
WVxFr+XXzK6Ka2xm0nNMjSSX5Xtku2JbQAW4tsZ8D63JPDRBG11KZmSS8elxbLta5UjX3NxpLjnc
m/WtKZjO1rCr2NrSd/QhEtu3Wz41VdftsMdzFPgJepPI9hLCqRvy55SmEbsqrr+FDAyuPcOFN724
paMtXvlHsyOMyFvh8LaJvomurg2vPCqbY1UE5plnGFHyfMmdudzg/8hvXYHwK52qjTT19NWZIFgr
yauk1XCcu7xZCmfp9Vkb+Y1udx5hG76FVfhjLJxXGe6iUOxlqH/2tOzPgdkUtHXwrwdDWm0L/ehY
Yb3R9UZ5SrMi9zWJp4HglPYQutgbGeOKY+6kvwcnmY6lTtDc41fIzLVtpyo3cSMzhVWJvd+sAHB2
fTVuiKumQAI91dleaiUWnVPLpH0JJjYuz6Tw+SWjvWNulxAme5ImGzCtR64HR6mak0S+rpLiex7n
HMEji0Jv+YJrdwmg7ldmbHBWS9L8FMI+P9GCpSAXhj8RPO1pLQmCJOwmhOk17V21lVuL1vIdA1S3
75RdydwMaH2tbIJERJ45zwkPYwb6pnMjKFjx9xDFPIPN3tiKnB45qHyVtlBNQIQ4hSUEQqWFgsWc
hbp3JHnQJpIDYA8HL5JxHFjdWQkmOwD5Dbd9p47lLfYteqphiKK/0ucPu7ukSstPXL8M1KnnMbH2
huzma0l08GlOXGRi2njG7dmth+i91LK76CL8fSHGm8agHAXJytS+UcWa9xkqaocAqNQ4PXYCjhr5
b2ZEHCifU3JgqymgyDEQMiMnITiouiEEnfrPoW1/heWcXMJYupuqlNM57UIV9oeSnNCx0u8S5ptg
O97QpjlLzT5C4/4e0R7i1Fi0PuyD5CD06ic6o+AgFUChTjTS8IOMTIqbX3e6QffDCAjNEgXMw9Bv
olR4UTv9HuJAACZOj4UiyMtx9AJni0aXKAqyw+NX//+LEdk1S0fc+YKTTATT9UorsbfqDU0V39Li
/IKdITIgJdnunfcgXlMTBJvOHr90ojMuSkKSl9mT/o2NmPJhNlMArbXyLnUqd6XdWbU77xwikAQd
umuoUfc0GjagEUs0vLLdECrijbBzCsTmBabwG70i3av70eA+u9ql7/RtSmimNwdmfLNnvb2UNp8/
U4LbVH/JEPJu19n9Tk7BU5GClyKWi4FKqpaHx6+EFmM0mqHRPwQjlSDqMhvLdKOYBPzmKADTwXB3
zaQ5r4MK0ZuwhNJHybG1YDzh6TFLzIC6WGHUW3fTtyLdDzHcybdSsTg8uRuFkFpuZEPLSLDZxyOm
MyKdZ94Mn8SI7l6MREHzeod7tkb5UTILMJ2x/sZ6OPlnrZLD3k7D/ey2S47CBwOMtREYL7aWu75R
V+JMb3IGEYrPW29PoidVPRAC+LQJEFyqHezr1KhOqIxg3TZEFtW6U26Fmx+RovQH7E+/7EEOa7YX
3KOVwmrC50kkhMuA3gg3TpK8aXVjHqfcvthllN0zvPD8zBTXgiH8Ox1kXDTlm0tL4bgo+rGUr5yB
SOryKUvd7CUjF3lFb9XdplpNH7QRX2bsME9KM6qNYiZuwp97KzqOmWP4+EkLT85XTKRLi+910LRv
cqfpBEjRiSJal1tK+1Hs+6mc36pC+kNG0EOk3TM17C4ybHUoLczZiHOo3yKtfELHe9fNkSCltpl3
KVbTdWUgwxlLipC0Geh7I7emMWNPz0TH6Jfl3BnJ7MA9vMVBlH6ytG47aP6EyMDDCgsyGrpp53CS
IIAWvhC9ODUtL0VlF5eUrofXu3CC8aajKH98k3/d2ru9cW0ba1fW6Y+pDy8pwz69NugXLX/48aVR
UUiQxsVRyEQ20p76H3lNKFbLS0t3aF0FHi6CD7NovpU2jOksfslY+gMwymaHtMAzOWj14Lt9Amm8
ziAMsCQlmGw5qB5qX71P0nkdU/CJ1lClPrs4eZ+2W2x0ZE1raBqpTnprGDK482hQquShKPUGfCRR
FNWAUUb+euSlke1jlcGzzmmw0NNt3RGZ2YvrwFSNP0pZ3+rhYYzlL6WqdwZYFmJKGYHEBbHMD2Nf
ue2Y/evTIxYerSTNP5HDQUmDuUbzZGhML2nehRoxCCANCVcuXblROtpHls2Izz2X3Tz4jQu4XE1+
oAq7ZrWmvhocOMoGgkhQ1PeI83htIRao1W2pQMwRZdiviGbABTb+MMVST6l0oSv09E6KyAh0oxmT
NVPk5LbIbInoBQERr60WODYvwqpIijtYKmtN9VQQ4sEFu6gRSjs+jTliu3jwYaYGpfJGiAcTrqxv
OCoWJM+7DOLNkiZJjJlio5l0OIpMezNioq/iOTxMhu0PPSOjNLuQIX0r80h/YcthKNsFTCWj+iQs
xC19XLDYNPkHczKN2TjjPtRdPkEo88bCmMznbO8StP9XImc+R6pwIzV+Z3lm3l119sbe6Db1iLna
9qopU/xakeZbXdUMo5maKNzGmdk7JU6hq57GLZDaR0DKxih+mMwHhPHRuc0O5aXXGOZKn8gDNG92
8oKafxOmZ+L5VJobEsCQzSA8bmy65gzEQYaDPggPFsOLOoh+tQX3RU2Vt4jkzGOrxvKS3IkMEqto
WJQI7bcu+4rGGRYN76cIwmN8FRH8BUcLxI2F4OqmTvpK6OEhHhz8NjmRgsn/Y+vMmtNmonX9i1Sl
ebgFMYPB2LHj3KjsJNY8dkst6dfvR6R2fbtOnYuoAINNQOpe613vwOTnaGcewTqtdp7mwN2i4JlB
HGf8UIRJF4HXzqGE1L6COhy/49gXsFTNDqHLNM+1Ax+rawiNUFqmvTIwuwFZe8PfSswfQDxrEEde
mBBc1SDmgLbk03ZZXBf6rWzvFf7tZfM1YTuhlQSIZ3z3Jj+oQMne3EiGevrb48NIcgfFyH1yiJMi
q5lOEHtyKBe/RAyIn6KKjfAARAeCFqLHDaxnBed6YxcgbRG+3z1pSHzpNArjRiOYJOpZqTBrJlE9
a7VD7YiNmd/wSMXf+w34A8kUwAgXkkvkJ02ldDdt9xQswQ31p/Ct/eC762qGrQ5Dp7APBLCQhTbo
3q3LxuBCCrzNphMkcf7ZcU758XhPx6S8QPqCAFIHkqgzK/mMI/8wuH7wA+/K/jDn2PFn0gvLOtF+
GX6/kjZ8icTJYUDDYkhsQhzAULH3LAd9nYPoxEtY2y3K3/2dGu5au/PjYxQ4IXnjG8u9MjkYpreu
8F7tLLLCrsT8sHX075xFN7PIQmpV2DnxBwS/Qxt/Yy8GmaFftxmAsfHFCatNf2Ym1XW6UiUTOrDe
IcV6k02T9I5tHTV2aAZkQTM6kwdoAbATY+ntZDlq69ltxV2LXotKVM8moO9Fkw1TVcKa0xPy2GkJ
sNmWvf4i9fTHYJFNb0444gykj37Zsx1q5LAXFJBEz8WwEFYo5LJD7xqo9LHaBjJKx49h8v8mkI9v
jSRG0swZYT0eJ7MOyjOz621bvGiqvQzLIBSnZAwZdfUh4czssraHSLDc5eI/whrtX43BtbCeI8Px
8fjkwiLpBQu+0QTnKY+nWxkRthj5jCQi8g5xhbCe82R8XuwuhzSA145567OjcMfptWz4xYiDqJV+
AgfunrogZ8jRMNJ/o09edexvQPM2fFHJ5KVGGklGKk4UxTbHhg62jytWDiFhGTIFHTdczEHXfvw6
uVRo8c9gevOnH14WrWefBZh/nUEXyOmDS0TMZebCo7BtPeQrWVf62fEuBoPiZqjWhmJGk71DPljr
frlpA0WtT3PQqI1TUxnWEAqhZwXnjokcES5rgxZkkEAT3kCbh9d2EI7duLUS6HttWIPBOX8WZbfd
MzeTII3NhG4aAIYhWQwopBF6PdW3Ov62LFKM818LAt/7ahNDRCWvQic4IwJIwqV27al5nf6dSNo2
Sm1dL7BMz3CiKLZtqoezc02W/K6Zq0MjBANTHu8LolbYTjHZa0Po8aRTR4nRpeypP1klM+OJ2f5K
aG8OuJdPuSUwI4r5QDumDX33giUQ7zxaoTIEtv6uuUqy9qesP0nTY0hFBp06GyKDh+kjXr1CUNpO
hPXM7DIkGLDCkKRoQYw1fRJF/22BpResDC4nQUDIOENAlTuLvh22K2dcFvYs8su8kW0idBjM0ZGG
wkJOo15hsFTM73PRg8BDSDeeNWxQpfwA2WVkXQO2HbgQiGQFUR/TBYRf2W0ajs4db79Vb787Lj59
B43YJaQy+yCGVxK/eO5rTDqz0kFE2hc+yVXL7zKaDm+yZj1juBT7nPWsmnqEcsb+Bd+cr7BHz0DE
ybyp/XAZnE75ceDcNvqjgUbThYCgWtyy9bttbRc/tiVYOs/IO+PN1pRybv4dSRdjPYUxLkgKml4v
+JPwX9dGIJflemJQpz5d+5cV/y46gibDdPzRS8as2pNfHCwYnuJRJnx79Nb8niXSxbegpHY3GPMr
t/lsq6PjF1sDxhHF6ErT8ZCkoO78r0xv1yNSorz504kCaQpZH9APNONvQ9qTy3h3TH6QNozbDqHV
fAFJqfFpYtfc8kdwchYkrY1LqlzwFbk/fWJaJH/F7iysjQjoEFuXyLQ8Ja+LMCjjOx8ZYThk6BEx
PzTmRgf3ocjZEXhI+AQsjB53Roac5Kh7/IUlQHMAde4YmDmcPBbRrmMSBv59chVoJgO8GoZui4ay
shmolLCvtnmVJfvKR9DnVMFTpUvxwzTgk/Q46my9NPI/ouaNKa0FGf6O6hdmdjvQDJkkpASHmbHL
KyoD9TqTvTG26gAPfvxhzqa1KUEZdmRu4QY5Gr8iTsNb2tvdq285G9J1v7BZjW/E9Q7HbmS42Lv9
pbPtPbGA2oHF+EkmQX7X89xmXCtOejvm96wt9ecgCCE1t+h6sU1k0g9xM6E3Ay/wvB2pjdkdMmF6
h7B4MOMYXl9RtZvWnpN7M5v6k6YnOwMfkfvjMFCBuZIZRpwL/eKKtDmZroYFijEGr0Y3s1WxKf+l
AKbGdKOvQuHZxbVHFaqPhOAA/Oyd0fRviW82fHVSfYmYZwwu5lVq39W1cXQq63uW5DZ4fZcyLHNQ
Cyi7uejomAiXpBTCu+pHm45YbU3RH+lmV9VzojKlJ3xK6e7lv0OjR9CMSeJx9fbfw49H/nuCvbj6
YOwxrv/7AXs7bBeA8SXayL6o5TCPxT5WzXx8PJSJnrj5x82xSsF1zfzn42k9ciQw/d+R6moGmbF+
sTxHTaxE/s9xaqt9qsz58vhBO7f6hdCvrzaJ2jXK8xLqG35TMHl/1vmo71ybYDqD1NSfTZ++isb6
nY5xfjIcsK7AjwCdDFLqy87NPjRXOWHtEXvkML9ZfFGbj3mVlVxmpp6yaEvRHqdk+OYtfDit5r1X
12H8WzbR33gg+Y4N1N4XV22a55tRiW/bE/JDDvMOsgPu2ZWZfpjs/qrr7nZvf9VTE23GSbXb0df4
eCdwdrN9Lq2IzFWoteBp4phpgBS4qDXX3AX2JEx1V7nAl3lk2J/CFUd04dpqICfzRLLlkj+s5Tso
geqnGajQqeqjqGFXZEPD4KURV1jl3q7VyFGNevOuBzmZ0rq9SXQSaYgusy65hkLJzI1bFUckVGIM
CZQq97ig/h1FP9wxnyeUFe3fPhbZfIYRMZ+TGER9Rb58vMcwy1R3rUSmqvvwACrTWcWtWx9VboKc
WUHaHAfUIju8o/cGKdtd3xD2SDBOUXX0Vzwzm70NEp5kPxJrs1oMWo6zo1lPrrfpSqzK7bBwrIvd
D9reaCJ7JxvhXx4HJFMgGiZqaQVl9wEHPQ5alILO+PMZrBQpVeQQ3g43wtlHkiQMc4GN0HRJn8D6
itQhvDvh/4MsPV7sFKAgeKie52BJiXv8rqLgDw2kuTH44Xl1MkP7JK1u11WaC4hge1uoYT6rRkpO
H6BxmF+8VpQ3WMWcbHVvUvZqJ7vujGfPsKGy0d56crjV6CRCUUpjw2ynDrUGzoLh/xk7PjuyvIy1
nWSHSQ7flctgvJMeborpc555xRbVptykIybPvrZs9nP1HS/3Hg/F8h7IHZihdTdRVL+6WfO3ZpR8
FqqE8li24x5hTBqiHav2RZpYr11RYwZNkDeRnNx1czi2nceI93E35by8En90ahoH4VBDbkUCovri
d9uk89njVYeTMMZ0pgP475O5/TEZLaZFdZAcDV+eHCG6K3ncxGk26kmrYClO9JvSK2Eepjg8l5P3
HpezhjBlVQyA11Mv4JkRdAY/U6Nf1b2LNZiS0aKNE2+VpZvJVPY9MQZ/jQkmG3BQQ5bw1fBTZDbA
UN/Pn24NybiqFBtS/Dfz3RDNI4BTXVgXz8aNklIKNVTnyuHgD+aTWO49fookD2LE0HPmBcS4Exjd
ZeH/ed3j5uPFnNg3u1XV4fHQf4fH79I8SztCZN7+f186GEG5iQWRY//94ccTO3O6NnGR7GoZ73zP
/kUI+ky+rk08ndJEKGKGUdjZEsbDh8fgXrXXheJ1nUkY7Vi7jo97tdcv/BZT2zODMEira57jJHBv
JJim3uw815FR7J0GWABTSuvu9j6j+XbK9r107hXG47+GAAfZlpVs1VkEyc31XD4PhlqcJf/OBc4S
SRtIaFxc/mQb/KGTFEejAFFyZilQm+fWtgl+CVubjn1/ccckWc2xRea9DUODhR4Oblv87myKekc3
d545P/WLWNqQAG+NIbRtkPcd+SagFqZph8YCagByKpzcbYhPxJkaQ26tCf3+7Wb5wgqQ7Vm0abkK
5mbYdEj1jr0G+uJMbRySVVdvyd51V25s/YRLqW2TxDvD0f2NYDfaIRHxUc/JH2aEsBZpfLwOqAyt
qA8hYZkH35DylCZdsze79hKRV3ZNlwQNfe7mVd0RETB1QPzj6FxHu24utdntI2hhu7iBFZbGArK6
CWunqX9KluitF6CF9prdzOT0w7fgMVp5lhywC46abjijNLDPtqjyNbQqWCX2yGaTiqe4KwNqieyW
1VzN/QA9v6lJtJ2duKPYccpLRFhTXZO1mpsLI0ERAJ8ISQXnwW1lA9Og/iQj602+9lIC3hmjLTGW
/m9rhB/iuIDfjLWPEKmCgnGHITw48GlwKmZIo9WoweqovyZXawElNbWJlKj3VeEdhoEmoypaSKnx
SwszYsUu9W1W1itE32pLPvmwgia2qtB/EHs7HDxcYjLcF/et0xpH0fELzWg4J71ePDmoElrJl4WB
JuWxle5SYxYHgV/YUEgj7C2y/WpkJGwz+nQWFTtjpkVYyi933TECBlhuSU9S8P93H6muHqoXsyQs
L9FnZ6Pbww8VQEei0hJbMcPV0Ybss5XmvGaV7lY2Iv0wMyvif6EKjkWjXZoJuWSnlH01e3tDxDPw
Ieq8cXKr55EW+8kgdnRqnocgGa8W8BQ+Z9pJx4JpRdFmDilqM8zrs+K1Ej1JewqpVZbk6mLk89co
9WFXD4wLR5fcaIjT2EZP4PFkJ28LzclvutZ9NgzzD7bxDSW6PedNIC8mCsLex8W8jfL+XAJcHGCm
IZWtXk3b4YMZGXmJAtmB6nOa2rq/zoG1s0VJcrjSf7bLfulZyRMic1Ihu19Rw/41avAO1GDXp4qe
mCgIEIr0WtjJiz4ExV6lMbPZKtuPbrsycMu6klqjefx/OgYDvF0aa9tBs+KqF5uwXzeu701kYm7a
I12Dpbgvoja/diMjOIvFapvr0S22keEnGn7t0kf00goxQ+H2pjPRyDGNQtfu00FoT8Gc7gdhQTaO
5FtKNUq2JawDly1uFdNNYy247ATdyR/pIbrC2ZfOAKKk2nIDfVmjXVWyE6ePFk/ddatxHWdNlW/y
CB+MzgCcdUdETyNylA4U3ZPetxuV+gV6fM303cj7v8zQSyZFc5xqmyrGf2WYNYmQwf5Tqqw4Mj3Z
JjlhFATinOoeIpdfkHQ+FSINzZhQXkk35Ec9KrgIR0eoVpBIwFLT/lxN7j1qLX8Jb0XoSkMApyxZ
OwO6nLHCaBZfQGM7wzzuW8PcjQNWeTCtgk1l5PCN6EriJb/RIHMkWCwX2tahb57TLZoNQtWq+ADB
51J4WKUX+OLAUSZ5KBUY2rdB/z4otcGJhqgw76XETmSMWNZRPh7k5zhM+kVM1p2Kt3ov4NCs6lK0
T4+7lfHTq/1hcaLEcEuSdImjfjkG8jlJJ+eSu5C0Zut1qJXzpjoX5CWttV1QmUembKBxKDPDlDwq
E6XkWgTxBwQitNX+9NPKArBXw/BCc+Ab1xO1Nb0ffjM7q6QrLq3fc0GbI76InY2wBCxDQpJrFCez
ngWSjlk/lzFGJBJHi2WGC0SfCnftJzn7SFneSqcWRNL7b5WiwWbQam8UUEGZkHoPnIZFjH9w6AVD
U47AiPgcI+hBeZm4r3nslYAO6muKqx9O32DMVn0OWcc4HXB2BYdwXaQdkeA2kUJ6HnPuJNEfgqDr
vb1Mowv/hYwnEXrzoXf6KUygdcN/j0BUMGnyqqcx9fvTOATPcSC2vfbZsgSeq8Yx1zOuE6sKo7+p
cg2EsOPVFZZ7qyxv42cIrDIbFGRQAC+jNMyQhWE0yG6X+pOBCqkGLfWwal0TlHRALn5VqVHsVJe8
GO78lSYGZNjA70J4S1lmTnuu571MxXiAx3Y3uj949RdYygBTYKKK9tmmR1eLxcuYkAJKjK2sW2Ml
pt4nmYzRBSYaMxjfaGwEiMXV6Px3RPL+kR1lPApt/qEFMTRcRMc9kvrZCYheNnGUaks0mHoFd7oj
5EDN+cHUftnlZIU9WIdef7hV4J2SbHo1O0CDyQYvSluyUGpSP22yNm8WIXMFroFG3qkj6dbN1u6Y
EeDjEe2HPqew8GauncC6mFPqPWsZC6oWneqyXezHI++WZ61/a9rxG9up6JAu9x6Pz4iBS+gS3dCe
vSAroGazMBcSMJIk+n+HZrnlom4jqTUCKc5qxaKqYyH58JHMkhhO5HJ4PPa45eJjczCNgkH0WB5F
pnvrSRnkwwbiVUuNfjOaxWfQFP6zRXuCQXRxlRqMCktMBxx5epJgm+GUG4QP0PgBqytjj9U4ZE8X
k2SubD1zn/JEL05mCXmUwQo3ywgXTIfhJ1T5RRWSYiyBA/KAbhUogqxun5+25aXubTRQJh9yxfJ7
dOP4Xo0y3ZVDX586D6RMKCJPEqGJSy0NcXnc8ttlb5Wcir4lfyI8yN5Z9/dYC6K1zsBzoA3UoWqd
7M3gqrG5niyGv39L3j9FQPQ1oLuR42n2velUZiShTVhqV+SGjMUgoNsujyM4nv89Qw9Ud9QzOopl
h4Fln19dYzUbELFAZIvrfw/XQXsrHF8c/5/HsT9xgPVwuHi8ehq9AoNPB3pMb77bC2kz695RPS5j
TtCxx8MuguVdhP3ktogMd21oZHDR8enHxyHQElQaka6DwPKdAhQ8jo+Hc1EhCWhzMMU5Sp7+O5Rz
noHdsSeVQVDpqwEvEH0FcSk/dLN6eTwxckq+OvKBda8zznPfseouH7xf9PGpJLL58dDjkDktXjU5
DDHELcThur7YN2y0Cch5NsIAHnFfb7RmV1fEQThQQWCe2j/KrNHOvct+XGHv+dNVObHH1hyfJnCq
n/ILle54sQKGlfH0GkWaeKP6FFtDi77MfFAniDD1uoqN6d23vZExUODimMPd2WVcgDLWe4owHHlT
yIWmaoKGrKzL5ENI/fcsxHJwq5jxNP3NN4mlwkF3hkyPyZPRIMSy1IQKqMV6lQQ2+DW1XA8aBoXV
FBW7bI6NHyhQKcwpqm06hJi66ppn1HcBnO4PAY9kPboleqMBA8jEjbePx2dwnl0Q4LaUox/7MGq5
yRnYvHr1u47a6uyn3f89SIlTQpo48DkyMhgfPzUm/X+fQrpaEZaWyTCeZolWmRc/fk1XV1dbInGQ
sCN7aXtAHrl/syIHSbZXqzCnvjyX1bhDkQxVPKqS3eSV07NaDhH4H0z6fDu4zgyLXTrPgUI34rni
2XWY55Nxc1B6dQ/8RV00D/2KiOKazO4ArBy4LXTySfBt2sPvWLynbR99ZuV4HVRx7XGQfp4JL3o2
CxFtynfhdvVpqiMdl30DGqmvN88AIeDFDoyNbERogC2X9/Q40MR0O19DseT3E1/wcvjvpzWsZn3O
FDLy/33Bv1t9MoRJxCL23w8wcBuegiL0MMq6swwk91kWd0fz1Llf7oF2dDdZCGB77j2elens2hJa
FJDL8G7n0JaKoX9xorEGsUFc4Rq4dQU9hqCaaPIwQ8EYwkxsD0nQbx8EoscB6EugCx3HtdZ4+oG5
9lp5W+x+5RWLzh9+W2cXJ6V68rKhh2GBR8IcOGf+1+VmNEy5cwvqV79baP6gENow4Kc1mMXetaFw
tx1mwRncIRwd23DwmPzMgc/prTKHoXqltqqbCZpWMJuKNGOEHQxvs24uHEYM0LwwUbk8mwWXLmRS
7zJkt1H7S2Op72BpFOsgV1+FtH514A1bDe9i3BJNvJ+Cyj0FUE6cjHNATvSjRLoFVe4flUAK2UJe
8keJIBh3hEuM8XkRF/7RzrnKGr16zijMYGFSsDNQPcJdf5YalhK1O3KFdOMyDOuRYNtsdLnZ4g65
pA7aktOhVKAZPv3zCmeB9Iiq98NKsG2hod/5xFEiZgNXbeRfpvz53k6veT4g26BF37S+V4cJX+7a
1wXpSIBy5zh4j5Wr7xPqCXdpScBPPklqjHGwsOKQLAyTk8bZmFZk3IeEcUXf5n9SEQ+vPiOjzE06
xPwI5vRJmmcbbdipQhJlJv60r6ev1ssOkR50x2x4aS2rPrkmEjBpeJTPRb7uM7H19RKylPB3gyBs
qm58oLUg049GVr549MQbvnC1p39ThvO2GIzRGQ+lWvt1/T0mglH+bDBEaeW7Tqub+sHCxNadtRxG
ktkajPkyiyB3bL7WpPD5Jxz/ADcqbCPUaBcnI4Zh0JO4yga0TB8gsRw99n01tkdPOP5u6lk1Y5XI
XdWBkg3lncWh3cU1u7tm9M6P2haHPm6/MKGpV0WDL1dE9cs8SaNYM/Pf0nJnGntk8K6C2JZnLzn+
qkdTpTDAWCEh1iFCmyYUDWKOt1HGQoF7bbEavGCL4wTPGiGjlizoNbOJnbIJFK0LpoZ+up8KaFjS
Ih7CdYc9aXwdZdT4E+5Gzizc0reNodAf5tMe3KtZ4V4GMbqd6pBykN47HOFBedmOzAHnUus2xhVI
QDIQjQm+45Y4Hcg6uvCu5IrijuIZ2UbH93PjUcCt4Qc5TyJBH9PjkrNBOdfdbItwpgo5+9bBGAuV
LG8TpYv9NCmmUXDzVhJLv22kquNMZa7jXrdplh0t80DjqooUZ9n3GxiJ7Zr30u4tVZxp8Yr1MOja
ltin7Zji6iWoTUCJcgtPrESwIzlmVcFLjZ4JwnWwbGh/zP2EksqcbT5WGLOTBPr0LqVb6Tcx5V9d
oep1L+CHVNBVudZ2+ViQ+FmgOaMT2iekdl1c1403gGM4pwYsGl5Ob+Z4jDY01Gha4xDqmAdqV/XU
NRb8QS3DNwQgC/6gLPy11snpSTARz7xZY0EgmYX2az+rCKJsImA7goLfcNeu1p0p612f+PTvk/HS
uEyWaS8i4MdsyS+GhJ/jmj3aFrZAunZx3Hw8BwOtQKpQH8O8vGlkEcLwNcpVb7DyQPXBO4iJM9yN
57EWv+02+KjljKvjj9KAHO+gAFm5eETYwWvSoP7L88C/ZJV8ryvcYbwkLS+xF3+q1Pxpk+u+MxFO
XGYWV4Me6e6pRaskYKxVHX6+siiCE2hJecj04tw6ApsvPd6xM64ENfAH6WG/UBv9oIVNL/ZyqKm1
cSf314YDlmaZWLrMgBZdMzmIohA04ZezNctEHsgxLDdOfsQbhsF+FSPPUPxGYn32JPkQiKTH5dXG
eUCXRHIGsYdxsrJCe/L+OK3+N8N7ktleunaC/F1z2vrmK7w9koQQu/l99GEcSRMfJBD8exDvkWA2
RypJOnsfW30P8vVetMBgotZq2K3zjWnsbwOPIEAh/ZxO2D1MOtqTZo5vyURSWu8K3nkvwCMioR2S
8mv0zjIx2qfYFeiL8RQK1MdgtFBMyVCKMacMuiojshQ6dldnyB/ePXOS0KrjhVEGmaqOBUrHCLps
YJnbZC6NPSlpv5x5co/NtK+MeqRbXMb5QLq2QxJYtjgJ1e1r7ufQ5GGECmhhSj/NA6SZfuGXkJCx
bvFx4ftEq6BrYA4YgD/peMrs9bwOW5eZX8zca9XZgthQ1VwIVh9pXaS1lgGy4CrpFJJloOfF8yIt
KNmjjkElURFHFP3BsbEohHVtNwKmPkUMv22u+KcGDZVRncc2Mg+TAyGkipMs1JRtntzhd1JazaXV
hbGGepqHNptZiHzJXPmJd0mIyzpKwiD3BCgn0OPbDel9dujr1XvkdlCfp+mjVwJEJkH3OmDEg0Kq
gbePzZvX5zARivQPfKZha1N6s0HkDZP4qdzodKeAVNm42BMkJInJXYN3OcTH5FuapoT/29UoTlAF
Jxp+erkvVumUfpdx5m+bePxFZyAOC+atjCXZxe0ZTxXac400atdLFE/DEAzrGFOnUBjps3T0XzYC
P8hjzWuBPPysVLWDp/I71cdP/DJ2Wg3RF5tEM+zQs8OwPhSTp3bJMDQ03aAVRJzir1EfRAEmasA+
31SJ4ezETASjZlZkFFTw+pqR/1MAZ5Wxo/apaYm111LXeW9076VxMrQstYZxBkbXB1t3592wzLYl
zKZtGfvR1bA85M2CrCw5GdNeyPkN6/+bATV4iG25GVXOOi/l4kFJanYDqwMEmnE/oG4oG1InhyxM
EyzMETA9t1K8uEqpw54OG8MGRbpGYWAV5vF9syPsMI3KN1AbdH343RbQ/2NQbJqn1/UgYvvkFQLP
PmOD75335Gj+H7+c7VUjMVNsW6Wtc91/i1o4AGmjkQUGp1kBstyHipiJOvnIJzU8jaihgefmNaoS
40R152/ho4Uu0WyAPN2rjhgIb5UJ1eJ0M8qs23qqRLuNTNIf34Mqa8MyNxg/YR3iMf5Zdeb8qeJ4
WkXifc6gxbl5jstFzec2OL8mFEpbAli7ta1MtP65iaGPsjZz0t9nxnQM2Nx+PYllIKssa+UE7XeG
yGhluM3fpmYZ0CX04u7TspicQ3cXW5MsD2A9TsPMlmetzoaV5TaQ5NLEO1jdVhgWSY1u8sR08QtK
4ryRVIJW3ifnKPMP5khiV1f6SLk0CsHHwY694hbE+t/GxIi36wBsm+YNP/S/eG1oa7vOxq0vzJ1J
HCLrB4h4b2qwSut0Hzksy1aZMszIBuQMzluqBP8ZCjDYxfV2jv+mruwvo6VRhOq8QyfnO4XSuivg
6prloJ0KJiq4HhEpPrN4F39sFe3qxqCMSqpPezA/qULSTYZAndFYpU5DzWymTz8cNQ/Xjg6DhIV4
a2u2OAV9eiZK0YAcR0U1xIo89/pJTVj5550zvAJxMimOp63nTBh644jxphcOvGPRf5tZn4elfam6
drhoGmx7+gWCTzU0fXN6QbQ+h7CoMiQK5FZDFQmNovRhozi/M7YH8DE8fHw+O6sF9jFGdz+bDW40
WYWHmDzEAVaMUEGnUI+JEtZa6J9aje6w6vhEYlpyVLZhJBDxBK1x74LE3DCQ36s2jojMw3PByrRL
5LG9Y4LGHGuJrkq/iMKdGchTJHoOADCmmsikBG0CS/zK89sX9gJ8FDHoZmBevxiRTVB7Rkh3XjPX
55Kv6aXgqNKK6kxUfUzmKmxtRG0g9hSRwexw2NMwMjwowWPJBoCGQFEr1GSudTd4b8xBbmttLnD4
sg5Jj7AC4g+GuMlXlJLx68p2SfdUiNXkJO/KDAjInoZdUJK0ATO1v7RBCWcc0zCPhIjj48BY85dr
Fs5OZZypi/sEy7f+ktdQw5OZxSrHJq7W/BZxKrbwTMlzVAfg+/lYmuvOwXsPsQe62dlxcNkIyMX1
Gn/nWGj1eu8eD7H+8jBG+xeolztMbu242hI87OxcZcC/m0C97ST/4xKEt/MCdahjJr7FwmqulW0c
yT65T4WFZ/3i9m9i6R4OrbK2Nqzy3HLXA0lqWI266aWskP5Mg4FzBEzvPlBZ6GajdvUKdsi8sYq3
uP09kgT3EuMCj1oH8zrMFfFlsqjdkQ24q6q03DDVA/85LgBChuVPGvS5O+lB6zOVuJr4ZRdDsrMX
l2O3YkgzOkl57QrMXDEdubKDlcCKVXIjFegXbn1Xkhqdo6I3X0hnD4dLT+p1aCFeubpR/Vd2wcDm
K17auKi4FoR4eTzLSeZxC78oOlWIfrtAo53Mc4yPx4a6S8uuD9u3ydeeHi6FrmUeDeYR0Da17vL4
0B/RgoEpIPDh0/UUtLWGw1Iw3qoEsHoJD/N7UlSDFB+XqImeWWMVs554UxUWDCZPO3V5nuJcwMCn
bZjpuk37JEXsXgCfl5xNlGRLYO0jqxCoZm1reES0TlSvW7Np11irwT7pIYQvFaiLOtXhf7dm5aQ9
xtn60mFSr0Rrn7QmvcbKmY+CzrNvSDHVrCy70K2SeYZUIrPJRSAM1is27ajpe9V45sE1IrQmqXBO
BRva2bKds91pjKPwnV7VafRm1M18nmEr7QiAfu9Ifjimjgv8l9tk9TRy/OdRqQLynJEXgsSx654f
t6IE9UfnNuXzKL1NbHrDK09/nEQRVu2o5qjiHoeehaKqs1W72Kmbwr/nFXb2AejDah5oZkkSzziB
E8FU0mvCSIMgKzWxMqhZng3ERgxqXP0FMQhyMyMpw6ak+SxB4k+zNI6eDut0RnV6mLsA0ydkUz6r
KZKdextY+ps9T4cRVaRc8i5SjbcWMyGYkCKsHo7sOBVOW13CAilNeM8S4i4E7GTC8XcJKNWyHkfH
fDHY8iZjO9pI69sgLhGysqukY5lfYx0qdZz9/ufnaVr/ojYfeZtpHhhQYSd50OEQkaKOjMS2szCO
fY3tnbLbH9IPFNlXzdKgrXENXpZ7Y5/FEKKZ7U7ZhMEodMZ27JwXMfmvAb7TT4I6ERWnc2oQDzFk
bsK+BypBHDvSIE6wnzTEHXaJS4yOqf4NFn/ImQB9o9R8sFRe7lhZ+tWkJNg3ztaIYMqUWub9+8aT
NAlohPxNp7NPBFlePcVNpH+NccESAlFvPasEOwk7+G5qdMGU5NFJIwIgnQwmpIWA5Nka+D1OSTxs
5/+h7LyWW8m2K/srinrPq/RGoboP8B4gQP+SwXPISu99fn2P3Cgd3qpWSN0viHQkQSDN3mvNOSYx
DlRksmQBSM3e2JhFnhnxUCbticObpbmWom8Nh7Ukp+M6yLvHppJ3Q5TyvjWUm31H1k9I7/bIZKDc
BHKxravmJafj+gVKbe46s2gkV971PUIsu8g+IqIalqrcMw4G5/9wDyRua2qvdjoQW8aLrA2kSpI6
S94GbKNYDk6MWRlcD96VJwn0VnfUeGA68fb+/iUvfpb1a0FrhLElAi3HCzYG/NeFX2OSRSPAt1jV
jMv8MN70BOuRW6hc0FvHK9gK5TLtBm4jpYSirqw3Zjq6Dx2wpgQPsjE6ygf3DZoCozasR9v4ampN
eqKoDwRo+rygMscUjTmHVfXmBJn1ELXGxo+9rUq67wwzWYG8Gz+74+tLLYgRGtGzP9HXv0xP8G3t
gcYile6sSSrmc1cyGL7mX4Wj4y7nNL6Ij9vK2mojLne8wjQdp1KOwZM8pz+0dFXazkgjLOr9CV46
1KO5bT+Nzs0dGn+hdHZFghpQJC1EdTij4kW+ZiVZ6/uzzUXAks1xZV+YXfuk8CA7r1TdWkaE268i
AydNTmOLubVZbCR2b5AdAy6BZTVvclTN0WisnRhf5EyRwk8sz+SLOJQjmIqPyGlLO6aW0FTjOkFV
/JgAOd4OnV4eQOSC65LlRYu5CU1+cpGnzN9UKY29eALcI/jETRoblrbr7HxF6oV6Ij+CBJ4SH1tv
qcZcKwyCHQp3o5W1tJCCql2M2KLPTqV88dehrfI5yBR5AC64vWcuxiFTHgE7UE0utfYhyrKd1ykv
JgXTB6lBFJIp3Uff+aTXUFmorZc7JFmfxlZjkDrHria3EkOugwcYeYJKZWcF3Ni6lDUi9lBK0FRK
NCYdU3qCsJ4vOlPf8JD5ESGufhkH6thYN0hyRkgFhnW6e5cqAk5yEZ4yOiX1xEofcbPSUmfojPu5
nPmakTGSK4LsEIXj8NOWpFkzqCHy5B8eGLRz2qDxa3rPOrhVj7q6mThhbnWILMINdc1DkQkPCs4t
tCs0joXNHwqf1Mym8dX0g7wKcI9sMp9mMzloC62p+gdx78QXRJchDEELahJGnpF2LMCFSzo9ktUg
rBdpYCyj1hne+wAglJ8aq/u5pja4rhNdfycSycJ0qEG7SWp8KDU90NEYMIhJTrfpU/W9CbpwCfOC
0IWk2eGpY5Dh4eSSR03f+Rr6j5x4rpkmUVkKg+CTD1p7kXWF6Vlh7BWIOjk1n62kGs1GllPM9JEO
1p4kbB9zYqq66kOaengG1DJ7aDepTMixRFtiSSoISoNGn2ljTY1BM1KMiLK0cVtmylknIW2ZntK5
AdSqqrguel1uF50GHsRqyzkihv5k2sW+atdxr9ZnMg7CeREENuhqRkoJfhnxaYlbIQVR+Uesq+HC
me4MrpJgQTCNZkemxZduhckyn7gU1FVa9K2j+tPTgLV2C8Eu5mvnrFMdHzVv759qW4U81uKfFR9b
hKtsaWkbfejzsy0z+248bZmGlbKxxJ2qJOm6oGO9KlS8OfbElG1zCw6y4ZEfYDsbuUzJmWp+DDVJ
NgTNvYm/qqiGs9aVmCI8FblnRL/NUS3UZexy1eaKUm7JNCffebB/erX+qDV2czVbLoPA9enxInZm
NN5XZ7ypEzSjPKntsFXz1FzrvRH9GCpEjkEa4U/tcmXpNXF+GVIER4HcGKemdd8kmJo/erjEaBnk
bq1wMsy6sk9WAO+By0wXT8+UCWMAXtKw8OZ+1sXXKJ/i8lBppUZVPlQtHUAlMa+2MgDVnCrDJF0t
cjv1Dg363hM08h+S7DTbHEAZRe5W/tHkkE3IhSEKcuwPke4YVNAYemstD+2OweJCtSZrjm/3F/HR
0KJEgUXSTTl14okdajYRRta9FzEUCj1d2iRqmGFnYMDlMBXYS0Z29AvoqX1VnVPw10DAeLPEiUy2
hiNmhkUD13FuhFqxTRSQp2UIxz6ecmpG3L34LqBlxha/IkpQuOhkVm49FVJGm8a4Y6fbfaFYH4Ai
rVttcFNQU3/qV4JgNyuFGwu0mF2R+SYGiUJHhZc7tLNh9w5OqgNZQTpGNILJWNccZ7ZdBIc6wa2n
KsmzMVT9h7gD0LzK9z2O32VTcGUMet4u5BYBdK1y+6/C3l7EGHHw+JnxKU/8liE19664K5GPa+Sq
AlLinqyi2CO4um/RVpiIFDCox7iP0zQ5BHUwwtgYULJ63SWfTHwp7rSFYuf8CkeC2tQV6dKO8CP5
Wdkfwz9qbqZm9GaVQ3NygtSap5GRbMDtY5DmsTpzsA5fdaM4OggCtD5TTjr6r3mKr2fFW1Q21K1n
Q9EtfYtprfjES1/PsPbjfRfB9mgxzNWYyoxKx848UtvEsCejObSpzyzzssy3WTl8UrXx5pnSluux
/4QOjJaxJW3AAPFT2pKzdC10V3TnC4xSKVZ+r+Jp4RLnjbrzlSw1ed33QYunk6xTGUYXQgNOqO46
ktl5lTGdrbJW7S/3Tyttex9RK1eEVjRYZYAEIBRqdc6DCHDs3uLmC0t8Q+m/Z0wA7STX0w0MBW8f
2TpDoenZK3OjXVQM3ZfieYx/il+Cs1LeNMhZufSYWxrIsusPX6ZI60/DcdmoMblWEsLR3MRi2Tez
fuDUrGPjFhQGuqvB4L0r6Kinex7A71I+BbXbHssCTbkDC0BEEow6U+sxzwFbARWZgfmh88JkQVez
MxUyZ1E6mEoljlhqSueDl54oXbJ78HLLP2d1t9Fr6QHMa0j3q4VPEiB+wTVEWRXAbS4l+i0kQhfT
UUkwjp80czHhbP3wbPtNdfCqApkegqytmKRmlYZ41Qtu3XAW53pq49rtuhzuT9ifqZJaezFFBUqN
FMwkmJb4ujNXmrKgSFySYAGYv7MkHoiTU0yEtdMN1ZdSjTnBwUtzzjp/UffWo8ZldNXbwDhiBriW
stJsW005UKvN5w2Cu90IAQ79olTtG8N7Lrx0mRsDFu+00Q+2arxlVs8ZMQ2hNMKKMGYre2gN5b4i
fbbCcebpVCNBjDDzkX14p22/Syv7YgBTmevxIM+x8/FttdIB9GJwhO1HIQHxP3o5A7OLioc0KBX9
hBi+RSUaSVvCW/ShMQ5+XBSLe4WAJpgFBu0U1spzMCRAEdu4OqX0d4+la9a7/o2TMeOR5khnf9Qx
U2jjs9qiXUfBAWLXbBCbFV6NjfTilRj2bVwJXqwuWhvGAgovd9+hUEVNHk/fbCgxWeY/JtfhUmed
vcQ2oyPE6pYD2A6jjKVLrOp8LbbpzIPeqF7ErX2s6+eewFYiJ5Vzj9Bvnii4SvORPGvD0K45WVBL
02XYM1LC2cme9NPO5JcxkP0fhk3LN20A9aCueUQbUNTIb0xY2Ge5KJ6YWPUHPWmLtUu4A1Q/ykRD
CMRFkdtuq1b6bKhwYQ8JxM77AFfKgjeJa/QlLexxFkSVeaQGCjp0yN8KOe5OY9mQ1Ff5yOe1J4t4
0GM9JP4Fo6K1VGNqY81oeZdinxzE46OzIeXcb/6RObprbWrN2XUVH8VS1eAybXFkbly/1S9Smb00
shq8VmhIrb47RzryTQfnYpkBzOdNS/xdezFkvUHlD359x2x/xRErgwHjpLUN9vgLN9SGsk0DZ2ff
+5K/Z/ZDwAMql1bZ9mMZXJkLhM8E/BJeKj9bibkJwL5ptlmPM5XqqkcS1HyIlP7QGQPyht7r0a/V
j5WtQGrpihuGFPoIeE2hWXjdMyUYLM5ltw1dgDPiPFE9bOx1vzCLKCVMIQYE3rr6LIq8n2IqpQfl
jyB9E38J7ZJyS3VuiV1z88NRdbjF9eERnfWa4pKyIA2PjoFEwyH1IIPpadIfKZv1R1FAoLMLhIOT
bZbkDIeVtvijUGjFeWodnoYgF9MeJh62AoHP6mE9cv+7tUiXlnEktSulH9vr/cbsm3NVw1ksTi4J
PmmMYr8rcPCj79W8rVIzekDUlDxindYZ4HbMRgdnVOcMSbxj2jzRW5t5ncvcNlbe/Rr0udHnn+Z0
GUaImNYkE2g8aUk0hIEx63PCVRlhAeFqeWT7xbY3cOUlhfESe670PNgMLHy+TbQHkXO2GIrCj1O9
n2P4rBLD8znW3ELkOkqv9hAxLR39aCNujnJnuy+Dlj6bWR8/5L4pPQAce6iyrnoNC9rsWMC8lYLV
4jWwe4RkkhyAk+qYNyIim57h6JKPISCsQUzQppdMoVaHZmMrpoGySn5RnGrdUfIHUE5O8WzjBRGP
mTGEd63rTSkRaEgMwT3uw9bllwJgXBK69dKJA/RjQ5ytjIqmEBPIpQi9iOvS2GV9dVM94X+QFTxe
GO7avNh/v+QJiQUyja49StAzqhSVOoUfHUguU9aRmXJzHgDOAhFd2C6NS/FgLAfi7hiNl5uEwMx5
Qi/vi/gugGVDCW68GgH8+7ATbdrqBznTAxrLfrkOHb4yfDDdTpWn+VWFqjZzAjr61LiYPunZ3BpD
VBFUpgknngZ0Wl3vWj+QIFGS8ZYyhliOckrbKsecEMh5tE51ahBZxuDfncqqYWdklKeaS0ym77p1
+G0mKrqZaub1hfJWdpbLhrfXe8F7OkImk1p0iBSZud9o9TUsyyOhueMZWDdg3hjfeIBKakc3U3/k
ueMuHA3JceMY1FUYMoipjznWG08fwbHIQ7UxoZlQEMEqknlmv6k6LB953Nb7ZrT9xWTnxFTbQ55O
yUtAF/ejJExy3pqUSTnXoqcm3jkivggrJ9Ce0IIilOuYbSDPeq00bvOsy+9PeClFClubFU5RVfkS
J1NlQoALW64/Q27Lh7QNf8ZMURcaRThuCNpL5BLyNX20PFkXoSb7rwOwKV8bXrmfbXyjDOdeJBs3
MOqPMRiCHeW78oaG1N2Jky8xwVoVefwcqYYKXR2tniI5xroMkVmhFG5U+dOM4g1MCAyN/XEqFd47
Enhm4Txmnr+tSl1ZuC0j4SAa6xMx6A+2lkVbxWstnvG2d9Rt8DeAbh0DbFpLzi9Z0WEPeEOrZklY
JUfdRdID+eYYdJm3FV9DKSH4NnrlQAeNvrStMTooiYNlqjwnutVdy13izkVEWx4wQKOE8Agfylrj
gPDnZm3g9mLmaBEnvJHxhRBMmVyrkT5VkMkPnpman7JZnhoNVEpNAW7BuHPOTE29MAy1tlnGIJcM
azJzIukxp0k/S3vEFbBTj1FuXwqtpcQYUAITtVQYh3560aveXw5p+wnEasJo1sQw+TiikFF1yK2J
Zkvi9qHLmLUD/4uQmcnqkxu74Yp/kjSS6XfY8rzT3GXlttoTc5DPKKGKjAR+BLfBxFwOJCq7TuMd
xHzuXlko3jMS3a6lTlbQZGOXEnUviq4aA+Cp+Gl1xuT1Sf+gsNmgQtec49CRHyBOMjEqEndHSSeu
t1PRboltkVVQcYnNh7GwXvqpkq/HXrG1I+ySIIBXTAaeaUbbfIiadaIMBx6jhBIuVtXAJnomkeWJ
ifgWwSN8aZiU4qYcdkj39hhw04tJdMxF4WEv/t5og+QNQr1YuKncXUzZCJAmEWgA2FyeZQ0pPGY4
BNcgzS+m6mMqTBy+rWpS5crVQjaDeukNbbZGfUHQeJK8IpXHzTTwnBdXtFEYx0IjO0wayaluzE/X
TR4wXzc89CkC5+Y+t1rthSTQKxZgWLed1dIjAQcWRjU69jAttsYQ/ojqjLRveDKn2kXjxNNji+8U
tK1M9YN4wYVn1H/IVOSuNm5DwuE1hYQaKlHiKxR/y2iJLHCZXRx8S24PYkk3cdXdK54mem7sMtWZ
6Gr0WSrl3yJVHmGruEdSbKFjurQcxBEGErwohpthe8z8A/LfEF3hFA3qcS216NGBlgcnjwt3TQIA
iqnphmbG0ceIDkvESY3ELxRVRHYfEuFXC93SlOnBHFJNq414ywkNoE1n7mQ9GFf3y9ObOPgl/NU8
aaO5uL2jaMoP2uAV+3tyNhJM/RBkX6Xl228yHuJVjlBeJVIGtFC06kI13LVJf0uq/llnSCmmMWk8
jKdWQllerrymYA4q99rBb7ORaQzLiUq/NHqJwTIfEQX96DQ0p/dhSu7k8DadoLukMteLWaevkYqU
3QyYN0ohbEIxfMXU6zAksNpVHd80iXCKYsJ4iSsuZTqML54y/VA+tDQE9oM+/AwwbV+wMVmXJB6D
baUrcI+j/iOX4yOoFfoKCnEanKoKFU5eDJzkp6zpmfc6M7U11afRli/3p71uqwcNlkzLZPdUpXr5
YHKmzFWbKA1RNNdjtOMdD8ogsfcNgxwqN7A9CG81z/9z2KlIvP9LpKyiyNhOVZsStKpahvW3IE81
NrVh8Mql2nkL28NLnvo4BqYIM1G+pjxlIdP91EsCSog8ZITWZhDt4ZRkWGd2lW68cZeFHa/V0hJI
yfP/8gZt3sDf3yA8QJptuqMZuvq3zFsJ+zERxz7f3uAMc7no3K0P2IFZkIS8qqFW2mvGI+6vYgc6
PDoHlMs9+IjSY1HDh3GH/B1a1PtQNUTH6t4Riax9j7P995/9f3hfQH7iwcvS6p//yfrPLAduAmDw
b6v/XH9lp4/kq/rP6ad+HfXPv67yQ3/+0sVH/fGXlWVag+Z8aL7K4fpVNXEt/hx/fjry/3Xnv32J
3/I45F+///YzYyVly29/bt5+/v6bIhs6weL//q+//c/d09v//bdlW2b5x3/zI18fVf37b6b5D82y
SHi3FVVWFEvh6+i+pj2Sqv/D5GRyyP3QFBOdFVnRaVbW/u+/Wco/FFCbuuPQqzNky+YtVFkz7dL0
f9ASBXnLDzg2k1z1t/96b3/54L+/iH9Lm+QC5KOufv8N6tZ0wn6fL0TRqoqu6Joh65DEdaylfz2h
mRzgM4upVkXAsjchijtM0mOR7Ed5TPZNPMbbivhNsem+V+z4l0V/lCz0bdDLVK+0D5wdYwt4yDrj
fyArQayKPbpfI4a3dNk+OH1SLpoE/IHYE+AlP4gduMEBHBvTMTa3nq1mgZgHUIvkl8fCMOXZilBb
oq+gMeOR34hVsUNso2/gU+bjJiH1pNP7OpjIjLRHHuGZvWunXmKWA3ah1LAUa0nT11cNYsJKw7G7
cC3Ib07hYqan9fPAhB45YalZayNugLmSs/2kA2vYg2e0Hgo3tR5S58xDz76I41uTIZ/uZHux636Q
Fcbb0KMDI1aJpdk1fcsNg/bq0WsSfIdjni4ln9YaYj55cV83e7iRgCMPVj2QNEfsabeB65bP8JPE
NtjF0NkoBnx5PItufcQaA0Wfys62y2zEE2QqPPT6uLLkWD1p6I8fyo7Sex9OjH32iaNyzS2oXvDo
/95Wdi2RsFVkLfrwMFqO/FwHcrw2QAosxSrvEdtHjQZVrMojGSs17t37wY03XGNEMxexU/E+esNM
njrUU1dr0FdiqxQzpicV680JMKID6GAEbepnI6gh4GF0XIvV7xery5cOwuPj96ZGJxGYwgX+rdg4
xzTVKEE+jqHc0rZnyqJENzPzulvnR+EC4XcDrDRtb2FSh8ewkp/9tkEeYGn2u+bq/UEcm/QZmWpV
BhLSKD4Hs6cSPLU007GsDmLp+0WkORal3aBO6+rPbjrYnhIe/3aIK6n13qKTlMMcK5kVEz372Equ
+Vn6Fnz9znwFCmEsJGrJxyaBe2LbpEyEATBhN9TWPX7Q66AYhPCWKxHB205bIJWSEZwAJfnephju
rdQ94yA2OYZq7sek//D9PF9VnWK219KjPprYlB3RfTZnBc3NPX6zB2pb6104PpO+FP70uASzCqHf
LMO1d1/63va9NO318gjBsseUMlOBIBR+cgomZRKKT0pLLZZUsU3Drns2uzinO2+h354aKmIk5SeY
EaIKtNaQ+vdNjd1REv9e/3VIOJVGFM3E7s+4idAkvtGCEeQihxa5olrb3jD8hCfU42exU5wPNf0T
ZtQ+tZHpiEYCruPYiDPFIWjLEEiDSW/6wjn3VCDmMhiHH1ZDqQBO8qeEoJEMIWLiig7rCxaojwGx
Cm9QCYgln56RlU/1rldSiq0MaxYY42EIN1AOUqbJ+ZAr51prkkeZk4AijtduxGqUJ/3GI/yMKiCQ
ebvx/hB1C0B0FKRrVNlIlMQW8TKSBkXHucfIMe3obcJfQ5VIE/1XaPFY+eo9vlhsw1kJ3q1MoKz+
OkQsieNi4pPWdgkhMhqax5KsoSdLCbLztFZ0ufakFXUq1lpEi5shT525UfT6kkKcvPRySb9pGb0f
m4Ee1tMYTLrTXYHHqststKormMB93ZOZmlVOtxoAq2OKt71TwWD2YLT1DsEIYccacW9kVffhptRN
/zbWhXay2DuIvfhqOvJdYIZxSkTrGoUtlfTIa/ZB86ThdTRK7Et7B8OF6GKLFyPBpl61Y7Jm5l5f
xTZqtfPAGIKLW1jRKXPsDTFV1bnkdKVS4ezEWibFgzGbtuXTuWy2ebJzccD50wkdTi+/9onju9qq
zr9+j/iZ702/tuPfiGpm5eL/C+ui2JbZNEHtYv592R5uWkEMq6jkZcAptgHSSeYJRXEKKIkucBsM
+ETM3kFk8ua8i0ajoWTOOZBiKC0xZfHvbWLJSysSPQPl8L09JqdpqdXI0Rl2/OEylVoJGZGovSv0
4OkiTLIisS6WTDJO8UN/2U3snMPWbc9SEYezzu6HV5my8ZK86nCTl7Y+FakQxlW+wvlf65sCxySl
cBMjAO7thTEm7WNrxv1BdfDWi71lNOS3MX8U+zRuPxeyZk7N9LsjBBHzClgIit+6e0WAN23VleAL
rFeEFD0EBiYuu+8XcSm6bqjSHMBu+1+XZEnSMEzCaV28mFBcF3kn76Ja0xdGng+vDLYUeqAkU4aD
NzxZKIoQ1QyvfRl2W70mPq6YVv92mDEd1sdXM49OysBMZh6ioO7C9FpIQfwewnPRLP+5heF4GBBH
XmtXKS6GNUBrKqOr2NQadQ4oH96zWBU7PFAHAO6zDP4kPyW2/f/+Ijxr6anJtRGTkNsqzs6GP3Gt
ckAeWJDzLfJe+QqpRDtLjD0QtQ7Ii1TSKiCjIE+bDp4GbleYe8Rk1tbJrGp52WRmFP7hFr0ygDiv
lkaVVw8ZrENKT/wh36DkNs+V8v9eh5VfzFS7avx5MPaUhQvl5pejf/GZJzEpCty3ZCj3TQUpDsz3
zqna5B1pmjYvZDO7uHBpTeD8J4rl2RzfKaOiMHXPzvQSYr3DSvWsZbmFQSXp9F0J9hmwx7SIZ1Df
IX/QCSFL7A28CVqerRrMW3WT5E556G3KkjN/qlyKdbEkXkLuOyCGw5xhRYlFSZZo0KU2dg+/qxfY
8at915IlNTnzq71mqdVeLCnT0veq2CZ+1sY/OVfq0aj4asnESPEheCBWvqaFYFrw5PG+MG3pcB9/
dLo1veGusY6NDkg2CqcMUc3m5Cp06xAk8lPU99xExN4QJ8+WqrV/3wvy1Gj8E95zhCaiuC5e8iHw
thkhDt+bxBKRfP0xUfpbHNbWthcP76BRDwTqxPtOwXmDu0HfOeq2aF1346aOfBAv9q8lsSo6Y3JJ
jq7KOTRB5E+mqr2LGX1BZPgpzEw8TLX6FI4O5nk7ambF9OzxNQqxqq2eWrT/Yq1OB0auQRvcZL/f
R0BR5AfZl4326jn+mbYQLl4g7iQWIVGKvCmwy1aujIhBxHu0nfDIDO+EaSw8h8osVI52UZGhka2D
0v9J/J208kysWuLMRevCWJxVIfozR1JiKt9uFt/PeJTK1OX89F3cSb63f99txLa/HtZgRsJOxP9Y
AZdfN2EfLavpvw0drViXZUlCp29/OIVXbMxAwmXPuPYlaw0k3s2YEWdVaC9WCvstCGIKJ06sv/Te
NvXgUaC5dR/pgL45Pk0vO8v1SYDnUTUL63dX/RCdJ9MMVJwHlk6cbROh17NL84Q6ndCWlHZ3W4Uh
pa+xe6yk5r2G8/NTa8Y3l6y+x78doDQV6e06udm1A/WbMNbQUSwSxIpx4UUJYkDcfX8ujWzzxd7p
OGj/2o/plMBoGh9KQPpT9/R+ttgJvfBfq0ZE+Hg1YBlNiqn4oyQHz/SqBxANlJZy9eKYZXKgjZue
8TRffDNKycIpjZt4IV54EeiRdBFrtabG+CqQEvuZ5oJux+YQlGO9//4pMYaZJokWaXn3n4pU/ENF
Aqk5llBZX1E2Yc+xsyesBoxw6g6eGCQ8komQQDi5VC6TwvJWdQHj8P54QkpDDrqv2XRcomCvlKn2
VGWtTcJZHezFdWBFoz0rDDXYiwuhN/JHN0BOQhVtJcHanGsxMEo/d+OfjKHblTmQRkB2Rblk6pVc
iBClDCxnMbTcR7EiNTo277J1Vx5BtfOCp+tOnGbSlGjZjla/E9eY2CsFST1X9THcVSR806AjWXgB
5Z7BpUfjYy3WRwvyCfNOYv6iuL+UyEO2uo1sRYPlfQtsCMR5ppmfCLkiGtFTOBeRdQj0duQS6zNT
jAfRMwVNisXC0IxbBGdgXm+0prcPWh+aB5stC80I4jeSlbeM68pPmRQY2Oj6Y13mQEEyIPTILZoL
X3Eyx5uYfvorS8rB6FjQ161xGC9eXyvbzJCwUso6TSXf/EMn8XGjUZYan5Xeh69SlBWhPTQ8wFrX
m25ouZk5/pS2Pa27uDp5wh2LzqwJnRlAvSZOMLdyxf8xut4pG1TzKTWrajOWRbyWdd9/DbR0Fec+
oHw7J89Vqo2bb54SXTF4bLJCGR6fAYwW5KGsOoha5vdnZ9pW+aOyCzrb+iBzuVo6gyfvvKpur31A
TkKmVf4Pr3JDhMhhfHUzAwGuEQRbfWBeSlUWea6Hsq2oyfKy1OTPJQkbzLKklTcXOzBWFXvD9Hja
OF50KJpuGViV80x9oN5mZicvkbe5q1Qh1qJrGX3hfVvbkaHfusmQYlTFH3JnYcOeNhkukAz6K54Z
kZbXGRFCD9BYkLjMi9NpDkoG78W0onPYt+anEiqXlqfOC2dmtjRJpT5UKloWOHgwymhzMoQPQdaq
hxT09018PrLVvoxovY7iw0sqA/RxYyRLU3bpJSDZsmyqqVPzrtImdkNJRIFJs/NlnLz/RVUrKPdz
7cXO5T8gHydbLgW8ijbRIKXClRWWKM6hSpAl2ClU7u96GVAv5axTJpsggFSGjXZ81rGr7KWygQKc
tda73sszzqTk59+OaLSMkILc6PaNQwSKhBxu5qDnv+KU0tcBDvZt6BvapWtgOiij0fxUuwfGKMvB
oya88mslPwGkrS92NMU5oQoUa50n1xc/wdpETSCgrzMJGAriVo5+1BCcZhnFUutADMp9y4xsOjoz
PAta5GhuQFtAb2yyZV0WGQ140HMzsSheqkzOjnkI5UtGKcVwjlWxTTJgdXO7CrdVNbyRUcK8KjXN
KcrI3pZyrFxijH5z33bCzz46tMCWfsauDLyjDwLK9hL4hyC28QrTOB27bDgEgfQ4ptxMZkq7sp2Y
h0SEHQ8fu/0e2Mxt6qAOH3Xaykv6OuWJFpMxpRnJW1evCmCCON9GIlcHy6KKXcXZUbzYeUuzk/8X
MHVNADmFnQoF7a+N7rRYFshhTRN3PzgLACuvpGl1exvR7Xwg5eZV7IJX2ezDJmCUP1P6snuVE3g7
4iCx1dOxR1ky+qoMcq0Y+1S4aGZV4f/v62Ka2Njjg9HYNSok+7mQkNIRlyU9u1yeudU/q8ooXyI5
u5YGcRRQGoJ9Ug35JDpF+aRbhIp7CeHS5D4efDSy0NeA5g62TPqVmBbTGJ2rQzJexKxR7LV88nru
U+ppr0Kxbcb4uYg+0q6fV7k37A2pVZdSikJhbHNiKqZt4mXK2/qXVbSNuOC/d2vWLYrp8HgMkK4k
AhULghK8W0dt6r4ktn3vFUsVTol5YrYfxUZPuuwsCkCiMiSMa39uFRuaegQTjsEfXIYyXAqDNk9U
N/N6KrItqwHZbVr2DeRUOihYP2p3lgQ6Z3xGDcKJGVFEjVoutekxI3s11nQ9PxniEaQZ3ZPnKe2R
SgD34V/Hih+VbV8Wx/oJ5NvAjBv000DA3OlFcqVmn/XkISS1gYYC8xQdrGmj2P194N0kkbRMQAoX
876wzqDgp4U8DhI0i/Ym1r63q5Jm4YniiMCk/dK3XbeunRe1+TINUBnkF+K0Rp1Vb6FPpFfVNhHl
4EnSAu1hlBNOmy4lnFuvs1mbNxIPfHRgi7CBofX9A9xzcREN6VFsqgHVnrrC39EK8pA/FNGqkSXb
Bm6SvXiZX+/CAXvJzC7VfuE1/QHWNMTFqdneJNNHrdf/uir2RsE47jLmlfPUzPtj79jYazTHhF8p
dUfxUumjujY0aFBIUIsroKclYiPtSazFSPTlv6xBzVXv+wqMVuJIfI3b2K7GE48dnqMpNY2ppgP+
qjs2gUM1EO+CeGk9Ugw0mUCxkbwGhabX3PFcZ4+lNb9lQfXYuI6850whxSLXsmEF/xPyWU4CFx6r
RZv5AcmskO6LrPfPBtkv96oWUqZXs+EeLIaLUNHJnamjiQbQrY0uL95aUqPIne2e1GbIDybyMyIu
2I5uHvkZUePHgjDlW6JZ+yaT4H7Ubb0erTI7KdMLvX7zOEGTSbo8FbGandLcRTjltBHjEfO17NP8
hU8Z5bgywJ1LzOxFSmRv0xdY7INptUw8gImaGgDqY3Ww+1uJYZEk5ATAmVnk+yJKqhn3E4jXTdLd
TH2dUTuE+DlBApxILw7+tNNUnoLm2DAwSXeZij8CekQSDmbO3Rvnp92S3WVV7WclSUeIBsY1D1Xy
eksPT/f03dkG3NP7qlFrT8bU+xSryvQ9f+8d/7oq9oqDDU6KmViFSI4MMSNGpDPMuvwBYXnclVwF
Y43rxl26cvMkW97wHueKxBywDQ4adOObzfZymvl9b8/kMLpNxwszi1oBDSgIDpx7iHNxVeFfbCz5
0MgjPqGgTp6HnDKIYjy3tdZe8jbC+MAapBmm7KDzZ+JHeJDpa8+qGONMe0OF/B1aSSEUkFR5Sgt1
eP8/hJ3XcqRI261vaBOBN6flfcmr1SeEpOnGe5PA1f8PqZ5Rm9nzxcQQJFBqmSrIfN+1nlXD7TlX
sYmlOnUn8kQEt3IfOcaBZZ5659uoIaLG2JWzEkUeSuHArw26PutQvkJgL3bjULugJJZqdfoIfKwB
cp5tFz7jbBmQm0yfrWBmUNDjBWW1ltfxhzc/TteIq+Qrfj9e8/1DeB9xHrfDOhUkgFe+SilHjgtA
DavWrnl+EJzDA7XJuDt79/IXMCpdx/uKoCn5C8BnOm5NJW3X8mw8Ua02g1rbybOTOVd+Gss6ybN1
VhyVJLfpWwaEvs0/BqXr1RCF9Uk6cz9/sq6EcUOzvPyw7MoTlg4Xe6FF2mpI1Pr007FmvnqAv1Xv
oXnCbpqVxnIjHXd5Dafd8udpzN/HeQGG3ND+ca2UlMqzthcczbxIT4EZD/uOsEF0Ca5zhL6Dy5qC
4DNFmIRIdRt5elM6z31OvlATBrf4ucW90lQ7x+7WVhrwIDPyo0p/YZsp9dE2uxxFABu597mRl2FK
/fmEPPZ5iTz72zE5HA39wR/59FkGitBixFKTKLRyVVmddE13I7xxvH6eHUyieSLddK+uG1T2Re2N
vTpPC+RG0cYfe3LIcmwkrppjBoh6q9ab3cfxZGKmYBmRdyg9ykdxfS6ntj43VQE+tNe7reNMzUEe
k2c/N/JYbjP51MU0AqrltZ9f4HOoxGBQ+zh+0H3gbEHBc2Rd+odp6BCNUOu5qUaLebQdW0uvy+NN
MQ/lidIvxVED/O3n84vyNv5qwE09WDQS+5IJvKDLsRkyx/1i9elK1ksai0CussysU5BhJXcmYmM6
ll9vfenezq3WICLByvYB6/GWYVERmCVclgDrZJB5rKarGieHjuo88aoO2kXQQ1shVmJh2j7pCpiB
HCgo3EPStNsSBKD8GEcmyK0UsL6lcDYJC3tDl5nwinmx184buReqGATaQBVL6g4FpTUWgPKE3BNN
RkFGBUkn5zdaCUvNjcgblbMft2U20DX988e8KajTpWhgAdVRFi08V6Q3oe55N1NZvDeTWr7E+RCt
cVd1ezkU5L9arv3FS1B4CWXEF8PN8FjxM/V0oNl1UmWaMc0z7KsJblsbrVk7/ahy/DNSZ3EPRmvv
Rg3Cj4KIPDePZLXknytldQRL8U9f5dfXZd7E29LRAVzN1Jt2ME+2npsn1YJ0sJC78mA+n+n4pK4Q
RyPS+ufCoSm5UI4/L7SNEpyJZm9/+lq+rd1+NEgz393a5ThegMiMl6Cizmr3KviI+ZjcmPMev+f+
7Jpf5BEjMCp9IXdFjhWppBG2aNawhSvyqqIAXaUQ78ASm8cqHKpNBi4SomwoLq7CO4uMd1TIiQ3n
S3huvndD8kisyqSiTupqsuMGDVKavs4hmzdyT25CpfcOvprj+P4cA4jwD/965vNLDLaGNfNzLPcC
TBzwtAwCD0z1hJuQ0p3pjEDH513SbNVTXbjPuWGSLD5f0swbuSc38gp5rRzO1/o4VD+utclJIqBh
fkXhI7+up30Vq/mpDcobKfmSJgh5CGrDjRzJ4/9chVXIPvhFoPQJEzz0ACSTe1c3TVjtVqRWyZaZ
bIjJE17hPCH0zA5EIuL2MkWA2VU2mCorH/aTrIBbU+Nvs86ChzUXkZI5vkC6eDVUmitHKYaVPFHC
+7UAWiPesOaD8hp5tT/39vtgIrxchI+KohTtg1cMNDOhQvr6RtUFLUffo8JTIQmPNOWYyZJ9NDve
uN0NZ9UcgSQVNibvYUzGhTwopcVwg55sxwBAuFW0Z3RrxM/PG3iMQ0mCKD0LZ+5PyI08I6+x85bO
hdyFhYdVQjkQIeNuXSv47nYifieDcLCy99IBezNa1ng2iUlYYjv+LjkZaU9CqB0DF1QmI8CEEoZn
uTcMZb6jmJNSuRFUq+c5X1+2N+VsLp0nhP48yhnJc/VEAWM+l+lTt6wVU12rxA/WiywB9K93JHAT
JHGUG3WC67hB9OGx2DOJGp7F3c2IBUsUAha9nLSA+UEBaUL6AEqkd4X26JXWq5BqC7CiQRcmX3Wb
sB+zSGkPtZiOjVJ7lEwMgC/JnZIDpLSwcIP7hJMhNzCeMWiHYbH/PDbMvnscTzcuj1gPxGTox7MS
36SkYNTUR03zFq+Xf0ND90sThtNpdKGdWBCEbEfpH4bEVG8xsF3kfB02Dki30CfSbp7r04y1MDoV
DbnQTfEM4A7leihAIweWSVYAsBhZfq5J0zx5JuKTuWYnDyFY2LlKRpG+AbdOUCwP9kqNovU0L5M8
x3wOXFhJH13yaEjAzo8HuaCSh2wx9PDOovwKL6oAf9YX7071JOt6NngubjqdctfmAeZnOWnw+Lwd
jEjjb2ZETJuNMOO+O//RsrGxj3WbgF9XWIovB6pVrFMJGPGM0obrx57cjJR188Xn+N+uqfVe2XQB
EJtBkJX3b5f869f6/KdsC+q+b+ugKlb0By28eUl/HBy9PzqVAuSg0dv+COauR7PAGW0CfeH55t6m
pFIu5DF5VjDjXNjUrtdMRwoW13jA+OC6uP4oPznzRp74ODsPsS3kh8a3tz8dx2YM3AROSpW74mz1
KgHpuWose2ccjtbsR5In5IZ2MB/68u+zOZJe3TPym8aq0HSNuk67gMQFgBB0Dsx0espQq1He0v1b
eQmSbHlGT5yjbhtP8oxSWHfqqJvXiQxpuVzyeXoj3DBgHAjcNbr3/zme25TG4/7FLLfy2+uDWt2X
ynj66ZuVu/LHkGdzzn78jOoYm4uorjVaxoEZait90PgectFvKbDRi5DDNrB4A3ICSihve+JeNriT
fhyTJ6pBnOOgqmHS/H3cq1zYftAblnBupo05dO/RPClptckGWDvvyrHckxts0Uxfsn2ERPBM+tNZ
xfBwkBQdloHjB0+Hej1RsoSDJlPDM/wTtIOFEv08Rnz69cZ4ARN2/ElH+kOr+bM2U9MRgP4izbQ0
y9ZV11J120Zq7Km/SjNjMcF6oo+2dHU9PToT0Y5xIsrnpB/7jRoG2sY0o/I5GgVOXu5QJ8B31u3o
98LfTFhHo2J64zflfyuwko++7r1Hg6LxKBuz+whJKLfK8QHFBnUmnVplbaqkyM1LZ0w5EzVbt7ra
MH6XuBuqj6Zd4pFwaptitnibPK/TmoL+UFqIH3AiOYYwvycKhvjaqF9jq6GLMvnjXQL+d4MUXNvh
xctwe9Bq/mg/C1bD2A+n4kgRfCVN3h/d6CB+8FsSmzeWq8KFMa2HUhQ63Hp4IjrxwZgZtH7XjPnr
NAZ717Osu7CqIFgU+F1EULD4rrpn3mnV7TCQkvzP5KLMAvAnQQCIZp6wNIN9GPvsuygy62bUu4Yu
N3u5qjbrcd4T87GPPc/cdbX2zR59C+OJ77THeip31rzIdl1bW3dYclZZDdlPBFSt9Lnzl/w6TD3t
57Ol5f8YsrzWH+Vrp4lw2sBN5ijO6k3YbvcKrfaNClL3ClziY2c+kqsUy1FdYCxnAplqanwKwq6/
D8wm2wVTMy1jJMTlcoQaWw4jd/+Qk/Px/36fznroP96mpsr7xUDfbAL5/fVtWhBP5kPM15Yf77yq
RP+2ztW7iOiFK0Hc4a6yRX8QRYOU0tMovBF2cZuBdScj1A2/lJr6RqGw+yYgrhaj+2a42UmbLdaZ
o+QXuRcTI+I57cmKqdt0gJ4ge04YvWTPXYkLnalI2W4rbTr2Hl9K6/vLmLT6F6qCYpWjeoUY4U6H
wNLtTWj3xr1XATwMKiJp1HZBuHfyPz6+xvxjF1L6PgvHLZTUFshBDUgw4m9bM34TVucYkPnhIayS
KbHSygARoWFTYtXmt6+h5c+6hmUhqMcrmTPAP+gRXlmMZsRpa9Vr6WX0/OZjchPORvg8NpsVlH11
9XliCJ16/2GA6RS9OHjAH240rVCvo8H7Hlz2mmUgpQsT19qIU32pxHZ2yc3eQ0fDniK8H3t5k2ab
/35vWH/cwkxk7A4idke10FRqs1vh/RW7UYAaXft/fRT6sK6K2aCFldVVhmzPJ9BZ4uKhCuyW2d4y
SoaZrj+mfDu/nw0UAifTyX1EIubvKd5CcaoGdTOCKV/Jodw0QdwuEbiPWzQr/q08lhXBnW+J/uRO
mC+ErpAfHpGVEJnRl2mwzA0F82jvlEX0kOjdC0Xf/o00NXAweZrfdcKrDmFjmuvec4srtb8HjB/I
w+vC3sm5rCyJy6GczH6elcXNzyHfQrT/71+rrlm/v7kAw7moMAzb9pBgO7/9XlkMumnuk78z1SOp
a4l+JZVGv5K8pV3B6GPa1LyGkJC/T7QZDE8lB8JIG+wy4wbu5Ya1RrkIR1RiCPLb+zBBYYRsigBU
r1LJgSO9ynBLH/t41x/NlFxOqEFXOOii15WLHvQWPUbH2zn5YF17Nd+XpjerkNkUbfvYtUI9UxX1
72Pgyeu6C6ONLSA8BcL5DtkTXjbMrNsQUOyW/8fjmKrop/ApbikTODe2S5CupmfDs3DNv0ZF8VcE
b4Cb7ZtpT+zWa6ub5rUZY+sq92w6oZi6bA2ElBEdoUYM60TU/YsOVxc/ePZO+aZHSAU+UencyxC2
5TXtMBcareN/DRMSRrBUKeR7uhWpozHS1PlEbkbPfeik97alCsiSGiq9oPW/oq84srrOkOcML22F
/Ro7+7hz9KKBXuMCNBV2cg41TOtlaftnYfY2kXAlYHXQrie4IoTmRpG5HnIvePZs8hcI1fX2cth4
IT+fXl/7+aSiIYk14ycSlt2bhdJ6V6klsWNi0e1a+RjR0xlPoYoUg7BsOjoIE8fCA8w6dMRv0hmO
QaLPRbNWMSDq2iTdGYQL0aZIwhQTIonxUaGQj2EV93Lj9kyeIkhpB89Ny3vHU9pDjm4cblVbMImo
k33uzOE4PKIPeBE3ItNEsYVOXK3aFB6xk1Bcchs/+kvjw+63qvslbpOMQOx01Yyec6/p5n2CFfCa
3efapMB2Cp+kr4ypjXKJ+/ipjGLj0cz9j3P46l4qPtWWXMR6HolHtsXqXg4tYpfctSa0R+EF4Re8
ARWu7ay86koe7W3hTruC4tBVEdw+jBAvrW4WxZ7MABouaKVbM7vYWUldr2MR2mXQmMzkXMOWISWq
Gm8IGg1nYxuZZM7NOLvbpqm/h2ywoC/nn2RpKw/iv2IvyUG/iqPs8n32+ywnzZad45srQ8uUox+O
E4x1UgM8pPF7j6XhWQOJtyliN7/Leu6bva2Y0C1I3rahIf41BubaQbD1/t83FJxIf9xQmCQ5pma4
rkqVz/rthjJFdtIJHHzLoo8wQGuGtsjCYY7I8dvoIjdq3ZgHUzF21XyI23h4pJIS7v3SK56qrFxB
hW/vy2KEpBcuAroda4U0ap5Y023MsuWLG4/1ziD+jZTReWhz94ArR+W0XI3p4OxIT0fuRhKxq2bK
DaJi716FYOaEaXI/euHZbKIAdqnX7bKuty+RDaw7zQQmT99foOhPFy7+6Bck9n+1qpq+B5p7pHSa
A7fOSZJyA4MaSvliW50HuL/S9wEWimVAUg/Wykl54enro6zpydVoUX5QNvQv/cjsnspz06kwjwmi
n8vUBMHXIRKFj4MtocCYSJ0dlViyvGqXcPMBWss6aerw+rkZSu9KuarhEzTA7nCTbV2iiid2QYfA
lJIePnbZ7WQIDBURsJcaCObKDMmP+tx43pSdEU4p2rHKO/1tjEi5iB3FXHW2lWxSwwrCzZjE0VFu
yNZAiFYDa21L1T4lY/VjI4cW3pvFh8o0ysyN0hr8Kg2CfaCuip1wK+2hTH1voyuWsvKIqlJ8x7yh
jVfuBMGfZO+5q/9+I+raH7NJWzU002PqZBrYGPXfZpMQ04nFifNi+SUdxvA8laJ/JkF7AWGue2wS
pbjphvJZHoY8CJbYG2+GCDOmnG/nJGhAPpq9mXrF4yQhMRjO9SkrBv9b6yf7Vkunr/FkThgPmvFG
TLyZJtSL+8AfSKe0bJ/phmKv8wloVgK+k1QXNyj3eOd2WmCCdDFUextG+XiS+hsp2SFSHbbJ6Hob
KePhdkJjwNICcoy3qCLdGG1kXIBBK1mpMWEyNnmJXRfeWnAkZDU8ToOR2cswaPkLKnQgYiN56bR4
fOeTdop9oX5vG7glU+DxBr4nigohfmumyyIOuDOY8fyWmu8OpvZUYGw7ldxFFmRgGnf4ndZx4znX
j1EArZbEyAiYcQlds4EcrinFa5Ra9slo+x+bgfjnfdrAkALctFb7bo6zTncps9y105K2WftmvZLE
Vh04+NZTY20hhxBQ1nZomw9pmK+NuHcec5KiTnasjEuwReVLiP4XG59mn1Um37g0ZoqVk9GLAHBe
3hRYf+A6WuoLOSTcGcCnH9VMc/H6QAtqYS42tRL9ZcRmT3AsLhMrbsSu30nlAPeahJ/+0ZhLjXYL
78ZOH7mdpFvcvKxA0ZMfjMDB++5MwaulP4DF7t7SqjnD7MQjbh9wgkzPRqORUcNtBq56Zt6CXMW0
WIzJXTJpNw6Z3kdr3sg9uQnKzN9NBNUAkuO4juSYOfddVrYEwNTAQ52xAan8SwWCT3+/VJyOdW1b
HfN5I9qkOsqh3CPU4mtFutmzFYDMUUhknpyDTs3HG0v1qigI7upC57FFyC+EUgJS8H4fJ48vQkxV
SUiRFzUrRG8zUNLKwxXGtmaZiYCDDh6Ius3XVSo04Jn8PGvk1ETZFSqJnBaEaYfkJ0CnctvrSbd3
a/uaQGrZk2QTXUPLxzPT9UCI6cE/Rxl/bqRWxa5sp+G5G8VfVhnWV8sNIcojKo/gv9nYR44uadLL
MFObC0Ju/ZRoiIZ3/+MeMtdFfll5UbC3DMJaWJU6nun9tvKK+lAjXQItpBso36AW6WeB1+A8ZB2J
UjEhKfJYKDQ68+N8xtRVlFTjBR9WeCodw9qCfb81h8IQG8KVq3UwpRRGIcXvvBRcV+EY/+vGx/3i
j+9aUzWY5K7m6obzxxMYj2tG3Ru3qd7oEw7Y/q50phF0M3N44nB0WD5hf+3f5QE61M1RC+qb0ptc
Eu1uROrZ1KsZRDxEltmoZnsbWch92tTRHr5ZsZRnex6od554prHBw95NIN6yaqMqa+rBdcKMdioh
XzrYFU5ZGyn+wvTJK7Hcl94lPDaeU6DysPWBtQHECQ0lvBsSOMOHBCzhonS6pxTgI03IhdqEIFez
1H5Es+l86Rzo8ShUxltDKbyNaD08ZC6NzUfFM1+H2e0S+NhSo30UqfGdQYzU7OjqmMwBukXT+TZW
yBRsAdi5ofJEkXqkpYY7/dJ0JRJIH3OvDn5OHpIbaJQHJWgIla46qHOCv/qxy8eCyCYHhlfU0w+0
muEtn2AFyF5jJvhdBSooHTmT6wfIBTVlwuXHVFulJN/RhjFVVexHNDDYKjvxOInuGaKG/a7Gyv2E
Fe3JCE3uyqXWHVjK0ChtAxfSKzlru75OBxv88qReuzI5pKUVrf/73W/of7yPPI3ejcuCm/et/fvS
MGqoa8VWSq+8cvVtldXRVW48S4vIJUgQrtp+BMguYDgfG3GfESCnL7hJc6ujc+CePnZ93nc7nL63
8liNqviU+Rq6Ig8p7Z5HeH+Pk5Go90axTiLwTNhCIc62boq/atklVhL94JJhdgBrWRhLOdZp8xz+
+0fW/iwzzIUWDdqBoUMnJ7yT38lPZQYcYyJwagitLNirjVurogbtPLhHvyl+bMraAUbaAy30eXOT
t9M4u8Dpoy9Jb5/HUERnUiMpFdHfnUXvNAJ8I4cDSlFqqWHtAkpIb0iJrXgZKdxYVl0CuxR65bXt
qSOB/gVoD95iGNci9ty917v1faLg+sE9PJHFpWn4fjV706RdBB9ysjaAZUk31BqoOGNkI3BPkTWN
enYTzlSbhtiei901S1srv5Y2yt3JMuq7poPkzG/ox57Iq24/JtZfgg/quaoa2KBjOTx51jgcolnq
zxJyeLLANKyY2BLENNseC9oWK6E7YtVqhPeM3ETptQ3k1Bir+jvLVaDAehLcW3qjgHirv+ZWlZ90
3VTudGeoD0zUWTrJ4bwpavGgBXulDlAKVZVJwi1LNh46V2DjwwFlmU34LlpdwiKUQwTA+qiWHWyM
XGQ72Y3tk0I5i6lYDX2VrEvH6XeanVrPSt8+qXaHSLIi6+azl/xba1kfIgSRTbeuCB17Rdxxk4R6
8r1QnGUJaypaAH02g5D4IKKxdyEWCIj8mnEUjmHcKKGw1ugb01WuEQGjBbCCpaZCRKRKVEEYrKW6
4jfFhTwrrIWOpKvGhmT3jnJwnFLJFwkp5YShuMmqi9MGqlnfnOWe3LgOVtR6aI+fx5uMCiCuY2ul
JwPG7CbrruGAj00lrGSH582yUE/94HD8guH4ucPg/XGrcEwd9SXtAyrBNojDXz82WDtcc5zA1pBA
pemLpoi/SbjDINEPMwRCYh/kkAj320nAOTLsIqEfWU7XwU9HJmAVGrnB+UJoNPPf0lE2cugY+rXX
MWRpidcTHJqkIE+U8BIZ1ndm8Po1Uue8chJXto46mfbC8TNW9b67VgwRPLctc3gbls0tjVDyZOsK
NAzih0PZUdoNorS/6EZ961iZsZcjeRwRLp0w0qTACNCd8yZkY3ENtOxTRv6pJdcS5N2tSjHDdxxx
J6ZIP3eQFEyD0NJK761t1HohVCQ/sLZWqX0JVbrdGh7NM0nN71heBMVUPtZh4b6nHqmPEnCH7cJd
tqgZgYlycupNfwNfzlkpx8jL3cMQKM4BB43IF3JM3S3dVE7+Ikf4xouVZRt87GdtTyBFRXYn6s2o
N2C5eoxt8STGr06efulU9X/NQ+Tk6OfJEx45bqKmwd+HxpP1e9maksnoZ9GUgidGGwTW1V+CTfE3
lMUKwlK0/K6PlH3m18llmg8JYjKPSkcc54iWYiZUFZNKmbvoQowWephtU4uFczs1+qF1M+4AqXEL
9KO+bzDIrFHnRht1HhpprJ68rL4j3rqJ9PqcD3kGE9Exwos6b5oCS0HG6nDLXIRibm7alExc72Zs
iy9Z2jkHOVKRyN80o1kuw0mNQXjxOHd67h6flhlM996Oat2TtNJEBLwvug5pX1fBddQJjPqQ1Va2
BXYNj+uHrHZyi1sX9/Gt7dg3ECXVHz6SwNaHvR+54hSZanhPyOBXNPvlx0hzW+SeDV4MeZLCB6xC
T7P38Oj2tfCyB7kBIXnMERxVwXOjpXBcyxEhTzVWmLztEX8Gi4W5LkABZLgoVg7sV6c7Pbh1ctbL
sFtnXXUHw2NNRB+W1pGbx/+YV9hzBej3N4ZtzNNT4rD/rBAFdGY6lhmIxrz0obOKl8r3B9gwXXM1
mLotG3DIBx6eSxNw2DdXi9+K3CufaqIJ10yFTMzonX0cIDxv+rYKHyn1nnAPkfeglc8FaSLLtk60
W6VRmk0aujbXxzYshfIOYqv25DbaurTj4p6Vs/PQ2AUB5Ir6NEBoPs3Atxu3d4KLN6KpkJ5YRTAN
ziFi7sTsiXWySNvUuvY9xYW6wHmvPE1DHO0nq2pXotWUJ0wf50lPxcKbQnEs45jYXMIcFm6qTa+Z
yuMKttWjJYr6cSi/FVTTvgBCoEgztfcaPzzJqJq/recn3+dQPgjlsKs7f4sLNPz235Mf5/ebuAP+
ClCQxaPKRd71+wc2GjRddeDt88zKOmyV019KkJePLs3Yqx8ol6q0C2J0uvQuRJgjR2RwGQ/kM8mB
N19dULIauRHd00jZBVZ9KXzynQJrJM5n3ivMwdxlUb0H0AgqWSaJ4HEbj6kpyFti4Yv1QBw7FXWJ
nL0QW5PfOFrSbHUNoVAKx65kmk0PvXzrC9IxxpHnTp5DXEGF5Zw/3RGOmzgHqkvbT9eET9LplpU+
sEqrIkeK1AK69lr33NlgM62+PDa+SDcfq1VPR0+iW1OyRYzunHFrOmRNsTFTmvVV2xjraCK7uGwe
Jkd4D2g3uamHyAvyxHto+xJ/wMyuKKyv//2X+r1nAwbKVV1wT/zngAX9fZLqUOd024Q3mKcUyeuH
FSwPjTx5/TCG//c/p1ue/ttnFu0XRTQ+s55FPLih/V7VLUSvadFQfjfH1LqY/j3VEeW988doqXaq
uFENKz74yHo3eC3SJ9cZH+QVFHMf6YIET0LtIBxb6A5LZTg39TSe5Z6RFc4CGjzPBjjV+972MDKG
2fSVlDiqj1n79HkcpcH4b8cbJzQ3Pi3rDTVGQfHLY506JdoD8/Z+409qvda4Zz5YijkdTCtgBjQP
DRY/14zM1QFYwNFKkdxl3qgc7LFi5sXMEYX3vGk0c9hVZruRo5FcleOgm/7Pl8gz8sU/nZYHP7/M
5zVACvkHAmTSoU5wH7+BGrtdH10KmuIrrRDVc2mKZym4ABpCsObkv9H/8RYtBfO7KSqLbe3xMIGY
Y2MWnvxV5LSbBp/nie55eA0DZGELAa+QOBIxQLyiehzPG5+567UJcnXjO6NLQBvHPq7O7Sk/jQmB
Pb9eLL8gkrJj1KfB8eNa+fV6g6lp4sEql68osoyeDx7/fmuiX2eS6TCW/57HrKfI8+YxtAmPL9N4
uuTI7i81opNlVlo4u7LpcUoi915XCmJ2cvjesZOL1048KakefB0olG8agxk3ltz+Cdne3giD+hwa
Pqo5t6F+HlglVB5rvHZuCiFvbIb3pH3zlNB+HSiKrYopy87AnMTZsComRppZvMU+wm9PvFc6CFyj
DfGW1epIBX6q11RbWxonKA0DS1w+N1UyRReVnOZ/Drv/7LUNXRiTqctCnp0DQX965RgDMJ78WKXy
+cuJWO34F6g+BnqfHT+/sLwsjSb9QILi78flZZERl+t60MalHMrvpM2abOki+97HSeQvdYKdjrYe
NI+GiTcuVMwXzZm6Db0PZetXevNiu8sg3UXZ0L/HxAgsI9NyLlRy/ONQd/E6dYroa+oPK3mFrviz
v3VJRs1DlmvwzHMX4D7xZrvcqP0HY2yeIKe6b8Q5QWiZmvjebKtiD/oYKKyvFs9emh4Vot/fWE+p
C9cniSGidXgtle5k13H/rIZlsdHNpDzw+HVviKYi8LFQ+vd+MlYuZYcXVlPJuuhrjwYvIS6JCJGo
zFfEzS4Gkv4WdiStVdj/zqruhnDN+35lVr726hjf0NWLd/kmaVGEX0f60/NcQqyHeIxfKpI/5BUO
3nogCtV0C7XKIimN0E2lLc6EQ/3YtPRstmLo3j6PEyPF/Ozzks4cXyqnd7cqUN6fXvo5tK0m3TnV
NYNYsWwLJTrIhkQeiitT4fG2ZKn9YOfaWh72bc87eqmPU0b3+mejJt4hyctsK89S2gW4WuuAyOVZ
/ckd0+Qp96n7qUb3Ki/C9EiGKyvQlRymSPiXnZXHB8sg1IpImpHklrI4dia5q4sycguAoow/N3pM
HQsvX06Y4T8XJgHSKzkuXf6APKZ/eU2qtco2MaeLTENQBqtbFTXzJeIBzEtbdbazehrVxLjo8wF5
EQsmgoh7UgWcoMkWqA0g+gTEB/ForHfSXlsp+t40sG5avkNsIBYj9BfqFztwwFyUBDc3OtgdkSTT
tQsaYztL244ZKLMj95lq6yEBvXEs4nBzrzMfA7weiy5Tk7eOalPpUYrG6HbK+r6+aACclsrUOCe1
1sljLiIkl72ZBBCeR8r1nwc/LyLW2DkROJPsszgjfY8Xo5EsdgLQ73BL3/fem3xbrOopMw8EXSFv
TYZzZ3fkk0zT91hLaJKaVU9OryEOWYcQSiekkDelE6LZAnKdJUwtMyPimWWaEHccE3sJ09nAV79W
MZCs2iGvK0bIiGPogTJ8dSLkL1uAi3Qfokp0N9ifDmpqeA/yENl6eBGmB22+nGfvqQ/RBHxc3aN0
mKbQO8qhT7ICEJpY7OS1Cp38TZrFfEbml3oO3Xy8oGTYz/+SRR/kVHcBNNn5nxon7P74eXfypHz9
5G4p2WQf38WgVxdVb8ePf5h0MJbVVWmsdebmRyIhKEwXp9AeqSfNg6QFPZ6ndrmXQz1X/F1r5txq
57NiGvs7Eb1HEcZJeaQuIe2Zbu0fgvkYSZeC5MEkh9doKGdPL9+BmcKkwt56SoHGnywBH56WFv7q
rnmqGr36RgMdSndrfE2oIC5Zok3cvoDQA5WctiNotbuQj9miS/rpL7uHK8BrWKFgnEQhc9/Us1Bq
nNqDyPlI0JwtVxpnX/yiwPpyVki9OSamhQnIVxJsOYh/L28k0uSXbLKKizwoN3JISav1mlOUkEwQ
lBeXvtj32qIIC5YgWsDFQKBoVnjog/401L31FvhwxDE1T1+GJAuXRu4YD7ZdNyuLFOnbVgCpn6zk
6tRhcEe+34Joj+wLD1S8ZrU3Lfsqh+3rUK3Fz1wd6qiB9UxXIzXL9BErk3URZoy2en7VMEbZJsqq
bitfhYXxmUqZRVHNcHjnZid5VYR+dWdbhJfLYd9R+lXaVIH3kPTPfv73ixXvaPHJXcqrzALg3NiT
bP3xpanXBEMFG0/h46645nd5OLDJv67clEYBRedd01TdymdRC8HKIzwvSOuzm/XqcijK9tWJx8tY
RMmjQHuz921WCJ1hN6/ANaI6Mr8KM+836Ips2hdl9USO8F6+rutYUAul706wvvJbEB8zN6ppXiva
ogsFvP9Nia2bZirTFfkVe88+xoKbjuiSlKaKBqeiEAkFEk/BezPBPyMFc6fBoHgQip1uk1onUDNK
hwe/s+KTYqnpQp4tCiHuwLsu6AfE3dLP0rNn9QbM6bsgN+JrSELCmiDG8a6kR7AUWd08hTn4SA+c
8tcxGR9zgpS+jXq1Dmt+yoXPA8CiemEksbEajc6/87H+5iR0xIbto9kn8dOaSMCQ59L5GDrvJRx/
Uobmy0F244PEfraUL+gsgn4SCArLZOC3YXZD8KLwdvvY+zwWOn8fk2fLKf75Onn2//g6r+XGdW1d
PxGrmAneKgdLsuTsG1ZH5pz59Ocj3Ks119x7nxsWEQhZFkkAY/whm+v+1U+O969R/rd+PZupo4Uo
xzIfynBL5kzDgkgj9amBTVtYBY7zuRqcYq9F7yCeBY1lc15tDHLR53uNPMP6/anCKeUgS40cow5K
cMrlUG++yn7mJ5c+xKAP2J0GcYFPk91lQ1A64Dz65Kes+vpYEtEJ+6Jq+Y86eYrU48ZveF643//8
YbIerXVwZnka7WTDV9+5i4vY3irCN5d08fyFvr7L329+H0YhxbPoNLPf6r3z2k96971F1IHommtf
W2x/DhizjGust4xPzfwpO1SgFlZ6V4sH3jPxRSffuAysrPte5MPOcQf1rbZRFXWDxtpNaKc+z0Or
vo04dImEOA6c4mZeZRhLHnyjbRA06aa1VCHPFdW52V/t/hwIu7fL7vJ66yL7/ut6WZTXu08IA4Ja
M0xisPex/1wr+8kB/jX2n8/uZmQDM2u586vQuloAlo5x3bzKkugt66qmOJgFg6YsZJ2L9OrV86t6
3eT4sMmiPJhRkBMVD8xtYvJI4Q9RfxOdlRxVLQs3JcisVdH5+kkeRq111/rgYpw31+mVZ8yEDfVP
c6zl5gLgsL8ZYt9DjoqUN2SLcm27lfVNEGCuM9KbA3gRrawwXUOO4Qr3qvpqqBrzA8C69cQu+60Y
tQdbBC7+C8OqZ9HxVSoqQ5ybtnbPqSXIXmaIPcpu8mDOF2D+NB4qXYEGTulrjPkCz+0+CTGhTju8
EqNi7okwUW+NMgkwp8jXRti7v+M428V2o/+qbeeouVH/s07rR/Qfyx9GMb2UQ5l8T63xW8gU+601
UeyJkt77sEIvx2mE9G/vZwOAjdx+q3TEAjzMsF4rJGWWSdUsQyRSgZQyYaJxUk7YUHb9S2gE04K7
WTsKxelf/Gn0Zp8r6yBbS22olgO+UXvc9oYX1TIwDG3ceC9bmWXx5imKeidb66zFTBlFq21XJNOi
b+dg8NTiu6kXiX2ytRIX6FqL1+pcDF0H+TKA9+YJu4m5Rh6+LsBrs94nfvBLQ/UCUcPPLBHI13Y9
JhpD5b0niNobje9+Go3w1ghXgGh2IxXTrHzLz+V+BphkojfmaYepjepnK80eK3wOPvF59Fc176cH
r2jy24jDsexvor6DE2QY8vWicWnakTdLg0ybekiSC+I2yUWelRN+7sSFsUT77wa2k9bWr3Bu/FeD
MSTYW+r6ITVajcjcfJk8ZBFpcUgNgRY7e2hx8J4tMjMI3pOvQfj2AT3XYDPUdrH4R6XsJJt7O1sA
wRx4KfM6zhJyfAXOx5hK/OdNKl9riTFVC4J6xdk1mngbB6bAbDifngyR/SrYlX5XDQUQmMJcKoxi
V2RC2wbolL0YmnuzsXf/Djo4wZxJm27ge8lfCfza7TYqLvLAIgjtrLr1d1OrDf66npCC0lkpr9H0
1m5tZZP7U/GkQ5v6mZlPPGNaqqC/9owlp7nJHfdnO1vyysPQIwQttZ2hfFkrg33KUjYo+bwylS33
jvfrQqHm66EY9IUc4d5wLwo7tfGDmhDr6jP96pd+urQQg3tJetRCRCqsl0RHHUhg8fHC67ZaBjr+
UL7RN+S7g+KlNVpkXa0uesHTYliKySOqiZfF0sWDTIc9uuqyAJ4yZBykx5Vmmh0js+LgROr45/Tf
ZZW1xMYfQsI7y0jzF1Kq2Z8goeVTVLBoRIj5LtB8L8Jhxh7PaMLlpAT1oUXV7WCr5Z+zIBu7BIMo
Wu7N8kzWNaU/7oru4PC/YL63/DVbl+GcdU2sz7uY4ew27Qlud4V3Wz2cB0JLbOcy46FAdFhHsS9Y
WPYPv2UpXUfN1Qg9HrhgfuRrR31RDJiflVl4j01m4ULeWc6DmVXdPhI9D7UbKw+q2/UbtKfCq9HW
GWbHhfXCfgc0iynCb0pgPAI8L9ZoQSDPnZv5zfVB0xCDfND7OkfBDSOOXlWYlCnJQ2AmaKfPqbQO
x6VkCfiWfLunFXvZLAcpmag9oV9lTYodzAEEOw/X/AGyzuu6fGWG/G0xKdUrhGHftLWzEwkXaJ03
Lwr1M46W+jmxCQgvkJOf857uKrdtnGhFJHC6tjNkYQcXxkfpgn9g370UZceeG4OYPy1jAsBPVFG8
lL3/caFutP3GNNjb3HvLwWRHJ0Oz3evwFb3XybNh/tABEbSd7Zs/1Fj1T6Vi7HWn9LYFa5gE7oK1
JHTpXRrFzm+I2tfHuo1+qEZa3HR5aDWPsN2or2UP2YA465MROMODrEIKAs3tAF24NOpP98PguL+5
F+DBplZ3qpvUHxdW2vzpooZTwwSndpsiQBrXaVObkL+nP6L+APhQGQ8Y9xiPsAyNR6vsZ7Y3gDlZ
lA2osD8KZXpiwtGnVyuznqOw9FAvQ2hviYce9EhCrasYI4cju0zUWIO0waYUvpbdJcnVm4T9NASt
t6yCkhy4yJ0n3y71A94a/UK2ykOj/PRdyLt/aiBKK2WoI2BOf7sorX0cAI8UXVNXSxtRuVh7kmN1
U+ZDTTZJTc6fhFqou8trYplfVyJqRPKv2sax7hwQSP2Tl5bJaXmIS+yaFvfyP/ooyS9oPeEJ/iTr
W+itu7Yohg+93A5FW342IUysOjWybTiI8hMdhCDMMyxgnXpHjq7aoOddfqoQTF07bd4QO2z3MYk3
XpNcbRYANBJVfRnGEr5WaeE5Ptfj+XOB2q88pZFvH0VRBatk1vsZVVB5QxtDbFLwRY8Qc2oXRhzC
JetZCD8Y+YCHaY+OB6Jm1ho2qb2tZ2fENCghUwTuY547wZPbgyGThomOle87XDtWskh6JkdJ1sVX
Zm5tMqLLpfNqQTnD1ApPMVnNgsVaMwNDnCcxeLSwo7oUZlbsh7D6DeNaucgq7LXrrdm00Cw7JTpP
TNdfB7RG4r0Ri6d7vdIiK7EQSoOtn/H93rUy0Jy+F00PbS1MDjCq/q8Rp9Bo9mbabps87xZtRXKT
zYD2NuQbu1S917BCJ60WarwQVqm+RbCUtmZpY7U5F0sAuwvVIWIz5ab6JnTQZNz+L6IW/uNYuh+j
4SSXScV3qmLFec2Luj8awnvvvEBAy2/EtUhMTP2scFjKOtPHy2zIScJkDq9dACMPcNSNdZTDrpdF
2WCr4dYPzGFhkYLTF62iaGfbwOZUZcW4aNpSPwdFZNIC7+7sgAAhoiT2sp9sjRHuIK2IFFnmOhm+
eE5+GosgPLaN0DdBUFZPDv8AcihJ/LOefjSz7HSSGj8MTS9emyluFjCJLm5vdZ/a9C61X/KePbUT
2frRK6rw2jkDE/5sGpo22ScKVeqTlSBVCr1CWTdd3G2mQm236P9t7dkKyEi9z87M7ZfCi+EZKGF2
rH0nOWsoma6gRIFmj6KF1YsQPKNScVu5Fkj34LcCEPoUpaX90lbl92bosrNs61lQ632of5VQ2HxR
zZFN6nyd1SGBbCrjV6k2m7NOnMwzlmY1uhty0OyQgrgGHayECP74qnFVRsW4Vk158oGin0zUacKl
aSH3A44iybIt2g/5sTcbf4EZS0GgH1EnL3aslY9/xFvudiWRWITAZWvJzZFAM7k4tqe9xt5K1qKS
Y539JF/x0P0sY9N71vMS0EJhNyjzFcXByCt964eGeERRQV+q9ph/dEF8tWdKcQs2sdWH9GeYI1M/
Ohmg9QLPR7ctln3r2R9aXeeAJ/pkK4uqOi3b3Arf3EAtD2HLr+drtvPhOMMbYPLk1sUBytjlABlz
qJ2PNIs9YI9CnAy3KW99Ob0acz2abhaOLHWGU32VvaVEJz2UPreEI8RGcZLpotuRvtCNptpauJra
szEolWl9G6bAX7hI0A2zSCd6Se3BD+p3WYoJUpIUdLpHvUFCS9aFsdI8Dl4JNsLp7WU8F2WdWaQN
BLebP5oWsIXMPZW2Gm+73BT7Qidr7eIGsWzZSn2HpsSzlto/c4HgS+ARJpV9e91397U939VzX2eq
iZXXwT/6jlnm8l5VvjtgkI5fDpe6o4HknNH9FQKKeAUik7dQ4xZJlYrlhFnlmLf9o1Lg/Yed6vey
GIpFytP5MrbcI1hkweLysZm2GmvYq7phnSy/hws4psXziOoXGOEo/F5W0641+8pfoDm/CqA2Pk6K
+3uoYF35Xe3uPa35qYPKIKhXh2vRh+IUKLMeJPhzvHIJPG7aVBkejSFDfCksMDGeJepDcgDkkfEF
9aXQt9Frf8qd51bXvB+r61ijmJZjiLNq5roSWD37dSz/8B2vu2xl1+Hw0iVOvMRBrT4E+HG/ACMg
NJak2l62Vs7gEnkwvZ1sDc2uYt0VFDvZqiCGsQrKAQ3aeSgXdtxa+Kb/VZwdh9ZeHrcb2Rqkeo2O
c4hV8dxZ6TNlE6hDtbb7sUeYrmJ/r07eIe4T5SDP5KEYhXeo5kOjj+zA7uV7H8/2x3WqwM6SHWVD
5WERVyrNN89EABHDNfXZTwz8wrBVBqaWJhfFKMUyjtriW1WNq1FRtW1qhWLTdTUeTgTEjnpRx7c+
CX8b/KjfTAWt+sY1ukvo6jESJ2621EMz/5YkDjeFoj4FhPUOal0E6zyL1UtVIdjQKVZ4NGbbYXko
7bLed32H6OgQHrEaxSsA7NOfVnkmW8am44UvL1aSuMgXsimLMFuDAzv0m5BbDmG7OFiFFqrElWm3
Kzcem70sAk1/RAGhuxZaZq4AZJInHVKLdU9c7m2jsW9hZY+Q3dKDLMmDO4TFysk0axNAGLolpVnc
Jmt176ARSt6kqW181VlWYN9I5W1MRE4Bd9bEZiLx0EbEyMifvOINO55802QSmLQUn12ADZOJKJFs
NVNj3OMpbi1la6xlYmtVGHinQ8m+RH2KmlE/JPMhnYo/B1l3L8qz/7NOsCvdqUTvtJjndNTK9GHy
khQr58J88JJmVjQOy1Mr7HI7Fq44VQOpEKKe3RmTz2Ez+Ihmc6fw3LHMvJA2sdZq4FWPAxzKNRlZ
H9vgIYJ2o2nXglDWaorB+aGfjfI24pMbYaOSpJuIJ02K5+MaGnHvq8qPaRzJYziR/0ZWCuvYGmau
ZmoeNpoWmju6ax96xFy2o+9ol6gkkxiFTvvixfgXxVGTfUf+Z4/iEnyrnp9szPgpk9Y792kvnpRO
iCc70x+h4RdnZjDx5KchAS9bSTey0Q1t/QHe53fZXx4SNdkWnZM/ylLV8nZoCsDNjekgw4Jqe+hO
9cWfDzHqPQtoitZWNhCbBCg3d7k33OtkQ1F6/7li0g4ibHz0N5vhZtRoKebo5OA0n2cQRFqcDNiR
XpBwG29B2uJrT3p0ITsPqAmfoX9d2CCZwdqxvJ+Y1yu7Ab+RSzsYKssoNf0sXKfdp64Zn9UxAGbc
hGwrjXaBOpizU90ouso6k73Rciq0YSOLsqEtnXqd2K6K/AmXycOQjt12TI2Y2ON/6nIjZlbF0FOE
8GONCZdi3oNfykA4lbPd+lu0bIfEJFqBS12FGr4Ostw4MGE46WKwIf9Zfp092NBllxhU648kU6od
zs7RPkNXBmeeyl9pDcxPP21PSLrxW5RuutZdBWJKCU59KU9hCDZAqgP72WVt/SApH5qqvieOQF92
9qToQ+OrJAkfIh2/SkGes3PLJ/RqIEYuHLsxjoYmspdGRTic8Lmxt+aiSd5/VXaKu5WtJbqD60xX
y40/VupaGewR5mDaL+AhT+fQGt2bbzmXQZjJRwsEY5OLCcevuahP5caJuhJySaw9eBEh8Zg8M/ID
pvLQ8y5UKx/l1m4yV0NQ9j65AJ45xQAhq2Jd14O3+e105a7ScapRKk3sUGqMWOoZH+go2ocmNmu2
h7nKShgdzx0viOgqu7DiRfnHnJXj62Jv5cZP3wy9myCbT+pvZ5i6e5MHp0VGHgABkuR/6zT2acKe
rvISw+6MjaLn9apXNSNbxn60gdmnX3qrdG+p43hkPpthKTsPZa8d2BDgHNjCciexqi8RgtP301zM
yWgvktjKjrK1reFolJMiYNADlWim5tPvEuOMTXgE4DQ6N3WsPaKfT/IuBoyECsdCzTvlwYGABJE/
XQhHmC84BFgX246/yWpzKMddpAu0reZekCENYDjRR9+YNWCV+IXgvvaBsnyyDtp4APSGGKJS7RAT
zNYCGci9n1jjLggGsTb7Vvvoq+mEl639VKLVc+pUjFrkEJYfW4vJUZIzvuHN7f8auox3oaFsc7X3
l1NQtWvI0Zq1UKqiwbTTR9AcD4q1HqnNRdbJQ2GGFZNtGgOqq6xgrYNzQDTT7zeFURrBGqEpqMu6
LzYgUbkvdczTMN3YmUmT/v6vk9jC+7gZ212liH81NXNNRROmameBedW+mSXn74d6VpeXxX6JAmb6
dX6vlU2y2GlQkVI8H1YeqIgBCsJ/rryPVq3uY0jd+vvlX53mMfJ5DCtPYTgWarUfE8XgYbGaV3PU
SZvrtvMLqFYx9PbvrlGZT7rgPYqcaJW1mf+YFE62C4tO31u4158DhBLWRnFoEYk5GPCaFqo+eiAi
mvbMXPUSVIr3nAlVvRUpRghh6j3LDopeskgp1Jusil1eKGrbnGX3CpLOogxG61A55FjapCPhoaYv
WA2X+2KIyNDPRb3FooRHmsDmXPSc2jp5Un+UUhC61WPrDEfZ1o5G+tSaMG+bye6XU4iQTJE8w7fl
xRQ62xA641X2tDuPfEo48a7PUpDBarmI/Dh5kI0J1ORlZUX+CsQniJ0IXK4xxvYGgHn0aKEO/IgU
X3L2iKPIUsfUIRYpqL1VS9B0JStTKAkIdUEganTnlBY1nkWjL0726EToNLnfZL01N957yDPkDz5M
Uyl3suQVIZumFGJppSTg7UuNmGmuIJA+F2WdUdbmEtrStIFbB/JhbmBV2qwQJI+WvWKGByaEnr2m
hqsDBjgPxXxw+pL5LWwL7QhVZ2GWvbNC3c140LugOTkqYLMhr+xPH4F0SDHBzzLBSVJBuuLmkihD
vAZZCNVWomcXqVLEHumCne5hckT7jqFbQybexz193nNjW6csO9J7CzNRcWoYbGePseoMf2vjz0oo
xM6i5BnVBe8YdADzIk3En70R/TKRz71qVlqcoRPhkzj3d23SB52bgM8KIEonI5G/rFeeWOIrT1AI
9lZb25dsLiUoTKyihl2b7CEY7aCZhM9lcQwm86l8k+e2yP1nrN7xYCKadJB1sQJe27TaaiUHK7GK
vIypf1QD4VVL7BiubM7zs/zcMjS8FVmEaSMv7brdoE+kAkeBMwsLDnRHveYVphVpxNYOzu4w8DCm
9RFH1e4qS2r+2MR2SWAevWQsfgFlq6wRtH2iBfFbyd8Fpl6JHgPexVth4w0m1NB4UOEJbGIn8vB6
GqJlm+T9Z6iFZwh+4KwU5Rfb/uaXoUa/o9gaj0MfWSsrKtJHP/KSx0JRthNqB4SfdJMAQDfGW58v
idohrX2XHCx1JLYFytHxlPqVbaPxqOf+JRWAJBOr7k5mC7JNNhZOvUoqrCHSFiZsZU4B6CaWPWPL
/z2e62RDHl7aOIiustBXszxfjmr73F1WobTbbTIrSVeYj+Mg3ZFQQa2wxfD17xjg87blBN0VU5Ce
/7Xotp0KxY9J7tGvw/4lz+YpL9Uu7I/7lyCO3x28MvixtO5lymMfqQ2lOblzblUIVJubhpC5vJJ9
tA4H36uP8lLP5TEKCT4d5LW5043LrvX8ZWo6AISioH4oumpBFNo/RqOBYrcTVETgyYktisC3NnB7
Z2K1Z7/ObPNlBgHhOYyqkpRsKq4iMxsceUv1YumtvjEUQpOa6ONdVaCfA51Q37eG7uxHJLKP2mjB
fyvVClYW0jnwTNqLy056LdJSu4IMazAp6IJnwA/tkmDR9FpNmkraViA1QL6PxybyHiFDdgs16q+a
Wqa/bD/aesQUgoUSfKCJhJaC119RQtIwmsnrjQZ3/JdI6sc+GNvvZtf8IvWobyq8TpZp4CiPUd35
6Lk2yiqrUv8q61DHULewvPzlva5NdAH1tX5v9MRHx17L7bOeDF+DfNUJX1/aKsnW4u9IIjHfCfI6
BzmuPLBYD6B0I2/learGphlctYDDv2YRVyCFzaNQu+JnMwtVhzoUfm2MjGtg9TCzUsdfd3MD2XXC
t8U3xSxVoEVDcYimyr25qvJTtssLp78XsjZ8q9v6O5agwS1shH+zvfRnT2ACSAWC+kvQaF2SW1fZ
NgZlx02NRZhRYTmleGm18dSqwJ527psGWIzHE5w42VuO6avBLnTd6jzNn+AVdnfO8gnOHR9Vzo+G
1bgDGpzYj4NRZlDiHeVqYqe0+SrHpYnWMU49raiO8grWSuJqY6DJEPIzJqVKjr6d/rh/CxhTMdig
oFvd6wqV4FodBuZO/i3y+mnQNqOlYmE1j9YhUXVWoYPfL2JpXOwE6F1IKaF3EEnz6+tvh1CJMkpC
6OHvVxFd+566qX6UVZDo+isIUVmQA2o2vzduDb9xeWMdqUfl0ijQkDItFHi9dgJ8krZ7lnX1a58E
1q5GBQqLpEn7LMJNjTDsHqWsal+qCnhXVG4uSM24DzweKVMZ2KDK+A2wTfvsE2Ncwy6cDkanOlcJ
GZIQoBnqU5t1/5wnibUruK+2lm9Mb5VPQGAeIRJWQoBLJxxkOvZs8p1/DV1433zhWDCU/WFN0Aeg
0AwgqsXwY0QyZ0+6uUesspneVWwNilllzTCxfIV+V5/1vh9Pkwb4Q+ixvgxHBG8GOC3Yn4DVPcE0
iNhu69HCnIsDQnYnT6tJD8Buguhpuexti/444UFcLuSpPFjV2KPs+bfF+Vt26mRcsgbWlvc+lmL1
i5TA/Zq8Oka8DspXqHv855DNu9R7cSz16SCM6KtbP+9jjZDHvCvLg2akGNI60cm2re7cZHH/dWDC
bPaaFzzfq+RZOFMIelv/XthoFLkBKw9Zn0UFcVF5WpTKz1g05e6r7j7wV7Psk+v+uOktxN49pX+B
xlF8DL3CwtSpDbjZ6Ekh95WcIiRf9iTVtF1pWcM5T5t0XadD9QyLxVwYBY6TKcDZjln1hk6Vgdjp
dCti4uXQrzzIvGhSSmovUW/it6mt74iEOu+aJ7ABysaXwdfCE3QshCDm+jEjuSnQ8zoqhtq+V+pX
dYnd4CEzmNzbQnHerb6C9CIU9TRWtf1M3Ggj6wsX5rMeQsAG87EZJ2zg7EatVmPZuy8aE+zCCazk
e9nh7qk4II6EsusTMHqEj8JbXlbVZ00yinWeWT7zwwTrKcuii1ub/s4UzbQI8SRfhbWwkUtBP7dE
HvPrE+xWFy+jR5JHfgISNYdEfoKn7KbMCh/spFBWidob2yobINhPLqTY+aB3iGBkiT/sVGfIbrKB
aCxgKLN9lFVO2CbHUhg/ZX/Zgci1vw6QZlzzwGHmY8b5q+t3L36tTlvD8DQSEh1WbKr7XroZOtzZ
CLRj4G75aoWxbV7rBDRAb+Lk6tZPxOTGRVoE9jYL/eytiPNmoWCichJ1k735as37WTOeW6cdr22e
n2V13zTeoc69ZmkYdvbWZ6k/y1vEW9k6FpaxKKHMPMhWdUqhBLrj0zjZKjJC7b4dbRcje95EPgro
h640ciBFVXOTB6NCHtTz0OCWRfxlmpsAytk7wE+TuVQgnrGHnFSTic9JNxoKWxoLgMPCs1oN6UK/
eSk9I9kQp/U37ly0gGFu0z6L11+tUZjvCOyg+OY37NGsutnrqHAugXPXLw20kkNpZArygLTC+vQf
AJ3zj5mHqpC8WbByj7auTcJWXk8GYMZw44NJh6ZMxkd0io+yZGUOeeAg//rg2UPn2REflVpMoG8w
VCA8+iwH8fk9uxT3GXkZNp/YaGv1tcflsoYIVcCnWutKONxgQ0LhUcf+rVN43fUse38EVbBnvc+q
hPAfCy1lljFLT6DexbcKoDKkkVp/dKbsgq2QsqxqxFWyTsk2TaujDFuZ0T41WE0FTBQ4UnoEY8zQ
eITAjmbxAILIKFt1MbizlWJSV5Cxxv7cykMcaqciufCQ9ud7tSz6REG2mcEKWBazRvRneSYPtuUM
7M1c7NTngdBx4EUmTz0dJas+GfpV6ajJviKxt53XfocqttWHcXKSjQh0YtBsV5ZoINafagm/SuSs
6evme2ibwy9sJ3/1YszgfebpyrKz38xiOk6HQextTFWtb76vvPq9633AyZ5WBDOnQ5IM9WtLttE0
LeVDi/xhY8Q2cohqpXwk1jat++TDW8EvttC9q6rXLkvrbZN09VoWow4ugFk2+VYWs8r3lhoxs70s
OrmiL0yEKY9f18bpNz8sxWKK2wN2jAloULTe5Bkb6LdCmMFOVjVebZEfT/HdJvz4XDjfZfQKTkB3
q9phI0tjA9uDZMtFluLSG84wVb/Jkm6W1kPYRzMkm7BXbmnxMdJBtsoQWRAa0z5KZhbJHEDzSzPd
mSOmBbKzl7Yed4OlrmVrHMGVUo3C+vrUAqnBFUqgAcC5WXGyqlBorYJ2L68l0QAY0UQyVAbfqqBv
FgUcugfZKsT4g6BseZZ/RaO0j5kx4BpUGeZDT2ZhkYhiO6EB87uG+UBU/utEm2sAKWzynV+WmAjY
DfcEjilBqVlHvSczTQKN06Zhbvw6lWV/sLId3LkjprHgP1f52HkHiUfLvel/YNRkw6CnKxCBOAhG
yhZ37560g9N/mKIgl0e+nrThO3D/9JXIkLeuKwwEs8FziOBBN0mh9VT4B1j1RTW7cGNC4734gXqL
1Mh8AJ9a33K/bE5TV59bNWlusmpsIDsWORqbssisER551R5EL/yTFU/ESOWp2yjHhPfIXpb8MGfN
Nc6LDZlRGJU40a4ZXt0HXyCilOltdlaU4M8ZpK8/Z7I1JFR+/v/3671+o+RRSJD6f47kz9f/a8z/
rd+/6r4+22a+7eIWoz72iwtDFz1INhevgVl+rRLQO8tXB3f0741SZ2xjHHHAVBLdpxqbVuHAiErQ
+19UqnjIrEF/Gg2UrI2pzkGHFcWbUUAGy/P0BkDYfbLcZi2raxP0sJ/XuPdGAueEOIEykHTRZoyi
6jGdkkcWsO7W6lt/CZcBU1agEWTT5jKafdheyXbnXhYZ/OTcwFm5x+BDHUKkTxqz3XXSFXLC0xS6
kI/+3Kyqo6qes1EBXa6qiu3ohOTrMYqK8N21luFsN5m1Q3wch5Si647vOhZBX72CuZfyp1ff2n96
DTN7To7lKQrPwtwLhy95Mci2+Gjl1Z+LUgtkmKpP9Q7zj35TWi8u8pUPFXeehTLOS+/ow0PcO6V1
oC2t8R1Um7zcBbO/si39lfPwqSt65yhLGDgxTyEB1PCkbHFiwSIhrLWjZlvZgwHsdGNXSfzsKmW/
sMDE/4T7tWADWv/uK/Hia6XyFvY4UraZyC5pkkf70oUIjJaee8lNFrrzo/auR6xA1LH+3UQOZlRt
/GOcGVjepKGdxM+ykZ9JiENbNo3irRVC24tyNs3ETtbdDQKfblmEax0DokzRGp9b07FhBaR31oMs
4ju9S0yciC0iP0BjiRQHOG2Go+WdchUMsdPVP23bJ+kBKrgG8886xJ6NtOQhdPQfgSXEsTLC4Kmw
x2LD+6FcqoQeZ1cWQv5EQ5xpO+mOS0BZ9B9ZkG87JY1+qgZmhE1atU9ErZQtwO9xZ4E6xLMwgIs4
d/FGtOVIUXwSCOxWStMTjYxq9SHSiG6pmX2dJv7n+PjG10YAusZXdPqmuHj+6APbfK/JzWOHcOKq
Qhflm9b2K9Ppi3dROe1WrROQ6cAR34imbWSHMs3xwJiHTGAdKl4fP2uRzjWReZNK1nMpB5x1L8k2
PVD1l7mt8wzjBvE5PTqRniDhgzuAAIoCYKzKz8FsYyjPRulu+LdVNhSzv+G9i5VCDs7Y9M+W1rwf
nA1CTimyMeRmAYJQ2RbRLlJV8yGeS0wTJslBxCSrqs8Bj7rtxWMte2yQMl1jtNt9Vl26BOaY/hiD
DwhkMDbmaYRQeLzQKgS2onSec2OrwrNEziDycJ9rUtnShVvdHPTliLfJeuxAFq4b9GdwNbf/q5wW
xYeH2xl6fWhNgAVFNFEqTqihYhwwltje9Sfw8WTbIcs6urgLR8XYojKMae2kqdJA/FZZ50D7CKGE
/dLaZoaf5OmLW/G0qXg7HKOhCk8spZM1mmLhW2q2r4Y7Nb/iOWrF5utb2eva0mSz/DjaZrJXbDfY
GampX8sYwI/XRtE303QWtXmxmiQgFRhre5+bahWPhv+BpAzx/4mgr6WIijVpepP1fawjoxBP05YV
Lv/VQN91pdo+16hunowcx0bZDbk0b4nfZXy0jdB5K6JHZ/6Q6NS2qnke8eXKh8p6kl5k2GO9VSjz
fvmyDoOXbrxuTNeysTDyZmsLwFDG7AKizh4fhl3oaDdz06dBrcTrvie49P8YO4/luIEkTD8RIoCC
v7b3bHqKF4QsvPd4+v1QrVFrtLMRe0GgTLcoEqjKyvyN4mrR+tYGq/DREOTu5UccrcRWBInlSzLg
Ns6XWDqHj9ILNIRj/BKrE9JP2dWBquxF15v36QDXd5WaEVK60hrVnaXYfs9IZpW220eCDBJ2XqBr
PI/LgShS8g1Ip3H5e7qc6c0SKM6f6bLvPjCzRqbo9p2yV/7z9y++/Qy/v8/rJtvhGMAPKGfcv0ve
OWuAK+TJS8xoOrzV9yH4zX2W5yEyK7n24oScZQB0XWVLXlBWqiq9fJENXJlfusSrLrfZoyiWouvQ
OJw/3CReyPtt6GvZ9FTUmicXvbKkQH0lnoT+jvV0shrwQdrLpoNWHNIj7VPJA/s0k5Rkd2w29v6f
D1HGRu08KvT3/8eHppRUsBv3pMYnCOSce7w1NM9qUaSGe9U97MA9t05WclHMQm8TNUP1jkiPsk1g
Tm9tTx0+yorj0bw4eg7mCYptUBXwfe+xJrReNPPAoGtIwgPnNNO4wicAmssitQ3/HAGBO8u72q3F
Kmhnzf1e9CfHeCiKOPkMw/ZxameT69sVzfhHOaDCS1yWUdc9R8KY1l0krHPSBNm+SXFBMNimz3JA
TpGT9VLJn4LWeQR4i0/gpE3P+D2W29bPBOJ6XnClNtWT1mn6byFCRbpI7R+eFeOlk4Mgs/hLeK33
kNRD/MILWhwxN2hW0t0Hg3C2XTd+8Rv3d/+Q9fbO5Y3i5IhD4l+LoRl0HOkmb3tfFW+rpmzfFkiv
xLI2UHvqCLMClDO23SmPUxgsZhes701ypj1JoLrZqLrdLLFWL1+HUv99J/uCmj4SBs3SRHkBPVFv
3aDthoJYMX5qWQKrGF/TixrYPOI8UYtgVpT5Z0CtVTyoKjbcIu3XfSpc0kvh+EngfGhrFC9aKIMH
2Y+qJf1Wj1hVW936S+GRgpm+g2AENY5+7EK6jkj/EeyA7dM8kIISDOtIP/Seo9UHl+z4AV4N2ehp
3Jg4oS6Gtuye+ww+6tibbzk5nmKZhu1nFFY4gBVe+xzCot8qDmJXt9FZTVTgKyDIsT6H0LxWyqSB
pCFPtDdAuy9wrBqug+qus9wynw2lMZ/HGna3UTrGUTZB/mTbySzqVacH5jMJu2xhTY21d1SCU84x
MK/jhEWtsstNUg7Bs2iKeD8ppXeTaoL6ma8yp6nXKTw8MmY9apdZ9xbMK2Sga+QezSTc8FAP1dH1
9OER5wXEKPCs2SDh8Cxiqj9FFhvvQnztZpFnrzasnQ2qey2bbmG9hV1rP2Z4nzyE+NosZH8nIEMo
U6IfOhX1Ey0o2p2VmsY+MdLvcmG7L7FFTBk/tcoKfVZ+LKsLrVNuimOZNNESgNR46tI5pFO/yaB5
wp7nYONptZKBt5354TLcYOiePPfqSOq6dOLnDKW/VT/fjXOfHFX65vfd/888DBQexQhTqCgb94tm
ggYL4/R7CQ+OkrrqPCRNWB8bYiXEsNeDUowoUzX6a+QHzhEn5nEhI65bcyBmNZFJHKspevPUxFxF
GoUvUrkeMjLkB1HKtd/8xnjJc9364WfWsY2yfusSoa8QA1GhWQ6kf5A0SE8g5xoECLlD6QUe5Hyn
kAVYYUZ3MWFhvIbIKsm1YVQ1d1W0TXsgAKFf6w/SKFn2q2hzHMwiIzA1ItxT+G8GszegYK10B2N4
weQ62LUZLj/uVE4vfyZUbvyZh8n4vyY0/s826qaLfH5xR4xXGcZlW/n8joZXHJu2zRf3Jx5VkpXh
5Tg4NJyFVQM6BhFc9yPh0LaPVZO9MW5IqlHU+yWjxqZBuEpISl1MjLhULPycInWwIC40yIhTEUqJ
l3AsSryHqjXLI+wpJOb5nQWWZq3l70Uf25UqvArtG2DGiRc/SZSevHQ98BxMpWB7zpA+oVPfj4RZ
fptKvB5nBXCVM9NXTBvdJc9a9FCOCEcoVqhv6rpgUw3MYCGzDTMs20isF4Pa4UviENTPvlGy1TbJ
Qv2vVqEk0yZSjWzDkRIt/uw9DtPkMqcMKK+x/rsByEyRR+0GASI21WIYFlnbNWe5x/Ih6Bo4JiYv
Wq7gTjKbudRlVd8ukTuWoNlTZasH4nefOd/JgRY69KruVFBn2uw3WAXuGb3qp2FuYbRuPruWuE7e
lF5klxfADK+SxlwrY5Qt0UsWayWMcIgdtR7+wdyG4+MdpTK6Ib1j5a28ZJbyXiVuuSsrPGgG9sxF
LF067oeM+4g8adwH5B2GSQBanOyROj9bMBIe+rLC43Fd9RXJwtxPdogbGTvRp+WjmRj+kkco+xGR
QprfrqK28ZQqcusaepG7DkhHv5VKCI13UlqUu9p8F6Wo+ZNrr56coC+2uajKw9i70WWkZLCyJrV5
L3XnLWwM76dmc2QpRvub/FA6DJ/6UClrmTbwRV8/IPgYnOLcR9eRluySg7J/IhXXywyEHMVkIDjN
fXJGQfYIfnqXrWWYcr+oBP1s4e33Kuj8Wwxja6V+wjWXykXhDh+aWxy02JmejTbMH0CkJViIV+OH
pVrqWq+rbo2Ri0AnCi3V+8WZXQ2JAqzTgA/FnzHZfW9686ygy+2lkhAxyoHcjRridy9b8bdbmGbm
fpqBC4wkRbWlxlrxIZswpfdFYXyLvXHhIMyCMxb2TRqQyQBDDiTL//TFra4uWgumVt6gyoyEnf7q
GMZ4iAaI5dIRwJub/4zemwRTf0++f7bM7LWL+sBZehrIC+fuPvPUh3tPVRrm1jBY0rWZFXEf6DLY
9AT37bY1AvsBIBBeBi89OLhFTGL92MzNStG7TR0jBa1mmv+CarBzzqLwpUYl/EV2kSXfaUAxrrf5
7kgxDebJVg4aYjT3zmwVLT9g2pX+hCCsHLv/c1R+IM8F6fCYNM2iAq6P8KXxK0XB1ne19HMgQQle
DtXNhgrZNkfhASAQUp01VUz+9mn0MroIahHSJN8FEQZInW7XmkaJNkannzVKdP1MmShmGoXsAszw
b5dDV/tnVhfH36nrmqcJoNlTiYCyX+rpiymi7IW98SOD/3GWXWiZmauiwrpcDmoYEAH3BoxHpcF6
ylRySMkQrzwkV97rTFBPNFpzX/GDvTujcwLDVjypNZlHLTOPspuvRbZ8/pBZBlekgnAB0ib7KFkg
wMW+IsljHoyZN4LQ5iauQffJbJgCAPkx8wxgLXZp7GRyTA7IPl0fjZ0bIYBdZ6hAjdEEnGzCg2vO
+cVlC/3I7Ie9bELUglYMvdHr8dX9Z5oWQJGR06h5r8oEvncGBgIcG8LzNrSf2obr3iSWvYiIGr83
MH4GLfd+diOqQCOgKVeF6aIGYPSBHfeH0bQXQGaMmv+LDoABBn8M3TSkwFT/X3cDz4iiJP4z63W9
CAChXeVmmqALvoiMId7LphzgaK3snST4WsASvbpVhKB2G5lIIBPOLTmfOVt9atSljDeN0g2eHQ3/
t8ALHmRXbJ8T4CSNZpF0FYWFNSTo70XTo2Nn999Uh0RrNnXBM5Bgfw9iKN6qZNpJdyjXItfKVdyV
lI2JQC5mk2HAOCn2WhuIdRssm259ESaKFLE1BdK3k5/kPOjz4TKx8OK1kSs7KRXi7URO+qtsYpfY
3fbf+6jcgItwYfI6VAtLZmr0lJ8nbMufIkPRZwkuPV9puj1CmqHiiWxB/eQqw2YabDCZc0uluH4c
IbYVvoXLqoVnj/xd3i+gftaGgP13/71XPM+b6aeiz/IhgcidfTijrdS+QeHXUn131REALdiTmsUQ
J9VTDyhwmVeZspO5ur+ac8wpmxrIVTQOFH+HmDZBaddpp9FKtFNLOWnbNManbMn+ZBIYLcjblGJ4
Pynj0Z69nj0FLY5G5MXayargbGUGp2U5gpKFt6aKXSx4JeD3zWUmGc94g9euowjqBqcG8WoM+drv
Nftr6Tx6QLl+Vv4YL0BO268hMD4OIkQ1UeFp+yFBeqRD5+cKD4q8LXHMR+z5b2Nd2BdSrcMq839R
ycLZ6c+NovzimRchT/PvIQW8TXOj6mJTWB0HnSdtCkino0DbsIQY+l4SedM63zWi1Z9LYrur7Zuf
sruN+2bbVV68qWcWcJwm1WJI9fwy46vf9LABqBn370WV5QddgQtuuzZJDzCxHqaIq7QN7UPc2MaL
r7knZT5/Zp2hcWqofvfP8//pH3UCztQyym+1V/A3C/DVA6BmW+yQeVnHi45t/aRHAxLSWa+tGz+g
WjUrSpNQn4441VGBn5sjee4dTk9B1ax0K2yXqTwEds3MkO7zg2yWZoQ+laJ87bQSoLoHg3VhZEp2
AKuPenJlhXJUzvWdEANUUAWbv4KNrjVWo2qUy3ufzJ3AqYGX1o/rwZlF32Mi4/mNkG8KaymhmA2u
7vaWzAON3lCKx+nhIPs0XRWb21uXtbmOh7cGk6tCjy2rLSK8+S6c+4BdY+CMHObCtyJnmYqg+upF
3cpvW/uHguUeDpsDddZQGBtySngYhGFKTgTqLeRlvfx20+NV+nwiWUjqPxX6knynijPMXAgge7sp
KHGuMITmF6TzMuudp14hlAXPY8BZWI4WBmYsZJh3kUIJDNhf9uEk6LhbmfXDKo1Hr3Pb96KuqnU/
jPVJFJ17AsCIjLGqLCYTxHAN3Otd+3OXT9WzR7Hjceh166FwtKu0N8IP03pAZvgqwx6PtAJuyfo1
yfNiV9YC5kZN5M2yEe3Moph5LM3RCTq8yYumf5jaFNBjkLlAR5MXc7TzA1s80lp/Ynk9+uRA0j3F
kAyI7kFNARsA4ztPmLSIN7G09XWZ/fAbOzj7Uqa+w2vtImXrdfGjQoMIRUs07O/d2L3kl3nM7jgy
JSz8SPD1ozodJw30khKMBQI5eEjM+fsGrYqlQFAWoR2j32dYlyx1HMW/IYZLMh7atmm3zxD9wo86
CvuVin48jIrA3RdwDLfxkILYsE8uiI6NExb+Vh6QwmiAGOjU+aXXpuh96tZmSObCoWh/zgW41dsx
av6QHZDjtdoWqJrT3wy5pac1fo+//bnTkoT5VOD7FRTZIvK0GPwpypGZ5asViFNfTy6UMMUrdw7i
PcbkblI9gbo3v4HmlNXHYEC0pJNZGkclQgw6ddr3uoLbh86RFL1BlYUhhQOUudz9j2aHP9dGj9ov
fRAutVFjD0QymZC5ohh4e3bLoroUagm0q4JHlMy4HfWjnX+Ffjr+AGeSvrGnFus0C9NzlNnxUaEe
v3EHkpdJEU0LgBkAwILuJS3c6hQYU3Wy/EBZZrYllrJ5HxiouBLlzxOxFPGBacx1tT4cRuxX5jR2
mZnBlsodRHSZYZov0gVFLfI961B/AjkGw3esLzKuRLYhWVCqNvYILrXBUranMTf2IQvIRsSTBVO3
anJlFxlms4wtNyNr0ohHfNJ+kilKz/BbvSUiegpkjUbZUGVoKMCx2kTZtEJBQDzIFv5L+iEWE3kz
NWBjT1FYXQx2+p742K+EiipIVxneUSiBcnTQ6R32st0YnQ0MIyzdhelNr5zJx2U9ZMV7zgbNasWL
I5vBRL5PxyHpEqVW/u5kZGjd6s12K//aeN677PUyb9y32ghIocbzTAOTvwOMsZF/ry5tr1PUiI/C
IOYwMoiX+fx2iGwC0UIR6lEfzBKd2ar7WsMjD50Vqd/0u9ILKA+9PVzrsbcOUdroa7fqwy94gW+s
2AA1Eqvk9cewWrseVoh1hnnJnMsSKdDbKvdw/0LI4uhE8N7fAJMhHxwWL1Xe+hcx70FW2PQrx+Eg
nLpFRm3IMfdFDexZ+hsAVe2R9gc/MQ/KD4hYQzd2OdetVhYwtE2WdQSDBlY8f7fl+EDCHyyRgUQB
RLLRcKevCGY+suIaL5ATIWPp2PuyaVRfk2ct6SbKXKiBuiFpUK1LKrRZhlt/NZEvtDqhX1SIoZcw
cq6u7f8CzOU8dampIxkM1EOlOsBal5J2T2vvlKMjsIkV1XzMVcNYItbTvtsJL+7oNt73CU/OGwRR
EI+jUFj9pFT6CSdDfOBtXi17x6kfCiB9U2J9M4uEV3/eVEkkNIss8srbDpzVDg4hlvNNLg7yYk14
VDt6Wt12YTlj/g7sJNKVWlD8bFKLKMs3fkWuOOi2Y392Fl6E1A6SJ1uxIGnXZk6GpapOyUybGEJj
ePYa8J52b2bv+eSuLfTp7Je0BO+eo+vVCn/dJ3aE+THyh8DMk/rkDFNJqWd2B0XLSx2jw1DHqv7O
2rVORMPyF9kpORXPRIkXDr7Va+NVaGV5zX/JDnmRXH5jtFTyuF24myqo/bJPQftrK4ryV06dpE2C
Va/bA+BzvEUDzvdrmbCfinkpaY/1nL2dHR2EY4onVGZvNrewa8p1gvLEGibe7DtfK/Ah+VVE8Gs+
3R6tXpNfk8j4fY1O/20Y+R10ejw+u1kSb2y25BNy+PkRxRBn0yDW82QOfbjoSv8JdLht7GMHHUC1
ABDo9SOLhocLvNIM/gZ/ZBB0JSD+2Pb0CxVujh2aIVhOyenw4H/BgKc7V+wne69GXU3H2vZ9VNxg
Dduj3Jlz0yu0eBGndXmRo3X6SGY4fsu9KLsCGXxD+z55N69WwNst63BqFhSXxvJepMtMj4TDy9Df
huQ4FPgrijL+QxDjQgPAOFj6ehYc5HSSDGKNpXu8kXOtsWl5hcizBCJpj7dIyFYC4JXQFaRjVDSn
peRd6SvlWUcB/94VzINNqJVn+NpWQYWfde0iQ1NIE3D7lBTvizkWhSEV7tXMqJBnYSGwdau/8iZv
b2Gtp6BpUlnOFmpjskg4x65AARVrJerqx6Yrzes0bGXGvHbGaU+oAGFY5tNT+z/NGaXgdJF6G/1n
sgOUYN+nYXpQjMD9ShzgTOAoMTPcNYkoESpPKJxC472YmNNtbNV4EkpfbwcVSXW5k7tW8btZ9oX+
Crf4eWTDu1h5AzwBsp+Mx6LSwMCroIw2/zhyTLbmn/XPTGy20mueZl/yvBVYhRq05rsc0eir74e/
7+6jPr/WRVn6IbvrtW0RRHc0AP+cts1r2qrx3spwFmBJMJ9i0Q2YOnvWD6ZSOp9dHflP5vFHUfkp
/LzZ8PgOxtAFGRR8Zv/BaMimMnwY6tLMneLH5ME5NvD1enczEKda6Sg42avKxh5i8wisxT+atRi3
tQMCofNGTlZmHb/pM3rIs/Psew9drNa0uVgK4KdTy/a51ozrkAXDOcyr4ezPl3YcFZjL5aPslxcM
aWMwzKmCbesYrI3JCYFyU3QYjVAc7ijuSqm7q5uhviFx4lbKAgpiKf3WsD7WWgVOPO73N5x43Pk3
nLgKXQg/36kACDN/eYYSTxeESA5PwJPlxYkVcj9unO5ScAq3Pq2ZKT+TS4plnqcY8XhFrjC+quTm
5x5YUj41zUGA6cvB94vQfEUDbc6qevbJadUGe4ay3QAgsZ97QC/gKE3jh0ktq+eI6Kn+dgDhMKsc
K0elMchrDekS1bfiFcCl/uC3+jfZXQ6hv4sbv1/LZh5YpEMT+4tpOE86gToctTD9Wo+El7MH+gQ7
HBOpCK9jwDAk+1xA87VhnOWJS8yg6zYz9d39UIYgy0QWY46Y5IgrCWptW57U1DpPPNYlpimGdrzd
jiH2cKmfVWvZeRupA3H8qyk/I6IUhgiMf+vUldHSBd46PwD3v3tIImBc5I6mr4p0Al8xGWJphxil
1Vn3nteZvcPIrUJkmUMZRZwZR6PXLhy0xlBPKBeT2QhD7SSbitA41ep2lm/TcaJUyU/U1s0M6yu/
iDZEt81QulNNMPCak6oI+r78UsR6vcW4xdjIaZQLD4UNd1N14ursm4W/5BxRH7q+CbCan/F1SeJZ
RxNEdz0zWsAdhZSUtjJXLy+3DH8xLzxN+3vgnvXPvA7smVlHZLrnUIuNITzXegn6BV3HrQiS8jky
QbHg4pj9UFpkioHKfFpqMMxqI+3ZxggBxQAYzB3I4o8hVPcVGoi7uFLzrdLEI+d/4SH+aCH7pZhb
k1Pyc+U602OHpASBuPpuxRxCaor7K4NoWU2NAr/6/NWbXLQUFTeFkixv7aGwEI/RvLVBUfD810iu
GOlZsflx6e/qWXZVTpHtsCrytQZ3lGDvvz8mv8Gw3bPe6+p+SuzfX3r/rBcm+m5QylfZ5bIzrFUC
he2k4QwOAufTEj2UsGqsDggREHL9V78piupQINHzKpLwNj8LK2Wl4R5565/nZ6UgQTP3q/P3yPlz
f+6NybqA2bRF2iN8hqXQeVn33M7n0MQVWADCb9w2c5/r5hxjvPSrHBwjtSNeCSCjq/FZfqgo6mZL
Ii1Cc4j5A3W75U0DtBFWeCWvmG2r2g1WrmjnE53PQdUN/Wugdf26KnqqwXoOo09RrZWEHWS+tckM
9MVRhRLLuPZUJL1L7ckeui/tNIUnPxHaU96H3ckMqzdsU1SAdl7mLAszLrZyrndGaKffwngKDiMw
wUuqhkg4ZXn8TuD9pcD389cAZMZ3yuRHAEwc+fLKevYyvdx4rieOsS3qk0bYgc5eLl6cICoXSd3n
P7N652RN8oug7ScbQfo2aegoUEnoz4YTaYeMY/N2dK36iRSigmyI5j2UBtnYDtFlCFsF+VZfBU/c
D0m+07OZVEOR99oF+nSduqJg0WXNpnHv7rSsXuCQDFptHuBwq15dwMHA/0Gi3PscUGqXqtdXsiuf
p8m5uTJ86WBDH2S/vKBEXAM/UtvbXNnni1A5ZlWE+QrGftSCwBY7urMZrCh8xfnjm4/v049QSY4W
cfuHn03Z2g+V7OSIQT1jGYIIjgh6ijHZ2i604kfNwWrRjL5BzkGA+RPRk/CKZYKi3wvgmPoFdA0U
6y9Sw7mDmn7xx1ID88yBpJjc8fxXn1+aFRaWk7mWnbkPxREz1mMdD+Nea6N34Bfxg44/y4O8swwv
uPjdW4ms/QMi9fGDvFPCysM7t7hOyHZ91yexLXB6wbISEmhTO9mv1C/eitCr3lwl5aEATECtK8DS
t0h2cZpPp7gN8OnwfMs5pKDaZV9nDRPOHOjQIcq6N4zBuiq+axEOUEiAFrK7d8k7zwO+UDXZRbbA
das77DLRliFjuwG+K1BcM9KLZcYeSK2wq6hyQoaVnc5kInWK59i0Tk2bDU41u5Ow7XxlCaVbVrOu
8U292LCStaeVw1ItcyQUFeA0yDZEj5i16+c8Lt5sn4QoKkRf7aCwF7E/iIfM94OzqkL6t9pY+UpS
gFK3FX2INM22ok6KXRch9NT5yUnXLI+q1lRvalPRjUWYYK/s9hVkRyN5yCINlzTfjN8MfBL3HFbT
BzGW7TnLUHuqGxQmsw67iNgs0Sya7+TFbcAkWyrvwD8DsonNuLXmoB4t5WTFVfsFP7C1Sf58AYfB
ep3BSblN+edbytLxVqXn4vgY/8xBo51tfALPTVdlI2wr57tipdZW9tnhIM5WTklsYaS4daTlqx/O
VWZiLih3KM5DI44W+TaANhUt3EJbxoHv/BJRcqQiZn/Xpu5dtQPlE3tKcmoI2H7000yH1ymaEbwe
sa4EA55a9XOrO9MKK7D6MWqscT1yfn3o9EnbdImtn124QdteD6MTnjjp3kFBEGLIhJdY68f7AprR
PvfdhZ0gnOXOF3n3TxPP398DTqpgfRja2mbKO+MFI/QicIZXedGPWhM2t3svvlZT2L3IgQpA5oiS
+tm2USmLStUuPpIADaQuGrzNULbAqRsPu6rIcOoN/nNH4URjTSmjj0/FfFF1R4fzVnyXrQlV/wV0
X3ALJh/bYQbhHTl/KEdhxaSg3NwgdzRoa7N3vGPlIr7AEtvu0U0eBSKr+LybuJaWE6pANmeo9z4N
PtHTRGMxXRmiiX81mvELuM3whnTvrzSx+/0UvJI3Hk/3oEzGaDJcl31MSEzfPdaIQeSwoS1rUVc1
Sl1+b7xm0zubYvSObLC4pCH0zLAv4veWwzSkCq0lrGOUPKK3YrevdnIUyzoODJg9nOVohD0cker4
4qCi8OQO6lHrYGilUIyr5oO0FA+Sobzfbprmw67IYuWQqNeuWU7DYxYBbUpHb29LfPYNh230JS5M
M2xdQrd9tO5JJbjRyvBNbBz73DygKwSyXiD5lehRfRWgZVZAeCxUWVjLrMwJvhVDdvRzzuKLMdvq
gjwkh2d1R66Ok2mE+DKgSydHKKs3FoGaW/G5McUWAGj9qBKUL/tJmFs3RFmDfDVn3Cgjh6u45vZG
R7m35XAceMO2ANtHuXnSn8jKdtgXas4a8Rx73eJ59FKNw4huzUDhcx5FHty6ijgC0WOrz3H7NCV1
uDe9oD1isBTua8to/r3T76N9uNbDvjyQgO42LpJ0jx3GfEsr7nBcddqvtkjEz35IF/7YcKgLcWQt
St2C2qN9azWROPuU9srn3HfqQ2uhdJ7/xextZWeypa1ls+3LX2VflVeymc0junMfstvuXWddEyXu
hkA4p6mhqFiXaUsYpJIg1HL3oZsm90HeDWr3VpMSPsiu2s/No9OnB/z17LMoBwWKXGCsZVNXdPus
zRd551cBrlnKuMYU9H+Imt/7zCxT9qod7ySv7N4v7+7NkqVrnRq3P6fuf6vIKFx/c4v8bzx64fXG
PGKsRF2ThDd+pF0t9FdTB8+iIch8lJmGe3PyuuxFr18aq8EsiOIzy2KQOFuKSw/YVXUbhXDcOnAc
5wqao0FiK4mRSuinXQN1bQtzu38eNGxuGYx+wBvdBqPRfalhLK2AsEwnA9/hczklT5hcxIvCEcqn
J9KDHfC0Ixw17a1eptYS/6vB3zHMWvUDXIe3daHebzURVZ/Y7cjPWUXTbjK7U3edYjXv4ZCSkuNz
aoT9m6jq+mDYIRkpPaaaxb+DfIu/omJSnkZqDbgLix+a/jPsHB8qO3gNJ3W1JQen7s2xeO2B8sH2
sqE++JOWr8vRJN8wN/OArLutqclBNick8xc4uaZn2bSt6SEnqqZCRr45Yx1fKVQYNnlr2Ic6LjB0
EnZMXz2gw1NtBoXciSryH5USoFDzZ2oxIt0mp47Y8XxqLNuoDYIXa6ofQ1/N6UjQ02aMo0JvYYun
/7mrawxrZJ8c7Qha3nOX3X6Y7+Q8v/DEo6s2e/j5YPrdbNiaCFm9C6QyFw0yUA9drcZvVvFTF/gD
3XaRwDs7IfpC0hzFgnl/ysP0426zgtskwApt+D2jQIHkVPH+3oxW5Oj989V/RrsEjWAKQO32H5l/
+aiHIvNPo/EhG/cXwnKyaWHjOLGRJTNZLWOL8gmSgmbrJ+o3DkBgGJfCKXfJmMYnlMni0yT3PHkr
L7Fp1ovRGtq1X0LvvWUWVLX8O38gMwki6+xtUuRfKTN21TEvLe31eKP2VH3r7pIk3v1FGGWTRUeo
BqCCwHi78JN4/CBnHq2zvifhlEbF0Wwza+NFRXfUq0QFZomESwEOjQ7Zu21crXzMzBrMU6RXpNYe
KV1kl0IJN65n8KcIynUNqRT3JhPFik6gsoUutAeaRYPh7Rn9Joobh02nU8Z+4WSC3LFWFPAPe1Z1
RAgIa1AFRnEYqqEKImXpGeoljMn24pXaPecJdJ3K1F0C1/8UV4VrjFscoAso4WZoL5yYzazA6XiX
SLJMa3xCqRkvUA0iGxqJN7PFVfVLOdcmKz9Bkt1PDuOchUsyvT/XY+nvB9V/7P903QdlXzGG/l5V
w0c5Xw5msSZWUwBGoswRBwewsmlkFW2oBnWD6WG28tG732lUoRa5VytneamrROzrysBn+D9d8q6J
8XVLjFA5Iy96oGJfIlpIV0eyqiiT8oqeCXnoTpyiVniPThgqs614tsuNKljWZuk9ygGlG7qVY7PZ
y2ZYD3gDls4xT8IXWesVvmHvIsrYNy5LqCLFNsIWWY54PS/GXh8vAdKpl1ELx4vd8KdKBlMQbTKQ
gJdC2dcYl73eultDST4Ryn4Kh748y/fRKOJ0X5ajy98fUcvln1G1g8DRDeR66zXezAUEAgoIBUl3
bG3KZNPoJMMXsrMe3PeEvz8BBbUP+YigsKs/5ViX+DwR8rEotUhbCm+IdgnVledy7LKTSNTvGYnG
otmZZD7em9rrDtWApoZky0LeG9d6ZWpb2cSYolmUQ9oAIHealwzB/xTssAkcA44xlXF3MIkfJ0SO
DjKPVU7+uAdjFSN+giXIDBRwYtN4JgWbL1CNLY6J45QnCNQ/tcQqtg4mBas8nJ0xHR+vK29ipaIV
EDq8FBml8ry1LkpNy3KjkT0B+3Y5o7Im66AGIZSXKHtunSC+FByqn+36hOsEfgvqlP1SFFIuhqum
L5AEvFCb1n2AwvCtPOROZ/Co0ZOsHAH5U9YdqI71zSo89EjkOeGT0xsgESzc1ADet6uWCGab97X5
0pZ1th1K7MiDyMTooe3NA5nUWSGFZm9BAe8aeK3zXBSj6xcjWYY1JTG0UMnJzv8jSGwRRSFNOcr/
UaPOBc+ODUyOtkEIcDAc38D9RTWle53CW9Zf0evQr/0M30NFYDmmVnsghw2Wyy+SZeCG3UHMcKr7
aOtNO61NUm+h2i8T+uMysagEVPsW1Ri257lP/vX+V58cSI0qXZBS648VUj8ork5w13OlsTetV350
hc7hg5J7uq50NT7JC+oIHFrkrWZ7WHvUwQrIfAb69iOtHH+DuYq15e0cP8q8PXt1jl4x+jQS/Qe2
78voRNHxJtD9f0g7ryZJcW5r/yIi8OY2vass09XV5oaY7p4X7z2//nsQNUVOTr/fmRPnhkAGaQNK
UtJeey0WId/8NEZLVmGHVEl9PLw1K0yPSFmioS5gx4OvsWf3Wxyd8jka4+6K9xsZDTNiyy0OgWSo
Be5F2VSeBdgs9fyDywQLcmCAgy7ygCIoOBqd8qG2g2olkkaTtQdJLc2NNsUGA8rlbbtae2Cd6p1T
17A3UqgT7028AiAGxbKTkwA2JsTfD6kyzMBGCOHhKiS8eIY+wizvX+pce4vMEJD3ULQ/xrHj9Uiy
U2zrVGE9CXCluKgr309ewUyq5xaizk+6VQHja9VJsQjQeoyEAYGM1qtvAwsL6sp/zEc22ZVp61ri
T2STa5170hNLhtAC5csxVs4iikHNJqZ+VjGnzFQCXNDKmcDEEef+WDG6we1WcT+sUYhwdxA+4oFf
0kXnETKnxq8FLm6AM8MPPZ4kqptu+OTz97lLWgV9pCzNzkyXmG7BoWaYK83xXYjvc2VXanX6aqCO
cEo0/L5d4ePzQ0n6RbKileOFPsTQ8qGQPOvsm1a7i4jYfQn8AHk239D+yBtWYtPqlKnrwXWTflsm
WbrrJ/dv6g2gfWR3/s7KSaIemhqySPHZxck5Pju+se75w3Cz9gdKms1GD7X24kMGh9S76bF5SwG8
cRBv+eGXxq3yvd/G7aHNe+8zMV6fEnDOKvD4y4BC6HOUtMyr+2ZV4r58lqes1DfZ+3HrFTSyo25g
T+XOh1xVXdAr7JKGCPeK/FJkTQc9Say1n0zsaKiAn4PpsEQ+LHljaSIEaMLqIxzLWf1UOkQZz67n
ULc0eHymiT8fxS9ElxGCOaGz0lBC4ajXNgK6ZUmq/txM20bM0aE7GExWCxNtPnj18FgpKsDd3AdG
ateEd6SFx18cEE9xEOhO30nyvSmNv1KFTXziS4KXQiu1daWyOyags4afvicF1FOUSnYH41XnJ4e6
UFMw5pO/0Ys8dYfA/OOQWg+hproZC/TuLXVg0cydNlun+FmuUgcHuz156pazrpLWQWL/lRepxk+1
Za4NYWT3B0QBFrz4HQ7NIa/Xg6Mm+xlL4kB/gGQDX8I05Dnhi6x2QOiT4LsOm/28XrK80NlUUPUb
D1ai42wbveAUlSC+uvIsHKAiukScze5R05UfMlQEcXpfwJwdoHo64zxV/7Ry49L3dflNU1hKhLUN
3r5nfhfHwJCg5XtF2czcl33THxooEz4ZXgxPPxsyP/qosM3TqA+PWuqcuyb05tA8AZCKDEKXawv5
hdisBQ2ev+XfrzqLAwgvd4sw6X+kkBn9ysiH6hyZHXIEtj/G4CWZ/ePFl3ajCum+WbbKQ4dU+9b3
CvOtTsvvVoRw+PxRUovGudRwd+1SP8l36iT34SsA9SCC7876lDTt4EQkVv8iQYOWGaN/rm14Ua06
VU+lFrYXq+xygsUz+cWycE67mR9971HsRqSWzcpKZS0yBRylCOYYpTJcugHUDzPw92Q5FcLQEGxA
t1abRrjx9AY2BMkgKDyXv/VTqmeHnikTIkABcvWDbHxXsm6Ek74eDkXX+18Ae+yGMk7/GKeQX90u
ynM5jjaEIfl3ke9XSJsh3jdcm6JnSGaWuRIFAf95TMFOY1Hnv2o9gcdBRWI53EQpK5uVbBv7sdKC
X55S/6HxRr6lXgq2qmrjzyDwcuCtffHcSn24CyFlhBMAMCiuKOuEU7Fv7ccmhg5dDxrrW+MCJgKK
4V8C25FfDQ/GgCk/cWpnKyeRchDJXWcTuCb3oXqILNneovR7ROFDf9ZBz2wGvWgOdaJOoOq/klUQ
EkL2kRycsj7gpwd0PoH6+U7AsvBUqBPJQto55qbNLB1CsymOjkU6yIU1W/D5YYyHr5YKVj5RzHo7
Qz8DSJkiT5pDvDyP5Ukhwij8CBUOAN4pZP5jv6n9mG9xLWvfh7HTYGf0ggvwR/ad8dut7Mwvv4qz
1G3ez4iOLb8S0NKtxJkotaIwAHywykPZudaxk72l9Xd3coSHTaJe8EGYbJ0E/rXD04UUhVl97scS
3jGgd30vaQ+gxCfdQ5KRaSOylfaEAU7QuyogBNeDLvEkSlVveJGL0HoSbSAIOl+UOZbFHkKRbLvB
Avwz/dkmdp5BhVvrF7Nw7VdmiweJaMBvNrphez22393GrtkfoaBqXzXXCB7E5cKdHE2XJ5bbbSwD
mKQIvhNheCgPaQelMmG7mn4Cstoh81Z5inbwerwsGRAuRmBkbe5LRIRe0HSoWyrIjIWJBGwr9qYQ
AQ2Jcbvky5aDQ1vxeUHrLuYDHsbxKQ1t423wFe8BH16zGuzGeEM3yTwAc2s3IhmjHrbtTLPeB0yN
H2ureY7x0O7VmLAhXPfw59ynXT5pcznL8Byt9r7HKwqHRqcbLDaSTnkBoiC/1BMgPB+RfJ5SRhnV
QKOQXRFJcYiTHv633kMjJob9w2qN1QD145feD71d19X13lfH6AQ6M1yPSGbvHEkptiIOsXY65Urk
2DxIxd/gMEqfXZ+5pxjFusHXo2JRiEWycy4GogeaRMFnEJZv7wpuKB8nXm8+iymMI6k2WFxLWeEy
CddJL0GOgpDd/FesBUhs8tcP+WOIVEoO2neFBwk23Ikx3pyGDn/RxUMeRA3rd1B7EFB+C0dX2ap5
ZB1ENbVcqX5mHv1Ud9biNvBmryI+Bc/C5jqXdOBnTsj3LXlUwm44yG0+nOHlYIyL0/s0q6g3BWUN
Q0/cXV00prXpIlc/ATc+60OjXysYIGO9N45zeH+K/uiayHXc/oJwS/VHnPCGjS8r0q+my+qP2fO4
9roi5MdUMD5bwN9zy/pHcTcmxlbvfX1FcFx1FgdoBur5TCSV2qrO43RYkjJh5+chXzvIf13qXaD6
7UWazkWGODPiNCGuV/GHuQQCrmIVTH8FotirTYpvTtG8em2dhCg5vRoA07ROdBYH3w+JjhCnXpfE
5whur7lkyeOjiYMgc36ILENuIK2eFsCEpT12We88OuhqPEIyOuw1IlV4FnAmbhGyIijRd4M989yz
Fub1mVCBCsiwVM1nd3miQJ5KDSfbJjb+W4I0vefB/NGorfYoEuIQTTvJEE/BNBf4z3OWrDdIzsnw
rQ5lyFohtQFlx5ASLJcppczzSWyWZHFR7lpzZA5hD4G/72zjy1CFDoprcfCgJLxLLdfHaiNOmy49
ynptHEWqb0pmxpncbPG9sOeCUNMYqd25sTWjgQvVhgeBzazNpIawsZC83Qm0kDiYTLvywmK/l0/7
CUE9FCtrV1+xNDSe6Fs+hbllbeskSTYhSg+byuND1idxdCRg3zO/jlHFojNrE+9qTJte7A6kVwR7
6z1LXRy8UxIR1/QK2EmSV0VtyvvQs9DT+agt6hRTHdlk65zVPxKYyhYPHETGdni19R4P/seZyONr
uOmTAO/elN+GkLJu1Nr/paEOdGCfH/ZEzRpeoFiqtj0sakVRjJ+k0B0+WRJwsdAecuCWJEc3LI6q
DAWPSJpOP3zS4MJLcTU9i6uUSZ8mL6V0L2o4hCxe/Fz9JgqTodAvsBoegkms0Urr94NaRtZpyTMj
fndFxFyFkCoCBqZYAWeKGvB655MXGtI+tYbi5Ab1WVIn5lU3OJlo0P1SfO1n2DgSIvWStbOLSDo2
ZpA+hQM/x4bQzZ/cqagpD1WwhhDGfIo6qSU4y/X2NgITVja8NZFzKrs++MEeRgE4NOqvSqNLTKPV
ft2kbLKB/443VuEMiH2uhMrYcmhrOH+MVsVNxlz9UXFc71ASd05QJzQquQQeWwQOykkIW6TJ3+GW
adcWn4/y6npheYzTuloTXoRnwYzZS0rsz6Iwhgb8tWnnmt5UThzD4wAhNnIHzk6AWLW8Sa4eK9e+
btI33cjildp11S89ZPfV0BnrPjtnUq40f4y5w5zDqfVPfpp8102nOdUJrOurhL26q+SGxzK2rFNX
ljKAEpwc7HzCyT7YxFsGVvKcEoL60ks2zzkt8o1alO6LODhKsDMhF3wUqUKuoI4qSnktkuKqyvAv
8Ank13hqIwYddYgt059WvJAlEn2yjWz/2CqOcdE1p3tSp4NZ8G/uoiewDcehexIFTtO051jX55TI
b+2sf8KER6Z/2jlM2LaqLARkh06CS2I6wOoK8dt06KPR3Xg6k15R4Eeew3b9VKfVamg8nNE/ghJ8
yzIj/OpWuFRz0BKPThsWhw546NEwbSLnCly+TeGBThkwf9poFjvLWRq3D4B/p33oJXdsDetYNs5R
YqAQmWCprNTUDA30xuzBy3lSxjfe8Q8VQTttUo+fq9DLP2UN8NgpZTal+wni95UoS4JQfm2siyiS
HTAKOC+hIho/i0NKPL1jxnNijJ69qIhX7NClu8aPtBOULCAQsgbvqR0+of5QnXhvEMKUYyevxWk8
Zvmx6tjfeplIQXpb6WAPT6Dum/CXw/BJDbX6kIfI7aadGw6rTvJPXVpySJQOjoEgvkqanQE8hmZ/
C/K5PMWQ0K+cYHjR0YTYuYVRPVVO8BDUefYZjXWCs3U7YJpvp5+9AbmhoE26XRuplCpOsA/0INp6
U+U0Tk5Z6+B+VF+ynPkAcFl7ArHiCY2L7FFKFemxJFD0Uc4LaWImSDZ4X4vtMCXnvIyNDsf6aXtf
m76vXo2QTRDUevqVVUg4TEyC5HDXOnLGRpCltue6j1ro4kx4m8RyobYke1tOvAQiSFDEDMKiCQNx
q0vEyJQGMUgTtcAdq4DIM4zwQkhwS7w1NQJmihtLR7+UkX80LUt/MQFTv6iVe/TGvP0iWa108sBP
rEUyMaGLNJPa3YtkhYANU2NtvIoko2t8tlPA+IgpVaBkieH05OQ/bgBVYWzL5UMXxhAoN7m2GawO
nNKwhwTR+rNQC5z/Q56/IbxobhrH7K45kdtHVkbtDnDScxz6yXbevod44qkbEbwQDh4pgB3fYWJ4
FFv5xLmi59byo7Id6erjMOs+621INJvi//QtI1wJdcreMp21q3Wgi5sg/BxE0VGoX9oxcR4wTlUH
kYRVMiMC5luipO4hV8D9QywXPDgN33Y8ABeZKJTXGH2Ii90SMYTUgvQt9oMQDMcwPimQCz36LvG9
Ugurrt6hFeN7eQoZamu9FEnwqk2sukOemBsdoOIpcGX9mlrJLwPDJzK5YT9Pkm32pY5Q5j+PnRLA
uflRLCInxqqS2eHJYQxiVvjoQba3DZwWuPdErLmgY5eCJU9UEQW9Ib9fIQg0sjZTwQ7CzdalI8Sc
jfuFtXl9kg3bBXUEReUIBmkDT1dyEqWpjy+5jcxPuqMTl1CmX0V2aavOvgNosRVJibX3Kk8776Ed
HPvaI+9aG0z7+ZH+KrADHbZReoF1GdKOoJIPJnR4L4GBaKb4DyUokCmbhaqcChGo7w3+Y+dK9qny
ENBzm756y5prELePpUxwUZb4nyHp8t9CcC+4VTXvNDDHeQpdjdCqqUZgfrf6IPvBrgdsBrjZmNaP
bClERbrVej/4ZlURW6P8ixMGCFiu6tJPdRcQ5xwQWm31WcaHkY0oUQVO0IPUeXtHkULgaq4NNbSi
PKInUR71EtZkwKLjs4EHZt11nfID/dS1HUhEqavDH02llW9NbVYEEHXMX1qCAvIQ6ih90NzXBInL
lTvVhQw9kRrE4YqienYHF08NSlIntq8mZ1D1WXC5VabFJEEhgKXv0+hqEwe7ths2+wFDEMqtsZxs
OiQ4ZMPvIIy203SVwgzERqIRvogD0fO+grKHSHgSHgY7aH+ZAB7n8vs2sh8s/2AimgA7vucrl0gp
QI4nyI/n0CoKZ6EdpvEqK9FOhmBaeTPr6xwvag5/umJ1YBhw1qAkAgP0xEcSZLC0qgYxAiISRUql
cE4mzEVXNf9R4X8g8LJnWigCrnexhTdTVJ5SBuTJO7hsq5PKeojgBRNveuKEln6wJbn4PORxuC46
rXupZURB0D7pz/iFgwtgUVg5HVt/KZysdXfRjxiFl2tS9+5VnNnWt7L2zIe77JpXtUrzvNkVMZzt
41j6e8Vu8LGFkZW8gsiwAG/iZrU7Io5yH6Z5QzFfnTpGKgewuPhgag50S2U96OjzpdGjOko/dMPN
V4oCVZkjRdm1JWTzigJLh7LQ01CaCCEXhYIaNH8MxFmUKLRoWbFupmIHz8ZTIOfKyTXT7yIlDj4o
lL2qlBu/Yid2OVhtcAzBAB2XLHE2OMZ7NaQih5puSEvez4Gtm3NU62TNBaL2e4baAA9qfs2ppUE8
m5m609FqPxrJ/6en+QrRHRxlOFwa58vSirAA0gbDPta+jYJ4ozKTmszKgrBArnq6sSgdYF9A2LfZ
BBo44OVycRaaLuSIy72BH0IVOUF6HsEky4Y38G8PR5m6KKfObm5JFzVZb3xpPabhamMRXyhaH8zk
/ZktPYRlfFQ8HGWV6v5M5Kx8iFW3uDmIPLfXkl3h1B245L9Kl8qJLhcPrGvcS4Ao9N/buEtmIRBf
L4MF6q5AtCvyagJQd5DA3fYVfvQq6gHedS5owsF1CPXQculi3F0/uQIfiVX5IY6vMACGzYGVcJat
3N7057QBAHZdE6O4XuoUXfVeW+SJynd5ouAu73f15u6WpkV3WZ7fdnfXVpHlWCjaXsy86+ruktwZ
P1uKq52bvESmtv/ZxUb2mupV9trr0Xcl7rIHr/SyV12C4kFyfW8vCiMLRGXjlpOfl7pEOpfPAdqu
UqX49boy4+cwYg0oCjNEuDZm29vzpVBfOYcRDaa1KG1TS0KutD+KlOge2NzJygLrcb48mECrIaSC
ojCsIW4PHQN/1dSzlPnKFXn6J5ESpjawQctmnj6L+my+gwDsa2vuwKqUYM9SW92I0iDvqwdgSN/E
5eIwslCIoFp4mbMU3Gd63DsnUb9uoF9DSwu89NR7DhLh4kho+nVpE9Rr/PIEW83Pz1Shsan9NmC6
StWElee2anq2SqbkkDf+mWiydn6ASqqZL33w07XL6qiGeg2dhpEezaAaQYEN9SfIzBC5UaXhV+4R
VEzU7x9ykltr3eyDxxDOg5PbQfwWR3L3GfTbHwVYzV/OEB/Z8Si/dUSkbuyoKCcEDcu5hk90ENvq
lwyxeCNox1/w6rzonuR/qaCK3Sq5pIEqLs0HddSaTVyr3neCwveiqtLqfzJfcV51FflegP/pKR/c
4VEyQpl1Wd/80EY4YKZWbVxOLG9C60XumHMjx2IdcLVDmmpmzmq2EcKPKZgprifC6061n1rdz44W
//SsYtJLANcoEpKec0hyQjdtUM5gvdphXxDVCtCIO0lM/unqQZLZfa2dN1RWylWXaN0fctw8NUbf
/0eH3sKHsBXC14jFTjhW/5G94LnT4uoPn6DOlV/nxpti1cSXWYb8YkN8uG3b0bmmJXQS0KMoZ8dE
bkthV/jgj175IMVOvfPs3HoaA6SMw0A2Xuua3S3w0/E3wxt+JK4l/XQHfR/pI76jdC3jsGev2YDa
S5bNn35b/WyJN/um+9B/hAVeoLGHybtrDO0JppJ2l9eQGbBRDgmOd7JVxiRv9UnwLWfQeu9K9qeB
6MHezIrmCKw6elUVlOwdH/46wb8c4K7bBDgET8EQJl+N9jCTOhPnToRVpm4M4l++QTjOC7PZpLOd
6KaTtiVkM//opHbsm0463QWjNF0uOvHHzDnBNpZ8ZXYpOoG8x547EabYEdrwopOcEPHlTorpTpZO
pjupM0hs1TKzH6Cgg05N8FNPdyI6QTdx6aSb7kQFObERtfz/8U6ELSqfA9EJKzz7YbmTaOpEGu7v
RHRi+eN7J8udiHcCXv9JPAfb6sIVgiP6MTeL9DGdDknTRQSB4J+2kUl6lK0QDrMCduIjgJwvTtfY
+kpUHEKCs4pC24p6SwMiaUS7Tm/Vq6iZEcMCDqMHbt01/dkSbYhqta7+GTEQDzf1KsPAU9N47e6m
YisDsQKy2PNRwKq5RR0SnZ2n9ggjTJniIOxwWbsf8hQJlil/tjm3veGsDhoYsL/V7VNTveKUXrJ1
QrHmxhL8vKrbNBdROD+KPlG+pLkyYcloZ6nLEhHhH7hq98KE2fYsZCNbDu1gu1QU16FkZbHu6Jv1
XYHMz/yQsaO6uitoI0chuM+53uU3UAU/sGc9v64bQ0uTZfqY1w8ib7E20PQnM2qQ85huYL4ppzag
cG4NAKcfT0f0w6dQW5ndEakK9RBAS78dxzH82tnEuFiarVyUKTmFEYRfB91QL0ZYQwYzZRKsHm17
w1KI4SIZDC07DFX+omXsTchB/YLqRvQ1aZLkYFdVNzfMnzoKsXldPHgeopP0LC4uJYSsQLLEa3HR
aJn6JmPaN5cOmnXKbTn4JGuZ+QQK4ctsQGaqRDmkztw0wdUNwbOGRNy4Xr4pQzDbyZXtuTB0FBkn
g7xq2ungi3YUN6UP9h7ZGvvTqEnBU6emIKK4G4cdxT0RccVOPIDYZtbnAuO7SlHQf+YzzlqEaq6t
2afWLtC1mZIqru5N7OaoIE5JSI+2DkBzvqJOiSI8kkkiv4waY2c5g74TycIFSdKHWfkoJ5362mQF
G0JYWplhceKbH6CPQGsSuFo4F2Wi+qakrbVr6KE65H8D9QplCYvpKV9XGwC0VpCiQ89L6/v2R0GE
xZMZIDDvEWErailxoSO4DtuYqOV4bUtQfdecRWkMV7Paliyf3dq7wseC+1a8zB7+C34C6tyIq2Rw
0aTGU+lWIRxl+klcPcZFeuwq2H1F0nGzZG3gCLiIrrgnDzqZL5GvlA8Qwyiz2bD1d1s70+BBncyW
G+Ul0b3+2S3aAgHjAkzIdHPTMA1l9g7FM1iGqSglQE0PvtZNqM3DVLSkyAZAfzQ8IHPmoULodVUN
7WaYilqU/36YhgryY2N2FBfrFbRkYpiK/gb4I4Db5gmC9xgHy8SpY5o4D1Np9L/Mr/FjmIqeUiKg
VlUcM0wRWf/dMBXVMsvh3QRouc83zjC1Es36BDNQ8NQwTEWXQYiPxvCaYh5JyzBlR2MepvPdTcO0
noapsGgZpqK0aZqt0xfKa+iNsOt+DNMBaiSmlgxTUW002VIcp2Fa6/Y8TIVpWlMVJ7lrAsgrp3FZ
B8Zag977JEpTaEDuhqloTQzT0rCSvTDp78OUcLh59CqOqR9hDavnoQQSvF1rH8M0iiN8JG7xJkX6
+zAVfSL+CGn7xzDti4kyiWGKGHMIa512El0uw1QYFMR4CwzE0S+i9G/DVFNLIuemcam1qL22ahvP
H722HF/ou382QmsepqKWn1jqobDB8gt74BB5/5qK5E4M077MYVutXX9f5an3aXDLYYvjFj0iYNcv
4pBl+4hIjjlhsDmzC1wXeNhUX1QItHTV22b53OWt9OKGiISiEoV+y0cTow4vE3oy0H9wke4E2b4k
/uamRtmlBC0YzaO4iH8bvoeDM65FUlwltdG5ApF5FVnMoTqQQAEq3R+9MCjZVkmUB1G/j5oEck7g
O8KsuVpqfI713LyIVEc4xHGU2mElkuKqqGx+tIHvzTUSEDsnVSbwbukFZRt8qLKanMUFo9LVZ5iR
vJsqHbqj/LjG5iQuy8swvRRj933pht1PZt5ZrR2FcRLbrQ+9HL4u3di1KeFJrbyj6KbLDWBT1TDf
vahmaVG5VvSiPIgkel/GtXCc49ILoE3o+oZWJeaXt2mrROVCZbgTLYqsIdBAyeZ++P76c0t+MmJ5
vTwyK4rHDZzI3U5ckEWh/By6P5ZOgGoFWz527jxkXKTmX2ooeKc3LZpZxpRVGvsOL8bBatEXbgkP
fREHR4+8TRFW7i5BQXjOAy+By9tXAJFTjShK/fQvrhrSiZ6uVB5FQ1WDGu7vrqqmvpb+P/r671cN
jQcCIL6/Spr6Eg3d9SVaMhX4mf7lVY1usOEZOsGh1mTzCbKp8pIH9kV1g1xiSUjIYjUm69wuecsi
NR0a1AJWiMKgJDUlayDZT7XVeVtdMe3NkodzLztGNSA70bqoNzqj92hZSFh+NCfOoOt+YLVOVHZj
0HUS9NlamnYf5+Ym68q8kncMnWEt8sRBI0rsbJjBiywsFl2k0qvqatqjSIhaoy97K5iMzOOSx8Z7
Tww7gIFqskTUM0qpPyh+1q1EPWF1AATimgH8Xi4VFygeoFvIZB7mZ9X2sYOjCiVS0ZKobJpDsBu7
VJoNFnma7usnTam+3jxi4xDBnfMkupvtNQN01LX+NLc13byEYNamcZmDLHmZXtp7penM+WGKAtvX
kgdiUQ5ztenVzPmNtTXywn5YbsOvlWFVQzNyWJ6Awx7mllizGn75v55KqqjSUa3GP5eeQ9t2Hwfn
InLEQVQPs/5TWYdoQH+MC7UkrrzVcYAuebqKhGPcMeNdjKkar7o0jnpRinrctH0ibZzK/wGstToO
Ydw/ioNmt/0jnuvT0Kvy2UKzPtjGFjNI10+uS41BbiK4E6DxahOAifJ0fdtk4zlN3ZOoRkw4BfnQ
Fcc66H/c9aC1UrGXQCisbtqcGunRdYPKU9PXoiARzbd1F29SiSFy07Q38iUNwo49GdHV3FDK5pSk
dMrhpmbfdI+Ap62TMHO2uCUujIVY/jBfHCSG/+hl25umpuDSSx15+7nh6bmIs9DHfz3q8ufZNpFn
u5m0V2UX5j7xxAajjXedbJZr8TxFnbli6smbxFTkjSiYbQnHieu9z5PdWJjd3IuoXdUowFhlg5Tq
xwsSZ4FUf3ZCP0S8Ynr8c+XWRhDIai43eaEG3QuSmsvlfePnbEYjTDC1OFcFqm6eiD14T4qSJjHk
w6QNNDc+V9RdGU0HZB/mlyMqivuwNTncqr0Uz83OTxHkIFj5QJHnt7bUjlkFr3rPLudHKwrEq0m8
6IddG+VEN8Bt2UlIcK/1Gku5hCwxB4KLnXS1pCNneC+5y0v+XiDq4Tn+62KRLjPTP5pEJohr/2tT
S8tLvaX5e4uWOst1v2t6NNufipQ523urlqb/a1P3lyw9/e6SJa92Vbj+8/jXvzF6ueyu+fuLxd0t
Vv/uZoeU8aYE0fHfNLXUWZr6XfPzU1jq3F0nD0G7zrWxA7fLyPldvflOvLzM11GvyWvPKJlXjLJ+
EmfikLrBbV4I7Ii1euPF9nYp/92FIs/VaVGcSYn1h1OFaJyJFiRd92D8+Md51xA29N4+lGOch2aY
2Ns7M0ST/7xaZIMDfGCLONvP5XOLc1u353O7/+hDNCEO4kHc2nl79dxTVmxGKNcOt63/06q5jbvn
uiTFrS09LgYs99x5tqkRG/zXwxR1WEuQaRMQWI+nf/a6tHN33dKzqLL0slwhzu4uE3ni2n9hsKgM
oRQ0hToaH9O4+l1z8y0sLYuzm8ylZOlzyRNnS8Hdff2uv8X8AID+Hp4BAhH/Nub/T53PA0Qj1gjx
DCvaZYG/RqIP4XpkWNZEEeqgP2z7COUzm8SQUn7K8fqsoolTIGbb1jTkaK6raqkx1yWk6x91I+iU
7amuMepQj/y9bhk0zqeqhQVS0BqEtCvq/gsbpnaZIf/vbLhrV9gbVCj1KsWIL3diZJ+ew50NShU7
x0Htofqa6jaTve1EwzA9h/9qQz7d29/r3rUrnu+/tME2a1aVKmRk/7MN0DM7R/nDXnFvH/be2fC7
uh/PAcUG+a2QQG3BowPkijiamP2DLOkc4lDkcd2qEfzDSVc9iRK38rSzozdXkVryi1InNt6PWoiN
zPJJFCDBEB1ixweOPDW6XNGrxW6AH/Nhyc9Vm3jkAKDBGHQthNdOa18HdjyWKuLML4wIz23u75eC
MU10CPLqz/FHN6JQ9c2vtTSWEPD8ZX7WJ+Uej7ML3+1H3mRwjfJ7ErVgaj7yu1RVNqE2eohHYL4o
CCAnJ47D2hTiCYkO4fBhcaeqxmySqFe0pnkkNvDnYqXId7LwuUFo+jzfpdxb4w7C+Xp+7EvlJmBS
aPaPS44Tu+GmDC15tkY8ZZi6NfbsbWjO/roZcYEPnHNVWAbEix8FEDy5h6rTktX8ckVFo/TPBJDk
l6VeNPQI/lW2PZskCv4aG6JTcaHIXsbHYmap5DfjY8kX46OcxseSl03jo2og2VzyxBlRj78dH+Vo
1ZvFVDFGiMuYL1/yHQ9hSVXt2GwTb6kIWv3kq+Vn0fhSTxm1r41sl6clfxkfIm8Zyx/jY6l7Nz5E
gQY9qBgf8/sVeWJ8tIH7Pj5EXmsH1tE29Z+LNSI/yeNnRQ6L8zKUxRiBsBly+Y+XOfdFaNI0RpZs
DwXZTeYxwxcVRMHHGBFZS/4yRpY8O0IoR4yRu8of42TJ9y3tfZzMP4URzr2n/vZ35emldnI9uAkA
/8HJKo5jbgUX16j1cKOE4AqI6dlndk9e51T9Tpz6PMRwEzSDs9Zyj3mgFoUXf+i1cCNO56ohfFUo
5pWP/dTk3Md8ujQnejNSBCR6iOBgRCmqlWhCVOwtrex38zWa0YGaayHEELbNlUT9m5ZdQkG2hQoT
MhRI3NK94eKq1jXN01AlhPgs3d30JB5DlbWfaqN+v3dhws2TuendyTRnHWnWSBwstznbLW54uktR
UVgx34VoewByfUC2dH4w800uFeeHa/FMXOI+iGH7eAY3vYomEXzt4eorCDBZKs2Xi97gDDS2XapA
lybe3f0NNGZoncx8gq9P71NcU/aae6rdELKPjBi5wvWuKKh0m2oMvI1IigIp0QKZQFW7AUinPWVy
GcqrpdgNZQ8Zgw7F5Bg4xlIqqthVbRHko/q7uWRuzCgabeegR7ia0zetjZJ6KbFJNDv6XiTPp3OV
yPniVSy+RWki+hI23tktKs8dttbYHIfSuLV7LvmwebZheQgKT2e2+aYdcbrYLZK3Nk52d1CkiALf
SVPl/RFistb38mGcnu9ssrgO/FR/86hvHtyHyTftzzZOJoMN0M/3j62D5Rk0ie3vfmuybhTt6sYA
UcnKc20x+f4hFNgtazmkDNPguLFbgqp9k3bp+xCZb1WYHDI6RMvicDN2fme2sGacnvRvzVYIgoaV
DxUf8RBuGjMl/mc/nrQoXfqbz/4yXaRuHqwwvZhGdxYgmmMHyHGWvfIEoPXRLarqDYBERyCFHkMl
alRviLZqJ5hXkEGaSlPfzQ527Wtwh5AMUmLd7LLriMEgGfklbLARu2siGeP5XdfZEJ/naw0P0O6Y
+leRLGD6iBw7xck6dZv/RzJS8xUhvPgVdcvVnDuZ1mrZbFpotN1D21rxXChMc1vr3bQAFa4b0/AU
xbvW025Ng47/1jQAY++m4T+BmGsyTdz0P0wLUguqm8k0T5VWbSb9P8aurMlNnun+IlWxC25t490e
z5KZJDdUVlYh9u3Xf0fNZJjMk7fqu1GhVrckMAbR6j6nekZa6t4rgakgM2bdgABh3RCMHiDzpPY2
tjdZN9DRQ+YC0pV5GcAnVZX0IuQvg09r1iIJ9VGE9Tf8UvWRRKSO5MEezNISKG9qgFkWOOEBjJKI
HlI9kowZVXMXi99LZyRuAfcQFEkKgKc/c+Qp4ASCxvWAHfhnjtijqvaIAUT48tscDUTOXWPLBh7r
n2nTkczLu3AsgXD5NiGZR/o6bBEts8i0tDKB04BM4WWSWtxrlwYv1Q+zFFxhWrmI7lBD0VQFAuLW
wnKj3SLjY5PsGsCqzVOiBqym7bMziiPVPNZHDOfgbBNAP1xIRmMBbtFbATle3y0XovHiYeu2SOEl
PZpm3SKjtMFOyyKajwxsIMRRe11mjrA9ZJEzp9gvJ106LfMRwx8iGvjPr9V0mjghDPlpuQ7zvMAj
OAE/7Y5qVAC1BGTQzAn2NEuSyXJs/bQFAtNcVb+jNFhzTFPn62JKnQO1Nq6knO8IkkjhwDPfS/1A
qjQruklFPb7epLPs7SbV2hyAM56llzc3e3cbk/3fNyhNsqiQUscm3KDL/IDXHx6QqwQADvWDUsGB
THvnAvZ2EdHIfPKeIhC4nUg+i97u0OXHWu7QRcbM4t0d+u7yIm1ruUPnSzm5WLX9fYfKzjV24Rjj
s/Ltx6I7NB3HdzcyzcsshmMY9wjseDuh5Q6dR1ANYhJghY4jQJS/3cmjLN/docvshWm/u0vn2aeG
t5IAgp1veppWL90eywZszS4X6O0unX+seYa4Q7O2er1DZxFIr1alFpf75doAyvX9HUrTQWq3OAVx
+7RcB5LrAAL4cIfWBnLMp6AEZOnbhaA7tDPs1zuUGt7u0OXaUOd/7tDlMuQFYGIR0awfSIEaZAwk
TuwNINZA/TJO11erjE/lmbf6KpU6/wp2Etdv9UwesJ2kPWvgJ0AIn/sVSfuRX/SOYu8GGFlXuBfS
d5xOAn02sU4G6PEe27J9IflklKNKUkwuTWJX946BU6YGMzSAGtZN47XMBqA9pBOy+bjgXwfdAzFo
YCe3AO6bq2Bxso7VlPRg/M2b0LrvbA3pPjlggMjAkwA+R2Di49QDZzZ0GT4YlX40RGAw0/JP3ANK
ZwIuHJ/kAcioRNEoMPKK7WuEE82nhvTP1Shl/KUuQCVgKqRRMXXa1+iJhomHkAMmAIgIrgH+UwmA
KZpWMgE5FuxxKiSq0ulKkb6IATRDVwqpu85T3DvzlQKLH2hykZFyQgzUxyvVNBEwe9WVGizt9Uoh
YeP1SmF/ygL0E7hW6LdIC+f1SlXYk7kCDCRe0xlqlv675Zr57kqRXF2pNrSaR9OeXq8UTbUUydnh
+euVqq0R0PDqp+C95euMxS/AsX69UnTKDHfUAD7Ed1dq8jztKzBy1T3iVTnfiqlN9mYbap8R9bDC
W2B81muEFiL3v73h9dzcrDq2DkMa/uqBXwkoFBQkb/vpnIR6dF7kDQ59lyMEiTSoIWdqk30CO41Z
6x5Se2Cv5zhqirbdkR4VE2LAaZhlhLnjP8MwD7/qKkZAvA+kZUTjUr1Q3cskRi62aiZjU3UPdvF2
Rz0s3Xd/zmIZliEnns5itqfuQUKE/W01UbJ/NwQuxyKvM9tbgZcAeANvum8Xi0YIANKEOf05g3lU
LfuFxQxY5gsR3pXpwK4NmONO2FwBXlQeIghYyTyDs+toMaQ3u8X7Bl04eASCv8onFSrIwu3sZo8g
XeDvK9sgHZm54uqwsXaWAG8eyV2SG/igXrGJDbt3Y0aBlwEABS4a0qQJ0lEk8xrZDADmolmpidMR
jVvU4sHVu+i46FOjnaZAunINbUMNHICdB93UP+dOrt3cFtAzg8HFnmPRjGSRPIx3oBzM15lqJp0A
8IHXVsfOqOYiuD0E6SYd6V34LQH565G0SB/oQrU/DUhvsqm7FLhNp8RlVznoHTwfyjYp02PmOPp5
HhHIbFjK8CzwX+ummp+jR8DT+jMDGk6EgHboS0RtQ0ySPhwVmmpp7HpgXgUrZCHhOnpJsJpHn4Is
uUPO5GrWJh1h2b9F05kgUMHJUF9wXQLqu29iX7JDw4LwnNagcEf0LzjfVUEyAzGKQAlQ9WIaEX8s
i9BV/NMa6Dz+KHXIVO4BxY1H6dIRHYnkOz6R2HHUsfzd/EtjHsDyGMKNBDIUP4y/zGkenuqzTY74
/IBNzWHRmSeyTIwGxB+I+2nnANaMzoAhS3fDB6CWAVgvbVYNlTVgt8C6k4PEpvJS5ttjXpwNpBDM
hfl3lVpJ5jVIKUMkD9AZ3pQDYMW/s6WGeRSy0/m2dGL79DpkhphDRKup4WclHTyUqwzgB/48QRpn
VqDDWZoEqb7Fs+bXbPTfc6FZNM2vRiBv/a+TfDeikyNv2HVE6v9r0stZL5cD0aHpjjH3y3+nv6i7
DIiLjUJAcfGJxQKjuhljfgCXO/BVlYiKwKuBsFaYIIh+kwHAJLiT5npCRi1WYUoeq1VjgXV6ihSa
O9Fl451hZCAnY94ZYaDjLIprzwCZ+BWkBsPdq5i92BHw3pBAoF1ScDdc6KgfM+3SIsYS0V4pvgn+
yBc1YOYbpymd1hGwfgB49LdK0JcgliiaHySn3oy0Hl/1ZC0B0jm4w7thSYe6BzCWi08YoI+Ybr2b
xjCQ4EcFGqGGP/S+AAreoyUNBwmWiBseef5IoqBUgeeTQGCF0uDTVB5b4AGvqDoXmXsPENABSIyw
SqMo3VsJwySUARUWszYDsrNvVJMszcEeFQZgDYSBZA6Sofi7DgPbmDbVaExbVylMSWXdZSPfztYD
YjBFXVwRmtytncEevgOvZOXUBgDKdbCCCGYOj4Ynq12aZ/ohN6f4RroR/BDIMgfJJM+w42aF35oI
dAlBsTE7uIxAA1lgc88xy7W0B7yhG0uCORGcD6s6asC9SHVmyR8Is7KPoeWWF55P33k/yrXjmfp3
o7GRZTXkv8CSGK8APw82QhA4bAEflZ8yTzcvJg/BzVVkzWdke10LJMz+igLnjDxu77Nm2OpDnz+B
EXNYh1E/HJFAJ8QqmQCat2JD8HZsgvEFAab5cOxJY9Z7f/xfCXVIBRlSFxzgmpvcyxC/BbhMvR+b
L1rn4sUwetkxS6z0wQJ998pgtvZd2uITFoXeUxxW5X5qB2wOt0X5DAyEqzlI75udtME6i/Rx73B7
+DSCJWYjXRnOVaBxBAgn5+0uN8T4qVdAz4NZBttCVYXDHb+ykGZNrRVecttAy5hPXZlFjUSA9NHS
FeV80CXHeKjBxdyOHOvyZkO1qbK6Bxdrw62opwK3G6pd1lqIZgHCuq214zE1wSA0H2rIvwY+mZKy
Artd86FB0qA2xyM1LQXJ3jXPh9SO2D9hrF02GmA9d84en9KzsEQxIuqwtoAkl1rnqnH0Q9/zft/V
APoXCbxnUZoGn0pE0q+KlMU/YxfIFBKMLqumMg7cK81vWh/aih83eMzCWPOx5dVfAHNqH8AYUe+Z
3f/UWO3cd0nmxyCY/VR5HMwnYCddF2lVfpFIugFwrPQudT418O3HV5LrQq9A+iT4zojt8otVasgh
mJJnIPdi7ZCFxtpScm8S5sqdWHztoty9zwNfNMXUbWSj1xehijxC9JteDYcoC2uxowZ4WNiKhXBZ
TG1VX2aZUgbNDb6gOkMGSJ0w8RWH975xFAloFTKj25PirEOHQCoZlau/BaF9JU4km4dBnDpoH1up
b0lIM5lnFgDaAJGvOnJj3sZmoEC81DEcW6DTSGaTRDO0fRSIR7INczUxsuhSE4cDQtQmg53JdJ7H
MpLRZ4BndsL/TlgNyRFxuAZeLtBn1Liz8XyomgstzYG6qCGNQVWpIXbDfW/zage89/hhcu3mFNTx
NzwC4wcqtLAPEbfpjJtFZheBujhhCZhAWFFDiO1ihHOHNxKlWv4CrrAXLNPh4+gRJQR8cv0K14J+
BeeSZqwaK4hX+GKL9l5U6VdqpiNNF+IEZIZDMHa68c6uhn91XVie8BdlrmzJzO2Ptg7I/0VCYqDz
RNsOiSvroa6na7xOHFM7jRFYt+goKcrXo3/JQB19Cacp2H3QXaqgcZtKhECh0391lU2NtjKAzLWZ
Vd4G79UMaEhAeB8jeBF39ZB1AP6gsg/BXpalABib64ErOdBJsQu1tkqvApy1CV1SMKwyAs7Gy9CG
8rIUdVW+Vh0Nr1pmASaKWqlBVB22sqhudpN2spkNADgl89IEmKCv7V6MwLPGfrV8rwCMz9lq6ZPp
dQH2NBpXGYZZ+35IUgzCpsMDHVDuA7ZbV05l5j8ZL9Z5KkFG5AFGFxiL8TcR4G9clUI8TqWMtwaA
Ls5ZXo9H+MV13E9jd4syFm6MULNfqp59nZpi+C2MzdyPMfRP3LaDz0kmtLUQQXOv9fBX9I1WnrrA
ck+el2tb0fNM4eICHy3V+BdD5rdoaJrr5PDM1yKb+ZUbdUg+HOUBoNPVAegj1aVsrWiLRUHxoFvO
uEZufIisKvbTGvrxZ24gapqITTUEBPdjaf5MefRTVjz9rLfNoDDR6odR9Y2Hor11u/zJ1nT7FgEN
UmPFjSqaGzq3MOl/hDlcMySiYuQCVKq2nPxF1ijXeVp7I7BwYUUNXs+8ixYMPomsJK6Rjb9Hrnhx
maouOiEV29w69lA+avEIhD4ONHct/tkqDnpApf6Y8Px/LlpA1iw2XVCY28rzykezBQCdnhh/2wzK
plI2AjycFwvfNCcgkP+KXR0g3QcJuNbPLRvMc6KZLgDFWPw5knbuW0jS3Q9RGn+2xXTjhs7vwXGU
PMipvCOjyGQ6aCRY4lNVL1q2GqocxCqqS+zThE6ovzRDnF4KNzBXJLZqs/MHZxD7WWsqHj3RPxRg
k+gsfLSeYw/Z6ImDKJ/WBjJki/Vwlneyv+XcyvaeUZw9lSkKBiN2FK0712yVOUtyphnuxdBDIM+r
/GGSUVHnIJk11atHJRsvcrPw7rJYDogDrMLQL1QG7KRyYec6t8p6bVg88MkkoBRi2YFyOcTrb7P0
o42Ts0k9WWxYXtjbNuyxS6pmSgUNOvAxOri28/2DPDFBCQtGpAPJR2Fj4j1Yh68N3q1pFYXz2EWd
+m6faecPZ8Bt9lSCwv7wQY6P6w6EX063owbE02z0RuUFqAvAaoCTi6TvXkdIu6jytTbi+Mup62Ak
XbmLY2RCzXUZ2lipeNbzXJ0Aa34uPCQ8UOo2TbICsVqU3fDZWO0mPFWPgyroiAogSJhHoYJi/6fs
gwpVSZnMlirJPnT/L9kHlaV73nl7WQLhculzmZnVebo/AAVpJafeQHYHN8Cg6QRIrdLCLckAw48G
TQB7esKXA8nmBmSG3LU9KONhSVp05IzmVy9wAYGn5FRg9W9vep1FvgvW0FmG/1Bw6PrkF2nQwHRk
WlvgpyS3RRMRDXLVJ1V8WFSx2Wr4dueKzQDQx2DFW7c81Q3QvN8GpSOv4WsEgTXXZX51D9wHO0Mk
i+QAfOuRwp0W4ABNDaya0tZDb0M6OOdpMg/dFDUNEgjNQ8Ad57yMn6VOu+76zNzOPVBnnqK7n+dj
lnVzDQt3LRmrsG+JmYVjVp1mbTHi/xTXpeEv500nSKc6z4EuAi7GMiYdqSs2WgYuHZ13VOPLBfj0
IHSgM2kLrT62uvt1Hhe/DtDah7u5kX4/rWv1/VwfEx4iwlAP1nNnLkucU4MP+GVMC2B3AATr8CkY
6dOzZ17sdIhPcw2LEvsUl7p9qhokv8BJkx7gTgY4p0Ib10JkrVldqiI1UR1V1VHVpXWp2siFPtZC
uCtNtnutAsUTl+DdDSd5KmNXnmpV2LJKACKoDsfUjouVaLw/AlKd63RIhQ5P/NaY+GeqcTL/2N0s
pU6pyXM0ZwUeiXRvZwh10jXzkfOCPWnht9iq2mfLtaP7OmwvTAuaZ4RCqT1WILhRo4vot6MEmMua
WlOOeywvHMDZg9g1rNxjZUvxkLpJeAdH2TaNveyBRL0Hij8rNar1ItONIFuL2kz2jbIiPVfjG5bY
zR2pDW6FDaFoepq7Vb2NhoH3umFWm9iGg+ElD3js90P4PcPq4VLYHVCWAIo7FySjKiBg1jyKtNMi
+qDWlnq4Bj1Z5X9ooCp1DEpHc1dX/Nv/7OTvsbBMq7HO+3s6yzjLZD/051kl9tUD7+M4gOxnmz4U
0aZQNCaGVTVrB4mDu5Z4ZVoGNJ6qdcSOmlPHS0GEkGW7XKpH/N8FkGHCPZy5D4uc1AxsPDYrgH8A
h8sZXs2Ei2jussgYgF7QFTWQClU1Mln6cQVgw/E9VfqRlk971+zDlRUetSLMfzogUwJoZJIAvg3k
3hLJDQcsR/MbYGgGkJ0P5rd+wgqXWfmvuK5/cASKfvLi1sU6CwglQfHJQ5LypZJa7CNxeXiRQfSY
Jpb8xafx0Oix8yWWQFUuTWbhpeuWx94SbOsahvHIK1GvqOeqODbhIObZJMiW36YjgHiNMejvGwDL
bpsKOxHgq8zgxa50B8Rz4NSiZipAmKPQH5PWX2RIJATGYht02ybTwLQA2AuxFlie7RCeOdyTopia
AdtELMBCETJqiPE9Dh94joiQTO2dDKH+COZVD0AjmA0VKbcPoy2GCxnoNa+R41Vq68gOv4+WsJ6c
rDUeihqMR8Ixn6jInBagEyW7US0UrsQXac1OVMX3SLEBuYO3oyqCVuXOM11ro6newPSSYq84mubu
QvzVkbmtnSbTWAn4zR4LJDjetVn20mpp+GLJtDtaSTWtWWWy59oED9rYIkesBALryuMNor96rQTB
g0JvtqbRAV9hFEQgQv5Tn4WkNHXcmZV0ddTkstiaffUyd0GtRWyy6EyHs5TMQwuYEMC0RZ+a59jq
dY6RACUKeNxqcPDR9xXIn/ptKWRYINeyRkj7m7zqwbWog9J6M77J8MXfnvSY34P5TL9VdqLfBvjl
N54NZEIbKelbcIrXezCRWy8dvCeidMNvTuTmPr4dc7ikGuepwiu6cxtwSXL8e5EBX5xt04ofROb9
JHla4r1SNaK/MhYgAjv2tNVskCKv10x4cIMvIAfDvFR09hhBAwgh4wa+7YOk3nte8ZzpTX8WGojS
ulLg5+rtHy6PXLGWEcvX8IdX+8BmBkBT+vGmAYogBUYS7lE4X32r7hPf021oO5W2BU1TdUfKninz
QxYPIFom7QhOSmxI6sDeUn1hiTABFsq9Ug0cfuZD5pZiE8cWAJ9p9OqlTcse9CloG/MhASHhGG4Y
jZXaCUDThLy8mgMPNzIBKDSPlYWpgok1vXneblRZd2WmomUxMhVFnpe+jQ9Tf7YA6u5mLAuweiDl
0M9HOCtyOEsudCQUt56WDsCuq8PzBzlpdMDUXkvs+r2aKnvE518N5DbtOOP1kYrA7pEoRoftxMBA
T4c94Nnn9rxqXo+ogaoOkG60dat0EtnChtTfmb87nJveuqOq2QH7uS55vXqnOB9S+2Q3znhq8XkF
usOy3tDI74ZHqiF2X+tPsYZNw4IFlb6rgDG96Y3JXc/1JuTGGq6R0Od1UF7LWCuveiWBS9EpNrU6
msrtrDnEDVDFDN3ZvdYr8VACWeZAhp0LaJuNbrhboI/VJ+Tylsj01KxqZTXw6ZGT4l2BhK4NK1mz
JtnsAFk8KyQENeXK7rrgtJgVnVkfJiey9q1t1RtLA7htD1xrUWn57x7A8wbQa36YUQYIaWbXjw3w
geAbFP0pMCJ82FaJ4wdANX8qBXA6ATye/YoQoaasRcp+NPFYg+/Teok01726kbTOTHfxSsjBy8KR
7rNBanSyikoz3Y9KOBnGdOkbAKcrg9IFqyYYkECYp6pkRkeFOXhXUJUgtlkD0vGfNupCOthm5R2o
3T80MGxsY9Go/1q6AIxFiTDootnK4WcGZLzfwvMe43DAJnQFKqSs1JtbUBXhvtQHgIhPATiAR8Ax
V5rTfdJK4OL2leb+9KKfk9aU/mQJbdd1wtnGzMsRw9HYhV8JUIJwpHyzys09vMPb3C84HLZGLlA3
zdy8ayMwLddW4UvAHIGOYXT9uRXbb8nFAzvMXEVSw+BnrSmgI+TKsEbxQzC27YBVHeKskczV68kv
lk4/ZNSEn1NgR60bsBLcAwGn3mpxZJy71oyP8EO3+xpPviuoIzO/yZriKUlaJArL1v7Kg/hu7rJ5
1jwO74EVV/es8eTXIkPQWztVziO4G2o/akV5LZriV2jBnxkC/z4edq3t6L5j4ncAVO80gh/J84YN
UOoS8DoN2NQzQYWVqWJuEWBDiC0DOH26pl2ELfWLFTjG2kxTbV+Ibh+BtvqZ62DakyG3t6Xt8C+g
b63MsvsG5PIKz62qxPtQ54+lmD4VSp4A3n+dg/D2iqWeca0sC0E1WCx+wyvpUw2g9sfUxsIGn0mV
70x9uR4NuI6x71gdGeI5MyBGvSsGb7CubJAtAuYtuUOmNsharCa3rlg5v7MgvcWWV6Absw3xuQ4c
cyuFpj0AWxe79W3GfmiT5feaGXyRIB3cuAFch4Dlai9wr7abYSrYVwY6cOzjsx8IS8ObrAemDBxr
nY8HmEqHNOtdn9UjSCKrn9QjQhnOlm5bL5kZW7jxEnkaEPp7FysM+aRwix8e3zTUoYXNOIB9d8eW
gXRjinj6yM18BIqbmDYx4AgeSZa7T9oIZGGSwPth+kM44UZX+paOl6STr6cgTvGngUmsY/OqBQQf
iGFR5QagNHltIA4OGmSDjRgJboYu3JEsYbp1J0NsAb31wXgwrU3OgbOu+vAqWV9tsK8uGiIOFZtE
zoAFin4zL4wvQ2Jhww36ZNQYeKq4CR6TsdWEJ6Gz8ARY4lji++vvOh444WlQBR1RswTmONZ5Sljq
lnDWSxP1lIPKetd5cNu82eUJnqMpntfMSPSVU6TTPrIVKWIX4sFPdcOt29d6Ax4VULk5aF/0wZcB
eCBVLDKqUgMo8l77oa8SKpa+57HILkNmNIhAEcyadu0ekPIBcMG5c2Y9os2MOgyeAzzAAMM8wqel
qqLOjM2A0JU9VV0be4dBXTYXE5hHz+2UbC07rpAqKc3HqI19XYmNsjIvUediz1P1UTuVu58QBr2h
AQHumvnS64Md9QGsMBAgNW5/puqkeYc8bOQDAMARxJ4YKzJq61y7WrL5bZb8N76x+cmRFVgL2v4n
oIPaU9Ow4SEzagM8dMNlnHgh1hOgPTZ4jbi+6SaoD4Ptcx08HaQsAnhA8hixdbM2UOwZsPFra089
MyeN7xtFe5Ih12zNLFCVdkGVbnTqC0wmL4nRyzPXzRePjckhha8Tzmsk4O5wG/8urCYJEFycSSwB
E+DOw2MZHLFbt8M+nX20pD5iaz0BQCF8kReBp/sa6B39DreU9YRIn3rtNIBloapj964/xR3za/Xt
wREFfbBH2cLDBuU818aLMMyvVGtBtgNCWmPVBkWEvHww8lSgRr+nxtKzBRh2RhCeKkvsZ6WbEAlp
e6pqre1h5ZBEPlVZGmpH3THs1aycGuLOc4c7nrF207jc2g7wZj9wUFhveAo62TjWkgeS9V71NKaO
PJMIn7PxDZFRyDs0unQddVNy0L0IAIJvBksnKYAcUzDatP/qYDH4n53UZoA98KDvT4YWAc3ekuI+
MZvgVLRTdl87QXaPWCrs0cQjtpveZFUGAEVpmeWeZFRgr2Vag9fH3k5uCc5UYHQgDydIW5+6IZ0E
4QwbN7kvRKDdUZGKdI2UVeuyiMY+HM5YD++A9KrPWtQoK1HuKx2RXh8apsiM8PDvi83S4CrbMHfN
lR3LYrf0DkB5ZDjZ4+doKKdrYX+ptKC9AOIWj1YJLLhrCZDOXeDZxSoO68HeBUUKBhXsQQ3OAygS
nJsWA+MLROV4WBstPI0V/Nx5ljkPVPTImnJYENxEbtsPbdpNu0HG5hqc4LAwg/pmMa+5UKsNxKGj
aFrQ36reyb5iRQVAx7A6koo2ivJi2CCteRvBybAO6XVh7EjD0kznZtZ8JRDzuRd4ja601MPuYjmc
88L1rrVa4FGRqao0+C3N8uz4QW4xI/JBNgXmT6VGuqQy6Pg2MZt2u/SxmDZi+OrwIDos+tToVQiu
AIMpNi3/noOHBc7Fwv4oL8GgvVr6LLjIVvhMjPZL72SLAEhjG7iJMysvFoFasbaIlPn7BKkKb/C0
ysI2BszbX9cAiTQ3t+5ChOEOYFUMy3gl4xEM924/6XjD6xzol5arn6hOxVIlG6DP4DlXgDHuEjqe
djQsPJF578Ep6aSrspD2c2YP40E0LmDGVDVvwURpZtj5451uP7e6RDyUp7dHarWz7ns2InySGhGo
BBIO3jyVXZ499qbckpIWcu8CHLzXAdK+eD8AECdeByBlGqDOm/Y4GrHzrAawa4BEe6b9E5nAUbPS
R02eXaRtvCs8oGhv+g6I4B8aPigvVUSU1Cd9wMsHHZE4Lbsq22gqNHAeiJpKEDSsQJ4h/A89A1On
RgzQ22ScNhv2ce69zioIESblpg/TaMX3aWUF4M7TgR8ISu97Kjqt97Z1bnVrqg5Kr80qeWgSWaw0
L0lmvRGX9xQ37Y16ilpz3GU5dkrDGl6QMWuPrYftoyrEFoJphu2V5NyB+3ZQWY9QCpS/hI6osKwS
6TKB/fJBTtZaKEHdpGHDnnokg6VbpDhGcH1obB6dGlydg4q8tbAL5MTmfircdDfEVvjCxupUjLH+
Xf3V4SMfS2AS6BN8xmXox0Fifhv6AykUJZhHwzx1zqU3razIDnwj0oxP+hSABMvwwP1tN+anNrVf
q8RvgQ0FE1B4GcJylDK1ygQMZAOI50mEVSHcVcqeDP4f9tTd0vu/bJepfBibqnU4rgGfXB6mse2O
Ls+6Ix0NqrrIqKEuzPcqJPugt6j8qyuDmefAGuMDaDTScYVlRHiRYhfpcWUfTZ5n5wKZ4OX3tJfZ
XVuD5qRGZMs6iYKSqnCo1/cIEK7uXfAOkohqkROCWIXlEs4Vl8X4/irlVVeF6QB1JOlHbBK0Rt9s
NB5jVZ8+Jh0oB+mdXSK69WQZ7ldaHpBoClLuJ9hl2MzLgpiDZLVPmX2YlwBG/y/7WTcUFfdjqzc3
4PSVW6HY08ttDrSFQFHTUWFobn6M0sY3k6F34D9EAwhFJkVtmMmjkQEtlarUYnJ83m7fWkjmmBa0
3xkCYE47YrcTtJzpXuLkng3AGh4NkeZ+nXXjV8/IEAJa/lNeKTlQxz/qm4CyBHlZ5PqFpSHBwaiq
r1j+3OvTOGBfvl7XdpFEK24VCEBzym8ux1p/AkTfU1vFHHnzeY3NNukBr72wgL4UuaCRMMNd1Nvm
TSCsA3mkibFhTZpusLvYPegDiAvwEazvqVqHlXNvWjszSRHhB6ZFezeUWQfgMTgUy3bsHjQLodcG
PEDAm4OsLdz2rgbVKpmTRufZ4IXRkVA892LCU5p3bQkCORj0TlJcSlO7A7D791pDSIxVVDE+q0X3
FMfIkGEMzzbAubVP2MssHuCsWCPCoXvqS0+BSqX47uSsXRWZ1/500q+95orfLje/jonBnmMR2Ei0
KcVVjnUEDjKQ1bcIOrlHMGYJ4P9IfHPiaN9aSN0JPKfasrgeNlirl4dsMswXI5U3jwvtPrBN8djJ
CBh9hfkyMbzNkszla9KC0/69UZGUN6fk0z1C/uyH6nEMR3dlgwxtP85/prR1VwVSIfYO/t7Rmtqp
ztUfC6Ee9f1ig4/Y+p4aPsh0L8l2Rp52v6k1tYQEz7LMxhbRQ+E4/AzTDGT1JeJj2SN2qn4Mo57e
wTnQXBiIVC18urANycKu2TFesRPV0qBM76gA4V+h0oxw+yjZ0togAIRJEG/ozFiBLXECi2jvndsm
Dc61w/RuBShH72yrokI8s6+NiIYjHSDJgOOnKhnuISw7BEh2TrId4z1AiHBHQITwRb1c2XxE7Jiq
09FSLDIBAHF3stNL1Hcg1wvrW5Xn7Io8A+2piZpkXXPhHoDorT2BgRluMVZ7PrXmluscnAmUUmQK
LlHvihzVGzWSCJsWkVUlT6xTXXv9Mw/K6EpNjsHBIuLk6YHUjTTttkkZw6GlpqGzcTq6OjazqDVE
EvBdkcPpqaZBGgjDWQFcOXyso6G9MgvfHDEyc8TI+L62pugha1n0IPEfSgsR35EINEbGJRoQpGkP
+ITI9YnvBttFCmRa5OnaFDZ4vTQj3GF7CO19nSJOFytiMgZlbnkL4X+ijmdRqjmHwjPLd7II0U6+
iXWbP3c6iClbAfNZgnRddWrJTzrC8G/UgTmN0XkYzU9UK9W0Czbq8CZq0Wa2t0L4WjQeyf2rfWXu
x64BWZjSZp0Ntjqj31GNZoZXTbc3Oehd4ErP8NsgKGRTs6Tbzh2Ekr/UU2KDfQ4XCBwhxQU/+Llb
xVHT35iVjrdgsodbJ/EdNFWxu/Ns0Huv4KgOdrHtgJ0iHqLa/xWSPrWlIS496bpdAd0+rX3sWD0R
vbkQVnfQNA4/aNCZn4age62WKuCAqp5ELC+Rny9Vso0QtXRoQvM/thIuibsMD2a/BMryZRjgW17R
Ya7jjzNaYb0dewmhnasdR1WA1hs7rwjY+z/Crmy7UlzJfhFrMQ+vhzOPto+dTvtFq5yZJWYECDF8
fW8CV+LKvrf7RUuKCAlsY5Aiduywo6ELmUBJztCt7rnZ1U9zeT/my7WdohoWDcumtS9lwR5pRCX+
tKH9285jdoJDRN0tYJb2tBhZZLmr7u7wRAuSeWlZnwuSLq2c6Y9XlavBwUEjGMZbg8MezijKT474
M77A+9knm4Fr8DfDqz7bkGEOD+TN7iK17gIPld+RTZRs2noqTucHcvdlMSCCH/DUgfWUFnPdx1aY
+nVZpXaCGi+JdjcbeExz9gIUZqt5HDc5/sHjfgjnm4MTc7ypwTVC1Pa0N8s61GO9D0KSrNZBRjT9
KCRMTblP2yQ7012TyDEsD6lfjRnWXlCv7ZLB/dLm6uxPjfB9lJaYev9J5o9yH6i0PSy2wIR+nUXz
SdbxQOyapH37r7Y50jtDlWrJWsNR7BL5Bk5zid7tIr22RqCMLHNcRUNd7lBNBOkMk9EAeNYliiZz
MqqQaacZgzyRLJ6nTOoYKAnsBrD4kKdsnve5oigB20n4+nM4Wc83MPWGHAkhWmCx7Xwpugot7iJC
urM99xeNvmip24tmr4DoP9JouSYZIx8f23BUSQ/pQvOFyUbgYHWe+Kxm2Zf7mH5Q1xIj8lQMiQjO
9CsRSNxELqADzA+v0rfPdSbL5YIgiT2XkYkqh79/7uWGhW/lG+43qM9KS83LNp5e4f9rT7fuieaD
K6fa1UXSnSsEJ5DwpTvq3E6Nikd7h6f9eZz+7lqFOBseusmGzMmGVF2CaLYECf12mUzaZUh2JHPx
Zds7yjvN8yt82FDhHQHG6ZVSlV1/mXvTEJlTCMGhuurmD8X8lvFGvBhn9WRN75tlMr2DnH+bLNpl
wS8X+b0Kzf1yEQY48+aLcFmnqVDVh8dQ/3H5aIjhNoULaQ2O7Rb8Fb08Vo1vZivqUpM1LkK6U7PI
vhiSmsaLTRdzJJ19MVpmLqtlvlWsudGNX65FS7RecvBSfwhF3lSooyP9U9ClQz13v4xFriGpftbZ
QDVboIY7kJ6lln+i3uD1YBf+Mn9RWQgSrhFiLMNZHaWNFq0XvZ7/BDBjOOPArM4B4g4G+B7BpIw6
P6uuctA6WtsDXgC+lNiT3qWdvMmzHoXd5jkkI601zV7saG7QAhc/rzXP+/e1aIqblgCaGXYBjzMv
n3Tj2CkNR5RpYKaiPhZS5nATT7quKZ8iv1VrfWwLFDM0CgDMoXBR8bMqkuRCI8S8kVto9weyJ1Fi
xto2Um3weZFpIVOvh5VCPACOcKxBjcU3EX4N89WdZEiPdWDjN/P76jxt6nUw9A3cXv/cUd0k16pK
6/nqjSy1S6OhUE/f8yzUAJzbsq5EpdPfE1BAXk1BknG+Mv0c4w+cBfh8F4aWsYPNJtfmdKM0EZWI
i3XFrX4r4N+0C0M8tGDB2/YGQw3L3EWhnKRHLlMhunPTF+I1JY4C5tw1t6ieRBSdSByjdjKcJAgd
WL4uXmkNsMBrW9La/3sN3y5aPBpF/k2ZK1HX1Q8/bp2Qx2y8gqo/OA3FWGxGQ9ZvWeptjXqwfhT1
0AJp6pZPaa2Dnhnb291Q1gBHy+7d7yL7h5V2T/nY19+0PtK3g6nYIQEzw+OQgR+KLFoNIEUn9d8R
EtKRktuz81Bl3QVF4PGCTPmRRUG2KppAwP9lOM95G2thj0jyVMzUfW6beNi2KgCUumzdZ+wp2KFM
3QTuuslYekgNQXixf0LFbQnvY+ydB4FcN39AnQo30G7UM5CCs7ZQg3Rd6NzPQfogjjGiXefFBGW1
7QOv7L/A1s6QIzktENRGiV32D8cehgNSE9k9L9wXI1PjX35RAps/DvHN5HV8bVvRhKToQJ3fAf0C
du4bgk1TjmyKxHPsiP0VCRNXs27Uq3ShwjJP022h5yYqLEX5g2F1wXExsZAqfVXTD0lL0TTkMQx7
nuPt9zlNN9XaaEp/vugyucnsXyjllh003/y7zHrtFDkSxWha8cY0g6NGrDAefRls/GlEIrCN6Fwv
nmmg2eIU1W35QCM3QE0OnU+eo8nckoh4Y4dpHrRK8BcJoqSNIf14pwEj8BIBtLxDzXJQNE1ao6mc
A0q4ITln0jq+8JBqHoEdftLqFQIEbmEgbA5lYvn1s9ZuwRIVdyEO+9tWM1AdaLooaCvekVrg4+iK
eWXgeMhzw0RS9jkS8yIj6J/giI7OUZqpx6isrGvsawCmOO0jNVUzGhdVMyDFIEomK1b0xtkt0yvO
Hj5YtJLORFFK95ksaB3GXcCKA/OD7EkEJiQcK/0kw9H3n4VaMH0cPGAEZhkpYhdnHyRBeCuaRrK2
6dSuiiIRlrWFKxo6qowi8wcRk8GKt8gKxSt/7HBnLIi3rrKLLz/AUHntpq0qgLFb4cGt6mBn6uYA
MdAF6A6xSa/WeW1rm/lHEkBkhlXeGNv5ZiXQRTEi/6HJy/jUg0V/blQB3pMVjWXzd2bEGtgE2OCG
JAILI9vGCG6vzKnGsNIrFG1B1fazNflRFTLiV2XF9HnYevKf4eSDJWPS/jFXn5b6Ykwu2f9z7mL8
X+eK6a6WC3257u+bRKmFaqcyi69tJ+lBEwtQVmsEcNMVoL/t9ADllgJ81VeG41gXLieGpmnot2Xy
0DFPoWZEjHxeFcQPBqLcIJyAQqqfdcScKw1IHOd5v006BIVItihMb7jmvdWeliUihKMOFhgv56ss
tkjhF6ukDPr9skg9avyMmiMnEjmsbXxgFQvsaAq8UhY7vevVrex3KByWPJQsxc9QtpbcVJmHrC9g
bGYZ3YVf51sEedLLMr1BQWCwUARAD0wLLApupO++62uH5adnpSePRZl9W0RkD/+Wv6rsodqRgi4V
cEO/eFKtyWKZYNo4xBZthNSc6XrzL70avg+8YNdlupcH7VbacH5qel2GEqneG5QT18Va5wZrVypj
iCmlpov46CQVlW6d527AGEpst0AL6RVkved6Wx6j/rBK+ne7bBIEgtmKlDSrmKZS7w8ZMsqbLUch
69m45cwC8BNrkvF8HzReboaGZKj0CLdJY4ms+E1eJ/k6k5lz9ztlrHntuNvO6J27ieDhuUgESiA6
9p0s+pxv3Zz7J1eo7OqOlq6v6sHJroNqT5HlVcc6yqCYtIPBTR3vnvQniriDMIBmTA2ZUGOVArhS
lpZbI20MLDVNJkM5DCyMgKBbL9bzgmMFHJYHaHM40px5JhAT2S6Db3degybRXdBqDWpzIdmlu5No
XnG6a+qNqd+funbYLPbLdBa0AMtk0TWzfH7vNfU3ao0Op8Eqo7vDLPNo40S7oiE1Cha5OQ6nCH7J
u2UzBTwq8KSIYgb22o0VEqpKC25N5LQhaxe0OWuQCOCVqffImC4bGa/1wtfXWd4jDNai/q1l4mxH
Q7/35JUaPDryWmjurmdZeSKlEWTtlXo9cJnnAn4SMp0XJkUj8f3Gjv0vmk7aZV1U7C43tcf60PF9
E5U7Y+tuKoFtUgfWwSxORMg0N99ih6cDZ+5weYsaF2gmr0X1qGlIhm4ECjhHgXAtrmt3VsxTHJT+
9Dq9OCpdg4PGqDNjm8JXHSI2gDFKLhYPfudtgwGgqNmm0pk+2yRmU21z5K+GyB3kF8Qlo4vXgu4Y
oPbU3qSepq9IOAAI0c1dslQiSM6B/Y4z3DvAn+ap6mv51IBd4doj59GAJ+qJmlZk5dYHt8N6kf1f
kxSIVx608pVCMKyB04ML/GatKSwDH6x+ttXgl2tS92ood72pPtVA/A+npI1WMvfVLdby7uZIfNEM
k6d7klFTT9pOtt9lYZrIi8XIlXij0gQcT07Y67anxMiQzB+ZR8+P4UhAhBckQOgtDckCoK837dii
ksx/sKumaZWb3VtdmLtlKvWqGJ901rgiXBRwWRrNvBQJCzsxDmkhtwnAYec6KJy9F3RXGnWZ5p6H
qaEh9UhGQ380f+RRVOz+k20SlN48KwPxhK2nK8Z7gQo+iNw4UaFuKVinaUSN2dQFSCUAA5TM6J5I
1vjavYywN6ARC3AbWmbNOhKpCnV0+xyYAZo0BLkO9HoSgfK7hwtb+Lw84UuKLjKAAUXxrAPJqHGx
HfJDWXkeaCIN7PK9xDuJqcl71z1FOdyOoqmjsM3kp0yZvMFZ/bcNGZIaTvYhWgeG+hWDHH5LimWt
ZcYi06sRa5EhqT3zALLz1yhqWriD4E6Zm8kh82VYISmmw+fTnny77tQsSpLV/1iQchYtq1EPFraS
/LjM/PNS/6xB8j8u1QBAsC76SJnOa2rXh8i1W9xTpI65w1xwN0/jlLqdk3mhY4L1LJpyyWfVl+48
gebSrC/NYj8vNasW6ZepXy47r50kYOj0AxyTpoQnbC90pIZOXWrMRqw7WdZHLiZFPinmLqkTLcWR
wo0PykEKi8H91X+2m5dFuE/fuWb/QsssF6HebNLJPlsZpYEIY8WueL3sNQsF2QIUm7qSiBo75nwN
elS+WWTUM1A65SC4vGdOgiLugDPs4ymtkZoly9GCcyxsW8BcF9liF5vxEcwx+oNQIOPpjLEGUwkX
r54J7pUCHkafOeLRVf6NxLwphqOtIefBYIhWohYWThttHt1iFNgyx85/pCbqRXy0ogH4h98yc0zz
bdcJeKwK339EnRD/USayCWXTDjvsWYYkRGX1F00T/qkpMgyLatfZdTnb1roVACuO/C8ytcqx2ScJ
6mNGosW2qcqK0A9AhLeuEFE+w2eb7Bm37jTyzMI+Rwhl5sexLqqQi15fGxqQmSv8x9pn0pNlnvru
toJbF6kNHb+O/26kvfVFpsCx7FfdTghRrLRCGVvPeGktJ1nh2NqcRyNC4V4UU1yXnc5A2FQaz1Iw
kO7ZeIfx1DCezayxTrJnYOSctJ1K0scxH7eFVvJn6W/BdYA5abk2Wy14JJsCiNLP9acppWqLNfJ8
gUom22n9WoC5R65ElYGa3q03beeDWwPxaHXRytg4RqyDywZfhRVKT6Ck3+AjhJ4if37FqPXMIT4H
U8NdKU9lh8rP9ijBNZJmv0YdW606+2mXGuLOie0/Imcz2asiBYFjrvQHVL1HSbTBUh8easDTnDZR
8SqxR/e5NLRm62g2PyWdF10VErgAME/4W2bkIKLH+lnWP0hd016ZZwfrhDMg3MbEPDkSSexmLpwX
FG/6MN0x++V22totUHfDblkM/5et8luNVOc96yPAL6VhP7lTU0j7b9dr4djqgFBF/tB4HkXwQiNq
DDlxiMoBCS+TBUjUkscGjPw0m9aJ8DxsbA0OQJKRmZeU2763uluR1R9WJd7sfvQeWlRV2MocZ253
Gtai9FDbMXePWhN/pxE1Xm53Dzag+r+NSJxn1j1Oq/r0ZXLtt8iqiNztYjsm+qVU3ZmxLA89XoEO
aNqZBYWHTK7Ajv6LsBq6eotkGOzhJnPqkTUpSFY6GZaoUC+38+J7KdV4QhHJ/Hm0wDrrAwq9sQI9
f4aPLzk3lUhWpCUZEG/gtbDuNJAZr/EEVs2Jhg7KuGx76at5+tD07dGAp1aw1toh7Fg/aT0aeMBX
bQmeMRLVedoCEYhgE8Ak9RPJRoGTda5Gf0syZqf1U4yURMvo0htZuI2vwGzdf9CImmr66uNLmMyT
OOrcXs2q2krAxDogTNv8YoHo5GKCWOzigtD/yMFdRqIvJnNXjDJZs2zQQmOaAihJthHV4IUyRwi1
qxB+BDvG8BgbyfgYWyhBmAyV2i4yr6t56MZtBIAG7GRqD4+OlRYrw3fhzbLFIQJc8WTWyAYuGwdB
qiEGA+bUUI8Vdn1NOHbs6QgeEzzrEvD+SY3farRKfCfYdU22KcrBO5FxzJrmSj2bZ0cLsJ8jjXhq
dyjOKDUPqaD5u6ZpAIE3mo5k/8pcZUiH/tnAMc21KYsGnLlZ0Pd3W4NH2S2j+ghSOfMae1W5Fkaq
v/a+9egCJbhF8Qc4sDXd8c+VTIJzOTXUix3wvdoGomizDQmpmccDQhCnEnXW/5znBaNa1bWDEBy/
IbgfXVOj/lXlQPLTKJhE1GOg/Li6vK/XJQCQ61lbaLm+IhsZmcU+drKPgGT4Mxdg2VXBcGn4BoVH
gZTIkvIJEZx0XQqv2gMenr5kUuEUUlsCP7iVvLhJCddFhOK6pO2zjh3kWBYhaYVMhzNga9mKhunY
qhuAcTca9UyznuISMV7TjELUQup2A8qBH/WpQWKCday6INcQ8kHXQ93x2Ih1nBo64KtibBJ4nOyG
xrr4IO0+LY0Y9c9hMICoYbVoqEdqhXy3Y2u+LzoSl5z/M+HPsY6P9MbV+vFS6qN4dOoPXRpwX+el
eKwmSQxPIxC7+SwiOQDOAD4D3wn2RPFIooKl+1zF5oVGJB8KfJBAL3QmEa2uS+8mavkC93+3s7Qs
x6+Hmc/YrA4nlqosCvW2fDf7JDiSPc30AvX3ABzgcXB9TIgEiOD0wNIPiJFgnEo8tY1q+XYIrHe4
Y+HvzRRo7DSQPBtR5q1NsPIhnNPYa9MFrMXRK2MNKtv6aUjVAKiW3j+1SsEPDl6cp16YDWB/FUNy
EUgH8zrO7kCG5Ws38Op73CGlwRmq4R4gk2WdCxU9BThWAbyNRwy5fd8D06omb1+NCilR8N3PQjPn
7Xevj7Vj5eCNQuIkQt3rMQ0EyAb17EUr+BZ8Xv73wbXrvdUJa0OL2RX/4XrW+MA1u36U0fj6uSiK
suUaiBvIKrbNPe/76lloiDstt2L2Q7XGTqv5fSvgXpLfbVV/3grNLqQFj6WHdNiVlyF7B6wN8B+L
DpsD6eMDVAES5qG+bCN+CqfyfqR9FYcO0tUfEpC2HquW1dvScK1vSBl9zGTj/qjT4i+tS9lz5ZWI
aSs/PQxFEj0NBrKAyMIFsUACPPi7U8kA/Ci8O3Ogsi56r2cITzL+Ydk/yZJjhxJGXiFCDVXlpgBa
fHcRW9mUSAMERhMeGpKJciV7fNZJshiQrp88PQiucjw1s4GMhq8rVEgqk0zvtXyTor5wCNRdfaYG
8SCwHmhiQyPlZwpnCAEISe4OLU4NU5dUeRupnWlukSIEdrugSw4iiaPveNmcjbYYnpA12z2iNNkG
FMj1o2Wm8ETZYJDMWw/ci2bH73DCRzccNvaOdMBMX1iFHZYtSiGQ8djJ4Wa1f8UpUpVB2ViV0WM1
NZ7m80fW6TvDs4eLp4+fIsDAf+mGyI9kQHLd0nMkVMAXRTKa7puCb6iZ7abVEEmpd1IXP2v8NVCG
jT2CIpY92i2Q9obf8z1i6OyRFEKxayIsdiYR0BqoquK+LnP4mCGeZXTFzajZzeIxv3Lkgt45XqC7
aMzF2vGa5s4mEtL4QirsD+U9ACEdnLFjBRwizBMX4DUncR9JSVPgPYErYez1FV7jN/CEJruABf0B
3/n40eE1ygXUIGwcsndQYMiPXC/90EKg6GoAkHcaa13fNEj2euUFvyBlSfswgga0sKWxmZIgzgFq
JZ/5mMZnB0v3WxLSGCmXIDlN5F/4QJSoCjXZUJPB2brPbfhA01znoTnU+Q/489fxGI9vXs5RLbox
sxOCKilqwsFiyMfkO5Lf+lvd185dNoBvaDbCT7ZjOUiIBBivHOHN4kKz7za38gecNnakpAlpP7Fy
wOUZ+kOuVg5HkEsO+lulkAFnZX53aJHc9l0ZOxJHmTMg9Q57XKdrjbfExdHGrtw7wrMc7G1IGS4V
N95cnoIgFcnU1wb15Z7+vWobjN0B4RhvWnXKsNmCFtgP6xKJ3Wy02cn1M3ai4SJD3K9AMuOZJBH4
K8EP+ttsHoMdF68GIYY9/GNbuJbYgz3hd7EhNVZWm5tHgvMWAlShBaK8G9KWOqiEBiTZrUhbA5UE
SDLbEdaXRL9XI8AvrYbKw8ZRKlBVV6g4CagL9rB4/PhVN135iuwWt46tVweYeiBgPDUPeY1ngPVw
q9eesl6XSX1ld5emAVx4w/TqVdYIk8E/6dyVA5RRHLCPchqRqHXEYYyEfqNRFeXuerEvgZ086djS
AYnTb+vRsa5TJsGVJ2i8ASRDHJxkJLcAbbpSjxpzFC7czpiVFAKJwf5g2KEPosm9M4ryUKOs1zpp
4+G7GuWwsgyHXTJsY19ynoPhOBjwQYg+zYDSQZy29VUSgnDe3fn6N9dU2Qno6hS5UfVng4Ty9Ewy
UDj3+EX+VmfxK00gi94zECVDPYEjzmdKz+Tc2D7w0lYRVXj59Z8y8KqiwDrQ4AeSDZFZ4Yv9ZRIH
0ByA9VDwLj1T02pgP+DjSfeTAWTxtokWzIy4HVIXvw2jYg+eO7jzhVeHtgMq9pbpwFMzzzfWo0Ts
mys9fWBgQnmgHr79KvWSm1Dap6QYGLBPSEAO/zAdGrXTAvhLSU4TrApwunjMwOo6LVsWSY/zUKeH
Wuf5F1b3/gUQ1DVy9IFMn0SaABhyRQrgYKz1aAv8/bQSwrqEI92KbgjYBxdw9OCR1GZLMl9WpGHb
4VWQICgL/Ok/l1rsgNfJTiJHOXPg8OzgQ9nKfPH0qZSSUf6odN98Cf4ZIVsf+IQEmbJ47rRmaP2Q
uoODFNXtn9JsskqDIASl01OE0MA5Am/6t8gQT6Oepg9+38tvLrPDFqQS916VyUvnv5SNhbpULKkB
48Y7s2mQrBhbYJjwjQwFRY0MWYO54eF7i+xyMBsqhAH7zjPBnxKtJ1fNwyxDhANkisxFmA5Ou2Kj
gQNiHPEKp3XIsGv8eF0WaorRsI8YAJdtOT0e1Iz0/FCX0UOUAcU3q4Iy+qF8MJyRyO/b4NS48H4J
ftAcQOwpb8WtG7UqeM8PNCSFFZTg3v4t47HfAVAqbfddSu8dRae1W9L+LSYGKKcRzeM/kjmV2mFK
u0Xt35SAPRtNEsygbOxER8AYhMUr8DD1312VbVqgP16AqGeXiIFmnORwRwdrq0fpFRFZw/dCpZuG
lQmgOii7kY68uVHDnRYlEKfSR79FcvIdeDH8pL/lJKoneQC5rpBNHCDSCmh6yddgeDBPshjNk436
EGs5eigSoQnz1EwNyjcl9TYRntrYLsAtLALNZgxA3gH0oR800jI+FY0FPQ9vcSckQzS7fgAXh75l
zGpCf5rV+bw9AKKAKnu17YYtD7pTEsfDty6Ci7KPqzcQGqV7xooExe118YaaMw9SZsFTz1V9LQLk
eZFcpYGLLezYnbpczdNjz/P3JtOyjdePIL+pPfmWN20BjPxQn83Kr8/Uo2Y2AS0SftpabDWFxOo6
GIO9AN8KWHJaJJMUgfPDzEt4C83xDRWj8E+p6uKMWhzpteRpBPbiRn5Y8oks9TLOww7YpAcjQQ2j
hkX5tsl58up2JcD/WCsx5Q/gCQfkE+BqA6uDfT1dDRAxRIKnbbeOq3Er1d9cVKvYDF33nLJin9RJ
fNeN9JvLOTjMKyu6q0LoB9RQs1akJJnQcuTmN85s0fX9pwUpf1ssayRVVK4z5b6aRq2tFdwfb0Zt
/tTdyn7Q8rR56EsQd5Acvm5k0Ni6f+BdlryJZ5JauT0eRNVr6zRLv0zOdJT9LV2ZPJZ5f0DZEffX
vzqlWXkkGYNGX+c5flGBZeY720JSGD3E9JxSb3CCfJfE2EIsCnqUacaiQAbTmwCi+dEGF7frcPbL
tdVbN3jgK4hwlKxrZuNgq8Zj3wXRrtBxTiyq3F1FeOP9cDFJ9B37ZQn5Zrml9g0oKYYnA5O8adI4
TWLmYD2NTLqrWC/rH//7Sv50JZpkZYG/80FCgsph3PGAlOLVycdh7kQ9brTIZ1rGJJRGH2wtJZ7/
kP8xl4ZaK6pTpNDMSy1jga0yDqgI2fuVsK/u1GQew1ZEZDsNOI7TH3L4FRByrRHUJbNlgvSzFGSB
Rbkqzd5Ys8DGlmI6VsnI8UAgRCcpOj55iWWsUXT3U58GWn7gKJDVg8N4jbq93pZgC6OTiHMGJAPh
GkjUaXzfxDoYYyfkwx/2w4hEsMQyhw3P8DpzneYJlE3yyQXccRNFrNiQjJqcDY9lJIIzjcY0Ki/T
JLInEf6qV9sNHnBW3rMBqC/KxxQYWboTb+b9X+vULk6QViNehY7qJnAN5ftMh/9QKwbrAQ4o66HK
wf+N6obA1y8yv4h22VRIj2TURAm+otLqD3FuwfdNsmm5slOfy6VNU4e5jiQQClVrPioFzQmHCFoE
p8S+kBxfL0SzQf3zmbY4ttXTqFX6JtCAt1NVUd8yMcgN8oHgEUPgfo3sDvlSWSDgMpvU+z44OGSY
JooyDCq9tnrU/+3BV11Wtomkbm1fAXgbrcxk2A1GZrwzD3ls+MB++C7q5iG17x2k+uUmG+LyhDQL
1JaxXQv7NO58uEFw1PGuBUwVdcEq09P2gDca4Pizf5BBpuwPaU7wVRQe2yey9Q4T8TRqiSUM2QRR
sAuAtb7kWdFvERfybvHgVBujE9ET62WJjAvwRHhOVYdK1t43vbOHVQvX38ROYKA6xb0HmdQjIigh
4Bb1HbR49d0oMxl2dar2JBsdUZ2LOvmgEU3CnvV9DMruTKK+AZd8HAQ7mcTFgeuyXTO3ql7Bwj2u
QXOj7Wk41NpH7Q/1Da736FX+Qj5p9Tog5Kw80YPRqHv5An3IJ2gEjWekhM75HjvdbyQiJclr0wVO
grqJFvm7QgWvNLLS7JtIi1tZ+OBiyzLtCG8sA+cnhotsGZKW7HSvP7p5rslDnIJDQPfq8op/vDyU
qE24oSFKbJfXaIjKKw2tQaH+h2+eOWCo3irLdHsjWOqG8xh/+wAee+tdpi383uMYTFzRAaoV9dGl
QEYdGSzyTpNToWThhtFB45nhaKui9v62el0/0ckrL1HM3K695wzcjQ9sAB3FdCBTiPfttUiKDasC
69WewM2xE3yZZBYm3txcxScj8OA9EsM767MBZEJBdyhZaX/7t7xy9O7gV4mzyFtUhtsE9F5GdI8j
lQrxFctOxBFRlSf6xJCIenrTiGPHxj/l4PcHc6XXP0nTEAjjZP7JM630iY/WKZ0w3Iwb+UlYSC6l
IWoFxtsgcgCOdZvytcocUNaIXD/XE8JbdDkK8zAGtiOsgTDtvIaKjBxI0EiAgtQuXh3/mQ6AoP0Y
j8iIjdd07vM9LwtV4YElDYHSySpDytlKKuO9Gev6WXD1F4uM7AfqcX83ush51rHJ2bXlmO1H5DYi
QNT8JeM0//8NwGD/XUQ53yOVNMAGVIMDY8sVAM8o9sFe8wqBqkJzftqxegikYb6Cy7PYtEEznEFb
Y+F4BVPLKNlr28mD3YHgP0L66Tou6/7Cp6Yvos/mcwi3RJZ1zRrxg2RYkZCsybCLUGaHVogoi500
ZWv/rHo7Qa53z2NjVyEI8zgq1BrM8gFuwNrNnQu+4GDEtMa/rB4xIuzp9XNvt/qZegCH4W1LXTzT
0THzsY2bTEhEzR9Dmku2SA3YksWynIxj48vqbdTvOXO/I6m98k8A1OZ/IePyNnqFczcGXt2TIEQN
audOEhZZKO4GqtoDDUG1AXgo0tnDBhv0OyoLVXcer8FaGoBLsGXygLpg9UoJVV49RxonawQ1/DQi
EdPSzx5o3wwwS1lrG9RFt8jsGsRGta0+oKYViagBmgsshnCGgygklmwIrYkixAT0/KSsdwE32ZEG
i1ifdCSjBpvr0B387imuwUEd8fK9T1DjYGSmsfcdFXxvnKfc64v3NLLKXRqzaldOQxQVZRWKCpYa
H/eFq6fbUU+K98hGyALQsJDBSxR6QTk+lagLf6jj1F3RcG4cpEBpGVJbnckkH3J54zzZkpIVUwoj
q/XECVPb/RjMxLtUjYcqMVpkhSWlzZBw7sr2Bb9XJBVMdogOeRfqIcnBu0yFhuZppLBbF9Btt0O9
kAS/R6qmJUYXvaI4JjJHIU+kdQD3Pomm3mLW5mUu52lRC5R8qfVyvRh2pKbiXcscUiNUD9IMbr+R
HHQn+IS41Xcg9PoNQh8ZilQhELMSODaCBiRstMK/zSIcjCZGvShBxVshHiJQVqHSEko+BV1tI4cq
Bt4dHlnUzAFJVAFWv6k/S7g0rmNeO3gsjASUGXz0qk2JNM6QAtW62Q2Ak7rqUzgHuynurUwEDYSG
qvZLXJsUtAQpaIk54O0aKfyXdfeKc+C4dhkchV5Ztq8J4jTkDeWGDzZrq+u3NKxTuR9teCYM5OOe
y143Z29oZjfwQHh1cdM1VTzmNf9B9uA8+lw29uE2tFHx1Blk9w1Z86sBOJYzEpjqM7Yc9bkAgfNq
8rEhKfcfBWmpIRnZLbJcY5uh6ZA43+vX1vTH51bhgxYhBnCQOLw991aRgk3CNjbTWe4ZbuX8GDPJ
VqTV00beRule/oeu81puXFfW8BOxijncKgdLliyHsW9YkxYDmDP59OcjNHs8e/Y6NyiiAcq2LIFA
9x/ut873u+aTnqndTUZC9mlD1HenwQ6zTdgq+Oia3cucZr22Rl1d/M75Udem88WhcrpGKb/dTXN1
qpmsNUf07EUDDXO617DmeBVrpAEyxz2Ylpi+qF/UYNSvboSkphbXV63nPbTHSuyd0kStoHepovzd
F3Wf7iDBzs6F0TcNKd2uKbv3uEJHqRVeugda0j2rlfUctk74TWXTuFBrNb+Eml4/mCqlLgWJ92+j
8etOpNhIA6BzVWXVg2i9fDe4/a+rbr6ylO6L6ncwf2aRbLb26S4w20tSOw3lHUKy+exmvwdkLOA1
VinI+eXn5N61DUwCjQhH3mayF0UK1JFaB+7aTj8+94PwH+3QO1jGhLyaBcrcozD7pNjG8Owp0EFc
s0gfykqMz6Omjyto7s0WzWAE1bUU7tf8QCpEf07Bcjzc30yhDOfOc/oHcPK8t/PoCDtjzQm2WchM
Mep6aCyQwc6WyJB567/Sx6XbpEg/CmRBW8tBgxKXYYSkj3oPnm8wxlvTR8Wj4ipiURXe8EXxa22N
FWa+k91Jqflz4umGPJh7gFmyj3s7XCJr1n5LkKhGmNr/6fresxNm1ptnqSA7M6s+62EQHwIw/NvM
pTboD1jQ+zCGvg0NuvBmVd4GcAYLzdcpuCJIvavnDCXLv1g5c1cmLOXoOHT6rqJm+vLZ7cywu+IK
Fy/yirycmT9JaHeeodZX9kKsY1w/WSt/DUpkOBp5cGBNHw66LBjOTTftjQn+nYSC/393f760vFvO
vceqfVy8QrYPf1gjvwvV5/q5LmJ3k2FncAgto3o0JmEtJ0TWvw6Kj6xxZ9/nAskvjjHvBwme8BZW
/TYtWhDac68bUhWwLRQ8X9NZGBTwaWiODysxus3SAcnbk2UQtMpkBDgBtwKFgp6sJ2o9JxmTzZDs
q0poD6rSG8veb8JvDkzFsOQf5TsJInAuu+ostsLXkSpZprnhtyTyEI+ILRRwJ2U8/fedsYXwp5VY
GuTHZNFCkv6SIhiwDT3IhSxK1seDga/MB+57/kbF9IrPdkiByi0WMh4pVPFBe8d7N0u918kUfIGT
VaziEqcVefPcGkvD81y0uIX7nOfTPo6n/hKUg/uspSJdJIpbPsjB0qMIoreutZNdhUz6ptJd/sGG
lt2Q6VtwWPC3Kn/wqumN8HVSR3tDMtaAgkcXIVNrnTQTZj5ztx4qdzU0obO9T27dENqUvm91kaw8
4EKnsMZKDOFvdViQI6HvALUL67DfoCZqdMw2h4fZcZDV1/mq1ccGM5iPuk+CTWJq2GpzkHh2k/g1
M8F5etrJN21xDqz/NB5mgSulQP1LDoQJJKXcoPZCPevkxDgZAd6H+aVr2Up25QCPZ7y+5tFMbdVl
3SXfgR8aC6PR3asdRt61H0ZgRJAV1yNaB/Fy6oELxUns7+59Panw3VKNk5ytIcx/KaGeyxeQjWuI
B79AJN2GOtJ77aMNGtbfIkJ3KS09PwCKcM9SM/l+pRUY4U25g9oIA6j3TftK7y4dVfoSDpIYj8AB
i1+XatvbK0fV0K+eRzzfiJWlvLzPV3vUrKLOHmwL1LWTbaywd5bVBACow5fg2QU3tevsEj+wGdHW
dkhFJjpi5F3kgM/pKn51vXyUg6Wn/7SsObXmAioyNC1+dByrw/0HvdBdCQuG4hlB1MR7k5Nupz6Q
+rtPxAtYKKtUbzj8tqg5FIF4NIzOW8fYgi1UvTA5Fjgd0qdl9pSTkXwo5yar8hiz1/nSHNXnwtPB
cHACjpvBfkxcryBBgJOIrfvmUcZk45KnPqZhdNAL137MYDCnkfelxG8bxFj6PfJnkwdczy9+akRH
0zeHdT4E7fvvGRVui4tsnqFRTD3y6sNcE/5jhnwNtfKzC0adaJ2lOTbUDuZbQT5+lFF4LJo2fQGA
Nxw+47EW/REXreasMFsbP/4lDuP3QdOr6BF6TH1MrAonTiUXN9lMEHAMYeHCNIccTmSQ83Fbc2CN
3czM1qFUqEfF/gKt2f+nUdxL0BjKh84Tc5HFjvoS9wJgQep7lzGyxk1VjhimFpznhzgr0V+awlPq
p+1Gx6PsIoy5iI7pOVZJ8fukmD0gB/aAhot3isgprqPd+672/bTLa21a1wh/wpakJBZDmqbiQuMm
+YTweIhfIT3+NeYJESV1XCFdp6/CKTaW0OINsIfIb0+j1y8coyu7RT329kPfUDwH+ugLfYpvnUut
yFRVZM5E3JYrzjH5QUNb9iQbm0WrnrcBPEOra685wOX+NxSrylZOkFOn+W6XWWnWAeGWNxmKe3+d
+54i4ptfl2a8DoxK5Dw28vAIZOUft4wMHva+X11ClVinegwD8A2OVtzoW4uzQQSC+lHBz3Oj1UBy
0d3LqH3OwSR0h+3QYXz1R9Cz83Fn+Ur4ZzAJA20/2CNkdMHdqHmWj94U2gdEh873m2UMWfHooXam
bZR2Ocqxk1Y86lZYn+o+QwXyM5ZQNXeHzR8hNVbFSR9wUWi2aQxaSsyNaQbfyCJFJ+CN5bNb29rK
RpCUWqu/8mM9x+2ninAQrgEG19GFH/+rQeAMNg4wrqUc+DVXVAfL9MXDGEYlhCihINHfvWCAgmBu
X3u3fm6sa+w7+g1IiHer7cAB0IPRlBxKlTbbJbXP43ieKagDXR3MU+VcGepI4S+Qtk8eKkuQvunw
y/zMGMgEgrBsfqsIpYOIOuzWadqHMi/GQ6fUN9NWKBjaTv4VJtghirOrTOAAUKbwDyf1JgpX2RWW
IrZjI5zbZH3JBhOh2CEzN/xrrKdyrLsnlwpX0VhPstFNv94gTz+Sxo9TNFv59E0aX245P8LBbM9n
G3nj5jnuHHDZLZ+vlbxEebBvgRcjbWEBKF3KYAQczt7oMeZqsk9Gj5T9CLnOTBBvLPvoaKRdkK9s
2xkwPBx/NaYJTqdv3P19dCynEcpiBiRrmfUtOhsIbowuTnHySul7+FuAQynMz1fzqIIMBeJTU6O/
oCKtX2xLPMhekAz6Je3CB4za4qWahs7aS3T2LU6DKGqm4cqYZq0tOL4oRbmCKQWhYcZLfEIlPrvw
sAqxoqy+q8y5yD7PUyqX8pWviek1g1d9alP4DDMtgUoe2w4eaQBC7jv0uKB6RLIrtHOHcmjzLuEu
A+c9DznfR4l7MdE7XVqpWe/lYOIG5qZIMXmSo1YZm+iAIc0mR6tqKp/iUbmjaMDC+Icx8hBgYjNK
8aU1X1u3ONcY8H6v0yFfGEHVPzmjWkM3xvA2jH4GeLGB/YfewsJWlGdrbnj+dmu+B9VSxvpGKc5m
XRbaQmvgVOHYma7y2aBCjozVkKxgh7jrsawansFK8axjHbaZciV+IM+Fc0Q6JptI9bV9qLU/3dZS
HxH/vN7/XYXQPnvN3MMO7Kp3Nv/K/+r9vi/JVc5fURzsZY1n0qN4aQ5ps5NdreOEJrQwXciTBn7T
BtmVF4maEN29Q63y4rv4rQRGZ61BG0+LMkTl1srY9y20LAkQw5kvY3K3G9ufCnRvZ+5j3wb7pEP2
we61/jXBZyW1Ve3DpnaxbvkL950YvJdkMnb5HM+aMOTl0+rQiKh6MfA79QIvh5hdFGu8KVm0jNhM
FzW4t206Ft2wLXKwdd6Q5WjLzuN2FMAK6NSRmo9eH4e5MSkbH2XXBLm3Ggz06yCZvLAn6/D/9Kor
EnLVtdaD10mDa27OUIXfodYOuiOn8P2kF5sMyNbh3tTGf67+O6bz1UcaY2bYzQNp2yoHMTf3bjKe
+qwnHaOYGoI08+ErqPWvVgkHQfaSUkkR3GTlkQesHtsfoOiADvJw/KkNPhYKXfGtiHPEbiwlvSZt
WOzKNA/2ojSSi9o12jKDTP3B8XQ7uDbm7boKoGDyom8CPbSDbNLfV1VtuYc4rX4NyC7aInuLMg76
dlr9UE7Vryb/fSVjaoUiu81iS2oSXzewEjqgSDeZWIcFpdKmyL9UeGKs6rQq9rIbVt1uqkb7BinV
etTS6Wegf/NC5YxIRP2muImxq5GRQQucLgxGsarJyu9lN4nC59a1tYsxZtlLCJ5XhsPATk9Zb/Px
68cazFqfbkebE5YcRRkLwAzQ3Tbf+a5tfVU0Sn5OgdupmXHwqia/fVDQFTw6Qk23dm4ph0i+YR0E
g+Hq9fmiLAy8CNLQeG/xcCmi8SOqA2Rk/gxzQPuf8NTzI/3xI+ws/4/ZhOVsmFZ/vsh/wp+zFU/B
dMH1xJMXlN/KwfCeTKezD8qoUIzt3OlrNWJA5Cr6e2t7BjR7rDy0Uc1eo1I7yAmqlphLTrDZKXZ6
5dGtAm0hBwZqgKXS7oy8rg6jhyGHOjf4k7XJQgbZv1UHeZUrjbILnWAZxgOc0aQ+a+MY7CIIVdXi
HkO5ekeq4a3uiuFRaVjZQncKP4qqZH3uo/Q0wJ+nKG0+y3jnedoK8H5/sIexfkXZcC3j5uDWGycx
kh0+J8VmVNtqDFBuM579wvyO5D/7/5Z0oEkWEE0xgOc92j9WlRUvqdtkpy5J/YWM11rvL9PIDY+Y
B5RfWmcl7674FB4ck3pJyLnsC3KWqMFFXXQuYPxtpnYyF2EUuWvFNuO9rkAEb5NilQjXeR8jQ0yI
itudCrqbSrxs7MeKcu8tngNqSdXbAg3AZ52ui5PpPtDw6iPv23MQ5yACnjqn+JBaN6H56dbqDGvv
J4X7SEl3XJqmmX9LYpsNgDU+JrnTr6EnxVP6Pah4YCcgNk+VnVSnsYmyVTOayXtod8tO9WuYJCFk
pxCYzA7bA85wSUHV7ncTBRPKbl0hFm4dBBthjxbFfx9e0wRjTV5l81XoAFuVVzLWAPF+MJ0YrTuw
KquhR2xzEFl2meYGeqV1FvAKZc9OxuzSxi4KPWO2dwuMKxI1sjaYtNVXHJPrq55jTu83ONVCEamu
sonGTl/KebIrJxdeqS+n2iL1LKu0Qxo7Z091iqdi2slVUq6NaMSKNZAKcl0Q7jdGVqJfKMtgaoGU
frtB9sVETFe99q7h7ytNFft+VEtAYFi7yKtmjk1dVR5NkOR7bb6S82pV7XakqjGM6PUnEOjHRB+M
N4Em7iGOs4iPE13TzSGc42C0l91GGIBp9fgJ7CE2phOA+iB58dLIeh6t1nouunRf58FwkSHLpzog
dNM+ysE+A2qkdYaylaO51gSA3UEdUUm91a77DnK2OshGQYMqWXz2/ZIvcV4Kgp7JgueH+bAgkYGx
MVjJfaiYWzGEcfOUBKG6IANhLbN6xsfNH9NhFtBIFRW1jLC6yBC0pm4V8g/fBhge3Oy8949U1d9C
5yXzRj07yANdU1XJ3tJsKC3zic5xKwq9vVZs5Oikj5cySL/57gzbja3sKDcwsquIGSYx71msCHiR
HNWqzHhx5m46T5ajcrIK3YGkU7rnpJqemWUB/uT837r7xGnTb1NQsstq2w7f2Owfa6ri1zD7R6Kb
g4HCapWqcMIknLkFFK6IdtjKrgFZY2G4evg4AI6Y2QzNYrLs/tTZ7XCSV8hd8ph1K7GW3cAWw8nk
t0NUAP56JMjg6Rg5KKjU3hBFTRZkJ6sfo2Gv4U3kH2kn+lWYeTjQwC4IF7Y3jDfLSMZbGCDuq+hp
upPdWIlR+B2UCOsUpsh52hQ9TCJwzve7ysxfl3aF52ejKxzuk2wj/HSvk5O62o41kKVwHjhSIRPV
T+NL5CRXY5ymRzlmK8VrJwr7LMeCXvk66EV0lmN60oeoZFTlSQ5ODkYabUXiQo6KHCMFDfuXoxwt
O9tcGJOXHeUo5iYRB4ByOhR6Or40rYFrqhvPoEd+I8DYSL7mVbWXo3yToBIpJtYw8yh+8NWqPKpD
qW4cyxJX2SSN8FaaTfJMxQ/0HpuytIR7o3lLOUUOWKDTtqEaeIvPWM6Ods+XKl6YNYXfJdkK8vvu
cH+V+zxlVoCJ7LXnOuB60slaKA1qGONGD0vjK1kaDWQ6AthDYti3LA3eCtMFl5nj9RsmLDIB0oRQ
J1L8G0sr9JderNu439b21H5VA70/FN1bUXTvhn50s654x3nxicSK+sTBBlJGXsHRnOO6MGHAjxAl
EB0XbwloQNvxoAaFWbwFagQOOlegXbiO/SbI/G4a7EU2Q9Xab5GNx1LmNxApsY16NfOLDNuk+LAK
5Jwtu61hkxmmeL7x6wTXwt+NQ7H73m16XFnNTlirz9hf81ITMLCSZ7gV8SL5iFVJPcIcjj1gehkm
UqSXVfM85Zwqs6QdV4htZCdj0LNT5pZOvH0tXTM9QeoIOJiXLVzxGdQQWKx75zrkN6wAVd+nyrsM
tbbWeADpC6WeX9lSvKMOh2PvGZnSL8x5Om6/mylzEHyJ1eH+XLfVhMGowbWhAUkVpPiczA94wb9/
C9OoQXOV3UKtjc8AsJxr5yTJhaP2P3JXYGiiW3dNq9/3FKGmrYTGckRWyyVvBRFM3m2qjbUsS1QF
q0G4b2Nwwm0weK3tcaUBztpaonZ3hq21T4aBch++0dZ3pQJ+5gPSzR0Sl6ise0ejVodznoPNBUcc
f/dT8hS++V0ZnWbZFU33OKROfMT8GA6I60VffPKN9xk1uVlm9LeBVMJOZR+xm9RkuLl1KPj48CKA
jY+Q50NKk465li/kh2b3yMYaA145A6RgWEXfVSt1lsOo9GffZXl304y8qtOX76oIt3Km0xa4OgVl
+9SErrsLeZZu9TDWngFGf5N/nMEegNKy89qAPtuEM09Ob73uQtoQibj5zy/ZTQaxbn6F7IdnBwyA
U1PniP4AYV4V/XPv1+0q6RFgKFulf5t1tjmu9e9Dn6Q7+KVi46VO/+6K9BTb0IOwoy9Ojg55Tcbx
eoPGlpnEisy8IfPINJSIGrSx+dLyZa6HoP8oVEqkSP6+dsBS9j74zHWTj91HGybUYnv/pe+8hCod
6GUZh3V9sCg5v5QICZJ3x9RbxssiOammNW7zrCBfXs7KoXcx0FD5Gfi6uf0zNuMf8pgTTdoqfJRm
sdGpwH69qdVp07ZxDJ8oDR/SeSOBQdySg1n9kmPD+9iW8XcrUYw3u8qVrQIgZu3M3cmMN2wHPUAs
+AJcFQ6JQZjGPwq1Mhemqg/XDomGfdMm9XZK8/a5sIN/5AxFeAekKRu2z2q91iEZHAuESOFeT9FK
R6fgq4ezxGQUx8T0gpNsxJiF96vPWG/xewIW/GNa/PuGf5lmaeX1fv6MKHHtnACYwqIwY/tExQ47
2qJEbD1U62lFfdY+1XNT9Ppz0JT2Ts5rm7GZVqHa6kvbz/mOR0D/yeSop8JWVqHlZsdi7snQZ6M4
JWZVpnef+sddWChhfwjVfhcY5tvfA6j0qCfL9bdxwQcrKYGoZW56jNIpPcouUE8bh7vffXkl5whV
t36NiHlYjtybqTY5dc119HaBkRIAornpPcRY/qdveFYIBypZlKgcoWcx7VX2j2vT0YNgCSlV23By
npZQlhVl0UWJsVeLGFmTzchSfEoL8T7ZE49GRS9Oik8j459dgPftRk0VTm7zFHvKvI2ILSw1bYzd
LIBByyzy08eiLnnUO6qF0JPVpYs/ghb1v0MQxkiGTOnjZ5M5gKds7ekzUsyvhAopWJfMnRED/bQZ
nMG+OTVvRT1m5U9KYD35jZ+az/tqVFr7HGhWDjfO6o9AAoJTn7vFOkMG97XP+6+eaPWfoxMtK7X2
vxWJGeCHZvpXwaNwOwWBsRdqFqO5HqarCS+u9wKUs/wBujMB+lS9dz0K8LIiE4/8S1nsTVONdoqq
VFfTHSEHTjDqczTdqU5Gj40Gvz2z/ALdlXhYUPQaLs4snS+vKDulGuaKigPPbwGWGpExvrJbO5k4
h8ZdaOzgwGH1N9+GiBci5Gxp15EYJnhZVbl0EyU+o5eA8Kmlo+KqhRncrSFK5jqhuNjzVeY4B2rA
4kGGZKPNhY8QMPLiMyavpnJ8s4rBm9VLnnGXMDZZZoDnnhvVZS/gCHajfY8gmIwFgP32WZ2FCxkL
oFtcIFPWZ4GehWcrOvWz+d7SZWXMRHqWPTlXmzdQrYlhgKVXyZaNp3MIOCQuwdLMhnmYW9fprCkE
ghuE1NxXGrvfR9ZcUipAWzeWG9RoyJE+HOdGXmHyF+yECZwgsJL+jEsRbEC9PYlEW+ZO8KOGKHiA
ZBw+hZUborTxVQs14yIjSZilDy5CMgGbyo2umd5G5qVl5lmS9waMkDaWP4qFjA1JtEtRCMekjNw0
hYB83MiB++g8WWOrAtNopv8FfeMcwmYI33q0blMLedWC4/1xMEJlqbIsv485W2l0FMyL5TjpI9lc
tHhYet8RIMZEBUnCU9wFxc3wq6uMo+Ag1mNSmIBzIki6Ona78/ypNhrILzyJ5esKT18iae0/oEY7
7OrGg+XDZmrJOwDLb+7akdWhPpml46qyMmQ7ZltHPDaVfaDzos3s6yibYGpIgCeesTPnKQ7KKFdc
+f6YkXn9NY6M73Z9rEn//AjZGEO6LfSnAiWg7aCU/n5w3AB1t4gqPVjbd7OLj041dj9JJJ3Vtta/
GGnxj99EH60yiHM31KwXCmKUWhGaz0YcxYsEav3PAC/cjsWSM5zG+zNFMAd8PLS9Jkt2wN8d0m8s
4cmURT+MGJUFvIJc08jZjQZHQ0+dH5EHHAYM92uj2/qa/SWn0bzsTwg36yss18P3eSo8+GOqzFrv
ph3eSCB5Sz+hPmYZbXiDb68/Kmq3KUot2raJb+7Dzki3mM4jyi9K84sJFQtL3vBrrVjqOnctbd9i
Yf0Ss9nqjSn4yoJSrMgwm0czqLQnDusfMh5aLUlz8jAU5fS1rvbKi6lYB+QA66/xUClLJTKnhzGv
omtVqfmCUmP11US3iE+BZ18cFs6HqOv4vswDjuEcY91yV5gpRsjc/e+u3ijD77ATxu3n4F87+7Z0
0p3RZq+fcYjNIZZjVAUGlt+HRuJ4Z0QuXMyGA9axnjvt70ZOkFMdCQP+zzQbjgrV/9/zsohdlFGn
6HYb6VPcuP7ZwwQ6auLsSYZI6GhITKbUH1zTEcsAxiMSi2q1k8MpPNmt2mNvIqryJwBesc9ngwxk
evGgCLEfwbgARZY5JpvSmtmgGgaUc6iphhqURw32h8o3XhrBVx0ly3WmtOVeD3gLRAJmYo6TY5qw
bPDTY6Dm3a0p1RcZTwaMk4o0K09GnbgXo7YyJFX4HAB6Vxe6GU+Piq11505B0SMosuqlN5V+6aa9
oMirs3P3B0RWs/zDN5E88j3M0tpayz+6HVq38ccII33X+KhL1nPUQ3xvhAOP+EVZoo5nj+v7zZq6
881gekEtwDhEeaaucG/ODs1QNku+nOmz+w95fv8mr+1azxcO51GMwuLsWRECkGXSkDOduxp/70No
k7KT3arQ/WUOgpGDldkc+ziqgCGJ6SP29YtKgvhGcqA9Kp5Lhb7Ux4/RMy9hYCg3w6OsRlUJc5zZ
s7NF6vqxRezMtLx4rXb1cEjsHuuZQbUXo8iWXdVYngM6Vth7X3EuQxa33yZb/aFBwH5XrBEiadwV
byXrwdKD2vNsoI+z8ttBeyqtSVklrG0XpTSjjSWs8RwZUwkBXjceDJKFu8ZJqEM3JJ+g7wAa/90k
6BH/a9ea/LdmrIKtnPvXNGk48HeMFaRaDLAbt5o/vXzeJoaaAeHkKIUIQ0TLssNWo2pLHVCruYvy
suB4ZZrUxj1VP9sWXi56y7agVRTt3Mh584DsdpP93litv5P3y0HZgHYb9nYJtmeeer9pvt0cDMoj
o9qPm95XlSt2p7lYhF84CLanyXWaeyO7kFN2OhpXh7/in109iHYtdbq3REUApnbhZOc41ezhiVdb
cCf2EyBDDdyE0H/0yjo3HAqUM/a999wAI1wfX6Owtg/gBYIz+zx1pftu9YVjJlZnbvPTaduDilTT
exqFy3TAnOevnzFiBf0vP6ML7F8/wyqMP3+Gz4Z9VallLX+GEdet/BnoYxrvtVrDwwXYdRIlWlIz
QVRozrksLPfUzgRRIPUw27owWcquUsQ9Hz0lIstfKfAy3MyBXpM12odZ1UfbzM1/Qhdj1zwxvmGI
bSxKzDxuWE9FG2HG+NroOafv2lQ2vg3WUxRAX+6cA1zkFknZt6uy1QGUzhDPIKr+7Naj1q4q5KN3
5QzxlKOy29X6r+5f91p9BzlYj79mNSZlhoHpbtwj1IOUVvqrf3dRk323Vspd8jlemd0zgPqV0APn
KHIzvn+/k1y/dUK0tywo/47DWmtuQMWsdTF5L0BXHLKPrb6FkWhcbR91VwxHENCZMA/IB//nGMc3
zufJFyNMupWYBv1s4nmATHIT4EQUU/pej+hxLLS0BKI1Nz4Qg0selm+4v9QHUljI7WJXZyLpLRaW
WYhtVoTRypwpbLJJHJgK7fQ0aTDb2GTpK9ccRtTlmKAh8QFMwIYYAg9qObT8xyYncPZKg9e2rdYA
lJO6QC+nb1CZd9RLO7TOSd7rTnazdUvgjyFyHeitAaPCX6vG+jgBPzHhsZFJlBEFg//qy3EK1spG
VjzyLLwMwnS2Zjbo68oJlSeY6SUCxSBODCP/EIKvUOf5i0SIPFx4s7NLVDnf2dlFCxM9yDezJOMN
L824Bh1sIi0oIXD6rrG3CtJNsVf6J2tC56faDhOSc5KYL00mETcBDP47Zldade38MUd7pEdKZO7K
yQAR8l0n52EVtrS6vt5bkZ0CgBjT7wbblyDOh1ezb/2Ngeb73lVT42lMvb9nTDPBUc7wDFt/6hLt
RIpkbduQUqUuhoMY/TKrwnH3KZOBuW8BEfFJCmLgcezt+kmAFaJ2syHXkgOSVsMbsJGfRR3pR9lr
x0E9qAW4FCl8JGNCs35iQqrdZ9TzjGJQMGueb3cDZBssPxDIYObTLgK1s8hnJehPKoVidb8GJNtC
DkgGhrzDG9to8RmTV97vO/5toNt0up2dPZFg0e30tbpBJxCHpZlq5AwpQk9jBDRv3qug+Ri4S71G
v7PwawV5KM9B46+o6n2kKRcZa4WhnO6zZb/pnF2jpNCL5Ctova1sXFUv9xYEUU8pDURv+MMtzXF2
6oD6NdrVIMHFYN1H5RvnzKNOq5PDn0C6c9BVTtEThafgH1b3+4LnlyzWuv6WN3ZOydFWyQxE407r
u3KPouJ0Nh3QoZM9Nq9qQbFWi/rhGHTwTzS82lv0w7UuWFlJ3C48Kzf2Oi4fCD6l2muvdnxTIe5s
pmnSXrMaDaUIoMxejmpVg9BJpUcnORrkmC7W8XgdZuwQTkOFPu5QpmRnURbtuZkbxdKzY1opW9mr
9ak9q76PEDmUhk1mq1eAX1geVK6G9v18KZtheOwU6trjvPutQgrB98H7vCwEPJtDDxpnVa5lMdTR
KtDLccV3EXQ68jNI6PdN89LF1c5GcPxjDHtvhdTWRL7b0Z9bKwChRxxuXblSNW/iWGUWt97rX5I0
tT58lRI9PCT9IcoN5KeU4YeMK8iBLcnskSoTinqJq2HR6NMzNJf22YHmcNPbdxEGVrMcy5JFWynP
rW83z6RWrKWeZ/1OTp3cRNsqsV2u2IEli3x0h1OjBCivsW7vcUGN3zRgN8oMVIhE9neckvf4AReO
Z5XxJIWkhV/kR3n12bXj6A3y6peazQxJa1e/ysbvIad7qsVh7ncsTOwPv+2TY148+ynOKk3ljVtr
TvrWUbFquqR9TcCLHOsqDVcY0vTv2SjKhc+2ZNVFRb8sZxWtPGNPWNpGspHdMIv6i1dC15oHndHJ
brqlQcdzonhXF47YosyKriUiKtdCnQ4JTrUn2ZNNmZe3HqD7MXJVoILzrK5RfviBDhZp7sm4GfQ1
B2XodNZABsXAVrP8NqBPt3FZ1NCnngkJrmxxOA9Ppdu+heXgr8GYWNXanIvxYsAzaCjivaogxbaB
xJ0OVwPWbr5Mq3okT5a5x6nQIz78XZoecReogLzX4Qksc46kAp+GtBnul7Ivm6DnAYn7j7L5jE2V
nnYrSF1g/UNjWztH21fald6YPXqXjvbWNmLRW1X3XhhWtZtKXVnLrj6yl7d72DLdOvDd6N3A3aOc
+NB2psN3ykrh781xVUWwtzZ77ZAEfv1FRZhjDtc2x4IZDI5yCl1RaemiQrbjlI5+vJOZ7JHUvB07
0JbKvp+xUM4VUSfWrDZ/cxIzOqK1XS9lN0IzfhMGXryV3QBBnUUmwulBdsVorKfez/aDgtLSGMbI
Ng9ltdBnDY6oQ5L3/zg7r+a4cahN/yJWEcy87azOypJvWPZ4hjln/vrvIdrj9mpnt7b2hgUcAJQl
d5PAOW+gIJTsG8hKn97W1nLlI9L7ch+2frtyBsU8GlBGt7jbWBuVtAe7AeD6Uzg653zIfrWcfq96
UXoLy7GwxEa0mo1ra9X/7pAJmN7milzSVY69UEJSBFhz/FCLUrncYrlV1kt7AEJaVYp3kZdxHrba
16LXoQjMYRlpVdXcuqU7Yg8V4aoXsSVZZIHygDK+B929sh+QGmd7YDVUOSP8n476kF1NVFEeU1HF
j23nj+cYbwbZk3F5mY5QH/xH9LHqtdNhg4JrcXKwo17kOKAFyeGPvmzKoB97fMIj81mGMBMgU0Fx
LTnIUWBYaen9VQA8P/npRCJeS/RhNfVauCo6jOFufTmkatFPt6qHBYQxhMHHnMe56rkLsyvGn+1b
p3jWz1zrzAX7Hv+JbUG5swJwrEFumnsraTjrwW7oZ8ZD34O2bY3wKnt22Q3L2FONnexqVpLvKKDZ
0GhYQLKiIm3A6XxGdKmq3m51NNg+Uht+geumz1nVgarkOE5KGq2hEN1ShCMQZDXltBbLkkIEz2Pv
mBd0kEAkzVpDoECQs0T2fCtXVeNwcjFxeVIrdA0Hh41mhue6rT3DKdafHSiuyyCvIPzP3cDFsMLV
E2Mhu8DN9Wc1C9kpWMmTXCWS/q9IHcdrO7nxMzlUsy2cpwheybNdhBQNG9tZy26ve90jsnwLrRY1
2G07P1KQjR5iBYPtCVGNR1JMgD7ZD/1AQAwujdX+nTTNP26dDa8o9Thrt7S8w4iKxtG1eFQFWay+
uU7yqSVW9/fUuavaM/TvpNfapZ+t85n7xFZCvcZIhi5kxiD0Ao50KQbSsLnUa1DAhZUpg2TOjjSu
kpzvK+4DcoXA6hGef8DBy4xM5QlloeXQCOWt7GfIB3WghewmPridATNBXsGh/86xDhxppNhbOYqY
gFiAfRqPclSIDABt3D/VlWRULlK8slTRWj+rxosW5uTUL4lLUd1JBsjHblADsafA62bG+L2G6an4
KNWYameeNbfbuaam/hVXxd9656gf+F/Ey9rqk5eccszKqe34anaes0ERajrWQY184MzEAMY2Hd2s
djdkouKrqrFXCrQqfgmpZC7lreZ7FoMx/SUCdWePBpZfMdWnkK0iVkaiIsPr5BO4cW+EEtBQMAOp
Nx5dqJYQhb5pc0deSjn4xxQZbTBbaWxl3P0xRzblDUWBLWJZ6yTa+0Obm9HGrIZmCex8unRCjJd4
bilw+9jimflaxu4DSQgPuOlKqkfz5PuAFRZPeH/2+y/xEBce/hDR0auNfW4gDh5UZvPRvFuJJz5s
4fiHCXzisvIqkshhCdxg8ioUX1TvbeBJIKfpfhnuVTg9ZEJZNUWhScYLRXgNZf5XqikrubyMycP5
ZOfXTa2rK2TSx3Vm5jbOvIP1aEDv2uWJ0+3iiLOV0DKsxgGr/uThFvMcCj1OIW7tWo8B/2u3mZ3w
jcfRin7P7MeGHPQ8E8xosEhyqGl6j5KgvIjfLdltByM5hH36a/QeK6KMB7DsR3pHqos0CibJ5gHc
M1oFPk+/g+znIv3VUtUhXCIlUa/usdsUx2aJbKpU4RcCRceVpgTKQZl1K8tZwbIxOrsiifNvX8kW
kW8i0zdH7mEEc9i968DkKWLVq8hE2sRF5+yjougTqEhqYsWeXvWk/i7DtpHXlL7yFJ/5LmQvOOeF
eO1BbAElgbQOjHRW62ZQHkBbDog3VtFHWhrq0hvpYa645dGJeKuLxIPaPsW1p2J4mXTbzo+M5W2s
bM0PK1BiPE4Y1V2jPcJdBwXTT+kSAWj3diP+cCFeKe2wL1G69lv7k8+1sdVFEmzlnvZ/CcdqHWDL
EEWvmdWGAaLxsRXuPZhhEyU7jmQWh80Dr2TUL3/HQPspJzmqF96rYevmTvZkXMhjGfroAfqr0bCU
QTcW0arHYBIBrDI/FYNN7k50+5pN28mLI8hfckD2ZWuaePVzVMk3ZZSTMJJBn9zlyokD+A0bp4iM
VYml90GfX+BOZhruTvblJZ9HZEtNahRWlAQtlLGvOA0XqeXucv2bJtR277EzPLgRgHh7vsjWl9gf
3dw3doo1bP9rmoylk/fXIPCntlsPcXzgrCgA1d0L4n3aNfLH7TD35AX4+UbL5ozwHIqAuCI7QqlW
dh0HqBYi/u4axHX3Ynnd9yYP1O3oNlfgtcpj1GreYzq5+lYY6FPLrhzoW4Pkn6V3m9osvds8UC3s
UxJk2bME4kpqP+Zh7d5uNCi6dpxvi5go94EJGsP897WFgNG66/POXYjeqZ/KMm+eepvyLltK+NhT
NCVLCCZVUz3JCZNIkiXo1vaq+L1PUcOd3kaAassMAN2bjH1p9b9Hv87j0Pukx8WDJkZsWiJhzh6S
O0lORJw7hp5XxnvHD61XdTD/iKfIpHAME4+NO9oneyq/T06T7GSP05Z9ki3O9+h1pF2xy8Lw25e4
nIHodbeNA6oFajANZ3mhqDieIc6yUyCZI0OOikbwbUqkwdNqAN3cRuTk+1rH8dNFkTsYN7Xur/vJ
UTj1s5Ps5ks4BAi8VUXzT2DBHjfBVO4FNeR3DJCPmdbmT1Reo+c0UXep3/TvbVxGByUe26U+z4Jw
36w9KHhbOZoWNYhXETtnamjeG6Vnea8AN+mzCTppUdrZ8N6lSg3iBtcPnGVOWLZa+zjwcBxprHMn
QvssW/JSNCl0qDardygZUCOlcGedNU/FLM3ESXfig4f04LwQsJ91znR9i9Lm7F5CqCl5i6gpu67A
MBZtHEff8iRAdyLBjcANjfgpLtlBKbna/3B85b02h/KlRHhh52FTvOnGYnoXtdjJCVnCZoINSnHp
yVYfDejhq7xNeuSgr/Hoa0fIz+FCb8MYI8SKR8Xcijr1V0vGvGEa2LP0mHujx5ZZxsqwR3G4X4YI
ZZuxBW1adf52AglKlbLhOIOoPLBcBBlkq5h89eji0Jbkwv5W5CFCBjjAHK1sUp9yNfom4/nU1csS
GNtJoyZ7LQcAlXIg49i4UNBpuGhNEF9KmH63gXTeUNZ2y4Oij/vTGPon9t7XfhTxRfKQ5SVsAS1X
Jim3yCvjC4/UcJOkySyrbiUXS8UGNK6wCnVgCly8+SIHkKPOt0aojOzG+18xwzQf0PCyL0ggknL2
RbuDUhq+AhjQAZzDBrKVNkTQrDG3Uaj2Kzna6miUuCbVVNkFdqccR6sCFjBPDgbUvCrEbeRgNkTb
FqfFheT2Zb8JfrKrTflwtGbmX98NzcGr1qXJptAop2TL+yBPt8Bp6xN6hOqq0fVx2baQrwe80l/s
qr2kKqxGy3OSY4sI3TI3g/hbaRf+grJ5SCbZB4LoOLAdUtG8Vmm8RpYjxntD0+pN60CDKNIG6RG4
dNV58ON8l1ZNuE8TGw/eDMpYZmfKSV7KYPzVagu9OwRNur6HvkxrRfU+aJq6+xKXXVPVoxWpUa38
UQdPTZykN1JiMyA0KrvqDBkfPV6JqrCTo8SIy1HZlQjy+2QJN793s85eTi72R6XhOhf2gcGC/UcI
gB3pNhmjKuDCU8mX9hy6x826KDdJhGCeHCg8tJfK8HtpjxwWRFT9CNpqZU128DlOY70JqxC2VZJo
z3mZfZcTWg0JoCYto6cKV5u9ABWx9pG9/ZYj3DffoedgBRF6qvYdTFvsY8IHAY5jo6VF9X0pr01T
Q3FQ/eihdXXvtYMcZ8yjUVX4q3EUw1F13OQx5hOwkAtC3CBu9InMCFGNi1z/0tu9BhVl6uPwakfx
37VfN6cYat8rdQEdrusUHbKkT18HNTeWqe7AKptH43by12z0AHP6s9KROZgDknyuMYCsL9tTFlmb
Fs3pvSVHbuN1FX8EfQUbUm3Rw4vbByNxY3yiuHSeOOUaHlsy5A/I4HdDSNZjKJIXXdO6h8Yu4qUc
Rcq/fUyCYiV7wuzjl6ZOELl7l8SXO8eFf0+Pxx4KzKE71Tfyiz+35IBdm8CNx2Ha3ACJZFWQF3eX
lGz7izAr95JSJrhEjedsdR67C5Ji7qUifW+Tb6KAN41ptZVBOTtnc3E2KSQ42OtwbD/zWSO/Z0X1
pZpbYB3u4SyrYecw05xnynE5U17mG3hpdUrY0wdzBoykYLMEbuAf4sjJ3zEEOU4q7lRKTQm/VBBA
mcO97VhHNS1UGBN0467JsBGg3I+sLU9qRI+Gx0lRrBmDZj5nGr9RpbiPspdkhoEyRR7fButpdohG
UBxVdb959M0UirKrX6Ogzrbg0JNbt9RyAyzYkJwGUe3iZMQiN7bah652XDjM84L5ojNvSZI83JZS
IDRplzcyXcleE60bN4nWxZzAaZxh/LD0bNPoqvkSZ21+dvJEuuN8G30A0pymUTDOVP21B5D9ANfC
Wor5IVDl1KE6vf01qvtN9pD3zsF3YVjz5YbSao0nMmXFo43u6EIS7moQl8tCi6f/HAjnFcV/rFBy
YazSUGgAFLMC03bDhDBRoBE08Irf2+aQrXA4Hz/w8g6WmaOLo8dL7a1AZF9OE1Fe7jVH+3OaOgQa
/tuV9WZxN+G3QOjUhDTI/DQdM7ZDYArDZe/HlA3n2H1AtgxV97YVCKgv8Xt3oircp7NQzO/lqVm6
p6Lu9fKHg9XFLnGzH77vo0aP7TWmPnAZFopfYy9UYPRNOQ8HK1R9jqCgHqh3i8stJsrY3OZRzqdl
Et1BFV69s2EbYd+CmrVaa3BR8JuVPRnvgbJt+wgcvYzdBywfuo/OVvAe70BPrNCX8tf3WKT47skn
d91Ds3AXcqBBPXNBZmra3ufZ7hDvB2Q47/8aOZiANAdvYiPiUbKRL2yUaCeni5df5k0Q24uq08/4
AyQPLaDuqWkrKlkVoLkYqYO1q9bR+RYsmzA6m2E9rCPHSpcO9HVBncsIzwHZoAdXEc+y98eSJEPH
wsQ8d14q199uJftDqlyaUpsebnfScoyzxpoaO/mH18KMnb0jJmVx7yIno/Ai9P9pjAHxGv87BtxA
cHggqwd0O95LL7MftUSxH3lyq+DZ7JJXywSobr609jSuzBihKDNh07RMBNsH34dKf+tPkfmgRhZs
+3m20pfjtW+/t2aGKEVNdc/XCvNY90pckoybm5PDLsvnP092bRQHy5VbT+YxSlW+05F4K9rIOsjR
25R5MJGDsh+kug0gAEG422IZnHO2qA1Ernlsh/h9NAHZ329xu/W9b1pe9RBO9V7+YBm3558iW2Pf
RLtkRGg9WHS1Zy/BFmmrJmzVTetl3XNQpMU5acxz0LUgU8qM8oheTO0Bh7oOJzvgYrVVFUvZtVDS
fybhttCB/T/KUBL12sr3lXOJaujCB3t/RIrNPyINFYAevff5cEUrh/PBqvHJOgV2T7VHTr3Nl+P3
vlyZa+N7AQMVSje3lKHbfWX/dotbAB5LuU8U5LIwcYpA8ZrvjlYEoCed8Gkaz7dSr1ZFwdpxVX9T
VhO7oKFuFyj3snFGmnDRJDFPp9/qt+MshntTyXVIUfwepGiZnyF1YiiOzsuyUcpsLxIn2/fj9Ovy
/xnz6sCL2TNP9QbizGtv1f1Rb7T+aIGhE5AIHmTvfhHz4L0rW2MYsDcuMNG8r5cDfuAPt8lyoAnq
t7hLS47YagyFAkXNZIgpy2OMgbQCFx3DjX0ziR+d4VFymUxTP+ZGcZQL5DRdtfaWVrbj31qr6nCj
teagDfGvS1cpKiIaAgfKWxPAM6hHYT7UEQ5Ei//z9Ps9kKfL12To832eoFEi+vbdFI1+gG8UL6PQ
a2GjKsrazht0QufRySCtroM6PWlIKi8rN4HrLKphb0NA2pvzRbYae0zQFLNEmnK8iLne2pps3yJy
nRq7Ay7i84zbmFwuh+7jt7vJqXZZnW9vm2p+6LXTp+g17bkeDP1BH6pgE6KI9K2K/ppCNfhRIooN
SqgxD7CnlWuj8IlsOfL8cL3+E26rWBWWB5q01duTcNAd70a7+LRxtUVXjhyxsKb6tXZ6IAVF+Ulu
o8WOrkWPZZ6WifZg1YX/4uj+P1WWg6piW91kV8vu2OG0oGqboFdeCiPx93hjJdCX6CaQA2es2E/Z
GyMtfLRbY5vptoc2Bi5iFmddcwx3up6o1kXwK+ytcUBWkM2btq8QH9GXMnprpk629tALOQRD3Z2x
jMbjwRyGz5KCwXLCbBQ4q2+/pKWyQ0hp/EQQEsJE2mlbOY29+6ztYL9hfvI99Oy/Im8iY5tQu6yH
9luYUWZeRBn5iqS3sRjpR0gw43yRwdtlXmKZWbwbNO8kQ3KGnPvHWnnrYhzSfaFQ24ZKuaeSnD0P
lvlhKl71fUxbfyl0yzyHFi4dg9U6WF2hiShHgW69o7VeP/dmbu7d3J2WOKGKC8nU7pQls4Y2PMLP
cMKU2kZ/79DwB3s30Waew31oDg81b6eV7JJKRmdPzcdLBkThybODZxnHw6DaIF4HDiiOntGqxjrF
pcwCDMI4gOZ3V6EuvO85cmV+KX54ml2vmhIlQOzu4gswGwAW80Do1hsAsN1Hl2AJE8VUmEP+CYuQ
jSRwxfAHcmZ48Bp5dxRdnVxbXdcWWU92jjL5jw4Pwc8E75b5jK0n/Gc1ICo5MbZPiekH64qc8YfC
jwpy6yMh1bDXXA2bHw2EsBbzsDZCbdpjNK3eWoPtzelPLp1seZ14MIJvctYf4S+z5q6cEjcoYCzk
xPsSefdJzwzEsZoHv8uiQ9V5IZmgPgKt829XthBT9kAWeiVE4Egx6nxBSTajFmpevsz0WrmwY6cu
b6RHol5NbVLC9OMzCa6YL+18+BCG4WAcmWIT2ifVss3Cv6OpZWs6D+JGRu3dy3h5zg5gcq5eApOc
B2Wo/3e+Yeq/5mMU++rWo0+uPtEDajRBhnQXFwUk01Xp/wqDzDsjEgOCUE3QeB5HG7bCqKXXWzD2
f8opSjfhUSinIH7EFPwELgmYDSlLRl19YfKqP9iYDSP+Z6fWcWhVsQqR5FjKbgvv2910rfNcemG9
76uP1vDrS5Mqw7UN1OFqlk689AbAi/dYn2Oq0E4pIOB5iq+UubdgqcKuJEHoz6TwaDkLpSNNuG1c
SLweSPybMBJphWgz9aSYzGh0qeYGgpPJbDoEFScFXTZfysbJzkmPylvri3T9ZeA+mlgW+Zp5snDU
TVa52VHqunOiGh9E5n3I3l303dDjkW+mfYvfDXP+I17q02YMI3efZHp/QllkWHsVmn2yi9rBgGrL
rFkumwGVxLUzD7f8ziMlf8TO5cz7arMOFES0xni83UOOVLGH7h/KvAujaL0FnznzTbZEUVq31vS7
dR+9t/7v8xp3mkhUytp03IacnLwaYaxHPEuj56p305cUPgJAtQGtH7fIXhrfQfIdEv1ajhpawXHQ
9/8uxIQUIwC2pLLGfTZGrXrN1Lo8oadVTWsMa/HxULNT00QFqNNSmIcoNfmAjJP3u4m7VkJ5Ro6q
czx3NYRYovzZmz/2/vwFSKfpJXBjfS97CXzsa4ohwM6KpDckMzLFL1AvYzPZq5wPw9683MCsDcAr
csX6RapwDILTioIYBYirAgzykPfWBoGnmzyO3pCcjbRtZZnKpwKQGOPZb6aIoi31dPY6eYaPXwGx
IsjBgbo2yMzct8z1iN/dm5XiNzCX4guzoERsm4dbpqp1ol2Er/eGv26BJCk/Vs+cYMMbvdhIgap6
Am39ZRRKfrGRilVyLWxGTBEmDjt5Ab15yMqS/YqJBtA47JLbOX6INKT9RH5Vhgi+WY8n0MLk1UDG
saIZlC7NuW/ZMO98VEgf2kF9EzzbcCYq2m3RIBxSTYb66FLa43TTRD9xO1ygkqd9h18dr3Szjs/o
p+AYmIR4z1pj/xHW7d6pvfAnQON/IhUVjNQ13kpNmx9VgXcO7GZTGBwcZC+hxHmLjw3eySrIu/WX
AavAJ8DJw/f7XHYW2cG7wdgVDcEYPQye65FUD9483VKMAhxoMfb7pBOwEWYKFDLUuOgl+v82itR0
9YCyTr4CwfpR11l5bfpBfQkrdRW0hv4euGp3aFGln98X+jult3RdIda2k6O516ILdXSGSX9DYqtf
F3mnbw3bL94bgMmLuMwwM+gnclk6oJ8sjF5LH0uk1lauQdYW77oVNPuSvPISNIh1greCB66S1yso
X8PeU5rgo5ogsbHhKwZdAewyNGsMjYrPKKs/NM64j0mRD5c2D3J2Q8ShGoMeiRBJgN6OKJKhbvK6
Uc8+xKNbK5hjkReq53xEFQWDQPX8X/PkqN8b03/PQ0UXTAtpkGzqU2MxIrq+4mnoYUWAAWqliOAi
W4MTFTslRQP664Bw03M3nWR4sjuUGoPcfusqu3+Qy0VEbuhfowlMedbVhHheyPMMhWnEA7zZV/Gm
it2peXNsvBYxktk6UZotDmF96Gfhz0bJ3GvtIAXPBqH4rAL3almG/o/bUooNyhSSHZpAhlu5L0k2
tcgtBc0J2E2xn8SAb6sROUtTxXY4FwAlQvxdHxQl0S9jWihLSxjdpx/jvDn7TY0o/ANLVr8JUU4A
toLp6iIfEAV9hHS4gS53UBXRGv49OwrZN5rMAGL80x3T/pR2posDGoQUdBEAgqIAeYVclu+oMGcP
ET+KxH4f8luq6WebZ2epyp114c6A9PeRYPiUV/5Pqf4SjqmzNQIwIdJKpeWztKzjKD7K0QKzTZgf
/WtRGcNlXsT3JlmCvbR2Y6APV44ALUboKlKLc3dKw/Ga4zV+Ljv9FhrmkIynHZXH2sfnS84tVQyO
XB9jmPkeznwPOVcOslm43UNzMr9e6xWgF+gLv5bGgNYv4/R3kvtw7QI/YCvr1VPLuW42Hh0GqtTx
iF9BpatH0y3q9TBkyA50ujjcL+3sZKeDli5vI7Ivh0Xw4LpddJt7D5d9ihV6QiYsr/L4ycGrBHJQ
Em34W5FFc037Hc9q+yAwqXwSYTFdlSReyJ5coLRG95BMbneL1exgtkHQj0svtOEk4IazM51JX2hJ
hnBEnWXtrQ/4CgXYAd09/KAp0gYcYN2u+dnjt6XXefFDJ4e/zKkxQjKfjxltkW9qx4zeDN97y0hl
//Qwdzar1n0n89ys0W4wlz7GTZvJBa6mJpb7GZmVvvCGsj9Hqd89pqH9A9Sb+wm8n8eer8UHV0Eo
0ynYAge1+2nF+gfkrJBqEvLLcmqPyD3uUp/AP0z+5YaFeI28A4mowTRfbGTlDm2UzJ4O3KH0C+xX
RSyuulPllyiAJyQHNH0sl/bsU+sBfXrWYv1RrSn52pkGgIJX2H6kNAqunNb98v8QC/0cE1YzzBb3
yWE2dnAvhqj/93q/pcAjINfJA4G/C9dToYmVyJA0nLq4u4j5UutmezHC1IXWDJrUVCLHXMhgwG5p
qRdVubkFOTzgxhObx04fSIhPvXriNRq/6WbxMvrReEGeOHpDYvMhQmH8UZ179RQvS/50z2aLnNNS
xjTqN89IyS1lzBFlucuw9oH5hEX6fENbDYcLePEXeUMFfTygD7jayNW5XtgHT8E877bc09J9WaO4
IpfWoyfwakVa3fTTh2EGauWd0NmMj0FK4gDLjEWYGN4eTbOuqur61VVFtxaeEQMZZUo8Xim/lEth
+8Oqypz+VOXwjW8t2Z0vuo7lqZwCU/vPUWPuylhW+biiJtghy7UmCIRtZ9p4Wbe4GyAmkO/8SfUf
5WUaTQBgZSnWhav8itmayUurHFUSPsTkgAiTYVl2Zn+GNvuXmU7+QVNi51GdL2EkFpXhBFe7Mm0s
th0UCaxhJ8dus6qmfRj7sF3cFxWDY+KnXYtVBAn3muvgp0DCVx/ZZMOyRu9IqX1xFZhCynCcCWXj
ikDDIpN8LnxoZeOP1PqCbjqEndNeCghkL5ltOEsKjslODpaZgvCgzo5bjlJ4Vq9lgnR/gyXV0rH0
q6LxS8m5YaFgSJ+m/VbORRNQfxh1BQTO/GPMqBILFFgqLI9qts16aB4Ewn2bLlG+yx7va4BzX5uy
X1iajjKtI5ZexynsfrHdQKDu8DuIQg38cC2BrTDHvg7LoGsV7iwNpf5aKJQy2edj88e9lXmKnDfH
h1R0Ry9NtDPVlvqEsdoiMCxxlqFbfB7kbd+t+tauVl8H5lH+OAugtelJLnVFx4I5rpVqsLGRzFrK
7n1AztNEfKQUSmlwnnv/qSCcwUYH5Mc1AQCEsv+lKrVyplx4izL1CtJ7EPDqOXmulmm0kKN+C+0u
zcwX1Rz/EQFiO2ORUzeEXkR5IBzdo+z3bV0cRwjQvyMyLC9V+K66ufc0InTxgnj/8KKjSUcdkKJL
rI8vwOOmpTlNzk4OUrmwN0aY+Zw6WJApenNQqglVo7kLSKV4zMb5SEJPXjo2fE6FNUwYw8ZJk6tR
pmI5mLnyrbDNjd6Y/d8+5hYZ6iTvFWJOqC3UnFNLiJ+ixcIFdd/yRU0Rghk7O11aiNNtp7jEOtcq
LOs4dmT2IJyyfRI4uRRBbB/lwP2CPfePpKyKbUptzd2ADhq3jVN/yhk+XuRbzAF/qqjKd8guzne+
teV4WwTHKJ7ih/v9mll7Xf4gpOxJFkT2yUJtbKnY7BhVP2gvZq41t0sZDskSw+Z682UgbSwgttgm
bpvBYasulwxa0S2QoBfbL7MH201mika1Exp7rziogaYHCPfx+m9+srWm3vD7Z8pWXYTvBpS/W/w2
19C1q1Mm0/7WlT+jKTvkCJz6kKNzuwp43UKF518vB4M23/o2Ev73m8t472Gtgjri6Uu85t0gNJON
xe9/jJwPeAqsQEkehbd70p0d9TBZVnYJk/7XZYKXfwljf1WkJqSVOW5rqCgEk12s2faEK8U18nm1
/aI69riJG6daD6NhvagVpltxX6dLOaqFgXXC9vFTDqIxPTxVaYkuF1NnsuwLCryrvKNsH5gDvVT9
K3f04iTHehf9Nr9Bz1bPymIRI2feoXkZ+hxdTeWAeCG13FZFdHIa+62MyYucUiPQyVcFVEzhTT4+
Hk2Da2IAkxn9Jxm6XxB649fsEVlWyJ81lZ1dYgepPTvontPU6mDeDs0i8TV1L2Ou43W8k2sX83Gm
BEHbPcfFuCrB/lzlgrgwSDsl1ADkYF/36xjY59JoUvFt1Cj6DM13b3BNNA8Rwja1GjcU07rAC2m/
BwYssMnR1JOBgsgFQC3VhXmBn0x/U4wtnwSKt0tHHZ8rXvGHSjTtQbasPv7VMubWvRuqqECnY7mV
8RlXuWk086dbmh4IEaMMthxFX+R8OUPeTViRUSyoCnB1h8rYTjOjKkML+zmFArAAi2H9BMqG53Nn
/tBxxkYuDxFY162x/AUmRCGBuY0W1wuZDYndGKERPEPlXLT50VMV8fCAeNqvufK+v+d+ue+XubF+
pGJyTvOqO04i+HUZssxtFmWoosckh6q++8hjrd7+EbtPDxEEPsp5A8Doh7DROfX9e6/7rTWl87ai
QF2/i1G8i0f04DR4d0jaKGhe1ZV+QoC6e/c7SCqEYwxIUdUowOnNCodTj29N3/TttnM1+52n5N+x
N7tO8rZ+RSZqKWcpg8pXcVCLJRLd9rs9UsIEvcDOLShx0gwUPnRVVq7jDKVxrOay13BAFlmzq2at
zd2pn2r2E5jLyCl1mBXLDkYUp1voLYdBNpE42hg+FXwZ80MEbxa1pyDXWKJ/uA07bzg3eorwZG2h
PuFV/sew0a0p/vC9cDwGBpzHOkvjjwqR5DXpQHsnR122wLi0iqcUTYLHdP42z4u0NsWgDcSSBhJr
vlRlZzwYUP9kKPJAaGU4gp+gVKjrqkx8dgo8tGCr9nzZ/WkRIKhDLakLznLAkaPRNPKRT9Yy3kyQ
dhS1Vra4+yokH6gYeq0wN1qTe+BZ5mC2AfxprOLU0w9GM3QXDUsPd0KXCfpexxdvcgEwqYcsIGsk
Q3KWblntudaehRyXoaaxLb7bqnt1E2thegCXhBq6zz53BQdviF3pte5z1joATwwtWBr8kusIQufO
q+DZl1MTrfOw81+gOVknr+pfgsb2X2TIrzzKdYg3Vkn7EvTgVRPkqC4enCclSZU9VLzwkhodgngl
+nXLKLXrza0vJ3a6G22KPMhQCmYdHMTwItf4CYWZpjbOXQSXZDc0M5U5NE8WfxCSNpbtL3DO7dFQ
YJlcIVutkTWrWkvRZOkxBV8IPYk4oYtkB5iGCnYaJ5ugj82TW1NwjKNXuw6HV3f4m+Ov8hxm3fBa
BQ6e6IH7ZI2if81rkwpUbz/KMZOqTqKX9lUuSxHX9m3He+BVTN0jHj/grKmHUIm9R33qvcdKX3ZO
B6F07njonx3jqnpW7FcrKPg7e/4ARaLTD33noCgf1DCzR34XcDHDWanZ4d8gsTMGVrZcz+IP3FgX
d2hN4zaq94HPB+D7bcI9HjrRutEA/3L4mB5+VSVGPyVjDAfW3vYTh1hdQXHlC13+vwbCIpvOquhX
bu8gR4iZVX1ryr7f21hJ4y6A1djIN1/NrRg4IaTjdgvVA3+vrkMK2lb0E5K95tlXFUgls+FeP6TH
/+HsvHbkxqE0/EQClMNt5djR3bb7hnAaZVE5Pf1+Ys24Zo3dxe7CACGSR6pyd0siz/nDkEn5jqt6
ekgQxgEX40+o1ndUZwBWt7w/NoalgfSPDfSA3OCqejDM5MWfi/fb3Fi3L1454SPnuN5WjUGje2uM
4OkP2ESZvxRaVV0VfELNKdTE7SjHi1qvrjd8hZ7XaFCBO7jrKCoJxrHNfqZ2gfHn8hpWk2q8a8XL
AG+BX2mKksGCOQxhhRwaAyogRnMDdrLNTwCVOxPw1psY+uIlz9J/9SQ9a4EXqbklssuSb9mAKo0E
qoNRSlGvXAH96M9+aBayXgVdsYallp7UdOsVHtggM9nnQwKTLB3z5jlYMjx62U/H25+CF+QbLC7H
lzDPyxdYgtd80b+Mgt45hkUuN5PR2J8rD+mWBnouYCR0L2vXOpeNF+4xQhpgQ+cNiIlIfrJxAtjh
m2GdcdqaLoZvwCpm5/GWZ3WyaptS/EK62Sqn+vMsW6o0IOxelNBE+j67Y35TpSBh5h9q3/JWakoF
jSPPWbJJ88FxQwAGnRMd6n7sn1jYrSehey9FEPrIjgThVp/wWxNe49/G8IDr67K4dUAdk0yu3Haj
4lVTQ5MS1pDuZ0iiJ42HZdHkyLPmZFQzEWmP0JDbT2m5ONDZjn4sIhxuQzE6e+FSLXecsX5B5Lbf
ItKDPk+cd3jWO/HF7AaLl1beH5t8ai5z1ub7Fh7HYcr1QpCe1fSDOz0X3IM+QLUINeisrRBoFs5W
mjX8hhYxidXQBfHZcauTk5vug4pTTa5C0HhftU7t7FW3c5toV1i+sZq73j5bIdtqdaQa3bIZqyuY
Zbf5+yjJZMwJ2bIeqri29lordRjOObVI4ZWwt72xOkTS0B5Z22mPaONrV4uiVe274THus+jklMN7
jbTwCeSq96ia0Oyaqw7r+T6kp6H/iAUHGT0xf154ntJOnUUO7Ftq8lJatQH0KuScQxL02cUL9OhH
IN2fie3mX2NpOEj/RcZbrZcC2yWjWewVm23Aj/eRP7tkb2vJMxCN7ooFEAX+TFYfqbu8h2UWrqoK
odIBpSQrJNGWO3b03teTvanLLngwMKM42GIBtYI5eEDCNtqalt6+aUFTrfLJCn7UkUN2yk5DHggV
jmP+tTem/VD20A+TOmBZa/vvUSAfEPeTz9lICsz090D+g/es1ILHUqbvt5gIcFJo581adXPo6WiH
F9lOdb0hdNc5bJOT6oaz8aOq2oBHPJf3QeNlqfA/BSgSvJhjdXTb2n93zNG9uFoKk3uJMmZLW1ci
lTtMkQNzk08JQCEUn7Wkyx/QvSwe4Hvmt6ajPkcl28fr859xd6yyXT8KwDEmeX07aYGRRn58NCHC
Hmps7551nHEA3vb2jw4eTNeXv9DlkRgMQMGdzcDY+ahtngZWdA9A0TrQFZgjzyWGp74mf/V+/Egu
sPkS4CS5iTvpXKtSS7Hgs7CLwcz9k9thpaFinQj+ZNZGPwqHuj23ckmxF64oUF6KEovIe9FTMEl4
u5LL66fv0UJ8rgb5C2lofldWl7/NGobMIumcPbp1W8fuirO3NIBJAkr1QJ7PlZX9PaiO7Bxz9pU6
5C1/lZ4/71XvHne/jOuTZwolf79qVl3PSEwufe/fT75dWn1+TOKN7WRj/Os73E68X9yowmMnsBJl
yfN9opzyDM00emqbPlk1s15+ZRekb6A6QEmbSuOLk8NlQDeaQnPNRjPKtkMzBi8YUAGuCr+bgEue
ZRjjQNc2/75CDZfkZLqe/sWYturC1dRTbawz3uhJ8pjGBiRquzffTJckjOqqirDqRiACj9UipHXv
3mdVcDR17pMZd+f/+/l56Q64KKQvGsT8s4e/zTmTY5ruVD/GTQ37RB5aiA0th2o0DEFhNLpebnk0
sCN34pO7hKg4FSFmk+f3YuA5V255ZZNqH2b0QJy0Eg9sZ8XDXGYO+oUU1HSy3xc1pmZVEwmslKbI
drbuEnyfGKcCkZQI0fA+Tl9a00TPqZxBj+dd+lIGTvqCHIyxZisp92pMNb2kCuRSU2mK9lp1bnlq
W3/YCxn0zzVaJeveFeYHOncnwO3tX7hewD2rq292Az3ADWrx3LRWsW8HjW1/H1fXlNfBdiSR8JYh
bL8y8mH65fsQYjjbTrTveLi5PLQ1G1W4oHkILXCAJY8fHItb64lsB1+xt+2vTmxerT5u/3JdnJ9l
WH6PbR9Z4GDTJiCTcifW2eNxi215S787YOdPqEQLtESrpHhEoS1IaOIKo8IA7M2hTgx5ZlXfwG3z
4bwWKGil/oCcfuRbj4D2s+1UuP6Ly56Tn1lavwelO61kL+OPspNfeUCnP5OiPQRCO0+Unk9AhsSl
NztkvvT6q8jT4IyihLhUIAyEl6NC6A5YZnpN+xV5h19WntlPuh6BHKuyZBV7bvvV0/weZpxP1oXF
+mdN/6LC6xpB7K4e93YYWVs1hEP1Sw437SWYpu4hTUOdWilX7pE0pxraakcev9uo1vleNXqiLT5A
O0jq6asbeAueJky/pcC88JzgPTf2OmyMKvyZxYgzNaT63yhMCUTA0+lhAlh4jMFIHgdR9nhsac6W
7IT7hDWx+9QtJq4IloEnZUg1cLKnFUJ+uIktEbkQ81EqgoHl1d/+KwXx+1iV9gavIFSupUZlyonm
k3SB9zc+prh/HIXggf8cG8K9xxtnnIOvoGjPMa7EvzwQWLxa8w8vRMosS135BKfJOOCL4B4KN4ie
4sx0+cse5QFn5nmdk5W+RHMaX7Q2kc3q3l/4kawIg3gnMg+Z9t+BqTQJ9DMcryg093toaPpJG+At
BmVsfAra3HlkcXARsa2jbdp8iXpy4+BRDcyh648qNREKWSJ5yRjYeWkeNpKVcYyn+mezPNG0ug2u
vSd/quebnSfBNWVOw6YKsEyDkH9ktTuyCNkOOEv2Hog53ca1mPaq26NNuDG9Mj/iz5WydUNvUvNz
AxWFjFKxOgTkxkbNNMsDQi7Pogh0QEqTh+q992YbOHbNnv0aprrzCr8o5z8murMaazHX3Od9l2/U
rD4H/tNyQpG23qoyOkyX8tqgltTIdc9/90cQfArdAj0FOFSroknFS1KhRgQFroB2QijUSVCW8Jl/
h2ZmAbWksYMXW5fWflhC4yHkzjXiky/q5KwasP5/H6lupsXJORczqMV7jKFvx9g2TmydGFchhtD/
Pu0WrAbvZ6ir8tevLEmrdSw1ARotgu+sR29ao1tX1RRjiHG54xbhzux1G7yosK6c9fe0ilFjfkL9
gzpptb+fbAdZdR26L8mwmADMGE9bZTAcndaz1+3SxV+Z3wxZ1Y2aNTMj22NO2G7VbGsYrC4gdewW
3YJ30LE5frxeu791q6neaBhNIRoLCyCxMGFBBs7Z+bIz9q2OAnptf8u8pVjHuubIpgc7hGXYse0H
S2Quhj/aePGsdFzrQx581XMDpAAGG4Nm9udB65LLiDr3waqtB9WLEr9rVkVrJxfVL5cjbN9j1Hbx
B5X4NVD71HQUaaKT6vUiYWWpDoUcMEUx29zbTfger3KblMFGTalGA+l4bXCz3WgTyuIhskAYfi+D
anr2uvh2NHmdvwqKrmU3wwcmRanzgEVYOK87PJdBf09n1fRY7Za7GdGhs/Qk6K/AOCCuQIwaUzF6
E1e7JKkEZB2SlzyM+ZNc5CvcLHe3fW44+2hRuXA7/b2D3v2UYTr/6kUm2qcMI1xXHg0EWjfqpNJ3
5XrwKEGr2TF4nSH0vRdO3108r1zpqUOJpHfNt3H0Z+gqKG/cu2pW0VnVbBkYzDrh9953el5ubbuG
0iw2mcvC0Xa04Vr8PlJd3ZQtz6FWbO4Thu6BsrTdGQZ2CaBrermnJVSqAhtkE41FXLoXkodKV6hG
TWYI3apJ1TNiynU3vmGN6kZhFtm5hRf4SZ+abmsYPgocoP4+4ekhju5iiKZmEVcLnyKzPKlJ1QCd
33iGNz6XCZo9aRzzh2GI9FxSNEGS2H+uQtSj7CC3oNZ0zntiTktC2HqORSzenPmoRlHnRIuXAmRs
Rs67tUjbaLYTosnEKVGR6XsYuPV2Xrp+3iNS2+B6rGbxqf2OEe14TiarvqgmldhAbCRUyIsRLp5O
dbavlp47Z9reaHHUkmJ4au3Je1RUxaXXGRDHFVOxb3AJHt2NXiCE67mDtkH0C8V77JguPeRx/paG
Cmet+kXJzghhXkfKu5uhCNMRXPOS2sIhHrPiRaGvy5sTda7mzQ+WlQMY540+frJxY0dajJReVeVf
4h4oLPJWDv5QZ90DOYgRK6nC2enXnjnlG4i2Dvz48kg+O/jFqvJ2EA7yjwO8AXmbf4TOsDgDlkOB
2SB5mdTVEM1ZumgDe6cCqsDRlMM7Lq/53g+68Fk14D6KLXQJewNmB8dkdwidfewC0hW/Y2qrC06t
nn9xyL0/Z9INnwW6Lg91rK3VRe6hI9ZgaMJnj/dQszQ+JZ6ozvcPrXTDXulTnh7UmIoVw7Kap2i0
VVfTslnCLO7DnReTjcoquwYT3vYQ6ucInXjfOxcUAHaz6+Fbx7NkPdaLo85sfuv9yf2li2+BrAEc
d4BEtbCS35pqxnqPZf8nR0evqSo6mIGoHB2bCV5q4y8SrUGFS6znBK+QZryVzJGNC7zoqieeTvKh
+uTlXfKXbrcfYUDtZER7ZKOg4YYGXR5BTyp5C1I8z4EQ+nY/bUhgmY/dNK2zRMOVZSyL+OQFCQup
UMNsjCcXCHTWz9gIJutJxvsoKccHe8kMN17D/h67D9VLlvRx14/dsVo4gL300UtZxiYjqrfBh8F/
DxKpZW1GJAE+SJLwksqNH+x8eOWHlXjKAWSceicedkHXGO8olTxlvVU8hshdrCeDhxnvgeJiJF76
1vtQ6Iq29I7joGfAqpxxE02WzV9GQXfEqsfMfLFVs64P0KBGHgxYfiy2mMbPOzQIxEkvMNMoZam/
1EtTJrGEwci+B+XncOMtUkIwP3gKuPrapPzyYs058hMJEjh4y7I0X7pqIkTf05RCXN1+0l9Gc3ZP
ZYadkoqorHUC3eml4I29nvu+Oahh1Nup4Jh/qVPUVXJu/90Atfp2ZWO5fOT4T8Ls86uKkH43njvP
/XE/KZTweSwPsb/Ig+ccxnl+As7er0kMRtz0mXiWRvajQsr+YxhRuBNlql3axo34nvI7SJ/xI/Zx
3rLTHhxB4mVoz43fVHyKJw5ry8ndToiVx5nnncdFFJ26bb+omP8+7Eu/OSHLs0rGBhlzFXkPtwxj
3o+l92kyAQ4kHpZG2NKEG0BX7SazhxZ9JOVs1NQ4Lmo9eRfiTM0CZdBVXzOAp4cwy70JXUX+GHH4
RcUSvdSJFUpoXak7mtfAkVBMOl1Qqat+5qkHPCDgR7BC9+7QD98kXhe/eG+uoEDY4SoISXD6Wfod
UMK4mpEUfqNiFGyspg0fRVRh7CO6+OQMjneRZEd34xTvKt7FJ3tR0xi7bLqoIz8avZPvoDLwn8fH
VkqWyah8r/zRNrelA/R0QiBp7Zqmt+mcYbg2SxNwg0xw1Dg0IwQhExMny0AmW9uPzTcSTM4ucGoM
M5ckhi3RCSVfPd5me2n7FIaS4dY1xkjstLStUcfOUECu2JFP/vACReR9TIPwYw7wHddddhqml+fv
uCntbK0LP0LMnUkyU0yv+uLQL6HGqW8t9yu7bmCUbDp36gJLWdYzpfdmNpOPI3rWbdQFQF9/GQzo
jdQXX0WQOziM+vat6Qf36Dl6eboPqSMrGp1r2cr84Nbtx33yj9PnpJ9Xg8FC6o8JdT7IcesiepL7
/3yciqL6oO0HyaKZnKpx1CccxKgmIMg6ucVzUmV4sGjVB8/v4lk1c5knF92dnu5DOUvl62SlR0qh
IMCQf3BgaiMxsVxChUX8jp8SeTvnFlXZ28YJTno7aZ+jNHLX+qKe4uuh8Tql1lOA4+IH9iU2dmVI
dqXVFL5XfYwGFuMZJMNtMOkY72jz8CV3fglkXcDMr0db+l/RFmy34BKqY23Hxpeue4p90/9aOngY
hvACdmgPeF+Lpt05BlJiiG3EZy8mfZwhDLQILiSfxrW9SFmqZrbGjDdx559VF8VEfavhUmOXGYqr
/AbVDzJhkTbzqqUPiHo7Az48/2tMBYYNjnxDH/brbI7kxY1rilxL4+RB2K5UX82oQWjiyGmhbAvL
hhg1oRrh21srxEroHquO7teDknTszRy/zOVMNX77CBVnBu1w7puH2xC5d7aztmahUW7yXzIm/d8f
pq4Azi/CKyeuMJfgl6auouJk3+ebaMiGrTEmMKAq95vltNbbJJ1c9VQtTPXgvn/j6WG9UVkqjqVb
rSmoxOfYENG5g191Vl3VeE2iks1MF9LrNwsq4KwP5ufer3A3LKGt1WIsdlGQw39YeGv65JhnrGI+
K2DbDeP2L7ibbmfdrpOL8p6Cv90hbn0IZWWs50Mi5/HCwwWjrEkvx0vlxvqKGjP2k8uMGnM9f7yo
bjEFWYcHIP08m50d1j1/qQnVqGvdu3Ms6tOA0fabnLL3Ahj+j6r3kOeNxl+Jqe/TeMKfqeuHdTzx
bxW2WNR6qHBqyX4CY4hzJori3BmUUrxE7GYrt58tqVEuYXP9nM5l8hzz0p9s5+k+UpT5vjRq+wpk
oA3Xvmd8ljyflOnK2sgDUto+1EGUPc1HS/PrQ635+jFK2vCBLHq+jWMp33RqEKuywPQutfFt0MQm
jqDeca8m2MtgZBS3WvcejhrPuIw85Tg0/btbwG/pReNt1GwaJu5W4KW+U90hnMWaDa2/MiKn4A3v
4+Iwz9lZ1zMsYZaj/3ZMTTjLGeoIN461ZNdz/G9PVWHSqJJNyM/+kBR6toFiZewVuiFvkuyEzgS6
TAviwXFa+Zp7VEDc9JQYaHgb2rkNbO7AMXZPgJ7jH25aU2pCGe+LYxjJ2pxtAIgTGpjTOEJJAKuz
MvX6JeTXs6Y+OiDRvPiUiYpMW4Lp46FvQV2PS2M0QUxprM6QPNNbTC/Z1ubkaC62H0zPLMtnlonF
FosW+2Go+mofa5q5DsXs0G0uJEPm10H3ple/Q3JFHz33rLoC9c69GwpsDJZZoYk9qtYdWgtW8pCU
BlCJNkDAlqYavOQ4UbRcWX7Lf8dOqmqb5Wjd+VEcPKtAc9Gwza3aO6hT1EScylPZBPZV9XBGoNyA
CIPqoTOfXw2nBDmX1ac5abMzysk1lcdwuA6jP4G3KGPcQLt4ywbOf8kQR0ECtRJv6Rgizmal8qs/
tL80ciPf+1q/ksqd/qJMA77Td2JyP1s7CdFt9WY4IVmQ/Bq14XUqQaQ5aYawWVRrn8fltzOP07A2
TVs7dlgaX2DEPjg9+gKqmQcwD3nQb3Svym5DfoP+fwB24J8BFdhIC9/Z1keSgXHycClYD+OSWEja
qwA1ngT2N0TEWDCYLRKCMOIWMNLaG7z5I4Tks60tufys2+bzMA4QvBh34wbX0Lguj2gbx5+tvNyC
VeyvXad3Z9Lui0dN+JePKBCWaOU32zLqtYPIHze/F+zFIPVja3Z8sXxsNkMYyy/s3F/KYgj/6kd/
Y0LQOEo5Tfu+gDTnU8Y79+1MvcCxi3XtlilLF7pmYaPz08zRUXVTdq6Y+enhQScL+5Zb1NRwPI33
qtuPhtwW7D5ezMCNNi7GS/sxy+2XkR8DAIm16szLyBwk866cfwo/5bE5CsxdFwQy1TSfdBWZqkYE
JbUosror/rdzv1JByRIJtg0cp4uAoRqzgyCtN6bvD+iSNvgJu8ipxKLgx7fcSuqOKcDtrt3Yrfe3
+0mCTViRay6Of99fnvclT/kZqFPUfein5rGNYS7wAOMuxZ0FP1Qve1LXM+eyfPLq7/fbsbIdfeP2
GQu0wnrUpgBzp6I/2gYczlTzzUc1Xk9uvA912PHtEnYbW47Krp7XViaC7R9nsPlCtRo7KrENoFdf
PB3vYj+EbfW7wVJqNbth/KjqAGrcTdl9eugtHdnUSY2XlRQbYJRio6ZVDQFMCB7omoEloIoBHhI+
etxlgwYeeSgGbW06WJIuqBRsJtGCpgfKwnorwuJfvd9zrjuzBP/e5TlmJdEYwlKAy7e1NLjuaeCV
j4notROOB/66z4bpi+t7NftP3t+LbsJnJPhifKq/qKh6iRr/c9RgFO5nvdqrk02bHa/5cxKxduma
XlwKrAo3wEPNteqqiYBSFFiTzBEX/NWJqYZ6Z+Neg0PkxDZGRcbq8DZvx8HBHrBvWK6ozqviDD+A
MrO3MB4xwq2TbpfZSfbRdvjZ4zT+jjIKDxEopFs1nkUSrqCdfHIbQ5w7Mw7WuRizj9Arf0qR9SjB
BclDV6RkBdR4PbJzy8CPjIbVPyVFla0yM7vA4h1OGCePkOlpZtkj6o4CVOwU099DdoWuP4jErYpA
aGYnF6WcvMTJs2jcCZQG6vNJHBQPwNSaV61swn0q0NtU3dGz41dQF1hGEOpoU8KCGkSMmmw99oMi
dp5VL4615lXvswzpSjSD1ViOiwLLTDCWmfqs3Gbh3SFDnHcQtX0T98jQTMAN+eW0mlGDkGsnyL/K
oG0vXS+RbBmLd8WMngrIP7GXPiiKNFbc+dOUNGKbeYGz7nQN4QAV53T4yC1xqqeC73FqTHGvm6h0
HhBTxBSNQpmXviaoA3wSPcZmLfjLcwMu4BNiJfWuoNK/Vd3Rr/SFE/BL9W4ntOw0+vTVH4ridnbY
V3+f3eR6zZLFlgi/cm2/wKR9OdvwO6jlfG5WFNnrpPXOZowG+DlVkB1SK2YXYENQEo5WCBAp6xG4
xZMaCmasTPl1QYcthb5X3Yzv/NQE+PJIb+53djk157n1mrPTaYjKqz5iwhNMzGVU9TF1AW/F/nd7
H4NlZG8Sy3wx0kpickpTNUl3rLPqxU+dRN//7qpJFWb2gNCkHw6bdNEpccpAnMdFwMQJx35Thdg9
/zGhun+M1RUe0Bpb4w2sK2eLdW30pPXp30dqTEtk9KSOqAJSFYQg/r+Oo4AdVE+xNL1dEAkYi35T
6+syCbydszAWVaPG/CSbYKOa9qMeyeF50nVk2HmWBaPfq57am6heEJrgmHnq/Y70m8B/iALcZMzS
lK/DYNQ7z7bcjZdX8jVrQIxS8FBz+hKAnOqwcTTH3qkAjN7qR53Etgsr+jEf4hcLv4E91Q73lQqb
XPUid3/OHiD9ysy/B7Wc12UB1jNOO++oYiOn9F7Bu6N752Xezy4LVv4SG7pUTlUsNaV0bVQyWdmx
13zWo2rn1YP1Ws4ifBGDfcl62X6mzmWiXqbNoI7zJ9fUhmPadcgqOViXRiLbqp5qNOi9z83BcZz0
+T6aY0fbWc2MLy2nqSZ3psc2brPLPTSjoLpC0ES7XT1eYqWO6+AcATK4n9rmqVjXGLju7mNeLOwV
zqkQYxr70bNsKqViKZI66jBYKqSq8YaiP5R69GhQi2t2ZArHFkXBrp/s0zSlYidLX7xYsbRXBVK4
P0g535CIXiU+sEyw3vNqirY5kMtDMdgHvfLrS4+3WLsarW4RU1uyBs70z2CrptLWjrfGYgUqhJMc
uh5/WEPHMb2u5z1rH1SS4OWvkyJxrnMc2g9UXrBGWiYwjr5kjizf5xRvTINFPl7Orb/DsW/6cId1
7lrRtwo+zc6C6HbAhQyZtTzlMZXH31wDZaQCINypnzVy12H6Wjkt/KXGaTd61k31ewalFHlWCqFj
72rbuq7t3WxC9q/JinyYc7HLILG8W141H9V4MheYZFTz+9C6i1Y0sLjImU5A2gyQY0b6YehUfoM6
RxkGVyQh23GdLC+/QFjQK0Z35EE3aQ+DpeEDtZwwZ6inUKdlC9hwmw2R9kONNy24PReJoXMey+JT
7FrXqgz8M2p2WM+NzQf1MPfb8M8BufzbyO+D/38MX6sErT/jb1TG1PzHDhcJ7vwKtYzWzv/Vu88t
kWpOPQf+p/NqImvbo5DmAunA26XeDF4ZvLlODLlNs+V3WUoAnHMeQWm8TI4l/qqn+nXmO3yIMCcJ
G9bt1WAPvK7HYcceZLq0yYykYiq75DG2NpYcpse8z/5ucFsDZYt35C1KTWQB9ntt8+4DlApYnsGC
qbzy3FFWOneihMqJpXJ1dszOQtR2mVLzePPm0GaWqak2+0MTp4db+P30e7S6mprQ8tk5xYDfUUFd
BBR64Jcsp1RXxh0crGUinQz/aIX+J9CnOejYf8Y1yzbI5mlwu4i6j6sugAQPrZIH1bk3Dlo3ekyN
8T6kjqQIfw5lKwC9cK17E/D7xsIPtmjsaM/3cfVpVoYgIoxI5/YNbhdavl6Pjequ0WW5VmNzXQUs
h5NQHjDHzW7/v3u0oQ0XoaMnbPPSvcap0E4oVLCtsaLgtZ80aEeNnH9ZoT3/koXfYDBv+K9oReu7
INGtXTa5GaljHx9MtoV3LR51BGNivCo9Hl2ig9gZf0eoSa115l0s0YLolEQP65XbRQoPUV4MWlH5
+X2umIJ/zlUiP/fLL1f277PqrC4J9uFiQz7lMMR8K5IHW9fnVdlkLuVCcmTodGMgp1Xmk76EqKZ1
7c8Ryb3TfSgtx3nToXCyVWPqhCkZYipsSNk7KcmjxdZiJ42xbx90TXc2bIJw+bRCQTIafMNKHU6t
2e6HGMlxakFYmVS9fhjDGI0mpy9ffAk8ctDtcp3FttirEDWBjAAQUTS+1VDUj8gpT92voRv6NfUZ
FKAs8CIdpALyi+IpdFvxNMzABe3ZmY5on9gYrofsgVoE9vAqXPptIK1dB2JprcLl4seeYDdwCnP/
+/0yOfXnhzaDgk4p4iisxWETDU8Nrqu2sJ/+/kg5BOMlEfJYJr55yRF9AbSW8o5Sh2owRTqOqpFn
r9JlWk2g5DOUm3uMB4EP+1O/QZwWPRKNzO79gvfT7mOxF54ns86P92uoo3us6gryOud8QUAvH30/
/R52H3PJMu2r1Pt5j/UjqENZyirRzav+qiNBf5Q1VZ6lF5ugdDfqEFk//1zwOvxzQvUncaj4aV5y
GIzjLeR22ATVbsCJ93Y9I9f7q9PZSGKq0xxrgDycbewcb0bQYf1VDatGxaqxfGwTvKPxHPtj4t4V
EZRO0Upje7/Kvz4s0j2MrdIEA4PlG9xjnBaWwIqaV7zVOu+QjDGankFZvtiGUb7knkzWAboJh8Sb
0oy9UsX3nvUnFeIv0BXLFyR7MyFvZ4BWztnMafEBW8bkRTVIvzuBbz6rTgPM4ZRr0V8jQPjbfEsd
alv6A9Af+aRbHnXh38p0dzm63qMuypIR3bubXJ06vDf/GvxX6Lhc6Y/L/ZfXuOnmqc9Qh2GV/fNx
SgjPcouvlEa5Vyf96Tap4lLSbRTFl691u67q3z8x1LPkUIvy2Y4p6OgJfAsoRN37zEKmWVY7f4xj
MLHLFl2sP8bjwvlzPErtfp+10uMH3oIAQh5vX9bal7BJ6P1uIiRFu9XQywikFY9MJmd7cQEFFzvI
RcS1VKcvE+pCtxNUIFLsaywb2/1ol59m49n3YNIHSG9+SmBeoIavxSdt6Qa9Oe+zEaRI3IXxJ3s2
YWJmzVlNWnP3q9bj/oJJy0NRwK5SwyactQ2VXWwJlnNcsuCw6aj/qdl+nvTXOVqXIN+bNfTDBsUs
UEJqsmJdxjYzhBGwfLrRzTq8ruEdFsvUbvrQyK5NjV5nbUbtxk5rur7Irl5lpjv+D/O2NsFZ9b1r
I8hhNsnaqtwBJHxTHG/9TEPBAHEuaM0oIjtUa54m++U2Zyepey5t+Z6aKDebHnsHB22sOjYWVnUa
fKplVD60c/d+602p8eKLdK17Q/ApnpGsF10lceNBnCQHZbcuoijGKALtkqGfrFMzwX/FcwPVQ+C6
qAUP7jP6ps4r6jHOGhhqfFDnquCwy0kPqeARpRIVrC51DyYbd+0wI3oIOkTPbD+BZBFO9qODhuU6
YUvww1g3tRb/ZBdQI9xmBI9ma7cnE5WWXYA3+M4TobHpYs07a430Ee/iCFBJxO04MIvUcnSbFpEA
WjA2QNY9LA86WNHbyC6WPFooH1WjJsqF0ycc0u3RVBzt0MeoMYWeOE7GPtMnNImSsPWPaZb/yDt/
gMtkT1/GWR/3qWsBxShBMFiVMKt97bbG1fD0ZoVLrrFrPRSVNrWsXNy+dG6DBY9KKahGezOIbnjU
mfzi3uZ3ulazEzyv59IeF6K1e5FsgFYd+5PNgC3AGQZr+RoDLEPUfPqgRriilK6hn9b38W7SNLkR
ZR299sobvE02lT/3T2oI33l7U7YYpvb+IB7zED1dc6rzH6XRbdIxcb86ZthShA0AzBTVF+Wr7DdR
/dAawVb1NOzN+v7Na/F6Dhdxw3FZa6FClU0rdZgXFVpU2vSzwa8DYVy2TI0+bbIGL5S0C2xqRUZ+
dAT046TKYXCB5HkbzDiDo1QHPyf+q6HFOr+gnmA4U0s9uZ/Whp82z0UUyz1mKwIk/wwtsJDJLmu1
dF/q41c2xwg+LY0DbB7fmuUQkdrkXCVdt/SFABkU3yYMFZ05iB3kJTXAZFnyjsF/EHYmy5EjWZb9
lZRcN6QxKoCSrlqYGWw2Gmmkk05uIPQJ8zzj6/tA6RmMiCrJ2iChCpCRThoB1ffuPbfQt6yd6vVk
kED4MTmV+z4wqUPDd3dX6hy760FX2Q9ZBFaMc67A9wOfmAz3YTcmj5kLPJFHNpXTRAtOejxmT7Hb
US4D+Oa1krQYx+p5COqf8mIRuM9tHJZnTBNveIemD/wUHWP/fpqeJXhKW4BUJhK4w5DyqZJDeaHS
Y33jI8BZcA0wq+ShmLbQgBQIE9RTVkhfpjsbfzkec6Nb43WfFi/9BNOvqPRVkiZvU9GJvdqJVGzy
UU3Ps8D7tNxiqvoPKIvtXo5sQUEU191/+07yqvzvKGr4ZqNM//3d9KhOz4NlfHw3eVuf98Aeyjzd
lUOfbocyjuGn+N1jR77VfeEqazkauwomQ+vjQSdf/aDPev/YBbZ1TJS2XmX9vJDNA/s4Vl1wlTfH
OiK40ghI23VjAmcH46nyVXLkG4jKJ8B8JHZILNcytHz76aPmJa/+7eZlCLU33VfzXK5QqS9FjaWU
8ad6BojKjUat+IgXpj7L6kdAWiW5udPiHRQ0DvusvaWwZHl4po0nUsN9h1y3+HqJ9CzQWdD7VLUp
u7ktnqSEONfXLiLM1HfeWksYz4Grhl7l+xPMCt08mq7lblWiovCv+caqJvj0O32klSTSub3yVlgo
I4V8FBjqMOCv991zin11Je1HcogDH3rKos6XQ/+PoZmo14+vLRJE42Oc9OtGicxdl9lEgxFDtxrD
0r2X4WDqoCCoDXVMh6Bd9TVYwvgKVyq8n9zqJ74N+hOxElObQfcuh1lU8ahP4p2SdybszagjoZ12
/tqJVfUjGwB5yO+hATT6CeD3iRKri/HkrlvSxoflIM+C3ER3TmCa5XwJdTXoDpHFi7nUrRTMkOiO
Ur+qDpDu5FAHovRFDiPgDUf1r8PchTEgMNKsZKRIpbTJOqjK4qCQOkfZEGpUaWHBl1eNhdzb7H3N
VPk8dirPDKdfSz3yp26ZDY9GsnjwhMIGyGs3h+jCaGUNWfjYqbV9cmgXPcjyKhpf3uAqTK9lSs47
vvMxJW9IF/fxcpf8wo/PrIEBDfqC+jYZk70WThHfhXVJQNPcQpMxzfqbqHYGaD6vVl0cTmuEwekm
FGgWHKGtZT6MDICRZ3iMcR/PQA3+dgEt/i8V2s7hcx49abDp45QkJhu0EVsPGhaBCeWSsyBs9iM5
B5fP+cIt03VoZ3Dyljs+DmMDWcPv6AwlS2pUaBb+efl2ZWM2nt/E31pih+h7K3fyF2ehMf4cBbNI
7kMygKQqWV77Y/TXr5vdOjn4PMlXuTuk6wa98ob3NtnWn97zT4t6a00PrMys3Viby6YzUN2BomZ7
lNzasSZ1q+9z3DWmekuoNXnsjkpizhziGqGu7AoUrVd5VVcEAKDZHBAhLlcnglZhMORsL5cv1gRQ
ilJVvI+bjYZVQlPXOxmJ2C0Jik4NNmmcpl/NMpLzn4fPOT2rH3MkaHt58XPeb+ppZdnaRNc59PJg
Mm70PcSXjjTaNJubRzlykOv7BetUOTJmqhWt8TGACC062tdTP49fQPzJOwqrna6RYh4taKi4GIEK
ikRDPb4cWt3/ffY/zUUjgCWzrjG1/+83y1t6S/+qs8XbfXyBZYtjTJaxaSoaXiVWLuCk6wNSZEIU
ijC7OXZGHGo3pT8MVFlWRieKNgz9VEj52kAh19Fg+kQ22fJFYrbkebjRK7mi57zRq5+Gqd+JPh+/
JoQJbFy79y96ZinHxEgpKUYmnf/oR5bmKnuLVn8WDdC2NuiKJxd01Ib8eeUhTDGfsIgRtJHtcWuF
kSBbyHJ2mU8fc+CXfIiUrDgmpRuc4Khre5a84txrPlmhnbnKtE594GN6HiK3vJNrtawo2j0oFyJN
kpPIq+cmFvnLPFWBp7AkokRlJyc9zIYtWVXxExDEelVnw/wzfAtBbfzMeKmu5jJSdziHs/XQV/MV
acirCQX0paj1/JhTcF2TeK48TzMQzJT/9lZeDZv8FRX/dknoeiJBAvVwrwdPZdiQ95E28WOdTP2G
N2R+q62OJdxQ1A+dA7KmamNMA5VPw1ettGswNjjbNN++6xPf2GqhEt2hCih2+qRXAKcKsXOLdD73
CIPWFZEGbu6XX+2w8CKKOU9trRl3gVkV2GGYL9PW9Qh7Q33PhpQVbH2NsSudqBO+amVD2AGu1dxD
UAUhE1LwTR7KonjxhRKc3YSCgAGT8LropoTlYGXBa+d1BT3lXZNb+n6wtYdmHvNLTHnkktlENqxi
N9fW//zH//2v//d9/I/gZ3FfpNgL83/ktIAK2KrNf/5TMw31n/8oPy4cfvznPy1TOK5pquyNLDjw
guYL17+/32C4Lff/ny6xKzYdQ7xuYA0fpnhPkguW2UyikpcDPlYyEGpygT7n5FmouRbNGepWkEP/
9SUW4n9Wa3+6t1xgzNDol3YGBb65NH9NkWrtbag0oWeY8A80Ft37oAv4MeqLvYNVwrBqq2wEPsKk
SoUV6JuvrtSCZ3ErEnhDyJo3cqiIWrmTZyRHG4cxtp5w7jkGMTD/utDotlejSYTYu1wwO9fdUBXU
N6Fe780G0ZQ/WNYD9Sb9vixJoK6p7BRWkhE1kz/Ka2GSigfUQd0+r4mYcUo3I62iNjuvrYYnIQo8
R2Y2pKzGgytmRGhD7SiuBkala+ia6lnTE1Ywuf0xJS+aQwzUKYqgMWpzReTx8hVh/trX3RFL7fyE
7Jb2bmknKOEbMF7qBVa79W66fYb0CD5rZnb6bQ7Cn1E+W+91OrSrHJLtXs0BR2X8K1hclZtRzaub
UIhLtMb2EZgndc0leLFrIPcBHRQneTHSKlzhIkblu1wldIltglnzAV+Gg+0WO02E7kYOxRhoh2G2
yPVUcWFRD4qRP1AIGAW/uzyOh71OKoGyChbLa4QiBhOr5j4jrMNukabg1YK+pJdRZHAT5OnH7KzZ
2UEX5S9fzP05L6r+3EYTbC16KUjuLV89pkU8PZZFPuGNUcONHLYjb7TcRrvJNbqb02NoJm+m4xiU
iFcQSwiOMcnbhOpiVSvbt78VY2xudVRXZy3yiz8d5FyYvTtO4jzZSgyzo7N/aA0E3Ik64yGsTReH
wOw+Z1OkeAYWp50cVpGRwVAe8pMcgl/bqf0t0+rkQR7CKk2Pkzr84m/OK2YbNhGYji0BJWLHBtZ5
VaYXSJ/t17GOITlhk/IMYDqv40DGZd0Nj0I9TEqMxCRWMQsqUADjGsY3nTed2KG0Zf239JfICFVX
VOZNLHsqj2IBRaEfc5iqpIyorSuwGJTOY53RzJhzdv9jO877mkX765x8GZw8+UowTX4sDUHy9zIt
RPWLPaJ2T+cguW814t7bZT5ViI7XU51ykFl2L1PXrjTR9Ed23ATOG7p/pFD+q53d/KbaY34TReJs
am3iqVxOxoW6whnrNn1JvABkzbr3hA1kjzOP0O3Qm8DIlqHSu9BhtovjMJkg3pJJ7fGKGH5OQfRo
z2Px7gRcNGujemksgaPf9rtzUJul5wJmCF0SxmwDJr88zIujGcr/U4ST69paWnXth1Ag41ASah5O
MeE8F+qWKIi3Qc+Cs+kXcbzBi0PXV023FWJLC2vRbcAxedOrip8wWQ0HOZQXYtGttdzW1026RA07
Wt6uBlctz4WfV2e7yded1cxHq/XLc9AZpce2Odq1BCisgYeWLygLw5VrXmMRwVkJjEMdjOVXnPqm
p0ZRAD3BFNeO9Lu1T8P2+xB/n/pSePg/0pM7xveDL9T7XtfH51b8MCyCMB28EqzBlPIObS94sinJ
t6ZRsgaJtRJKDRfkweiQeYh4JB8AOLqqDucehjZc0DGlh6C1G1t1mrfeqm99m46PI9HPZ6EPPohl
5pFcv+KtGrymAoAy8fS5sZSzt70IaYpqTnSTc2SChBiup2qfIpGh/Rx3OyfX8nv0y8bBHezvcjRp
/nnS+/ChGcL7zhrdn2QoYLly8vfB42GZTMMjPqR8uKv0PKOegnTH7q7zYG8MZyhvdV0lu4AVFSXY
uCF2AdZ/PBckPoNAIZnLLn7h2w/d9Nc8sIux4079kutsj5G4FpdarcVRB0i2Lskh35rJsPfzjo/K
GFdXeeYaWOIaZQo2LKKaGyVC5MCxXZNfa7qrJCGI0UhhE1SNEUA0EffOpBTk17ACmrJvcyacn4XZ
/JgqNX3m8VZ5JRWIi6oPkBUq1iBBHx5xLVnHcKZLK89Y51t0zf46Sft4l5d+sqcY9+7WmCcnIwqe
AJQr90YHO2QZySmLIAXWGfZZjiYls5ZMFsMLW115dNkmn+kwv80U3m4zBeCrYaXvSaQHb3Y9FRuU
ztmp1IL2CyQN+PpJ+DbUGbEu1P730CmjImme+SmeXaMrv5ECFayryO2uPRl1Z+wfRLRnY/GtIX5Y
4/F7EG1AebmK9bvIds+BaxDjuozi0ax3qhW36xZ5sQegRtnHZmJ+VTJj06BM+xJWcXVJVRKPhsis
XoAobMpgRrqTaI/yENfps8Pn+yJHbIvnLWEH1iaqqsdpnNQ9AqXiHKtdfp5iM/84i7CCUUS32/PA
xm4HjWvtdGGxLSOSBAI1T89a6icfBznMeatTAVsmPy+bxWBs3LxU/n5B3mdkQ0+ORa8pFGmVaj2k
/AE4jlXv8KcDyO8ovVxHd/qm0F86fIzqhimr1VdpXY4bl+0B9RyBlnOGGGQvQ2lkrmpbnNkPsJha
igrYvX4PpetZDgcYnn+/OaKluTFJGNilqFqIoTdfAz1wvaFTZxahtvGK15EPHO8Tx6lWyVJoTxH0
HNgZIJUSdVJTJ94naGsf7aVkj/WUHOp+Wd8twwmf6pFoaarX1RzX63G+L7NG7MthJtOXrCiMjD7c
guUdSRjpi9v7+dZvY+h5mGTvFNGOd4gDvQZM4cl1CQGmj7dcHdnaxnr60FdJtE/JDCQufaxfsLA9
6UaLe1ifpy9EjVB1jOuX1C61i6nClo4g8l5du70KMmxqHI+9f6r/OPizySZJC67C8DrDUq8ooLWH
OA1exs5OXiHkmZ6pA9mSwyXrgX9W/wzuY41srGVl4i4PhD4luUvp7z6GoQ4gMAXjdEINm1O8isqt
Bdf4YiwHeebqzgoW1XCSI1WZ9GElT6mZGFvbAP8LSy/bV6H1ZJUmiRvj4tLPweGw2AqmdtuGzgKs
ZXlGyqbYfPzWTcyBSYI77eMzsQxdcIdH+YnB9fB7+Hm1cwltUPvGJO617Z7iTu9BENo5fiqGuWbG
xxLoB+kIDJMxatBAstC0hjUgNfFQL+2gzomGQ9OhmykGfA1LENOdatFBbkyeGVHrP8xObAQrZQm2
AgIZKso9j/DiDVB7sM6rZHrU827yCuxEF3L8xK4lRQJhQHiDpRDvBlpeJx/LOmoYe7a3jal3e79z
DnYLoY9taHMvKgVMEAu0QuHhIFg2eLDHlKs8jFkQ3PtjsmbrGN4lUQwuJAW0tm9KmkVaSqsOPjyu
o0rraSo22QK0ibdk4NrXpDd0byiU4X7GqOQ5vh1Q4Q6JJ3SL9r6aI0goTRJt5VAeWKmhdtHU6+eU
0gFzwqK5V0QQn/MFgzI6MEEGJ1G8qTWi87Ac5Jk8mFi5vRZzKCvsYD4qjTEdTbWbyC3811DOycPn
nLzlYy7+auPGaefZxdQb2BT2gQm4Q3bu4fC94XbsvKwemsNgmfHXDnZMR9/mTeBx2SU833c2QVw3
LbPJuowwzgexv5+6nEYDHGSWpnSa7H4M1nJOHoShVffGA3Dr6lziTdlCHdglPXujMjAjlHwO1XIq
jUdW/xthZMphSFpKzshbq+PIh1vz5OnHOLJqPIvLJWQH+qZ3cbKcnCKZaHbzH0GpfB8NpnhObw5t
iWfs81jtAuhHau+vO5FPL4mh4H1QMtoTNio99G2buFDbF3ajCQaKyPbMwuhfQpGvfFzD8FAoPUdJ
SGJY3GfURJn7PPz7OX0Yvox1j8ActSBP0RC0gw+ijpKkzaK4GI6JU+FroEc8EAAPpQ9gVMUfPCTw
u3IS9nnoNCrtru/lYRHsrLhsaSVxANn4+0ynnUfZLGdb4zqmsutj96SafeyNSrM2FuN4M6m0CLV4
eBBFM6+QEjffK6Xb6V0kvrqBpXl6PAQnxSrEAWzhvMlys3vss9HZ27oGTZuQjsc6apjDCh7ayU3X
+vISxYb4YhT8EorRvsmRS72jBvHwCGDB/tKMcF4TPX+q+HPetRaGZp9trFf01XC0FcW6VUn6syas
/T3TjHLVW1pDZEI0n5IqMTeEDKZQ7thhEdwCpU6FPkKpMPBYPNNqXua6MCJ8c9bi/SS701BYn0qr
x7NqF0RU+o5PCxl8v5YT6dgB0IpV+6hD2N80U8P3NTPDG9F83FW5tlHjAmgHK5BxTv0zgWjj2sjK
fvM5Jy/0y1V5Ji+IBMr/1GLul3P8KHzPYFWxL9E0ITALovcktS1oRySpNHVv33V471bWcoFuxa/e
INNaGTtnHeHcwLO4rPHkYeoczoqESXkaVqPXOgEx2ARhrF2c2JuUlu9ZB6R6NpeDHGpQco+qU8Wr
yXqzcLa9OKlNOdQm1lMOaSaOngVpdi+Ho12+FSDc7wfibZ4coJtyWgU2ejJznXALNbJfnKmd6B7m
ewAXBs0e+DUdsdsv4YgArO/U8vvQ8AEfM50IhcHrFNSQSHHKyzgnznthK/VKQZx7AKBK3kNQtkeV
jsTHAWjT77N2Yl+1ilF0pbNi7kPNaD5ukWe1vPqn075sI69Av7XyWaL5cUk8ugbL0BUdO9lisGBy
qtq9uRwCx8i2pBrR/xU2du+RJBk45U9lplrntg6tWzhCQyEvMVzRKjdvaPvMG+JOrIuw1A+syc2b
KPX6GpjWVl7k/6t5BUdpHBzTLK4FkKtrXvf6ZYi7VZyYu17X0qsRZv19RhjlPb8IKKdx5fT38kxY
WriOqAXuPuf4gIOtZNkPBOsvN+tz7WUw3lkqgFns6FgdnHl8b0onvQnVEeeO0vi66MrpbZkHp5Ld
wMCKc4TIGjydPcr5Ehu7l7GDA8KAU48oBR56ZVMeKCxbx9pqb4n9bS4in3AMp3kgEEC9k8CYqqHz
D9DBRfMObwaMBBF3fmps4qnIngiyHGiaH+yuKzc8n9oX8qSmTTvF0UHXRPtiVPEr2UT+dXIcnwbZ
q7yp10msiZ2R1fbyNU1oNDtDH21Pfk0rShwmqdmePr6jWe9JHI4fqakXayfrfobC7I6fB+T5fx4O
Q0hfLR7+21wWHw0lmx6I8yJiJzAyXlnwKazlUHbsVbT8pi+UCa3U9F06o6GIydpaVzVFED2akNQD
W1gpJHUPeSx+VlX+IoTTvSY8Udd+UYvHeUgyzx1M9w51SsiupTVJAHAUQEJNtzWMaUMtQefZBceK
pLD46WM4CjVfPGqETrFbR+5jE1698CSiBTIhD2EwaLtG6DCYRbPoXRL+YMzcftfTPlmw+M5DP1g4
euiQbKB7Ri9j0iDaRbI6hN5AGYzuOdK7tu7dh04jKsAxo/5rbNDtmU0FmivLg5BV8n1bOXc9Nbl9
WZNfMBPAgBFjOU1C1rfDFANdCWcSz4yATqC+mN1zchKXkTBh3mfQbtdyaOiNcgujdk+B7MLWT2O9
PoHPi8v4m2pZ3XEwfcSay8HR2RoYRObsGpgju4j6izeLKVqH8M+e24YFAyu/6GuqaWhW3Tl7HSuw
oTGrs7dMzX42VK6Turo1oV0dq+Ugz+x2YN0gT/HDcyovwfvbE98sdvZoK+nKqRPeS/LUVe0exCTB
YnA5yb4IK+NE+OPd6FC7bUcACaymdfsYuLlzJDTNPn4MYS/uS0sQKkkdSXoJ42aaHuzBKS9NlZ/k
SM7TL01OTle8+e7iGZ5FnB5Gi6aUvhiC5S3z0De7gl4rfhAMYEY/iyc//pIpBZ4QF/OqFVAe6hTH
o+pk/ox5t6hx6XyjCPJt6N3kzZ9KjPyKJTZOXweXoNkXTSledbKRd21pp0AIhfbGfqPScRNA4txN
+Pt2jTkpryi+gNBESKGbB4swkJ3RGW+yFfjZ2vscyrlRrV8GzYk/mn9ySt7x2QYUFokr/MS/f34P
8lyKFTyNet93ODLtiTzPtsw3teHM78Ax9bWdaNrVLF1BNF8G3KQ3t7IX0H6lk5Be5TmGUR7MS4eg
0Z6UsKex/8eMnO4hCo4DqiA5koe6w5nKM85yXeeJtUzrdcMwbtWxcp8sQL77wq/zTVCNlH77uTn5
rjus5FUCY6trbdBLWi72xGg+CrQrtgJDrSkw8CIQePi4NuMhKBPBemL5r6TEhq+TLmgPRQr/I4it
yYPEUiGf4kD+RnWigf97SP6xvguc5iLnK8Sm5Urep/nGV3Bpw76nS468WpD0sTQ45GGghHNX6Jmy
s/o5++h8yLnPW8jNDrVxvvvbNDRZmnNt2O3+dqE2o3GbJeThygtVjPR6GtTqROB0sakJ1Hqas4Jg
MiPuX8rE51U/zhih3RiLsuZ/13PlQBsS7EEjCKaEKgXkoKIjT8l+ZevTVt3WtmV/45HQYRPWSKrk
Y+DpSq7eJTosZwMq18EfdPfigmTzRDNlj3UwZPsERPwlb/CCrPoFjgP9UNkKgw6M3fYCsiOX5QV5
JucGA9BBpZp7OT9jdllXYQ1rXQTNnTz01bRtLK0/qXN29++bbJb99xaba6u6cIRDj82wdMP5a4sN
Yj8ga7Y9a9BA68TQs1XXDvlxWjS+aV8nt448YaXgQe06CfYtHbuIX35rfYGDqgNyasWwtB1lHInf
5kKYPaRIk9/5X2sgxr3plfqsNaK9GBUvGYzIwZuhDFs9F0AuozghdTpJPdbj2VbVDDWHSj9CSa1t
0m/V+KCUrbhPemWTOHp3xqhJZR4I7UTvJhcb2u3zOopVWk5RkOxc3272kT2gRuUP8zRV/bQzeVRd
lUhJPCLvpz1f+hwtJbZkOdBmyT8Otej7XZv7XxTSBI7//ofs/L2PaasQFYG8WJZg2Wu7y/U/9TGD
Op6VGnzFqulTfv+fTUz2Ojs/Gwx4KH80NimRYPwaSblQWoCzFMwKbVa9zg9oCS1DNlaALon33tZl
Yh6pMThrAjmAJU1O8xTA5+Cp2U2HyC7Nez+vAYIpQfMje69dJfyhmXqxbnStRB+SuAfVDPxtoAP9
Lov6h6q2ys1qeLNtlUB/obepneVhTh31bPCjOWeOGFHTQy+whdXcRg0crDVACJFDeSgCS1+FdwAp
03MPZ+q5DjHOq0PwGsyusa81VONG3YSv1Hq+E4uiIQpMI1Y/4IWWu9i56fDioeTnMEPX9FrnfR5l
44M6ZP4qCprhR/3eBaOz1UQ6baUQgA4JTPmof5AjXa9JAFYADOJlCB59DUzdv/+dGrZt/e1PxzY1
OCguL08UfoZm/6073ft+GExjZVC7uOvCMP+OcAUuvNuO1z6M9VNQtKmHQ755axpi0Jc71DD+rpIu
n1YOBotI9b2oc5tLldt7GemgQ8M86Kb2lhch8I3OHVF3rsHD6Q+QneObPbm0rQL7Z+S2pH8Y4kWX
VltlIvwkdMM/tcaBeZtUQwZrC8RwvFjkk8AwrI0N8albqzL6kzWm/qJOAhi76gP+gTyjoFsJ2vvW
ElFY4Zi9jKQ3DxsWYiwvx2iiPp5PK2DGoWu753Ju60tGEfPS068bSUcCd5BamMdNcQqSqjoNdMtD
TzGQXYe4uq1gE+lJQzmAdufkpOEe9ObFHmbthBz+yZqN9gxQTntyRHdDoqXdTVOhPbHfT9fVlJ3s
uI02vZNMp8+DGXXTyX/Pedd+0QqNWlWXEDSXAAJWgwnarJ1aV2rs5rXqjbu4GEhvW0aDA9XMthQy
BsYW/Xdq6g8Ji9m9ziN977Zi2dLbYoWSRfwglAhe9CZQHJdtOSv4So0jajjLKUxfi6XcsUD45/ia
c0V3717lGcDlZlMLM9s0anykkOafRQWWK8JnvwqzDNjG0Ikvg2h/VOMY3EkRUTv6r12J8rcBLQBc
JqQdrerNjTzegg0MryfWe/UGJD7uMgBNFyevw4sAAR6WenVClKOftfleTVFOQv2KvtQWMkxoFRC8
liFlsnDbGbbiyatIlXJ0eG22yTJnSwj08DzyopzLwtyKQcRbpKrBdWC/hOmgKLZ5EAbXuHCQgE9d
Uu806v6rj7G8BE2IFBkUozsTvJFYjzxTdubcH+HqqhToWEajv9SpcRJ8WFVI7NnrazeMjMamEDih
pORLHjreSyNg8Xs5YmGu7/0qm1aCnRbAESgiU/erw59+CvvevCVVPp3dIH6udXxPRuHOm0rvn0ry
plDTptPaanPlWtCj+VIlvif4tL+jASWuIxuck1ZXxgNNzoSVrD+8a9ANib5Drl3BxMHKd9aNN0Jj
YU87rtWu5JRY5nuj7HidmNUaYTGJjKZOqHgKRVfhjUDzeRk6YKfIklxI1dMxsuzpKPjG2UqOVWR+
q2HqfshHLdpo4n6NxLqMvvg+LdzSKOIh3pZmzd8Mw9RWn0wN45maHA0ofWf5J5gaVnXJXJrbcZFb
GzknD3FPxjukll1r4BGjOhXB0LLnmWyP5ZSYlewIPUiq/BAhpttI8O+TQ8nvrjU0LYiZNA9bRXuB
jQ8V3tae+tpKH6v852Rl/DGrUKHa8UdNLFa4motm2zWN8t3Py1/t1JNPAYntzvcb8HDUdzyJP6ij
cTqTkvqbaTAr2Hr3WmNXkEcanPbTdJMjzKn1A4CTEDBfP/hbhIADcCd41tiDd1gH/WONw4fm03L6
echgK61nujNbYREQSv6a4+lU4967E9sm7T1InkKRdI+JlUX8VZfjDQND5C39hG3Mx85LFcU816XP
yw3LOOTKxjwvjNAzrSnAq0VsdQc7dvbCcHtiQI1APU2Ey+4ajdf3MgKurp7kmTzEoR4R5VDhishI
E8XtN6fH0FHOWWUDTKicbDPT69vQr0kvhWlHuw5+NjTmILvYbZNe5AV5JufkMBW1vgIcavJv48tQ
s/++jxqgsw6avkJPlOsXwO/BrqO9zqea/T6e3NrEjRAlOlGcj6Bog/2oxPdZMCQ02zhQBbvvg1Lw
ifbHDSvZ6WuvYBpus7m8TJYbPOdzxVqV+S4zrIOg1AMoPDHPTUjNKiGw5ZKwA8HRdO4J5rzkA0kL
H/M1OMZhlYUgvXxUxGt5M4ChfB1mbe1ZU8GPZxjYdWfucE/R+CHwXfwgS48v1+vblKn+RU7ldfYz
cGxnV5n2a+WyNWb9muQbdei6c7gE2qHPRnJhBOk2RuEfr3hR5usgBwevudmjVMguoxHUyuPHAqud
Pq5JhXT+rxFbrtFTHUAXTtiDnDa/h8KFL1znaXSpMUYYP+MhtV+jEcIXuyOivZahPoHwGN36eTAc
RGNZXCZbk6jLSy0K3eMPM/CarjKPGrjfTWiJo+gL9z1WEJDWWFruxpmKVzIM+VpeAFd1xD6z6ZQq
P4psIEXwT6coy3msW9lLP9Tu0a5c9yjP1FZ1oR1yYPH4+0xeiLMea1ADPLJqeU41qhuuwWRpG7xW
mQOHOf7e0DBWXXdnTz6Z7VGDeRU5yxNS8cjZTQrV1piYa4Q8+xpi7l0NUuXjUKG3AdBi/TLrQtwR
2E7gkLyakrxGJ6c5ft4r5C3D91R5C/vY2Gma+B5qUW0dlY6hUAx4PxM6cdRm6S7QEmJeWAbIl788
A9AxntQofW6DujjV1Zg9lgl5BaLVo6McDjaJsPmsEseNS6Rg951+j7SZbhYAlEcfNddhYTZ1RZ1D
ECuMi+qgA5JnuVlfs0pvqHCW+kmjJ7QrrXS0VnVKK1Vz7gQlNjKubf/UhNZDb/CAXlBfujxEpUnL
pOV9yJQSq8lD2c0FTJG7zxl5NoJORWLQXj++mNXaLtJNWDpzUD5ORf+N4EnnBWThGjWfcpSHZDmb
SFt0wni82ii3D1VnE/djV+Vb6b/HIwjjbI5xrSBdxK+fjg9i6otVYaf++1y3v5KSVGXMQLein50V
a5Tghc7u7zN7OaPOELzIM3k1SeIKijlt7f/hXjn3+Z3Y2B2RlpUHiAReZsbapVx8X6luqRc5jHNM
TVGXvkxLzIY8+GzwPs7SNDN2VEleNTVTzsZykHdQ8GtOnWN7RQ3cvYoT7QwwqKZ5NYV7S4UWMk3Y
qQBYB8+EXEOcHevpu4XVOZ1mY+c4an80zXzfEdzyzTYDYzUTMPmE3XtGW59g7KOt/WBZ5aWOhPOC
E3300nHUT4loyrvciQs4KI5L0NJQ9KsggC1HobvdoW8cLmh4Wlrso71NtPH7rJT1xU3AoSStXr8X
bniFkR586aNUo76mW55BhDQ9t/gpLBUWYWoy7yUpBjR+Rl0dsYNERMirVktTQ9SZsu1sR0WBkvbr
xMXDGFk+LOaIlWpoqARO1fqzRtCHmdXjY12M/5+t81puXNmy7RchAt680juRFClXekHIVMEmXMJ/
/R2A6pzqvtEvCCRA7a0SSWTmWnOO2eyqhK4E+U3a0Z2W2x0xY4oik8M8mq9T5Px7cz6r7Yhc+Nbe
za+YL/378X+vrdWPwPbUgz3ULv5NmjIenfPjfHCmsxzwoL2cT5HWYjyEsxCZdXAUmhIcR10PCNZh
OJ/RTwjoAAfBamSvt5xSkxKXwtDQtiEGaQCNgofhGMiLr3/3Sh2sZzfI7AuxBFn0CGIXQuTlLWar
NSWVf/o5uP20MdZ05NONOmGMAlH8PcxDFmL4gDBhMIeo9CIC888IhknkpvkufbRslSmSG5ttdsVh
nMECVSliegJDHySu2ISrEhueWDMdxoswbojscc2AmoYxvCeOvS+CaHi2RLFjpmhWeaEZ95BfYTEz
4EnDWUhidF6dmF091PyDsGmfWraGoYhlM7Ax15PbOaiusOghppRk6RaXq3Fs2yXGngEuuQE9tK77
n7P52jxscsBoVSA+fEtdF7lhf5tm/KdKkvA5CexuU5e2djDajec4/bPTXk0zKl7p5gHqaaMn+Cq7
WtjKY2mxRnFyWmyz8TnQwy+2q8rjILvg4d/1KlQ+/72+Bsi/QFlJ37Gy7mFZIEIIqs2YFILeWFlG
i04v3swSKFs94bLwPhprh7Y2bQpwWKPjsars1Kmu7YgnQ/T9IsgGlNoiapZRb4mvupucxW74XCvW
VxFWr+HkqUq9ASsDT6ytBUvyHqiqfkOBl2z7skPm77oQWuQS9tnwPl92R0PdFh6+ACM2H7wGskJu
x83B1FTMWIyCwHPObha1Bit641pQYxC6jhBZ4TOpBurrPMyUlJjONnT9M0kQyZ8ykYdoLMJvVKYv
fqNFHyyj6aaSJ/MWTDI8iWXsORkra2lJ4nsoYtmrBOLG1QULuRC1/KLAGt4SozCWbhI1r3bmsmnU
h+HL7INtnxPURTHkT9aSuISH5skTUmG1wX+6M8jEJV2yhiurEGmZhxdjsliifDMX9kDYk9coDywo
m0PSqGD8RQB6Igth+k4+JZTUp673YaghIr+20ChWFNz/WOZIrPZ08NosfSi69JepBs52vlQpZLla
ys40de+Wsjo9tInWLXpqetkyUzKqU9Klb2ZG/s0iXuQIFP/P/GK36CMyeEl/xkG/UCM1/IynSQ8t
ZIHqb5RXemMqvXjwRr0YnzFjV0+ZagOXzNhmsNGvV/k45QMFuE4lmM1HHL/OVMDyj1kAECLkmbgl
MNu5sJCFXWLG3vOQRhU5hY7/qeXFFlEAah9YrsvcyEmCjuWfYTR/U54bHhRVV8+BNHZBa0di6dqW
vjaxFK1bX+vIZuSgyPocunn3MF+yvdLcsA4jTdMTOw077yXK4r+HTIeCyVIvXMnErRaUrt0F8l32
snqTEFEIz+4YTZtZ3VfsU5knT46rUZQOZUr4RUwDOKbTVrYA3OahiUb6sVS+50HmGetc5PIBIxWk
QsomTzzi/UWRpv5bgd3F8/PsSwtZYzpKECCOgpBBryoyxYdsI2fleZ44jaKgS1jg2LO8RLzaLJwr
PTX6VQBA4iGaDlAFQd8l9j0bDf8eeNqTSDrjoQmU9iHP4Zi47onKRP+qsDw/2QTSkhhYqS9BEi0D
JGGEwfTm27+zGAEv/fGquAUU7oAHuadqHCF2psY5NWza5jp5cYv5Bv5n2iTNsaZdss5rxT9GaGOP
gYlLiGwE64GPb72MErW+FWVe31SFLKGqo4fgrEuvztCrltpTbdE2zYiN2cxDQ7GUVZa2N0B0WC9Q
uWHrxsIfmd3wULSR9myGEcY4lLMtS+alIpyHnuaMxdooTtdNQ12KFFx9Ry1I4zGhWE8RDvpAyuyt
9rPwILWwQApqZ29eZtVLZBLj0asDwm2KyD+WAV9tS7XZK9FbejJMPV0pliDSrKlbPmjIRsDU5wvy
jJXHGDnUASWDtvaHsHm3gC/rVdd+dnkUMwM7LjbnxqBp5oyL0vNjzOAivChSJCY7Tm9cW+ElqNDA
FrRLwCRwUNTKB6/ldcYu6dFkD9W5cZT8Ph8wWzGpezW8VnPM75g6/YOXw4mb7/pD2VwnJB5wFGUF
yRtfeM/SfFE4drVntf6FQtdjz27XO11z+pdeA+nf0ktTI3MlqmJk4xi7hwpx0WFQeoJGDKxQRtOm
W8/t2MFbLTVRwqW6rrXOnqKhM9A6cwv4a3i00Ycth9hG0eG3a3s0VnpHAjoBs+E5jFLSOaeo7LYj
mYCa08d8nY6sONqetyFbwjgjpQt30Qin5Wd/g2G42ims4O2t0cbEfBGztZZDWS8aoKOY0Rxx6qfD
PPy/rkl/R8UYDAEOtLUywxgn8iICy+AYW+WTmJiLcJT7q9fKfA2hyDX3jz8lD2OsipWhV8q69r3q
UbVk84Ca6jCLPaRowsemovY0KUFmTcisGtEsJaSa9R+JiIuhxdfN8TL/kOvEzs7viWT5+SkxGhtk
G9WqTqvPoob3qpl4FVpTFocsTzAr87vfMw32aNiH5BCj3cynPb4RG+JQRnG5MowwO6Wd9WduDc7N
QMOYelzzOE9wHlaiPPghYGba09QVLHw37jScr3lRCI6xpxlI/qOxC0MjvP5cK8j6YYLbzi+jByWZ
ZWL/kNOdXzpV0H7SlkIYrttv2G4lzIgKPERI9dWaisCIFP/nQerIXDTFOI1S/Uoxsf1W468u6m8s
YrxDUyWrouwp52msGgBFLRySvRxBJ2Pms4fRQHCg1mjt4t9YpIhhXM0+zpc0O6mPZVSsLMNzVrEG
iomHdfarX/B19LamMY7Q6TWqLKES6lOmO6mjRlCyOWCYJmhnAmS2J6wcUM6H4IguCguF3aH7msd/
T4t5q2WSWlSwtY1jZiFUZ/5LknohcnQCiRWXHFj0XLQO7cTcz3f9QvmNhV47z4aftqXoxOipJ5vj
Vnr2LuhjiaOz9NeJt6yl497421T3sioHiofAw2rhVfdgaOFSpv6hP6mxa7+WlU4RNtUEnhd69KML
4EIL07f5+rSO2yRj5D4L29675UtdqsZnhGwf87dMLxVT0qHzmpgt26C+KBaOL5nl3zbcaEXLzZe2
10LMpN2k/bPiNX8Ed2lrnresmMI+VKjSQYPfaehiXCg2Sa51aWibccDWo3URCe/Ta82EjGnaWmjE
SYErPP2caSjEF55BlKQnJc9xw2ZcMdfsyCp9TN30K3S9+NtPVT5+ifIaIZhbmz1ypITwk12YMqNY
UCk+oZHTsvDK16T25ZY1gtgJBETPgZKfo0Jmn0KQxRM48YjRLrdPnkzTlZGAT06quts4IXNaafin
ypP9IwW6nnqAskI3Qd1kuqS3pbya7UPhPuJMH77hR/ULrSv1e1YG/cYtu4wHO3bYOkZih9XzFDse
6OqaRKBlO3b2ar443w40yz3lRHMxzxvNek46i2Mry+F9o+0IHW89tsSimUMTAxAu/SX9Qe0wH1xf
RfWrCks9aL2gqTKfzrec/75oHga9xjsgG5g6tNAzUyXhvBeAqis5LKuurIgNrqlriBjt8Xxbko2B
9sTyDpOJQm/isF0lHRvNqleeZ83NUKn9XsksWnpRqfzV4Rh9Q3HT3xbTJVttogWQ8AKUHyX4birB
z2ei/jUOKFHjuUifu25zIvIXYMlQsPekgbjP8f0sA902nlMtI7WJ2tyy6JVvq839bRQVKJwMYpgz
yw6PiqeL07+DEdPv4BXfbeyKayDwEym2lqwCIu8RrUwXLbKgdVnj5TXUALeA25J0ExrNBVMB8jPX
8TczAsjKZXKqcudPqfbN3kNuu2COiy/zYTSirxKE6A5cyN9L2nRmaa69TIsvl3C8ZThZFHMZlMfW
DlBizGNbX3phnrwqTr/XAyDZQ0FqjSWD9rHTQ3IFkjbbuMQrz6+w5WTTS/QvO0QEWUKbY2qApDDn
uP+7Ng97pZePsSTzYH5dUhdiQydlOAzZn7m3mSQq6E7JHG22XnmCUGgiwKIBVzSDt9VqqkxZ5CEH
DuhT9qraYviieBZMBw25xTJ3efb2gC+WmgXUUsHBEE9JyxQ5+T805fNI3gSbjLAj4W1oHhQ8Zxjs
4U+0K7+pxWk+eP99y/6vYecpw7bUreeUqs9D9r8PrVqB/ciqeiWNp8rw7IDqoXtgyyW+oOb9bkCF
vOFoBj/qdsEzBeNi5bVdssxzRHO2w8bcVtzhoBrheE+yOEQfFIpl6Nfjfb7WFghu0nHppUq5twyn
QeKaf1oFgW160lcbVTWa7TzZjkF7xbFQ3tyxa66K7Le9IVH1SjYKnVf4i15U/m6e83lf28t013XS
4GhIpnBPNbQ70SV0MQkx9GSp7+O+bVaUmfUDImR0kzxB18JN2+1c/3ZSEsnn4U8B3EZ0+2/ot/95
8Xx3/lmrJVKia4xXZbKleNNhPmtdUh3TWE9OFMdf6E6Pj9IBRlFak62i9YNfShZm6yy1Tj7MnYds
8mvKRHN+efgmlp2q6McaSOazWguIXr52KFAObwv7fa7LuGr/pGcu7nSlY5XjRM25tckliGUVfWpt
MzHN9BcVv/1WQflC9p8LfVEjx6LIrRfi9d4HQAsXp9Wsl7HsF77PLyIyVKGPuVTNjVUAwMaR+7c8
NA9hpcVA5K23eGCDSqWuepTTwVW8bDdfm4d6RoHAzTK50Wl5lisTT+oyqKJ8JZKAjMBqpOXCMyCY
XCdAEsbyFGW0iEqfD5TlFD3pjog4sqJKTlkdHfOi1nd2K/wD0/n/qNzVWvpapZq3+VeNmyt0/wp5
2VirAJzwmPZmo+LqjGgouk531Loh3OveGDIZDOUysCS/ciN4WilZ+tTROtrXhoEgfLpUpHa3E3rw
22AltMHz3S/4cwxncB8Ak0jRoNaFwOZopeNwoZ59m6uU8yjsxY3trbyYeXOup8diCRJyQyKksSxG
lbm3iXpxNWoSmFnynAVv6xaFGHJOxzTWzFbDNhyL9jXxYFRpkRqd52EcbZxmsK9OFJK3OaWdlHir
T8Th9AcZ6CuHLInTfAmMsMm+M8iRc0XkKxODcunIcwAfx8o81Dsgd1SGTj7JIiuzH1JQy84EOa4J
CPaaSZNNf9UvnpR8yPg1pDypCeuuqiuMNbslfRur0KtGmG4PQ63lr0baLPPByagP9GzXy3bc064u
9tBD8S5GXrcpu8K/OvgDoT6P6s3sdEpAuv4cJUHGUlsbd9j5jOdB0cg0moZJJOkUBZ1czZ8J4YTJ
6adLo4cI0ose629Rt/6hJKxHCyr3RCyTiy2Whc1Kz1lqYHoHOCvUHWXqVUk1myjx9J4Wkb0xEsc7
ZFVXP5ge+qsIqcGLEw6ftSz832NEpnlVJ5+9hdbN1q3Nv48F9gDnnFYjMODA/5ivz5cK/E58KlR3
maYZYdf2oO0sTIUvVdaTCqsK9TjH86BNfg+7PrzMN3PcS24c+7c6z/Tnxvj5kUQjxCDosF2oVvsi
nQzQqYuy1EbpfpgPSCwoYvzvIct46k+ut/x33cO5s/EMO1rRbcqP2CLjs7Tps9lO5P6K7HgXTlC3
Ns/YsyGykQaNUrfNqzsKnn5bJNBZUyId71pTGuep6hW0TmNvkC7QNspVHvgSeQzpbf5SxfR+YzGI
4LoLm908nA/A5eSIRqFKZb3X2jFa67lKPI5eqWen7m17laJhbjoWRKWS0KYPx2CBO5kHkUObQ1ro
PEo3sxCF4UffOIR7rHI9oQrcRePZMsOjOgDBXVqFaJZKoQpinkN8UdEIcMdS0E5RMUMp30ADi4xw
EteSpOUWKir/3F42BonkDS7s1QDnfz8PszDYA4So70MYulcnt58zi9yAQIVeK4zW2JSCqmQzbVED
XZBs1AgUX6YZOnAU8+8Q19Xeijt84oPI1n2e009UlXZTZkm/HaMsxIyd7nVLlk+tl5oPpSf3FAVP
0gubkTW7dGAwiWTZ2fw5ES2WB8/2FZSdYDfVGtWSGxS7LKGargfFszq4+t0a0cLllP9WJY6FD8BE
q0LR/NcES84OhIUKOqX69Cfmn1NnBlTiBucTox+FWBF3yOSYO9mYrNk0VCcE6tWJekazK6mVttn4
YdHLyvKCCCadJBjpGtk3DBmB+0vGLzFu+1VcG8XFBQEH8Spt9641hTAQ6eWG3ZV1Fs99pzMNKtq4
PrKK75UKONGmmh1Hx6jkT0ctDlKhBbHgCHv5liMWe074Tu7Cpmi2hq+aL75erZ2wMV+8NowO6kCp
NPI8Qk3ywF88CmH+SUwvoK4z/s8DCaUfPUQwYvHC+iGLgXSPsSg/O0dZtqqZ/oJ7hWTOGhpAVoVx
p8397jqKue0do4fOhOT/3yFlWfQzBGpPgrkntlpQqke1xa1uKX5xz1EAsFFS2x2V1fFm+npNqb6O
v/vBXGV20L17OYHXBoESOyy8+4x2D7WW3uyWY03CXSKr8FLxiL+wwQuXWivROqU86+bD6CZUSHrH
7A9Wukb/iBUebs1WFqn4lZQwVtAp1SqNd7+NlEdwz5s5Vca3rJ+RCTQTNpXa9O9Jhk6MiuyZoLCT
KiCfoWdrzvNhvk4VpX6onOf5SjnNhSFe+p3e85wPdFUcszS1b7m0+LRo8ds8mg+2gpzBVbR6hwpM
O/E2ooliteqZ+96I0B2btfOY9mQPOO4o91ZlOY99EjmPbmXu21CzH2ot+12xgeVR2xPLrItHvfGG
/Y94pFRBr4CUAqyp4dFwLCAa05lpAfmYz1hU/z3TdEgcWQJVJqjLP2WXxk/zQamBLzf4J+eRE7AS
0UvSWudhZQr8DpgZVl2u+ivw5ODsSqSdGpSLm5eE404Z43Q3ZpV2q7ICNJzptN8sLeglENnZWLW1
TGIlWHU+Asig0NKNx0x6iZ3m71nQe3IdByAnTWZf4SjZuWzU/IzmEpNlpuGBMyckCtG91yEshrNl
xO6iI03t/d8Ngif/3qCGNm5Mz24O+fBK4RuxBycpXnnmM+XflQC80i3LTX+JwzXZKvHoPgxoCrZd
RW+p6XWPf8H4WXkGwvsig8eHupHeiBs9jn4E4nT6JOsJ/g5ZfxKxg15XLcVSWugbB7otdwdb70a4
MS3ovscbVCKW0xMRrFK9DFiv6D6fqBLbzn+ocPA1CdeyEGSapgcQyABLESh6dZ0PaRDHVxxkpEr/
vTJfbrt7jvzDp9D6J/Ho8znNbw330KLWwvw5cN2WpCojxmHAGjsJxHVO9xYy8Vh/JfFGdar8nIfd
Qtb6mtw2negIJzlEeCF2RWYqZ7Oz/ZVlSecJi+EILDo3P7rAP3T2tDdCUa+74I4HXXkZ/PjN69ke
DTqrcfA1+i0BQbau+hhyzBis4ugQmJl1ranoXoOiN6+VGrw1XVmwfAmbs+Lj4QoxGQdTonrfWNkB
M1u8Ur3xPIr0Dz3zQ+fX4SdgU/w4tSXPAUu0c9sToTvfSJJo7+rqS24O/RWESxI9pgPmr1LUAD0R
mz5A5TQfWbp8zx+g/L/Xu5ZyclsCfLdxNwCwjQUqXfoKMWHdrdYRzIhtJVP76G3Q+Pz7RBA98Oa2
r2BgksIwD/wS6NLywG5/EIX++GrQcoAr3LzFcFGW9Azyu2lPUcfQFddmqL9SRkFwE1U029RjPXUW
rJHOXJtjo6hrtjwTm2qGWTUWTfRCnMl8qTFMSZ7H0ztnAHFcsGLxNl1EP7Jv9Y+QhKalXsbKMREj
rQaNNrrUXjWrNunf+uzYkEC+OHAqN67hi42GXfy1dAIP6EhTntTesG+xLx5jvrDXQZYgYSZVkoJG
baWUqUupsLcOhC1DS4h864XnXLStHGKZCprFD1oxvqdhZD6kMgi27FPzReQb9IUSybXphl21v2Go
+wfRR8tGTYJXLMbV2cvaaKERnXM1VEiMdtUJNkI8fhCxgl+tDXc46wpOJlU5jVZhINk1tkgsNTpE
VrhU2qy9mD3TJ8hU/4GsjOLVawIKRONaqi6L6rR3AEGYzkoOTrH8EWHZnt+vfRfTXO+AU/CyIT8X
TpAuB9uMP5DIvcdUIW8Vy2JUCKBqOnd0L7FSN5ewVqHmq02+9yoJWQZdNDvtRztIHiITl9LChX6A
rGE67a2Edy3whp3RgXq349p9iwYD73/bo84qrO4NTk/h2+5bjqD6APqyWDl7M1mVWf5CApa8kPZO
p8kUWQNqrK+eaNiRACvM/Leh3AayPZdm2+cXq05q+GSKe1P8EgeyVg9sILX0FtmEpwR+XrwYfv7k
JIQbm1757rghQZuJrSLDDYCUE1lCqAc67lSPmy8rJigTVcdL5ijfzFo849MUROFk3PA7saT0NH6Y
BMuswtDpzjqSiXVMJtDel2n+QO0iXrcBGgbKIvlD2Y1UTeKsRRGQWXfSJfapbPsLaijrbtuOs0pH
ci0or8NzM7v+SMI9TbMuwlyc9tpTYNfRha3bFeKJuXagoB0MM5crNlDVVrJKfTKVAse6Rae4mYZu
7tAfcz1CcsFXPdQpOyYVze0mzdT66is5cDE3uA1ooW9p0IVAwMO/1+YbWpRD9ojqZF3gqN8gVbHM
ne4R1tFINTwXDSwQXbKWM2j7802nCrEEWlCeJVPUUjHK/JNKOd2o0P/NjPCkaqH/0pkOM6yqd/xL
/Src+LrTnhB0JDit8DKiq3q0Mc0s+sLWUJ813bPRVKvMBKFddu6uq0b3bFSWu80yqkxDSC+7SbSX
NpXwWorYOgSFQZPVa74MUZrnuCYPa7TSfFOOGJ27Unx1I/LpWLObRxOZ/GF0q2wjILKtLBteTtJJ
fzXy5vA99cpDbenaKbDGYdlMMy7tsE+CbuIbahD3NKI7QFs/UoMPyqc8V9c/s4KwUV3HMMmLEeya
Wba8K5K1nZW5ySHpknCli8R4rRpibEBrjHsc3cZrVGX4RcpzORrldfBktU2HJN6LMItu9CbpHsna
/sr8hqUvQOSoG+tTrJfrGetblfqtUJ2ngKIGocnpN5zw5KPO4u+uLzdJp3W/FFscgKaYr/FQklrl
SXgV1BoW6Rj9snE3HFKXdhM8/axaprETbrsGsnRj++Jk+JV+zRH3bdIod3cCvchLositEwbJB3Vf
dUVybXZ0RZfdaRC/tkqYgLAGyO47nXM1kM+vvRbU3TycD/A+zL1t0wZurgWwxUWINeOFLRV/Ovr5
l6bUqp0e18fG4v2fCbs0cgkBGfgez4Td+VrQ/oYqsGZRK1+KEYZlOQoFRakZvQmgDgso3PYRyDWf
OSOn+m5oHYtqifGwAv69CQoHXch0rR9VjAmZGj+0pGzd3KqzaRobRzuNKYgGMU1bEHZb1c3y9Tys
jTpfi7znfzndLWthTZQq8znHJIlS3S8Os1J9UL2voGts1q4s40TUUxb0yGsxQTZuZmuH45KfQaaY
tiQttVpLTyZrvdfMS4FbY+8m2XsZt7Gz0Fq+a1XtQpFominnqRtf+Ud+61rc8AUT5MWPKvmZLhun
0W0+qgapi6IY1zHNFFDvfPgXmpsO7PmmU9+QLra99I9n1v06zvNi3VmmdlODULvVUQsPhD2i5K8p
y/7qIGX4OfPmMyU0Hvo2Xs6enLA0s43hZ/WKNzG5zdcwEEx02b7Y/7umUUBTh5uH9H3//2lXE13N
1qbBItGfGteyoBAeFB2LsmnoWCVPNXc6LUpPXyZhuO1bQ6yqJjcelUExHmlHilWvaMXGDiy2zDUr
9oUtRm8n4rC+sI79yTebQ81kOGaIx8pqY9vQA0yX9uPghN6blHa41m0t33fTUDV42LG2f1GGvloB
CpZbUxbyMXRD7aizXHM92NYmpoWtmf6RZSUvPNoQQanUj85cslBpXmh4Jgff0imARV5wpqCXLRWq
zx+Dm78zlZs3/sLa0WF3vpqvo8E/5HprPmOwHvZN3h9Hi9zk1mqsGxlhZJkkOXOXaZwx/qk81AEY
5wZORQ0clBRjWS+9sbgZwjBPAVyYre3jf1uijflW+7g+iCCpV52nsa+HQEhd3P7uqC6yNDK1O5oO
vNUtGMLMZ2MGduSo5Lb4PZ1k0sLsQMu3s4tsvvK/byld9fOa+cW+KI8Qf3mQoeJIGv23VEeC3LPR
eXJN1l9VXNoUf11SfBPZrf2mCl6GsPyeX0tK2cIoquYLWZBWPP7MqPO0Oh3mGTV21qIB8oXWsT2B
y2hP85n84VFqmsDNiJf7vwaEONL9PX2/nWbo9U5xpwW2Tp/GQua4iVU7fDTbJF71qf4dZ7o42KS4
n9tp32lE78L2EoqHXNGjV/xMKIWGIvtlxv5VpIicijF2iTOIxYnEtvQUkCVzci1h7wWgznurwPaR
8NsvVhaoe2i92pYI8OLW0zVLNWSXyGvtSqse8yBMD0Yfpmuhpkj6kB2kjgYd14e3GmVeeyAbwWYC
i2hdI0QQjjBQTFPXGlpQ6XxqBCtZH+R3iwcd/R/dKhCTW2ho/jbUw7tVFhYsM93XLnVJPGdH6Dxp
rqp+aTScEewGKaGpbE+ZMQkV98LowkPUXDbOWH4qVbKItL76NrJIWwz5xS0j8dwLPpNKK5IXlS41
nRUr/jkLO6610121aPqLIbOebxEgyGFsV/HYDe9erdvrFAnAvinS6rVFnBZoTMFxP5HN2GSe664F
pdOwhk+TKsLM6uabMFDU16LVdObUkUDj6a7jv7L9EmfYF8mJSFoV5ldNGUYZnFVHufUK66zY0Nqa
iu2+t00TBzdXs2glSiUl3AR1BDNDqewny9GuCF2iy3yLjQVlmaQh22S66VLh41eXYjvftd3qlwuy
4cBCObkafpxcR5YcqQ6Rex7ZfpNcey/JtsyfzELTK3hqD6StgqXUEYgiUgZcp8XyMSFL+Bz4fpYA
DOODpeHavIMpWsb49HRfH08VFYyzbVvtmad7yz/EGWHt4peBHUwj0TLfASnIpcmmc5GljjjyWEA+
qsVknFhOc6cZ3S1bu4Pa4WftPZdskKlB4rOg9zZ3b+fD3LBwDfYhAEWHTdZ8FH5FKEQXtmSWFbX7
XZAbNPEryhilRhiFHUAhpcWvYof7DDHvqeODR6pNf5hH80H6kLTL6aDV4TkShrOHK8LCI/DsVde0
znsyShq+oXipqC3tQ7/V+IZHlPgQli1k1ExaF8Q8R0HJ+BglSbdU647o32mIi0SS+DDoX1bmUceL
0/EIFIJsLb60hKvY8peC6QBTJnDqiGaXG3dkz2Z04aJMWZr+KqA9shj1oL1lUdHcWg90QEDdYitd
tbmV04EsJJateyhiT7N8VndjGLojy7a0CVtAmDCo5xKt42R/bwxZke3VpHycqGzbCnvldvRz7dfQ
XvXRdt9jyrYsHB+BfxgPhNX4KM3osC26Kgk380UlBAA4KH5M0b18IaUq+izxUy9UL802vRpqy66M
r24Uls9WpZk7RcF4YzXCfcMIuRzHIPjMbNKNVJPvS8dSM5QLHaHHr0RxnV2uY6aA6ZFs/bQxx3WL
prY0+UvUQlDUS3tlE+ILPMgpYILZkgTm2Bhfxsr/0E1F+S3xxUqH/q0l4y/dxrOWZ8TzVjW4wNwB
ElsmYI5dilZ+yPIcoefJqofExfVeZVtRI9/vHdk+6XXln6RRfM+juJHfaU1VzST7AQsy2tTYVzYF
64Iv21KeY6HvO9Qex64Msyfk5cFmyJxxbXiqeDIHEZ/MnMU3zzHrrgfRKM+JlZDbKUZtFym9u3WL
brj7DROSZdbGFUxltC4kbRIzaauPKAPN30lz1fjS3Oa8hduhCyiAkY59VQfgIK1ml9+I46wqU1cD
FfwD8ZOHtK/FxRvd8Y53u183mmaukd+J86CPe+kY+lGlCHqs4mvUFPgknIn4HAQXIzP6XzZU61kJ
hwVDUbCykGfsYA3GBR7CMfxIm/SqpLXzpAS9ugcY5Kzn6xn9FmEq72Xo5Zumbaa17khrHMuYSFL/
nja9fyet5tTnenyZL5HKM668HjJDaXr+3aAJv4/8FsVlVC7yqA2e5gMyR9jh6X0eODg10J9roD7K
eg9MuTSwSLXaJkj0gUXQ5FdD2E9MegQVTCkceixsxDBa6CaxRtMay3Drz4YGwZvuAa6eD/Nw6LpP
xRGCZ7Se3V3DPtRRWr6RvGruooQVXmjyc2C64ZOqp1KFlDkoQ7OZK/xNqwGUNxRjYU/xyZTpfDyI
ZChnxXg0m9G5/D/KzrM5bmPbor8IVcjh6+RIDjlDidQXlIKNnDN+/VvdI5sS7712PVcZBTRASiIx
QPc5e68dElKQUrn7E1quYnjahlDsZCOZiO6IGcow6uZgpl0LQx+WmeKp6UNNioFIgbMU1TgXY3WU
Rwjvo01DgYFaTcsr4mmwzbdM0b/IzKMQXsVTqqAijoO0eiiZ2m2hQkVL2TFPcbHYKZQM8tmbWS3f
iAw3N37mPXQo1km2jilYuG6zzzWlWnlGWO61eF3Q62+WaAT4lKkES0jbaEBs+Zqld4SKLLrZVaef
YHLkz1HI1LMdqsusZsWzVXn5Mczc7/KcS4TesibOCWq39zA3PnXCznA3c9hZJLGJynypFl+0JKqf
mHh9K0kie9PMXltZpJUecs+ZPtsTs13wd29ThLyg8NV+o9dZ8ooYMm7IaFOUKqN6KHZdcwxPvthQ
rnC3Rtp86knx2LVOTManR1loHVXlW6MNW4ze+k46oGE32mc7zM7S7ZybzsT9SbbWCMn6kqm6v6nV
JCGynsNZbBDGvIDQ144s2cObH27u1nmu2ubRYIA8TAHgG21k0a/zMavxifdBki883y53ionZrbXD
qFnr8xnkkv44o/27UCpTVoQv4RTO4+HEMpoCqGr1p4432n2vqI84KVnXE1y6KMZPnkVOnE5HgOqT
Dl+DRuJKZbVIy92ddx6SU5pvInOIpbSzKONkEv0a5aXFabgAP5K8TqSCL1zNqr/MQ/6tmjr9m5c2
lwmB7AarLUh83h8lFPqpBl7Pph+cn3uOr18pjc3bgkKTdQaR3Jy8Qiw3vQikYtuTS1QO/SelipJz
21nj2khqTGnYv29dPj6ZCuTxKZzwTQPpXMR6YJ1M3SpWROFVG2MmQqf2cmTXRB/mjk8iN0tRoFwl
DCi9NEXVIB2SRS80a3zgfKrshX8hZS9Y6W4boy/vCOZsW253VavGpTydi2vySm0OJFC8InNc6Z2C
TQeewKpqGhU5uzc865XzTY47KsXpok3cByuIHycbEBDiSPAo/yyHtgKKT2aJt56nThwhbKqD9KeG
eqxKcxvozIiwJ4LvM40M3RPB2Csw+w1BXqV1KMO0XVbQkuDkWAFwppCKtNikInwhcqx6myAxYd7x
15jcS0APTWl1+G9+0ya1gz2UhtW7D3VqWkFPG9MVk7RvpeWl9Fsy7eS1KUswX4Rxmz2rxRWCqfvp
wdHdPVNR2hsTmCxP18BidbjwDnJzP/6Pc73AW368qi8NFhXiSzNEk4sh5deUCze26WN0MSNJ4jBQ
Coshe1qo4GyqqJ9Ojdj0XSo2FsG71dTuWV7jgUt0iveNY92ohdDwg2C8Gli83mZT+SNQ+PglmV18
jtT8ls7leNEzbJn6TEPQ0x3lQW6qZGRPDTBFaMhX/uMEjPQx90j4FF9BleOmROA71BCV5gr+Xsqr
1ABqWyauf8Rks1AiPqUBPY2NgxgK6WenP9uRTeta9DritoKQ8z+ugNxvfdLy+lWtQWHO2fcRM/nS
TdvuQc1nkIXcLDnSoQuRCDHPceNYTUp5kUPkIZaXxOEDyFui2ckxNUYwQeS4sOJr/rLpi2YbCsm5
EhMvCd23w/QFxm6w9jKbL3SM6YRN7XMRVAG5DARGRXX0Jx2S6rPjucjsi0m/hFaDiyeMC8x5oFd8
4lRIa8oLXkj+smdCs55yDecDlcGXwuOB6EdintHxVAzyrDu12SAyojztEIr+k6Hnq6qC+5SFfAL5
x6ITcdQWwIB+YdGX0trucKyAI2j3toLAh3r6tXKIVtc0936kqeiyIcmOa3kyCSNQX174CZFIzZzr
VoWZ/lBGxlum6crLXKrtOa6YtM16yQQv8PPTEEcD8Yk/6hmZ6Zxax7ywrSu0eR4RfrWIBLrZ8E3j
SJaFed+TY7lF62MOATnIs3IzK7AmdEzKqHJNsqni5AGA/PfQn/HGdjgAHbPrf4IBJC3AJjz2LDeN
p0L+iMGk1nip8iAuYK2Qc7LImy+kUU631s1eDS49lHGVbQx4hItx7IOtzZIHo19WX+Z2rC9dzyr7
nyE8uvEfCB74ObpjqKajaY4rA2R+ASsl8egpHnPNRTNoNiuXBAOfOUcr384K3PclwXatU/48roum
eVLU7w1rxKoK+82ICeQ5jQmdTrTc/Dpl1pbnsvmnhjNY8zMcKl4aLK2awtOkAGLTZ9Qz//wvMDUB
2HrPuLE9S3VUz7FdDTSSYVjaBzaU03iTVxAtysPPrTaqn0arsnOMlS21du/tLyXCclh3wbF08+lB
nh0jV1nSvbeJ39WThWKmBHH9De6i+ebVIGnliFJ0/O5C/8+0p1Imhyj6tmSo9sn6/Ws+fJ/ARlHa
BtNrqI/XUCfk+70qJCUJsj7UNu395P1IlIzkZbw3OoRWhY2knHi6kirbOlGQyBE7FSyNqo0OuDOc
swmwH18ELxMS7Ry6tIwNlYUQaGjRqU9p+Iw1Dt72h7M9T4z71/Ge4ur3iybxdYi7n+WX3McrVCUV
1BMqAlR+EpaIihvvAe40R0QozVGbE2SCs7m7D7m2EJhAuwDQUCNSGqNtaPNrUYjouGVK4hDKAi9L
nJQbwJfYCG41bu8bpNlgATR/OslTQ5MTTNNFLuZjLh+y2NjTbrs3g7Kcic80GBNABLzgmYaOP4zb
6UFu5IlJizjrWD8yf2p2clwnWGgfRlmxcKnB7cI60TfMDIK3OEI30InwxLZKV5E/GCelYyZiqFa4
Qy62Tll67fUeUUeqWyC9VJifEuExe0CCqG6m27RUEWoJ9pOeTSIa+A+Jg5r7ed71ZAAvSuyJQWjW
3yEK3HfcWn/fSeO8+f73yG/XoKH5rieJvakNlTqVyCcYO9QxeG85Nu8ICp5wGyqQX6OMOdaGdKmv
tm6yloiqkNauoi2sVDE+dyECdILJs20mG0iNmS6UokIJYnXGpxBQi9aYn1sqiucWOQLeQc/d9oQm
r6T1qvSPlqcYj56UaJXQKCkfJryKrGTCm3SqIJTgZ+ReTjsCh62EJJGqpULliCqoJTZyL3ATfVWV
tb+8rwHloLxQnukC3nFlth3SM01q7Q1YCxNIMPsHP62Uz3Hwhxx2TPq1HbWsTThwFWHnBwWG4C2G
r+VG/MXObod0fozqZtFCCTjw0DCeMx6LZ7Ufz8AOQqRGcc8USks8ITU1n91pHp/dq2G4Qb4Enqxt
MiWrV0mgLqHprsPCeE3MInrLbQQqfp1l1wlCH5DDJoEfAKdtDlMPiJxHcnwObr6au+Ep5im8TFvi
S+4dUTdlMtB0ZfnZcL7PuW68CFbCxaqamxxN3Cg4FKHjL7WimTaz5ZnrzGdlM6YV5INQ1V/k4aDE
1prPjfGSiLPWHHzFv4j+3iyQAqY9H+/Wm3gu+IG9sUcmS/JQDZ354NfxrUmjfIUour+Mpl1uZ6Ov
j/bY00FLymKbj8F0Caw4W9l6a3yCqolqpoVzVtdxzYrfninM+xoNgb+03TGp2AvNIjj0Lu2YUQjQ
LLQKDIg8y5J+JtC4ti+28cPxp89zC+LDnOmJNIBbaJf2+Z1K7M4thL+e0Gh5diym9OxNxbfMqHdj
BUVGVhyB8uSI/AkWooR29mI4McC+MvR+yJYbH8um3jvcoNRan2Se9FDQNsHkfZZHYz3T5/X4dEtr
yQzQ6aFyp4tMk5ZD0FofW6SHCQRKt1+w1K3PcqPQWB9hT031uaDqdLSwanXiSJ5FssRZeTyp2Xff
oJQejlF8lhuHvCzYJNW3bKqVo1s38dkXm0w1aK/KY0Ir0f3AdgZcvPYtE+kkjON1rFnV977hZq6r
FD3dTIpb2qvJUW7wziVkz5JNdx+Ux++n369x/BMZEwDYBny3dlLs/ueV4QCVCcvJmxfQzzLznjTK
OL2VWWteA2QEVWZqn5BEuQ+moX2TR7jbjIPm4+lwUKBYFDJPfpjc+OvrW4WmRbug81me5AnDKjRs
XrndbYeocY6WyTrdzexxPVnYk7hTLB8rbI9p0qBg5njh679MI34nTDKL0E3dsOnXIVdBLSFnGb9M
hJwE/VzlqO66KktvVQyxoS5BK5AkQLQzH5CfsfKWYU2nwK4vftHgfRPB8XJIbmSY/PuhPNvOFFU8
Zn/QI8x9XQWXBklLGCrRdZhM+5aXzacU1cVDK9oDRYa/u3Dr+CAPYwQfRAd5xkZei6E62XV6k67k
WUV17OMQE8hIBciG96Ds//mH8h8zK34mpquqgtLIU84W6NNffiZZXDWT3uvwJJyoRQjVovHo2lMd
CbJyeKp91zpUOXPUf/5jNfX3Wen9l/HrH/yBqfr+BzdaGtjOPjHLWxIm5UonY3KLcqSnJZb2Z0ok
18KiH7Isi+BH2XZ477EVXMmISHbECqnLURzKsWHe44EiUE+M5LD/Vm6XOTyKgx9aZBZf8XwBAjLf
yCiJts0ILNhRO+yavbsy6Q5/HY3aXcUkRKLByJsrU4HPcjyHXbj0SG96iAC2PdbI8xbwntuN1ivt
yqon4+J653LQqHbQ4NfOZjbvqZ2qT3ITV753YAb+jRwy7edQh2/Eg5y2oK1DtMrQzt0mmWjCyK/I
mwkvIt7vJVgPW4QcjScKa344jfHV60qbYHsrWmXepOeHeg6cbVjoL73S1fi7vBs9GA3pBTUeOfS+
mQYTAW5ZdqzSxK64WDULbfvhEnlomBDuWHraeE34RNBkbrqF3KWrgri4OMnPjByRnwOawdFeIZAE
VEo1EdLDJszRiaBZpZ+Ik+mxaqof/3InafbHxYHOJ9rFqKRioPZY6vx+C2udldhOVw1rFO7tUQto
blHdP2geE176MCPiW7X9olV0dOsMOYwUTxrkKy30gtYggAX3MyhKALSvVTBgbs2oI0lTWCKarE2j
fKHmmi7vmE6C7h8tE4sF1ev20E6KS8OYqWiNbuo8UPWVR7OYrMo9uTENL9lUtULDR1wbjzoS8DHU
NpOc2DXIZ5A2A/KWh4GXO1tS6j/Nvhag+AECIzEqAa+GBwW199za5s4nZsajeybfi/eenG7Mu2qY
UNaFdbQP9bQ7prNpiqjmVykkCVN1vgbdRR7IjRtl57QsJkRmMBUwMWLeSugah1Okb2mxJQtz1Nut
XhjejP4ODAKpVkj9CyPZwDsjb9aMfvIR5AnoXv4mpxuykHdul/u8u7KQVDMeEcARxe1s2lQhESvl
yTLPvXbpi6QoB5XOLmqs7x5uXiwfbJjmMSctc8hI6gg3QQ7Ki+9fIa8pp3OSW+VBDr1/bWwZ07Fy
jc379Xbp8u1GZv5r1+tSSnrrf74Vzd9htzYrVNPTmZ3pHv4eVH0f7kTTqfvQcJxwY4S44Toleou1
nAXr3IT6cY4p2u/nXstXJfEFOLayb7JSnmRIuGswLYjEDYJBGkV/MMVGVVCscweMnqo/yGG5Z6do
gIyqmZfvl8oTcjOAQS5jEt7cxnpwh4LgKTMIj1Jx7YVqAR2KfoYsJmH5ueaZz6J44EMT6PnwIvei
v/dy1+7vYwHrj3/+aUn076+LeofKge46uuoS3GWo9oefVqslRARYXbnRhXmlXbXZWypMGe8bSdZM
eL7tkrz9JMfLgZ7unbtp6SLDJFoASy3OcjOWsbb0y2xYvY+5Qln5fpgOGOvGIv/i1KhLS0Fd0vuh
evIGU3S4rWtQKqbohxFsRorLUY4NjW5sh45kMHlIZYqHTUW2hGxevW9+6WiB9teIJYmaQ6ABZVGN
sTmPrTI8TeP4Z0HqQrdQur+8yahEq2MSzBiU5e5/PbaLc2+QhybDQmB28TpwCd5g2TkvasWpdzVh
BISQCeASSNNmB14rZdUs+Ct1Fcarf/71uR9f4I6ja7pHqc50kTg6H3OHTThbAooOItYbnlzV/OFZ
UXJ/N6t+QdRZN5NsIt/cdnMq45iEP/FW16qJx4tVJlv5mnYCfTwbOTIMeanmaT/8HNu3vJb8sWwX
u91f36iM799IfuUsvpEPKo2VDNFqGajBLdZxfd+58Cg04TSTmxEjEMoaxdqiCmzvY4XyA2YwMNQo
yCEc0fqWUG4wue1zhFm77Ml5kEPxFOSPwRRv5LmB/kZaGep0VJQo2KNFGo6pO75Ic2tuNfVTiEvn
vw3lXCWXTvIqM8KZPEw/AgHjgmtzDkwVqHjWEfvdFZRwVeA6+FbIGiE8wZ9m9SRlaXLPl4V/UfJH
j49z1rem5YB75V+mhjReP7xZXZDdDlNDi/+xinycMFcFnZw+pafmKF94Bu3i3jMu75saeYqjVcH5
l6EauvcwqfG20gvzMmJtp8DWuCsA7uFTPehXWXHQXdXd1S45d4MoQPhRLVr4NvOuzAUw2ZJpL+NK
spB3rEu4N3d3pxvpQiaZjCn/9iUzwX5jSQy7bVnTHq93d1AFL8o2uvAqN8Ec/pihOB/lkaFq3cF2
YeQl/tP9lSqNr0WvDD9fsfK4VMCu3sFFQ8pqxge/0+WeIOtDFphxit9f8vLVrqL6WLutWi0T08Dz
GwGbWtyXkXjNtX1ojNTLy9q6q5mywj720Ri+yHHXTH+OO65zxIVwBUgSzZhNFOU8dJF3zMfaxvod
XeYyCx7lhlqv8tBgrn90TH2NMbE4ySF5Uo6PLnHgOAlE5m4eEO8tLjZQLWD+4mEkL9R63GuLfhzd
czy9yqFSjeYzjIyfD43eoaM4Adi6P1PEoV2Wzkm1dGUXJP3nsNKso9wkaBzqxftx79vaFqQJogkg
TYMLc1Dyy80xMXAqCbbiL8fYULqjhuNPoIY8yyGASyljcq4UNHS5ErdMZap/eftYHxeDnsFaUDzA
LA+ZEpWJ32eNnR/WAQlpLhbTqrrIuxWw0idiyLzD+/3cAo2guw0Y8Jexwa0AKqSH1mhYp9ae+dU2
rvTUs++u0zyDYVQWvCIIR/37EcQfdCoaZmLyCUToLcGNmZceGmQDtz7/w0kFDsa362sBSHeIe/eF
EJv2OSd0XZ6DAjM81cTkyqNINeZLt9JmyzzYVRg8TLkXoGUVu75ptkskStl6VAlJuw+a9b+s37yP
T39+fKamayavbl4B7Pz+44PoX4dVg4+4Gry9kwXz1kkztIECVCGRFRJeIYEWpDwbKP7yeJ36Is67
Jle4xu26l5dM9vjs1zPVXtPWHhyt02GgA0vIUv3BERs5LjdeRipDPKc21Eiu/TnGJTli6nNjHVPb
BEcmx+WXZh6tfDtCWCm/3fsJeZhDuqHXHGBi5bvxzvj5Z1Vg6Lc6/eqF6zdvVVS7S49KwF7xQ/U6
Oc23cgz7byozOrfaujUGNYUIcicyTyz0sdt3qWLDp4KQiX7FDYVTl1H+QilZDOIy2ljYdcgRWH93
cJQ9IvjTH8PS0h4dQk9XKQ4sIIddlmAV0Xh+DlGFz10coypbj7MD4ztqRQbj3BMcCDkAyirgTG6S
xS/kAB1gIr117DPiErkJWK8g/PWXM+Q3pCF1cv2XWcHvUSmswWxdQ0FlmeTXma5pfbgvfFeFHTG2
xI57hLJueBMUSHyg4IuUjDu1Xe6Oid7vePd3y3nM17jGqjclmI0ttcpuIw8Duz8TwDRdW4g9ZwUn
SFXCC1yPurf1YJ8cDaulEjq5qOrFoSyMenVgL+RZ26RXnoQDv+OBoEkWXs0anEB4vB/WonZvigSH
oU0f77BB3XHNRxi3N6l3Nrihwkm1XgmrsFYzKlya/+lhJIjqOlfhraTivFJbAx2JaPTLpj65sYcu
LuKjPGoSFT1+YDHjTwOdzLXaGahzFOolLlhnFehGH1qs7hePdM67KLBpDRZg4oTfF9FFm8uGOe4A
qDsNzro+s26oC3zrpOz29+elaWf9aW7VDSFWcFZLULsokKbX0bSi9TAYwX5Mh+mVPi8RO+hYWxWk
cuLgjC/sVvmXSaGu/r4EEr9/12Hxo7mQR/ntOx/KOq1P5qaZMp9CcHlB269tdZUaSel0GliXJDw1
sZ4vJBofRunwhD9xLU+iNtVv/QCExJimJ2NGT3GnB9vBSFp0g7mwDqMASqSfPbeuepM3SeJoxtrz
gnlH2Yasl8ZJ1lgJ6WuHRb2sVMiHi6qLzVOY1gcNigTxZXISU41bmmfTMRvIvNEC9RX3+x6Nk/0d
smgGOWZChhVa9c4LMGkn0MUwz2OVzWbH/p5F5ZEWbvQa8Wtd028QKlpKBaKFaR8mGO+LeUrRjWa5
v8qjttpnA0a/BQomuvaGCDIjQOShmnjTE9RevTENVJbApMrjOMMs6wGGwYOuXkHByjWQXPqYeW1A
n5rKlRzLWVmurLx0ttiuxjUL05FahhuQ3+3BfJzU8qVuoQi1sC3+aMOvSlm63zOdZn4/qzxz8Rtv
O3K9D0oPjsiL/XKlKaBnhtE+D4Ux/0Goy0F+fzSPxrrMuMkNypLCwpBLrvdfQ+j/5BqDE52JH5Or
JH1YbnBxNo+eKnA6Lu3QF7UaD6qSooKiZn+Qk+pQ09vHyWjXcsJdhV3zjAZ2GZpdhi4uDAmTqMJP
LDawKaUOYrpA3bhtbW/lYa6/mVCGXtGsjfvSmPJ1JK7y3ORprrri2syIhZOs2DG9QIyEkOStYWq1
7OK8OgOaNa48ts9Glg3QdRD9AZQlAwRs1VstEpnJyfo8qeN4AKXGK1dcViIIW3R8Zi9C/XTpoyxa
JKFfbaF+zjiaI3NLKmwA5l+1rnPd10/MrUkfcswrJCnQTOfcLkeqMhY0+L76ArY4PYYDpGGAsks+
lgFK8ElNlzFiJDIEzMdKMDp1rdrwiLJeGtXGE4tN4GINgYU+wrMWKBnaL3jg4dMvPXuAYCNYtrk1
K9u48IIVIujsFuWl8pAk1UOhRfqDPXgPcRqlT8iY4V0YIZNPUA9qa0+rakjGjRwzWpK9HcgVikW+
xj+/LXgn/LbC4HEhZAlMzw3NAolpf5xG8AcqLaUPdcVLJd+1VWc7gEKMvRf5yVGfOvMB8cQ2akz6
wsITOc4jcvRqJOC8CeyrquEBpAF/i6wQYPJcD0RKdO2DdEzKa1u3WRQkUe9Mn6QXqELqvoxtVMba
oO6JgbQOKToYItCncHyJ/Ahls8eyPLX69YRIIzyOVUsfnhLjsk8R6Iq7X1p2DHFft1BZKEupxUqO
ybPyRGYU/qpT1T1BgNHKS7X5q4YAqm64rYIpcDZpOQ87oqtbjMbK3jdj9WvrdfZyNtv47HrFJ1cH
6c1MYmNkiXaRomWDvxlNyiTb3zXM8eBskdjjR3kNEgMLkCgzURLXftl8GENfkGE2tWNaUvlBBz11
EhwUEJBNDpbNT7dFR5VS6cX7Tg4WdkpkOL5npfXKLa+wYD2alE4sW08vHj5D/hUhzAOqSg8Ax6J1
RYTAS1NV+Hi6IV3YQ6Rs/yeF6R3KNDh9vQ4wNS5KYMPWS/A3ftx1z4i2rP55zLynpEVt7yo9lAAR
czFS0H0yOp0av5Bxqzi/2krRtqk1a8usmdutfKbIzQSMi3y09kI53kLLE/KsxssCyWTWurWmjj51
O3qt74fNVDITQ3mxltMFuUkI+VrhOleXs5xXyEFbTCQgVN9oSkTLMnKzwzRr6glBU7MxSi18Fi4J
LNVj/6qP+RcA7N4f5vjDEQT4xRSaayR2ybOsyllWXS5b7Hk7WbPzqQbjZzVO8mRQ6d568sJ22/dn
6S+g1mdvQjNWgPzF/Rs9dKIg5hVIpH4XUm69dc5TQG372gh+eEOFezFBkTrIcwa5MmjfgftgFqLo
wJ3QER8Hpm8qbnFhKuvZ90KKYB33emfVe69xHuws+hM4Z3dDoQtYI/eyveoOI74kHKxu40c/VHLY
FW2wv2rDEK2g/Wnre4f4nx8fmi1mk+8lREoTTDdMU7MFstJRLVs8Xn7pXk0YxeoQtcZSTXvd+V5o
rBMHp1RgphbdZyBmq5ikgC9thPk+h+mw9xwkPkOlfk1GH61+q3OvC3f1fVNQOoiGa5xaydIqXeEq
yY01ZDL04CykY/IfIeYEQsMdic1sQpAGQabw9vWiVSyTU4g5NEhFt91V6FhE2SZ9+UJr76C4/vRF
jvtjNBwaTSteTN051LXF0pm4okWOR+ESR7mzdKeMnJZeRc02+n/0VnwojSA+2ihG13pMnrtLxtmd
Dybn9bIHMDn7NOWvh7nipGVVTqydll9aTbE2hY2hEN5bskGXiARE8HYdL9rlahCdlTuAR0+zFQZZ
WtCSupvNb50PQGAi0JtkRaxbq9gfOkz0EODaHp6yU5nkD4WNm4g0S3V7PwamT2qV5n3C51XwCKSg
Jj995GqIaq16kUdeGSJ5IAK2doyNik3vA2WQtNHwjNaRio9XhITYpNhdptZ7SPPCeUwdMi8ln0Lr
Bf9SLbmnuRZHhP2Wq+JfKPaG38cilaCTrMX3UXnhlfplsAuowggco7uyxkTZQqgytq1eQWknjfYt
T/qzYTcjDrHAOWPMtBcTBadjWwVUMFN43UoWFnupt2+80gJ1GqUr+TkD7IVwsXMf+8CdVnGv6PsG
pgHroUrf5UpQv/hJdWkErr0aVaizUWXxb/N965V0ZvtxwoGypIUxb1VRRJAbG22lneGzTtW8AiwS
eLsKIPl2tM1+R9NKewlM80Gaf+qSwPGqwH0Xj/9SOOFV8vFDx9xUc1XNQ1DkWpr+4UNHxvKIqz7j
BwfdbW0L4JBhliRLyV25aWOTjCnPsCiFid33M6r7GcbpQSftFaOjygKutZ+Bwtrr0VJ9cvHy6QI+
hmWhpmqbFNkNYYZqXO7njqBkczb7/ZRRtSEIBDIfkCks7QRXBm853UaKTJP+lDNx3XSKrx/BCrdH
XVNBX44WanBDq57kVFpufplZO36zcHK7eNIHIsmgafhbDfnnuojN9pQp5C6L39Q4Gt1KIbr5lA/9
eClqoMUkf9s3bx7OmVu3PLZLEPiigwCAEO1/5psLkwYp6VlxRGebx5MymvM+HX0QBxLyIJ4+I6xi
rW2vVc2HJFGaco0byr/VmL57W3+xS+eBzqfJsrejpA8WvjgANC8OTR+wSQQPqhnhw3pxSXzE0G0A
1vdY/AYwPHJwylt8cF32oFptcSEmCdVr4h30PFQPpmAF1H0Wfc5d47EndfF7NgCtcyb3ZrsohhMn
zZkq+fYT1M15oQMB0xS+v2HPiHrVMn4Yo9lZGlOdfS/QBxaxsQERO61FzsNlJItm7Xsua4I6Vy5y
09Gj2HVYp4pkPpUlElkdG6PcJKXzubZog9kgHFbQ0QB+AoTlqd42Z7fR05eqCTYeMsPXjv92usHL
RR5Gk/8jSa36MlKceuqH+kV18RDW7mOtZf0vmzFXvzmpVew/jOd+eQESoR8GUtiYKPJBT83h4mCq
2lGi/OZV3RICTXXE2UqbPm/3vKU9986Y/WXXwAizdubcWuDxSI4YVjM+t1V1lRtgZVfED+05mIMO
gRmoREOL4agj7lrKK8pKr65jHonCj/XUEhFxnpzxGvQ+L4ah9nbDONeIofGepWExM9fJ6pdQJ/o5
n4ibB7nDQlolMsNH6vWUEqax0RBSn7I+Vfm3hR6/0XJ+ZDYFlcHPpxfKJ2joB3UzYXOCylZU447E
5GKli7tPM5AqAE1cZH2zDJ2KN6xA2rmTa2+Ukl98Y5Chw8p92E5wH17c2qL2CITvfqiNEYnjFFo3
yHvVF1u8UbtSVVa2EVrbRPnejUFw1IoqPoG/jE+VPv/ca+e8PATGtJz/Pvl+Waynn+nPIVuL7YYk
Qbm978uL5NfIPYNf1dJS+ng1BfqOdVp0iXVXueU5s1MWED2MDA57a+qZfccNKeccmk5frp2oxvYt
L24SKpyFO6/uZ6uhOcyoP3DCiG81K+rZ0Y2vKXV3bFIEZJCpE2nWW27U2tXGmLZPa431q0XQqdZ/
dbNq2CaGU+6CaqCrGFQmSSNeedZ6B1G9iqVl/FPaDuR5Lwn0lVt0RCTmDkvtwSECWEWGvazFesSo
9PIUU+7RRLSf3KToXO57DS+1/z0moIyHD5eoSkPspkrce/holnA9ET8juzgnwC8AUrnzJcyAKDLj
1zdyTO3G+dIbkbajGM4iR1yCoWOA2LrXu8xbl7rTrf3Czj6Jyncv6lGxaXl75mA/YCXxZFaDsV2O
bWsd/NY0oC3VW69RtKtlTulTYjnPemIXu1TJ6/Vg9WW2km//lrodin2YESMxy7smKUtEn729cbS2
v80xhE5bBJO2JJOXStV/rRKddVzmFo/v1wIiua/+WGMrK6kcvsuHzXhc+gD5MRjjmdrqhBehfwhO
Yaal67pwpw2ahXLrkSaxa12zvM444xDZ0wdw6AMg9vFefL8vt5mJ8HQuPI1lvX1zsqq4yo2rjeWi
AS95kId1XTYEwjgdqWMgSv5lrqx7//Ha9pgtU561PB0Lxsd2O4QJ3ptmybuiyy/o7IZPTNPHrVbU
1VoeRqSuspepW3mozBRnpwRFmDeE5S1WjRV5WPuC7gW5hT6p24b3p4N/vnWC5EtfA1AhVSi++aWe
rBWfuVpW1awOyxKH95gHON5nc+leYlGdtEezOpp5gpBSKdNbr9X0lrBmSlcmZQ99MynZtw9uTenb
zOJvhWXU+uNdGj67GfnXFvKwtgEa+r5Om2JIk03qDy9RmMZroOj1qYuRDMRwvm/C3HE1XAQHnc9r
O7GfkKKTUDx4OaJjwtYSoUR4x0PKQxiMPTChGXva39xICBjBGX9Vu2va8Q9pnZknJOp2Gx680GeC
XIMva6unOhnOs8kcAT42DAeR1qlGyqnuYStLYsjfQyTeWid5JMfL2jvJoZZnVbj8+4vevw+m0vP7
F/3+fWRCRuhG+DfT7iSrFBZQt52SYIa4k0icMasXrD9hN6W9yJ2FAHl833h1726GzHpVsQjRXBVn
M73/M7ZdBPyYnwmT11v1JDdGUxSLubLzjWcW/89+NMs9xJmObRuaqiO0sWWE+C/LPQ0PNDli9Iob
3i8LX3c1MOqjdeiBfm0suhwvWe//KAqYUr0bEuTZhr5zwXPpIGVCQxBpRDvPen62O6f5mmn5YoxH
DG0BgkxBq8VcOS4xt0C2T2xjP4xdvPo/ws5sO1Kj67ZPxBgEPbfZ91Kql28YJZVN3/c8/T+J9CnZ
+nzsi2IQgKQsKRMi9l5rLm2mUHp6o1w9jWa7GagVWDiGSgg1sxLFTz0nB81uwtlqFp+pkFT70RHe
Q0g9sq+q8BNFFmhBIbRXqPD9slQS90H1yPf2IZtcepLcdiH5IkenjuOj4dvutgfOQxX3kFgaLv5y
0EjZDW0+FIZunOUmBB8zLSLwj6fI+C0SjXFOM23OWBM53s3ivqu06Z1gbnWtxKq9+3O4GP2mf0xA
TK2mLK6IgNStZRVG4OTKhuTc2C6P8oTck8fc3KVK7eHnaqkRroo8Uzft7PUkVl655l3+W+r47fHr
0PiJaFC/NgXxyzFgHacq7GPomy82H8doqeWmuzFCA6ju/F2A8FNfJxN7GY3Bmx1Pzmvmc4O3gOTc
AToHDJqHaDg1FnkiVu+dXrOeFeQK265qwt3U5eWzXaZMrjrtI1FbYgJDz7nGPWyutBekH2re9B76
ZGTMV5gVDVbRK9Wl8XiITSOw3gRLPd2dLn8wFLJFIjmkO5jujLainycrIqPnV8d/vyd/k9DM72dd
paekYiyhJ+Vo3xRQvep5/jDU5lIfzOlggam+yA0avmRBaGkAqMH0LqrdmfSR/Joo7rQcrnPJZamK
rthFVTI+cKO2rqFyG9yOjADfEodYIJZp48PtmAkox1KKTeUjKFQ8Z3rxxESSpzHZJzlkpsa0Vwuv
ctTnm7qIlOcyyvIHAcn6dpQP1BnVApqx+Tv4/ahsmSDU9yJ0s0VbCGcflI55DfXevAapvUsswMCp
m1lX1iDmva/d6/AVMHGsQVyFT5Rtja2qlvpOU5Tuoe8wDFLfdz+j0V3rRmO/W07pAsZUhpOTTNq5
LCi5YCh24eASoKHnYXvuVRogEA3Y1cOtopPo0WUaA3nk1wYNe3tWNG7XxCDtv07K43LYKskf//4n
5i/6/bGLMsrlsatZJpMkx/m2Wk4biAoGMqOV4xnE/SjcgUK0+HcaILOtBjvtqNPfPYrA7LcpOAwi
URKxynqgOcmI58LocV6jtt2qxtP8AXyUG90ksaLSLGUfVVH4CJS5PtXj+P51hZp7A2owTNzymKZ0
6YHy9nIAgs5tbyzfHY+5Zm5w/2w1X7wW5u9xEpfvXqwZuwrNy7qbrxI27RMxetdW17M7jViXv3z1
NFFAL5X6AExSv1dKHmWzUZyKMGGWWaIwV3LE/ZTneH/nE8JCI5AOTna1xwaqH+yglTzR2ry61Kw3
UxTra9/PHBSLsPN6vw3enQKngIv59JTbbftsFup6nI97rDR2gL/ctRn7AR7R4K0cyvbqHOJcza99
JSYatP20ltkcgTuUl8AqTxR9tMdorIKV3EP/+6rUjvFciSZZTm5E25WAhoMxFKQEa57+2mgOVnMh
PrOJ4PPMN5tHy7bKnR3oyhYVjfIYW8YfzZSKz6npL5WCztzzgBB1sVkechTDMJNoDxnuNG0cb+Cp
9WuPzpa6KfAzXTLV+p+zxXxMTck1LxXjUNG7PcFiNNfQxYznUut/Nrrd/D4Q74WEePxgrZ9hnW/T
q2L4CAAnx9q5QBqP+JaPyBSUDY07czcYKrNjzX6JAHZ+DKx0FqWS8gkNS/UwtAoYt97QfnPMn/KC
EOYTQslmBZa4p9AEmBC/xmsTju19BDf4qRwhvNIk3xEhhquayee5zptsZw/1e9752llu9KH8c08O
NVeF6O/W0Up+wdd1PcVS2vWi/5GVAaljejj+R5daiO9dal3g24OUQGQnel31e9upCgkUDeLQ4CFI
+fwQ2t2j57YkYqqpfyShmIazLVKi3JPmZdCTz5YH/kOkY13meccdBrPOV6/nNqlKctDaGqGkvvOI
j4Cs3bDj9mrVIbkSQVgRKTLjb0sv1BdU95RnyAQLZV7sKIkzr0GFcxuGRq0tbOFuZR1JmVRWihpa
BllHgmmq3APmuQlRpRo19RCc8VxoblpVGJD9thkawAr6IpgzHGSug9y0PYVD0ZgKmC9OqFp09fQe
mkU9gGFI22d7tPSzH2DjQjLfrTOnU0hJK6KV0hFDktQuQWsmYU3ZaHxaltFsbutRNfUw9VjchJt5
PSoXpbL5K08MFQu02qcU7XbKXp3B4eSctMRFas2laogL8dyi2iBcVYyVPKOEydl01OIgR3Kjz19R
UPA/++Pty7FvzMFEur/jDsxv2pTbmrQo1cnzHXcPaAi3g46EJPw6JfWTtZOZu5HWy7LoiY9ZyVwJ
iLyoi3svmA7VgI8gg7VRuSz3fK+a5by7f386aN8U45iaQcLiXjAMHfU4WORvTwetyQFW9C3d5ToJ
lvXYW9zG2eiFZRGmEbXw2+bd3LkggQ5OeeEgnZeH5HW23pXdgglWtXIDCqBf3+F2ZqSbdDDs4iFQ
m7ckDN3fK1EuR39UPijh4uku6uqh7vRyOzUVVUXidPDtUW0Y1Fx7VZPiWX6RFVFd9OBEuwbFFvlO
zCzzvh7i9CLfpmMCF6rQMC7KkwOZUucxEg/ypHybOqb9l+uTaJzWsL/NtTwpr++5Xo7kRrX0e/JF
0osc/f+uB3GZVMv5Wvla5A+nM8NroaC+lj/dIKLtXPnw9edCrDz067X/0/W/XvvX9drfXov8/mRu
/fna+2h0znaqPxjytfzDtfL/Kb/br2vly9Dz3NoIuOKrzBb3cWT++cv8+s/+wxf9+uV8XS+8ZFq3
OVA5eVL+EJMXdBsRnLSn2Q3+T+ntF3eoL1EdZ9fSaYsXS9De5KjnuhnN3OBJjkKIkHC9SXJR9Mh+
4V+yrcvGxJjOtSL1k5VdGfVeDgN84qi7CKiRFytNuB6cUX3UjUhDS6DcfkDSWcHFznl83r4oNWFC
xEO8kl/UIc5ep0E6baJpf7ul4HSPT7j7t/KOIm8mweRCDuyCYZVO5MaqsVZcCq0Rz55eLRWQrW9l
Nk2HNkTfJoeAmfWlp7M6k0M9bBZJFeQv2SSss24g+jXge7/5sKvXZdCkO5TK2VsfSTlo8JDyB73i
h30EWZ69acDytkUS2mv5zeL5JUxWVVycwRLPU8/dYv5m9d9fQje/BEqzJosMz4OMoFlI+Awp5JJy
VzuOnn2vRRc2i18b3VO0RVvm/s5Fery4jZkEGJfKMPoN8aYkCyD3DiMjrpZ9iDHQiscQ/ubcc8hn
Bfwcx4LMlK5CUDfX+eIbG3c+JL9gINvmmM/D1qFpVQXir1/Q0NgZ4zl+GpYqdYH5Yn3+5ASh3mz/
/f73zQKC9QOMk6U7ropVCI2i/k0thhbbCRPB6hhti7vsZ0mHWXb3zByzm4aj941xrdM1XZOsdgdl
PIdmrLebjOLUezoBgKS5/sHaulwVULBOKIUqav6/2ZhAtkoR+2t19kvLYXyeWuGupE7Qj5Tudl6q
COUwVQp/bQFCPDcGgQiZ3p/7DIO73FNnQkzgBsp6nI99nfi6rgiFRs2+VdbyWNMk6jLBb74VbWBe
gGAtiBBxiVh0yux8m3h0g0G4rXo0IvJA0U3orKMi497WYPWqQZHToQ5RsCkljh/BX2Ylrxnr8uCH
HWZqX/FvBceQmiK9MuO5jvVqm/F9d1Vdto/yCqh38X9MoXA0/X1dg5TCmcuJpm3paID/x/7R80xN
EhUbS2+lwxV6YLRwVKOABJ13T8LMaE4kVbzFxts/DRZxr/xFKJyV76UyeR8akS950CJ+GMyI0lmm
fZSUpWbDufpcuLG6KtzOAdAvNkbdpdeqdrDy4Zz/NZojnWmHJzu6oeGxnfqQkFIvOMrh17F/Gsrr
1HTgw0hkR22P5hmrGXY3sMesHBXWp6HIj4FN2V54fXSYNJplfhD7+8SKYiKztFlVpdfnycqDrRGM
/jJImA1BqSkPFctWsdapNx/8RKvhU85HAb1xVO6a86moHaw1/ASXIpwCNTpOus3EWuvdqLxL5MXx
IxXqhgCeARS5rSTvBdTLVe3aR1d41NCHYRfphq2uUh2rgIubYYYcXEWuAlPK9wEyVVB9UXfWzKY7
F4Oe9SsQiWiwQy9fUghz+O/Pp+gIdkAsrE2TO0860QUHp1aHQ28ijiXjkbHctBmr7TpN3tHP2d0i
UMjnlJupSY7gC+v91yG5FxuBckrV3ML81FjrqTCogRIM9hz2mKVJE3mcMrAIZT6Rt9LXOxH49m++
SwmLyCDrXvenfgP7U2fp0y+tELdpMgV/buQQ3C3qBGXAISgcMk/Vurob3ICo9bZxD1D7xmPuBOWW
rC716GkYxcJUfb5FjbQGk+Oobsa91NjoJKucVG+8NtF+RDDxoqNEOzY9gFk5NMfE58Y6EyTns1Uc
m0vVpopKgDCk9jZ/ptYCjwhMFFXon1Af3EerAZ48hKq6zTzr2wU+GoiFYwXmiQViuuzVwX/52kMK
8pbD8XPUeNUppf5Tm+KfgAfit3ZshqXbCIxNxBhujKRtz15n5XuQ3xWZdbQ5DObSB759/RBboBuL
WrnIUdezcIE9oVlbyjVEvBmtcgDISIdjpojNZqIwzLPtkNKfCxXxezOHbQSgCjduTo0mHvpl3qVi
nTQDvS4bfkQ+u3B09Kobdxay1oGZ/Gbbpr/ME809l1atXslk+ZTHJw00CPqeYpU6RranZz1eaQqM
gMqJow5ENF3lMaazhAI6mETMwP9ZDh1B16XrbPw5nyDohuCMT7KISag12xfuQUeZ3znAqSOWJHKv
otHNfasWa5/f+iNqyacc0SEB1w3CaYph59zHDdcn+R1CzvzOULk1L4bsxKKmu9xG3UCZN3b9OR49
Oah8cOqlF4hzqAb+ne8M0VPsVtnKaqf5PzP1T5AgWA5ahI4LIzB3uaFix0ai+agGFVlVjW++Qi25
AHgmXoD7vBSI8HadACaXYiflIxOU6Z2Ni60VHsXneS5wmySYZYEGEopWOc+tk45SfWp61LLnBoKp
99le0DZaICCkNzDlmfiPG735TdCPOkLXeDQLF0W3SilrlmD9peZOiA3mh6L7mU5tsElG58FkQvmW
lH269S2ShORQy/P3Kkuce7OtHBJlnIeGovdjY6YvlLDHRTwDxOvgXGEm+VTMAT55GxvHgdjk3jWc
PWKxYh3PtOfSULeNFqQv8njZRz8igaCR1iMTo4ia1hrBdIvYAGloDOj33IfP8jOcRNEpHpr6Ikes
LX84mtuw2uUNId8a8k0i3y4j75tiQCCGgIDUivmKBAbBGo0V+EU/83eg2P/wpqI0D7WZd1tXmf7Q
Z4lf0Ib2f+hpkM18e5ICOaPYYdkucB0wtf9jpCQdleYgXP58nMy3WhQ/+imJHvHqa4dKQfEl5aOT
8bOhsP2OOlBsCqXRd7UXRXtW2B86Ne37yvMBL3sKt7Q0HO/lhh5KswkHdVrKYeIgB48qkRwCMORL
Aw3Ji8KteFkYIn/xoSUvHf6St71sPiZqZ4n0AdNpqrkfLcoPW/GV35U6e7WrtH5N6tykGEAAEnot
Y1kb+jLFHP9RK/R5tUzJHywrqLYEXOQH2FHJSbgJmm7wqDbOzSk7+VWwBsyiX6wEqp0LbWHTuU0B
zZTAeT0zqScVMY0yr7oyAc530G/noLWh2CGEwPhRiQoLAVK8JBySddQE8Z2PsZNQG2R/VdISrGun
6jlHCnUtR/tpgDyzghERLjPwy+cyGBUCbtmTG1T+xUkTODD+flye9P1ugPapxmTV5sHCZEb71FpC
ua8aaytHaCbcp45sqMGnsj2fT9DwTkrd38mRS7FswR1nhKrEySkIYzjTmBgp0O/sxtMfrIElgvAM
EI5BhBOBXk2sBe3eAa2w6eNJe2uMGh4ZF+BZHZZDQHBYYGklIjZPffCQAm29XAU92I3qgzzGquc9
MEEqy0OYmHsQyjys5uuLhudmUu0UEYkdrbvkgO8ZKL3RzI+OsrlXgrFbVVVbPKdxLBZ9yjMaoti1
hf8Hbjl/UIaRhLe4bNbRZOBbxRa3UrVhTh63yV4wEuPi0uZdqniDt7jw2pWP+PaxoexwX0/jBpSW
+Zgm3g+HKuCdYiv3YRBnc/7DcF+n4sfEMm1dIuZd+ywXz5Np4drpw8NkJMGh8/g5ikJNi9U4a6Au
rvcKZlpSAp1qD3km2eq4eJj3M1MAuwIqKEufLaBVJ8VuWeAQc/Q+OOQeuFVcnKsJtSyfrgNNwT3h
MeRmza1aXfT/8ZE3vtcfsUgJLFIWoZqEiVpM0/5+U42tZhC1S901f+kRLWAMISY+TEhFNwe9uRhR
W99/ndBAUS0Q/bYXRKD1fVURSG2WIPo1u6wObTb5F6ecPst5dqX4BcAAX/sk1Nc/DGVJYcxUkKfN
joNS1z8CSvAbeGM8SLC7gPRNCTnqja4P1sKgLRhCo1oX6IjCahgWRlIVR1Ov3Zd8nnXOvzAHedJu
gpW7nkOVaazzi02agKC2nrg0udYkQLs5T0H00g7mp52mSrOPG/XRKhIMw1VTLQ0typ4Ut+Y+ZURb
ORqnpj4QAZNAkOrmyKgMpnMN0spSE+fcVoPNJN22IYRxiQMkZnsbymtQwttnLRDm2pqCJ4SSJwSv
1dlsItBMcvdr41TasbILda8OwEEWsR4rpK5ZQIDC/hRaVX+Se8UYEPuruiURe387kTWEnd0uIUez
QmmF4wdzW+la4dZSjE85qlMjXVp1ay/Nuk4XPta3d98h8xVxY3PQhZ29jf2Z/llxN/qpVTP9dosL
JctuM9LRWMqWhTWUysLpy3Yv0uBoIQ3+hCPU8jgdrWtAyt/eF367aYbcvyRDHi/HtQtB8lm+E9CA
E3fzLFdNBJ7Px6PU3rDW8h/c0nwd6sCgCdrpz6qn3UblnK37ayTP/boyL4V9GqYsWbSW8XtFWf3k
t7p4KuGDLvU+qXeDU4qn3q3JBVITd+U1nM1oHmD1HegdGC9fwmmAOtauBr2FTwqDZNIZT61ijsdk
UFGRFKb60vVDvHP0nt7fPMQPXK+dwBq2ZZuKl7oy82WGTfbQ8JkNkVVtacDrJP1lW7qE+qveG9ah
s8BBDKNeLKift0fq1c4dPCDchi7SqXTK/ZVqxJQ+B1SbkZlZC+mF6FxUAHxPOHPSGoEff+V6UX3y
i3c1xUS0+OuO02bNFU8gpuVY1KdyqiArW5G2bmugv4Ro1Cd5Qm4c/goL2CPVWbEo92PvDRdTrOEL
gc22yOfkrw5wKwLtfKHQEUSRYIYLnrvoVnLz5wjKFnaH/s7ti7RGJ3puoaPAsEdV3efcfi24dfp4
F1WF+iS1KAzowKlPUsnHgDw6zG1+TO5zqPsPRhof+3lJoxp2cmrpYfLHyJUXz4rGrTqq/dqecauE
0hCVmzUzWUYHTt93CrudJrZFZqk7VVHqo4Osgbgmnx4eBvHxxSva/WBNHuJ7vViKAka7RiTelkiI
/jAVVnN2VLNct4baP/tVDKkC0OHKdBCVuGYQzIEeRX6kSPnXjTymVR1qHzWxCfkpSmdJDg64LVpq
fBFGFZL4Ej9YB2OQX/Bj8bgEXLQk7PFoqT6Gy8pvp4PdXe04a/ehxJ8mtvVUt5m9QPVgrJivRQ+k
TyZXrbvkVU5oznxkyG13D7ic/udApCHpJiOFnrZ5SMHJL7NimPUmBEPFlKROGk7HuNC6I0uhH2CS
6k0QN90xJibtCFPWBQ82jy0zzw99M2xtkEU3TdtoVg/IzNRHJcnEURm1Z72blGOb6CxjktC4tLVZ
7Ob8akyKWXqph7Y5hDMbmNJhf9Bt/sCzUaqihDJ/nE1jMB5+jUo7MR4qe3AQlbRzMJUaMnfJ3824
i09agmCVdWk5rTPkhKfGdaK5N1M/dZ1iI/oX2QG0Aj+NoOj3KcKs1uX59Bxa+VtNWOzPsIvuURDE
r/DQ6Z2GPWIKMJp7fqq+DJoE9+rt/6ElyRpIqLmkXNqTO6mXaxUD5VIz6P5Ci8ouIi7zi9xjKobW
csRhP69I7SDD7WFMFuFKEOIGaylRGQrvacg2vbkM5spGX06wy6iOrnPP0Q6FmlQPMX8dggdUhJm5
8YQde6HNimW3YaqgBcFbVuX3KfK5JZOPivCCqcDi61E6pMBo2ca06Ey1otA/P81CTawdX/3M8kjd
WaNn2quU988u+S/Kynf5AGo95giqZWrIGPHAfW8QYRH1g0BY/pJi5tannpMRLMmdtNc3HSbJ/VCO
FeJIu1i0k5V+fl1BGRNOYXnnG6SyKrYxrIckDRZhX4aLoYoAIg/DgEyqmX4UAoNuD726Ub1mGwWR
s50mMi/VutnIC3CblKz+QbDBqT6NgyDCxvI0fiOo4oXtPiJuU5/yxI/38PxqeNUGGpNIG5/4fLYL
DY0BSTkhtO5s0m/GDXmi1O1ue9PxqZ1PPKtRrToJsBGVZrEIZ6zWxIZ3WYTDFd/SfTIb1fpa7LtE
b07SsWSvxEDrpFVZ40tQ6KRG5TIFUA5atvCfENcCTzPVd8tKeFeWGKPkUOfj5eeXfy9pm99klvMf
DCeoxrrYsG1Wdt80PYKsNLBTvU8s5NAzJ5r1MlUD2nJwih+5Qn++ENFPPDfAOiNqBuCJ3R0NAHWL
tkJ5RMAQLuQl1pjANLGdtxbP3hopSHpy1dw585HLVzSUS/ndFIMYoymPoyPS7Uz/gyfMVmvdo1CG
nSGy5qc/Ji9k9cEwA0+yCLxCf43zLFnidNKePIWUs35wnWuu8GoFvzTUxJ6/tb3WPRVeYEBewruk
+pY4WMxod1HfAARRonnWNhBkUqrU56nyX20vwG1FrN8ytbVihyPfBmrjT4epV2+jHtHWtHIKW/mv
+fT3WrSgGSxsw7JNE+4AdrC/T6ftsjYIxYkpgMh2ftSjZ0tacoZrw8pW4Zgm40LJ8QaGjdPv3czc
x7pWvxtqMa6MwjOo7bjjUVXrixG4IPyj0SqwxrLS4291HPyUHmsSn/OxTtCEwkCTGyw+n47uBDs5
UtSK9F+5W4kBGGlgsrCeLxZxjCdXypytpo1XOd+eH+a+QpLp4qVWM22ea1OUvM3o4bYxAZD6Ig//
o5pzK9f8xTGnaao2W3ZYkiCwdo3vMHDW4K2HHA1muo4G383FT8cO+cBTp0VSZpKAS7KPvSqasERl
qZMKiCjGN8h5pVpgL2oPxeIU2NF94dsVekn7jzbVq301Q2GJ03F2Ees0ZPVRfR3njTxWl/mwCLiT
HREy6fi2s4RgQLK4dtDxuzvLZfnJPRjmvu6zYASwthJuNL0Ucf1Hbr4WJExrVaY/439tzr0Qf3jF
0B87yF4XhZiOvVFb7hKaSLyYeALvWIQSsKcDsD0pXbP2K6YKZtgpq8Gxxguftb9uCpP0no4YySFI
x4tCBPwqDM2J2Wn8kgiRPVeRKbbVkEKniyaPVNbqZ9lQvvad+BkOi7uqYNOvW9RzGT7hPybAv1cj
MIwHqxwFsauVWAKIMB60+ViclU9xP1kndzZY920zbTJsgWOnOE9mr7RblmAuYMh6fDBxXi8MJ9Y+
QWLsUqgFb2GREcyhu/VxwJhzV4+iwyU/l9Rw8ADKuaL8FosS7MlSo3hy18Nb2Ss8VLdF2LqPbQd6
oVM86+ecB9wNUfIx62VdP3tOsRUQEw8y2jeabRo24jHN6LvUuvUgD1NP9/cW8w/snFyFNUVbWhFJ
DqFl/IY/XtuBvKASoLbNGTDE0vUH2EdVNy3yvjCITmdDmC0JgmPeHsxGGA+pX45nvUvv5EkJayYL
kA+tbkfbhpvjHjlmHq/p1rrbgnjzRTx541lRNLqESXSaZmhIYFODDEsS6QoWIjSVe1SdcS7qTT8v
VjPFOyeK2zzmqe1iKAyp9rpusqP1ES5p+CkHuaksVDQIDxkXcFsPCNlZFNZTcqhoVCVW8dB2RvTp
2emzSPTuw4yrN62xnB+F2/4YdUp2eRz8Hk2F9lszAgcYLXSrXTP4Swqe0V00TfxPYzK1giq666e4
I+l83vUi1BnJVB7lSF4r9zrWRtjWK3eDOFsrP/Ki/ogKpd9URdYsYs2uzEMf5a9VNGrEwrvOndwo
HVUWOxndxdcxuedH4DNaFWLq1wmiiBNcUQcwbe4dM9Sjb6Yk1kbxNvVr/9JKtfmvofT8tFNrbcPC
F6Ceko1caGnt3B+GgLwcIx4tRgwlSskP6AlolEsXOTgd0npYTTXwR/K1o+bcDRNr2LQRxi23JAfW
nqHLNq60qeRWmaU56au6lmh7rKjRwlWn4Eq4WXBthvBsjWV0rPgIXe1UqNsRQ9JSDgctfoFQ3O8D
p84/zCD3kBqrz1o/BudwDhMpiYu3bKV7yidaEw656FWX28+W9ljON95eRVBr+WjBBYgG7suxAX41
HaItOa7TnU3xaOEG1Um3Aw1aqC7ucBSLO5ySNFaKmgyh+QSG5GJveLa6yRxhYOxP201uGMark2v7
xm+CTwWn5kIl0fyK12I6BC1VBNZiC5mpIYT7Eaa+cufS+X1SS4D6c9SGMBVvr9pwBhSLoeLSWg5s
5dg0dXCc5urDiC39hJZLxSeem0Skoh0I7a1f6ulTGtPXojBUkVXHEErscK9kKUGl1BI6ZdA3dBJd
grDsLb+JcE/fwyMEj42SVHq1EGRwr2oNw54RD+1dVBMo6gHHpmXQ3slDIYauPfU2kkiDPWVK/TUr
mvYQJg6LtHkILGNYDbZ4bzsaLhW9NouoQCU4tvMmKXxsA3Is/Dw8yj25MSO1Wdph7mLvyJQN7kVt
0yt59dZ7xScOP0OF4REFKgDuKqbmlPEWVtCnz4N63nhQg7cm9fVF2TnKhUnBizab/OWIJ99fRvM5
MasFnMJ4b8NK2eJ6Q44cWxBAhB9uJ0EQdDRm46sXEdFEfnh7kmex7S1tJw+fh8GrwQvoL/JwhuJy
54HaWMlh7EQ+z5Y6OhgAzw55rneUwstgAdLBvZnQaIYWy8gk1LcOeuUJsXAAB5xsP2kzc4VWbLWS
IOrbMCORW4NgsDSctHswCswhceveDTRolx1PrE3AdOiOn+XeyROGRb8VYerBN0mwduPyWPtteQR4
QQnyayz32vmMPA10Z9XofnM0BpfFVpDdy41HeMr9YCoaj5oypDM0a+jhy3pbqu57JeI3Z1V+95FP
6RO9X+8pgSq6U5sk3yaKHb8GANTkBXbUB0sr4/0R9WqrPAqsdrvMjt9qeg2nWXj6wK8voVRVHZqg
t3Z+BzBZNtEmBeIleH7vKIeorPU1xT/oN5OvbbrOIyGEWQZSknY/yaLPhAl/KWpeJauC8erbTy1+
73TV+tYPU3H8ba5o9s4yoxPYwxIZ6yiT3tmVYxVgc+G4Osv6/3dI7tHnrs4BkRD/vpjQZv3L32dr
JMg4aC2EsOfu0LeJbWkmesWkCl2E752JLw6XQ9VpBzH7Mt2aLobK44EmkWEj/bOKWRC00A1HHCVX
49+pG3pJ6o5f/waTNHMUb630mn4n93oqg7e9cd5TIlQK//4f0+cX/rf/GG1FFwkJvgdsYgRo/H3G
jvnFGFUPhmlk8PAcfPGUG8hCCJQjMBnEduR5CTEPZD1EJssMuZe3TnoXzceC+VjuN8VmGqb3W9IX
MwXrceaiTEvTVqvH27JSacPhJe4rDGAQe4+dMzZ3zPAIIMg2vgHxY5ifWorTUFG3adK6dp++ajhf
FXSl6oCVM5OTSVo6p3//FTjfG6uaxlqRrp8QiGgM+/vKvu31sbQ921sIPGzBKheRu6CYU9+lbsQD
1GK1lqLoecQQSZde+Pq75+fPejl2fxThu4t+lVZRPe1sJ7I/Gl3PKfvc5Wk/niQ8QQIVulC3d+TS
GNG6frD8MXtUM8M8KoQ2LMI67h5LzekeRYpNu/QAQQ5991gYuba+KQXsEclVp79y0VrEdfFEkNJ0
D+DiRc2BoQuzf6NjxnRAsbxhmel34c+xztXHMFFBSwzhm2sFYm/pFvLaeViOWAoJIyImeh5CrVjk
Eb0dwhAy9LtQO1V7YcSOeNCcauQWNRTvt+q4GzXqmZQK80m1uUTvlZe2zttLqfYBinxPeWkCtdxn
WpSvknT8GN0u2ZIax2uL9b3aETf7Zfz3e9Ct0Fo+JEDF7PYh7IH3NKFv34ext6EJ8B/rLuub4Jy/
tQHTFEDJTIdGx/Wti05xqIFGobiLtg7uDRtBiGoLHSiRbW/E4KtvFEZW3JHDj3Ru6VnkqZwmtZ3u
GiuFDtHawUeuqPezJfo5j9M/v9Ju6cKHiCTWToRoPNEjUEJ20D02XhMf4iRSF4rfdo9BwAY4wDaJ
GrIu51EYC7EWE8pHObScMbyPCTBJSYJ+lN/jn76lMAhZV10YpmWq4dGa269B3rsntyxOMtvylnI5
H8pFhomfC8o5UkrFqLcbumaTkAd6q7yZ2J/jiWc5dp5gExl5fejBO1+/XfEfcVjfmTGaoTu4BNEc
mrOX0PlOKGyago6CCJtlRe1patJjZ6NdkyYZJ+7G/W2J6tioXN1WW0tPDKoEFaPvMHC/wBMTeOI0
5W13V+R2spFJdVHWEDKdK1cdkM9T3ZsreZiCMsEZVsIchzXFzuhUZROOff0mSItQ52Jk4HefwgiV
o4QDC29IzlHmHFiG4x3tLTs5Ux48UJodYB3Mzczb7aIWXb9hBdX+H2Nn1tw2kmbtvzJR99mDffli
qi9IcCclarFk+QbhkiXse2L99d8DyN0uuya65gYBgFpJIJH5vuc852Bn+bCLx6h44HfJlS37Ekef
IW9KTHjBWE70kdU7o9Jz+ry+SvBoqJ7DecNaXMFoGrm7ggwYe2pW+E2yt0zbSERTbxoo2lWlhPIT
L//nwe/DbfznBwBFBI0gL8fQqA/+1fpG0cUIKlVH/KQb6mrpdmmZ0q+8j5nKWO/IguPvnGcwy6bv
nfiIMRh3oD7daEF1tOz6waJfR9mnyaxTWIb7j8FCKJ/qluzrJQr7Y8+oQvA8EfOBOQUbIll3s+wt
r0aR9UR+bUwVg+xso9e/0npWb+3A9ka18N/EYD7kRhp8TjXEx3rXfBkonN9mdRsj73HLMyRiLMVp
N1u7nARzhd09Jn7v7q3ORrCl+xsV8trRpOHfwxlxyiP3xGG55JZNReFtV4xVuimg0IRibHDX8qlY
kXwP+rk4Y+tfgqi4sE5YL3XejujJdQ8o+zYFS3MaKyvasHgeSUsnzW3KSWS0i+K2s4LutCzdpiAX
e+Iqke6hCgzXeor/EuEPmkUkLWVKEQqDJDAsC6eR93EcDlO7bgur2RlCiYmGDey3qJ2op3c1+FU9
Ovg1dUvmJepOJhS0WGVCLqGinMMq8OjqBOdIm0XIgpF+kNTWS+aaR2S4ya4dRmULGXj8DNb1c1ra
/hXtE3VEs3lQiXW6jQ1gOqZDmSFKjGfUKeYp4oMGwMx6whho/LRj2O4keJZrN28GU2sYzYKZJD+f
K/r8iDg7wh5BclxXZSYLAal9Wg4rTX4/pG63iwh6AsgfFUcIx+PnhPATJZL6U2NJ4zzA6Vsv56Fs
Fd4g+usE78rrMIsouxRNO00N91w7I/HGlcHCN6NL5lU1zCCjbe+EPSmoHp+qqgye+3hIbk1zYIHq
iKe+6dwdzt41rC3ba+e3Lkrd1aQpyQv0drSlTAP2TmcbT6Nt7Imgrr6EFRANJv3EtPXk8ozk0+G2
uilS0e/rNEuOfaS259RvSDSfioyakIP50CT5VqlTdRuHkba3cqYLP+bytW5fHQ24jZMNAxEq6nA2
W9fdBoBJr+hhycsEYPPIBY+SI7amz3EwvWmdMrwOvb4v6laEq3enahUMR7LaxzO8KbMNXOn/3pTq
qOyhqV6XU64SamBMIoKwDVaZ86YUJcMczuvlaDkPXqvYJU4rV53f/NFWU3AL0cN8Alu79vuyfXTT
IXmw6ma7nJ6ywoWxT56Bk1fNjZ5F4crInOogOnMmsDJJGFVfbqRsVSg1dfCMLsYgO7UHgpenSAsj
GtJEr3gixtK87EU1796yF/x778er46BYN0GL4D62omxFz9qh6okcH5NyvFl6TRgh8aPLv1kYuL8u
DBg+CTpxMA8bNh6mXw1sJU1iZAgjFUfdknRx6KMkoSgfVIof/NN18VI4wU1gqvXnuHeo9s574bxX
ZNVGr21/t6SGkQgkpxW+IBIGczo3UegnG0XxH1t0KDS8cRW0ufNaWdDPFzuJGq8Hx3gJ3QljGWTj
23jeEyzo9wTpRdjc++9Vnb5zwCioY3VIFgwdCW27LiLUdjlMZtyCqU7HwfxChln57Kuac7T8Em7R
fEiEvU2gF+IxQS/o2tgyW412RttfVWX+VUBVwJXYK+AUZgVSaeL0AH77FmjlixWgo0aCgtd80OwH
OTrxJlSd5NZqTQwS86YXs961dw596fTHZU8E6YCsnnMsZfuPveXc8moghLuuIfUQstzm+OHmBDoi
KemCs+SHfhNemUXSxR5U9UXGVug5VPJOUQmqU8dRflbq9oVHbX/pbKLsY1WPPAmHbD/MhwrrgB2+
xwSdxPT5Pz9r1b8sthAa0ROh9GuqhgZy+pfFFuKCHm+eJhlJg21WYqxZQgV11XL2TesemAYk5+U8
fsz3Ad79caCl9tCxOAnHQbtbjnR8oUlhnf2EbLCo+8TyM7u3Uv3gq4n15CD1vWBTkITqcIvSBnP2
qiLJtnSC4MGU9oVO7LcgzOJvjT+cFAunTWDnMBBKoZ8UGDA3KiwnL6NufCy1CZBOEKbTLjBhqhRg
FL4UVMNWBbLyi6U3z72TjKcfGzNqvx/a5ahuhyx5WV7s2ipeNZq7ddSQnoDJOgN3ohntoUNbmygn
2FGLEE52vdtdo1FFllgm+YV1a3S28zzf4E8d7da/+Haz+yiJFqnzqmCiv3UbP9+gn/Rprw7Rk8s8
ygwrsSUvL9wu/esAbdUlk3dhMgBgvVuWGwxXLimEbnZGeO/fV1r7xFBbrFRltI8L8MMqE9x8eeBu
SOPjUb0cp2bjQlXJaF8p5O7qZSepmCkHoyus9w8nRRpO6ABrW7tXyHreApH2PrrVIK2r/Yh5leDx
dz0Z77Om679Ysa6DJtHFIyzpyRsR91/bObSwzaQ4RZC0DyPTlaD2h72AI33GsW1cTNutz2bucyEN
AQEocz1I6arwpqQquJSaojTkGwvWA/Pc7WM6V6ntMSysx6Cwxr9ZR//FQ8TVbSOko6CgWwhpfwX5
JxFLwBKcxlqo8kAhWjmIuqCKJnLrUW1U4zKn1BeNbT6WkaLfi8zBt6WTbtfIYBtS1ryLv2Umsq9p
LqGWiNopik4tFc/MDteLmGt5Re869Yx4Jd8a1hBsSTkPVqZKQTiahzd9JPu3bId0K2fOpskkfz0W
rhQP7cBCoYimLzlMspuK6jb2i9g/5iymVxVd24dIL9xt1KkmTs10vDDUIORNjGabcC9t+iJiWFVM
gKwENgdXDGVOkviP6LaTG8h4PYBrLbvFkf6qJ7F67OYuS0qg5QOGwnxThEayTcV7nXbjFwzzw1ZI
Ue51euG3fk4doOjelwuzSYJha0U5z29CKnAgfHxL08qBP659+c+jkvELRVCj4kEfkrW/iQ1MtX6V
QOqK7uRTZGXrSFOC9tCrkObqVo2q69jr5c5WI9Ub+na6MHLpJ4M1ImBKZ3giDeaJlY31TRhANPsh
fVm+NOsSvtQloKOVUBNMN3mmOCifUFFZm1arlZOqhfpFMLn2jEAtX1QtOKpqa31Lyvw5TPhS3xr5
0kyfe5bj3dhNn1jNh7dNpmmf/n0EK0VfjhBftH+DQ6bP+ktZzIAQgdTKNXXeHA3K4s9lsaawB7LH
DdpGtRsroN9jJDN2nBOxmQpwLa7yPqj+KA5q6Gr7NuxvdKEztNpT51kxFosuSMzJy+JU39Nm0CzS
ITVY27Q26G/Pm9hhHsm8YrccAfItQRKq4wjAJn2hAYXf6se5j93lK7Uun/a4aA7TnBtX9/He0CHg
qbLrCHmMyFON3OlN1kRzUgEqLsueEhPvbfZo3n68UAstgvdiGOiW9RMVdhYARhntefBZm+UwZP64
sodkvDUDpXxIs20TPA+uTT2ZeK2VmEVQyybLy2ntMriuWG9kn4qCVNFU682jhJf3OZXnxIft0PUi
OftajqhcAV1TUV7a9TZ9JSLlEG9T9bmMeZ2uQTw5VIpnwoPZ1HdJS1uuQ8u0HDVzf9uExADsX+6H
MorILaD9SDujWvvJNBHBEkWfervdicoZn8o2W1F2hGOjkoJgqZlyYC437HFMoHckHjgZ/PKPmGcq
vAbLuU3qIDq0UZtulgVhrVAt2hlo3Dy1se+tg7JIBURh90eh80j7aFGNiEw3RTbjT8kK9WH6GzUh
qQxS/mzCKC+oQ+Yhy7/jgerf0VzP9tIawvVyTuA1XBuy1Q5Jm7cFgt8voiOna0eM6ugt0bEf08N6
DpXVeUQeMySujiHqNW0LnETt2OonwM1VjfBm/k51LP/4gXSOtO5uqlP4BYpNEyHu9XjnQzwpbsc0
jlaYyqc1WCr7bKhxek84w9eF6lYP0wqYZDQ9udhwVqLUDKgXqz4haWgBb7XpnGKxtA4Hg/jORWWx
bCzLBvlBheRDefHjhSWbDo7QdDTj8DA55smM22NfjC6QUT8z6LNCmvea2hh2YK7Ru6GJaPLmrAS1
/tWI7W3Lx/m1bf16PctA7kqN+lAcM5+FEB7dB4nw95VGVs+P0JdqxnXZ1Oj2taHcTEUsj0uhIMqL
uzaW2s1yFPv0ToVV+PuPF622WlmOfE+suLnFmmicVTkhquyrJgQaTOSw3bfpNk+eEZiaZ1+OCPbT
bLWQz6osfo+aXjssU/Nlkp6jM0jA3p6p6stNozf2pksc+2oOieWZisI6ZUrtq2/39jVBmrLH4tBD
l/3XuaHVxks70oikDfVRFhbFWYjQ6wV1LfT3oZdrFXuRE33fm88F+Sx7biblQBwra4xFEKSoMlkX
ou83y6HjqHsL2Oq+qXV6Y0sk0LJR5h5GLNsTARbpASXOTdRrEI7+l4Xlcm5MJhITjeBTwfDEAg+m
Vz/IzDxbTRYd4s7eWqEMh5U/R8XVuvGlApq7W45sVCQXndb96WOyJIQI9nlUzBB0RX8SQf99bzmX
t8SuVL1xsmfH3GKbWzZU0SCj1kkIpofGo13f+kvzu0bi8FG2+8+PT2cuGP9UP5v7QrRO5jIxz0r1
FweBRVMhil21XNs0iTxlVsc42kQDO0PMt4hllkM08Ux0dCujrxb7swx8Ki/tkDHSjtlr5gxihc04
v8ZZiYLMRyWoKnVxGlXLXVG26FZWJ/vHELQNiGsruqQWLWuqpy1eikweNVm+UeMb1jIYjRdAHzes
Ko13CLV0LBblCj8iExEcSaffh83k33Gp00xznTOebXGHP9m/K/Mx2/f4IdfLoaPJjHmj0hy/B0v4
JM/3XXX6fliBGFGs8uOcLsb+1AaEcOpZpXtGZWNf7HGc2HP6uFY4b2E29PeTPId2obynrvbUwXp6
oTdQg60mCANTebxNqBZc3Ek+1bHQ10UYqS9auCEsPnwR0mwOTt8XTKU4LYh+od4y3hNmMhwrCn70
sEwqP2HMUxpHWjo9LZ/1f78O/y94K64fn2rzz//h+LUoGdiCUP5y+M9L9FoXTfEu/2f+tn9/2c/f
9M/dW3HzNXtrfv2in76HH/39V3tf5defDjY58qjxrn2rx/u3pk3l8vP5I+ev/L+++F9vy095HMu3
3397LehszD+N6mT+2/eXDt9+/02dr9j//vPP//7i/A/8/tuhSb/m3/7yDW9fG/n7b0LV/4FRDi2b
Qu+Qia1Ne7F/W17SjH+Yms4ql1gv12UthFYwL2oZ/v6bZf3DNBRewmmnW7gaibujR7S8xA9UyKB0
XSaihsp89Ld//Wk/fT4/Pq//ytvsWkS5bH7/Tft5bovBDSmGBSDbUEz6PZY+T/P+5JmMMSe5EZOI
TUjmyl1oOMSZG8nZqadjFxL3DMf5viyTb6mV2Cd/lPlNTclvC54TEUQ0nWHpOiv89faZKQc676R6
wNFE6C+LdG9SUvNvyklLuejHaMIfjK7E4h0wiUNzkBr/0p5yrcSyosFINgnRlkez7FwWPtEpNJQn
tapR/WvrpCNzwXb91oNKDGHVtW6SgHQ/P4Ybaat/xyudP6c/DXDzn6QZCoULmDEo2ujq/fweDhMU
gL5rQlREBG2GkyQq2TkATLw1p/x2ZPLwIjr7AEQYX3fQfRL0mm7U0aEv6OyG2LlO487QoUS4Vktx
sQZH3ZfTNg3TE90Cw9NGMask9K9/uky/Xws/ffZzMeXnt9LmD7YN1jbUXFx11gf/6bN3M8HMEdu1
Zw/abrLq/LYdY2gl82zR6LNNb6WPxixLtOyCGofRp9iGkeyrmK+tfspJ9cxisBvEK9DMfmy1985y
zxZpxXkvplNfN5/HqB//piFDx+UvbzjGRpsrl7sDXB2X7s9/OKghtyRvzfIkly9pVKZ+/rEJckMe
IOsefpwa5ygzJnZYSTTfb6nOsVvpJK6F6ATXP74QcodxhiThrjSdITp15XDKYvJKyjIggGneW84t
h3TnRlBGhb368UJLhKARTbeV0KNrWdT1rdochR/FV+rTOA7m0zosik3QFX8MnfIifQU/eRcoGHOa
fGMbCBkFRWOke9Lcu/TTdUx0JzOz6H9wsd+5SY4obSqiLzl4JNdpd5ADyEyeaCa42gxsi7IIX6ff
7By3+6xGk3ZOHKnt+iGeQ4w7Znowxb4fL+pXY1DfK5mpe9MW7U0zh9Dlk295TVDmpjdIF2NbYh+H
mvC4JuYKMWRibwKnqM7LucANCBKprOOoht3Zt5TuvOwx2HVnUiGyo9bxxyk5Ja0cXzHBZJbGmkYF
5WVrKERjYnCDjqQ5TA3aMZk3WjFU9qYOeIp/nO1YLoARcJ6x5FJOzeICDTiNo1U8xNFp2ZhCGJva
BzTyS5TMEjTTmSI4BePtQkNLUNuvhcie9ajKNrSM6i+K9hjBl/ks8XnsddkV2+W0WsSedLqKZCVd
AWTxFtM/8tpJ5k9AMJRtkAIeo7ieP4nKTzeoAMfdNB+6Wg1HoOlQHJuWevXJRUkDMEI1/vldEonm
IWB8v5RNfI9VXj4sp7LMxseSgHRYDlXkIAdSQlBPkFMCiIowLC0f7ntKC0y9K+fwcS7LzNugN7zl
KJy/LA75B3pEqN7yDXUakeIWT8EhT6JPmF3bM1FO8n6oJmisAyyR+UhiVDjqo/9cOyBdVsT8FqcU
WdqppCLp1SEl0oBfbLatvCqZa1yEMpGfZZhEOQpnnbUtdL35MICjcbPsCcT657CuPOFW0UbEQbq2
ZzB9GkwluRzzLtNWeCZjsI9TwUQcEdp0TLSeKnoBkH2NzG5Y23HZnZAFdCffF7w5tWy81q659WYN
bDcHN9RmFR7T6IssYjTrCwAYjvmt1gY0BcdKkPiY0h3zK7CWWlFuGzdSz41MMkJGZXKaeneVC8fw
oqA177PZMzibtVWnXhPDlx9jV+gXPpTAG93eP5YGbJIyzs3LoD71NCZv9MSgw1J3ysHJildJnCGB
h7Cke6Zmn0ziC9YAeeUmtaRzEntCCoxTZprtOrIENH2jzU9jrFFdXXbVUW94o8JsGziNdoGHf09j
c01MDFajAtRag8t5V6khCeb2XBJtsV8avT0eOlKnelOFO9ts8eaOLyyuV52VBgB+RHP2ceOe8dxh
30MOs070GG0pT/x1SO/3Bhd7tJIBAa+l391mOayRmEwEuAbNVWJx2iu6VawXX7RbWtotAj8Sao38
xpk6UIwygqhF5+ZCjiZudh/gSKDflz0qmUELd0UjKixrNGOHQu0QoRlARdz7mHvtiZi/nDGgu4ET
lDHHj3WvGY4JEh4NBWCvhuuYOG3PRnnkT7YL5sJFRaJSlEuCxNMwJa4kLd0w1vZhVEbeUGD4HbXu
7Ai19KI+g5eplsMuVbNXPTLeipiEAT0CAoRyIJgRgzU6hg38c94230LQhADoWvg+WE6DxkGXhRsK
m7MSoiCbZxpe3axSr+jBX9CYNHuNEiyAK9kdcOz3+yAo4wr0jd2fzDZf52EMGpKceiwVwgIpipV+
NDLjUZk33ARrLlU8ZS4Doeq2/jN2FpRfk/lYMyJVaTOuCEi9JZh0fFLG5LnCkbbRR7dej5SFLxnx
5Meko5nQWM2l7DLyJ5KG6zm2h40wABaNVCdKh0AGPyUy0I27P2CKtQgL9Cu3RvS4bHJCB3yZrV1/
PIut7ZfRRSu19GJLzCTV1OuQUzTjuRqH6TF2LDrWycZUGyDNw3BJA0TS4TCipzfRYy7JPFlEA1eM
Au5vvVNzY7yzQF3NFBd/XpMaot1DBIArVWKI8ogeDS5FC0ssaS9uXKk3vmaiNsOOdMliK93YLgpH
4XeASxazCm4dgdpognYA7p7lcpH7BwDR/atf23TAaBWpuf9SW7qxXZbpXbQrm2y6LkSSDtRjRV/j
GCJ9WLGWL0wYy1QP0lbJcJOD1IoHBDGw0ybfhN7iNh5RHP26bZTwppk3Y4mHSC+jaSuM8XYkKZOR
crihmyowEvbdFu5R4wHMqOCkpOPex2VNIDzwujFKEErWWzG09p2LH3TEGeZDsJRhzCUbUR1LP5Lh
u9FtV3THfezr9XhOC/mamtoLmT5zxR+tx6oR0wZ4v7En2aZE4soEg9C0ktSgQ5GkpQcELrx3TPCp
Wjkxk9HH07jLqzI6M2+tIQ89KBT2LnFjf+0bqldaXLkkt+jKupdtswdYbnhKRm0stNurbG3hGVTv
N6Lgt+j64OxYY5/VCkjz0OLjl6W9o4SXbGgiqPc+k4lWJt+SUI0unWN6kTGOPVEvSX+yVXVVWsI+
taq8M+mVAiXHdRZ3o3EuJuedyoa8+jT444+c0NBGLTwAYiNDo623II5SpuYrG1yrtxSGE0owq2kI
i20Gp+hIgBLT2pzkmyqaNmPYYX2sUnLpKvnqRgGi4/rZCKebKsa7Ta8SwqGinq3yVdEoN4bBQOHX
kHPiR02HSOPOKmt7Q4QnKbBKvieM3Idp1ZPj5hTGWXJD5KAGwpjLzK3o64QESp6lYT6NTipOxHJ9
qozGXuGiQcM1rLWATlCuBtMaiGi18aEkTLodUQ4VKxk2DBVOiflNNrQE0Zn2MHrmvBdilof0MdFH
8ltDUobRexu7yQHxhX74PajcbDc0NpTzUH3OrcjemmNLbBHzCtgpNyxO8lM4kFFF/qaPPNUKVqnd
EW9VgO/xWgKf1oI6Mk45Asd0t9U3lVo1G7/6o0/UtejKL2PQmCc9RqfejoaxCrNiBHDfhpi87fzR
JSpzDAfEO2qD4Nqe3gNoFyeEv8kJDdq4imjheMwxdZ7i/trUbesQhHa/o6tyXy33bEj4MMybg+xa
stNLN/fU+SboCATbcHmbalmeCFLiET5Wr1Y9s1msCJm45aVMGNCBCe2Yz5PItjvlPTPXDPj8uuzw
dLGsJWDTZf5Ycv0VF6eTEtsf3jaXQdGj1O2ca2EfksFK9su0YgmFiuDtpqmpnNHR59sBxPwxhD7O
LNy5GVhWr8pKOLfBtLGJ5fw6hOEfzi7DoHBb9k0LWA5IVDnGOY6dlmjfCsJ7p5gdaeVjs9ej9nGk
+MYD1j+nblfviyZA0G7pyboSWestY6VqJf2mKhgrl6K1DZt5VSCS2TiizS4/NmqMfy2HHQNNQDmY
QVduFZUw0VCWvaf5ark1paVTK+MGSlx92pO1ka0J04S9KPqvC5Q1DM1H/L3RXlea4jDY43UAknNX
Nxsgxf19PhaesuC5+h7ifzx1j4D0KGMG4RenGIa1atfFzZBpxBUa8J8GRKbX3ja+wATaV3bp7MqZ
CNW3iDj00E3BdmW0Eo1p7k9eTPQRZ8VJoAFBXFmTLcSzW78VTBSN0Q4e68T0KvpOT/h2X5tCRSUR
5Llnj+jKO6P5XLoCDgaKbWZzIGyMkn+FxamFoRhZau91REWCyfS9IVbDu8JoT47GhR/Jhq65qF9K
UP07xgw1benzhyIjhDN+Xh5HhKvoF6gz9kqS23TUdaj/deReeny6CPtIRqobHipRRsxlNn0KBuBw
rfFsaLr89P0eQyxzRw5FDEcOXHbVddENqOJs00z5ZawhAKR5fpykrRHI9UJ/KNiFuvFVD8yTG2Ge
D+LEuLHdIGbZAY1tYY2SA/AFwk60U2abRMiTgo8eUVcPKJDu7IxtpM/b782CXr0aGsFWUbLivlLL
z6MWOCfFv5/acmD2aeTnLqnijZ9iTAsboGPmeLb7N8topi/mHDavBedptif7EOa2skmafSWFcWPl
IQ1mpLHXSPJZTCW8JfRor4Vwi1fbSYZTEBvtufGT9lyQk+NpA1MXN4mpc/PMKC4aarTKxNhBMbbu
0sMyR7Bl9SxMzZi9Lc7Z98NjYQ3dIVH8h8qORuRWZke1omwwOwkpN9G8EBSDFZ5Mx3p3sB0ehwl3
UT85zcl2ejxFugm6bGpcXPE2sDvH0xuLejvyNhG15XoIGHCr0kceWw5Xs8uxiRSd2BXohQk67HI+
Emsnbcs5GIV8YM1LpF2cPjq4HcgByhiQE2eW2BH8Wkzp2fEBDmZNvW6TyLlENtKSZuodj7aF9Aoa
U7icGn09ATA80V2kEpHTo4trCkgj2p8nYRrlerKta1Dn1iUwqwgNUcua00nHbQd0gaCajtKQHmin
MSy/BomaPwZmfRMMQbMeimg4N4ozeEYqdlNi6NfU5e7RKhxucdrgOrHqQ47N5URX3l0XCAI3VpYF
XmebpOHII8OSet8Q0rMPCYTvQfqvlu5cL2x/k+V9cSjQU5zDNvNo5dRcgf3kQQq2N0bWgDqa9Tv6
l49LP9Ay65pJnegveOZe0tThbU0Q07EKVP0wtK65V5NPTWaq8IHT97YGDbncizLNXZ7D5pooMbA7
cXS/jIBFIiMvwsi/sjSQ2gah2Nta1tkmCB1aIZhLJ2E3J+kE+6XxPEW+sqqSeTysNXAYo/MFGscx
7n394jeKftFFeOxEHuD87+VKb1q0PS7WrFbxbwWXRQWOLxWhde1kqRyr8htQQOfOT4m/sNr3OqzL
e6S+xEQOdbCu6qDcRwmQW4yE7ZF44FXtRyQTQ4s6jACOtnpPFYheabIBHf84CvBBI92u07JRw8jc
Jn5REhVByTr2ndhTq8jZZoTobiPsnFTpEnkif1HZxgnUs6WQU/Pm+gZhuUn6SKozKmkBdXptjlnt
GTVybSVOswtu6guXBdaHoMFFqCYPvT9XErK+3tZF55+KBPceZrkG8Iw+bQa953rUANhhBt1GgRad
PihjDWq2DOBk6FnogD13Ceesxvypqx7A5PlbOTuzJkPDS1aUct24vr8b++DBKuv0UAJIT7UguMOa
KK5qjTk2q7SvkypfNWEqf6gk4uZmkt9B8b8rBtvfq4GIMQL45UNV9YdSBiQ3iCKDvZOHj5KsiMSe
stMyIfBtt+QpwKiSqqugz9OLOf//Yw0MJiAEeMcixD0mgbxdHlYGZbFj5Y5XbbYr+fq3wU8dFvqY
OvQqO0ajXp8hjDPD6WDXw3KFbm49j2XztS9Sm59tm55vdv4+LIwOA7Dbb3xhGNvSb+/7NMugZivg
AGchWD1Vj3VjIfUsx9n5KBljlNY5Xpe7BRMrhER/KA6Ese4bWrfAdZEXYo8OP4ZKgrzeQNndlGnG
giUxHhFjI+Kx1bV0qwPxTtX3O7OsT1Ugqov/mKjmypqZgIkJRY2Qa7lLDbRyfejuVMFIzHQ6OpYO
InzwQmvUq2tZpMqtNGfTnkbVLIFBxLXGT1YlrpiSAcZm/mDkDCJZZwHel0zEx/xrS6mL5z/4O8Ry
xkMqyv5YM9SMZnslEUJUWnyxhA5FOe/yHQhUbdtKqGh6Qgna7QrlNH6SFaQX0qv0aVzrGgi6GKHx
Gl4lCu+k8/nbBCsTu7kNXAs7iZ8gns013kxIdf7a8SP1c2JmXjwU1KQlaDTExKecGI4z2GNcjQhI
i7LaRTkqNjnJ8OSm5TZV4/oShUp2UnCLULIgMzQotKtdPy3PfpkQ+BHBV9MUd5tXrr+tU/G2CC46
/1r31FKmhmmzUMoJ0RZtY7LpaqbqTJa0TCo3rE1ZzyYPy+QO1GC/xn8C86lj7HJtD62DvJF2bQHS
wCEe2I049W6MNhPcwhrAzrglvpJ/MkWnvIK0bN31paqtMRRFN+ak7AnJek3q1r1aowv+vx22FajS
rR1zFynEDOMzpPSW1ABTMnGitv7FF3Z5zBSBKVMgnAOv+Zrp5UsRUfty61oe41hfOUVpMAVERFf2
w/hoA0vWTJgcoFeUXVw1R6fszVPSCApXU9Y9uh1Iwyzqzr1OCkzB0y3CGehNqaZ71axMCRUehUnQ
bbHIsQQowi0VPAwQimOtfWgGXtrl0NwK1tyHxGzPuiTQPQ+LaseKdbxdNiatwVvdfeb9mhlV5Jej
bhvP2rxAXlbJ7eRTe20d0A150HHTdVxovT8dMIwGGxFYykkXmXawcnNbNb29z3FJ7yCCPICCp+5Q
SY0Ljsi3ppjAYM9d6W0lxtKzDLBVWQgnNBgd4xYRG2weZP5Hv8VK7iv+NZ6f8m0WxMgcTCYpk7Vm
mqffZHWHEQF4HVnZ/bEsleLA2D5j0ZgfECdZgcyZJ3eO9Qk7SrAxWozdjtYEV8VutlFf9+AE2lOY
qtW9m3ReUefRfTFkT03ROatl3BrDEcr8VO8rrnauagKiIBU9qdgTdlTlgnPLPJ+M+dQ1MZsaO9Ho
BE//a9KkRCHRg5r5KplGMIkdoerU04PeEfbbanetEbnbARPYOkCLdgj0VgWIbeWInH0KdQZpdFVB
kqdFfOJc3NFJ726NoCMsoLVPVfSam+qVdTXIcDurtyE9J1IUNW4Mrsva3C16WyeVz6L07xx1aM4T
9nnGadukgGAo56xn8aI3PVEkcwnYwv64HYi6WhloWc6ZYTY7tRhrzJHUS4xGuU+t+n0aqYyJqQKb
G+/BhyotIDImpFS+ZvxXpVFFD6MHPWvwqLi98BrLNI+UVQHYOsVRKra/VnLD8fqySf8/Uee15DbS
Btknqgi4grkFQYK2fcvdIOQG3psC8PR7AP27ezGM1oRm1GKDZfLLPHnLtO7JirrSZ6rOnCKdsKab
S+k35gjxSJVtwEOCmZIRzDWZ2yJ0sPOz0x/Q2wWVelQwrkY30DEb6LpyX7WhA0lmxcOlYrODCvRu
Og23j/i/KurfBLeYE/8XEG9DAlRvxPGW02QbAiI0b7hmaQ10Mvd9tcl+aQUiSFr03cMprsPYNF+b
JPrF9+meCR4BaHaBdru5/pRq7ewzYaVuudO+ADTFX6TQGL1qwMRIA6ZlQ8yJtnKRwox/AryUMHW0
H2tUuQ+A6Jek+li1FnKcGimOiaz7KGix9qgfDnqBRpbP2mu5SohmouRgCTkFBoTLRGlhJ8YMeJq3
4GJRvexnjXHpKnSsaH1xxvWcKoVzu6iprd84Zmp6VnhCUbis6u9bHLslN00BjW7c5mDDcsTH83MZ
kymsbPHFWU370tAtyjJe3KK8svxO2GM4c7EK7cL91aXlC0GxU2y22qUauXaNUVYCBtNbDtd2HaBB
9+j/K5Yy18a0YdYgRbkiBlpuOQe9wU+3MttOVb4Qo9D0MLWaPMCXJsKJHod1ui5KD7QGaa0wxqNZ
ZOuzuWJcgZmSXe16QCOZRI4JsUyehrF+NhfrFOud9arHuMjtPvNrzTz2vesEypRh0kIEy2mZ9YnS
p6Gp2vqceVFLQ4OkRymbtYDyH+2Y4nz3Fxak8+jW5Cam9mIvXX6Z1PAFmuL61jpzAF3JpbHl52iM
H/hUTb/qFrh3YFBORPa6c1LmRLZrChvMPmD8k36jFTv3s9QuQqY19c205vGoctQvXSwu/CAQHUNc
3FQuw9VxxDExuG1xuJLh366Oe3D/qx7QJLSekglJU+FkRsThSJg2HbUn5TgcYpvZIV2dGq1V3Ztl
Le6FRkWNtzn/SSKyP9aTk5OIQJbEJK0/bGSYoNvdzpkHNxyVjdaxmlAF2EEio+1BFR45qGHRgr04
iKyB9LE5wtnFTBy465w97149/MTFCUhkBB7f8TOi669upt8azZ/LofuUIG99B8dmWG4DsFSv1LHD
vEbNBODmvekjznQoHZnKeGJXRLc2wiu5lkRHWipM5mUlqlz/O1HO9ZO+Zq6/NHp367z0QvHUesg7
XX9t2u4i2iVA2i/8iHP/vRw7Br/pvefWuxIyYEVzAJgt8VeRxqDyYkqwMwf1NM0vshgOxWR4Z82e
viudC1peRa8Dx+J3C0B5kLruhzF/qUXT3Mu2dAElTX/oB+moTevpvPcIv6EFUerTfI5iio8dD8TJ
tlUa5vg7AGhY77Q9/9XMQl7XaLwkdWzySYud09zEyNSUXx25zXoBTX/zyak5BxXNiIjO9RA2caUu
qQ0CTTflnyaGchQPdAI5ZXbNkvavNpt/pzp5NZq0uNYVKG4uiWEXD+u9pthHH6V6ir3OvPVDF04A
lW+eYFg4NtZLSd28Pj3RQPelRcLippKqqzZXa8Abqq4zpqyLeLKG/k+iVTjNp2GhCUDFb9VmuZZt
fupsXT/ICghT6kahg5a7qw76yAzOsgWrtFS3Ou20S2dAk5osD9NDNftOvMF6E+zoc9fFJ9FZF0PY
tp+2rXOyOtNB+tfOBkOw5aC5pn6MyuJHhz/8ZEqDTOaQ175TABFvzSV+7UbT8GN8Bj5y2PCG2dI3
s6E+ribJNiyjDDzwJjpS+ymwrqZ53b02qMF+j3R/NIaiPJfM0a96oZHF09LsTKhR88toWl7ESijG
lut0bqrEQZJO9EPXlcahKyfTPMGo/lE7FfiUicJQfLSMvJKI4qpJHSoLLBhiSP4YjK3DCVcbFkeN
5k1j2nSqAH/uEK7R3J0ZZ26oaRS+aXoGwJZfBTgjwtzFQVBMy/Rv5Mpl5Abnm7jlkpI7gOSuyhqd
Z/xEhU8M0rrJoRdHW2Kc1hqgRFbDt1pU34HplY82xaOhlWz3rEJ3TS3ps2FUUG4a4w0E1X9gscZD
u6TMhvMiZk1n1LYDLQ3Pg74Bgw4VJNpaKZ3pUdvDN3Cy3t3qxFePat/AdlgGsWbClo76a1U381PW
pUGcldEFwMDfwUqZhZfDJgH31mU/i9AFw1K+3zyy2UaI77Vr9gmZDfzDlrbqyNnBU90g3KQtq0yR
Ok+cI0E5FbaabDft/6ssdA6ea0ML7UT53lqO1pEOLA4iHYVuOkJguZQEoMpJC/GhvvOHtMEwLuLo
9IZ2XRmp+raol2vf5yfT4dpPIP+GC7jwd22mi7Mtf9EkoE9T/gZOkt/r4uBNLdw4F3BkDawc4YSG
iGgWU6ARlWQq4I7YLhQ0w+Qdv2TzPbHrLlzRtAKXIpGwGGwut/nYv6XRg63LucdF856mmXB8o8ne
TLxgV7ptxJmiIQUqNUtec0a5Vq+vr1UEbGizrEODqg91rNidDYOWcDXJp3TRvmxApU8snCcgozwG
W0HL0kyvHaVV505SopNzw3zZTy3FLE/kMu1bbizawTNy7Uy+ZvRXq8dpYeaPPeSPs8LzleFcSmlG
73k5hkv+msXW17Hr1FM+eO5h75tL1uy5IYxLkM9InpKapTKzCckliWdfqLNv7hFVeYx0xJtllO2d
nm3jFKfWa9G32hGfBVQ3vZsOMZe20BxjgmJxclf1TCZcLwwmO7EKmZ5az2n+fYolVSnd+MugiIOW
X3DSJQGI73kaiGp8k9qEqR9AGIUFoBHSNUiEbWB/KCKuSM43iST3cpBNJ29TzCnGYSbHqKYeXkBA
j2XzMWx/DhXQ5hVcD3tutAq8Wtn4sCyx+OQIC1xqVfFMAY7BnsM4fRnd9erNWXYu6GeLyLi9Nkjk
nZO+V8aEODA3uW9wvoQtakSQ4evyGQRr5fcNJyN8bNmxqRt5pslHp3kCQS5qOpyTBHkQJu+i/mqD
T7tEWfxiEVA5a/kpchcFfCf5sTvp+4HtwtT/ABAXp1gkxkNn7XyQooKdPnG32DD3Cm0fsBWo/CJz
5RevnXTyAR0sLrsLS2TFz0lw2WzjcQ55Y0hAbJackR/T0ZoIVNSDhsCQ9/kB+J7tD/YwP5c4jBkl
JKyKFb4Re33MsuZ5ihT6PEKNP8OWDPQ8y25rh2rObbekzytoOoiMZbPcO3JxT5pygrkHzzh7CVLx
mp1XS2RvYnD7Q4eH85Q3WnZPelld+1T9N2m5ehtN70zhd0WmwWhZ473fLg6r9xgLM3Wf89FKKI+o
cu9DrIwcYkkiwLHG3De1Rf0Od0EO/mUaIMEbaC4YqTAsj8d2ogV6Hy/1mjPhroGskeniQk9BxZpu
LwTxUHHyVuQn2fXlyUAD3BzUEftY3x6s0SUjEbeAzXOlLrD16OZ16orvJ298b5XzyzC9uulHM+vu
VXPGP0u06O8VFH0fTssbgz7vmTQHY82sKZne2OKWm/F8d8rpyZ7xDupoUX5UL9PNLQzcKQRm5LFY
nd7XmVI9QUdEDzBbQJ+tH3WdeHbY/zhRU+kczXb3vdJ58gG3XAixiRe2UThWzCkrasgOmYGVg8Ul
99VYYk5iQvS0FMAmdoeYeh1xfl+hvOhB69T6v7RRpnOpJzdmUESM3CRNQSrN4wERsM9DXLjUaCM8
nbqxoKe2K2wKTxjpgCcXpzFliDtYw7WMihakGrhkTJU7XeFP4uBn6blsl07JxlrZZfhPC8ew99+8
ib3r9oKRMQdWWj/2h2v951yat6GGYd7briZHnDCKtrZduK3TbccSzfd2Tc2LvTnHTTVB8/LEyVoX
+9qjI1bUHMBfMofHlNZcLBicU7wDkSJYrK1desPXxNPGEBpRKEjngzwwpHt1SaQeHEBqhwny2t2x
rOJWg4tbtuCvWwoCqVIiVuDKYmAoyMm2XuiqtGHwCo4n73vMMFvcmTSlxJiPs91xg33CIyv+VWeW
50LvumCXP4TKhu0ZoRbCKOTT4mFxo6QKRYcd8qmQKliI/90Bcs73tCGFZQihHaPa5S7ARRbwtHvI
KUsKjELZD24hlyFLtVtv6b/MYgjMueCmGNXVpUx6XB5qC7OO1tUTQEyTaC3OwGTvikpgP97AwySF
zVOz4lGcNRo9yNjYXzsnfl/lWJ40JJWwSDXOqotzqj35qSrc98kUtSdvMP7ECBsEUKvR3/XkzowL
vNDaho1wxMExtTJYoSg9gaypD2MaU0JBd5/bz9YFIaM/DyymcGDJLfVlT6tFtj5aWX80CCmAFKwb
gsw2Ti+52YzkRXOSCKs+3RHEbwWLCZkDL7+5WuscCEquj36BUj6WOZ2p7q3CK3kqM1o5MvNVn92v
CufG14QWq6uNfYNxv80i4kLO6jKjO1nZXKKHgflbiBWfyqF6M4ijHfjRwJoox+KF0cUQAjSwQoun
/4ZVge9itC6WQ1uT3o9ZqOq2pumY0iXLawfeq/jbaHNRcgaZHeeyPpmUMsHevO7oJzljLmHYX190
Z7H81sbG0nwVc5VxJgCNnrXv2jTnb8qZzytC6QljGhFLh14pg+Uo1Bmo81O4WRvHhEDdevZaBrxy
MFSwP4vemNPyISt2qu2AbUeqCcw8Na7DoEIl9OSfZM6ErDy2Hu8zSOLqlMwYzirRtaFh3/Wt2HAy
9ZextsnorZy+y7bK8STZAbutRO9hT2jth7PtGXEkzWBeQYrqTnGzNledYUwE7qrWOC0JP0NhmSRQ
8u4LLm/t3/XTHKFSaNAe/A7nx79vieZxSVhLMSs78+DTqtpPYRY7eKwntjAG5v2xOiPSpAfE4TRo
3Li+aRkOh/0IKCW6UTkm6DNrf6h1nVAvGixc7ilgrGNjX1nty7o9bSRQr2vWvA7dOh/tb/sVECYx
FXJTru56ZOe+1zFK3IgHczS/1GaSvCz9ZgBnYMkJjqqUirNHjPxpEIMKDIWoPAvtba+ISknlbEqx
lTGeLRamdqmtc1MicGmKUX+lCA3Fni6PzM3roLLqhR22ag/upiV2HBNCM2X7WQZ03XwAAq61/3U8
TsDGR0bnTWyAa8rPPNrL3TIlhpMsfwGm4j1PiRj8Gi/nKRr/cKaggWR7Ya7hHqXgDYJsGDnhAk/u
gV2qvXcjfDDbx31Ak6SwT7JfvBdV6yHNj9MxJ6IV7DYJW0bpra9i8VLH2nKQuPNCTVS4mLeRasbz
fIu1eA7gGnHA2o4DtoMvIysmPhvNZvfDs2jnyesMBNeOEOL0osDAxj77A1kZG99yKJ0m2jj1f2TP
WX1wTfovkVp9t4/apzJTvEHW9FMWE8KEZsorVsLo5oGT9AtmT6FI72tOzLKS0VdBl/iDk6/jzy4J
TLy6p9iok2CBZAgBQroHqTX4ldp2QpTWmWdIE295vmnHXBtoxWmuRenoobkikq1xd+O3V2HvVL/p
LiBbuL20RvGjH+oRnyVVK50cN6a2d5F6mfqMIQiUJhnxQSiYL0aNt9mlicWfX6MNq4LQBJlNGOKQ
C5K/TAW1pzHl07hrTkaO6iz0yjtlrfnfLJo/MUrj0cVycUzAHdyLObP8OWrhsLnNcJVQpnrD0WlK
MOc/Y6UnIb4dtLNlYO5Qki32U81SAfeP+LZuL+nm9RJt8watJMWAv2ooWmn8tUQncKfqCX+eCrgy
ccVwxwVGLHFUt1Drq0Mw0aPbIrYs9+tiLQmDrbo/fSt6RxID/aNXsf2wOhYHY3sZTatesb8nH1k8
uechjmg3MPLMN3U+5/uLyB2M2Jr2HDdO8gyOYOREBpNyNy6mSKO+ZSnvgnOkO5mThvyx0WtSWuQ5
1zFIKQCIgqnT1owDCu+gayngER0G7GrBH2jVrybFt0GTvCeSo3kqjthsrSdpj8l5GKl+SREb6Aac
v5CB5cpIBfnN6sbBX3XTC0m8DmeBNBLWDXQ7MVuQeR1K1jSG7TO83yxx60+mZ3O46PJsLkRImqI1
fhT076adG51nuynPjmCPiafW+TouXzHa/RJtKnHkGNarZzJ+BUPiHLVkos17wLm8zA3fV8YlmW3+
szdxaFSMZI5MoMkBW3RiYuzC0iet11IhQACJCWUpynAi4H8safC7ri3at96UBEcoiwnNVqGrsTq+
5JLDZ17hGp0J5IUz+vl5RW1gIfKqO4kA5BJvLflI2FBRdPk6xsV7scb6ZRCjcWAprsMMwxzGlmTx
60Hpz5qiaS9imrM68tmm45gZ1UC9Qd1Deeo6DGGTa5xWy4yv6Q/bMutLho7nF+0Hp0yd5sMNb5GW
Jn4tvAzj2jkX0ngrn1l99R1Di57Gllg/Udf0Jkk0QoikqL1bktOSD74WafKWRHN+X2VeHGcqmY7j
nKnfDai5+8TqftjmMsfGmf6qdPyhWglFwrRn7n6UV3GSIDE8IHKMNDVv9+4WeMijXZb5WvTyZ5NP
CYB+y/6+Viuh2qzFZSWjF4PylU4WP52KI6Vu1+ICfPuZaefyVqyev9RVDcaFfTiyUvVO3eB/q3DM
dwsjEk4C678y/4yINt5rygiONfDsgSlRRrj1RWWu8ew9isIm68gV7kQaW74XiR2R6fnr9i6fZu3I
A+RBquaSC3+BuhV4uPh97DjUOs28LOjcR9ZKf0iF/eGuoj1IHg685ENxJUkznZB6nJMhOokVffnF
8IB6EQb5/jzj2NC92T1vbVD7QNhqi/PEycHY2j9EQgTbpqWZ7sfqkhEWPtDemYZjxPSwm5lnsIfP
JyaeGlbBaLn08foyG9b8bGNfOmAJdkLuPlBO21x/ExjZCM5PCdcNA/Pu97Hd3JueYz0PnqCHoR4/
zFJS8ovqHiZx5YR1EdZctA+xrJbPRLYdjyoF0/TMILC60Su5rs98zfXANOoy8ERhv6kShYU708fM
aeKW0DJa9ksEESnSnmARGofdglPgo3pKksr6ZFIob3Cn/DQblif+4c7jqs9IzZupTkyX3bi+DN1N
AiFBTKRe2+PGDhJr9zravbrbH5NVl3Cf8fpNA8PDeM7WgNiAfjfnqT3GKX1a+8KvOyzNjLLvY4Il
Z3brp9T11tCkrT1A3MRy4BZ24PEe+vn+oPYr2RGms9fYpv54jJHcNaVFgAfJOtTMu2//7l4uS0ae
rpJWgTEKslzwM51169lT2BD4MzIuu5RHpNX0DDLOvZfQREOxdLbv5oU6WlrM7Vzmy8t+E07z1kdT
+eQnVN/KwSA/ryQHgEw7LZCdobOQkFgBztGdNHrPYMWBz8d4IipSEkWG4F4kYva7nLsSfN3H/oJl
jxR4AxHDiWo4XyYw8RumM2w2s7q2XI5WyzsreA7P+AuSQ194P1orFW9VHn9UC6VFYur7s3BZC9SA
F22jSOMjH6j3bn/SXpMfM8MVHxwFtYtXkuK3hinICsstj+UwUxst60tl9r/kvORvVj+ahLErLXBW
Z2LFcMS1216q2G2DKVmbS9m0Bw7h8fu/7bd83g3Ihcuz8E8k1Rlc7XhPg4Ts0SmoltBHDtaxWGu/
7zEEK6mJwz6x0eiIM8FuXytKum64yS/pQChfE3F3xP0EMqOY5HUZ8/FsxMck9sIdETHgENuvlarO
wzTFkh6bbnnev6ravDpXSnOPYwPZD/cmeko1QvLiNH/K86FFP+Vcu06UuQENoh7ty6IJN6QzsMFy
IYZDI9FSunYcHsP2YvKQwaEUfhMPf5cYdwY1n5gK/t9LbJvaLY/N9OSkDSaeDWjS5SsIk/3L/QWr
hILzlEKMb4rAwrTwkupx95wTZmncanmyhybgFifPpep/2NqvCVzuT2V31s1oas13WnQN04bjxM3n
axMD4InGhkk68+R6zW//bmz51Fa3suGv1cyspqw+2Go6XNHG5NhXuxqc60T/Gcrv1AcTXBvKLSUN
4EuNSUNQRnFg1XIgHjTz2S2S6RF7a+SrdsiZkMDxyEycLeBAPve+myLTS3/casn+ZV44JkRfFw9I
28lu7egspwXo5GRubUswVVKrJxKo5LEqu+xcbfqsx/Hksmxm1JR23RNmvD+6QJzwovhoRAaX4KT/
Dhi19oHDgt8gRKFVzT3NOM/sropNHtNscB+0o9H3m4yfHC6CkuPIN9JPflZ2H86CHpVsQKglLftn
03rEvQqwiudPTRlpL6pv9Jcp0wO5YGDuXcPhCDVnlBq62dP+lcihodvKdC/u+HBMp30FR7c8LDsK
8yXmo4tS4/Czxicr5HWkdyY9uDU7Lg0Pmk/G8t4LoZP15EXGiv1HM3A2sMw0lsyv8OflhQ8pm6wO
9YYL0xNXcsEHWCI+FV7IDJriATPpHpT+fsZc+JZsJmo6IYMLDCEiHvJfgxM/mO6dprjuX0YSzLfU
HH+PHp+r1GgYzkf6M+wHLMuT7p14/pKnsQCQZczOHdD92zSK9FKgWbyrIk5vSqjanzO7ZDfD895v
mdi+wNjXaHZ8NLdV1Bw40nVeHowujsBkO71SgFVSXeE+7UCUvETf/edd0yqSVBCz6LRUXvPLYXjh
lk18bkjMHdJNxzO95FdnLmuYlrj186l6KzNtxDbfvxH6SS4wNlrK5ky8BHPY57V8TZmSXdyMMUBD
l8YZ3+18JkTsvRQWULkFw02wdPWlpX4dqIus7ti8w83M/p662auAefQKIs4Kdo11iDLtShXV4hcV
uIxZdNHRSUDh7+Gm1U3UC+5iPhK+jLuOGafo34YqKa9q49xU7QjtUUztYb+e6JPLYcHCb4DIKB9F
AzE+MXkoOG08nDhmf5k5InDqOu9mHolg4tttSTsTdrKvzHfXhyrjvwvxGK7cbvnC/Fkc/21qMOAa
vy8iAn1oq+9x82zhA/I9QJmmr7l8orGYpbojIf9Fx3lLfBXtaL73nT8CTIkC257M+2Di453I2w7m
Z04SJdRzOgosd3KJh97MqRM3ZiD6XWtZ4cl8nR2HW/mU3fXFUCQxhQWwizdjGZeHdO0cVBBMby5M
v5rCYALuqYWo+RbpotQdAAZoG8wC6qPPeqb+Ny4MzdYdtjWhbcVFrnuOYsEyh2AXZJGqw5lwI/8Z
998WCZjx0OapgQFt9zipUzpXO5rH2jw+ZUxlbxmmhNtkNTFrv+cdSuip3iG3DQDC3PuIU+rXmDAi
Q/m2/xIXZXzre52YCU4Cqx2ol2MlMI94R5UPM3p4uM26lTTwQo01rd+5YnausskNkkFie+4p+16s
KLBkDR5vezG2l1xfCb3NTJl8Se+CM9k4i0eLMp6kCBYZD+ckWf7WCJkwGFKmql7KN7GxF8gwLtQh
J9/SUjovjgUGkEOex906QQKt4w+rN+or116uKBjejvb+qG5as1uC3VmN3k8QlQKqhjn4xfC5Cpda
K3Cr2gkjtHgAf5RHczXClsak46I7n5KybEKx2juiND0pDk4enpxIuAvHCXHpy25mYlgmmPEwsHmx
o7/OPcuNt6j1PKSu7lsLGBctNY912/TMw3uBiZMb3+Yb8aLqc8jy8SjjVXtFT7zHlM/s6cuaFJuf
M2Q/qJUhCU8Avx1I9Y9CM0jQGStRAFY1ShRaUkQvRX1ak6mBMp6c175Ybsl2KLW7g8bB+FDWVnYR
svrUZD9ckCbbM2n1BfwRTlPym28y6d6EYsa3e02rbrAhr8bqrTPVWZjrTSekgg9R+DMuQfCE21qU
/K4tObwQT/jdr01yQ5SLqfeDihvBQfeLtP8eNeLVYD76Jdecn2w8zhM3zuceczGli9plSh3tDX2g
9NOVxMtIdk9hamKRGJZTwQHuka7kmtk/1kuZZ9vhBlERRf333BmnRPSXpO1FiAPIOpI8ys+1Fb05
rGs6cau9IdCcNX8KJ22MSEIPxPM2O9muuw2ZWYeurEcGZvJbNWQldoSR9YKQ+xFhhIApHtZzrGp2
dEkccT/97z+1PJ86Cu56KxyyZXlb5pjH0yPEYYsC4WL6oM+ViOeYv2BFJhpXz3Egjco8Ryx5h61r
7DtYYpjruvjCW1Gf9mdnHW4aFRdIvrlF01rMsLH6D88u5Tumg7+0Rcxb7em+puLs1tN6Q9n7nZpF
fW4keMwy76OnZbKqw6iwm2hFn144TIa86Y6PI3E4xX3pvo54vGfOmAoJmst2t/qzWSfvY2KTlsY7
k3s1o6Sp695qVf/JIjzew4zVqjQCW6+mDxuuJI42RDip2yP2Ce6M1kj36NBlw8uyrcD/XEEYzX8X
lYlJszaYomsOGnfi/KePfXEczJkGZ6UUDEduppurnMFCddHhix0t+jdP1ZxU4ULg92CO1nLVVP5L
iKIkXJcMmNg89TJCmXItrkEWbnZ/yC1xNzvSf1Y1suoqCuPWCBZGP9bYxrpSDzwTb5Sdo3+VBSHU
1mVzb6eIhlY4TA4f7A7cq2HR0dQk8OechU829PA4zBlkhTEounO/mQO7JhMcIqrkqjUMpcg9ukg4
H7mkoJSpyLccH26B4y3knIt5MLf0205fWGM2CDyIT/Gqjy/cnf19A6ejFEelKDWC1A35T5tULDGJ
h6nDxusxmQCthjcrYwDR10oZ1RvBZ3lMHZBi7bbijq66ZdCgiIwQHPLmNHssL27UMYIQaXajzzY9
z6m6uRssizgT7dDQHQ5Lz+2xwEpxMFyPlcLBrhAlebfJYpxKh3I8ahmkzX0Gt7/AetzymGqbj/5t
VWO97b1fVZ9/WuLEed5mlD9Mb0ainjWdDSGt8vz8L9QkIVSeY2F9SKm5HuYUyIM19LRAIpVbnSE+
SmqGPhbm0mutTqq0UkbnTnaivCanFAPLd6MtcUjJqXXvC+2L5vaQgJ2J6Bmq+JNwPLS1Wry7Tdpf
d/VUMwSsX3PekJ1/x7Q4MhRT3wRm38CMOr/ptpEJiwQdc8JBnBk0I8x17UlzCOvpPScSbo4PD1ss
tqPpdSoEwSEcH1oYRdrPanpVBI6eK9sun1UpbcufGGyyXRyzEeftWCrrKts6oyaDkduxya3BF0hm
j/2ltr3/faVLPqxE+u/FMGjk6/kZ9oWOq4Rf6WBmT3OJ+SazxuGGJoU2nGnTu+jz9Gns6u9ERNjW
/hhDhSnU4r/IODKZidE/C3sx7hiB/7V6u7TQH8ZCbp2cjnbHa9u/NaLXfL37s7R9/KjYnR5Zgz2d
C4pv9NHwJhl3BbMFhYSPMBnKbYExSTMuMQeWLbCorZrx7DDiWzpUgiHP2qCeKOsq2VMpaJY+QUSO
+zZV2AHdosN9f0EE/t9XqGQEifgg0fyFqLudjVNm6LR3OXimuZBf8Id8yqaer9FS/NknNdIY/pQm
0L99PjttQ9rUsLEN0ZDBj1B/TYDxXEzVEXvdrhJr0duHLsrrcGyjLugWrqiuU/xq7BZUvDFcobwP
0IPzg17zKTxv8f1nQ7AoWAlmHOU99r/37gTbX9zO0dml+N7WQX+icupLXBrlsdjEKjkQyJUNAgX9
OCdtVs5XL+vOkYVabNaDdVOSAATVgBjKWRNnh45iiKmnGnDJ4d+y6fDtgAyJ++deMWKMgdUMC++5
NzgvUL9+JwxojoUuMRLZDeeABmgIQvBTERlZ0JOT5dy3TV5L6233ZOJH/L8r8uStRC+xhkuDkk9C
WwyiSvs+xo5zbrTm5+oVQd/O0atmuHeP+/YpG7TsUjrAj7xeC6E5d2dyZP8IlJ5FOorhLSObMX1z
3I91o2cTcWeEDZ8gH9sx7Kz4d9RnydHG/xPEvdG+d5zrjjGDXQAPGS62rX7anJhF/fvr99b/WgHg
AP4uGQ00nGTNaFXvUJUwIeie80qaP7/GbtOd/mce2Ib52nQhePW5Rxddi4NK7C7jyR4qi2g6Z8vF
9toTVWUcfekJ2fO2wCjOi/IiQqQsvv1CS3shXim2qV5ESgN2t7l37YJ5zxgn0wm0R86AoIIMhgWK
BSSiTrrO8u0IP3FjrDDgGKBqt+Vjn9Ju03WZczlzmFJvL9MS4L1srimpACwuQD179nPTKx4498hi
4d+kg0Dlp7Uhrmqq0mH3S8FfF/bHWhdVyGNDbmULQxNc0s8lHrHtyjxzwOqyzUGtkkdD4+D2O2hn
aMEibgXjSIhdNx+K2WU551u6ABCer5NX4wzqJ7Rwy3leKFjbP9Q1tCa6tCWt6qvOeHkG5F0NP6Qw
aaUZjDhsp9kCpDIJEBGueo7M+X8vPCzVUQ0LVkHgDw7I78tMcYpvcTw5wmnx7nuaHIS8NmEi4tds
gIc6tbgzNk30lWDf96ls2y+agbkMRSKUOCtJQlk2jYap86S2l9F9j4wOvtu2Ag1YFLa7ZoL33znq
ZKCgDeMKMbUvAMMORY2NE1HiUzTyC98QyHRnk2P5H9z2ryB86rBvcs///zjInQ7JLfhoai4lFEOx
ebc2RIdi3Wqz1KClcbSv+4uWmBhMzOUNcB2C96LsO5y6n2rsUT0EB2df1y11qjICdFtkUu+LQ7lo
Q9BhqsO6wAR8WqKPAV/jnZ7m7OoQSv/3K1TNU9ZYyBggPT7lBLher3G3On1lnCoCb4doC2lqSjoX
i4ZfAzzyTdneH9tbSTaAhT1nlvmDgbL5NRJGe8j/D3Vnthw3km3ZL0KZY3AMrzHPZFAiRekFJkoq
zPOMr78LHqrOyqy+WdaP/QLjkKSYEYD78XP2XrsBiIW48ZcaiVZ5e6vcZjq2ehZsnTzNEWgzKk3s
OyY2DEy0gOyOqUCqgUySpvskvdbb2vOE7Gew2h2SbkJ2yNzb2nn8NSyB5eFIY/zsB95Ot9LbyLt3
6fyjVWNPi7zK3WgVswrJmrGP0Nyv6YdjU499nQFDSlMpsoONluWf4g55qRGmH86iuvaJaMR8Vt4a
y98l3KsrZjGfI8HARq0GRdVye4u2W3UJ6d5UwNXSiBle1Hf5ffpNjUu7yYWAZhFgqUX9jFUO8S5L
ysZhnrftS5f+HsPf6xDq2U7qGFMCOQ93eJOfJYKfMrbKa2JW4dZtIkQJjWM8FcllcD/wdq+qyZHv
+NCexBIjkPTe9K078ERi9zBRNhjmeOwTHhg3NKuNGJ9UnJWdAA4rhUih7tT2SSmoEH5Qby+teiAS
Dh0cygc7DXFoSdvYyGWrcsUeZGXOkKLj++UxiLwJi9zkH2obynNgjczbRC+u/ZSKq6sz2WywFOTJ
RAPeCbaBb7+nNGZWjYurGvviInG3YxgOevokUYeQneq+tDYtDd+zoRKbojsoiWozTt+crvFO7jA2
uzYxjYPWkMbRZNMxGTIdf1ctyXyjOdxJ9xtk8+PQyuZtyjg8+MygCVsuUYDP4Zo2aXB0jBKB/2Jd
QoIW7cqE9yAbfEyq0FwXq2dHjBa3Atnx4aYbkx7uCGNb4ochCAfFwPODfIqZG/w1U/8hpFWfaSp1
u1RjAKoV5S96st7GETx0ceQne6BP3+gfQeVu2DURnAzbGV0lcIj1QDTk1iswRDUzxb0PEqga581I
eEvjfaFj1yJmbg71UDhIIkfnPC0X9amZUPeNFl1iFx/X0YOgAWco1u9gEvR7XVvd1kFOF2tS0GkI
vE8eLRaqOHnpBvnkhJF3T4zWuxec9DyfYxIZt2Q3zJp5z9wSPbKJ5CKaXWMbFBywG0756K2MGm6O
F1xlgEdmmhJnnyL9xwiUpQcx0bycZnhNeyc3033XU/SL2YQHsZjeppx3KM/m/LDwyHmm8mYVLa5v
lHlfxomBVoXmYCWm8ex0Xr+WdbeblrWhzmYXrwnaS4PT70pkPtacUksv/iXOpxFJoVMFO3PRViu5
XKsXq2xOspPSy5eOhYAR4U9kAaOF9MGL1omLko+PAUVmCLfWjEMo/MtRElFxTPxKQ8+rtV5w7KYb
YkUQUaOwuYixvmCE2ahkH1HEn4WQ0KxnfS1KBMhIHJFWQNTzIY8H+hjv8sVsqJF+t/NKxt4dlPop
dvRt63v13fczliVMdVH7wvR1jcvUe4EUtI0qzEvhs7LXl42YdugfvwZo8LEIcKFruyzKS9mYDUKS
3PUUdJZ40Qx8BqZVw9sSAhM2Ap696zM21Om0lii92MMH45zTgFor5XZgYxJ2Jt24PSoaemXvYScW
V4yF84FE5YAseUNLtmPCug1+55r6vxgxMAXyZ2yLIvycC2vl1NNwNpBz0IZx4TKN0LacCvcQK8C5
S8zhCR1LQmO1IDYpctJL74Xjk1aQniUZeSqpKK/vSzCHwb5MhlsLyHhVZTivVfHtSfgoTl5Cjlsc
5KE2bQk61k9WHzgcDXPjbjEPLwezgnEyGIzrSS1bM0LZSce0Dn7Eisg6R+L2tU9lfCyDgERPPbQ/
E6xkzwW+PiNrXoUm2uPIIBQN6ty8uqiETxK14sr2ZP2ql/k3R7DrmaWslfx9bbo6WLGJLTtpwkuS
FSsToT4y8KbeBB5iB6K4ud08GpdSDtUW16++7vomP4BbA4OKuIjOC+NCDzJeIMSldUnnafBeZYvP
yyoFksyEJPJKj54J1wj3JMIx7hpbieI0fkFaDfGqDIkBHO1uxzGNGWOTHXqvlOeM+gwZhGGj/QjL
m1FVuGjTJCYMIj/WgWEuGmRtT41AlxX7J+ijdaynGbRJS6zTlsdRtJq/qowCl0/arDpuhOeRh+E+
2mBI4Ud2W9VhwMCIltCosAMU0SFumLc0zrIeJj4wc9qtE5MIJMb2d6ZMmE0y9M3VoXD0M5aN/Ojp
CX0JN7LWNgptAtdZK9SFvy+4ULDSCC9DjXprXvJEOEWnzdMjYtPdNsuqnLlxgwvPLek4zgO3eWv5
W5J0sesxrA0ybAhtaZMFkNPolpF3GrwvBYPim7qEjfgKQQGTKA/y2RwibU9iw3MySfvaL7QFI+b8
W0WcWsntoZqa6D6KjI0tzYtFVqBP9TP9+FuR1dWtWXq/bghY1vXkssAxXZ0HBH80/fub/22WbnG3
hOyObPYrADHfDN/Vd66BusG0k/ESc3676F4M/i4sADqZsf5klvcxA5mdQqx9o0G0KdLmHTIYbXU8
wMHK6HK0KNXCP/KjV8QhHaORrluNgfmLOL+OEigrsL5wAYSYxBRaqtpTF1MT46Eeew7MSJUWPEGl
huJ2zBNbNRl9yzy7j0P6NMu6uOh8dFdfihz/h2Es8gMjeCsJOdgrbXcFvOwcaJS6fRYc/xhdcEuc
SpLnrukUfwEVAXyO1v2NcOO9Kp7FAtIYPQScJrgekqy2EknRBtWjw3uvjy+euW45F330Tnrww1L/
mpjmT78t/5kn+a0r9eDajAjxELFO7yk4EJyF1CzacEXyl25SAjG3ckIlo1Uj45aAUBUJp+o9axLG
sq3YhxT/G6qG+EkfxT4wa/MlJUHmBROUt9EoSGnljB5YPnqBDX0ukdsLhogZTr50SmU110ejEsm+
nbNxI0TYHYYICwM3iPcJC/dwN+W0Lh+fZd6nxMJDbWa4skW9fJqUJtJgnlr1A3NOtsQwlVf1TZjs
Ar9D9T1OKx8kIOpZLwtRjbcFkVlFNS5kozkDk5MSKJ6038dS73vEDgyOfn/ou1DOPDqS6ouxP2V7
Iyq/+gnpznGBhcAJc+8EE6JdVR4pdToOon2VUQpOqIUGh2OzK7CjDUzVVrY5E26dheaBXr81DMlN
Q6N6axunNjhtUk1oTg1tKBaCBu+/vu0L/V12kX6wZrdinBCm6S2POEsVAgGd+g3qa0FkT2KVLPi8
zDW6DZuayupxNzi3RpSwVQFSCl3mRX2uLnFaMhuwukMiyo9JAekio6bNWx9Qp1kvHeUcrSjYfuqu
H5aTcbdcatd9h1gRIJtr0wPK+qs6kcjS41jiz78vj1NKqv+OZfuNS/8TCfzH/0Zq//+Jwe4A1f7f
Gey3oma8+ycG+/IDDwa7qf9D2K5JjqoOecTUbZDhDwS79Q8HWaMnMDIbpm4IHUL2bwK7o/9D5wfI
fQbDbtnC44eaQhHYpfMPDx2O41iOzgSVFeH/hcCu/yU5m01cMHmnYrOd5S9BMP5nmrXTmWYG6ofo
da//Zs/YLzaIGS2E0WXTP9WLYBunafw0By49dLC4jgO7EGxBc8Egnh9He4ZDRqoCoUAAO6qq41xg
G49P53REIV5OGXUKHYSmSpJdMo3pZrbks1lZ47Nn50gKZs4JBJ5sotB2d3NRvBtJY+FJBAezqLNY
B5bGdTvjWcD2i1aqO6qfdkUELTpL4zeypNCtYbpPfGQpFunx52RpqLl9aTHArz/bLjKoyWjEgXQu
/ODoz9Kt4ha5vn6KI3adIDJJcLKwHorOAYda/k67jVy00JIoqY1u4eQM4zn7UWvd3u/L7ktqfi/n
GggeLbZLIcaRfKEP1ZLKY73bkumBzm8xynTe/AKcCZN0Zl2GUopPVqZdXH2G0zMHKHW5aCAszXjg
z5t2Vm53r4PnbqkLZ2RAedHuVBShCpxhOGKdR6L+lnkO2Nh1RRl1o1ri0BmWB9wL/VpN8i1ndI4u
0yTMr+NTXQz1DUhidxbF/M985nCiOxBMVMUZIyZlzo6yBlLHp6Ai3i0lcrOkHXIFu84Eo6P34jqH
uYyHLbNVxHPks20Mw8AIhXdmhyTcuFAJG0eSJsIjBM3gv0Q/6fqf8evLDQtUQAiqdMskIVr8JdCD
Prg39lNI1CakyGtXhcUabikW4YxueOqylaLAU97RxxsNZF3sfGMerxJjKGQpZkR/DIoI3zC2tZim
gzfVb13tEGifRfHFAm76OprotX+NnNOHFQVshY2C5qkKUvFd3waMkWL+nclHOntAFlY9uoRVy9na
P+sgnPYNFr6n/gchsfql12zz6IT1XQ9n77kxqIx5dRiF1PAS1KdFikI3wM+CV7joNhRW/nGeh8xf
RQH4O3WD+GKaeVKy6quTzdoFXXNx6Dy35rRf0/3oC2alSz+7IDx6o5vzsPG8Rm46uodbfXlKoYCF
bllsceZyU9UJowz13pPAZhwkttRVRmfGXBmlGe8c/iJcFjQEWhAozXKBZhJsyj4V+1E3b0kyBm9Q
2J09+zg60KgO3wob0kzvIZFt1gwAi4Uk6p76wrzoGprlFY4Ja20xEYMJYa81L5a3kL8KQaR5wL6Y
fM4N7ylImmhbcsB5xvrO41C2OSRUGi+ffYllIotfeN4oT0tkC2iUlvGMdzCjbNtPozz6lvj0bwv6
/zWtYIkj+COugNtOZxk3HGkL2/CEZf4lZiEv3FzDh6htusT6oZZFwofijT2H+S4ohTwMutQYKHbx
c6wnTypZZkJogn4yowVbgCZ8LGaotdwD/8qlXV5Ptb4lUWHtMw98rMTL/jp7T7mri89qHZXpus1h
QUDaruQdrXf70rowXguHlgMaLJsjdOTgqkkjuY1pKuiINq+gU0EWxdk5T6vowAkET1NVtC92G1mb
DIrtpagX1fOE+cZB/YP3mJc6j8DHuNW0UxaJSZtfGh/tipi8e98Y5isACmQQxuLLdkrOWEkCcU4w
lnltkzC6ckolT2yGG2q1lznwdfi79i2WmN9Dd5mmDJ/msRzWjz+9kPWwHhhCptKa9QfubGwqVMTj
P4GkeW/z6JTrx9tPuFCwDvquBnECFozYpF3ZgCNchEiNDV/O8QKEtW329nv1xCt/UISXckHKOaS5
7xpZGgerhAsaRxS7eiTuQZc/GwDevtRpeXNYKK3jLIm8V4/QlKY9oNn5JRqj8cWsw4PThuFVXaps
ODwezeV3qV8BEjbfZnZdHZI6v/Vu+RMZs7f1zdm5PTK/4hFlvbBmup29I64iB8vX2vpnevTp1gUO
u3EVw04wIB0lvlkaTZts0NmOlw21ww1Epmp2ahMcPTlVvFwVtBqUtntCGLLRfSMEVdoXZz16o9yX
n1h/0BBZiHJWcPndtWq8+9OMrw8YMk+ncVKrGZJYg/NUJrftEkxnW1U0ruZpgIAyDopGsA8T3/6J
mOhDgByGXN29w6GKcXlMxnMZewhZiUPdJ97EssJ4/nM2RIAMuYd6Fl8X5csyJ3UiUlHd+VZHklHt
YE0HZRCy7N7bpl71Jkvn0a/N63g8RtpwfzxHA0LNKB7qC6CacOuPjrMzZ/i9djQ4e1ma8+mx1qvd
EFU3U6TMp6YQ1fATXYS7m5jkreqlPW8CutrP9FJStsSoLLGVODb7p6bZw8HSq3pnqAiGmEzTkKcN
Jiq6Cl3gmS8SaFAcevbtBFEfG1b9pS+dakVf3nw1J/2tcyb3ZkgEbPhP3xKdpEt/xM2+pfObr9VJ
W11oGOkLcrPY//0qZS2L0F8WKcdlVGITweeZrveXAFvL6KawxouxsTPSrTqzKHbOJOKdWkk0grke
n6oX1TFYNlNkPEEHGo/x6Q6I03cfFy6QruVrI69OQxq5GV3COYEIk2XTwprAC7AMQhVLB7+eD+oS
zreiLcJ7jOmiVNomsD+qPI2ueP3YlXDSgPj41o3zOUOW9zQRllCOdfvi9ulrD9noYqJi3dTN4K2N
OhX5DqRBvtIc9E9TiW0qcmlVKLEAR3x9+/cvG0X3f75unnRY102Hctuy/5JF44b2mEuPHmccNeNW
ETujCrsv8+NwHdqyukJLR/tBHWCDP7fzRRW9jOhtJJ1NBHCuNAyfp54Eloz0vk1VL2ncftHaq6GB
uaot3au+ZCChDNaG5/9yeosdm/RV8UmnZcZdaOnElEfOvpzYCmdRPAmj8J4zK7skdm48D+G40YYQ
+WHtfBspno9F1JZPUxgAO9Ub5NM+cRLt2DVPVuvIU0DP7vHO60F4FhoCb/XGL59Zjec9G/NxDPvk
WWpkhKH4f4l7z3xWF710fiJIKUD9WEOw0ifx9cGjRHVKveFeR8QHe0ZWwFNZIyG38b+vXhF1CV3y
GyJqUbfDCh6LZP7W2e+57MuzblcdpkvTuerLBY57cBpqF9xV9Y4PrbnbZYq1K0vJnwma9tOcfAPT
98yLjZdzuWRyhtMbZxImD4BYn31AdHSDmX7eSboyziOTYNDDDRx5Ngi5L5lMsrdZH/iq4l3PnH1V
FKa3sjIxnZJcUlLI4pPnAhIxATWsai8NzuprTBCjE4v+vFLfpXsSMnpOY2Qb8VveVfVtxmxuo02K
tVXnppxS6GJ7BOxqXwOouSxxnHrE4hitTH4YALLe7boM0ULrAtBJakz7ywjcnssTN9dNHWr6Kuqe
zMK7CYaLMA/R5Hl5cxw631wHc4Xhc6mLHmXFEjL/VDlZtBC7oueuN/MD8TxPQ2nA/e3ne73cDuGQ
QMfxvPE5yuCnlFPRbl2ErZswNMNnL8JLqy4JJ6EKa/9lYbauJLTYQzJmzR0TfLYyQQWp+wepebeR
dPQOallBify91sBj4Pt94UAVr5y2uNTCNV6bToIp8XpJ0Wd20JGx/1e2CHZNwcat6W/q/NU6NICL
gQ1chacoL2q/xKioj9TXWqfXdoTKfXl8szFPY23lG2H4uJ0XfeSEduuoLQHn0axbL6n8MYB/Ii4c
HRd08B/kjPmH2Yvpr/PUlvYHHWjCrImYe4Iw05iboYn7E8PtbDcD+dtIz8x21KjoK3ScWcQTFZtg
iNAkLOqW2rLDT5P5pQQpNlRvxdwT+7mcZuMlTDgOnZXaLcVa0JFBDyh/OmXrHIVpf5B/Pl5Zzdyd
7LPuRE57x+9cancvDb+T7JStYiPJn7u8ZlIshl/djM7O4EhH6Gn+GTXW1g1L8x6lxTPc1Ond8at+
h6F03tQdwIc6p7voB9PJs9FE2TbtV/V1YApyl3dtfEYhKg/tnFNyjc1qkI3x3I5jdnToXm5KCd1J
5c4PVTkdRS2ZC2kDIh91Km2I4qH0aGpSf7tg1yMV2+LIIzEaOQtdppFg7Jq2IYOye2h4HZ0rxFzL
2Md0eiJefUaPcSJiZMm4SAWTUYZNfJS7oXEych7lRuWlwkZBxuvGyKDnWTP2WBaTLT7fccuKCGq9
ztLg1Q20e1mQ5cyBLvC63xcDBuWJeG7MonFzV38rxzndmIZlDWD+FFYRaVxkRiMRH60y+7l8UHDk
hUE3UKnjJw85D/sdCug2I4AKMZiQTHZnkmFzC18dNDZzPSzGttqDTN+WfcNRcFNHwrj40TDT9a8q
MDJ9gcNrLBFRRxOrZk0UlmYfEYYL0AkNt6ptxQc3li/aUpFhb4Kf5iLlswTZkfAg7ePypzEyL9AT
AKz+48Lsn7hzDVWO+hrOnD0zbFxsZnOwbX8kgdGkHRwQX7XMLJ9qvbI/oak+4nctb4xT/XVnd+M1
/zqYYl73aZScJgjfJ6+ucJonOopT9yOOvlJ3R6C55+7t8ZGNAW9Kss+WnP0thMx25xGGdMSjivd3
OXiqS+fM+9IgyyNt8qM6t9omiUKPihlrBAfh5WSJU8/k2ETjW0pepUUa64VktTA8DdcQestjO7s4
qD3eldR2kmcHGwJihcy6WUV6suYo2A0Grd+EBZfTdEx+s13e46G3XnRur0mn282IYZOBtUqXpqa9
tDfVR8XkM+9RJw+ksezajpbfsogjKOvTuXEh/+Ofnm5FF86barTWTtGDz4UztXOkE24smHw1Makj
GQhODUSrRJonJ895reAv4RtsI2hMdr9tutLbFXVdHutmYrIVSSQqSME36u7PTIyozmAlVxxm5qnN
dfrotXUfTX6dG9TRkijTn6xi+Izz3n0CntefH6+j12ndNg4nfZ+XPdlBaHSfS1Qre29ww8PEbFaF
GkhauwB0Pyubmrpk3LNT0PQXRVPvezpnIF/7XQ03OoyH4eXRcJLdyK9Ro6Blo2a8jyk/Ysji2OMT
Y5cuxJlNhYFB/UYq8odVQWFY2RDUfmO56WQn60c3AceevfE5t+KItIR3Up5LHVnZLi3BdJWPwwzi
TzJl96ykLi7O1ngtu+qf4XeKcu1gTQXRoV3AiFMrLHD7pf5pSKziZLcmI42FWWUGFegvZC6U7qTx
TAi/EBvVzFDDHlYSFrQm8+OzPsKSCJhX9cOHBhjrqi6OMD+ndWwdS7wPOJxp2AF15x1manXpkm+R
FwVfo3aZysQZRwa6BYeYNLw7epJ3TW85Wmehfc7mIGMvA4769yWqrpIl/1zak1SL1Y32l2Xp0Cf/
3KfVwoJtErv4FqL/dMoYh76ko1cciTB67rryV2XlGcd1nO0ZAIpVWJHLNVsZAyldJEfX6SEmBBSX
bmlfI9PI1qFsenMFpt8lcpnLWSyKL/WhlUEfeFQsMpZvYxj5e1Sz41YJnMJ8POAA/CqygKH1GFTP
vh9VjGOM6Vtm3IHeTti79eKgwjmMwSRDISvxEsaGtjdlQ8dM1Twdw5B4nhgtMWRd5fNY7VSPovAT
84hvvYTFUvwoahO2S+3qT4zj955fEry1aDF8XIuHaMyto4xLrFeyIwk6LDdkgLpkARLRux8i5pQ2
c0uOt+N9QJXdSB+UYPqi9obGmLNbUhQnB6snAZPVcIsHer7qNuinzt+BLbFwQOi4C9WtMYXXsIJm
bRHpvlXrWkQEHaHc9vnR22oC7FHKhmoyxurBWMSy9Xfq0VUXwopJsxFMse0EJnTqdKcYQPhhjNsW
gmhN9FFXclCa+L8vQCDCOgMQHDQH0C3Tt5CaWw4GYkTPRvqEg+wUpF6xC+fqqS698b3HthN5ULSN
KH/T8jZ48ZNXpBENwk+/cdIn1RXAKlSs/v7+lETC/uXkaTDHYJIgdUy0rura/luap6WlTlo1Em9v
FJ1GLQGx6uBNP0UEsy/9ooatEoJx8jELl7QP2uBX2YTvOejmG1ZQpGnVk3pF1WVYqMU9UzyX2ene
HaE9K9nyH9rlqaI/ScMfItxcIf2awuxczotrWX1YADvfT0vpgBebMsc2DYxzBnbkiZ6HOoyWIblL
oeN3J483altjZ9lpXQ4gqcZoPohH8nazRLozje8vIZg0AG3WzasJmjOSyWE5dOv/mi/6ny8kOx6d
F8+TriOcv8xjWiuopAiKdAts5kXr6alVRKtcveWjqOl+pTqwbvUl9U0JoJS2uxUiEGWQ/8el8Srq
B+mzC7X0YHPfZwMCwN9hivgjel1mnARElK47fHrYcTPtataRuW90k5mtLK4aaR2N76ecpfLaoj/p
cWYaNInxlKV4anHVdH4gt1WTktpk2UdKOUGI1IhfnOHAPSlhttP9yF6QJswbZJ39y0Dm2UafNf2/
3ISmuSyCf1okDcsgnFU3LXogjnT/co5vdFQAbhu62zBr9gpPBvul3khUS5sAOsJVs3r+SozP/eTS
/sZqoMb+rJa4qfKMlMQ2iLY9ivx7gVl0mzjvcycpgTor34+QU3YUFxPirZs6CmGCL+H85DcD3QDQ
v5jJw0Jk4PH7VVVxciRLc0ms7L8++lPqHcBagd+6ArxED5u621iiGpKJYVstXyJGiJvHf2zGo7GT
S9vMQJONPMjfd5PnAnyqsj2QROtUO4e+dpD6JUULnK780Ta2dXq0TG1a4w8joRkCYU3kfDFRtDLB
wiva9hxVY5uWFseup7y1srt151F9rPlDNhTvJSFVuLA5GlmNRqdZDzIbcKjJTRnY/2yGKvshOAxo
4AkdANtTVJivJVKanYkAf5MtsBUt7pt7EmXGIR+NbZMF9mWBnonc9S9amV/jOo4+OTk5fmm8CRfW
1kQFtQ2HGIfT/2mO5yK7O0SobfSJWUehnZWFCXVGt84sd/fHEbv3stynVSGvGRqpbb8oIkID/ZPG
8xM0NgVZW4YYyAUjLXLai8oT28KmSCF0IN/p2FC2TtZCRqApT0ja5AG9Av44Aj9YVzO4a5EZBiIY
LmQirTLXdW9/fCk0Yh3Atpkc2jY0H/+ZG6MwgaaBIpGj2CZt+l8s/BBOKkvfhSM830T0880S+JPc
MNxZZTm9E0lxrgvTx74zw1GQXsevmDZaNEef9Ggy1mjROnBnW9WRCVF3HEMdVXXLDPRz2y4+ZDDs
1NeqT4DhCOWBqp44KScbTQS3ocJBo9R4Luvipq4ncwuvDvDzQrQwmtlajunWtqoT7+THvPuaPuxR
QgU7GyffxjUHOl6TDzp/SGhgR87zSIjfoRJ5fKgQ/xz8IvrlZAQzYofHyITtV89b8+QvPC08u/2u
cRbH6+j8Mw+ki9Ol4SZYKnS/IM6yt+JLlJKrPVvflE/en4zseWqn7y7SVrKlQuwOS2NfXQACJQdm
kDh4hrtASwIl1+dPpum/z6OUdk+GeRrnfVPseZyCDy0eXzljRB9UyuD+xPTVdbDO5RpVQDHbK/Wv
qX9XXQzB/ywWm/2jLh5wZh7pTxzBLVi3Miqz24xp+4Z7D19sP1RfERHDMA+qHr6QFpwcI7CeCjvk
dPdatXaD5FUsultjzs8mJRHMuPHdMbpfkp9eG5ZnHrvRPxX47iULroZtuMunLa7fU2CM5YUgm+CI
H5PSBCmbjIz0dfk/AhOLGdkLvosgiT7quL9qIfknvLIfQ+ja+DEAYGsenO9eet4+05v8WcwGCrol
cEsO+q4AMnDNgLJd8jQ0Njy04WmyC/rXLTaQBy3PzFykAaoZkMu22amjq8Pw79R2Om+cFX6hWeli
usE/OJXZ59HOYCniuyaFJQ23uqB6BajtH4oI7xN5W90x8+gyHnSg1E6OQ3vVEHG0CQdzJl0wJwDX
Ev4aUtG/6BWl/Ih4YJg4kqYUGOStLVkrNTiYC6HaOxSTw1vsLYmw80uWk276xyFGfeT03jG2rPjE
mPkd61yyJdHAvcSG/YL9a/rU5x3wzawmXswM8/+yv5ty2cD/vEdJQ5o2vWbdsA1jUX38e+45GP6i
GOmcbH8PBglQ69WwgsY4BB+j2lVmCfbaQqyzimNPnEU/XCoZBIjuSZu1Bq07dXYePRlEtaDeWXHY
TLd+YKcH0xXw8UZUGsM8Qj/Tut24NJzURQ0GNV3W+7T1Vi4ugZUZTNmPlsRuu3TtL/EQxVuInXva
lPNWZTLz0pr3x3YUaFr0BayPubM9FI8UzcVXDiGZ8IOvJskm/JkRR2IqAu5TGIOqyBd9C5DexY1S
Ja92ilNDKYyUroitrtiaVXo0RbgmKQsVYsJ2Y8enrkezaC8Skww54NkXaK1Dh9MlqS4whpdUE2Qr
zk1dZtAP26HEW2zQXqHVPsfmfmzd7Zx3DDdxDy50MpTcwZVMklet8/HBZc25GLrwM6rAZ1+bvz3e
ixkJz2sAkrdgUwX7tQ4poH6Zrvmqp7G4uaXD4iDycKXNbf9qmySbOIlP+2poiUvxxom3oWt/PDZM
Jj81VOZRfpricr70o0lbwc2+jW4Mo7fyMG74rX5RjnUr08VGcuOujGWWNMZkMvrDTQ7WT9Rz6LBr
yI0eZundCFtr1TWj9lGgmQNnkd1w/Iwb2jnfEYzhC0nm+cl2HLw8pa0fYNMRuY6Wf+aWHpih+Npu
LJzXYTDt38NSANHTJxqR1xgQRAzXRD9qhoQfRvDKsR30cRvIDswAx341cFWmLZaQbeXq/qo3jPyg
Tuu1IdBcjiXhnmn0pFtw5KGpoTDNjOeIXgS1ZONvy2GYTo/GC7BLsPf1rBMJ7f00IH9+ToOi2BLL
UKyKrJ1v/JHvaaWnZ1sO6Vn9A37U5wcnA8NqjyOhnkSKuZUokF004+fUCkhCLcPvSWIhm3Ab8+xG
8dviQ7ilWIXVq6s+4014Lxm7n70Zx7SjzcmxYwVd05grT1qc0U2Oo3oFgW1pgkXfHLR3ZkhUnz1o
/m6CtIbyuNPe0CJZmDSrN4wZ87Z0Undac2o8535AvYjkXrU68KtNCH0rd8952z9WQrob6krxleXj
vXFRFyecZBr8lhe9G5or2uOa3nMxSxgyj2Aza/z5mJt33fw1z/r+wyHixo6ij8al2mmtisaQHZNF
rNosZQ2KcnRM87nQa2qgkt6T+tS1kDH3UwQqLcpODELsn8kYfnF0enymU9rI6NtxPaqZsQuJZaK7
dROJa660hsCtR5kGMIrzCADasgLRiwFO6/71kfoagenButc7Rh4mxjlwmyX4Edsn84YJyMvjOzJ3
cJQsFUGGM+SA7JUsN6vV0XYkfU5gPBkM5QrLhnOVVuFQdHMUa9qZ7GklqYgj0M5ut1a1KHH39zbS
97WPSVUDwCwVREPFmin2vPqormiraQno3gYb8Nbo5mav2Es+3XtYQiZzI65wIJe918mT6+OFaKV8
KUfJmZaNf6Uv4cSdzbHS/Bb4qU/YbX0yJZHj56lDizsvzzBh7UAEJQ5mBcBCE+KRcBOKPaLn9tno
UmbynLQgitMLOvjZ+KhorLLCYiPd/IfLLSmzHsD60oxS8i6Ky3z/2HzniQTmdjCD89DlL3RWEDBn
3bXxDRjDhqvfHEAOrIhAPKtkXiMjEEdjypec8kWeJCduyCpCTNdGAeockbYv5tB+U7W17ZYIyC0y
JlQjvxjGd1VK/n3LwFqEWn/ZCE2LcTVLhaStZaFx/PeNEHtZV0Q9VqDUt+FJ9V4Fi8hccCee+SXx
SIeJJx1cTMhwaxnmRCQTT8YQn/O5bi7WFWLEF8j9PACz/+7IuNpRYLRYhf13LAo5Eco4RWeRcjqp
2pTaLoWc4LIuFHWHm9ToOBSWXelTP3QZlrBoAReOn2A4hB/zlL6AN+Kmt7p3iEbtaShmi9YQxL/A
C2p6RsX971+P/2yh4J92LMmZHxeBif7zz68HeoXGyKug31La0b3uFofOsj8HJaGUTlR9BRUsQMAJ
7WTZKZ33/yHszJakRpYt+kUyU2gMveY81lwU8CIDGjTPs77+LkX2OQeKa/CSVlm0NaRSigh333vt
GOcDfSN2kzEcdsKt0vsoDwDrLz+xArIbYfFC4Mdb9TtRBh0sTPrvlTZbxAKyMcqSwqbK63Nm/khY
jIG7hqQXLBCOeCSxjuZfvw1EBQliEcj7rU0ppzRZA9DydTsb6aYnvpjwxjHd3R7irMnIkTBpfGcN
ZUQEPRQBtW1vMy04dLUo1iF8LyhLDLoAqmS3SubPl1PdPr/eXo4wPNvAtmNyznp/exGYnEiiKwee
2WXQXsuwP7YJV7brPI82hfMVCZ19BqYqjm2HjKoeHGa/SNcJTpoImqKrj81tQBgYQZ8yp+92iYjO
jSQqSryXDj3V7b8psoFE9V46z8PEWQQBd/viDDAuXRfuM3B5d+jPbpRt1LxcpIRoOnEe4HRtffpK
OHQvVeXrqE8iGzgPFljqRrl39BlvQzuWxj2W1X3Ogw+GnpSSP18oYS8P2rsrxcFJp2EiLJsb711r
2cGB6WiWrmYVKLFiJOmQtr8EqYwIWyKsS73obmrfE8z8UQz0HSL9U9gLAL4icZ2D7kfPMi2a49ws
j6zM2sfY60Ab6CMhAmH+KZbWtLMtNzw2IPiKpuxgB7TPtAijr0keWasutQ63ESoew12Ul6h3cuDf
OSZEzyazQWkpa2Q9Z1JHHuk2lWvfdJtHcGQScZJnbQJ9FpCkBQQxbX4cnGYJXJeIdpcdzEpGRl6T
/lQAcFsxXT1ZfTxhfCvtTb/gI9RLE9rWifiHz75dYfRsSsIPMQQRad2ae5PeoBIDeTPAunEa8g1w
lG+DTpSHMdTlA7ASkhScf24rdITTkdyS7qmmuCnQRe8CauxTwSGsipsYVf5xlLV3abB5EFqszc0d
AtXkFjenjg5Boi+NTQj/U14fcfByEyxD/IEWnj/rSHeXAap6SWB23P7awm3dy41OohKOo2Z4a9uk
3HhQ6XaxdJNXiUBW+hQJvhZ5VyM3iC3VcwjuHtQf0hAyCnyb4ZvSHdcpHHJ1CYO2WEWt5lxEVJoH
fYaVP2r4lLDAVc8VHHhcEU4FdQU2UI4/bRPKAScCcap73yApb+jY77PSRwPqsW8T2ltECFr2YWSW
P+3weeOvkxJ7Hp/VXqedMe/UBFkniajo4ifWGmJu0Y7B5DPaPag5sSNnndYetr0QwYGsF5wZRwY6
RWzE6m1llf/8+bFRmqD3T41tKzmyZ/HsvGvUTtU09VPPzMzVO5SEbtdeHDf/NCLn3yl9cVqz7PUh
uQLqbeiW+no002BTlOBhluO5QyIaLvZxEfXOLmdvEXTaXV4Tjxa4Znwvk6CDm95i6CmLB9ZSmDoe
o5tiyvWDQgkNzDzoQZGM3IG3LrPoaGY5JlLOom3vp/s5ml/JanKuaqbf1FT6CH2wvI42INql8WC2
1Uj20DbX+R+r27vXioE0KmKKA9dqHrxyvqrz/eA65wrj37nHEIs0IPvgR2RGDl5KnwPZKhJrB8Gf
kKAHNPkmTnD93FeD4LHWr6YzefEOhl+d8AgN7jrhCuGaMJaH1jD9vy1p+m8icdrnxMGbiwhO935b
0tqpqFI2NmR+eBbOxaKtV1OjZMrDqw4AcYtaV2eqPCHT8ky/2tC7zcl7n+jyqyZ6kCH0iLhxL47P
WT50mpzUrgg9URJZ7sXpkImGc7DHXhdz5gAf4nbUC5H1QuKuflZ+B82z5z3zW2fFNxJtEjqgROb5
6KZBB27VnEgWszwb+lyidmneElmQMW2DkkGqnU7tM0kCdyDNTIy+ab8Oq856UKf4bvAwbPv22bXn
ldpWGkHXFA5IsLOWlrE5EZwHoxziDkk8tGPKEiEUOz/feY+GmUm3H6bEr7jVfCz51Gt1zIRT9KTm
Nbp74RfxfSlkylpaPbqO3Typl3pkXJb6b5VjJnvKQ/u5tsLiBCRbZrgoujl0XtkZBqgPBm6JAPj6
bNAldD0QH5M+ahetdTUeFp0gSkeYxtb1jXLfOdWT5lPAdG2avESoKFcGesovmN+Omd6eMModdHe2
XqICfrUWx+PTQCG8UT/l0Kz//HxL+/2uaKLHMRwT8C3uGE4Rvx7HXNaNGoC32N7K+SaqfHqIeAx8
3OaEYH6IEtM+Is+Jt2Gk1Y+t1Difku63smAz7hWrUHWx54xAa40zBU8//EInoS+grr2dsmxJZg+0
uIqazghK+7KuknMRm95XQ68lskkBDMWpNYhaWXfICCxZT7CTL4RwLBNcseFsEz4PLRxRB/9ejuTg
QrXPVtJNZxX5/L8XbYag2XYwbTXOf0e0YxMJieFHNEjcMLeeXmR9I4T9e704FxTTRkPhSO8yuZ+Y
uuuLEDmGLHw7AUpjNvdZ0g3PWEQgb7ZnPn5EkEDL8C2utzKKtMd4ga+QrDESM4pt3XCb7opc+6z6
Q+hMS+6YTBzquj22iORQuZj1QzNPYDVEtOmtmZNn4RakEM/to57nct+2ZCj9+ds2flOAmosFSsdv
BV7D8haX1s/FCA5Nf24tBzXHhH0ujVaJVdrdFhfIM2yH+oyHLrnexs2i8+6R/v/INN+8xLXdv+Qe
XXS/DCHKIPtboYu5A0xOFEbfLbZgA3xjq4PfkLWzdSNcNGb5JROh9jEU01UYkLuVaHiyPdB6nfH5
L5/tt46jKSwsaEwVl1rSUBawn2azxD64YVKRcqQMFYM72/iD6ApOuGawK6Eg+z5HT3iLrB+2lX0Y
kZeFcbm3mxI1ZmwOF1uiNzSPglbUEydIOloNFsgqGe5jxx1PrTPjPZQkZaQJviAkRICJSbL588eQ
78XNCGA9nkmmKp6NvFm+M/5YBkdyURrhzrC6Yt94euGvWXkcVj0yU9242UhJGE00ZelCtbD7K9e+
6slDKB1z54k4Pan5G1W/gzLP9F48mLZDlZC5MFbeS+y7H51S96/qz3LijGHq7lNdHD3IiJ8bqtH1
VBVkTbjkYJWtQd7TosADxHwI0PlvC+JZV6qvTjJcuvZ7FxfX4tuOtaaBICN1kAKLOqGoLOeZofJF
Tn1IenHSHW8tEYDy4V0ylSx9TaftlWBt0o12lQTxo8z1DnvxYoe5dSWsvke/v1ierTA2ri4sQ3zl
Wra2ccL7IuqPoDGG/eDr6LWc0zCX/4jB8s6mLC7Bgh+2ozvTf2iDMDoYhJ8j6tJ3NqK0T9jD7KUR
z6jrNXtWghs8F/0DJvB2E9O0UDoCYAL5npBCBKp68OPP37b7XlDAVuLqAjL6YrqR1vvlN7HHsi0G
Ld7dLAVumuiEBmf5Cq+wvmuACjPo/M+LT7iUUfhfSjH4F7u33BdBq5moJzhdmYjdjxZSpZXozBhI
RzuBx9Vfx97sTwqJNZCGg5SLr6ePaZlqhpcfFAEbIz1YaBeyoVNO093ANT1NdU0JEnrXRBGbIDmp
50Tt9yCHiNDjhjFCC8hYCcl442c83kGUuEejlOtQSw5A3It7EDUD0vZm3gN3YHBr1EANRgedNrge
QusXuEF4jjv4fRy3rQ2TiWuQJt5FycYGQLDQXGDQu1iUL23mXm5N+kIKa6fromY7N74ZE0FCE/3F
dW3ARVuZTZbc/fl7Ev/PY8lRiz2S1RNAMTX3ryunNPuWKYtT7m43ZRx01S7Uv5kgWkn9xN8jOufR
S82YOEr0l8FIK9uFGbpB/tWwk5bSOpq1q+9KUzBmrvHjqdUJFz73/QzKSIdtSJIIRtBKovW4/T2V
NuD9cjvJbVtHxJX5aL4QHKiBuTKbQBrXCqKjWsBtd3pjTNey1Q4+fnHKyJUecS9VY1TtlK/tRkb5
LyOl9BvwVa63MKzCTTpTOtHLHtmeJQfGMgVugRPFuT3euizqu9z4Iic/22mQyhGZNP0LSWzBuWeo
hs7Ygx2YCmNzsxZQol2LObJw4EeUQU+3fmagscXk0u0eGNkWq8mm/QTrAubs4pQgJyHfkbNNq39c
DhpqLofCqTioQ7tB+jfToSvn2/FKXsdBneIKhs0PN3mxPVOqKXUmeUy1FUHz0JqRYaIu966uMzmn
EOT0NgCNcQqUS6pxrS5LZGdX+HGfMiJRHn2NO55z/1slsr0jEv9K/eVbMVOGqtxaBfosf2i0PYkn
FMnDwDJSNuL77XjhwK6iGJGEle/CwSJcR7VRSUuqUYYtDdS2jtZKI10vo/dJ828fj94TzM0m+ZFO
dYVX9gfdnOrcTuBWUBAFV6bn5tp2tfJTODUNJ91ZHGzoRusgN29GO00rje0s7BFZJQE7oceNtVE3
lXpRJzV1Phvcst+KWdK7Bt2N7xJJoi6jXbvw5bQG4gVGATUDEV4BaR366QF8wmYMYvdO6Y1L8nDX
DOjkLjpWB+SlXIMZSPYORfCXycvb9RCN2bqOh+wYKPV6pX0JqxHt+eLmReRKUG9KA4T8LW07llgA
A/q/2yki5x2n8oU+jrEXc9OtjGnz5+dZHXR+LmtJcxa6lDjTTZvpv/murJVZjW0NEwOYLtO2DlWH
2LAaw+feesXO68KRyKGw0VjDdduVr0NahGuU0e4bKW33HrmqhFiJc7y8kHYGPp4hrDFr+yqKzVeT
M+c6hqm4eKqg+blnjrAI7VyyNtYAUJDLn8mKx3zQhzRvkWua+27pTectMtGAQNB/N8ouMBr0Noi+
tRIj0yoN6JyQnJdSjcN/L9PJOKgzFTyY+yXGEjo/FKVGTs7dFM2ok2Ky84pW989Mn3nQ1J/4GZOU
wONcAZfvQwtvcS9z3ESHGt4OoOTme7a0TJVlTv0EZxJBcuo6zMK6r3/+JsRvk+LlqzBJH5f0xqUl
9GWL/OncZkaDLHQDqksyQAbyij6883s7vJPLi2sG93nuGEf1+9CMo7sU0/zaDfArIHtN0DKkRBnM
IjmbNmnpypOOiudHSAvsEAQEpwBIrDZqsa0njy3DSdjd8zQJWPECfTsl4tEfq2zlZJP8rKrHxvp8
m41gfUAgnwlcYwXTD1pf9k7PyBZt9ewsWclJK6Bf7iXpRk+wjod9LT8YpIWMefnWiWmJMRk86lLt
rNp+M54YCQT1zgntbUPfepNoxBtwstP2N8Mp2/KqkB/7euFGC99HSl0WEEXJoOnTg9d2vTgAiN3M
plzr/T+9PUwXD0+82aX9ndpHbg2trP1E7LEHJHWp/Uvb+a7+sBySYackKOolHvPsqCr0LpvgStp6
s/Wcdml+wVH0F4M8eRGIMLURobCB8jdE3XAzhzqZs5ORX2wn4LXr3CKA1W/mhISjIIOGsDTA3IHu
AmWMtxWt35wCYc3rsMkqrAMGu4pJSKQSgswZo5imJIFLJbiQ7ZZcm37aYkkn2nci76BCAXYo4mLY
Cli+TaMPa9WtEbFPOpcq6jzZH7xSxPuwmvznvEfg3HTjvq+H9EE6+K9YdcpPKavTRakvNS9ImGlP
THOXGagWaOLj7XjRzAaDy3Eat5kMqvvJdYdTXDXGSikqjRExifI5NZP7hGQoPVqg5x8dCPCQzxvt
Wwp1qq5Twh0X82NYCdBEST3smPv8c/NP6Zie/mLvgwDEg/LLmiYdabksaIYuXZavd2ta16c+RnQw
5+GSPLh0LDITdrdfzOExD01gX6Zz9NMZ33uKNBaSM8R07V+7nE8pKmyZHe2yB7yLBP7amzxoDBSc
L8YPP0s2HtOHH3MhrrVeRJ9nbtEV2apnu/DiI25e+xkubLcNe9e6qDDWODOLVYKgYa/eak2F2tcZ
9J3KGyQIbjjd7lUGO+NhUntkWdjc97Xt0UYnW7iIUvj9iibOVnW8WVeaUI4Q/Kd5V3QdSYANCj8/
CMSTXbZgq0QOMdV0rbMZxtu2asNzr8SxMnHwmpmbEC08I5lj10TNgzAbbme93zsNkzVwW9NHkDZf
RZrAgfJqBnQz7sBlgqOPNq1fW39x5qx/ob8TrwUtcoYtTvdCzkO4ifW8I9U6wsOT4KDE0UYfo9sr
IIHW4+hNKo6t6mmDmY2SbTnrqaOHnts3U5yWOKwyS1dC78vgZC1uq7LGGZ+VFhGUIy41Y57kA5lF
2zKzCo7trNR0EMKr+glPKmz30J3YiFB93R6MtkM0srQ06rRuVljDUWOO9FZckTxjfItXcrZ+eAy/
UF3raGSrDkAcWx0neQ0BaG08IAvYxgZAk9DLnasffWkIvXrJKfE7dxy4m0DBpMRQ+yVps1NOuIMq
QfuAOqqrC4/HdwbjuBwCVKUYlYz9b9+909MtiYZU7noiiomboJDUF+zg7d9uO3EJ8bN7EBqlCZgZ
TDlx/oBd8BJHSwpOXsIvUmePJjHlAX8Alw7AL7w/89KRurnrTUy16uqIIbaAtEO4YF6HuyEt2O0V
YMCKAbkPfpsf4eEPj9JsrRVSgfifmMWTqnKbdv0K05efbNkkiA1zA+sQ95N7uh1q0xEVN62J+Htg
lV+NEpydcyUwBjNHFhD4qIT1IyNvRX1V/nRDWPWmh1p+s6vT/+6P6QBg3wWkF3RX1YRiS9euHSHf
zoL1WhxmZNhal7JMrnHbI71YPO92VB9tGFeEIvLUxmb/gNYFYNcSjqliMtUL7TXAl7MMlukfDhXu
4mbdLWiBqoktOjzNwVcajMYMH3WcMmd3ioDVjfHZDgdtUznj023Zs0YwVIWVnlToaBYW1uXPZ4Lf
jMrweYS0sSlTbDkuOU+/HgkE1V7hC/K9Sntwj8oNeZNdjWSRgGKtxfZmkYwnG465DxtFLWuTdvEE
jGLGvv7ZWOi1S2RnhltW/aYpZhJQkqPOefBZt8Jgg8Jk11mE8i6iC0WcSTQipoJxKmJWF6yvYTtN
pLsshzUgsfGRDt+hAWGHPHAAfVWUer5CO1ru9S62t55FWM7AqPZtqM2aOAa7u6q+9RiS9ZiJAHOg
1X31UUXnAr/NaM6cA/Jq+JtF/n1bl2GASY9vcSnQWhbvr6BtiDxBgDmv57ojVGwJoFIv9n9/Um8t
NF0kHRSZv/NH68Hv/WExJhEcGgAajhCa7+DQgCPR05fbRKWQ3mpuHBw5sZZyoaLyOHMkbkQ5nJV6
Q73U8zUaaOjcHuLQz/WnPkvTNbkycnv7JYg7iOEVCJWxsdxdzT7Mkr+ORt+Vq0ZYr3lwyhYx0xKs
FqZgWObKfQMQmP2tFvjtWi3nf5PZludi0LOVguOnA6jrtdAVQcesF9si4+6TJ/7JCY4hBrbvATTq
DUDiZS4w1kgRxsxa7Cfa4XZWoCwnKy8KHkxn/K6GrQDky5MliUylDqCX5nfPmcjzi27nxX07TEvk
O+mDumXvg1KznrOkvR9ovB7DRbpv9ITE3KpeIs73dVcGl9saVRImqnYL9WK0CTEuE+B4rMOf1HwC
lBEIP8t667GNr01UQJTkI/f18tKQd0z+7vgPvCZw40Z7Fl3VIuQnpoSY58Fag4qY79J5nO8i09wr
w9kcVU+1bOX6Vigypeyu6qG3A2wkTgdH5y9P/ntrg2fSoXZ1m3LDcfTf7ttYVmPnEOG4vlnOF8zw
/yZa6if1kk/8J7HWTSujHS7K86AO+OrF9KEru35Tbyfa2ZfBIezY0yjbBhlc5xHBg62R8NOi81aj
PQ7H5r88KnNun1RdXg3FJuO+vHoCkZ9PE6OdSFLNvcg/hNR5SqGd9E7yQaWAypLYZSGTR0Gr5RMb
sFzZwHPJ2QndtUpb7chEgqOASZIOy+PkiOz+z5fOfC804tIJsTCjDElJ672/jYOemGmGc9Z6jo1i
E9od/W8H35kTZHuiofyHntiZvo2qvUNPBKzXf/q2YPd3fuu1j0p5yL6if01wu5y0RS2pVykBXn7R
XP3MsO6SJrsDQHSK0ti8OFPPfdZ7zp2W3wJ8pNde8DFR0YyEQ/z5A/6mHOID0tf3KCQkClVWt193
haTSbOwgDeNl5GO37hkyHYLe9GPghuU9eq581+RmeT/YJbqeuH4dYt2nO5oNIXZFD0RVgr5x9MqN
VL2g3ACgHAw0mqKgPw3L/lraIDghlcc7D7rNduHTHXSgKR/JFTogU5+3MWyPfZPakJ7cyMLQzIso
QYxB7sHwYyIRzNrpduICdQ+rUljPSD+Rl/lY9ljxbi2c2/oRtoJppcPYM9BNdKKWviUM61kkIf+Z
jt9THeT+fCV/2189nEPC1Vm0KHyIrH5XKcheAK7NK2c9DEQiIMN/tkBlHH0bKc8EEuQ5aM32OXOR
8ukwIId+yeqIIL4yQTRP1uTLvSVRo9ZF0zy6tagpfjJAsYZ7rIsse6oJH9s5duFs7GiWHHoqEisW
fJOFw+DmHExTnZYn8IhS2M2baEDZLsd8WYXZwQPnsCbbFUe4lssTiuH8UGBRXsvUmk9oWp3jQlRa
ChWQT0xvxqqgNZrDFbNVh85jApjFPkLG1vwnQX/48OcLuFyfnyut5fpRjus4VXWDM/+7GY1RcbTI
HNdZE9WcbWYfBy15njRaswlMrfftz3/bb/BC9dcx4KcW5lBkmO8kc+BmjLwwWElumJ0uLb5FmA7w
y1v2zjet+X6Y7vNJc15IQHzEphFs/LgmrdYR2o55UeVzSiTbnLx0TtNJkX2XHp58pXRzG2I2hma6
vTOC7mhLSCBTaI4P8+LoB6DVbNPK7f7yOLtLx/zXi8jNgr8GCpDJBERZgX/admemiYChTX+dAYY8
Ue9MZ40DB+NEfoL+oG+A0EDAXtrpMt2A5CNhkGirLeUiqSsLigVDTb+nFKHBsbwtRDUcMtKLV44o
POJqxmk/W1DX1FsMjdBPy0pjXwAcCHgKHIEmSWEYLeNH1FXNmeSY+ugyDV1XA8IhVB7erXIw5hJw
ookj5qb2LYjtwwA3aOa5HmuaGpXzaiN5o10+uI+hhljECkip/p+cIAm+3LZxjyONTdZ7MbWMadQy
NFTRm2A4dwAnJGYdPquCCmnFtzCZdcKetWqnYEo34YbMhbMWCcqohinEuVtecCZUZ/VW/TQ1f7nj
hXg/OvaWweoiM/Ewbbq3Nt5PXxfSIk9PutjnhAYRfB6sGtwEMPCmJX8iLj/0GuSs1jJPLrpyWC4L
ISsedHdN9V3cKZciJ8hobZJyvQII8FhDWk82sXd1lXLRjj6byr8lAVBdqMdWTuc/lcAGDzfIFhX6
3mfKfFHfZp7CTM6DMKGb0DeHEcAOms5IJzlIMNeeHZSGxgRaWk/tiVroP8gfMjxqXCQGFkhGqWqe
ZaJvW2cpsnXy6F+A8GfAZjl0NsP4ErkJGFCT3C4oJcO+MknQUvW5mjHo0N+26HSzHUPJmDuHzF16
TvolYQUiZDXyT5Hlv9xIBlrSv0BBLLhXA3LXWpdimLin9U1Mmg8jjY/lnzm2aIm6fjL30fLWGgEG
3G6d2mn/yRd+3lzTxFAlfbq8TYR5D9jBOYap07yyi2+U5qkRQUthiBhaSdxw+W2cXNeMld3L6VQm
tMUCSz+qprO6UXvTLjaqPyHcDrsdIBWAEALvpyALMOztazjnH5QVsfMLUtOXScStBsV/YR57QAXk
5mG6bDjx78n//AoR/q2b4UirSWxsvv15aXR/O7tbgMAQerMGu+xl71FgZK5Kr58B0zN3IrWubPZ9
M/evgm7ek01EAmadZGMa4EwUhCeu5+HYu9jKMePQk85eUO/5j5rjr9xZrAdNgIBthXf1a2vTiwT+
dd22J/WTerFqX+z7joRRmTfiGDBnu6qXcknfUj9FDscvWFDiJYj3cRoe49QtL3ZbWMcAOD5g8Kx6
EFnXHR03tIiYhlBIHqU8TJXU1w1HuxvcstXDq9ZmEMDLOtm1Bo39wAo/2ItOXqmYtIQQ4Pkp6PFy
cFjhrslHaqYGaJ87+3vhRV+Skkp2L2tA5bfjRj8KYzXOc0w8ZDSueYD1nU4IyDptYm9LXIm27mSD
eFxO2n3RTY844bwTSRflX076v5mYPWo9NjaU4HRtHPpxv57mOpjnEMAsjk2xaVEceeyh4Q89srpd
WbpyGxHOeC5YKMgzSHzCdPz+3hzJdfSnRIMtWLewqMbpIwaqbKt5hTyotwa1ZMjxcWu3g382XeMa
WtFOrdYKfkIPjNGYjiJ6ObITf1G8zHEa7WwzvSxY7jWEtp527bQz6qp9CGMHQqfTgKEIdO4krNB/
uRBy+aC/7IO2wMytWwa8Y8MwrWWf/GlhTXLHai1Bwu+tlYTmnQW10pKLH8ZETi4aucpCrROS3Maj
G1YPFhnyqzwYtu2c5qeM3nPkBHiQl+j20LNuDX3bcodDUQvIkzLFuewvgb+VxE83m93Vps20mgH/
hOg3P9DtzdZBYgUfgEBm69hAWhoSwrdTMzErt7ejjup5iPyHQZJmEZS6tzdgsbUpoYR2DwSnJxvn
AHGLiWfnR7smLrfBBOeFfCf93skeVS5nE3YHn27F3ZBhE9YMsFb+EwKz8trI8CtBJtymo2HvQhS6
7eBlL1OZ2+u8BXq8nM3pasBYd3qaUYstlhPNZU7BzsmiuvZaV19Ifvma4wnGkI5YVKmISSDtzkMA
5N5E2Ev4DaPWhXJRY2mCn+sU9422cYX/OaoC4pOHRP6lvWD9VtLanG/QDBg6NS1m/Xffb9j6E7Lv
iIYnyX1rZH0AiWYH8Y4qVj2N0EFcj99COya/aLaqExI7wAMG4Vx5H27juig3fSrFCXV7d0J4VRMa
Rti1+8pJrcIL40F6SQftdUTbdE4S6X7ia9kUsRGB4OqmDTSH3RAU02c37FuiuWLz2KCGQdG8tMJL
gW4zcdxjQouZ7Nux26iDoQFeZm3QpqPHzASlS+t/RpNEQlKItbjyX1BwtBdj0jAtLm8pCI2/NLHk
e3EMNFqJ5IKoDUcApn3vbXDKzGtD1nTY9G30TGg4SZJNmN/T1tXOsSu+4l/SdmADElTXckc06Xy2
oik6jL37sTbbkhamW5Dj3rKPmaNxqJrcu3MRVgMGax48JEbshNNZjcYJCcYBLO+dSmb3ZWVC5yMW
AFFtCOkDCdWhJaf2mhhJz0w/gtFZJQ/hRDRdNNq4S2l2DYWvfS7IsLXqIDgwoMU1JhdPuJv+COjY
n1JS8RDVR3fJOBgvRuoDvpfYWduifHT85Jkucrdl+wyPs+0MVwPGb1701pdhyD8zqGrvXaK7Y5je
Aw9O5PBkwOE992XhEHveVvQW8yXwwxrPhe59nahiYccm2pYjnYTg5gd3JXHH+OL5ycAbt6X87dZd
2YNyqPyHyerr09x7/YbO9jZYuvVmVj3/ece2/5/HAbAw9ROeKPSm7wk/JEe54HgLrpsxu6sbQXKy
UvIoB2uLKkHfGE5lvU1za1NekXRUhU1/JgHKfk6KCRiviB4GM7SfedDnjUtFgDs499ZxWke7ejEr
hj3ettaccDstVkaAlp+knMZ79YdNcOpCLf4QW3Ow1sKZdo6GviEJTVwsWlJQU6zTUP+YZt9VJ7Nr
oQgWTadvhdHHK89zFjleBMkh7yDTWuG0l7FWnofC7FaxC4bL8kb3o52JMwdZ/lPTvUeFTOqMvCtM
+nIw/MzPeV/tcU503wt3filnLPt/vsq/V/g0PmzHoYFmsMNSOv66qWgTpbyJCuXfPhrY3epK8pKP
MKhhd/tCrCTq2eUlQrkKVRyZAIavfgXl+zRHdXQKUQys0lQb77GZYaATtrk1BTPoYfboUzRcbdiP
tCRti/lGm6V3mmxmTBzIEf3xmjgx0lo6y9fQ9I6LCAcluKO/ejX8spgOPwe1gl1eamAuYc3DlJo/
uGxNd34x3aHHDr/mUPJY/Cf6afO8MRvbw7kWoEMOQnGxg7cGWgFhInH8F4uasTSSft2R8avTONdB
paJIcJZD5087sk7ze9I69MtJRQGhHNp1U+foyemHEwsDC34I3N00utMxahJ4BFnNrax3Ym9PDJsy
B9mx6IFlk4PFRzTPYzJRCkwkN8ksyR67Btpaz4HGWy5tVpjG3/Rqv1Vr/POJOmAii+eQrsE7s5OX
xZg5I9jkSmtju8OAHEwv7iD5Qt1Pc/9DO5Ar5zNAup9JpdlWOo2XYGymS53pJOBmEcbNVpprnuTq
ILUKEXhTiavw8n4rzcOf71fjt3M8/17pAruHi4al7P2/t46hbM0jmqEsZ1wWtehZOIUPo6HdqTfj
kDn39dTCl8tpX7TVRLwm2fY0cNmAvAKXfGbuC89PWDtD/6RepG6mpxAjuyqV7CjD195PzlaLcmeX
TiQZ0x4Uf+lrGL/tWnwUjxE8h0y01tb7R8/zzdIFHtOs08R8dDkNraplrGz2xhc7Ce5lVJ58v8fY
THQdpZs+vAaCUVwcxNk3OqfAsrKvM1iNTdehcYkTTxzjlh6r0u5ojrgi0f+bMHzpn/7WP2ba5qCJ
IqrVc3/3xxnZ5AwJzYT1rXbvURkDTA7YHv1hJZouXRnGHL2FTnzIyKxgyyA6TgUL9qn3GptrabNL
Z0mFREZGuDerIFqFg6MdVMs+9lKyuJQtlyr4k5DBQXUGstb7Wtp5/GhZ1DrN3JQvY8ds0y+S5NjY
8Xd99NtDgol2N3TFt5zG8L2fJ9/MAgsc0QLcm2H8aNf93Rzp4Vc3s0L0dskJbMSLy8BmI6wgem43
DYp4Euz68NEoOm09hkb5hvaeUHkSXY92vQQdgPJhG9eycJ01gXsu7PTcOJn3YFX0lHA/oorrv5A1
ar9C2x0eeld/6dzgUfRF+VqStLWKw7w9pb6LmMktV0OU2bdsEVsyo+RAm28h0byqMz0Ip2Qta5D6
AFUU6A5qpXVPrwMuPSMXp0jKC5u+fLLS4C2ZsvIZXN5DUHX4T6MCT8tSGRQD7kXaq+uUwnTLmSd/
yWyhnauSQ5EP5XbdFX6GAoLjn2ZhzvBcbirHr5udqEJ5yg0DEYzXSQL/aK5uOvpm+ghlwspa0Olt
aj+PrhZiiQC6nC88oYAL9yDrQGxLLaz2MmGsZ/ausem8wH7B5WSvosgrPvuOfJ4Np/lhFvcAfgjS
cr8KPhkRmxDeGZlVB+wsDY1d6lhPEVEmQz4wMkf7muYPyh+dWxhLEUBA+jCQvxZlSHrhgjs+VAnu
zLgV20rLTMJUXP1+RGG2EiSPVC4E9DLKxos9M3MfrW/VzI2/Ci0wiwuRiiZrfynouh/mtoOD0OCl
Z0TglO6dwK6PoVFvTmKRTKi3XGSCz0lMUgkw6ldD62/cVotOnltVz3nUvEB9mz+7+Ig3ZZMD42/c
JXPNJat2nMSBVhnrwKJwrWM5rMJUfveWIbWaS6sX6uwv8GDPg0E7SwUkJCkPUOFCuMlFcnWjlk/t
LiLgogE6unz7TmnRf2LchN8q80n6+89LooUvjLCbjS9hGt/ciLDwyWAmcP1fanftA8ZWAoI8lrR3
rGHaWkRbM8SGBZsjwtmW7RA/uZN3jpOhfIs0x9iS2iLvw9m610JoE3HiZi+SrLvJ7wd/FzSRfTu+
aaX5f2yd2XKbQLtFn4gq5uEWzaMtWx6SG8pDwjw30PD0Z0FyTv7669wQgbBiS6jp/r69117FhWM8
mCU2u6XzZomm35lmlcCmspRP1NbMwxedf6I3rxMa8Nui5vVcSXU0KIJzmk3xiu8Q6O7SfliyGWRu
PHoiOE2ugjCj9qLnSMGBanSljpMmfibY0XgjxgyUpo2EbHYR2GoTPiy+WowL3G2dctxrdaJgH43q
baxZ+SPxtMmemwIW1gGGYju26QOtbTi9k/msgE16tevuYUnEqXMDgfE4kfg5w6cw2ttXy6GqJ6Ya
TGYS9n7QVeVrrlbrNEvrH0ndkW1eKy2gKjDDEXq+v6kWWTpGO5ARyTkhemtxzNEt+VbSxHgOALih
wYhw9o+HybW6L8tQvlnvOO8kMIQrSiTKCUxSTqU0UXaZxNZHrFH6lFZ1eCLa+74skf8JITK6KQDB
O2iSfUef8gdc/8b/U3KgXo0EgiLoUlkVE8kcy6MUeZNF3Kffx824dXQui7xPZLC10hoTVDj0V720
Ih9FzUahI/qzMRIN8Bxa8C6sUSqLQXkNeHJoHe9YTB5WRK3WUMMY6rkO6uc/KJaEmtcB/+1pnFnG
Y4b5K+5tgSRLiU/CzX+QiN0da8Im/cEQ3QvCgi+j8ehKxEH4F9UBvB0c8YXa2HAe3Y55ehQimkWO
FFbttgiL4a6YXJNEbCi+QS13bTZp+A1coN6L3J3w5mdwzudqQpeE2qo1LcDbUxttl/YWl0C3SVV4
TEuTkOiwgzlo1cZo8p+DqQQrFbHQhfps9yAFxZnKyY/O1Dp3tYp/y9EFsim7arMwWAs7GbY9BZsV
hlHjDc1F4c/VfSLzKOXSHUf+kGxFqLxof/AZWDi/epgJp7SoGVwrixQrqbtY0sJrQpF3rwzEIOB8
ajZxQ1KNmxi/zDSFR1IwcIWlCgluZqnTJgv3C42AbmfFrVt5sV2XyifFkktmZMlRIchEN6zklmOm
qJD3n/6w9TABf6Gkhbg5v87AR3SCIoPDwBPhVQ2neO0F7sFudfvblf2bTIijnCfnEyrMW4x5gRUd
7buOttlRyYbwGA752x8uAshg5DUUIBfhbobUFVatboao49L8a6KerwYefjrTe9Zmn7OhlOccuFHR
TsOFRZW4Nrr31FO9W/77mJKuUusIMcWcRwNb8boMPqkxhlBOzNUyxJDI/LtArIqlCNkOLQI+dsTU
BKbm8jVQO/OeeL8tZYLNOtMglBjFtaBJtnKrMTpTOC0pjQGKmYfWghJNYD4MAyxs8kW2NSbZyDVS
ksLvhS3ck+uGq3yqzmqpy+0g4y+6JbTl9OlKOGaxDwBTOJjqDpoe+VrSkCyKJHtdubMou6F7Qp+D
QjVssfZ3l6LAn5Tmx5DVfuolJnpKFTeDK0ZqONOvSeU3nkyYNxZVGqHqKFBToLMtskzi/ZiRRkRD
yeJce5QEW4202jGfZ6EDq7nRAB+no6+hPqpRUam1aC0BUq3DviS4CMdnbF2gO++qbkgob9BWi9oI
TN4QkuCuEZ6theUpwTogYlTXlqkcApu4eTN4nfp68CFLe77y3aTIA2l0RFsZ9z4Ujo8sLx+KIf+l
dJBdmo/QDh+LGOV/J/ceyQRKZT7AOKuV+sMG3KlWw6/KKZgvp4+aE548Z4eD9dCR5eYFw6mzo7vp
kg4/TOJzSilzkTCcrnSR3fNiWgWFlmEtrXq/qOFkajkqDzAHjG/HzOOZ+smGC+TZO9DrZyVkERrg
o1KtSNK28YuOLJhSOtwOhqvUyLhxGmIpmsz0pf0d0LxfCS+AATSzzN1ppt+VGX6IFspFRli2w6Kq
AAJjkj5LNStcO5KmumuS3tybgAbyQn2O8lXemeFGBxG0gx32LVv9APQR1+Vk9U9ZNt00FvOVHZ3p
xP1QihouebhL7JSKHn6jiIuGkMiJ0bd7jMhvU6T6KvvyQYJOJ07g4PXemsxUloFlDd6wO8fpeDdE
eghV7Winzo/RqJFA8PcHAe3XcV46MnGjlOT9IsJmxVg1p5Jyb0oMkr2agpcS2U9TVeZPU0E13qZg
OnnHgkmH/7RqItRydW3u+6F4k/yZo+KdHbX+nohS8DD7+hDAVNr50WutlfXWNNP9BB9qZYxtiJzU
4WMhxkDNumElnIowjfFGiNVbYohrnYTu3YryjwZB/3oUgLg8yiE+KnO8Jv2N3t4GvQLVIX3fkuqu
lsV6mP3pNnb1xphCWrSsJVy6AlWGfSI303P1aJjVsxMAR++4nUyRdzfLvvEPFPrIfzWvCbqoSy5Y
eRKj2YDtAcoP5nIndDNCmVDNxgLtwyVCTJhDvY70oPOpaIQrwMIMt4P3u+9ssOIdV9+g3fpC/yan
7i3rjp71pOMmxijLNLoiToGWIM4EhNuAaRVsD3Cd2jm7pboMfa77PZ1JYINkjehqlW60uKn2bSjO
kaKMO5Kxf/aLy89DoACyi9EM4mR1pYvJV6l6JQbx1hXJl65Z+qrX2spPxlOqECvCoIBiJiqlXzNn
kV3/UrUhMai6/UnsJ1EO6gkFZw1c1TiCkhlyQIUT/fiEwFqKlDlgzerBMTs+/xFhHS7SR2CzhBrr
P8g+S/0psS6BFgZcCtFz3OJrDTridQH2u+kYb9XUWRU2nYghkKfA0cGYeFLdelE8brRhoqnbDy+k
NKlgROJfcaQgsrZ9rQoOGD4Ogg4+GKRU4OioXu1kBHJvkXgSpjZCAQ1zMryfajwPUo38xqp1SgnJ
OUK3M18LDa09J7rm46bA+F81UPn0Ov106uStr/Kt5pKVowGd2GQlQcLZGO07u7obaQzgXT5r/Lmb
sZu5XrFCagCBU4pq8AdHhDdaChGkyW8r8t7B76GGpJ6NMWDtYd5cZyYQKxtyaomnGCDbb4GXbRXC
jcMHUns7L6me+XfapVMZzZLr+0RASGbR2USyvJoiYKVQk865RdhzP25ruj7rjBkLswj8LkE+HSZd
rAKQTyzCy6NbaqB5jACNvOvJbZg9q/SsI72JjoJzVSsjRzt0XIxM47lH0UblEhqNMdZXy3I3ldGD
+TcQpdRR9VJO5abMiwEjGvgqz/rSzVTfWDFBgZjGlKP2VTeALYXlJIdAs5xVxzLeNwLwXGZNuclo
rLuiekzHWUDtyyBbF8pRtcnfwwwFDwZ4QBkMORdwbFwmI36zRyy/zECLfW/H3a6rNblGpBodm3tq
ZXc44sWLrYz3JGJkAbAeryQTIkNY/Y4b/8HS0q/WG8ZLNg6/PJsvqSA0ZBVrnNjTmzIpnXKpFPZm
sOz1iG3oCEwdybjopxWF1w4MDbwXliqrJIEG4UYsFhwb2wjveum7eozVVouxuRYB9xzCy3UvHfn/
Kxx0/DE5LYI1eAhk4h6OURi9GyWJHkyz/o3YMCdLI0NZ16Hd4aOa2x+OXwa9eRz5VHw1KfcIUB3Q
/hrB8gleyRLBSaEKrF99hg6rq6B2B+Yeww34YACARC+qOwwq2QkY2ppU7naf23CSA0BkbptWFyTM
JASon5FKJTYryxWlot+WFX5NnrIaze4+1OrZUnJC5uTFEtHLSHS5W8invNXvVO8Z/MxoB4UQXJ6e
P8ENydBt41gcTOPA6mxcJUOmf+hIsl09UV4Gm0EY9vRRd4Pi2Orkb9g2nZWpsH7Go8g3EUX6rZ6G
t1aa4RvefmohdII8G0W/XdY/c36ZbWAZn3SINw2/PoYds/JzZEC2PlJOi870vj4jQbRZKp+7AMFq
X8lqXYw9Xzj5zrKxPNdFxDuPRR6z25VZhUNGNGkhaNL83NSUFVYGEorTipVw8T5MhfvU931ybDQz
oSQSSQTNenLV500KhnY9qXwrGB29i1e50bGvI7xG7E1UHfskHg5dlDh7lcs2ZPkN2JLZiF1o+j4Y
esh/vKeewwDEemeDPaY4KHGcncgsG3MQra7TXorAJuqOoZ5sLnWNCZfoskr77GO3XndOttMGEuBE
h+yzi+yfwso+hTecPLXCjRg5W3R1el1+TUkaQuQbUt/05uQqZUbiYTyTqbofw2E/5EW8Bs60N72C
lBWLtZCWW/EWKXR7aaL2bs0EZ4AR8a4oFH1rzLvTVG1IcFpFQWW9sPTTLqaIWJcZif3SibG+NC5e
k+XZxmrDixXiT7Zt3XpJyVJltWcYx9C1Jcixxvqw9eAYBn39qqBX3uO3iHchWZzvTaOsqA5bHxSD
Gdagl5+9SY1uknmP38xPEA3+uyCp/clMAVHFZpFuluNT90g9UEI4AAhjo0ejLit/uYRanIZAEdTI
bHNlZQg5M7S6J4PIVG6IgSfXiV26axNRsUSz9AJvtX206/YV3Gb/JuKqOKQeTr5oqvo3022IgODu
cijnZ/O2fm4GxXnEh2Te2xZ14Hx4IuLlrDvcs5YfIpClQ+DB3H7EpEHKzxDd+ilvromqrOFyRDcA
b9FtOT4lH4o+UQL9vyPQFR9c0aVnTw9SKgOuxjBQ5WQ6oYPwIyOcbsvGFtlvvDAS/n3795Cu1w/O
FE3nPyfMx2MEs+6UOdd/hxQkm7EoTwqUIWbB3Q+ScowV8bHlXp8ycbBVp+HXH0nVJJ+A1b2GwFUt
PnUbczE03PjSu27xMCYzYZ7B67NwwnNm5t2rKoBXkydmQnQJpleNPtpygiK7dCXyaqMbqXLJa1VF
NkAXre/V9jHqlWml6KHzs/SsHSGJ3W4sc0LdG3KUumGyLhP8pTdEAwCq8zdoBRgjW5Nmh5epb04r
ux1FHg/+qiqh0Wq0i62AfIBJVFtWMYL1I6oKq8hdyPWpuHutbTyGarbrAnW4cIWTcGqMp8jz1J+M
hgb1vsY+0jfT7rqH3GQ+rpdUGKZEZqdi0PK7J5QHXrplkU77OA/afCWrePoxJc29LcOYIrS3TWiU
hQR7jXzJw/QjHHvTNytX0Gkv043QG+Cu7tCTyNfjZWSWP8zII0OhbpMwRlLGyMUFlI+yVRxi1Vwr
C7dJlwy4t7CkwYdsDikF17NZVFzX+VR/t4ntT7qh/NaFc61VfTwLFQFrMFBpEVnQULuB70cuuvds
NXa31mqsrZVpajvHI0EybhTKkmpXofZ2h8NQWs45i6Tclpob3yxF6n5nN/qDjLzuGhpd7aNJKd5l
hrqn7EdrV4qqfO+0+tnS259N1+0rp9Puk6opflaP6dFs5/dUFCQUNk6+XZ6Nc3drYl2gPIFvN/L6
bu32kffMLV6uQporr5aKeWsiNWrfjpO3CiCt7OyOqnlXV9uRJv0bq7vaEZ9NWzvzEGqcYuaSj7hR
MRPOT8CTJVpYs15Yr1nrIpwedZRMu17r3Zc+bR55XvtMlaH3lTpubg1F6iMFHbkpGkv8LDTEgvMZ
FMOcVYo65DIotkno0DRt09cgFPltHO2WTB0sVCaFLmjtLP3IZEn1MLyVCLAfFRTsl3wCzNJqymOb
ioBGZPlqStt4ENsxyZuINWVS7SezuetD7o3XzgqzbQUQG5OXq+xyi6EK8NAZNK3CVMHV+EvYDdSI
SK9hzrtUaIHtinR6X54o4DyNo0EgIeGwZ2XemMJSTstGcNG1fuG689wy79fKKKI98vmXYSZdFU7x
d6PMzCucpR5WAy1Njwbm8uWUhYj177zlWCfyE/Ee+WuDmptkp4l4j+CjBTuBOhcjsj6aVLtjRHFF
SW/IU+sDDDn9WxjFU1+o9ac7ld+KazXXkWCVdRqM68asFGYSlDm4avvzsGPBB214fhyXds99bH5Y
JVlItz4cibAswNwuBw3DoK6M3LRPHMRLg2rDB61AhS4PGxQC58j8adVA4KMOaVXp1I9ONtSPrpip
T3rzu54PTZ6Ft7NKjafR1aPTcsZyLvkB6Q7wRbSCRatUm1KwLAX5eu0T4fpcSPq6xOW47TRTP1bc
Ua+ybIt1pTXRT3Tbe53Jyi+jtN+omg6vlFXofaAHOWcqJFOz15ExETz3rnjTw3IqAMlrUWXifeq4
zu3Yai4oa521YUhWkxbVwhzkyXvBS6fckL4k+aYYrzzvifUGkYiCvOtWJuG9CumSLaeQ+HTOnNh4
I7za3dAXpKmd9+rDWDXtan4h3KjBK4aQk9o65kuPhOyQQrLeisQpPqqzaxniI7OieBuQs3JoB6q5
fVRciIQSH7IojJUxucQrK7CxrJb6XUKOA20T3hVCDMeVYwq5SSGzbca25A2eNx2F4BQZ7AMoFuMp
rh25Dz8CNe7PwchFU7RKeac2Xd6FQUqaZz0vO7KFi0KK7E+30urDiGYcUlcSAx4qUYMsD5cNKob4
BOXBt6RNbybUssuyEW7w99Gyi3tiZxZeeswqG4EUPgDuawZ9jATRhT+YRf/CIsJblWGNTqlIixWB
RgZzDAUWN1PoH3xtSj8cXeNBmdc6wElvdBWkT9mONFqKJ0dVK1nCDiJ7dOoNC1W+IIJ2KnLIrD2E
bas9LpshCSwWuDJBWZ3qBIVkcXQuaupmPYEbpuV9TLmlHpcNnVMqPvPGsCTAmOWgcFy5tUT4/O+U
5dFy3vIT0EX+9+Rl/7+eXnaXTUcdcVPpRKX19VQ+snyuL6GIt2UblI/BIBOPdSzEnDqEMJjPB5dn
ag9xn2Z152VvOb78PDyF0bf1OMI2yMslBJ0+2h1FqyxuXpZD/34gS0Dg1oJsmuWYYsjnvELZxF2Q
N1xtHqeSwnMeGRuV4IYD5Bow0GH/kscU/3vZf3epU7+bnYkoqNr2hue9VIIoj4qZD+7x8RrWqrGG
Nz6SAWx8N30L7tAdMUanMyfeqtFamp/D1GSM7IF+ytIseJZDa2zLYc67nj03mdlzS2/hGbKU8UTc
PNe1Xj+z+ugol0laHvNuPAVPHjiUbdXM4Jqg6J9tBFFRQBMU/pa2Tk3YEU2nnIkQ/h5C/aQHZfLl
0QT1CwuXOlGh5b6FzgsKMW72OGaSp2oiFG1g/fwC9+lHjLnBkU3wbpLWsRNB0O3icsp/yLgAzpJm
HwJ78YY0jxCZp8q6Ldejl6Acripd6Q9HBxNAhgSLPaJ9HpViqvk1pw88Y9pz2upPohmZrwoStkX6
U0tq+2ccaCXJlNDTqxLzhjIq/d2SUb5VDYQdS6DaVFvBsQFnNLN61HWTcfPsVRgpajZ944avTste
qpKJa1F2t2eD5nIIPfS0bcv6oe6pGFAtK2/DaBc3ElC1rTs0xiqaEUyFlx/UmDJ0bACgFWU0NwPn
h9TZ4P2aNcglz/3uxiL86pzqvaHHfc9YM+1HzXF2kIKyF7hFL8sJ7hyXEA9l+TzyPTnAgQp3Y6Vo
r27uXaTUw6+ksVufspF7C3XSUvpmLLZhVDL/Maggzf+JndZc3tbWbSkXNJllP46tDr/SQP6gDEF5
gzmfrdosSV+cGtw0bIHTsol0A3aDyH4UUhKoJufFTEOND5ZLpoCWt8DcOPWMA9MJfGjj8YX7Wvrs
ZS3wY0yKWjES5ajf8VMO8/ez4Os/dgcjmof9lNtSK2vlZYwGroYkjL871HajPiGQdJEWRJq+y6s+
fxlK6FEeJbKUADXqUawbDe+L9DluUy2EzNa0TzBpAqYMOaTvSfyI7GhimIzUbewZ7Y9UU44TRpG7
cKvsUtoT1+58nBXps4caAchL9ZAX4d+NRALpx9nobcEsEA8plA4Cvxgflg1qXpziwPM33GMPLWL0
pwQUy1NdPrbMA+CQZj/72vJug2MQlZY7v1NdeLdlQ4N82OIGT9b/jpH4eIRnesdRSgeotGnz27I7
BMS8kwzLAk9HqeCkhbP16PQruswfI+FxRVXKncLErlFNEiYMs16xKh33VtO9N60aXaOMsFu40MwD
jDy99IJVfx99cctoKaeO7XV5pM2P4gEQiuVKbR1K5Sl0hLx6IpHXgJbFddmN+66hXFG+ZaDyfDxq
w4NFT+ChzUmqtsk8WY99n/F5sLsck43yW/Ns/JyUtKwCH8kCs3Rka11QlB5bqw5uudHYBzqr5orL
kCgqxe0uJeGlMKkab8afVodwIld4BIACZIV7vuIMyVntOnpYZDtQqo7I/qpYpyp6YjDTm5JbVZTW
ejDFl5eG+bUZ5a8sSeIXimOsgQqBlnWqPzWCl1aA4qqm065VYD0z03Z59XIKqPVbJmaikIDpiJCm
NfSIYqUGprnOZIc5JlP2cEyLS1cN/7lp6ulnH1ET1DQccopZO+QjuLrfjiEmn8ywUFQvD8cpcM+k
E1edyhMEID2Tr2Sd+OVPba7wafWWfFLTgVQ+1f2N9rjIQaHjeu36ZtoVkVlSxiNWWFDgE3VJU4gi
EGmubBSjImeoY6Jg0mxfL08sxwQLUd7l+enlRBGqkCSW/cDI8HNTerghwpH7Kiz0i050J31IQ3Ld
S/2yHLOB2P19NB8bstbz29w0NiCGTMaX+eC/c0rWcmqjqcd/L/DnVebTCMKQRy2nGfPvR5dnl006
klDv9VCN/+tn/70AjdvBD2TckaXDb/X/nacP3qoJQC78+an5NBUmAuJ4gYiyKMc/fwuarMEHpC1X
Vt16W7OtzYtAFrpjdvNghcpwzGmXEHSpDMbJCRBbhSx995oR2JtCdgORb6Y4NDrFfNpYCAInOz3K
sCXDry0BIIOKnqY5YqBkrAkUB3Zr2ryyqHKikvrmJEhprW8YFT87T3nrzRgpQ5JZPcW3JNg2Xd9f
HcJFTezfxynQAg0IBBZD3crjHV+GkUW0NW7y4FcP5/JBJU7utmxMyE2i7uqzXVs0d6L1qIf9Ew24
4hzp3mvjqt2T54jhYngCON3wZcnkpwKGaF9ZtvaYNsRJmoDTtNywT05nDjuJQREg0pmxLn7vuso9
6rmZrN0xrTemN8Wzq2tNphtSCmkd27ZsNox2xkrT2+xhRuI3FWiqUvQO/19/a5q6XpEkoTML7+xr
XnT3gGD6rtPM12zq+Zwaob05yUtCvhliSsRJmKYqI50OLOzxiIyEK2qUSE11XIspLLeot1aORD6F
ibv1HVz6ukk8V44YPjfG/glTOQmsGXWSVHeVu4MrZJd1Zrv26ipEKlmaR3Q1Nmtlnq2aEghtXbzH
816TEo+SeeFmea6LXeR5UHuoI8gy81tj+qUbBvS+ZVdftikj73HZ/Mc+pE4G+/mZHlvo8d+u7SQO
CdDzM4Ep87VByMKqx6TwRIZN9FSZ/EFl3D6SuBA9ZVMmzyxv/zy3nIVvdXLJKg/Qu/3ZhIHerYMu
Aqz7f8eWR1i0hnPRDP9x3OsAhznLRgkE7Vu9oQXxv68UyzBnZmbBsNDpFAZVWN/CHuVJPBQamUxq
eSreDLKpNsuV19d1fBsGEjRy+YBGKfiI2rfJMHvmIZTPJ8Ox1pakuU12TrmhBkILE9o2JtjqKaYq
ehhl8stwCDggAPkWEHtxS2QIscXOtgGTLD9sx/FGa2+kbtlFO1CCqZ8P4651qwKuM99JSNlknhi9
+5iPsXupKpIBuyY/1WXxMAEWOztxA9AikUhpDTx1TlmKbL0cVEf179N2lmDrVaLIwtQSwB3mR/5t
lpcBZp2QvnBXUfKTUUUOHne83ah38c6toukHggPWow61DBukeRNGLjoPjicJTV8lgDltmDEKRMjB
5wTB/BRqLzmxgDvILtzDsDIIPUv9sKb7qw9j76tVBuyrpzHhFfV0dGjyrcrusdMLfTNqVLLLUBvf
JMU4LFiDQROqGIF27AhTc151BzHziDWQZFzOgs1v76AQwCKbd2O4fXh/++HEp/ippXq79QKlfVUk
xUcBREkU8tJ+SkOV78BlwpM1gNDOHc1+F7YBTAPtyRn+sPkyg0sg64k9FZNqhzjX2wdeIv0S0XdE
L8tt90PpoDBJ+xlkhR21EBoNiHmT1+EG3FJ4Chrl7yF30Ai4Ks6elVeqP0wQfutpeBaoPg4dGDSk
X55X0Ps3EgwWrK0RaHDOv01Wp80mnSGFlVVrRydQiULwlq0KgY/xfT68LDiXjaUxxUwDrNCeETaw
1QYytdNOfwt1OGNxjCHB1JPmjQ7Xcpj4VuYM5GjFc3hMbCv2lpgN9FTzLhLN9GFJkLHoltKGaB//
63iRmzAV//P0FMUJ5dLmWCTZdEKXO52WR94YCVZAGVqnMT8FJJ38OT4khjyBv61i5ZNyJBZlI/xF
tO8n7HjUNnn6avcEWESVa2ySJAm4cSR73e2StzYb3pMWYqlbTeLCOCgI+uSNXx6pdimpK0tKCgvw
SQoceWFIY85QjkKPIQ11xMkBJsKfOjDwm8yPqPEBnqpjl05s6HEsKiN0y3xySaRmJy1XsfQtD6fE
vgIvzxku9iNTD0qbJfBgXOa4OBjJ+6o/qTaDGEP9oVVmvqFtZw96M/AlYrVDcv1HEGvdJvPauxww
8GG5oLtPWfyY2/mWCZ12iKNQnnu1kufl0bKR8+6fY+VAenZAlA9sDopCpUi8M2v7vxsjE945g6JI
KzXb1n19znKYJbMPxQ4cHJw1vDQ084eylr+TeW85XuREAmg4vIKEW+tIOFnuGRfVmbxN12E4Lesy
2DPzJZ0wpzOgAvA7EiEGslr6hl5Mj0XV/V7YftLkTTaaySPFfrzXY+6eYI/8YCpoAr5krf+BKSY9
JJb+PsQyO1uWgOaoj1xOXn/IUdfXqqIemizepSWSY0rox1Kz3WNlBm+kvcAzcQ1tE7cuvefBLvHY
dDTgPQF5Fn+KhpTdn9OfC5NmZdMU6DxiKLgKoV2HyPlOtPA5alR5yBUqfYk+7h3dL5O4XSeRFq+s
Tv8c+uR5SFyiFGL8z61yMFp4aGalnrku9k2pX3OXe1t+haA0S3q4FHu1QZJDRPZ2srHxaISjTsb0
UGvKHK0jr0qeQIELPH012rqGZO+zZB6Ih+4miqw/FeO1TGBDD7h0SUaP1nrKBKFwD2PatGtZ3oeK
rK/JbjF1W+GvtCnFIUnItCFYvfVFCLsUHp3fETvhJ27x4TX1ekSFP/J9SkIn96PIvquhdDZdOOw6
0BrrTCcXNh+8QzRw11YI/1yFTIjHlNrzQBPFle5rZpXtSs3zR1Dy5GTFrb0y4iRet8yOoK+ST0oi
zXlKwNd5bsItMfBORKRQ4tMgKFGjeKhLstK9uLi0iWH5evlKXuqw1SGu5gXF1ySPi7VdQZpMK1rv
DRDy2A5XhP89leiU12z4Gy3jKGWPy3kM7Q3sAuu1SF9cda6Bo+K+gJTrbjLsiMs2N6lBToWLuR/8
xbvbiuKtouvITC1Pae2zC7joSaCNv0TfuMz1A9oksjTNA8aGZ4mpHHreJq697i1psd/Q9lzlOaLI
3FEl/WL1YnlFeKiwChtkkdsTBQNZ6EyVm1Dsw8ix/aRl6gr1u0topntTCxBNdXUaCyhcM0ozY0EK
lufgkMw7GN2wBFbZYBJNViB1xRb0lMXdWU2o/vdNvhY1y3pXGW6daF+MsKxXdSpJFUnpBdDxQstK
K+IERm01koyax212rCPz2wnTDpUXEBYQCwprOrGDAqin3S9K4AcJaDqU6qUog98qTRq/pP2/E7bc
tBpVHfI4VkR4p5uYqBbkfKm2QiyN5xnhO6FNNc6AgZrFgOq7KpHhq+Z4F9JoTpSvfBOrj81kFhN/
VawT0PpMgofXJvIUYArJHpSKck0MKm+WPycK1g4eqxYHWOdyQ46VFhVqryTIi8Nb43rK1kA+SPAS
d6TO6HGHCtphrttukDWUT/wesfdcjp69qup+XPcx6yHHRROWtHs9nJqH0SY3hIRiSZvhoPUe/Awz
eqZMRu/X3JYRUhhADadRoQtJOk3mJ6b42TG/M2RytSfbOikeIxWivXNRWECmB3QpFYrAwJL7SaF0
FrRKsGYieGf5ew2sESre0HXnTq3HYxB7q7YsWIHD8jpjXSECJ/EOQKE+pDIjJ+SckIXIMYlZ6RMV
TTp30BXbTHX6nWVqnwXNlYs38AdNJKZuUxgZd2a2sYqMy9u2NHr8qG6VE7yG68Rg/BDTBgwy3+uo
pgolK29Z0hQPdAFXGGg3BY2Ih6zEm6M1k3KBUOkXlfAooXTW2hXM8BqhT8THJx+0C8XFqmW7NZWZ
qhGNL8KmqmPkybSWzwaXxSzYHM9xXk5nmUQAUP/tL4/6KVXWKWXXP08MCvplYSQ1MVhCWzexSob1
1B40I961TTPB48B9LVrN1xDeXgOGirNLYK1NqeuodDYWKc/caZRwDjliAXS3fi5TSJQK7VA91O4j
OuWqc2OfMR6CiUnxAYZenjmHIFVpz3Ov34zcjHzNq7FG0Vglmmlbxt7coLERK2FcaJ2t2w/e0QRu
vzgKisb9qlu8g3bsRn5QpSDEIrnOqkBhDAgCjOwjIoxhro+lNV2rBpJsQA5qUyQFaPemefT0zFgH
M0RDAWdN8nj2WCJyQk7xP2ydyXKkyLZFvwgzcHCaabREq4hQmznBUkoVfd/z9XeB7rV6gzehFFKl
mgCc4+fsvXZdXydteqrCSq58gHqEUCrGWdikwyk+bd4qONQha6BqOuEvlve9PlXYeDRudb386FTu
D+ZUCNNbJmXouPdG0LhAH4tL0uG0JfUSoxayrDrlTi5nkqpnadWTF9WXkf/LjWdtR5qEOq6KblOw
7k/0wZGm18RI4c3S6sRhifRZfFFGJgZB7sC9YN3JjxrtINqaNgcNhsynZYLw06sZpq7bViV7hFJt
yrPEVHAWqveFaQqdhO6zVwuMl0Amw55REgpQnqbM9UwWE9aQGPm2Qh00IQJq0qMyaFdM/GLfoUdP
lexLw0a9g+0GaNlHB0qfHKEvHD5Mqsfc+V0watzRoeAtSwQ6W7ZLx1Yp/npearEncRqmW45znWT2
3Wr9ZaSxf6dbj4gTcdOqJaJxk3pD8rtp5MMux8iVrc2p0Sv9waJWrTNPS9yANJW7zr7Nd8xbKIu7
EVSQzz2hQAdAxgMghn67SrDfWJMWPr8yq758aobQQjLCXVD5JFR1So0uPLBQL5XYry0Lznbjsx1K
gn0pxqc2T/TLcqiqTr8oVVGsW81Jt1iH/vsFk1EbM4H5fxyNYudZVLnL//zvv10+0ksaqZFO8Nb/
908DGBAI17Mck6XUwdogGf/5psv3sjpxLU2ArMs//j8/krtfHEPb3NSl/x1mWb+lYNj6hNX+ASoR
rwQCjY/GgXhbk1AwGzvt9SB644HBMdxqgZHeRCeaXTup9Fd8QILgNWdZVv2KJH44qeqKACD8PKP1
3oeWzXqX0tMZ1ZWXMevDJ3FFD0TxoQXVU8Bt0BhqcCyNFGt0kqS/0gzCtkSDeBJlRAMLfGWd7DQZ
TM+jmtCdaXp5LAv1hAvOeSp6VbwwpFURylbKcXlZmI6zwQEZ7JeXpamQZlfhakM7MLjqLPj0MY+e
zSr9Zj7fv9CFFw+Z7vPgMcZ28gJBI3kpzPgfu1a68/KpWlebLU7XZGdJ/14SC5GadUqLr/sHRvOh
JbFxnZR+siqav8T0MFIrZl9BmJF43fTqRmmbW1321hH/8FqHaXJXAEAkZAhtgTUmK7Os01t0ISMm
29hOOOyFEtv3wAcFU2bKHOKLRSoAcAsu5dPvsSHEUdHt847irKv2vc+4vxS/e63K2adz2/SNcU2K
ZpdYBNeo4F9WflrsYcWC7TnYtfnHxi64Mi3/zfKoKYmMRs7oMZ5GK1kW6Z5bT/7CjLwOKtvVRdA+
JX7Tv85AotZiiIm+P9gn1uRObUzYZt6LTVlgHqh6Sn+Pove9dNSbocyJFAIZen7JjPTBpOgpbav9
MJXsmzs3astNhEMpj6djowXvZu391jQqIC1XDnkOHrTur+AfSIZBwzzG9arCGwKUe4er9xZV0H2l
eiek57V08lvlPyaapzUxWespIbjRCgFl5vWT7Sd3IY4ttzPA83/A9B04fZ8tBXJa6dUqd1hLapOd
Ye1mdICSXsfccMO2u1ML5ZhUkKSmh5ZNEF+Kg+Vt8AwD0R9wn40Mx2MPpVTQ3VGOUA/Qqm84iZM4
Kw8Uryj28J7E6WSu6j456yNbA/USplCUcrtwI2H+KQHYEsz3nPcFOGgL04XdmWRPZju4IlcAcbeS
jqSTTL/9Bl7MV9oX7BbkL6k/zCFzzVAgcs9NbjmNjZW2NgZ0RFZDwolZrdLO+VKnC3L1Q5mIV6TG
720IwABzyy5PEc+1yS9fGjetG46Mt98MFsx5c4LI5xyG89yu3JHvuS2x1dpKfYM9atYwuJ1H36z8
NjsXinU3LedmCeVAL2VO0KM/KWFYO4euGHP6yANTOLN5wudhD8U9IyvO6Yfn0KBFoY548zxK+RI7
u3LrWfoNdU9fGm+kNeFcSI59WLz21Fxe5W1PQNO+id85cpMf4bVtidd7UiOmVAEhsDifGFSH6UdO
4Yy46rlLSkqujp2+rfGo6dWDHdMKqBX5uzQYLRhkK6IVAzVf8nhhXDlLnwPaZVapvlkZI+NmbgbO
7xddoHqVcFutctX4i+EZWMKfLM3QvWSI3kxWHwbLWyVjgzA0KPIpc/uGMIwkrP+MqnNItXArqQBB
EG1IQyH0eTBRa1HZRKyJsVkfC6y2Kft2PwHQ5VAOO+LWk+4ogTQQaQTlOMZ94ntH+3c/mAeGAIo5
PSYn/ayN4Q3I2gEV3Dom22YYjQuGxW3BCNxvGX3JaT6ZG0e2e+S7u3A0mUwYzH2qDTA0Nx1xMPcq
uTzDXbXorvcBLRMdG3f7wkOExG2PLJjfTGinda2yaw2FBnFkcu0u+sQCuI0NiF41X7UKiWCFxiuW
J5bzaZMH5rZqkyduczidLFwJ47QQDmcWXRI1vFtcLpZJ5HZrP1W+89EN5MyFbF+z/Oa26krq1WHQ
u3NbGgdNU9xcRGfLvrB7Osi+yddWjBZobP5kZqqfNPG3UH5LlIJuobE2Vp22EUKBfPLVCO2ztGP2
Tngrp2SHQvQhZU2I5IjpsutOjpn8YlqByFL3Ee4Hl8FUX6izdyAo9wDGI3bIKP5DZfg1tXi7BFoj
msYfCI/g9nXZJ3L0Q2Fy05YV2kuL2biOIJoM+lloiAl0Zck3S6DU8IOMq2B6ae38E2WYhkeFLABO
ffNrlOOxwhKWO/lJfmEj2vlFf9V4MOH8SpMAJwX35aA0KI/OeTYwUlCIYs8JN4n7j7Gc0ITmex1G
ED6amyxAgLPTQ3IS7SHIAVpEP5BOR9/fpf10NT0jxEoWcyKCY9bIs1riRrB8HhJgD0JAhN3wIh3+
6zOt7O2vYAredT+6Tg6d1+GfjEoJzP66qd6RVbSnzPe/heft4iEmPUDziZUarhI+OeSRbDDRRnC9
NbQ2uhJQFFIag+2rrWgY+dPtdC06VOEmKgnkwecMBGIPUApXYIOF2rdPWtf/YcuC0ERr4IZ5+aYJ
opuRK8deJ4Pczt35aaPG3oemNBs7xRpjqW+jgePIonNnJmQ58GzZQxO++iLGBqdUH11NOoP1glzr
rg6asyv1p7iTn3rDldcBS4BRvSqCGN9H9StPvHtkUkIg4tjqNdh0B9H/JNAxGWn9GxDMtUARh68/
2Qo80gpPO6C5KxoHh4wU70n/Y3jyr9lX2Clr65HTcNEGlHewoT5EMoxw4qApZg2NK0PeBqP/hRiA
biGts0DUj9HQPmR2ZhNsr7B0+7hPUlefuJo6miIhw24rj6+GKW8II7Z51p8QrmFfb0Co0OkVOY1B
WC+f0R62wr6isqWuKn4rdvxxB/xFHK2ise1Cfmh1qrGpDR5ctp38ifF30iu7Yk99q7Lsn8kLbzax
Fis2GVQCuvlqVNics1ZblbVRrSx4Dll4DVWmhh37xCp3ttUwaC58ns3oRNZeJvaebYq3cRpxFdnM
e5Mxvcb4OwvqV9UC7a8HdGooqHDSXNVQD3FSTHvTVP+ohQ9fWGxRG65D7DKSYtxnWuHFK1MRG5/6
s/klIWRJFIp6TyMlRhoNYWHsyq2mJbuu79YYEnSCc4AC7pRR3dZDsK/DetdGDFsxRsWWv43CeId0
2Eh2Md824htNoJP1KtgEdbJtRbyLq+gQS2+TGrTEx3UdoObXGIYTNVwzdo+lxcQD0HKdogJvkLJk
e7rV8QSGx+ABWxcb1H/boNc2WHj3ulHvyqRxW0vf1l3KmSIyUOzRuu603NsH1mfG3ilEA20iix7y
/iAy9dzo0y4IX/nZ5xjIOwOfnaqM4GH9OyvjcYRxOYJq9Xtz72n6HgoLK6bY1f24G2zEtqG1K6J8
R2T0tiC+WPA4q+2Nno/bOB8OJCa5Cc7djjZGGmn3lp+u6cYuQB+Ak22TzO71SnFriXynfsno5Y48
Pjy06TSFD37cMeanudOQWcgTPNetbR+z4R1Cl1nCVs0NBKPh1i+uHVMQr48OjQpNf9IO3txowDvg
495gm7dLyNdDboDeQkUDzglk3OjzHYj51QhTzsx+F4rwUADU6c0CiVi316xmY0TjTgnNdQZLJMhI
nuICH2lEVXQNrPKJyOT9UBL5Zqlb7E27Ee2FZK8MNndT1xZNYbD+hbkdqsEFn7GrBIKK3N7nwiCK
2d4C0SzkNGc5bg1CoiNaLFZ0DdN6OwFKyYWJythylRaMcyT4L8Zkkl4yJFK0pzE0T1tDZQOWEBfm
h9Tq4bare/Qe6rMNkXX+em4pm4cSguPM1lhzDomC4TkZN4WSXGLPOrCBA5IM5lpOL367ma3cmn5S
G92dTbizaqrbzL+PFUQuQ0XXQO4XtMY+LvKDAdQkbhDmT9L1yWVng37srIQgwhDk0zrThdsQKZN3
OTuG+uQb6TnujFNehK6Pc4XEtq+cvZXGxRuo476Vcm8mw4aacU61HkkLq+1trKib0A+uNb1a6A4H
JVJdmwybUjmknbVR5Vccj5u4KHdSkceYRMchtA/cv5tedWulOs6ZgjHvjj1Q1tmrWP87zJqWpN1l
VJ15b25ijLoAid/rvD7jbvbL3wM5TBnnTVe1bTopWyToOKYUoicl59Sp9rNhgx75JCFEgvBUcNUi
flgOuChdJU8YdHXoZuck5gjM4KFg10VucuDvmXH9nhNg4U0U6hZSjHUxjZyQAmaolwZJno3UCSSW
h5g4si6VHB993f1iaITDZmYnLqFqy6HS5G6BcDTKFJwTnCJ1Ghcffe9WLV3+BLX/kinUMKk5TRKd
R1skFrFbZIUFOKrwB2S0VrVSYa87AifHorYKvUo7VjpRCEN2EukfdHuYynIyk7rRi48ymT4xF46/
adYrT3bg5BtNBYJAPjt+E3oAhzRQ2Og0/WcOFCPyB9DyzjWw2PRG82EU/FV4TbC+OqTgkcJWst47
6lkFMHA2Ov+97Av9VdLWRqhsbzThR2ROtup5iX1YMoOWlwZSxrlQ/GpqhRAIAq8/Em18kcZUMbZK
1GxnNhdGofXpJ30wKypOwUBqEgXj35QBx9kfzJhryAnRPbGsYWhIz0YYqEdyuhweFy0dmTTYU2wO
OzCV42bB0hDgELgsUFu9NIZblpHTAdKBAjwPszWrDylzGvSCJcnHglNCa39OYEawxCOHjJH5j12w
2zT417WVbH6oPnWgxmhVvXjPFvypUNjf4EZo95gRDZYKhvgeLfuf75UIgnxSp1yzxcd40AwetQMH
HMfosDuG8SzVCSAb8LJkXCpEKf7vkPXtiKU4GeL3pGcTnzfpYs6On/0UhszYuo0PT9vQu2R+2NUM
q4F9bRSvtdeJElCszAlFfQO9OVN56v/8QmNHKR40R08bv4O0kNcI42VnY22aezbBoTEALs/x7EuM
4/LRcmjKBguOWQ/wIAC6rfqOiHQ1qQ7CqdqnnzdmqOxvab3aLbm3o6FEVDIcjDu7+u4iEt+FRuKd
lsMwlt4ps8I/Q0jeUqPN9KNw/qq4qjTzrtJEfLIcGoNlgtnLcXlVzgKmIjOvBp5TdwnOWcgxBbpO
mNv+nyYRpb65/5AvglH7VTpWzvM6DC7apCoMw2KDvRM/qVp+6L+/0s9ru1VjOKGDv1u+svxOBL3c
wbqF9DMY89y6karDL2ob+mszXjHUfne2Vbljr8+TUhW1PAhAFJKOqmxN5IjXBR9WlsmjGoLusLwy
feMrKMseR18zYBjUy001M7E6w3iteHPcMBydc2eWf1MxZvvl1XKQGjHgm+VDLOXlRs2rdWuPWAOi
Qn+HjEkM/SD2tvS7uyHufTWIqyMZtQIj6s6o9NlQiKLEaemTRUYbf/k8v/tB9bAKDrSttTEan4Ku
QoKKvn15f5d3mmuTXaxAiIi7ARuvKard6JHdjd/dQEE0H3rDZ0bRRBKlFzIYXMNeswlKoZMTjGth
OZQ9VgWBunSTRgS3aprOGuCV9MLTqYk2JoAXmFeVpJypw0ce+y9xFrwoTbAjSki4Hb3wPfJb/JfF
zPSZF58qRnxldfThVFXhRlUGUq/43ih0uoPndAx+nMGlxRC+VilrsIH26ScmKJZThXWH9lDLm3Nj
KhrtDMhfREbwx4ceWno7+gznMz1pIRnUrLFXDNv7ItfSRzYhGig6X8HdQO6y7pF5aLdEk829XDFE
xoXpjX4x1OHv7MCnb9a/BA1GVJNS3W17OAKVsGgsF8tV+WomntgxIKKFD89urPV+Xyit15DIy4KB
j8o+5sGbFxg2wvfoAenz2GrTeAzhn/KwzVL085Fz9Lr4KWTDTkQChl99PvSlzzY7KsW0kiRObki/
xXI6VzaOmsEqyHF9DxM/RI8DbOohiW8NPdtznxpM+xET1XpwEjPYxs7WyHKCYa85LZs3q1gjqbNO
P4QsUyTEAFcte44qo6+m9t5L3ZoNJt5xQEwcwn6bI6zasTPdJkzfHQTK6szD0wVj2M6Ikjc9sK90
mCpzCi/YpMtLxkV+qbFdneIGaUqdq/mFnou+MWiorlKnOJcBuDxCwdT9rKM7F+0uDhtBawXJqRVw
qxp61dAjEkOwxW/gYK9IUk458r+jWSr2vMcvv+pNq6N/sBYGkB0j+Lcr459yBJ9Cim30FDU+6Klq
sp6SduBPT3nb9mpmZKeiLpzX1p6R/+SYW2yRfJ2sPmHpqtsggNz0DrAoRwJErrpER2tq2ntV05p1
NuBVjRqibPBu3Hi7InpvKIOV+BZCOJz8+skx6ruvyvaIZAvOcmygl5tfZjyiL4IWmUUFpBa3sR+s
w/wbg7QOxipAjAb/QJQGfUk9euZxg9qubpScmVNt7e1NLnLr0MZI2sL5ia8rOg1vajMU0TZe96Tx
jzFUnh7UxQma5UZnezR3trhKEvuPbeXfY+3U++V8tEmSux28LFqbUXAAsdi6Uc0pEMhbag9l8nIW
A61iCDM3p8boU+sb6vj52/kRMES9CLoLV2Ozqoy8OAoVtweCh+T8c7IIscmOEIHJ8fL63dDHRz+2
vYNcEmsJiu+2I1CIlTnMs+upRO6Myfe0fFQ7DWNBBo5CdP1KrRVFXVVxWh7zRj8u5cpyKOYxnZ+G
70Y7X9lOCDu8a55zJGY49zMaoKVt3sPU01cybRs3Q/jlMZeB8ZeNB0tliriUK0bi4MZkpJFQDK4X
pqfWaQYj1XFvJVaEtowEGa00YwyTQCoLy/yOcCliaQOnJZkgzjVCb3r20eh9MGHjwyu093Gooie1
IG3dHsnr83VH0sMdyTT3O3cBXtm5pf1W6YNeSSgqiYa1gh1M6fNQlfGxbQXqKotkUiy9KBhtAfsn
8MJHY1BXMqNAv427bopdwh8Rv6a35bBEK8+ShfkadUT4lWgaWgK9a/dYP8drmZB3uSzCPwuqSqTE
WkvQiyzr6QCsTxE9srq+Gn+u51466R7ANZ5v0ZMtMdcpwAm/lQbHlFKr+sWZDwgQs7PVKd2tJzx1
vywNPxy2wkRYhtpEv41pyJ+Tww0pRW7cls+l6SgOMWD4wi5vC/YAIG8Hy2heBpVCdhfNdNW6iq9a
JcnvCrEsEflmPhzDAlIQyuxYRYP58DzEAaxxNzJTaDTZZeJqSSquPtYp/LSO/u6PbcB0+6Pk5nju
AEmkTlztkgSpv2Tes20j4BwxXdbNhIxvr40xIRR5e1iCu2Lm0i7JIKPziSbMf1azPrybUY78kGw7
SGP+qk2BQ698JRAXQIHmaezRmMyUBqunRYl4gDSASHEuy+ccIIOXIUp0Nw/ky1K+BcB+2YxTWAMq
cCOWETIlx+ty2qowQYtu0hZkW59XxzSuvaup69YVu94chBLY4iO1Vd1dShgfRI/qRaSu0qJ6Uikr
d0ZUIc42uj7YSijlWMAZUHQZrfL/frKiwyPIBokBgCwrl5w/UymSRxDGjrumK/WDDBHClwKkWYwE
ka4kOZlAS+U9p94Mnq2dLPNlWYKWQxuaznooGYCFIxlja4gJh8YU1rFStOApriuacRaNFCutkI7g
2Xyp5BeOnmbbTbM6Yw7qheinXro4XsuQGhtibLzSJ6DecjZGHZYfs3wFCHaKnPHYCmxZqxI6Hg/a
0jtqIaO3oSAU2FHUZxUs+UmEkXGzGu07CBkhuL0x512yxbihIcahP1wWPhulDThG26v3shEPsvC8
vTEiqF8ijuE0tQe2Gqa96dNIZX6YGwf6Qvel+AglVqpOdtM2KOXRxxf3O84VoOhWn91TGh67aSRG
U508SW2nM5WYl6+m76udjzYIz1/ZIluCzzONCHlsx4e3HyflJqUAovVUJm/tgHO4LHLrJiRaMzE4
Gc/J1gR2Ao/F9jYwaQOYLfIzHIP82jBaOGATfUIIHF6X5cEogq/l5AUVrd8mMPwdhahzU+KPKs4Z
fJoUw03SnJjKvwGzYQfhlzcpFOMmSDaaAKnMLNORlrxM5iTL5RfORKKdSoAhIALpw5l9Rpere1so
e1aknUbRJ3i4wuqUqd6LPr/bwH3X5E5dzdDXbuZUfPrsNs+m6iQ7PUC5y8UBMWd+ri2HvCH1sqmj
8CckNw71O2FN7d5YNo5ltxO5drMinLQ/52eoEEinZnUntkTdSS2A9TrHOgQhQDzRoB3NLOJuO54i
VOXJW97iGOrLaSKfunurTC96AafM/66SbNJjI8hI/sNNotz94CuYf1VS3dNjEBUnHBDq1ZgSZaMF
mndBZQkWkswIwjfk82DlOKs0/5J3dcS4Q9pvftzfUbBMjyCSm9QnWoVFo83V52UTTC65TZcnVdey
QKOI2mj8bapaQmMuzE7A49dEJ8Qby+iTN98gFTx/o7rVfukYqDCpMClTKtcxY0kv367Og1m9qrqT
XyfAiy6OsHe9TN/10Nm0MzFSQYC5iqIJ+rXPTL2e68nlQWuXGk9Pvb6H89q2LHC4MUg1oJuwJjBU
u/iZI9yhH2h6KyLZpJTCID3THembbq1xF1hxE2zQkB955Mkeo0j3e0KH4AqNZBzwrij9vBzjEa+y
tgqOOtbbBAbB1Y4aWmXSug1OY/GI87Dw5576mQYG7o8+PdfUvc/NS5cMhKCmZXazimgdN5BqxPPQ
+jnovzK/dKRn/vzDOrXgus7LYmoGAB0Ep6IMJvXqlRYCQrtDowf5YeML5ZeidlBL/I9A1TjhGr6c
FBwPQY2hdzALTzsEtpnx1wYeXC8OWsZULhsTvwAtYKHa9+LnNJPygXrGfNR5CtZpABuRzc8vFK1H
zyaCHsbOV16G4avtxPatiAwXUXT4Gmn9XNVRovEQZLYXyDfwnPOwXP5aXmV2oUMDtWsiD/ii1EjB
Kgt6bY6R4X5BdOSXOJj+XWlVjPAYlYkxmUp741TTZwvaK9G/k6B95C2qo6H4Mmb+NXUHDB2GKedu
gl7D1hVrGGZutxgBG9Ono49P1RyM2MiWQOGJcZADRb0knhVpYRttZNe0O18GysPhbl3qncavfjuj
oz9qwBhbhxnbdnmZiKyGe8qUD6CTsw+d9J0Uv1uZluOF+0K+DJPzGY1xdWnjItiOkKf3ZmVz8nBS
nEbUwq7RkIHidb5+lN34gqQkZWrNzgjv64wRChmA+8m5Dod6a/oZdpmpy/dV91oNSXEGX3CCJ1Pt
47kdNMovlgSePQmOp9RXkms4Bz4NSnetyKKRRDC4PL0Z+kma7zIMXrxIpvc40T9kX3goeS3/oCrW
+G4HzJ1sps6eGKu1nNuRntGIMz0ycKtK5xqRLlaTN6KGkyP/iOw8QZKK5qLTD/Z93yVkaNff/ML2
HQNlui+DON+GEsnrsoD7llA/mdBacKlN6NB0hZECq6C7E5GWBxZnmoxjGp8nbEJ7PWpQK9fFnJMg
8p2g/+amQsnpT9c1ahFUswCBwyOLYQkoIg2PlEIDLYOnSEYpuzNsqS2KHbMK9Xf0xrhR50Kxs0MQ
+jU6YMYu33nRuUnddLcpTgEat8xT2FZZ60pJyoPoIyY7iX5tg+CkT9TYy3WhmWCJlwRrILfbapJk
ntLORugcPPzgOzIjsc9VL9sL3jz8e+BpIFSH61TIf+p8zE/FlFXu5JG+JLLxzWj05J6Bidlp0HnA
7xinwSfOI6MBbPiCx4MHTrL1UtQtunHXCytGDwXdLtSNPxQW1Znotfq8fKSYEdG8lSrWVsBlEyUY
G53ZVo7oFj+0+sS/nTR2fYEH+jYopulqNGdDeYeyt7WnQlyWQti0Oix4dGjFvGnT5+2oPcQRJGD6
QaqVTa+1oDz7WToMyZvqQ59jduK/23QRCGUSzNJS9XtpWJp16bb4e+knl8wbG9Jleiqcpkfo4pmc
kloq+36AC1H1U7QpQkBAQ6QQ05rotX3EwtMmTvkOtFU/wue66Q1w8wX83c+Q8FQTFar2wSbkA5en
jYTo2gNS33Zq6q0zWYOmydt+qzVBu+7Z19S7XpD3tewq9NzKd1MrI5SUfXRS2ixiu81kkc4oSmGW
3SEm7Zh75Lsdna+FBK/XQMZSlUJysshi995y24CLr1rRvsKGFoL63qqORhr3OAQnhCb/PZB0EjJV
8T+zjPxVAe3tluFXwYvQxbAjqQ/ClB52xsBoI0tUtkttzCaGfkMBCh8WvRv3uBgdrYaJFnU84Zrk
EQYm6GAQ+8vzdkirv0j1O0LCNDTSteHtWx/Cu6xatNUV7IKI+OJ16lHQbXolD1hYc3stMr16SkCD
MMi4JrHtnBGg8pwTRRTVWztHuUCAR00Fw4Jd1Xnn+u1wbhR5ZoRA2a13D7+0XipE4/Dx7HO3BESy
PZbIOU3XKL9iwwKS6eR4Qlk1NeTwJP0NKXtZ1ZRwCDoxgPS4B/3AnK7q7tR+70vPwMR36xp992wj
Buo5uze9sPtHLJT9RPbHG0X8nMDVs2d1WhCk8wGjLHmrmonl1tb3RhJpL5Lu1NGYy7cqy13TcPJt
OWHe0ET4TOxPeSgbXKjYlJqfe4Crh7Vd1c318h312CDKZhTfP+0CMeQfSdhRRw/ZANh3IqWKZRNc
rdm/ZWVwKxjsHkUew4KkzNt6kcokowjxFk75KbGSP501Ay7LdJ5ktt4hlDXQLFE9oqYJb36F+Wne
ghYJTb+GDsNK6SvYtDZ24FJRmKKabMQ9xQ+P9Bu0u9aofK6oLo6JjRnW3Hop9Lrcbg4mlP9qqOQz
3l4Um6G+GtpsDnarP52M/IAK+0Xdqf06AlzBALXoL7Vu0x6yDOlC62TcQKotsxHvNxDLz4DKR9MY
kTh+/s5m8zvhUbsap0k/juGgX/1IvxlNWB9jLbK3pcHOAMYb4ty53J3K9kyrWH8tPcW8RskdxXG7
SptEuSUT/ZpKQYirFVh5soLkItEOytWM/Y1tytdmyW8ksfdZS0W8Cawu/IgtNtkAA+2j3eD0HUGA
BlaRr3+aSUGKFlzaNKtEpRD6kzsQm5PIPzgO8+yga2cXB66Mqde+GK6mL5qi5JfWl/aeFPH+QEz8
tomnBP5MkN2A4iAVCXFNNxquaYPnqodqz9by3yJLw8fPz0SIt1VzBw4qfN9TAGviifo7fp1RiSLP
LkulrMUJuMiBUMYu2YQD4gVFxcq57G7yrGq2iq7aTG/oZVqhghqPbdlmeVm3xlPcxn/NFFCnbSnm
pZnq5o6U8h/nUG6UrsmpsJPmTSzkbwhF2BuMd8DSoBDmD0BBEzgxnZtYVy5arjsT8gjGQk1gQp5j
x+h/WvNYYbkd/LRM4C/MjTk9z7BZxI71mqXqb+yw5l/0L1CipP1ijbXcIZsciVGilb0cKjDYMCWt
fvWT7NmCwX2fMgInJ5AVjzQZDq1PdSa9/mO5OrUgZsqU2cN+WbPjpq4obcfi5yXcUfqUBXjsfOAP
KjDs8O686JG3NVpM6rHdv/M9o2NEv2TnsV4egzD6QzZFsybsQtsF896c6FbnicK/WUlH5nt4m1N9
NYyQPTXpCE4WXCr2pE+lHtJBM4e/USHkCWlo8Bw7RU+cDgxbRXmEbVB9wQ57KF1ffY180Edhta5D
ACdZ4UP58PGZK2azc8yJrsUwrXTZ6K8MbtHLmSqfU5oBcFO/0Vr2ZUiylnaFbNj5Tfju13Y/aSfN
oD+xfMRbSGpLmH2WrAJ0QFCE/Dsz7uOswIIFAUgt5bAZZYrlvyIXI/AXtF9wG6WSM2oBKV/FKLGy
GIfs3IJbum/RgCpnVRvTgO0l7TCTE5dCrKfpKmBeT2OjZmDuJc3nkc55rhjPxN+m2wo7KiJXpaTh
1T+WXNNClqRRIip3o7HAYkmmnbeKLf1keEPqjtgFIKkzmzXZvi+3ZlFU2axVcfDRye4MMwoeGY/g
/lxABtdM81TrAuuaqpG0+7+raxmUTDVFXGGHoCJzj8XJSLjMYY2v8YGFm7Ao2mYVRsN3b7LyLLtn
akV7xd6q3Lexlu1ULD6bwHkGqKV/hS8IluRfG7NUSIqBFJG5t2NpPJvwPU6iaOBGzztiKMT5DhW5
g8cNMzd2DaSqywwOHNNBi4pvrJ/Vi6pqa2ZJ9n15xeNmAtoAHG95OdW09QBYqVtEcB3wbZo/wIjq
O9YR6UqTtvRPfDfkVRMiTKsDpDIJC/nfs235iBk7doBlQRxUyF9zZ2rZOVFRNue2L34+tXw+RkS1
btqOPAZTsU7/Hsy4QCFfl++U1QF/MK+WL7bqHzn9WgoXNfPBoztKhFPI8I7LDhV/dHiqUIIuW1WQ
eHhkqdM3AgrzOfPIUIu7OHsu8o5mPBfCf7g6jyXHlWSJfhHMoMWWWpbWG1hLaJHQwNe/k8meqWez
oZHsvn2rSCAzMsL9uH0k7G9Yq5HX90OStZs8Bvzv6NRrUHhXvW4mH7UAedDqmNKJzLTvp9Z08C8k
v/D6GQdqbVBRlrUPO38IdxoGQ04m8rsG2hzD9ojNbezq9xk4x3d99NsjAMUNcu0Z3bQP7aqbmoc0
nrr7IXn4fke9vYxYpaqJjZHO/rCxEuZojcGRg4kIombLsQ/u2Os7uw7sQ4A2a5M5HYgID0GAhY9n
A+cHymOVQpTrR6O4Nx6Zpbb8LJTbjXzWeKK4d5+z0vauJZLAEajGpsR4jOIF5TFNMvsaa8BtUtdd
viqX+jhy2vBkaaRzqa1BKSTIm8nYEvJC0L/xOnEwOHkfgsRrHnFIl7upiNINlxoiljTq9kvu0xfp
I+qGOASrJC/rportjRu71o4uofPc2lwzwo5+Bq/qVrGJIjF2rOQROvUhvtPKonr0nXpdORDR1Y7Z
+Ux4Kw+8HDEj+DLH9KqNQfdoaJV4yyXAgz7Y1NIJsB3Lea4dunlAeoB8ubrDIL6aasaHg38xs8IH
xkgmz/fLpIYeS1yAsYa9RKiOusU7smqOqpsv+K1PMKTuQJk1lzad6gsi/2VM94R98lMRD0PzZORL
j+PcoJ/at/fq4OYF0/DDq3RK+S64m6weZ7hcbHq5+PQuatihrRmfhS7IVeHiVXUqjxGmkz7h4YIg
SnSqeuWKEJxndFZLVav+CfmQ0wLEywZnUv0BWbNAEJg+/pkslid6C92mq8qUfxaY7abEFMmqPRAp
4IcY3p0S+5jfvflmLzPtsW01lfUEE5hGULqgB2/CbDu1QGLdpb9kDk2f3GM6t9C1orRgYGkMHPPb
tk/vKmaXuDvxBsMGouwCNBHfm2HBkS9uoWCj+/xug+fJ8ll1n8LmE1SZp/pcf6FSms556nTXsA9p
w2VIyWgOkK3V6DI0vnuLYlpJ0XCXTlXxops6QogEUjmnPbj/jnGfJHr6JFCKBMX82KdzfiD8ifF3
YqJq49h1rbw2PRmRK7ZB1Jr3tjm8x2OK46UY6mtfZM+uZy1oAJ9SOcihjyjuy3vE0QG/Mj0AFN7n
m2ZKlkkV3OvLQuariZjL6ch8IkmWz9axxA8Px3sTmy7dWfLMpxR5vGW2OM3r6lW2Eysvml4YDw7r
uTV+ohBBL6IWqgmJ0IRo3QfqJkiHEf0z9RWsxsU+pkP4hzjD5HbCDAnTAWKHKj9ic1GKr4g8ZUnY
sa9LNwB+yxgnaLOPiYxpaOkiX/C7NNnbi4j4UeznfwUXc7OilYgO+dfYbrtd2TA9B8E5XW8Lfml4
2eOULvXRJDJxFeZVfrQlw0D1rGtM1sQHZslavWfKX3leGHuOhuPvVAdfKzCUxdpMDS0MGvossU3n
6vu06W9hdOrgSa1fYJuqCU7VEceN6P2fjIimBDgWiB0eaHdhFj/zSoOQ39PsCtGJqoDiZSFkWRRJ
t7XlqWlpY/OsnuV5vzCtIi5TMF25DLQtEqs7dMSmkybgJMZhQBpd5vV9KOczqsfC3/SZwqeEUkED
DZmVm9ldUdXP6rozAbOvomjsV7lM/eJgeeBOGDlh8SqMe6I9aiCoSgQShX61z5LlTfea6k63Wtw9
VV0jJs9ycGQZAw2DsUUKBnYVKj2Lhx1TPast/MKhFexJDnFxl9b2wS91qsbBuauEtzyhSdjW5nyF
bJys4aTU7w3+/l1oF4jlwwJwglfOBPIh11APiWsY0O0Wa/P9XowT2bPnjZpSZEfdY4nVF3jyRqin
ZzjGxaZdNDocYZMSxEZuo/oD9TIIaZJQEykFXwC5mHUAD8fgnHB0wh6SDz6jpNsz9dK1ik8QCsH+
+/0wdrN1umj5fu4wseNYJj/dBfjQsQ3ZAKXOcJ85BZBOcCUDtV7PTvZFAGV3p+4s+cohMO/sWSSp
SxnULJVYbh2w4msAbLUpzuDCIwDDDhUdoEG+dLNTxpswRrC84E5JBnT5LoOyC2MagoNl0FJLxMza
AEWIF0augYM5vnJL1YeIISrSS/6P+xGb/U4JD0lLNSEbe4bYitJuHifj1IaJvVb/VJgxfY7aDAGi
F917ExEjfJ/JnPdvmALqs1/6B3X68PxnOx1q4vfI2+1C6+x4efTgdn18QfJsr+raHqAJhSn+tdC6
qy2EB23Tw6jJst9DCkIZwI0DAxbGsxyDJBEWFeAd47GnrX6uDfyvMWzz1eyI8QAts6QDyUNZBcZp
oJ1e+NOTWkYA0TylaJ4TeJ1XX4RM/iIrg9yQVNHO0/WSgFI/IULIRM1ac3rp6Kp1L0kWJOTRUrRG
MxiFNDDWUyjqTy3AB1NzXcwoUq+1NeyjuPbBOF8jswleVC6Unel/e5k03pGUcgybAbG2XXaH1LWz
vWMm/lPnjXZ2XWxK2Wmq66tpazWYC8P7muroHerzvbqItS64RzKUrabxGsbZ/OGXpXlMF0ygY+Tp
n/xUb+h3fjeJj8M9iBAocm18P+SpO+K/sIlWi2kk98n8MSf5H/VVuqKir5rb7UFPQvdec/Qc5p/w
T6C/nTWNg/nMDAY34gYERfVYVo3kEBl4KceeKDTqGiI7xE9is8sfw/hCd9D4iUmew3PmZvSI0uXO
KWIgtBzH7shWCQ/q3tItrAN+SxKWeunIyh2y2OMcmkBkSERZ2cYY308FCZyrgRSZc86WLbTG28ew
xFcQstgx8/q3fNKCmHhgNUlWXp+JQ0tO7ppsIRkfTPRelSTHVo+0P/4v307Ru4zaH/meg/Jm5dpO
8oyW+ZCxRzzagDRlZqyMNSClIWy4AdVX2VvENKS2/ZcKrwTX8icCE7QqH8KY3vg6TyZKEtAGm8qN
f01e4XyGZckeByIAcsawv8WHtU5xL1wD93LHJ+3XPfMjP9slIoMHY+GoMuLHZRm5MsEZY4jSxqsZ
SglSNMISZFJzQseXAPWYaNgUMUp6rXJO6ej1pzoQuJcAywQmP6RwUoJqhXgLzQ6RAl5SZiHZteW+
u3fqMGQsbv1hXegPSeVh8ZJjwNw0PCzhMbeTnR45Sfl3mOn0jaNl5dOAi7GXegO1uaq+Rg3BaGuA
H+Lr15rjYo+PGpk//e00A9FJ5Kn+FZqWdt9q1r1mZMHW9BtmcpzM8moeftTFXJr0Q7ryx1g4MvNH
d6on1gfzVoV7QCMuhuuQIRf+jur0LcKZcooteoSUYN0jMsRS3vzLDzKSylVhM3pLkvBvjIn5OZzk
jMJlS1YyHs4VSiC94IO76tqEBa8l+2xG7UfL23qv/GDeji6sOpVwTL2MB4Tdx3aqNckS7ktI1/vh
dlyyh3R+8JkzR0igZnsFn9TdLxGjWT+2rC2ZYCxCVYjgqIKx2JHXjhCVEZJmmAFh8+s04GglWMNW
oz/M70MX1XtIq3jju8lcq22IRNWUWf5/HtQm5SEj0+P2qglatFofjztDgx22Mv0oON+WcBhDyU0Y
DE8Y39wMRj8T0XWeErLiIpJlVLsCgBiicQsriWxeqKkZYtCvIKud/U1l7BbVMdCAABsxWBYmgNne
TZIYzYL9e5j77lSQcLoKAOPVjGPIG7ETZ0fSNsd4cJ4PcIewmjIou7tdziAMkv2SoWwqU995a0a0
dp4ezwd16ClY9VdVj027JEWjIo32DQdGto4TEo8zjZwcJLgkBJGLZciKQ3TA3FzU3jLzlhMpFKdN
KVJjnfptf+TY4K4CX4eYXQZYOqPH2zGBH4l8PTr+D+hboof4h1pZ0yarTzRUECCiMHkYlzjc5JC0
iO1ZvBPyNRY+DaWAO+BHa5SiSxTAnZcS55we0LL3XKd9wkfq34ckblhopgYZE8oYdCHdtmZG4AMY
gaGUWq+kIDzEnHbhR3gkmxSjxE95oOOQeNFxUl8HRmd7XxFScpOCD2LYanrV7Zql1Z9S+esy1y4a
9MnMQTPvYoqN8HGeYs84O53ILkRJHwG2hgfHsH51Syyw5E14u+kADBc95oz25MfZQ50YDWETMaZY
knKsuvIv6dzn1zDpdM7gWf2VkJiR+yVZpPH4pX5NaeS/J0Fnl3ViXt++W8Yhdr0gs44HWsGyv9vN
nL39mrSKMPE/gs4uPlK9PHg2eVEi7PXN7RO6qb/tIAc/5msYFe0emZ9GL2pSuhyzbNZqmGTKiZJ6
9j8vg46fnMDSLwCRoH58J8VWYVrlVs3w8pj8JM+mW/WtkNZkSC5Zk8doGMV14thInp8pgHf4GpcB
36mWxM696RLrLAt+NyOObAhmrC5lWG8LoBsbx8B97cmHOu3fWyGwh1uEW+NXKE8Mada0EfEJ4OO4
lWj/syFPNaCKbd/pzc4z8n4/lIlzvH0it11iaqkl5OdIrfDYO01+xot+1bQpe4nm5AnY9fw+jvWv
gmlwEA/PlRxJiDGU7lzCZmwseEoeBFbdewgX/MuQakgLlpKhyA4jjKT5pxJ4fLs/mGJne0EcW5n2
za1aXKRDa7RchEPWg5IU68hP4PdgwhmDvF/Xi2OjNX5SB+A0EAfPgZ0Be+I+A3N/b3dOsC4rj1MD
rFMzTNML+XvEIid1RRwNwIbWxqKiyj7DIrEW4D3AKOWN0UwMybXf/DQzUYFB7ZnM2UG7qZZsoRjr
PS4vzUdZ0RzHJS/2g4ODy/PBEOcmMmM5gDJdBKauRfWaVpaG6w2IDmhiwsEq+wlKcnc39/QGWmq3
koi4NCswCusZkF3po7m16uvI3zr6QP1GaN9ldloyI+ofWh0WT6GtO5dRsslH5rn/emdJwxCorxcQ
KCIhApe1a6002nYRenvWJes4TXxti1c6z9g6gk2RW+NurfkTGc6TU/xKycZuQJd2VavfWTjKQcpF
dMy0RnQb1ZeEXbAN2ZUYViP6XqnG5LBcfdQB2ZUuI6opEaDTH3OO71L5ySBuTad8Ww7sv4aonyph
mVfh5p/E2tSfzNFQ9Lio/9oW/WiWU7x6fvfE8Vf/CpYrWncp2wJ8q/ZRN+3bJxa5LB9/VSG+3ajs
6/diarmrjTI4ZKURnm8rF4LFjyRbHlyN0ot2B1gpUzt3PUxp4Aco06ZiP1FouidrJDuEc6qy8QwD
ZpxpNov1kLGC71qLCbtd6SaRqXgGGNz+9bT+Gjjd/EjiKKF+c/waj7NxQt+eXUtN+j6MBtSmbLGL
wbU5X0yfdjnhPw8q2nAFuuXVAtEcfZoDMtvN2u2IJWrtyptac6d5v9BdwTTNy6wtLoCRcaGDp7lM
GObXNrNKBstMI11Qmw96CEGAyG7+TXny6OWe+uE1C7Gong/jRhCU2S/JL2aUAET++xaopvMIXxOV
W1OQDxKO9K8Ekankbh1v548YklA6MAXOPSjLaqaQLmgQmLSVNq31eggQxDEAbiGQlGD2MP7VWuNf
2jj5G7DAvywhmWoNOOIKtftLleUnSobopO7+dJTUkIFIAaPxXlq0xafbDYKoB6U9xy4wgKelyr0X
1RCBSUEwW/I8xqyVBskuRNq1dM8dHQb+lIz7pbOTB83Tw/vb1HqyU+egLBILNR8QQ9smiEdnLlnq
0c7VmvTWHvBlj+B/GgUcQx5v/crY8vwjMoR7exnDR/XA3/f2ghAoMMMj9jQ1Vxu47lfK0se9k6wK
wDenoPirBsntwPbcYA8XA9fLWHYnIPBMl6ax2Qq5fGaJ8RzrVXbw07SEO0osbdnNR1Vu2HgS4Oyi
xAxTYnLKgHWg5JidU0WBlxub25asWvrqgStNkB9NUajKDYeUM25KJm23zvakjQ9DBLULS7IzSiOC
jkodh/60Vba79cDRj/FL/5Nw6DedxOfFzoZLPhUt+aPjHrLi6ib9cUt24gGP/lwTggnF4I0pHV4n
OTvEq2YBJKuY7MiJT7R43arV8XzhAvsoY3e4jgLZrVaROmy3GiUIYG2AA9M8IRtP4q0uvzP10GbU
mvTSIePI6z3UrOQBOG1MJ4ypFYAoxk6hla5yefI0Bq2+aOGRJco7YQT1TuqZegiM6d9LI9Bgkss/
Ve/VFYG+Xt0Gm7KJcyzvMKxPt16VN4D2tfWSlCx5YyEjw9xd4mkmntM9pXV8Xmobv8fIvDPtEOxY
s2fsW8NPIWejsLrNgJwiR1rvGVB2Uv0X3sPbIUHLc3FX5t1FrW25t0EMR3KKSTJq2VH+DSH0wSRD
t3x72qUcKjpYM5sh1g5OD0jo+wE6DQd0HWuKVQyC7cXDn8hJZLL8L3j8LAeRkXwhMOmPbZcT7Rs6
xgauzlTtS+/omC+BOcw/WR3TKGUnoCPHkcsgJS7Qs13ldenVI5lkQ/E6/7TGjdtOPyK21oNSVHyP
tRYPaUgSIPcPO8DNesB9jVZreG+J1FjQrT21lJ3PTVwQMJsGh1v96ZIzhGl+iK5KE2tV7XMVsadn
0pNXAGC4HTAIOsJ1IEW0QeRpW9HD3RjN/rExR/xxOieaoEIRG9IsXC2Dle5rYPZqJDvYfCN9RmrX
UqW0ZulZbxfTjM6JjXlLPZvky5l26iEOrIN6H+9/SFwnmz8Z5ZaxRyk10gSB/lJXZntRJXxV0MN2
y3Zzq23TahGE6mCM57/w8OAF/7EEy/a2URy1YtjWfpEh5aSfptprpc3AIV2w9/HtULtDZwVDgsY5
rdyv292RB9hJyUlQN5e6zVLbIsM5TxiV8JEfKNJpbtPJWZfZaF2okK9F4jZMSSc6ceT4OVc3/TCQ
cGDeRjscwYP1AUR/n8FMUJB56AzHZG7+YG6Yd8pki9UBsIMsHgarStdq/l4nTnCfkOfBMNvM1nrt
PEOYT3DUojVVsSUdtJ0LOfN39Lj6COAN2G3EqdpB59i8zQbkQSY54Jj2OIPQLSJHDlyT6tm5fv4T
u1V9tJmD7Il3ite3I1TrEVxohdNqysf5gzX5PfCZaObaQhZcToqNPhTuZvFifmtDqqNu+wD66WdV
aqptB28oRTcFiWuRvKsmjGreGM7OQLhGMzJWh4XuNkbzWCfmG0by7NguwjyOE4a1KGrLe9WSQSgm
qN7nqwVO7suyUVlppR8/D0wRd2njDCAQpLajmDC6eu3wUgSA4QObU+DQiofIIaqS76a9hn5MQk4m
YChlXrVFEdSuHW2oiDAHzEkgLAI9LCdQ9Xp/mj9S8jnlN7NieWZU2PsEZ7Yx4Z7GcGzzYf6KzPhX
kAbFxSqzW9v4uzPsdANNNTcURLHi2eLAvcD+fkEYdhDTEF9hWCH7Z4K7bqayfgfiCbgS189+8iD1
4ohC1aXb+EDgM/ntQpp6lrLfV/4x0kT9kNkTfOwST37QdAtqH/xW/46/NAJ2mm4M+8VBA0f1wWTQ
b1ZlkXYvZWFujNSoT/g8iocq53h+q+HmYuFLZLRZWoHYu7Ndb8I2+1EReAsHUCsebNfiW0s6CkVf
I1+4pRr3QAs8OfAkKEhoVagbyU4rsZmskpg0DBAvXdESkM5gBowHLYxIjL+FBQ5C9QJr3f0QKacg
FAJLuUM3uNagF1xaAxlvZPbDznFReqiXVWfYiKHSVZdQ2quh7JJX3qPMo1fncHQ+mCVN407t80sG
x5mhKboFTu4GQRG51Ml2cTFtWHUhjiEdITxi2HWih+QgHBKp2yi92FLPV9htfzAWRnobI9ooUd0o
nB6/QGVd2nlCGCD77IlZEwVUfmmBVh2EXHVgDHpXJQSO5XKk9TAQ8Xf+UO8HF3hDDYxbdIMulgHp
+ucskK9L3zlZBcok9YGSJNbiUW4ONnKcfxX2HD2bEWjsOMfPKeJZu85JhxCpIy306nmTB5ep5eQA
b39bk6x2UfNzNU4X1dytPc4aYDZ9hGo+0GmkjMPRrG0MiE7ugOkyQHLJH12NB9VKmnntu156L26c
tBe96GOGGxVG82DqdpXrTk/VrNfkikX15+RY/57d3pvseBebpgNod5nPJUWVlwY4zBCMMFH64qaP
NkAvvfM4IZ6J9OjjVthNVdnK7LdpE7NVXMhCGLZJzPyhlWMJn4yWfcpit54gf9Jt8xd6KkFhrVXH
wh+ihaImjlDhhe/kROWvA5p8zy78D2w2AFgcMMhj01pXh9S/lSGK6FnKoaHJ1T/g+cT3jEn0twjf
MFpIE4njJF78LMWjXgOFocF47gLGdICyV2FFuFcgbVFD3IQnvr+9RpP+qtGEAIzRgWipES3+96FO
/H8vI/Q5OyQP5kanr0yIGpFIgwcDT20oRh9OWxqG5TrAfrYVGaQs/OaLd/AitJLKMOMD4mQR8MDt
Nu4Tftmm0J/V3CKNMN2jHtn0BmRYmZl4bave0zf0uGUYuY3Ry+rj58WMgtXNFN+aaCinmeZaagGo
LfxnhL8jXdeEgqoIsDWOjddfoZZPXmrttZzUtbwc5CgAht9e4BFaz1JoNooguHE7qqZ5xnBP2Fot
OGRL5gBnj+ypmBAbIXEIlhEsJ60t9dBK8/BsutgFpBuXfq3AjdtF21triBr2BNacQnhKHRwrFjJb
9dJ32vnwZiUoNZVcHUnaStigOm5nCS8em73PsZVvaazOoi+/AuFe1RY8DMFPxOPOseNYhLUz2/G5
oiuc4hG1ATFHqjBS9ZB65hXs6+PkDyur7Vad+enT2f8KaGVtZ613jr1ekOeSgBYkcaXZcdPQ6wmA
sC34HBHsQjyZx3e14aoL2Yu9YkuGTLLKCJFkpmnaP2qfQ2m6PI6Weea0UbzU8+JdHK/45TZdfGUm
Hm+F78CMtLoBAHS+ZnQUERI5sChVEmUTEkbboJByGCTL+7ys25+a5tOykq8aX6CIz9N+14PyxM4f
cnCR7nHWsm1VO0elfGBekrxZNKvWkQa3u/XRVXKCOC8kxNw6QzmvsNuasPwON1gIHUCX7A7SfPyG
JBbZds1c37/r+j+qR6geKie6piSuoSmsi2OlJ/U5HZYGRMbwQxWNgWu153p0foXchOtbCcr6y5Aa
Z8qaQGb3jvb/lmRE6SONKrAV3GDq2feDiV2cZCSsTVo5Ww8d9LA1mYD+LpHC4NZgYI8Dd6LZ9Z+y
0lk689VaOAVPf8ewnB81uDGHxNdJXWrLd30YYIdyPr5YDgCYpTCqc5d4r2MzmKe8ILo9NDndIP39
xHTEKVM3fscxHfGkZUxhEUR29IiOf8JRddQknRP7NikcIqEFB4RhFWULX4ictkQ6LVjl2nE9EGtM
C/SnYa6qBz+w1+pVQafpEhpmfVDrjlvSBrcFQCV8yXd84PtF1OZRNaEmq/lHC1Av+9Pt2jDQuCm7
qCBgYdPNdKCmmVt5OwR9vol8B+NoEgsymLX6k3AHexOwMx6HgkjiKMC8c9tnUMO/fZ/1ifipxCqx
xe8Bqdm+sTCkFWb0R0hnq3qI00k/qQEkVnukSRA000Z7nfIh3vUmMNjOmbaj0fqPOqJguiJ1/k+4
XOnaSgvc4LO2E1o9SR1+jp5+NKoWHF6bXBpo8a/99OM2vdMRIVSL2/1tgY/rAW1rra61K5E8yJWN
2b1vkzdVyEEajw8emUwrMboBjv3s0NgIVgWtKxgWsNyKYq06d6yeNKhkqDZn9GBkbe51kgTLIgKl
kLKLFX2+1Uc0lHJ078hThiKpLBPcwMUGe9BlaA0jO0OSoO424W9tI/hMsrGG0zsa22lqpv2I9uwa
hUVwJWqaSSW4J0+YAsNNE51zhCAcytGjRGYxHpVbg0WTjBOLxoNFCRKMxUcz1tarJ+qjFpnue+J5
lyi0nN/YmS9l25PLZHqbIUqbzVS8Q53e2PjIrrr8mWIPxIqT+Qyd5MtMH6TmaaOGkkHXIeXDXnnx
taWDO5HPR/rvjnCr18ZiwteO/YNJIhm+Mde/NWW6DNVRYtBVQ7YKRec/82nVHVdDKnrC2zjWj8Ry
1aDEDTACWlDvb2cI1+RKS0hXPwjTtFC/SVs2R56VMrkSb2GSvMInW8QI4/8NJmhb4J/LyofBDppt
7JC1ebvkq2rZoxyF4yMlaYljlXduw1x6DohZlO1f9mB+3QrT0tjcQxAEpUMc3F2u193Bk4ri4hxZ
HnxlKSx2M40dNMEoE0p1iEO2PKklMx3tfPTNLTBSSs7GRH87COY3iwWBNQ6A3JGwJAaOw9ANJgDF
ttm4F6PpTgbtp4OSK3+rlzOh05fx7YRN0kojPuvQ39w+Gm0cEVl7KZny8difg7ozdrcyyJ3BpDCV
yg+VIwOSprnERRd02jOlTLv+f7NckrNJ46PJgq44OpuTYd+rB+HMKL4NmO3q5YC3q3Dd+jIrEglV
HnkaqfceLjV25w7x6KG0H2rdtPffDQn1rMYitzJmNGWq06tmBjonIDHx/1NyzImzzfZW8Wmunq6/
/16ewboIveKorpU440dvDSJgGjA6bYjs27ay7EVo7qZLqDFbNnlodzTHdTpx7+pZ1g0NnkICjEZp
CJ91A6WjZ1kP6sEaQLXmZRg6H4mRRxstd3Omh/U7amBQN7aRxpch6eLLmNl/c5BYxqbP9eas42tY
B9Rbj2RYWi9q7OEL9DksJWfh59WuckrznHYyooF+HK0S892J4+41yxKOLFNivmTt9NJLDSJtqGGb
RSPHGELo47WvAeOr2kicfREH/rrIfAjkPsJbo46epB/8jvFf8ZKWT2ULer00w+FjtFCKzpC3bs/U
e3Rqh9Uo37s907PNaIAvhu2akh57uU1REbUStUmHjEN0GnIMMQeC75Pw2gyOvSK3jAxzLeov7eS/
tJB+jp0ZG5DG/+O0Vc8cglopK1ELmqQvRXE/PLeEoz44ibi9cq1SrDkpzTMyF/Y6xB8ZeFLVOWxa
bOOziQRHHYFEx33DCCXcqOvUnivKTvl3LpUxlVqOTF27C1IBDrNDIYRw/I/eeeVbi6qaM1I/Mw2d
/xilgLslLeR9CJOjW6jsxYDxEZ5HSitoqTd1trwvAXp2BHL1kx4jj4hTYko9uh1MXVFKMxWOds2E
us2zIuZnconwWuurU5cHuz64uAVS8SrpohYnAlVbQwqB1TIQVBLANEKwpPbx1rLLUwm6HzLvUhUH
jHdYadmCbQA5R8suXO+GRcHyBRvFMj+60amZnUs6NyRK/uJMOcOSdDD9yTrdPpaoZ1JABTzvCgGb
0OiEuVsiW/ir1LGdu6b+hR8oYRLTJg+1fNYGBEu4xcqJDHOnRjgzkJiV1MFdLCO0Nl2K4OKvaAbk
j44gPlUebNE7EkajpFLGAus69YZ9XpAf2yYg+b+pco02efgtcBqSt8nUIzoOMme4mdPsXCJbpXHc
81O1y0/mrnSUmnj6yIhGiKf0eFsBbmQGEwc5RS3UMwOb9y7pAWAy5XtlC5s3Vd1pd8NkOPvM87ds
k5K3hVJWPRQpfpEWjvvRbj7aihOfLZtdfuSSH6yOiNQ5nEzimhDuav6SHL6GSMJ1PvvFxvzvpCHO
4mq9ZLG3r4WJMVY4NuRuMTG56V9jy/jUUm96cEf3N2vYij+enjkWMpyLCYVpiW6JtGh61qPFPhFO
8VTTtzgP3vCohrFC5kmpZ5nYMxvAGYXdfPB1RH6xdlaz6mR24nVKWtGtm0EO66FKRwceCjCmsWwp
OMYFnnomoIYxM5bqLNPqu6t6FZAtiDZaqpgwfVrrMShL2GAe5as88ZWdT3hFNO+Yyz6Ms1d/Jnbk
kp1EcJJjs04qzXNkDDCRiJnLioz0EjVs8b0guJiWfwEGU325uk02TwR6WtgmuHX6m8dIwjFdvXk3
XWzUN8piqn2pzl1LTx+slbZWhbY5O+lD1dNvGPu7so/b37XZ3ukM2D4MH4Gun67VpLLWs/ogmOqx
z9IPnlJj2oRSrZ96ib0ySusqrIjWjG2nNSBas723Cv8w+Q5Hvij9fVOegOGCOZC2p5vcPhC/etI3
76bmmGhafPlmrYHFGS/cQsE+WKZn6tyWaD5C1SunYrjUGvjszCiiOIVUMxseeeO89f1+Zl7mJBA7
mkXT1jGJuNVom298JJS/607Pjkx4x4OR5u9VtLhPCUlDW7PPkX5RP4TcbpS2rRn6n/Rc4e4Oif+J
jxf5V0N5OqfPbTYue6MDrmsy3AYy4x+rBcWBkepnhvmg5vupe1Kd4BQOGPOndcJ857r4oAQSj+JX
c/kS6pza0DMkPN6b3soY8o1EovRGPTDPhQOKwSHCfdYtzwNf8kNsuFtCG5bnOOStWoqAogXzOWCg
hu22SS4R6/nhf56NEykCYy1JY12sM27EU9VjRj+nMWHFuUujrdUH7yJL9Fa4/V+mvXtaiaTAYTXc
2ZOHpxKU37tuIr0ReCB+jYG/s9JE+/LKdIaIw9UczPST+4pD1dwDZnEN1z6NWJlWKJ3Efe/ozlqM
Fenraqy86DZGRKnU6Qw6QHGYOQfVMogn76VGvbcezKY/Lo47Xj1AcmPn/7RK+nrcd3YUhJsMZvY5
buDQ1hoOPBGisNeLN5IWPtrRu/OH6Zc6P/QV+dZFOUs5IUUvIgvJ4G4YrnL73eUzPPL/Llu9y8VF
WoVY+wbJGF0a1s9tM7TrVEO/riFXV4M//BHFcfR+OthqiSwx7VMk6AJ7ZukA/3QtcDOgKNTwsmCX
Z+ByxkD+5FNw3SQpULIcNNvdsNdimFN1UOubaBzFp03NwlDiVffz5qyWTDRKKbFq/rCNfwQeOm7V
xM9AqGzrGDEsPiNmJbZ2JQw+zNYzzYHdkHZiYyHgfzJsq0O3Xhmv5dwjFUd6DD+ujkzSw9PJvrcb
mtbl4GSrbMwxHdB/xqBBE6vJn7kknCPe4PZh3pAwEwBvAGed4/ZnXhrsgYXfuI1RBFeBO/WjmTML
k3aCNYltFZnd8DZai/Xg9xY0jSrDvsN/c6t6SZkjpZBfTb3sfTGckJydNTsJMcK7n2r5VG0LS6Yk
CbFfgHxjwIOCFQrOCZZt1ruOyMGVbbvHbK4JojACeoCy/acKWsfjdNjTTFLzssIwfk9B5ez60L9T
CuKkmj8weniPcYI3V8IVhrnj/BHPt/m8O7WIbIrutc8i2d9OjNtnPzTGvyI0GeAbR8X0Xl3UdQFI
/b72vXLjYct+MbXmKY6GP1nqSIgktRjFUAfmofhFK7ifvpZiBAn8txjDXef2Hmt5ddfEJATR4VkF
bQaOoTcEJHi5qPaB+zya1aOj6jAIC8QoxXLVh/2SlOEd09kET4GFUSbxsn1uawf/efEyDTD71P6e
xIilpTOY2VaZlYGM0l6doX9JcjM8+l0PDMxJYWarOsPOOFNz1kD3Tl2DKti4qgejb0O6wDnhoVm0
/K7596527o3HuI9+z/3s/B9X57UcNxIl0S9CBLx5RXtPNklJ1AtCbuC9x9fvqYJ2FbEP08HumZEh
gUJV3syTNNhx/DbCOf8F+txqcuoOYiYoGokMYKQhBmQ3L46Nof/BzNTf/30u3xLu/SiUFJiIsE7J
FzNdvsylqawfBXZnbKqOfqpwLDIarYtsb4YdKvmoWPEBGACufxTPyCmBuLPhkCO26Ae19+c8dtGy
5M6PXb11NVMLoRQyY1h+M2gAOwi9bbStDpS5KbhyfDWCgzix+SRsTfiMQgw8Mk03kGqNIVMU/U89
T7lsSi086vP8bT33yod2aRrlNgznr6Xu1D/peJSbHq0yqY9YZhjo4lDfRsA17BagF90h+p7Lr1tD
+v8Ob0niBPu2LW71MlUXu3AuBNRPQw8EUlMQieAFMEUbFKoXR5Z5IndoHE2dlVuvip64+5ubKoR3
E8+WliKcDG5osMzo9AMU9u8unT55dhCX8WDryptOteLlptHrAoUZD5zY1FDVfknx5PGjF953D3BT
6v3XMn4TU53u6UE+wZEeHQ03UUTJTPKu1PGLGjUTsbYW64CqzNeB1k5f7jiGAe8tqDgUqp5dL/mw
/MS4rdygdmv7QtfUre0hP4HLSTbqrFiHxMnnK1asrQ034Y6D5AsnTcyyoSjK5PCLcYpYxxFSW71R
bbbFfWt9mvU4imWeSglHRT6XCUZ11Lt7qRJi7zTaw1nY3jCIMxarclRKgVVwiT77HO+/4RYliD88
ZrqfqCMDIwsOz91RoDO9lYO3DtYIKpwSCjpPZM/jLVQ7WzhaSugiOGUXUyFwPTMRsbzwPiAdnoy6
4dk6OtqRXHl4XO2+iFbHfqZXTz6i4oVToAaU9ZjB0oWZmmbPvlhejV4n6JcR6ksK/aGjjl8YFZNL
sWgUSzX7ZxvrMQk6nlxyEDcGqn7pzOwyNuZudTSNFQrOEFvTvdAaexvYuGMr6jnkBi9u3E1tT92X
IMvOelQ5B2+s5q3coHP+3IwGEXSur9+uNt2Kwlh+I/uWP9vQ+K9j8HaRUwwsHca5muzSV6gG89t4
/OX1gnGjV681cv1NGg4DsM3YKbrpJdFocpcDgKkATKRhmNyaBmzVqCuPARefDL+4BD/OsAmgdxj2
CJ47Mfah+KpQuYelZTzDY7vpPcc7TlYWvxY2SpY4NOHsfpespIbxRWEV2QW8nOWraWxS7GRlp7gx
q2NWOdT+NFSprgIN24xNqZkU4JRqvpfP3DnBsU2Gx4QQEKosSIm9VVuyp26McSDMgWVSXv3Csyci
n60OZ5nHwuWIzyyGIm+6zgGOcfRzSNQF1/vYHuZgYPF39P4Pa8LDqUrMYlFR7HIFEue/RQDrKbaX
ZQm2JWGenUszxjE2IMUTSZi/z2hvpkXmCG+Gvku5Wm+F11S+NSB5c50mJ3UwOj/A3HbUiRcxUxIY
3BFzec3mmb15xKkCwJC0z5V22F5WI+yMZ77vKB9DPDKfLUcQTojd92VmTdioAdbzBsL/gauVM40S
IXzg3LlmogAwojfuatcZE4yJri7xzghgVdkO7faEiV5Ko41+zt3g+kTJurNXLrc1mR7m3wFdkKel
0+ivNbtJ9Ufe0EU4OfNZTymBM6RhShmn+k1JDB03XtO/rGhdqV1omMobsswHY8h7RH0teyPO/VoW
Gt1Ljf7Wmx2bIRGdGIEsJ4Jnw3lF5c4t+bvIt+JFftWDqdrFCh67qNDSV6UwXJ+/QfI7737qbR1d
eHhgqBA49jkL0qvT9A3xDeHooh7ni4VfeBcbarh+e40i3Kzf3doLpnsY3OuB8URSViPgcIwq2jDh
ViyTjyJSwWVAvNHCAU+JGEdI4iSeQzafIV1EIrDfRIyf42pyVi8ks+DyPBTdN/mz1LRalEFjfPQd
7v9jyNOZzIOgG7qLPW4TDN9cbiSheS5u1s9M/IgNVpSHDURDAuKzEzJrsB+qKnofMyP35yD5Q0de
/D70KuqzinF/V4fR9/X4R4VvsOPXOpplqpE/YkY8hCOJHnm6Uuwr0RYQmyO1PM7Anb5J1PpQdbTt
tZYeXJBhinegq1SrB0QQizi5Rj0dZjrRXYYp9XyhhuGBn2phCgUO+2+quqeidak844xcQcbYRN53
u/SvjzjV0kMrZpshSbWtRf3XRsplq2YGnQsACGNknQxhr4S53zVJR9EgL0qSB1dMfEdbeM3kR0uy
/AaKoGHNSh/ycca0NXmR7zJIsuvYDZfPuM41qzBk8CwqMGTQoy6ZhhbZXHIbEB20etTUpA3Upxwn
qXb4x4iU+NgEpX3P8lAn8MVfNLeHN8/BbK4PX9zU8O7SG8uS4D2yYfxaVaRtCfl6/upnQz2yrq1y
DYJqWQ3VfyV5b+kvJW4JNMol+9VV2oHRV3ZTpqC/DoP1nGhX+WNCyQm64Z07HJtEPXxCLioOywih
K0qLg9JMPBT46fr6qKevc2XPdGnZR/l4lS9jnOCoqUh9puWPudMaX24jMBzhupR+6oSrTJpS1Yw4
PH277rhpOrx30u7Az5D5KVs/P4o1KGJC5JQv8oeoaWiAlarV9MWRpx5iDeCM5ChkPZ44CdSVL/rk
EUdPys/RTGGuCmuNg4niHhGAcjDNbhU1J+qUxHD/lTjeTwXqkAzsQqmj50QexR01qbdodHE6n9dJ
GxIxdTHYrEuIQKsRJOoyssOA5jlVCfS2wJLLF4d6KyjmyIFD1f0XCtJPEiUKDW3zvPcE6adcul+R
sbVKqyXZgXnfAmi8c3gWglxzo51bowjlHTgPmIn8QRvPucYW3XNdVXCUD9P459IuH/UhTNvsR9m3
vxhCVD+WoLr33h/pLRm7OLuYeSxAg552TZyQ84ziESJeDT7VXGwNMiqXUMmtm/IhLQryRVpaKDzF
3OpQfVeC190mc+i+ItYTNabnm0gYz3Zc0W9UVS48KWZu99K7lFMW03KtXulWMb/UWfhrtMOHEbvd
VUXGPsXL9FvazeV5LaIuzdfxMpykaaQ1SptQTT9sG1j10r+EYSE4JECV/NgJk58hRbNYegXEBs5Y
nWGNsPptatNkaSjLdUxS4yUc1IUgTv4Lp6J1KcP8JlMdS/6UAnLKWE8NvrK4zoe2M9Wr5vBUrIy8
WHVMLaCpJrXQxKU+4OGZwT4gUqpTAYqKtbeF9LOVu30jrdRDeUDOn9903QGHFjvPPh+OfeWFT63W
gvPYRzk0pDLeGd7ccHFRAZKPnOLCefyB2R/MjFL/mNLwkow1aAUxsS9nS6MOkh2+3DQVqLU+LvoO
8xR1UauvTK/cp5zLmCbBGwhBDGetytdwe1/DfsnIggtHTkuyokhN81qhlBzcpCapIgcpodpd9G5A
4wWTQUdUFh+LsbY3SEYadWWTdZ4W+sgIOwAbyFm26hnjPQ46UQQ0J68LQzaS3q1zakXRRu0Rbvfl
l6EomskHEyUnp57IV/PkJw8WtB5qi5qAViGWBuWLafYc3Ue0Rfk2dvkOO1Qp2mIvzo4B7/hV/gUx
Ov3OgjnZDbi91uidKehyqyJKd/WwHS1qrhx1fgSBKf5GURJQhgx0TO4tMg049Vzj7YNC5ubaNVRa
EJB6ZOzx8KY7uR/tqEoNQBf5HvL6UV6O5YTYsv4ui9NoO5e+XKFQJ0oavGoLFmjbtn/ldEi8RsrS
iuiGt6Vpz9sNbbrwfTfw+9XVY85KojLmcowxfx1bTy3B+lF4Feo4zryBFKF8cfHFrl/9+8wR/zYd
CWVUkKS2//4F+KojPY2XbppLsgL2c5TegThjHyDeyvUYKKZBEa3N4kh0/g60r3TJk7PUN67xYzAK
5anBjfILTWXYaOUvkKVAgObsVRTbYq86kT8uRedPkagYMeL6YxHnV8xKqsCPYtQXbzUOC42bNKi5
9YyiTOkO9NBN2NOmoC/VL7bj4z7M2/QLTrkUKGIKdKDUFQZbIMXn/Xi056b+nQqPi4aPxse/uYcU
Z30rdPiJUtRx+rzZLxkmlWo2cdSyszhGXbd8ZKRpfw1dh5QSeERbCTolkdY+lyFmqAwa/azjjN9E
OmN1jw4EAlk2jkg2V7d6OkulEDi1fi1z+4uUM4O2/V0GjiPaqJieVUPwUro8yoaGk4U5Nc4pn3NK
jNDvIjcE8rBY0wtkyPrcxmnmKwYUeqSY1zTn2wv+5qR1us9Qbfi0VJDZwdwMOGcB3MkVhA2jcQ3w
Cr328BT9pu9cDtKMQeXS1JWMqrI0ev6b8VQjj5xRSad9aKfTzYpw/Ax6uhqaRIPKQ4VCanZTj23Z
mw5L73zUrtIf1tgfGffbgIH3MZrVJaua4E2+gNd5Yj2O7vKdAksA3CQgpM5LlLca3MpfV6edJL2v
dY7zWhF9VzKv+szJ2Py9F0uwoS11XTWPqXDE+8ilo9CXJJ47DQPIxAXFpQHM22Zk+75PNcjGjlLr
vHf2/w+30HQYMVfzGFiF7wl4r3edIuDWVOe/q1JOy+s/P4P8CiWgLr2rZVGzoiaQ68M+bt5aDcZe
M2PKaWq9fks8osiVp7yrruk+c1iSwg9X13Q4moRoVlkYw2e7H9idbikgE0TZTjsscXJcWt37Hipg
ETluF36lNyPAT5HobOJ42Tc1ngTqColXq7VDkFvVjnlR9JyYgoKBdhEdvN6b7i4CJe7vmH2WyIot
hajaogcrM8du8WPuRd9o2uxQRBhuc/bGGIRE3AjpbsRrEc0+aOjqgZWFPSVwYwk8nhymwH1L4gun
aVls5l9m1czPLJieFNe8rUa2njbgqh6fAByoSBsZUdPI/LQRul6VDu1q1eZTs6NlOrC6ixoWX3TF
RVmxnGKTj/jdnDw0dxHnxVfYyCEkMoUSVrfL6dDi97tGTvPDmpviIN+pnoqCk2cosPL9QHHitoeW
uUGjm6/yX5vEyi1hi5+vzuJYh5jZZpLnxyo2j8NyoiISvLTm6e5+CZp0K7fNfatso8Lag/aGq6XP
4TYCL3tKPaqeZuPhDIw9OPFm9aUn8yZPx3La/e9FfjZCRwDN3Tzl56WYFLTVopz1lnNX1jNiqd0h
3bUmkwA/6m1i/R600/V9noy/pjb9Lyhoa1t3RPwp322n189RaTfnoq6jK80enGf6yiQhbsTb1ui/
sNzpb5adfm/In/k5sbmrNOQbBs765H+Jg1aEimUvAGxFJFa33N+lvtDQzRBjGwUGhF02ie/r5nSo
uEqXwD6odg7wm1T22QiM9p4RDtkCJYqoZ1J7OhZDa7tga73EfUbxbkoX6ip8hErDgV1PbZ9H+a/e
Gz7nOkt3lhF4AGu7e0iV15uzxO5hVOkYoAT4HGqa/ZUij1Ni5sZtBMfyL8iiKnClp/w5ii6PhZEe
/1R3Ro7kUOSeIkiIsroEpiwR9PQUUKS6hh1D+opCyuim2NiYWUVJl+t85ZGprEzBf/4czMc8Jvol
x8Yg7hqnp23FDOG72k79Gxoc2x9TWfSNBBat/00H0pAwWbUba5DYDBSMr4YTkbMInX3nGsYjq69Q
H3wY7gmbY5rVOn8wqv66fqnCpPS1U+hy4lodALqdB/xcxaRXJQ0u563BoDhn5BgQsQiIjqF4e89F
yZElKR40vWObxvb61hadKbBsSXwT1d05efKZdXgjDwYknqOERmJoRVOXPS5Wbby5yqxcJ2gNT/gP
PxsZfBCt5sQZTs40bFYTKj0JC/W+mPAYM+B+otCt2icq5yFGq+xSuinayJCZboRkhuSXSaVse8q9
7vMAehy8ORBTaS4Ovq+CVdNQJQLz5xFMAwAdMyyfWNvKO5rhSb5bxEdJyNUWBuWltIY/Ec/gzkTy
Eye7yqkyv9YmnT+OzbSyogslHyILyhZ5DUpN5EvgEh2nxsra/fsMTTqlnYJsyOBa5bbHIHZs0Qh2
6zmsDpkqjhZWzVoDPVWm32Wib6wze9M64LsLjEK3Il9INGAp/igwfyR29DJpj/Upik/kkOrpdF+m
nql7nWf3NAE4z7fprM2duy+WJT9buP1OBo3PMkeLLYJ+RgDz0E7E2jwnSnygIJtJqem5D8/AgBl5
IRemyLMWGfwRzwrMs7lYLNNqiwgg/K5RqCxbK6UAjivjtxnQRSKvIqw/l6xv7V0ZTPTQisywVooO
bjvrSTun2H4L3TvrGgc0s/FaOltTdSfwqEhjGr4k8VW5mNckr7RdVkHNQJvWXzD/giUE1ujPzGY/
4yJ/yZ3pIO+rMp51nMjCXacGnBSwefC4hAuTKOO7YefqaxyiPXEpL1r6nUJKZxvNNhh647c0VGPi
2vc1IbzKCA34aIKwMJnjS+IQOZFAbs8jqJso16wl+bzeo/wwel/u9ANqqC/2TBd2PeU0Z6PFDlYc
/0ymDhdouqeX4hECATms9vwmI1RWjPfJbbwbg/zyDqj2DvizfFEQvHf/vlLGDgO9CcFqtbV4OnNa
r68pAa8M9TDZdItKU1et4+NdF6gsEx30dmRd3d6Bc+kZ9nnm1PRi4UtjImM9E6/sXpCEu5cAUMgp
Y63zHTZ70tHhAO864rdxdkXZTetmD0ETjPDixdS8qFT0WtZv8HE8ccY+eOmN8l1JaosDfT4fS3X5
Btig3tcYtWjQLcKdG7CkKBoQConfC9ocY5wHOaXKi32YkYins+/uLcnXcIyVV4LN+SGq1PluaNCG
iRD8dIi9+hicuVhJapCXZDkbiDDP0Ytap795UGFUsGbrHeT6uEH8zWBoK9b76Bs/7LL4kEN5S3W7
A2tlcOjqlpUSvvgxZ4q0XxUebOjMbjLvCG9z+tRi8621qyqlVxV/Sh0jDOJ/T4uFPiVtUnZQDqcL
0Gq4Pkv7yMPviDHNQU4UPP2NvBh0NJ1zh5R3HRpjOnNgqtYMxq1hv0KPK7fnRccOUP892oRO+F/h
5vmjJOhnjxoFhwS8yEybY7yGRFxuUa8J93nvWbcONMJrZUKbhAH8ZV1O4pCGExGjkBf1WGMaYGhV
H2uXgkIcqwb/ezReqC3JN6noMBg5XtGlPD8rQ2FWIiaQGpPxc8f3kDIZTuMMIbKDZ7cpeRivu8Rj
jb1hcJDSFxhNXADJYYT2iA+UWuVIFNpzsIoU+qD75iWMlU9XOG4KBmN7ZwmrY5rknKzHZbjII1j9
swJDtvHESsy6Y70pKbYVrTE9ek9qupwXnXml3TcbPSMw05ZLT9g3I3PsdmN7Y9TcQikqkA6Mk3wj
P+Y0qO3rAcifI3QPObLXNAX7LTFh+VFs1K/TQsBpoj3i1AVQImzrUhSwJ+0K5+woHID/XnRAZT6j
t/xgmsLOA7XiJCW7HCzYvq1HYxNSKuFjDaO/LKiCB9uy/hp1+Z6xuEY3qW5trYDGUFUIYKnon+jA
qWJcBSUwLJSc0oi1X93GpoYJana/q3Y8HtenNb09hHODhxWpkA45J2/l705NDl4DeVdJiUixcL1J
jEGhU+xTd7MGC7R8L/t6DPn+0tgsc6F/gxFNEm40ezHZ7odAXD0qRjljkNAaDNX+XyyNCQaCBIxO
mN16L0qWWXlxIW0JsjDGRmqT5g2rdPZqTu4TtUJ5F3tLtqR+JRg21IlW6Kn83ZVhqh7yq3rBeGSO
hy7VmjXbIwM+HeQO2Nr1txX7yqY8YdNfzd/0FE8ZkscexKD2EkK48Pk/518RQcxVp+eHUk/RW7X0
yp4mTJ9o+KIY3L/MdN7CcGA7PV0JP0yvXagFRKsXrvlSlGZThyS/ZZ5L552EcTCTptMRLgqczyE8
TCIL6pBpObEqsF2ag9wXvImzyuZ9yFrlvu42JuTFiZzF0FH0Kc148kWDT7+Hh0UaplXtc69ooABm
O/qsmwozQO39NZnnbdQ88kydt6DlnB1S8QnPMIy+HvgBcICMo4tC4Yn4yPHinnmDGMYpkzG8lDk3
Bw7c+ARyCPoIMnsV0ZyMjnWTyntkAT9YL69YsWcBKi62y6TatLBCMUCqArPgIW3faHUWBV5s8puz
bQ//rVqYppjePrtCq1F9kKdwXoM++WMVje53nWveSUGadyOoqG2bqEWUIUfHzH6mWpfg+xwDjv7j
Tw0y8LOgIiX0ieLMWGTRj4uaLgYtXmDclBjutZ48kkyxGcrwNxDMCA3+leH95U8FA48XIFAbqd5S
jMpuDGvtQTLhZtv2kOeKEi2WFRt8cIzRbCgOclbOfguopbxjFPZN66+QirqnoWZo45JR5uyiuy+a
An5Runck/xbG40ck1HuVHpSVnZI3WAMnl5K1Zpjfa8MRhMTUpRVOnhOER3deDFxRcqo/I9vfk4Xt
2wgBuCzdh5yf2A2W09hOMEKImUrsDM+Cw9dF61z9UHum7vNxvE3Yrqf7hI7fTe5p70ZtBbfO6PN3
yhUBj3vjc4CXRtqEGb60cS0cs2gNWl7apGNz2ebTMVDn5B6m5lMuh7pLqgKVBNyN2OP0ikpnKX27
24AD+o3WwJ577pW9n7OPKlu7ZCR0LqgEhFXkd4+M0lEXNUoehwYWCA0KaqVfXKWufCyDjai2Y9Jf
jj+mlkJ4bpcXKRG3gIFJZQKgqZVdOlklUYOmPsfawL6aegYKkgZQgW5rPKcwG7F+DTcnIukbmDqh
6jEnwLK6TL1yelAVoISa86IHGCd6St3PcVJCCx+yu+rA72l0Y2EGPZVbRflPwfhFDZz1c10xOihJ
4qee7ru+Cq+cN49zaIan0WIQJls0aBUfVgdXKlwqfIfNtX45UH71zPY/msa5YXvuX0N3UT9q70uA
jnRaf/5UfQeHVdYdxuwo110NUOeFauRo2ziOvZVrryz4HqrxIoUgm9yqP4yfpZ5Fey+22/OihnBI
wPVtFET/J+QjUCh54WzlW2+inZ2Rec33MgFgLX6W8tgIl2Q+5GyKbtmmIj/7iV84PlV4cHZWYORv
6rKA0fF0CjwsdysHDQSBTzioiRtXBdwmyPAbWySzm8WcTpJxpi0qIJ+0ee8nG6rGxBAvdpuvS60Z
t5ldEFbQu4UP5ABJefLlW/mimMD3EswQejbPJwfc1SGq3XkPhheERj3nfllpyW+b42A4d+OnSvsR
U4xHMVMjPYmN6iBeHDuZzno1fI3FBnYpouA6kN+w/i8wJfNTphMzq8TUGFdF9srw4oeU+7SlE+B2
74pIaB8LdXSOMWPCfVHS+93MJEtiZ3k6RsVzBiyJTBjZlfOINc64i8cxWGrrqjlR3Smfe12KxmnP
cD+7mqcElA8//ERn9WzfjtRY9K/A+sNZ+TWfwJXVkLP3eowhn1LQ0LTNe4mesW9RrIWTudrEjXIt
0cd/9335NkUekLEqhv5vUnGT63CoYjIHcVBU9y4KkbQM1756uh48IWA+aY7Kf2lL+TXerrN8SmNI
ZJafHtb5V5x7xl2P7dmvRO/bolrDBkzO9ySc662c0rsK8fnOCJ9dy4WXacsPQoXVdopcilqnTN+u
j2Rdi4OdnEymAw0VfYyvS8wpvdmYHtBj/YYmnk0tEnX0g+enTr4Np69GhEo8i/UpA4BMBLZXDqGZ
jITHmpOM/qbkfP0695a7slQ7OpA/85KUKG1B3xecz3EXP9V+eACs0bH5sfGwGduKEqrwlrdMG2nc
bveyWGEwUlrJwxzYlAe8n1mJdon6pDo6ZnkZ7FA/mTU5WEH9qjMgT7Sy6GdrXnzbNo3/0qR5lR5Z
OCFwLQvHOxWODcor09UHwWx65oiRpqy1R1n1UjQAz7uoUPfYizXfoBDV16R3gOb26lA6IZ2IVc3j
fl52TTvY+zE2tnKfXJsI1CDLLdxLKGXgcD88aBu+reQ1052enUmIBQtgFVyx0JrpykuR/i0+t1Ax
7UZrXscWkk5rJRB0wGdv6brqTgY79SRN8YbkiMGlhdTuKfmrZyi0dhkuo181oqXRoetOF97qaRio
fRdv5yBIKQBjs4P00DSnJinLrRXbGOTd9ybOUBE1PHmiuVXpXXwTVRAxMHGinzaFHlUADLjvUMxl
WtiiSmhTkv0XSVDDDMonPaB450MAlxolbF8zNtNHNUA/wggWfrUjdpKC0Rm2cEeLmc6syQZTCjc2
OaamRZ4HYqSyGcpe4znFmbmKu5O4+sskZeozG9o9UxrK6kKC8Uk4entIyt1+Vqrfo2beg4HmI3ga
RIECyJe+5tANUziEEvJhYuvVQ2lr3pq2c7frrHEFLpKwyrBzT8UZhM28N53qqYxmzJ9oSdCeo26T
zvR92PyBtybBkN1QTwt3Ia4Rj1LZ7fq4cbSi+nCb4FpYzIvsbIFKIYCthM0j31xS5TPKy32ymM47
cKHpFEyY4HqTa0BzdWp2EyFDJm9N7xgn8luHVvh7XTMAZVka0bZWOR8g4NAPhannFpHdPYdh/k3i
hqaC/6JxCrpQhS2kni3UgImFjGXoqjYQRAY2HSsNOXO6dF943vSCIw373vgRWKaYtfX1g8hJ/j0F
fyFHtJGZzHtJMlQZiAEzw5ZvexVSvB6TLtGqfuPZ/PqCi0PUzV/oQvEK6GRyPt3WzXDOM1McYKbm
XA5Vsi/qBW2/zLHw4pO2sXvBoC6zK6esH5K4hG/U9O24YS9aGCN1kuPPKMkPy5K4twZQzGUouYRm
deyfZg3zCBpgcGxj+iqHLAx8eZdZUWhsOiuufLW0v5ILtH+zlTspyvKDST1uCwrKT01tuLtCAKSV
NN1azXKrLJWyIHfSTxEm5U3t5H8Gc9A/MJ8QV2mYiA4hNXJ2k7F5FAb1vGCJJ5D/fXUyDj0HKboj
Hm033dahJx7RfhdM3rbNg+hcxHO/wUyxl6tnnuk/nSW6l2NrvcNUKw4dwOatfJv0I1hb8EN+5zJ/
8RKX74fAksiRJ/nNELi5yWHOipODPjFALJvQBAYTdRcERdqBaHR9DY38UowKVhLxLq66kr8wLZWg
6wxdFfWCAuPiBuPdLh2MX571Nhuh+ipjaanCaTdOlvyXgvV7AOhB8/tNVtKC211uzM6JlXNruFnf
fsiv2slcXqKFtct05t5Xik7ZxPavxFjCg23PFS1ZYmY/FzS8y40sM3VZXdWB8DkCb6P8Dbf9Tk9b
2pRNHSGldcZdmHbO0dOS5Q2D7NOIxuk+6hkZldw8OwzHb5XqamyMxCxvInF/XGuamW/Epc/ViuON
1rytPkGUD7hUDhE6zphElEmJCxf7ZIXERgGsYhFEEHOWoqUYLhz69IKXgKS3bl0d1XuEBFtewmSp
mbAZMLst6CLyKk3outhxlv+o6RM4ZxkeYXqI25ujGu/ck4xNuvEnDX/as4rw+mOXtalLBgMA3zHm
ZzA1qvoB4qDfSe8C/JJwb3TFuI3Lyr0F7J8hIA3JxaFfK2kZhMvnQqUEZ2sB+hqOhKgdCsc2RWa8
GPDQv/XORY1GuBPAVM5BXP/MBSVxxG1pDWfmcgMUvrvrjJxzDV3n6l6UrYNMu18ti03T8mAcklPa
QsYWX4RqydhkHl/Yx5nsoE0aFHvnnk7wtrvau5ekCrdKNLHZrhjxXUjaMWDgQOC3klqkuDWS5TJt
y4zOHplCgj7WAb5xrwBJRe0xWSXpEawbZgxS/1O0PD+bthr5jqIuH1qbUQqp3NT+4dpDea5ROe7l
jPUeSMYm0YvxQ36F4wyLzASQKNW0+Do20+vqk1ESNb8WeUTARnWTh6IUh7AzBtbXIn2IOY+6CJLP
7Nj1PiMEtBmUHFdltW2sYvzllhHFH4FgobcTN5w7vSYL4aXACO0NMl16iOs5eAMOsFtHlQGO82G4
pbXWf7KUKgfGOBnsX/fOKoureyyqI+QNxpZheJJb2FZFKAp41h/i2buA/dWZGDKmMgqEQTaOCtva
hoTASNm7zKFOwE3Zv+grMwwq9tugd8L/rL3oKRt40QenQszEp+INHcd2AH9VT5Np78RvCIfpziwJ
VfVd9UaNt/GfgvbFPwUVahkDZiU1XxRaxn3dNavPKnKynQu7+CRFfh4+kEwsCDhOx1bUtOpXm4rh
bS4nMywBE0fe8CWwwy+ToINBSW42DXjYEazMqbXpIFJqXfMrLFQSYTaLCjHDtFu8A/q2nZtgWw0F
9vbeea47lhKwnEJPSIoV+ea6n33CLzk0cwynElVy6QEz8ECN/TjndOWQHHyb2UeypVt+oAxZZIpo
9BCi6zXwnNhvlXw+1yLyL/YEZ7Wdf1iVTXqOdgspDYyd0z6ylgPP0JpQ58VO2E3K4g6jeAsRDC3a
ivWL4iwVhkzc2AkNjNyLy1tnm82jYCS2pQh32dUDClpZfVoW3qVc18xt3HXZi9W+E9QE61G3M2kw
hhKe3nwojN0ODU04qTtgAR+KqzOrwTmiBc3XTbfhygAyLgMbhZu169tkeSZ0mrys6Ioi9HZ9kGAs
arVdL+D3YlmIhpJN7Ox+xrPbYqrVxq0y5CF+7+aCMqHcsqLvnqWDk84ewiv5E/UwLPNvJBU1IzIg
pkJraEJs+NKuyM9TagSPsWnOrrFh1pSnPgbPtu/0H3Vcf+kFAasexktrac5bHVS4le3jOFcM48WY
PtOyQ0CicNMaQ31N3aa6MDF199QbqLsOGg/2hKm9Bv3YbQYRR9XgQoPr2mpzkXzVbO2Lx/jpVz95
WDjABxaZdY2FihOKF3emsVEp9G0Z4aGt3NZ8NBG/65KG36ES2Yd1tSNs3x3qEXIBMkQmKIzJkw1A
3rfqMcefQKYccdfJY+PDpOjBxzF+HQR9z6kQGuWV5xhfF6d4DdyshnwudAzClijqeQXBQCTEwka1
zrGj3FPtAxnDeZGgiVElotLm7IcmpWkPqInY6eSYXM2hXg/Fho6W9JAKT0ryxyEpvp8GIsHrb2HH
VGpNS4GEKhqFh8Lsj2nQfJOAsQFBGBprMe2q0agxaQ5AyewK65tg1NVxpMJVMo74A5tXBTbtTqna
GQ8Q0N2VV1Vm2NTr7EK0vj+GDUASz2y+YkfHUkfwHuRmj9JQjzy0TDM9tpb3JezzPzJ2pukGzQxu
aSFAeUj8ISbSSH/WAdXKjoJDnUlVD1QUH5xr0aYRVGlxyzT3q67YP6W7ssndfY37r8YMd6qZhCA1
W95DrhO4ZbstDrWcyUqBfIxnhLW0eDdMmqiTmuG0ODwumDNWrmJmhxV6G7yoTiF9gX9ERmHHUVTO
5RiKmq77AauP5j/a7lfcEa4TRg5EWHNjYgopjqDiRVOijc29+CUwHT+7ha3m/HAUnqB92mADJNPu
6yRSDT8LWbhUHR5sHRnzt6bTvi786QqFIJq2J0Wz3FYp2vkfxs4kOXIsy7JbcfFxIhLtB1CSEQPt
e5LK1jiBWMNA3370q6lpraOk9lUHUPNwM/eU8JyoqJI0GlUBfLz/3r3nWo5/5RRJvzPOmZc7EybH
/KIiN2UzMxlSdWkvfSIOz3pVMsk1mpMaatsSp0+NNFEPGXNJdxlQLfbDm2b1xuLXX/7zH//1tf9f
/kcOvW/w8+yXrAHkF2a1/PuvhvXrL8Xty/tvf/8Vmbbj6JZrW6aNc0czNYPvf/18DTOfn9b+I1HK
QQuovFcui+bU08Vhib1DN4fdfC9Xk/EbWbvmnsSYg5V55LiFyrht0MQjuurbhW162SW0oi+3nUUo
8TA7xF2sypw8+A5oB7Wu65JIMb/hHspgl2JsIYzbWM1aydTGNdc6L66Pum8geR0F8G+4Dpaz6t4D
yjOs/uKNq//NG7eFy11HtzTX0fSf3zhwL8OwWzZ/kag+5rdqRfpjmjvjqUyw91QWhgO78LqjVT2Z
Nv2nONkIgwDHXHC821gdj+30taqo0o0e9MlD6pNdEHX+Bm8ZCWlhsINK2dy5WigONuM2CqjYfmnD
/sH02NIX/lan2R3AAfCr7b9/e6bzp7fnEgCHCJnAL9VW//j2wpFoj7JLa2oagkn8IOkfSt9/nkcy
jgUlfdwEUTBui0KLX1UT9w25Ng8iS67VPDvV06PZMjQm2gDvtx4eU6NMlqVeffqdEui2pB+6RrWa
g2+S0Hyibc+SgnB/9sHSwA4PBqWIoVbxd/gs8ckwQKaMHYJE+3OpxI+zdQr0QZvX0Wvd+Gu7LsZX
t/LOZUK4R1HB1fWm2rKYAgW7gngoxURD9+8/MWH/+RODeW3yUekG8V2O9vMJQeVmsSSMLQbkCS0Q
FA1wLzQQi6Ey2+v8oPSasqgQme7ml7AFxvtMf+nG/Uz/RY8SPk6UE+4MNUH2PWHFkkhaqQaX+aFz
KxO3mZquTEMpT3nPRN5JbZdkH1MAsp0eLLddwHnOwDRV3sOtY48gdLz59bhDpcsqLpuNJmt3LXWz
A0oUJIs4xHeVl1G4YAxVvcdqeQaudMxyU15QkRevWn6x1TF9EeM9WSzdfZNN728iKo5lR8GmNfkx
KwgH7KflVad/ulIqUsJnJ4n0A7i7YwWUYdKZYArYBOybT0MsJZ6VuIeNLHdane///UGZP/SflycO
hQE/zXBcXPxiOs1/WJ58eIvoKiZCwWgR/R7b7c5rNX1XExsrm+Gp7wIXDjW7vfSF7RiTDDaDD6Ot
75xCqPdBDN85gT7Gxx28mOro703FYXbg5nKrVqJbN9hIl7XNvNm1bTJZg667luTkhF7r3M+vqKrS
fatCzjeCF8ZhBv7Y3DzPz2iTqcs+bjCpBE556tg91wRk0dTQNzOWQmqIuONgcFZ9hwhHLCKmaqu5
19+GVXp0sXTGRZBfM+5kedHr9xKcmeWE3bozDP1sQN3a+1q+aiusVOzJSgbp3X7ulfY1bo2i1Y6z
ysUeHLEc3fqzO+ryatfvLdPOVU9WyMUHokCnMiPSpUeEAs1g3DsxiBNEvHdNob7Mv84yknoxcBfy
XTffoyct71XyNV/mI/qfP91x5HwH+poXA5broP7Dy39sP/LL5/RD/tf0r/71U//4+SX/6PsvXX2u
P//0Yg0wFOJ/84GS9EM2Sf3bDW/6yf/pN3/5mH/L01B8/P3XryjE6+m3+WGe/fr9W9MNEnPVD2fs
9Pu/f3N6A3//9f/97/b//p9vMs7/9G8+Psuaf27+TQMdqaqaZtEwI1ry11+6j+k7mvY31bE1U1XZ
GxIG5HBmk6dVB9NN+W8qN6VffwEuN722rL8ZrGyawzJOyoFjW7/+9oa/3+FvH/B/f8c3pxvb75eU
raLFtkyWeGE5jkEBIH6+pLS+JOnS0fFz+2p2alIqJ7dPmhNCj3Om3jcBWIC0sPRlrxs1ptd7zSXv
EVNu8OhT/Fwxp4C1JATeyfVbUio6fJo/KCmX89aqlcgCsXpds6nlEkhrpOWCYVn4irbjijZ3YRF6
qOLog4DMgmlm7HXEs1tTkPA60FSJuHEgnkIQbwzgRSXffEFbEmCdA2GXWrsgKNvHHw7c98/px0pI
TO/7p8/Fsh1LpQhyjOmAialS+mGpESjb+r4u+5XMAKHjblNY7dwSF6PfwNgnCeGFDKlF2ifmsoZ9
s52xlYUtYS0PK5/VehNHUjwwzamWxAKgqpowuMyLyaQtxv49ovOGpoN0i4C+8NKZ0jEZNNFtgy+6
wgBcbaPRq7eWh+ITfd9wMqf01ExqxslgwPM80oW5vYwQa6M0eFUbcWTgZp/16SHW1HIdNDE8EE0B
hhJH+TV3y/IJHop+7HMY2l6tj09sQKuHwEZiPr3y2lZ9UlJkC3FSPrheqD6xE6E+rivtaE8vgwFK
VDD2cukilbpxvDu94oCQKHKedT6SgUBZ7/79ITH/fEg4IgyzVFNYhm0bf6jRAqivIHFwW4lqoxfj
t1bXvNe+FdU2NQDlp3mkvFo1TIbUdc1zUInotYH0BZWMPN1nspyGo/m71lTGKMD5HOuVdwK0r1+a
ptQv87N2eommRFmVPgiX0lecXV4Q85HkTo4azPPOQVHXr/540RS7eIm5gO88w3hXAddOqa6ILo2z
ikx17uo0evIp6OUXnJj6sRB2v3D9un6ObSCoTfkXpZ4xleg/nbjC0k3dZOvFIqG6cyn4w4nb4+mx
46kMq3AKLuabYa0P7b4Wgb5Ec2I8CzeBTn0ra8x0NYlI+WYosXfjh8JSLCd2JIZ2kBFovrKlhdTh
LrYMbdul+gB9oAkBkTleA/hksngFLpOyyk6OBQXTi9WgJPVUREFEhnVmq51VmTa7cUjM/Qhel8Sa
Xvmr+v1Py5igHrANJre8Z1uof7hcpYz71sTYseI2DrIHrg6XVVadRgnfua7cclW50AZwuOYQzgJS
FzrcFsmUSebb0I4wTA+bUND2GR3P2+cBOauMWBk/WgXtT26Pc1NER4D84McKOghJR2qoGZNjAGQz
n8lHnKnZhrA7hFWh3h9MglkODayzVUt34S/qU/1PF4OwoWyxYluW5apCTBuaHw5zVKh2QbuQ7lTf
YUiwEuNkG+RXDk4E3C3ySpzaxTNuT+dd2v2eHZXzzHRf3blxeE0IvJ8uXBINsTCdJNieE6b1SaY8
vZ4fQlRrtNiF81q62kcWDBqANakfFLMk27lI4794R/Nf/POJa5vcGE1dGLbuaPOJ/cM7ymi09iYT
qpWKKcWwa/cy1NAtMKjb28HQjRV5i9EyzRJvaZoIVFnB7tqpnT8le/3+ULRMwwtFOdKXMLeFiVXW
ghnozKQ6PwBtg9oUxrUkDI2ge73z/XvExAjoaMwvAmkO57wGRGJV4aWyx2qXjMyggmHczgYhBUDU
VrTFG1tGcAdTs8DNDrfrIK8ZzqNyW5Qict5dG4LhTGhgnH4wBuBeqRW3K3fQsn2mVPmLTNxFVmfw
m/NSA+BO+Ds7JrLo+1J5JQEBRr4hv+GhetW8/i9WU124f1ooHNtUdfa1mutSSPyhmFaKPrHxHaer
UmmGJWE/6RryWV0sx7ZDEBo63V6FYHINe+dY2q3xmnAT3JcpUt6mIbymMYnwrOnzo1uvk1M+WxD6
Xu33ftq8gh7B2DpvgVxJcjnNf9odhKIQFvBkWt1z4cT2EYV/uKh6cng631oznVxHrWvc2y4A146C
HLVA7AN2CcJDzBZnYVbFsJsn3SQQZuzKUB2m8FwWc1SBFkQdeZ/MhmkNq5lOim3pVBEleRCu53j3
PCG6KRLuPoTfvFddSUtlcMr7LmqWOJDqYzztRbNO9mt66dFIAIWPdutA2AUJXlbytR2Sydo7xd1Y
Il06RrvTjclHPins5wd2a+4dJzGawMHMmvdcY5SQNwCz2s7/olip+1h2iICaSXR405+rNuY+VcFj
yxj1zZDpec4M7DzS7UVUuFsFi+FahmIEY9mWW4Il4/W8lKeGjv/a1eJ1DWFpWbhmSeBnX/1TkfLx
NvS+EacsL9iSjAF8za73MPvNC2vfN1kHClugKr24JTEgInjzCslgjon7Ugmy4XCbzyC/ac9h2lan
wpMbJ32kpVW86qaL8cJPk0XTtMOdOtDwWLCp+RR7Tr5k8wJDPscQnAbwRtjUgQWtC3FPoSHYbnwf
pjeuSx5EPD4kdA1ghjjjagjd6pqL4i3vnfSdkO6MfMhWHv1YmE8V+qpy+nom7GLdknOJrMj2GPZV
MTEtKuo1bgANXequwODrU+SoFuppZkig66e2mbBee1F0S1OKZqcYpbzGTCGMbrgBhdMSb9H3y1lj
T2wV8uiVnvo+hjYiKQNhDWMvtR6tVdWW4wR1fdAS/u8bfaEv0PhlBZ3BqDP0AzWXWW26uL3Xy9Z8
Hsk9x3WTRk9hIO216Y4bKzaKPaE9/oX5RLLSLa/7TA20cNWoXqdREx4SoARgQKHxzR3T+aU+3nt+
TJk43c+ZDXz/gSYzmjtLHZ5GGx4BHL16W0xXLrIYAtLHtTMM2btpkWuCOxiH80zBSKogPsJ1TQ4w
2B6JxSwxmRstBa16B2G+u9yQnMCNk7cETBxuQxymtalsMYgDiw89li1V1hvsAKvBtONjYZO10eXI
WbIupkE8yTc1Y0DyMCXkGVkmD+6kIwwV/bdIyF6Nvuai9s/KaKB03XB11oEN9XO61HrXh4unwjKY
V5A+KJZzl4gRG0IJOhDNdM2NOImhrxpyg4jWQSwIgicoEr2HSdRUH8rQeLiQZIIWGHUbhYh3mZ81
ZDGsRIhQTa+0v+hYWJr1c2eRTZpw0LvTtxCartFZ/cONuvEILUSJqS1vzJEgFsZJ7yp3q5YsDOUU
65aMojzbC2Von8fJwOzMoFWfRewm9K3rN5WgE3Ye8T9dhk/5UK51oN3neY5aJMXjzVqrdiR/zdK5
mTpekyhxjPLFGFrmRQlj86JZHtHVHtumaTigdWp6NnAFDtR2O8CT4+QSto6FmT1XtayJ3NEZk1hV
fTd2r7c/hUxZjnOjLMfesR9hSCrLro2tZaVNyMue9ZcAkXqjZ614G7tk3Y16+yUI2/vSrb9lXk2T
iIDRq14r707BtWtHMSy2jkEkMZHw75v41FrmBri4v5oHX7qRG3iq9Au8I3PtVwwY5YgqHCDmFKqA
xdKrk1XW8fNiYkGm0XhCEFNuItetSRbIkt1tHawj1eG0U/L9xIpejMNIfKrC2KKgNX1Ny1RsqqiE
+YwUoArT8Bo7oOmgxjVrNWnuRNiCF59i/jzVtkH49gvZyuTbwL3qfFsm7SGD2ocjA5fb+G61yNag
IaHHB0SxUaHArPOmRa7RhjgutUIsZd4yYLb8+s60SRozouhF9/EdMfv6OssN6VMouz5zHoqhcMy9
4+QPpSz73Xw7jtLsNR7ydEVHzCQPTXqrttb1S0WTe5cJNF/CHvABIGAsdTN6HJz+a8DO6l4KODKl
5uyZfCHEZfUAU0Cq+ep2Fmm+8TZfZyjiGfxK69Ky2R8mcfZ82tTTuVMzg17c3nYWs0zepOSDGr8G
el3u5iEKUxNC1mdB+ijiFnD9dC13OO5L/IvYu1v+46oa3mfRTdaZHd/Ihx9yriJRtEf4bt91+Wit
CLCKbQLnjIAooomlbEYVJJ6wQ8XFL5+ULtVI8EtYtYIMlQJB+/RQlVoB+YILfzEUZbhJQPrOF8r8
INg8b27fzcs232eEu3AO6IRJDVJivY6Y6IQNYk+1fVUip1/gqMreCFDCBd2q6HPox+3KkRWbMpOC
kNi0LXP5O21wDHKL6uCTwBON0AcAIxVg1TmnecZwe9CHFCRnsWnCKRa8Zoo3Fn1w0XUTpQJTVmHm
5j99aNQ10rGXsVTRolaws0W+te3mYpOAd5xP4p6S91TvmeSjiCE66hpYuv1MwLC2puuEPTmo96q0
63uUS9XSMj9UjQTusvwmR1ucC81uN379BRmxfPeDMAAgXydruy/xKbBiSdQZeriMRCu/oM5ZzdK5
cEjTNQE7xsUlQ2St+8w4mXmQx0jy0oYuwYIYGfNccFwvjpe4q7zGsk06CgYBkZafHLdi7nX77Dui
EXWL661Kh34Xy7HaZrk2bKj0Xtyoa3fWUDzNQpyUSCyQJs0eOEHsFiq+Rghqq8xyQOukITnCZW3v
GPUaz4gGnqOh+tamIdth0xvdVZFE4jbdSoO623Uh8FS3N1Y2DowrZVmPnMbK8Da7ORAiHXV7Epef
ktamk5zNcBUoj8NLG7uH2RyoKM1Xbmc0dpoYa4fTfVHatlrltvxSqawyRfbep1Lfx6VLcnQQohdA
MMgIrcaEkjHpDr/nMGZdMTwQAN2uh6J+mIHJt0sMQOZwb01VDpqez1kZTy4DkrK4d4wS7lwlzX55
u5V0fOw3jRR/kLPs1OZxXkfTmH1GahvBpgPWOi+VWvsyqn2/7yPPeZAh+8a8C4xL2XAG9rEUh46r
fD0G69sC2qi2fyIiMcDs5HOQpojBPiw/walGaK6oj6NrhLuoMJ+iFuU/K5r54nvZsxsTyF2wgs+K
haZ9yof8s6mn9rehVxcmQNFNOrjjUfpevMB51t9Jg1Gv4Vj3yHzdNyTi1gYZNnNqTzhvg6+fRUfs
0kRgLXIn3Bs9NkoyNcs7+Cz8FShEPN9Sj0Ng0waaXH20eVPKXzN66pl6cC0n+glni/KCCXKXIRPZ
jsJqVz70RH8U1Sda3t0GfKLYxJ6xrrAWbUOTKwhJrvGclq27HcZQX2GDv/KxNqda/2gk+8jBNLbC
67/GePrWyPpJlw/o6CUsF8ugUOylaDJxvX2cnR2HG2Lfu2taF3faRJcwgOZPwxklhlwZIz052gHj
umb2MNSpUm4dMh6XeWrk+wIe/prENdowX9GGIF1NdeMuDZJxlykhDDLulkyqlHeVxHTH1x++j6Ej
8eJNeE1QQBbKqvDJnWZSjikWrT/gxIkr9JQYLSS1Lgl/vUG4vVuJ9MVQ4vU4+XX7MSdyo2wFyDTN
v5+3Kpht74a8ebPmCWYoCfRwgxo80yTPMF0PM2ZUf1SV/S41ArscGHf3/jhBi//1rMsssXaF/UHp
zwDchAtQaUl7DEi0nfVMiuDy9C1toaKxetJxzZy1gMT3+STRHVLFYqMV2JFD7Q0yvS+tRwIE70e6
WWsfDAp6uJB2zTDgkW1RN1gN8t1bGwzXq77AKGTeBUY+lcnSWRaKFdnsCcCnjX76lTu/c9T8VCxT
le1NRpgxXiVqyPxfhaSWRkQcBE2wud0N/ZccxX9PLZwTu/46PxsJ+AHSae2cGQ+BcQH9PuiluOf/
ud3RpkWzLIY4fLglbsMJ4KwkI3szRDBL+8QRaycOqmcCer71uQEOZVZtefYDFGWSWiqPDKdiImaZ
llwrrtWiEDFRq5WT+dNpTexLXLwRbOOl8DqgPoQ8hXb9pOZjvg0Yz09+QPOiesqHYyr1rkbqazrI
G0yBOKgUoGV9c+GBCDyoIfkKo0WWVAhyKXOcY+A1B9WvR7wNlnwkzqMiJHJVEJqdGBp0CUJsteP8
kIcPldUCePUD7WTZgbG+rXbAdbt1ULrxSdhjfIKwDMyk769OnG4grPqL1FYQ/DdqfqG9LQ6pp1xT
Zgrn2KCbERZu8zn3/WVXx94VREu3QNRCtKceKi8QVqOV8FrzXkSg+SrCrLFfRPalLeNu1TPBOphl
VV014d27/loOavKcSxFcPNrZZpzWlMOOvwepnz7VSu3vijb94qkOYQeYQQ7dWNpvMbpRkCCnYeTL
dWVWR6GC2ksskb0Ak5h3QzH8lmMp8MTkVgrJikHtXDS2OiEOoUqTA5cxjts4Otc081YSMfe2ALc0
eULsXWFVKbIu4MRxG9/NbLoSWP2+7YYfmHUFAkTyiIu6q1cAGAUXTzkuNTZIlWWVxKzSjbHhylyE
qRz5lFNWvyblSDBdZxxT7Cs3jFc3ZQqYFdSsEykmssSXqieEp8Z/cMlHN72MqqQLQcPsnOfZSNZd
Hy1QSTsbdRi+jhO9b8R+sE4itsW3qi+1Y/ZcXdkS7d1ND5ZLhcxetiy8U6V1Z4reZ+FF7h0pCdZL
WTx3nMbPTlYkVzzTWHaHTVXF/gXzunzw0JKbo39CPkA69NRNYqPtH5sWSfPsCDX1oDzfLvUi1nAH
JCJ7qmBs2432ZEpbe+rC4l6tlQMuQOU+BB23oVDRjya+3kXug8nznarbsTELCSEB5w8kAUeR6qKo
MDAkKIkDoKgM6Dg5thB0xEFODJV5Swp1hPVcxzil5zug2bv9Kfbzwy07PnMGdVtVZcAZoIbnQmhv
c0Nsxp2g+z2VeR/cAToQOFKIQro1n3I37BYWv+TWkHLLF9NOoseY3BbGH0JeZUeiZC3BT4igVCbw
xvgeyF3jEOGjSw8IKSz/wqcgzvoR890E+u/qhLJ4THWg+LxMcnzmzVgHG41eQLaJknTnKychPvmF
VDZdoATHiMqOyLHpaTI/7UWLYgcHxK4R/V6Z+CZhkGT7QKkJFSeEaz7MJrXV1k2qtZbrYurgwBMq
8BMVCwW1/ZbJabAMrIgZ4hBrJFsV9meQTwQbBxBIkV5qGzsmj+xmkKoaIhTYPvoHEicsCk7JTgAB
3ye0nC/CqttoadTWa6f16tHtko3bGTGBLbm9VEt2KHE+9lDdSrmTEQqmuOcYBp57dXInXczmFA8n
PpM+xnJQ/4drMDKYJNLL2ZlgSq6q3fsPcUgCNLsX7PgFYhQzAE+KrO4CkTpcD27WPNc40hZWZ4Tf
mqBaZrLD5RdkzakszfS+LNt3x40T0uQmjIIRIIhJbVz5OVSh+XNAVZouESvvs4xySLCbf81771mV
HZnxnfuozh7puCZIU1qgjscYuzMpWTMopLbiSd09ICeYOzCl2d/HpIu5Unyeg2t1grGWmqRLoSHy
W8GbcUi+KM5hl2mfaoLI1k2sQ2RRBPS0FNaO40MaQxTFJR+X7K8AwfhucCd9pXiiv50ePb+/u9Gz
EuBa5EoIDqYL+X5JO/qRQrNYhVOIkWhpn5eol2iYQURwnDhaz0pdE+fkooJ6wHcRapauPdksq2Wt
qNQAVujYLPzYu7tJc2xj311VowF6LiyzJfkZ8cr0Wx16EOfXlGpvGwjjB/zQ/Eb1Lo4MG0pbSm3l
0Y4htmRdILZdOSMuCYP2ys247HG3WTUD9JOqy9c3wfP8I9PLOKkR52YYGbxpAjEDsQ0q1D2evn0t
FdKcbc/fdJWSf3ZYECdxMrLAJ4aLn306fDBOSVuanlGkZy92nMWA3Xj7oy3lsodOfNb7yDw3FaiJ
MLO1Lcajz6XWWUfLQ/4yP2sGN1n7o0qw2qTwnD/gOsGkGLU1VrNOk0tvyiWYH4Bh7zAJjAe3BCrT
JUm+FF3esxPcZiLI6H+xAleOAg/ARGRjZSrDQh315G1DkU3225qQKtwPSFEExCMNb65hGOG6JZH6
WR84yZaJ7Fkx6nuV8dR970HD0hHX7s2IGXThNf3FDcf8mkr53NtlhNIXyTnhlv1bKcMVkWzBS0yX
95RKkI+gCpU39mBrATIv0G1vQUJNtYO+T1kN9Oo06mV67pXc3jgEyJ9nn8j8EGvW0cN9cRfG7bsS
Wd4Ht9yFlN54f5sMeD12XND1UBt89WufJBkjTaN6YTDE7NSaLjJ3qEFjjVgN48llND/Vu/ra7yID
IIMReNEX2653hG6g2+/7dlW7mIxG1UuOvSRbMxuHeleMWGxvHWXf92N0AA85KEW6XRgLdFpOlHQP
UZcHB9VyDdA/U+aXTQfv6E4Pw60MjAl+tScs4ugn97oeJUitSfypo8Y5jBy4BTe/6ICngKyxafkg
+4audAxmaoopnhOL/ZeMvDZYgc2orAsypM+BFQ/3ahd8u21JfM14mUXB3sSotPSmXYiO/nw90IJr
O3YoOjeIXNNe7KwbN/PKYeuf3dxX3kRMLtT8ZaTJAvvhhDQwBsuFUu1dwj5qPkwtPaK87j4lnUhX
lcAbZyY9JlPFWqrc6S4Ie82jHNjpE3c37qGSQQnuwvKaVNz9LLX0v2nKNXScjdYE5Q8NHMyt6jot
Mc4HnW2fw5HIrECq0Wp+qQ35KULx852+2CbBuBLKIFc6/HC62tURcNON/5MX4vHWVexGutNAdknQ
Ky3gjexjBk6YvqOXTbiaA1/UqTY2hIdzRVrvVKgyI41WcVq1y3AqXh0fA2ChjSslUlTU8XQZGfkk
56ipH5k+N8S0EDQ4Ix7mwVHaRvHyNkUzgsBYiKRUzgQvQciY+g/SoR1Usdnt5INfEcDgWH57e1bH
jrU0GN2d0nhH3W8+p0lqXJ0w2Op91r/g3VUvtSe+9h5NYHqA2m4eXM4PYnSxh2tWulJC19hmOnjl
uT1glFmL0kR7c/VBufprgBXpudXZXA5tULwWafkMprz5iDgeYSfq3XzPLWoNJclk6RzKU1FX8aNo
nU9UUDm0y6q5BqW29Atde8rN/Kdnfe8sJMpQYsbhcGkqydWLODX8Y8unNH9NcQ9hP20qs6a7N/qI
BmdV3eVIjO/09qKgkn5oDKXZ39qYhDof8THkl5DUSNxDZQafKpMQO9A7jBAudjZQ7sW8+UC2pp0y
Rf1qu1Jb0mFMn0r8dYux6ojfVSMbr2ijrE3TrPeVz0yrmuDiqUow+80T6nTKxhpSc4nhc9Kxm5Li
OQOB5JvD0g9EsTVGuK0M1qPvNMpCj0/htOkDJeCv8FACYZ4eVHvwdlBFqFxJLkGynGFCFPqzmWLf
CzTvLu1G+RyF+kPseOrd3NuZXkH7H0+3U9cxH4VojjH2+GsQFLuONvl6XsxRNBHWKcKH+Uu2obkH
KwbKOve13cS8wgZNMNudI9SvFSuayFjZkWD1gxfuUwvwjmVsQZJN4DJarbEL7xEEpLuZXYV4x7mu
6+AYYhG+lJX32yRtrj0GiPH0E4ii1WVPynZTqyQpsKGM5YGKV3yYMbyZgJWUI3HnJIa1biH8b+fJ
hSQEZBP1eN9ScCWAntqLEJ2yz3rfwT2EFX6yyBdOZhzpuLwRt4s/123EstPc6jM4mlMbZ/2znxjl
PmGcDFHaXgYCx2lYQQ9L3PiVom+l69CKyzRSd3ZaJOrWc/sNstfv4nci4c6j197p7CfXbVdne6xu
1tozInmyUikQkk4DiVBWw2p06B0vnNFNvt89byti5pIoNdP6KzRLJx8l/5K9J62VabRgByaw9kGT
q3JUHQD6yul2s4oUkxO34Etj5dylxPk9gkvD3lgX6Q458KT7QBoXxVZwykMFqIvdWS+WEAGcd43w
4tSIH2/59WDIk6nD74TKcfZH5GpLOV33LWnRuSWpjXIPHhXTM9H7n8O6d240LNrUwR0NHUzt0MSG
jIhgei6tpdB9jXA04RLo7zwFx9I8u5AIa2E2jY+jbzFabCd/w62O0J0h280nLpU7vFpAjpmJzVSd
gFfpkBiIZf0eUrm6Z/45vKk+oY3YRod10HNnRXFVrOxGhnt6byjqJocz6U01AIgGoHyukOocCes0
pkDdrBKryKTUsDyt3dvhgLvcATEplJoSWxn6rV5E1DFD/THH0sApXydm/yQDum+CmX4X4HYQE3wq
NQOW4hh0w6ySLLvoQ/ULG5NcJTZjBeahQ7CzbOkNnyyVJFvgguOGJecTU1QbpxVgtt8VAkAmNlnh
uKeo0D97GF3v8DUyvNbK7hgrjveApA5SW3pSMtP/mJ70EnOJ7+ePc9js/GBD/TrPzwCdwV6JovBQ
5VI+DE58DYSEYsxklvMi9/S9aNp9Wglrn2rtbj770jL66PAEbeZXbuF+b4cx/u83OshzivvDPKMI
PHT6ntJpe7pp1saSuNntrvKOXlt8Rfb0Zg0+QpW6e/QQcjC8zpn6ZQrYuPI79X0IAv0mnPAMiW/f
FwXuTHwtPpGRm7T04NdMx6lpw2ZDM4KYtUzzzmaXRdvfn5mRpEUZG92hLF7m3fv8EKaIlhi432El
EWvQPcU6kJFOur1IHo2OK7P22mcrH8U6KSvzGo31PzNKwafUasnlJkXSqlUsQ9Oa5k5JXG6CvzBU
DhCNitekK880kzSMpObZrwNcoL0GXRvt+KtVMHIRjoqxs+NLt5HDBM0IU4l2WmgE9lbqS54FNi1k
Gi5Dokd3HVjZjC4sfcRIsjmdIHhjm7ICwsHOS8zqLGZ2JYJPvg6/DYbBPyOSBLnppcyRU6d6bCJ/
M7NiW2bPS12zENTmyqHToRhFc8qKNrTpFicz2pgpwWOykW4irwOwqUnkKSWTyCJAnBBC+zzbg7Sp
HJr0EJiGODah36yqRt/O1cmsaAniCTACEnTtogJdaShBQRg/iBxdWKl2YplLG5O50iC156RUpkBk
JxnNral1pMXqWnIQcWmsZef5j0VbPlvTFUh/u7zLe+3Qqe6asIfu/DtgSPdgdUae7u0Gq8q3PQve
LSapULRqXTpyoq2M2tHCmlguSld+uJk2DVWxTFRwIK6ZDPQNQT7DMYx89oNzMkre1R95qCdHvw8L
Eqd5Nmrl9KwOd31gvJkpoXJKG9pyORAfkSfQVxpAnH6nVqvI1dVDXXUnP0UXUudtSURPg6DXLD/l
g/lRw4LgVvVNJDRq8PweWh02/q3ndWuLyQ6RnZf2p7Gs9HUflcZDolPcumDa9S0aRWaabTEERy8d
1FWs+vaODWhGE91pVoVTRlu3d2k9E2B2To2q3naN9VGMdXWWZY5fuRwDNorTnirxCBGaFViZU5RL
u8uM7TzApc/U0xBmgccugSwJ3dPVHAtlo3SDQraC9Ta3PJuE25pJFt1iqhjmXrQa68MZdzVD1s69
AGinSi1E8v/pOrPmNrlo2/4iqjY9vArUN5Z7xy+U4yT0sOmbX38H5Ds3p27VfaEkJDmxRbPXWnOO
ySR46Si0FhknFUW/ZxYN4UTwPE4gDSqoMGN2U2yotmuMF7kHEWvIHspO55xrYcQ3I6VZuFz+1cgM
TuFigF3nOOXwa3CgY63mS564fUy02jKF4YnBcP4wtBRpaxdw5DKxK2e0IRwCp2JgSrHeZEgCxPmy
PJUFzWC8asNfWErKry2SPewJ85fTLqz/sbyYTl6eq5DggQG2+zyjto7HOVuYJOEPTdcQDulzt+H2
qe9Ir9XOdqMUu3hmNdpmRuHXUR9eYVkiVl9P66oHIG+IWAYew/nhWEL0J6+cTiijleb0VxSyro8w
538kwZ/VMPoP19QWEemfnTSpVNp2IwKpXKGc4AIMc6BzbvpqDhxStoEpLSENZCP60Dy0KpP9cfHN
GXFi3I16KB7CtgkvmtQyquQmI+aeR2LZ/H3k1oKUtajfwY8dGeREvmMk4qvrxOwHNjE/xDBleyOt
ez+hmez1dIZyWw2Bk1Es5hZBbPZUnf7Wj4u91EapxLeIRXOwuk2tBYZOjnkSbtuartYqvYEVch3A
TG0SJfwTpRTp5fiY19OI9K4aN8o8qc/IOMZdOqJSgbX59xhB7IFefibZfbKTh7VbqpmwcGDVe2ll
j6cIQQC0VX36LBp4aVbUvWfgEb2+Dw7Rkqei4p313EFFcZKA84t07bnsHsLJTC5rE8QUxZ+/ixXk
pBHxTfInhbOkjGc8CFm9hj6fA9fVib3K5/yxKWbjGWXGX1Mp9nGdKR0j5VR/m4Ks+Oh0oe4DOVp+
Glf5RU6oIVdQ4tix9lNR9mzXp9KxII9AUrpSmXf+VATd0TDGcZ8CYWE+ZGO0qO2GjsfsbNez3D2v
xabVVumlzoriyZT4v6BzYDIsp/FaKBRsXTrR8VQs6Sud+1SZSXKOUzzk8YLfqmfChLVknLy/T+la
Iy5OXjszZpDR1q+ZBot1BcmM8aTs1eWIGpZjK4on8D2SUMEJduDWjl3UXaYO6CIaj1KbhpOSp9c2
04g3sRXVG0oOm8F2PhBWs9QpxulONC0q+ymt91Y2FfcibsK9Ivnr/Nfm5pte73CsjnNPdBn/FHOc
DZyeeNsG9XzGb25vQ/5km1yRqg9KuyEzGuvZiqJyIvJIS2ehFwni2sKorz7DYYgpCCf599G67++r
A+vMUhoN8VRa8Ni1jA/CVFWPThwrj41ZBY8WodUjqCHyFMayex/MjjlvmcD87SZaffDTHhjShbui
U9UH1NlwdBYH/d8JrkZqzIroymVRU4zaI1SoTnkcNRBnTdi/xIzDXohHukzBf4uCTPvVmS4oilUr
MyQJhJDEsm6m2T5HYqpeuHgT0rSyy2YwHH5pYd5MjddV/fa321vLgHOu1Ol+tXV2sGp1PqtW8icd
43s8gmJAnFCcmp6aLMxd0ExW7MhrmD6v6war0Yg7KDfOSMxlZjKOLkAj+WR6HGI1U3cu6h+yOxNc
sXGv70M4TdsCodeT7FjUTAr8+qCjCVIBjdSt0Y87l2tUCeSVX3RTaT3YXst9b4dJ8xrLmr1Y4ws1
UJUKDhwu1D1KkEDFl6CiJ9XARNtoW4SUHnGEj5LRFfw8C3F2eZiSHAVKgLeeJIBnKMcpZxsAY/TB
zy646A1a09CzioJ8DzXyC72ZN0GuzhuU7j+jlOjzodkoNowtSFzKlZi9paUfbBVSFxo3oq1RqU9K
42onfp8IxBFwEEoJbv7RLqz5rtWwUWg0RzCB3Zw427g94lovGAdLtMGjdXB0+BCY4WXjMuBvSsCG
qvmtZZjggZD7snUCT5N14ruingEWz7TXlY1chOlh6Oq7sq56/v5XPen43Zruj5qR8Erla7455iq/
mXaRQvWZLUfSONGIDalcWmLQUNTHMGJtdRt08QWkTXNWEa+Tv9jQBJ77B6uLf3CT9GtZDGc9qlr+
9lO8HWLzy5nllxHRiAptCP1p9ivoZxIjYrEdEU1y4Tpjd9ukIgn3hslfpBb2cdKVYJtYbXcV4e/G
LHdRP1KlYu/ywuKdGjff2XmJ47JCA9dhLkaITR+EtCnIZykeFE3fG64cd7mB2tDQxW99rt/6AKka
1sbTaGq/mTLld7r/pr9ulJbxkQ6++KDNIPdGPbpATHrQRwFnPyTlvU7jmzOZDzWx5z2F25z3s29r
eQ8Sq7/QlB5OnaGweAyHZmfoEbbP+kttxxuhOe3GnJrffUDvB8vQn6GwoSY5cEFGg06eUF1ia9Ph
aZyNbTq5VMyDlkBAY6U2m1wP4t78HMtqY6cpMdoJ4ySleR9JaWU+qX3pNTeVULgHRI351mxK8j6V
925UD0Ak421EiMYOr889asnAETC+uYA3L5OF7FKUiOADZ2e2o3oeU+FNZZzTKhj6m4x+DAXitDFQ
sydSsXxcETYTuZ7FjHDe6moAftV2ju/mMywuxfkV5rN9G4kZyppmPzShcd6lUnmJRr7SLHR9VfTf
7rALIFRthV3gkaVbFmSqup2G9AX/d7E/2rTUj3XbPCNgsB+TJegg8TtJyOxootHkeiW9STL5g11t
eiWxOXxWkHdrtFtNYf1ap/e2nd84Qsj7QdzkaToi7iJ0gofOVXhnB38Q594MLkMFGlcqhM+bCUGA
wn4OKfypkWP9gPH2K6CPyoU6GbeimBu/zpuBIW2jb+rWMffSjtBEJBPjSk2DzWdx3Rk6Pwahx7Fo
D/tCt6h3td0cdUDoUrsE/JDup1x80Qj8HgxSzOgl0jesX0LBEHescIAR1DiMmHrnICKhpSJ9sZzx
6jZF9DQVQvhlCuhAKq4Xm1VzLMPxU7MlDIw6I45ZaSBIjac+L1OwCAPccOT6HufDHzUOueHZ3X6E
sA0ym99Jlaw3GETk20KmjBYnXfg23WdO+fiX03EsZKat+pmKFjZ0ci+aVdvX+j5hcMHSTRk1Qowq
TIPCAJxSbaH0RpsuiLRDHGbpyY3saxZwpxsMpoomZ49fC77vONcl4PBv7Iwa2WYRv6qpqt4EweOo
FRfUlie6H8FNW2CKTp3CvAn2WY9W0bEcklSLk1KjNE4yajUd6nBuafOtjJhldG7XeXCN9FUYu40G
eW2MBvmZy/CjtgJ9T44wQ8C8OjSluKEPVL3I4BSzdI3+t1Xi8iGfdrMEKTKuPCu6bt1h/GeLLVJ7
4V4Q+Lip+q0apCCHY+HNzKq4ex7U3kY4FASfatstWS4L51lDdjEY3e9JIVzPjsLYdzQuA8n0niVd
soWIjZBngabHxc4BFzKoVXEOAL4yXKf1MgL2JkJ7IjMv/ymI6D3qXZP7vdWkOzIOhFfN4Z1JkbGN
S8J66lK7jPxP+UfK77RU706DAKOtcC85nRsfZArXBAXYSIr4KE8Bqb1J8NSR3ubjNQYPGX2UXT3e
iIXZz7Za3jNZvCuA8AuYcK9tov8uq+BXSDnjj45zc4jgIBgOYg64iocyEvammtz24CjjD2Fmjm+x
HgAITTwq/DQEau0xH1LCgfCsNnIyD6KB66LN3V4zZYpBMEMw1UxHMwnjK/iy+GrEzess4s/WnPof
2QLKEeG+NhvxlIrsgk4sP3ZZRlwfFGzPbJKScBXqBa3RradFT6MvlYnZpBT+sfYR2eGXE8WkJlGs
eWnRvmep61xjFtK+6b7YgTxaEgEmOWLDY/Uq23nYmpX7Yyqb7wJwghZTTMetCYaa2zvEkXwTzo65
xa10TwbioGWDM78t7IHsQ6Ic1K4+l+rAH6shlU9NonuIXP+gzuSg4YR77iMnuDdaW+5nh3lzWhfK
vabltNVZExN4Gx6dIQsOqT0rRMWTRNaQM2OTaOvRKISNm+IENQJu3R1pOGHmDvuwMufLrAz81VEy
npy0/+tFTdMKJpEFzj7WXUZbTOExCeXnbFz47sYeooPwehKgt002kEswpT8LC5u2XdjXub3jF9L3
o0btI7ii+m1dvZZmit41YjGrFcWVfGBEqXbkIOsPyqs4Zl1WneoW10ovlJ0bdLTChuxi6U516O0e
41JHJcIKjxyBmMPGsLkUMfpZ7gg3ZShOrJ3TnYgRc1qhc9SnDr1ZBkZRpe8AHoUMJdpyKcu7sb73
BiRmjB44ca3SvDkJK3VVJXyyt9Vky9Qm9hXR2A8W7UOwkzGm6hYpVTDDnhbaHSc9iyGHIr7dBr5a
ZMZWrabSz7l5oeYcJH3wdDowKX+tM10A/HJhUw79R9eRf2jFMzmJegD9L8xPqbLvY2ETOIn6LDTJ
ZiwG/aqPkizQEcbzYLs7VV/61QC+t+0c7mb+eyg6heLps9bRHnVMPwUHckr1J3toSa0E4LnpdBa1
ppZ+u0QBecqUGhtGCy6k5qKkNUduAsOiUOvM16h0bNIPzWo/5E9lXSKiHtCRzLh30JWbzh79zMlR
HZLa05TBjSZuPVkYG7NWFd8Y+uxchP2idFD7bW61zplli5fqhXEq8G15HQsw0nWAQYOZ5A/FChNV
27vOjMXPlLHBYFb/sSn1ggZwbbLNBtV8y7F3FAifeqLitSRHXZuIk5RAqyiW6OA2zp6sCZKVk2Y3
dhnjGcxpR1tjKqrr5TmSzwrV7KkmYFNOyMYdgkVCm4A5+Nk03bVLpjEhSS3iMdwKrNpSBjEP+TVE
IyQcQtmfnEWdjSbJnwkKggc2cwXSpi+7d4mipmkWDZY4DP27UzXyItLC9GO7iL2aOsGXtBS2Wdob
vhk/cANPD2HV/h6C7AHtkeGVOgvWaC63gTn8aDUrPrkBkhlm2yHOcK3eNzS8oPFX4VkxhtzTckBl
WU2lLK2x3XaKajIxqmnguQT5Ea6aSjU7VKJ4pHrHhh5mDjC38GA1WXp1xyUnr6JkGhvyv4uUXEE1
epjbSe5sM+FQJb/dLayzjDQAAkLRN/gn8h2j7c9obH92y/2tsKXYT8rvIbk3cUUuV5bg0R7S9hIG
NoUu4gas60MxvcmsSDz0jKAPe40zfCa2LZAFzUXkWF7dWONmFDnFMeabbV1HR5vDcxP3WnYI+cq3
MnUsnxH35NsZnjxVa6ntAG8L17zkXRpvnKTHMxmnGoqFMrkapvnalnn7QDe/AwgWVrY4NtE4esSN
NUhAanlaN6re7uZZVsc0yxketiQ7BB2lmq0iuzEU3d2goC53ed89m2nIWZ337wx7Mi/QuH86piNP
sSI5p9aHeibkKVkuWf+ero8IFlvQU8vb/9fzct1L5S0h3Q+//z6lvZGe2tgRLzTZlZcU4WeVctOI
lmeQ8T84F5Pb+lqSUd4oojROTiXD17SjWWA1obtfX5UcaoyB+3Gb6VNP7F2FnErrdlbDaE1WMHPG
NuAUdLxmDkv4yv3kJ050U5G6XFu12pfgmY5OmbanGbtibDq3Qn/BICDex6gBNlGSaNtZrCvD5sXC
D3krVYTLfZRXnhm3jzAebaKfbZTfOByiOM4e9JyBiQAuswVdYJ5yoGPczP3BqeOjQ4d9G+Rz4qOF
wRtFc/Wjts6o1fOdXozD3nRai7NUzbh5lA8uPP97konwoEbRp+za7zoD4WgnCCJi2S0ijTeIcSwB
HdE9KVRzJsqJpoKxqAPonpUgelw33SS0hyz4jURn2jKopHNn5uDOBIS7KVD5zXV1jE+0IW5V1/e3
QRKmGmdmT50Yu8AwXGUFyLnBPTRC7ZW5mfrCiEOxyrcunKg4E0Eq8Cwp9jt3Q0Os3FMCi8cgItQF
30C0KcSYbSYap8e5kAh/B8ZGxpgnh0KjfT2jUOa0zG/vrdSGk8yVW0SPZT/I0LhCBAe0aRAcNir5
4lgqNGSv03WiC3FUdUD9GxvA2HV9oQk6cYbOD0OCt/3b2PGoXde3KSPzLtSXw2bd9+8t66N1X9Dj
tcqmTiXr/H9+yvqCmBQDHAOij5Y+5+n/+QHrU7UGjSgNIHLLR9d/8X99tM0NfTtmqMr/ffbff37d
Vyg6Hh51rnfrT2DpNB60qXrsQiGLTe2E1imSAPppt0rrtD6HDdAaXIB5KdDZaUQdzYxgQoi97Fvf
uL4wijjaSrIrPGbX0CFp3zIVoJdDjKQHiZaWH+6qP2o6LPgxpJZ4ICJabfO5GPEpum7+THRwzf+P
0GZbOBehLT1YafbV9e/D3DA0pJopIfVuW2X7RJm2vTl8El1VMDj9n00vh+KaD25wMI3m6nSz4Q8u
YZMqCEJEAVVIbHJrGl6ANDqgxWk6xzLAXlB36k1rT7JAWI+CrPo5yQbBNBIGbh8gR8zut3TU7FYm
9XemxyYZWGXyWE+uhuyjqR4GzdJ3YuzVaxoVhINCkL+YfZoeq9IWp8GxkNJrnTymbeyeQwRuBwMb
6zVRdWfXDYlBwG9tHdulMylbLoEj0k93aVZahao/JBbh9XQUTlOt/Glzp3+ol83c97i6SsrydZ/F
5P8h5lB+YMCdkH1evnNlr/0ISQCnFJuAavO2Po1G5clyyIVJaMFvNBQOt9Eomhv88P8eDdH3QGbL
kbC0a59V0S3OmoxuzgI9s+ruA2jydIh0bOpo40aE3+Uev3fwsrTAEo1+zsg0SZGEIUYD0gpwCPad
0/aWzRJhj1Sxdo3YkBoneI7T8kRN4D6uG9Ol6J40ddj929c0sJCjXjslWuuikEk+HSMvzpX7oJip
+5Sag/ukkFclTDvYxtjs8F3EE5JzNjOxnBSdDNOsEkq5mkP5yEkuflg3kIDkg9kRAGO3zzGm+R+G
hvTRDNF3KW2Vv7D+Pa370TbPO3p/ZHg4WfvDmLOtJdLgNYt764zZUN8EEzZZIjC/FXsJpKFN3idg
BZN2101x/soZvA+BYJ8rkCP7HGdK5KDYi10SBJ3JDV5TjVAHLHPhRs0rLHGBne+UIGWUKl+kXYaX
wTakZ9LDU3U3eXbQ0YMzlgc9YbGYDcDMowDEWWFMSbHLLI3EgRKS+CZS4h8ZppXdFCjted0oBQNc
KuNXV2aZZydz+ZgviGxr6PRD4bbWXcRgs4mhNdOK8n8qwm84aQcFkfhHVxPSoSDdOXUBWa9xTRTD
MGrht40SeWSo+4bmh/gNwlyPEciMZ8R10d+f4eTzK2m6GRBv22YWMqSHqre1l9aWH+s/orvOL2FU
zjmJBAmeg00gfOMoLFCXh6muRbvczY+ZHDuvsXPdU4Hu74ysLx4bJSsf46bNNw7hfoaRzTsoM81T
FXXNkxqIncAL+bDuolVIukI3/FqfKV0zMzfpBUU9JCiFyfbJoqf4QhzRtFVJzcBQPPfcvyGpOWYW
etzNIJHqtvkptR/gFGKUS4X54JTiKYhC9Tmox69ZYWJfpKF5t1xdufTQ2jwRG+VX3nW3cKSYrwX4
eKzDKE61QtAdVNMvF8K3VWX5D2noBC3P/bxXNNf9iNVxMzfJDyZ5/Wvm1IhDNTd+0hqrOqQUyYdY
actDrdqsFWFZbILAjL/LRpzjyf7VTalyYTAKb0IRfhap5iE223Nn2t0zZT1meko+0lCcJ1oy1XMs
yu5UOmO3WZ/KSqueAyvbgStivZ/ptzzNgmcjCCzf1RH50Lt3n4NAUAkTDYA0Rv0JEw/UJlKoQ+JM
X4xO9Zti6r9afCe+IgUIGP60t1rOjNdaDB66674u37LeGZs2tauPbux/ZXFIVzLsX7HEMEYmjPaY
4S2aStLLFESMd5ggXkZT3efbeR7A992rpT4ZEzLYuuXpus8uy/IeWeVrxRl4Qi1S3tddVm6HB752
bvPLO/59YASiY415cF4/vu5Hi88BHXJ361qmY5v1lVCCrK4ZsayfZ0hqsbAj4bdvB3FaN6R0i9O0
bP49XR9JRJGs5f9/L7sywFyojbv1zfX65vXHrJ9Yd64bI7e/5r4tzjkKU5HFEPTBqQR8BWPi90lA
7mndqPd1405Zc2xYpW8sK1WarVWRKgfRelYZ29KfMk6hGKeTQWAmoynFeLQ5xQZt1B/AmjGpSQP1
R11btmcKReP0JO/GSBNnN+mG64WK1b3qbsUibWzhiZqVTZGbozELSUs/MeBfBs7Zdd2Mofrfo/Wp
2oz9GW4OzfAmPqOb/29T93wtm/X5mFnR2ZZqdYzH8rMtCSQRY16+5Do6HwbG6xM7mNhj4MboYrO7
DB9kfoyHuSn1J3xYJM3aNWIFR3taN05X8wdgdbydLRfPrW1MOz3h2tsGA2ppp6nvtj5l12zC4TyV
sv2aZYYxLexeu0qpjmNrYw9c9qsQpZqCcB6gUTVS7WM6dMarXZog8Gb3LTGKg+XmDGfqVDwEYRmg
yyTKgmJfew+b6UIjxPp2U/5pJ9cVsDq6vRegtQ4YNdwn10Cwvr5l+UFdPLgftcPEvOYizfCTTvCU
9vVVAcKz+CaajykrbqxGwt92OD0o9RB/hDZiocjUk2tsgVOyhaFuex3AV+3o7+tba350O7jhp8vg
2UcXNMKb53bL7YM8EcFtqUtaKMfYN29FGyBZ4GTd5g7mHvKiCA6HQXe3kFfdRwiE55K+yeTStsPW
ywu5RjuiJbFqfcf63rAjR7GSNmvIzyqN9Avue8IqTFnjWFsegrchrG1kBETv4CxaF9xFoQsvJpSZ
UjcjjXjdSTZ2X/jrQ/7+7aXfr49NvFJ+4QAFpxHqW9RHfjL19a1xs181RebPiFEKxbz2y8zl0YGG
gocHh76MYsLpkmKbVoL+ejF8gaSfo03f4x7ureytb/MzvUZioeziv828PF33UbbtB5WWTpgkbo8o
xv7f7/v7Mc18DXFiHYYp76nzHdpwaR8izWkR5a6b0IrDC5fv8DJPunkodZPpAqO+Mp0/wpn8kLHV
44si6Fw+ri8Mg6P6Rt4rGNx4X2HK14Ir/R6/Ds2s2oKoRwbWdCtw3U+hU3LxD2S0l9tS6/UHy34d
uJbf00ZV7jKulDvg/T1ZGWSi/N/9ebkwMJbc32lu94RAnnBjNI+aiPJH5xmNyrwzTMHITKv161yh
f9TtUv2JroaCpG4/oVQzX3cISUF4VT06A3C/9R12JjnPYuc1nwZjn0Rk3EwEUww4a197S0Uk3bQ/
E6L0KPLKAXJrqZ9pOtpLZ7D9CelNYeasZSUi0xL7ea86e6F3rldUcX1QHTR3A1LNN+5QTIxydTFD
VZ3v4ip/NGpss5Vi7VwZqy94a/JdUEViWy5ewtGQ6Unhm8Wyxqt6jGtUaz6p7Z+LVpYfRT+Z+yFD
cIhep/hQtA63V+R2t9aqtQdVEtdXVmP8GFHH7GjpMT2QYjgWA4cb5Tdr6iatdy2jQYJ1p4gJIyFO
I9rT5w6NjxclY/2WW4iLMCCaFJ3tdMkn86ZrhfLHaU2m20n1K4xyInOqtrmktYOIvozTbdwlwx2c
cLijxkEhrOQKDeG8vcajwe1OYWDFhFpnHcO9kyPvlDrYNBq+t9sclyCOpdO+KGNPcxMw0Vc0T9c4
0l3iId0dcp+YyDAkAoOMZ3RpTY7zklZJJOoGiwbonkTmL0pcZueACACafL34JLXw2jS9+qIOALMV
wdhs3U8++BnjYwG/XwzggrK901j6HSJG+0IypLMJqqw4CWtoX+y5lTu8He3WoHKgSdiPPjcqd0sq
Vwe03JjfHTp2GwCk/cLxy4CueYqbiXetkea1DHsytQlp2GMq6faFa+4DLbQ/sRrPdFNFc3c1Jo1Z
BURA1VPl2uT0U1D0eIVIyp9CkWeiz+e3tG/BKrctK1dA1W+sHy7rG0ZifbwOYfODmTXxlcFWxH9P
FD9TBlto5PILjc6BG6dd79Q5a48ZmYiHJVrJK7XuR1DSrFbDtDyTwhXr4fzY5ur0mCa2dauE6//b
hfuH48AqH9Y3rPuT0BxOiGioC/nMurGbUd0Q+4HHeWReE/G1IrMiNemCpO9hmLLosVs2sDfMh0L9
/LcnKa3wsSDQ1kZqc1v3W3YcnRstT/ws1gnZmQn7I88SY5Bt9RcE6P173SzdodZ4YRBt37OGU2TZ
3eLCPupOLf31Q4mbD8gCZHFcP8TQ9C3v5uY+1JZ81RtjE1ulQ+5rMuE8KLFYjku1Aiim82o9MLww
kVghlqoGueJv02YxWmNk3XFbHT+n7l6NlvmF7J5DOKVdi3FmesrN8M+6f4iI5CERMnqM0zy+VMic
/Gb5QFUrHmpo/QPrV7wPErU+KG5fvXEQnUynNr8U28JX1+j6KY1Y1FAKmq8gknKcWHF4bSPXeCXs
kRzFvqyuJvzfVzoLf9Q6V/++KPsFL1lu6wljnN0Z2o6he7xfQ+XRcb1YatyQzWTGO1giANLcaNy6
TXsIS+gnlujwj0+EzhBSQi3/OdjQvqTaImwlImODGPc7g/Gx+M/tJN+OUHaiPPmZD/pnVHaMuFpa
xhoW0uWy67fq9NMIWoJE9FnAYku2iSl0dMDNdc6j4kzHN6Q4O3chhT92Enp6NWKtNCK23WjJk2y1
g8Y8DB6wMfsCF3HAMXqYbbM/9j3dfaNyMVEp59Gco9P6rNer0BeEwfgB+vVbqLIR3Ag8UiCT7UJQ
O/Vz4TwtGB4tZU2hxZ2fGari9VIFL5MXP7jTUk+jKb8F7ossIpdTMykvTj5+kEyKJAGFfhsYTJTS
8Rke69bupp8shU1SPbxMC27YPuWmIlvFz/Rh65o6ZBwl35ll9elYybzrafZ4sWJfai6R72oaPoaR
kuyiiS75wrb4NK0e8wimMZXg9FOR5qfeCi3f1hLlFXIFEdyZ9qV1WGKtwdCPJhG/ZhdmDIPyJztG
l9gY0V7P4mKfNdqLXYxPEBs9o41erWS8Gkp+RnZwiafmRYkUL8uCn7Ml/uDqxMdPHEEwi58YM652
k8qri/wrs/jTO2raHJZptomQ51xrAjZLXB4VErW9iTwH8iuR5vUINHLBV96WyLWIIGWcPdCZ4NcF
v5EfqpIx55AwWhLwUTeNo5ceOkx/QnyKnTTIvFJBQVkqNyAi7nbC3cHgr4DckId+S4VQdymykAbb
t+ZOUDOw0Xp5Ep0dMyCDRqEVA3rS8R3FjTx9TOl9sxKEPaTvRY3XBEnIzM06BFGOVOpUWqaPJdBi
/CrrTZebhLKXsdd0beI5YAb8dBp+1+4wXSmWv/MAzlBr9vsBjo7k9ufFkSG2sTm8JNAGX9M5eSme
AuYAp4Cka98WwBfGtizQozg9CUHhO1M87RraNA0SfhlYhOQpjtwoao1uZ+ZPIcYbO9FBoqX6S4nm
cZNwQnpBNBPU6AjGfPqcHCsQHJvoqyut4KROLHo0Eahbs/oeio7UeT0evHIqULfkr20Azz2zOCtA
O29rA3udVZDdTjy4p/fDhaLJ8UQZEWSsj0c3A0ZB/xQow1NU6IioQjNhQEttrg5zedKG5El3cR6I
YDqORdj6knyxGCyXz72m6yPmCUJciBbrLyheYWQg/kMNcxrd9sUh0RYipzbvaYA/p0Xi7kO94461
AJXJTP3DYouoA6v/nS+/Mkp1X4/S2mflEI2MCq3I/Wiq5I9hKgcRJW+4TlPWm0zaZEwQBYQcZHfE
0GTZs0245CYXxYsjqugQVdjONCPbSluit5D5zqmSdxIlftLXQWrcJ7THtmkc3pj/Ua1+h7I6N8jA
CjXVtoYYo002D5d+8LMJ2KgO7hZ3TIHREmRB7OZv3OvaTWNbJOkpw1HI4AhNeBNFyr5t499iHlCM
9MMroffKhi7jtAXNKnaurdWnPhjPOdW/N6e2x8w53jmyCbwibW9MbvxRiZ5dleDCvtKvrhIyZW7F
D27sXMG0+zQNDpQv5BjSQimYS0aNSUcI8BzcDNrmRu8VpXZCv4DPIRA4+4QPxO5nS6niZXn7GsdL
OFo6ojzIIq+hycaF/jx3Um60UNU8bQq/lVQ+Lr/klMVfVnCNp+gSlQSczkPNYlsrDmU3faokvezx
IV7kkrKqOUmKcbDAIKgBTjWIwIIBdkkIod6i3p8HizZ/jPKvKfINc5HWC5YMXJQzwSbquFqdhDO8
18P8K+hm1rQS2DSWPGtw/ziqCDalCjUDnHa3aQxOUpujO53VLy6sKAE1IyISeiQ8pFLPWpbVxMPA
HIgx+F9t4zaY+bQ56CX/jylyX8iAvlgYwtEeFs/tLTMACZZM2TUnq5fOxXdFOiHBSFDheq7BFH3L
cuEICOqgo7bFILXNYG6FTf7l2IiJx9aAN1UQjmZE+ZdEQPVCpMbNdLT3oJweG1te56xjBlQp0WYk
KZe7Ruih6OekIiVJqiXj/z56MwauLP+HuzPLjVzJtuyI+GAkjUbys+h9p8bV64eQQhL7vuds3lhq
YrWoSGQmsgoF1G/hAkJchUJy0UkzO+fsvTa9/djTIvuqRPU1au55IE4uTtMX5Rr7vm2ER9BqpqOl
Dn28CWWeAHzRfMzApGqZbyZQQYCDwMOyqUEGIRG6mKpfzZX61uYqXGkR4yOcwqtk8E9Vm45rDGdv
GiIJo00OYTKB3OrOChv02POtysFZY1w50DQ8p3N2OzMubpnvyra7m+gKrkC5rOiurCOyRLwy0DCx
wQQNMW6nwXm0i0uYjPdKtv2VZ65nHicAZmdfkC5JqZRTgLpklUXTQ4xQA3GtIGuuV3wqzIO1VObR
nmfWbXivlUZu8pzDeSujdNtUQFh1oASN62NZbMQSx/mFCoN+qIvucmrKXTR0N0NmPdsddTaKYB5S
AgLMRfbQ+h8ct0+O2iGG5I25QtBahfV09I1Zh1WB63fsoSyj9yTFJKUlN62MPH7sOoncqKBWkVr1
ORgNvlMVPoZ1f/Jj6C9uchgF5RawnSC5q5axUDl825l2qbXqQ5+vQSVvLYwQVjTss8jYaVZwV9cf
BG9cQI59W2V2K/rwI0XFm/ZuuG0SoMfBNyJ4F7dGxfMt/WeNFhli5gMvjbTTpoasW5xqnbUXOESw
Q5ofFWsxAdDRTOTIzUStzfuARqTH2TJpoQ30DiWHGyB0XnKmvNlEv54OdbSdM5/LR5gE7R8kSNaY
YxSn0xGJccYtQ7JXnbDfdIKQenZBr8a2JUTp4en/BlsBmkWJyUvdWIIqAKir1W99wtHe1cqfUqZr
u5/HlXBEvXLFrqgqhBf0lTZlRgeEntoBPOu65Ey2b2ymSSmrvHS0z2buUbO5+TnJArTStH3SmIxG
esEniG8c5HsSYCWkpVsl8nrt5p374svsOWzq5icZKs/qiu79r7G0s6c7RjUhnuJ0NY21v+It3HMt
tC2vLSOAG7GNlkE1I9iHs1NG2KPC4ovjlTKzh2YUOA7zo8Wtkg8U5ZFEkaZJx34Klj/lhiaOv16W
TDPfI93YKUWM4py3ewMB1AdnLC9sCoaNwkdfO2knLR7V22CgF6IDO/Fupt/G4lsyK6yceca9pw3O
Zx6ZNTw/WuYO44glRXgqDXFoGrgVRpLf/X4Ygn5l6Nd/ICRKq7ttlT8dy4kwz3q0SdpBsfIcOACb
4Cd/FH0PkfLJbYJ0HU6W/Tn+xEGc/fE1lzEyWL73Uvqvk+6Y69hUWMkWmlYfZNe/gCQjIlUmS+BK
J1lf8FvBS/t1E/y1D8NuyM+ulj/H80BYnWX9I8mr7qf6bOl5v5MjzWJJBugFvGSxbeqCsDsaCncE
ToJAXwJ2MzFuULhMrw5rtJfiSABDOsTuOgfxt1O13XtjQ/dY18n0LQlkjNz+2alsDjMgof71oe7v
ZxN0jEpt4ooU3Lh+eguZNi2zfYx05Sh4K6dkYK414TV1kHKSBnrqNIPZoaVh1i5bsD7k9Q7EAW4J
c53ecg6fTkpuetACb+2ZTK7Lbg7uW8bYmGg67QLo7cNditkxLs0XbE9sHgDKsIVGt1lZJ2cKKWPb
lO6fX2OtzL5GvItaQ70HeHQ6MxJWj2M3k9BTQeT/jQJGkNRs7by32BUR1sd2JHm5dn1vGSivLEKi
JiePoCJxzL0zLZA0wMWbLec6uDpNYV/qdnwktSR7qq35dQjy6W6sZlwiTXeIzKl5xgkBJdOhMTtE
81H4RDCa1qB5KZ6VNlA9RQEQhFS4FyunN9A67m3cpkw+UKUduji/Jvwy598vqtGTeviiCDGGOSMz
xziWot8Ku7yp03565zhBDpJUzW6aYiSo3KeVZdt3TRiL+04CqV71JrLD36yQsUJH1EuXaQSggRll
zHaE/rAXdUKmZodn0CT02EsEgj1A9u9NjrH3r20O9JDn9CFunuV1kKRm7Wg7YMAf6uECtvi5EYU4
5lZDvomDl/uXM+sPxjsW2+5Od8saOizYCXUBxSnO4DeZPsXEN0UWVWY0ySucZgsDA8HQg9+Gn3Oj
72wGm5Z//eWKNWFkPmDs4zDPg09jiUkA/TjTaNZB3Ec4fnmFFDM5i0q43Ho/xUx/p+Yly0KbvwJx
nWL5TBjn8Mk4/1nr5SvevPoKbkGtoBakjFsX43yelCOkI0fs26oc7g3aV3FDjnBSZEitfu+BJJDI
KzUkN3k6trc+w/9f16Trf+dmmT7+9VP23/Qv0AFQu1cLKK2rWN2CPDykrSIYTi3qxKxzILcSGyOc
+Pr7gTFweOh0+zuFCS8GbXiYyHUFrFy2tMWignBrTlfZ1B5/wzvn0F3CVdMKIyoxnn+Nt1niahfy
3D8Qy/ke0BB9rdofo5gcJBRWiYhCJJtu0M52ZVvnzvbJlw6yindlPxAT8Pj3QgRDJj0wrNZDlnKa
YOYZ7TRCBKcW3+gvHx0l/pudtuOdJIBj8xeeVSOvhleYMRyZbICL8cA1xYYaHEt4Rgw2podZZzhq
Uh2fYge+h92bL+QWZPt2djdiGCeAOpAv/IrRh6E+slIyhzPBSVX1TLutmCGI9rDU/Li8n1piLDXZ
veZKjVfkEKHH0WV6NglgacoFzknC/BZDQfYIJMg8Yt27gT7lPI5lNEDgdZKDQgW18SPCXc1SwDta
qBi/5Nu+wBLTdbBcyTwb9p3qtX04Ffo/ktwnDIl+kUuvScx2U7UjvO2G7qZnG7k8i98/jsoe6KJX
RKIsDysES7pc73ql9TvDtVd5MAb7POjik6btAby4dyUxGCu8Ntk2T//MSeVQZMZq3AUd98AMJBNO
tPoom85fuVZt3DQOep0B4uamGgb1rHXWtS9gtYbcYR1ZXleHZRO37I3bu4u5Dh3A76WEnNfhvWcL
FnqUMiQu6odhkbY56My1UDrHrmj0/cSpdNVhMr+pKvJ/5AJ1DrIsueKxjVGkwrCc0kSu+cXFyl5i
ldo5UntDzyFtDXMJRHWAlCSKdpuZe4ETqVj1zpRsCpi6f027Djwwc6zCe62ZFJgIh5Z7R5pckUGO
EBAdaYcxS4NrZghpv846yr0m/BzoR64cp8dilU4HhurBcy9GJN/pqpx97QXkmsSNismarhLUWCgs
j6XOYTDMehTWYcKmz/YS0HhZgcOmv/778CtmX7vFv3+DugKJ/ytOiqfY0XekPc5Ha1TjtmSusQdk
yAR/6rpHuIv6Rovjchsw+Uzw/YOXDiIESLVecF+kEUHB0iw2XTDi73YaIqY033ruDTYT6A/YAX43
WSeQj+bB4T7a/xK9//UBnI21E7H6CGOU7blphivKlmgLPgBaJ0FCmfd/T38y9P9MvNHJvaWWNqWz
/Kf/Zz6My52XTIatrSzfLY+TRstlwmvxa18X2D5PDLy/2CLQ5I+ThiejmrEi6DTqQoN4chHXe1fQ
iclcgmMQsOhQ49HXwNqBKzD49YeT1DshH7sl2+z3g2nRn6oNpR3iOo4eJri852aa3v71FaLwR6/X
6+A4ENPB9tufCfE1zrbNQ9L4snwffRF4yiivE/qCG1f6mzlLxI2Wk5vUpjO0fev7l+/kJ4bc1345
bwD1VW+6nT3X+oQN1TTzW6MhVWhcPu/4dr6ewRUfK605mvEiQb5mUZrS9BDVDcvF1un1fqvEaDDG
wbpl+3SfSgP++vIhkaOGF7DbRknbLzOxdWBFp7LoQfDzaG9R5JTHIVmko0y/VlWTBR+u1m8KtAJf
zjh/Qfitnyy3hO5iddFJxSK/0TH6rAWklLfECA4g9/yvbOherDEcnoMI6kMy2wOWrHTrp5ZxVzL6
6rAjHDHvRDeBCLD4jNVN50S3SK82mQyKb8zr7x1QwlYqdw+cFq0zE+5LSFhLF3AQ65uco/Wksm/8
H4TSF1hSxLy3bTTo5oKP6Ymca5ZtvZD2cBLjC3qrVvTZh89CvXECYOOugncHy4pfws8+OsePoH48
5ISKA50SyUniPPr74fdzyiUY3saUecNM+fpXqm7WMSoknZ9MvIah0ug5GxDbBlJFl971s5NNE55H
j/SLPkw5OXRB+zWaj61FhxON7NcwUj2Qrk6EtlDrsjFS+tVNSDEZ6zsCCbr7GabHiuqfvn2OCbUD
PN33E/V0P4JBcWfrZbQzVNb+9Jm4MREEaZfdazKAmTM7ak/ebHGKivGUdJrGtCC19qMU/eNs2M9x
orrP0aZ6rrRM3U9RJY5jp6HLI/5vOcDWa4z93M6JpZ8jnx7yHLY3yQz5aCxMfW+NfYTFib0KYoR1
NQuzXam5kHCcK40OR0CUQ2fTP2vS7kEadKJAVqwpz/tbfEPGvmy+B7i5J6y44alcPmiQM7gyyx+F
NPnj79/Dkg9Ppjv8/K4p/7+mT7Ig/jPM+X/Lnvwf6ef//O88+v736En+wT+CJ3UyJB1pOZZl64ZD
Xtg/gyfd/zIU6SSuqWyhLEma3D9yJ6XxX0oRWuIQtcqCiyrtnxGUpvtffMq0bNPF8WJLw/h/iaA0
lmy2fwv+MnSCiYVQyhQGa7zuLEFV/xb8NaXdOCimHyszDU+GpNOKIgOX72Wesj0hr2fTpHgUTELJ
OUyY2eDui779qjn3kfpsJfLlejrHzCAl/g9SCX34iYU6g7UeTPUKMt/AIoiyrB3n93+7xv+HmEid
Deg/X70LiUtIqTj36dyTXNp/f/VzMsJj8Wm75mH2JgPzXC6yM5usqngiP828BIOOkzCg+5P3dETq
BZqgpcFaA0nJQeVY9XTZFEO8cdZuqy64t3MIA2L49kscwROc0oTAEwHRbNUueUq8XTDqmoSC2JfH
FiamZQftiqJsXQlnnRf5kxv3CTRLBmBmL/4ASa9o6uKbR/dzMyGTka77KXVQ8vQqKYETiQqhh4/Q
pu17qJgVau7EIRh0hDc/1KmGcA36/aw57cpNkytMmGLjJpYDzzPfMSZ3Vm3FvDOc7joHKWkVMrqh
2v0itwVzN1vKprRqNj5kKxmgXvzSxSEWBaKAcojOyi0XSn0GIG7bBrladzbNpzJhzCB7dTMFXJsq
cbErxcWlZ+S4ScoAw5fdGivtkzYJo9Iub7io2joBv0VLrHM2WoDYMC1u0qkur0UOuU3W1xGSZcnQ
wdN7zgQ2oqDAwGxul5lcx2GVrSYLVkWScvCUBHZrLHtBZkZgfPwUrhTQTtFx2AP6mDY6M3KOlNES
1NngzoS6DJQ76fhwyAMS4t3FfRCP1VYZb6WPe0djYkZ3HnnaDFpIS7auNV/birSMuaI/ZUIs9CFO
eRF+QmCV87UEPUdTcodUNvdQHeyTmjSqwLz4ufhOrOY+7qw1N+e+bZpPkWTgRXq5axbe1VKClwrj
QJc7zwz3vtpmNDyyEYQXIChOumo1udqjU9CU6IcXoogAXh4MtN7rwk/NveFm/irqDGfjK/R1akbt
Z3/mJkCOoMfNZxV4lJWTvWrJuKPivS8RfGGqnI4KTro3fGjC/qKmYmbo/8nN4SNy3esQUMra7kt2
sbLl3qq1TxA2t2nTvJCq+hT3xzYZHGYS0ctkJtvRD59tCBIeiH3uyVacAE0c8ZjQKSTLySr6s2pK
cP5D3XkM006Fr+2cQL81Mv1qjjRCI16lp+l33Wid8Hk+GyXhLXNtdgtb5mZs+zNs4HeIZBSFSv6U
U4XDcoogP5mP4Ux/HikUpVuDZRqRhWDWrWUfVh2eId16mqVO/dKvli2Cs3I4+8o9JzqVC+Egjf8T
Djr/GCD/77fJ63tM5QwMrc1Qau9VN7xrJTiDvqiThZPhRYHDJFI1z6OTnfoyvi/JvWkJjTAm8WCl
OORUfTcEt3gsWfAybFh18YcJSbOZbEwneB6cBADlKAyan0O5GjEzb1It8XpzEFws/4RVFwB2fi38
gDA/n+M/HJ/Q6O9NimmGF+0rflnoFArMP8G2zHTUWdiCbp4bINDtceD0Q7OyjQ7dzfDkJNwH+AzX
ppp+VNhEeB3dQ+gYH21dDjzAi4u9fBahyySFOUGOldsaN84E/79q7sVA5cMgZoNfHVxxfmGwyAGD
UYaRo1uoukUekWBfKkeXdgksuNygv7BUe41JVgnaR6+bbnvbf9EmZMl2BZ8koU5u0ciGnfyhyIaf
/TTRf1nFQ3yPTWrHuX/RlE93dcfQDmt2o2VHvw8frZTOSeQTJhRFl7zWXqrceGN6y8tDBjAm8UxO
d1ZQxcpj1sJYCPFQsZrZ8CZhE08wvXsVx3tL719KquvDpB2a2UHON8lqY5GakteKEiN4TWQEOyI0
YN27kI9CsEsGb6wGNrxTWKBwLq66efooTXHjZ8D2ChCeE2PKJNiq1v3D1eGON091T8Ie5/PWM7M2
9kK92flhCAxYpHsxygRQok/8g2mSk2eqLyeq17NVW7vUHTk+p8F0DDUDWn+cHBDflNdIu8YmzVmN
9pwhohZ/E3uW3dnvWo4pEyPZZrT0exOZ+NTmV6Rni1yaAkMFOk5m7TjW8k+r3flWu4kymncW4eJR
euxlcQ9iHcgGgbEhDTJajhazjN7H852QRWfAz14PhgEnxUZxXf/kqvrI45QCKVfmmj2SSah4gUDx
6HZ9fdTBmQ6JNjPqmr7sgRmiWWSSLVOeNZzGR57LD7uw5aFE9klCslrRcDO2jgyZoy6Zm3MRw18A
zYuj3lxbN1G/4a36MhkhNrHAPGE/lYzmOd62zTobGbwYHUIC0GpeG0fzunHsU90haDFNyVZSGQ/S
6h9i1UDhDDm9tn4MJI7lMQztPUDoUGjaZvbcIbG3ZRFwGsl7VGS3sdxallF71MyA1CL4INDBGDbI
ZQqtTV5hOJ9ukM+bIQbLY7iI5eZ+E8fpm4S06oWV0awW9IOc8y+/gv5LuDOdQ+npju2VPYjYPLql
IzTqabNvkUBoVDyHKkE/MfDPclHBdbIoHmZ316pgX5kfMWY1wtXKJ80/mHn3E44RZVbXviHJ/dMZ
w40line7Cb5Kp59XjX4AXfY5m3AEIeDw9Bb128AtuRqsbYXfUCFq6IV9K8V0gTR505n9Fl0ZjtMg
TTf8bB+q9aaVcK0K3QKJrYoG+I35Y07M0ot7NxlMUjXijxAa8SoteK36aLzCEmdiP3aM0XA8JX6B
oaNmgNjVIEUchOkJUIeqjcWqQNDJxNS+1pxIwYDIZiMH501v6zsJYAiNmJtsSlIJHTuzNhlpL+vC
pUlNzUr+M07VaqEeuWQdTjEECwaOzsK3S7R9Wcmtwn2I0uTBNGHb5LLbwtfr7yFAUbVbl252z1mL
AsNPvnqz/hqq4N4nSzwPGfjUMsMjCYdV2k96F6/zdri6HZOwWEQCV+FLb+QEfWWBjbqYr7dwmAkC
vVEHu55hgFKXCBmKsWtX8BkrQN3doy0jBuvmtjJ9c6XcmUFilj7WrzaTHK8NGTonVqfYgYAGqR4y
1yAuk2hWImaFzRClr+FKn9KeiWusymqtPrjLHU9zxZPS9B+id1vYLYS5WNrWGBCSI176ygLoi60V
dSurKnedjUXaaKavsqpuap1ck3x6qErOrpONdWkiYTrO0LW4Q22v2iF6aipmxBYe0A7SIsfgplwZ
T3bDmNHyOdinDmiEcHxKi/qDA84mkejLxKK5zgdCvFyjxLxJv1KNP3UHfSl3eoKPZ31Fcd17Eh07
vnykbnFNNulYZ6BQmNPPPpAzhCO7NmEMYZEqwjJh/HFN4PvIIDyuHfNOWT4kevYKc9Zc1aPSOdGn
q8RCt2QK54S1Bt8ivcE1xCU8ghUQL0ue6sU3aI0OPGjS11sgxkgWkTok9A9Hl/cRm9StwFatRabY
EJizDW0t2Te0USsd0W2SaMxOWuthdP0LZXR2Ue0bpv1mw7z4hVX4VcvEizWBymkRvjkzhuQo1vKV
urPSlJRU0Gth+po18U8kza+xC1d4B5J1OiNaKQgy12n+eNitQOV11g2mgBtgFHJVElFTWmT3Ri5J
cAs+dR/F7oNZRO8xo3Zs5Z+50YlV4FRf0g7ECqq6s66k2KfZYHgdQU4ruSHakBgmf/iBCnc7+fZj
zY68SkROXFxB4gvnzg3w4p3WWCS1uUmDinfblwE/R3tQZVztB8e9FyNnKk6xa2OGS6N89zuRxSMr
3aYi4s3TLZrvJuA+5C5oJwpIAgn1Tuy2wuuN8hKP46YLzReVW/D7sQYlsjuZMeVGn1WfaSeav1Vk
kvTHyD4TJjdekFiAgxv1s970L4EFgT/Vs10WJeMmLNJvLa/uJkv7GUb7xW9uVQq7PMr0Y+q2y/Le
hajcXZrS1mOA/y00gJxD7oSYY80fxjDP2xKTFnbXTenKT2m0B5mAn0EpqK/e4hcLTsQKQ/XRaqHU
z23/YPT6H33sPkhR521qHygnbmKgSq1EKZJOf9pEffUlh9PRiVqsKOQZoZdet7Rq1wPaX60pD3HS
PZGcsatM4FLQvcAmaD+p/wbOp2MojZAFcatRhduxGu+l77WiOZWtdcrMFCjorJBNPToYce2++04g
VqK05ZvoDIcC2/4qYWAgGzXrZJPg8bCUfPFNZg5d6XzGsjT3TdIxwA2Nu1m9F2BNV3NJxo1Fqh71
YXwc0vmhafK9DnUgbGzJAyhZf1ym55a6YEH/QFxNbm+VvqJtIDAqujBN2A651m34+RW1bP6Gls0z
BvknNme0HH10q2ftgTb3SYTy0OcacVe89Qk3KUP82EOnWx1tiXSnmp8kjjR4l5/BRA5CXSKpyPfp
WL04yr0plyzh8VE0Szq1mb8OZNuQS1wsQLsMtWP1BL6Bwy3AUw5I1hdWmZXVUR26pn7rxPWXGwZk
0er2MxgUnvT00hX2xxBqzbat9A29FrxHQb53pe0c0+KnwBhDiB8Uqq7HUi6f5VQCM1L50TTnVz1M
NnXG1czCcYt/4cIZGLbPgHC3+M59oFKxfxOzWh4IKkain4ED722Uks1AF8B2TmPbffU+K2tMOM06
rO5a1yHuJX0Zy/jPOPSK/PicIHk8B8w7GdjN8bbVuKmbsF6y9hbjw0fXOddQN9E9+xtWmsmbTJrp
hgk+XvoTv5jF2dmunkPznj4HM/NMcIXYVJCicaapAnNtDv6AwPCz56ss+EKxoa5j65ZbX7PeOh1V
EH1klGwZOsVJRwOUZaryms7gJNevZ+zJt3pL+qdiPO8FlXhKovkexzYP9gKgM2b0UsH0MHX+jk+i
NjV7TpxuALA5y95Uwb7qRIjlkndXe6iaGFogIkOrFOWegzcsg7yymPTEIxR+q19pTe4/s0G8oB2C
aa+WUrLso/NYwedAI+XZWdyTdh0Ha0KsSOqI2QQxFj32c0yw5Q6W/oMTkmMtq5PRNB914rxpEZWe
3TtHQzDINNMhBgkZXWv/tWqzNzeCTdhjl1o1TQrFFB9HQLAQLsSPNCp2+G1REAr3HFg8JvFIoMos
4m+V9feU5HfBCGYR3zIXMH4FOA26hMtXpiae4OzJQs9EK4aIe3foAJkCvtYK8dCn6C1nmd70LcC7
pqPfpOXxE4UQeRlhvwlF8BLVXEymGdamCZ8CFxkJXg2eXEVCQlntmAA8Vf5I6oXgjQYYCO5G3JaI
4bxOkSE0WnxdsC0hrjRhfg/Qbz+V7rMgyAzL3SV2pOdmODE69NjRqTazc1/FX/PM4GROx28HNtgh
1giUGtS7GfjHTstrJKygfKbwNi0kaiZd7iPEoOdoyKO7hCrGGy172kpj2AHYsA4lHRpemtZfQnpd
OqQBNOJTSWyt/t7K4Tn0A9eLMuPbZBWkE3RI61riaKt8Iny/6uSFr36Okum1xBvoWPO7zRqPKjLZ
zqC8Z5S+bKlk3UVSwoPv9zBjyEfpKWEYEFmenpOeJkYKrQDnu90ivcV/iSvqJK0OFGjB0bkO5Y1O
4p5MnXkHYfaQGbxUX6tr2h9kUZQW0eI4MDkHak+V1fPeQ4j2oHq8YCyQ9P6aW7fIXkOFDzPHJx9m
9gZzi+24f+B40IeDIUewcjN4zpLzaAUPY2tUyyW4iWPrvl5iYuKig8XQalRH1doPSoKPavvi6rZn
1kybh5ZS2OKXrVNeW+cPh6ljXrPk0tgFigXcZQU9oFitSiR9DsdrgRKB6BQrSu6b3ifDBqltmJqf
4GpWNJyCg1Awn1XDGaGI1jVJyZ4vwhfAFGt34D5VejysZqqV1WyrKxjbnKS9ZCUGvzg1OhpJQgqx
qgdo+h1O3LpRrLp0yVZFkcoz/EpWJRcRDs4aSDUhdJ6sMEjg8L/PgVo3tFMrrgo5mbd10kI3wYBl
JywoeMS5aUfzOQ2o7uueI07gF8gSrEMwo7tQw3MfNlu9Mg993N4m3fiKcuWjNVhKUvdRYYyGFf1c
ReNrgmkRUFG0TjMSAwy5LaXxNBjBKXSibxdw0oqEa2gINSfFABfqmDyMVQ3aR+27ZtgTiVGgejUA
zAPXKaxr7aJvsuVLF99ODYo/Q3Sb1hG6B/vsj2ranWtH96Q5C3S4fLe2J9zWOLtyHRXSYeSSdbso
qulkYB2rlEGi2PKzNXusV36FcSO1abyYGRs7GDqtZJvRlFmtySba9YX9lMjpvcPgH2LF7MQjrViw
CQjC0A/mN3bOnmQReduTIRvU9TFEsWJCrXX5VTiH2Uv/b35IyAkp6+nRisSNm47PUkfnM5ftYzy8
ifpl0ubHaQ6/XaabNFCLAP8mtswxOjskv5HLmu1zEwk2VCveiVyuDRozpsEYUx9pw8+PElq6N1kt
2Q8AXVBl2LDSSrqSNrqA1O5OE5MDNIdBtY4Zh3iiGV/TpEXfIfEKjFwr6yfOraP0iZ4SrkZDV7sj
pmiJRxVPnFFyMiCsQyiyCMsDObRNmq4jyaMcAnJcl0n3p65DTxiGv1JW/BjlI90An7+PS5+qhQ47
mhaextGinQc8pejqs9Z9Do56KGfebyn1mBq6Xngc+IhTsjno4tFjbgMcOK5vwFukwUz421ZIHq+C
HCt3pqGfROOLUGOyRv5GjrER36SAis4OEIq6kwHUYeeu1pSDSFvdjORLG8flMTPEM+DcQyOJasxA
e9g0S1ahRv2lBRfSUdDItDvkaMw0mzNa8FdHReYZkSKlb6PuFSZjL4Bi1zgdsUoS7v4cHDBVixsn
lE9dAAuz74pvGuIIL3j3lo6Lv+t1TFusEFnR3THTsARdyLoxD8uKISBseH2i7eKYH22H/QVLLwfK
KAYQTg5KVZoKOb/9QH6lr3i6nMC912gi8PwGuAPy+dro04HN+WRWWY4cbVnMsCkTKSRXmj4OHr0f
FXMm1dLPMc/pJIF31JHreHZcnuADXPz0qe9Y3lVN73dqyAKZvSpzLnWHMmRKva5mcFFxTyeNIPOP
HxdbcHHDezWbMbxNTqmGybvTTrcl3VEDedfat8bXHsmUV9japcCBiubiFVPcyh/w59HfGHAO0zZ2
qy3YirvZiRB6Z8peY2lg/NfJ5hyKZttx8OehgvdeD9wq4xieZp6awjUPujG9IoU4RRh5yA45YXrm
2K52LhDdYwk1LZwxYda4IpMhocePUwlj/PKNO9ywHgKX7lWQGtWz+BAqRuUe3+TJAP9rzLZYnB5j
PbzP63Kr69FpcIdnVSJHIkVGsMVQ4uHkKVVAU5ioglxdSmLirIrFgh8Y5NUDgAxg6Z/DCJI4zdcl
AbjCsAhRtT71VLz3Uel45CAFOSbe+NXu35Rm3Y098hZhvzPTClZlzFZFsEDkKTu8x25TS9LkY/jO
6BOAiaGjXLLpljspYHkj1fLbr1nAc0r43MmfO54I9hQWJB2zForzYBNgUx2M4dW3g2+BVKHhwI95
I7xvymanj8F9qg3PyPrODFEOul4TlYDRdaG4LmJTP57fUfH/49VNxQE5ymZ0cIFpNPzsBq3vxETL
DTHQJlvC5EDPEeO61fLojS7qj6YUTF/Bvasywn17Z6T2tiLyPfc6TqJdhBDTiyC6ExDsBTlbb7ys
pFSZwst084n0QUikMRp18Q7LWWOPzv5MCU9rzhtqc1wZE8Zl6RMuh9qoSIdZ9lpEWCs1pdTvVrgr
YvHHhzMqYr67HmCvw7zlgX57VZECi2vCnmMrYJHLW+awd7nOPAJAtu6G36iagNJYxlZTSDmd5abs
bVS56OseHMO4pC7/0ycmLMf24sKGc5vpm+So96zj4vWzpIWsT0e00Oxx/JzKuoK+XrftyBC1IeG5
D7/bYIITbjLIMQ+mXz233I5EG87JJ/vWBRnzzfLOYLTim1e3eTxe2R4t882O+kM112e9CM8ZOorE
7TZlxzOkISsM+k3P/VsopjD59CeZkKnr0bdezo9u3jwXjn8pO/Xp+9xqQaOu7TjUmyEn/7aVrz0N
D27ahzgKL41f32rzW9sWG/RL1zpuX1QdELzVnDVr2KPAYbYKmgHRy/OgR38QrWP1o59vqwC6gpkc
gEqqpUVyl/soHzBBn2HAIKo38m0nqqMquag2bCQ8Xgyy+3Jb2abhJabzmJrpGaE119zAC1Pk+WbZ
PqURt/+LvfNakhw5s/Sr0HiPNgccwmE2nIsIhEytK/MGlhJaa3+VeZ19sP3QJGfZnN3Zmfsxo9G6
u6qyMiMQ7r845ztHJm53sdN9ZO5iMl+Nv1Nzfm6Fcx8BWy54ou1QXGWso8U4nRhTjKf1pSFR91I1
PDgNrAfBe7Sx6+I2HaP7PGa3JJ3qsR1RhxriEdfeOo4Qj1417AY8wdh+96NhHZDoQO/km5o9Xrv1
FEqz5JUpPDk3YQxXC9RrvLhXucMHlVCmx9lUV7QO38kgT37r3LNMRHKY3rmcley3+VZ9yQamfZLK
vwdwywIFcYjKp2efLVdEizhaYPcN5gGClcJ6CJC0c/Kdx8pxAj90GQ9Ypy6tiWIUaAoNxwpU0d+0
5fRrPShSKN2bVC6PpRs9hs3R7OK7houw7oefhK9MWFCxG1L7fv3Jci3e9Ox8dLl1aPts7xbdDT8J
7QqfOd8Zj7PkhFq/vMMyHTegfmsd+L4OK/ZCW86mdGAyS4CmRwqDe4fFQYxlmLG/g/cfGO4dzfCj
5xjnBctrFk3PDLuCpfnoetR61Wjfy8j56NuiCqRJQyf0VTiOzwR0USk1jh9M1RCspWnT8NCi0WX8
/oZA/Xl9hYeOV5T1AhfVNqMBJ1qD+S139VaQmRyGFclLaguWpCLHjsC/SOHZdRBLtomDwNnGjE3R
ORb+r7iJmut8Pk89NPoyUTh20wGLMsTDjn09Wm63uzJTbg0n8ii+SkKDqahuvPKv2sD/lo7nsSr4
37+sf+azop4nsq//13/5w79dJZ+EX1U//X/6uw7f1fV78d3982/6w1fu/vX3X46+q1WI84d/2ZVI
WJe74btd7r87TG+/fxd/+53/1V/80/fvX+Vxqb//8ufPaij79atFSVX+o75H/YNY5T8KgsqvCpfR
P/3+v+qBzN88Jfik+AJFpUPRbP67Hug31DzC95k8raIgZf1REOQotGz8kiddafHXd9XQx3/5M1oh
W4Ka5QuZ/HcTic/ff+q/iWh4wXgveBX+b6IaW/yTpka4FjolNEeuj6bGsu0/amosvzR6u81SZGmX
HHrVVRlqtma2hHccE5jLkBZhZkJ+lhboLbo2r04OYTrENt2FGpAvAvBj2lk7VoFnZFEV+e31Zdoq
fGA1MxE/N8hbIc8gii7QiQL1moa9H6W0Vew7iprNpixYoXNKJDvWmiMae32VpPO0Zb6r9j52BeYv
42ch2jc5th++vk4b9LPGckdq1Xjw2KjvwDq7eDiO7cR6VOAKpBoPJ4eE3DKj/nNmcWeI+qs1kzfD
tg6la++XBqjQ1H422Bmn9CC89E64McEPsX03DvDz6dAuTFVA7rcrPnjYql1zuEbQ/B1i1EaHzmI8
on2pqZXH3HCvSGfGHY9qtjWwr/pWz37FqvoDL/uEAJ8tgDF4u1DNcPggTxjKONjGWBxntdzn5RdB
bin6K/qVirvPnzh/TNe4WLr5QHWc10JcR9SoeygSzFeJmt2KrzkE8qTtCHNSNMAkwcYVD5wqU4+h
zb4whTy2BDZvWAWXOwYJBLl0Z16TjIVQC+fak8+Jemw7JwxqXi6WVsUBqc62gTB278PnMp9MUMVh
Zrzg1bJ3DTx2fsOKdkucnyFsDyhlq1PrwzJOhznZNpbjbDLKOp9M6WOqB3PjUWzVRa3PelTlxe+f
s/85jv4/x9Eq7Pt/CxQ3FTSrP73/6fjdfn5H1ZiUfzib1j/8t8MJdaHlInlVNkwpTifOmem76//y
Z9P5zZMCFbhDrc85ZKMU/Lta0fnN8hwGUcKRFko8Bxne/zmcHFe5pPhxcAmBZvG/czhZpv0f9Iqe
g0gRpaLlC9e2nVUR+A96Rc9a8hlRJanyk2HcieInTAa81VHzRJBTecQs+4udqN437hCeACWeMaNN
92Pbyiuxmswi9uNF1/kXA3OezVBZxTHKanb76Lf0ID77uEqDdJHtpb+4G05qffw9Ar31mbzlq7oQ
MbC4qbjMNd6SeKGimxB8bBL20GfEJDcxsQYRyYTPHs7nFooYTR2WyIrx+eI8MNv8aOpx2eKMk2CY
b5MuGx+6KjJJy6utwC3pb4hFegY1Qa5ExSa+LUoZWFONp6zSFzotEa6oObysUzS9S9vTCoDcdRFJ
7Z00SXczEHYoVcOJODjv3C6tz4ZxODmJvy+Z4V3MprncFH7yPWfJclDMjC5bM2IgYjIVBw7e3fTM
qtkol+HJJlPWn+N3zrQV2Pyi62l8iQtGd1R1dpL9UI1eZToHDm3bDDc1Od/kTp67pHkvVAH/dUEe
WaVHAbHxYOQcVIQ0F0wdbhOVbrM5Ek+FODlGBGGnKtOjgZlBqMq+zdaFN0vbgxoTpFlWHG0LnS17
K0fX1lJslVbu7sDPPSGgtTeG8h8Lv8v4yUPoYSbhiBUSE+Gf0gV4vmdq9n4zpMgR3LVVZV/4Iaed
8DIKeAllY1qmnZeP4X5Sxy7GF5zh3ggMC7li6eVhgJrlLvPSeMvVSNPJAnyX+MhMZg4ydERKMRZd
TeKq685WNF1Y0v1m/hluiu4znJBml+UCwSAcRrQsSUr5KYfAJXJ+z9vY7l3dETLrziMzwhThT91k
T6l5bzbgJcy63cG1S4JidLNtMwlYT7D1oqj2d54u66C0AdCMY3VOcXruIkjr3VxbNzbCiKB3BqgU
nrsH1DRsa5ZriD5MbkCEMnsJwvyI12bdrSTYcBOnO+EG2MkUYR1mp3g/kgVwQNiOksQX5JzHjb5h
ig8ehRBP0DWs+sHKVKtyTQLG2hE8W16mCEkvqx78ZDmy9zGHTN2aIUkFyh/OrmvQhhAP3nojbVVV
vjMTioHzhstFHBpV0A31LQFA0zW5oT7xrzFXmN91zS4fBuM8NFAsjLYY9rxG3YUqOsDK86FucBOF
gB/Aqb3HBFMA17NeXW80dwh8fQDIhKgtkngzGCiNZOmBxvGmQC+r8TqeagnEbm6mx7wnTLqfrJe4
VuLU6pibso7czbR2DpALn1TRgOPsZnWAI6A22sehrkz94kfLuz0S4mJkmsXD6L7lRBhFRYeE1jst
TfYtU9UHRZwDYcb1OjbNhxO20cU83Za90LfDCnFx5K4mgoifDXtTikwFz2t610VL+m6S7qAN7EYE
jNYn6sHngZ69RuP4bA8ewhLZIdPM8WIMXXS7RLMgCZyd3sSGxiJaqsdqfKfy8rWV46kE8gxGT99T
SxUfZDd8u2l5lGPS3LP57naNWz47RKSejajEjgSzxc4JcPGFRZNTFm9KJp94zzOlH3CWBXC/6ysH
yCDgEcLc2469dIQBXhOhtEcpzbZmQGM7U7hxdpebRXuXfpqJXR5KYIgGqTP5tALhZtKI+2k3z4Rb
uGEEC152d27HDjZpze9OyufBKSDIOeCH3QpSuzNVp/yXxHp5dkN4q7W5oDEdCmZqP/MwsdkRBo+y
v54JqUL7m5JfHPY4aZp1rhbw1XZuDLem0tlz5nlM5nmXt5PCUgvYX1T5VVWQzbKo8SqtUdQsRkQf
2VZPcZPctRHDLz9Mb1Q5HId++VnC5cEjDlaEujxm+Xhkko9uWH3hTk6CKOx/WRM7LNN9SH3zvl6L
R8ZIYVsGsTvoq2UQCKhbno42uXfDe+ymNuJWLIVrIvq2rRwAAnH7KOSMB3hWWIYjpLy9wJZiTtMx
Nmeg/tAHkq7Crwd7pKqDofUZKTrkmfqbENZIEC6kRi8N2FdJ/Q4Q8jVcfGBr1iJ3+kgQLI+eRx43
DQe5L+vkvuFoB8YrOTMOpTC7rSrc6xQWI4Hg8uj3yT0qeQYmjYTrSVTNiQ9ovc91AjqO3UjRMuiy
YYW0VoqvlMe3YZ7JYWy+2EOFFq6Fe2GU5nu3qPeECFymbEj0m94IJll8dm2TcNlFzkYUcbQffCbz
oo5RbRD3s9EoQaNhSDdTZrZBO6Uzs77mdqzhAELFR0s7fcQTrtd5NqFy2sNtTWFxYRfkKNJbECbj
oNhI9ClK9XeMCJbcsi+JGihIczRNmvJ7LNCFF878UhuS7lo/pA4QulwVP03vf1Vz8gEFmvQgPzrV
JVp4bBLvnm6uHBVWAbSLBNkNMJkY2bJroM/26/bFsD3IFk5/zl9VYn+5fY4ywr1KKl4ixVkdoL59
TStWKbbnsIWbfx8v1HejaKytmfKAjw3ZaovdnuZ2SNBtGFwQscUD7HqH3vHLU58NCJur7gxInApp
PIdYsgnkBqlXJLtcHVHZFGfLQl3hLp+W0/4afJ1sFSyuU8MyVNjxbTjLy7RpsoeObjWwrHNl5MXJ
5NMamKLvLqcd7jyk7TNIlDA0njTrF4yo/nOil33btasUgcCmKk8RzgFsAM5TQoXoGEWtdkAr0nGA
j+8yTaWgVuB7qhrUEG3zzCtxM4ADhKtif5YDI2RT5gxRFPBsReiSVSAG85cKdZUjv2cf2CX9KObU
cjnOYno3hTqOANi3bd//5A2rz9YkOpd5nodAe2di2dpgKoFjgsQkLG+lqGlU6RYTN35WSPOB4gv9
0LC1sNsBTVcPVwfOFZvXiuE1z/Qm7BmIayZVwTzWUBP67CmMWf8YddwRlYiKrWt/+ppZIb758UCN
BSyAuWkHM4QoqsPYwmySSb0F87FALhEbkfd+YOeCl1VxKPWF455wcBySsdm3jnzp06E/MxC+GEnF
OEuFjsCx5ImyCpfXRLxhhBRadNUbyfW7JRbpHoDyd5zGE57E70kCp8SeyjqK9ca5YDJczwTF4B+H
R9ASMxCW/Rv4qmnv6+HTX5gZdXpr6+I1pCCDeL2FgNRs3ZYMPWumizPLcluUkIG8FjUzuSoUo7Un
jkY2fjg282GCx6+bonmTWh0BNl2N4fQF+5awqAwGkVHiI5zmx5aPnVMbH43j3Hctire0dB9VjGVx
ME3sz06C9lP0RB9WX+mqt65MDsC2a57spmjPi17VxEQCjxunR+INLwtnxUmp+cWR6UN42YkSP6/X
MSe2fjIl1AGhhhnjS/dleKdcEQAKFoEtQjj5tLBEE1Yz6XcNVLgYkaHfqvTsjvkJaTc2RcthXMoU
eZjti9FJb1OJjICJnnLjq0kDCI+XAu0woNFRz+he05+hD6IOQwpRZeSgN0c0HZc5bPJtZbZMRArn
tq39G0nBjbKd8KMK36dQw55YmLsyc28N39gDhNnNnKJJOJCB01rxtknNN5JJ7ITlpNcDRo3B4Pn5
jl0eMoueYSaQc+l/5mO3yxv9MfXZTSOMk0jcazYaejuZ7GwcCQa/k1+KkEoqJf8Dm+E2Hp1z1BaS
NcjsbzF9P2edvltdvbEDQVglRoLA40JAD9gknp+gBulvWChUFXdLSWM1Is520YoXYpn2S6qf6sK6
ygAmgFoUG8IKJcmZm2iK2M1WfKDWtZ8K3wGT8BJ02BfJBNEjs4KEX0wS1t8JvNfe2xMUcUp9LF5z
DUvX129jSNvUlO94bT7mJkGI2x6cwgG/47BpMbqYN7MQb5ySd0vVoJYzCo92gdoodJ2T6NXb4HUJ
UI63MpXzRb7iFyEjcju1/gfBfmnAwU39Tn7dQk0zNz6WdXRs7AyLTZn0QVJzlY4EbQT85p9ez5f5
VE6HJTtMtoGloOYkoDG7B/tR7tLQPOOTpbUU4mTkLixAK2X3jK6iFaDJ1sp7Npf3nCVpUBb6wR5X
iaUxBoSew9mzrOPSpnFgYqWADQAIMO9xqS1coJHED1G5+7YZnqYio/IquyORIdmW1Yy7Cx/bpb+u
k868sF272qbpDWSJbJt66p4V36GQ+MWS+rpkk81NAV+keJDcmwrF2060PAacEwBGNT9SRYYusxt6
Cde5DkP0HiJGHDpIjjY5pvmBPepzlnW37Pg+JInESG68xwpF6UVk+U/tgpKmj4YmaIiQ3NUrkw0o
TyL84tBB39jY8zDv8edUaXMNz9pnNQzAsOM4xPHKRlVNL2hv9UOFyEdnrX+1zNeLDVixnRcYuQj2
Jzx3TDAj99hJ51BpKhjZTSD4bEXaTVFCcwZRuvU8IrVHH5YhoXzfpRXZ7Ij88kwwDzfPVauN+dBi
qCH2bI53OCIoXlvi0HJUOa5u7xjHYxuq2qOOJlaAJr58j895v4bYlPi6JFurjbU4Pyz04qG/7jGz
7CeQIOs1w/41J4GXc5/vDIdLeKWg5QVp1V8VM07L0hlOYGKLY82OKVjotoi2TuL2ycYDw8+t2GhG
HgULMGvy3vEoo4XCVGCAJvaovpv23hmoR9cExyw9hoSoh7A12ON7xxkm7pbw36+4ZD/VI1tNDa7W
srXRibKkMGfmnMKcv8wkfiEGHmlPyl1beq6kq8agOMb6Q7ZcQAP18Xay7TdrWROzGNvQQ5e36PY6
Kj9M08qvfxkkJgwN7VY+nNIa+59SLnImSv99CxC0LIoXmXB+gLBgta23ftYec5Gxh4zBtZjlTxgh
KOHN2zvjQqlW7CCyNvR2I24pY/mp8mLbuDHQsgrNOqaEraxRgSorffNSud5zJHBAqPPmajnirzwJ
J0LDUXQszyPnZDYJ4POGTBHAbRB/rPgqLvpdCuISxMI2rry30vbaLYF/1ePk9sx3LZqSqrDYsuVV
svOUDrmiOvjOqDk1Aisx0QrxXWOOy2CVZtX6TzYuFlUuFwP9ClcsUfbzha/zfJOyqoQP5T+MHFxW
1jOwEeoU6vaKtAJG8UX4I1p5ZxZ0z6Rf/6I/PHrNIHGl+gNtX4T6On9kjEurMK/SwLD5hRKlooRg
QNSTn4vOMLyedf2Fz+mgx4nQBgJscL50l7wKCPKNyyGNuZ/mhHvWe8TTYGMCBOmOizXs6K0q/kzZ
LMi/E5B+Ba4qmmIq5HY5z2lxVqPxkhdMOpDqXXkmhyzk9nPtIGYoUNPnKSkZVq5R0MmXAWJQxj6S
ky4OunLmCVc8YQt+F47vX3zPDLQTogjSEsZ+34eXoBeqk15w6WdjeuTZ31fGsqrLWOTq+WMe1HRV
r/Vp2YwXbdyS3muSkEbgXjJnZdB5cVCoSXNHZgo2ixXdjOOn6zKHKEeeN1I79t7iWfu+XAu7+A2e
fs80Y5qDuHb3lmhylIA/tuvUe9KqOeVEfEiF8RjlXn3En5dZ+qSN/hBPudyQUtztPMc597UWu46o
7k3R3NWtEBeh4zHWIhHWigBlhuzltkOY2WfwtmctzbeKvxL4MFcQgXEbbU6kfIdTu69rRD2Rq/An
AGhbK/Y6uIyItduSUsI+BCMA1k0Lr12UHVwdE9+TSxJTh5bLAQFSNZc/Sn+K0Zp3Wd5l95E/7mzn
szGa6dCnNAGuKLgTM5xqZMvssjF8VGtEbBwmr0T53hd+pvdu7SanFOG8NbuI8DHobGAiEZju7cM2
pDbmdVixvbuyQzoZXjJI8hm1EDk7MSjd8B0FU0HxGFlkTc5+giIifx/8GQZp3Z6EQRu6OumJb8Wq
A57sfTF5lqz82VzYIijQG5uJ7zI1/RdaMIrvApRNjqBqkFyAjKossOaByLoatWZ+mSEk9pCRbcRo
PJtWCgfMtA/Y0Er8vpeTH381pjsSavU9TAhFajd9kH1YoACzgKngs06miXzGirej57gckwij2Q15
EXmQs9bdUo04Trn3pxhldzy9R367aXp6iJWOP3T8xC2r3E1s57/ExE9cFvV715I/hWNNjZ1zaPyz
g1AaISVkpGL1Rjul8VWObbgb8nvtK3una1yk0OOuCx0ne8PjLrX0rWrafj+65WsSeV9JuKI5cYqj
N1zLsTUEQaM+HyHmiLxDAOrTPU0dqEuqrGVBtBn2rmRaw0ZpGBS8SJiQBUC2Vkw/LneITxPlRgUx
Re5h8Rgq2iM2Q0+tI0P+Mta/9dErSBTiCQmUnAneKsjmKrl4uYDVlgr/MV+iX4qnJ+iK5a2H3cRz
ywtSwDOqNasvUHV0fDDOwsjcDH4HzhvCB9MlIjaLIKOim0sexgo3ayqsV5KAUOfPCHo9qjmJOLyQ
pGdEL4Q/UAzf04ESbDzQZ3Yy8Eq7AFddsO3385vQp39P2eXBGMS71eNhJtRnq5ZuCoAfIEwq4zUw
fHjvRjDxDLcXa6Db0w1xxa3zq4rKlzLEplVTUKo0BsYdyVfLoPignLbJTVte28a49lVzg+Q1QLeB
90xd0+LgD1yfU/KxsH4jGR8FZVjdnbvK/5FkGZImbQ47rxhOk50MlM96nxregqWVvM2U6NehjsLd
ZDmf2BCJPxXLzlmgWjuqyRAOOp9J9igwjIIbo2CY0QLVQBy2YWlYcF2Qt0fT+ff/SyG187ePVoAj
A/Vv8p2vE5jGyr7CtguRcb2Q/JVs05ESbmb6E3mMPe0ptrcDkY9oh/fe7O+GEdtjUUssRR5E3Wb1
48WaBtjHQwVwsLIzLuRmuvATz4T5gMyvKK1f3iIf+n6VqRq45XI+f9Xgg89ULxh7COBwoRhMsqR6
8C6cSn5mvTVvZVgrDsf6ouE+3/hEDCTe9BAuDHwKGwImQQjCJr4Zy2KxaxS5Gar9ESlmoQEM0jxS
21Y9yTgVtQQC1s+5RZMNcQM8HI7eVJUfDVaVbTg4pGA6NzAVmgCZMm69zr+Nx/QhMYA40O3jislu
JYxxpIMH9kqoySoEUGTQOJuthGi9KVFRBn6PttmBw1uCdRPEF/S5RQaGgvZT5ngk8ZaRrKM2/Rie
VUmYc96ARBxJmAwYzTeJDXCnZcG+yxevCNxR4K2tvWPv+ndWlWtcg5rPj2k8+z6fcs1ppj3erLrE
gGaK5JI0vstal3rjrWLUArdq7nXPGjlWZNRfGMrarQeEM+vYW9VK2ltE7Q9uGT/o2jx3UfZAfguJ
444xbu364I3291ANBz/jk42bnK9YjJzXy/XvQk+7Hb9Am+x68OPbxWoxib4YK/GRxvPddYsLyDkv
ZocdlGHP+wSyewP38TQqKtfpmM0DU6fWIqEPx3ltuNuUXmdjl8kdbPJdEfnJQeGpijJosiAT9xGx
Q3h4y9e05qf1YvGzjg5sBqab9C4iUA4f7yotVfSjIfHyrf8uilRvxz67B+sAAjF77aidSvwSG0cW
A88vvRxLM1jUHDllr75IJ6pvl4m3NwrTz1Bju6dl40Sfv6uKcCaD4KAwZ8Fn86qHEQ4J3BTki/Ki
dXOGjlFiImj6RwCFgioGozZPas9kZKOgLI/J+FOo9SyILZaIrgNzjE1P7XEROjLedS6/Fi3J42TG
5wznX1PofTbUXHsSIsWC9hXH++vik9joNWqVJEX4ZW9yf2B6HHOqUlAGYyItIETqQ+X6aLuMKWvu
DcTQuP2AIEMhQVLrIMUPOwf/RMQmSGRZtV/0hSF4o6mV7908vKUYl1tSfi81Ggszt7ezl124k5XS
i1s8p2jtA8R/F2aNR17LL8FGmSlgaKDMCM+E2/R7h6gE3jsETrZ3B7sFjmpHhD0stYM74oKPw2IJ
lK4IKU7fozi6UahWg35ZU6hTkK6thzzP3Jp2+VQNvMGdU/wUkn+Ia37VSmnDRX7lRLwZQ82btozT
EZTDNwYPPhQTF6pIjSuvT99795a3lqzcHqaj0WLa1OTiMckkScm//evnR5L/Qe/ReBE7g6b8ygt0
y2i8Adl78mkm/4qKbAYvYe7TmKd67iiLuuwu9X/aKPnOFjyVIYY72SQEUZJDM3gP5Am8VgAdd9Rb
8ErL4URtAXdfY3hmkQyMJOSTBjDap+7pY15lv2SUEa1NsvFepdHNwOOzTRJI2KEBsi9FLs/NNVBe
WdeJ697gXA2ylJd2ycFj8RRygK1vFpvQDWvtV1EbwGZtGYzYwmjWqe3yiEC0hbDySRCIbuDoz4mK
XjkoEgAWZ2jDIxEbV5NqLoX2XxPypTYLu4ZN0iZnyGDXU+4cxpxgSXwa2U71VRCPBpePH++8ksvf
r5eLBic1VuUH3RgV6n+Wa+DWEPOKt6kiqb0z5RzY69NgNvOJZUHAh+e1mVhjtWrcElxWQa+Acar5
2Qh2wGBoFvewfEdmsBSb3mMY9xd9xyep6nu1w7f7LmbcWsILYzhnvM4TpxWTGRisGR6hVXHScBmV
JhYmgVck57/wDOdaftA008xnoAzcBZ547zK54h8S1/m0oN1tiBxHeLPw4pS4YfPpccTb+PvHla01
CcBeOQReVzz4rFBdCKgEIsCrRQ+aeVm8l113ZEEPXF+UBk3alDOB2jjaRw7VsQKbJuOryvm8zHaF
splsk3DhQ+93+UGbiHAd35sD03fM/erLDuMqO/mvJE0xd5DxS6P1rqI727YTycfIkO7qQR2IVqmA
nnKORU9FiME0dr/IvXxI+uZWWZWgC2K9Af1+k3SG3pUxwp+Kn9/2aJEzI3p3JZ7eKsEHWyXGVkfG
e0rguCfgdHdjfwK6i8LYxggeKfsZ2h3WauzFO1/UOKM7HPVNOH4Os7sV7B32pVpeZuT3RnISDTs0
bkm6qVQe0gnJWO9fAInbW62XIVYVx9ZIH1cqWmLWO6KTPplUHEGd30w0LT10nkDL5rIOg2IJbzuf
Gtsi6mOmug3IGbdGRvJkqV7o0b9KWv/SG8MbXauLsuU6zAA4xjgxE5hAqmSUYly2GLAvuMMwedrf
ue/AbhD9tDVfc0UA2xI7W2rU1yHRBCj4UJ+o6jSzH9FhN7TWPHSsfnuvvAd1bxyczD2aLUhDmjze
Y3rm0oLVF+eJxu1Otsay6Y242PvFOG8XAhYZXX207KUC20kfNNYWtOmMJAbtvZEjb/T1jWm1mn6B
faiBY5+h9dCcLVM2BzdXezvtX0fxPNHfb4yhvtFg9QNbu++yHokEhWJR2vntPFkuXiDGHbY38+mk
UoOAqQITG7tpWrdm8YEWg0KOx5TPAdU+ZEsSddrtAL0KtRYHet8teGRpe1zYJO7KSbJV+sDe+lcb
LUS2ICk5giq6R0dwaRjVZVcUHJTdErEEItJm4NZfz1yxZgAABH2s0S5UcU+r7MC6x73yq21Twksx
dO665mP2KVZw+PWB54e7Isz7XV+wiyePhQ4DwsJOuwtBTE8CeNrOrwQNuRrjoDf3TUdsU+Icc8mJ
18QSF09rTijdxY0TDScDSC56jfk+jcDeaoZmzUKUbyTeygFK8IgEmSFHhBOOmhNO8HunB07WCUkf
owWU9GR10IOdOt9+SVMm+NJoaegj/jMia56VJ0J3XfQqebkX9A+2b0LSalbclu3VwTRQq1uh3C+u
i+wbErcx4qpCDBd4EtJRNVwvvuTjWCo+AdCnbII7afHXSJjxJ5nWcjdkc9VgBeAO9y/KtC33BCcx
Cqz1cfE4DGVXBu5kdEx2bawr3CAZAAennp+TJTFxzMNUiREf/o/w7r+iA7bQwf0nwrv/9W/QMYYu
q/5RC7z+mb/q7aT1m+cJNL2ehW7Vov34u97Okr+ZnpL8Z9fzPGlLfuVvejvH5ZdM1HjCZjgsmaj+
u97OMX+zHFdCyrPRyKGPk/8dvZ1nSsTIrCsWZkanr7/8GQ2g50jlEFfLtl+a5u9q4X/Q24G4nMhX
JN6PqsAieqTKH5AEeFcsoW6UBxhVTmTUKaFzAkXLOy+3PjWBl7j9NCsGJ7ugUjQP8+j3GJRai3Cw
ZguHBewXyGd26v2+hgat5gcD9NKFMxlHpYyHPuxvYcPCV/PvLT7Z25CgkA1T+02oEwSwuP3dzjY3
2jE+Btmu5qYPayAiRzNLrhjD+fAvArfD/C5m76HTvbVrKoyPhOCxVbBAs/n1BDRDAiNLkee5FrMS
h6WpMSkmJ2b3YvlpvIcNsQkhCYBhpzMqeuSyDR+8diG2JBP2jYzeSrITwh43S+6NX80dRnnyOzr0
+1ZiHSsQEFJNpPgGzpTuTK/bYwGFWOX2X42TPi1tdzuVH5OLKpaDTJoOOirH6gBcVTtTgAOIpblj
xnuWExdOt/pehkke9bBu0AvKUWs+S5uhwVg8966LAKqTl1UD1kfYsFswPs0Z9iF/0udOcKHCRTxH
lYmLRX9mGJ9SX33jIzHQI4FPZni2GQOzZwOThNFpqquX9R0h3erHhrSP5ITlT28n5zZiPgJ44c1W
F0hCBbG0z6Wpf34JtOOENvfMusZNt2DbqKYfE0vUdh7am6rubluFHbq2bqe4ZynNYHuHxfOyEjuv
D5tDE9ckMEM/A4o1XzwXI4PU0hw7CDZ0PJ7xCEeGXpmK3+JuGAjsJmMyBgwLRc+t72dAa7GXhqxy
NduSbn6krTymCSajmd8I9VU+zi2bWokLCemPGMifC7PhaLfNOVkYBQ049X3FKp2NwbqVNG5Z4QBc
JEhlV8+0fNGWDSTLUcmggHiCqzDsblExkLWV+If5ptIlSY8tap85ofNLpkgduiT9rEPFG8piNkz0
h6GiG/zjSzBMjnfZV8VH7bjUhfFtOSE86BtKvqiZUPY5I7OVNsZAZnuXuMojCuGevWJ0plMhwLCo
/G3orzejjSZPTuVmMig0ouGZ2DPCbxI+d3nsvMpQ/TJ52g5wAjzEhygeTTYiAlVWm34O5omwgK+5
jUbmctFTqwBL4GN/NOPeR0UPeGLUiqBiVqPKhV0XTdhR4tGemZrFBYyqhDUWnqCUHvSui/ujkeOm
tNRUbevl2XQmEJmEWR70Co+I2ZTZfOrJedO7br27SbfUwSSSz8bp4z1k446LVuBpW9zPZczUhe9r
68J9W7zEvhwRp56RQ+1Cc0Rc0EnMeNrw99UiAqas8kZU5yqtxUFa5kLuDRMo4TXUwPsezBfhMCT7
gW9Kg4oNgezBzmizvPvfHJ3HdqTIFkW/iLXwZpqJSSvvJyxJ1cJDQGDj69/ON+hBd5dUaYC45px9
ZquVkSNgRJZAcOmOchjSo/NINhKbNB4DOTGHcb9ZL7q7LYnWMmFnHP9MOIF0rfuJ4WNR9cHZBTbW
Oey9xR9W9vSe7dplLfH70oHjP7Lfqef1aJYThPctO3fsoTe1LaRH+K/b2Deh3Tk/hVLOyXeIRbQ1
J6zM5QNanXvWVeoALbBk6PlYhox80c6jNfkHLljiR4jA7pdgPW2lETojzXVl2fCiJhBuOj1x6GTo
sSrtUQSiQ3pvNPfB0MdMIwgOahACl9kQglYhPtXDnDyqP6c31FGgKWuYEoXg9SfyK65Dh56PIL4y
IhOq3Gs5+heUyz0rq+q9v126bdG/sSv/RqGqyE5qb7AAuCHLdEnnUuwMDLftoKZD2aDAdesh7h2q
8qock8IYXnI7ltSJidY1l256dNJVxHwhFnyLpkz/WwIGi3ONAZlZ2609GtSeMXNs8CfCkRQM08i9
A1CXs9wcgmZW1iiBsdLrCuvDD9juEAyfJrFPx3JmkYiYzuhjYzh5AU/u2mEISBm/91X+OzCu2+mr
el/KgQcgji+/4H5bsmO3OlR1CLeifFBHy+48qv0Bo+UykXLDwoB25qsoe1rZzNoS25/eVbe+bz0I
tMnRmYtIMpBQR60mci7TCCxUO1kdj9vwri+CzwALcl9m+MuwU3Jg6ZEwrLesd4szYZBoz3LnyuF3
18Fcetrqn9ZfKLO9ernzTeNpKbRTw1eL7AV9XGOgxBh21o/wrCyRykG7Wva8BoLW9hlpHEdvguBt
2wBwU/chMNx/RY3lffWOPl+1p03NtUkDKmEy5mBBBuRCQnnLGbX7tinum4IyoOirt16yYsgCuq/e
sg6yw9sOLmAKnZ/ZJJg15d6AvL6dg5J/a8BBlmw05/aj9kixLKfgLBHaRA5QAviVkG0UnQXRuAhZ
m+pqmq2XOA6h754YD11qAbklUCXQDJ6A2xat0ll/mkSV9QiKe3Bvwjs7qdrmuWEMmVALJ9DOblo3
F/uSD09GEYEcWmZ2EfMgjt0XcYfDeTHwG1l1c49qlRBfUz+s3WbuJ9Bydpo1DywqEi+oobginw3t
Lf9d5jnDkOn/55KfCNhnOllCmMmMJNQkazNhOfFJ4MscmmJ95Hxbdz0g14jcES5MfdLoqKsxQnG6
z2Quw9TVY05keVIGpzDDjotk3KWD0gu9igxzY/lP3FYBE7X+i+qtp+X2hhw9bZIsG1ZEovJeLxzj
2npOTwBY/lGCBehyN645UpA5sLNDPPLHjhoZRf01m8YN5UxX0wYZ6uPuFBDvcG3cNFz90j/ZBu2u
ibI0krfYqQFOdNib6a+vIcStiRw/py1cLAntM25ZwBuZ+Y/n3eeQki0tb7bfgfkETXpoeqMbpvg7
iXZ764bOxiKJ/YvM85MhFqLFynxEFoQTUx8hHksbv+OUyQ/jhgYjJ3ndN2y0Qq19Er4/k/Si+iOE
nIS8CvvBX8maCwjb4lMorTCYTXPfg7a+0bgILWzJG8wJxN4HEwYDmP97Xhlu9uJumS28vG7POFwj
691EjzuyMYC7oY4TY62tWgm6sSfwdxuCiemhUhXMOxmExkxh19z+92Sbf2uFtCHY9MNUyliz2/VI
OAYjatNZ4zEn8CO1EB8pLZcnQwvMuNxc6gaFfKOHPd/XJxpWhFjO9jLPA9T6m+mqy/dbMW2c9+Yf
XnOUYqoHrKM/tmuwRaYPlh7xmgI8XH1P1qoBySMROytvwgJXzJG3skL3M2BJclGHuVmqiGzekueR
dVzFfU1bfk9xBqSjIi9RZ6+O/uSyWnUs1CAvQaZHvaMQ387lVbfgJsx1kT+wMmMCzayxsAl+6Do/
9kk0O6lNrxP8el409chQ+9yb9vpUzzFKSOgqGwfkPP7KDP5hrbE81vublb5mpgENijm4aTHiYB7v
8GhCUoHMQG3zUYmXjXN+33oHZjtVbLUUg+uwMrFmJe/eTph6tf96bXlYqvaSDe4NxLNz5uoOkubP
MhFZSXyhO7GD8BTheAOM1Zt93nOOadBAQSo//PKqijQ9FDooRCMHttxlXRgUPFjZJdbsojkS2APz
0BuH9Kg5DEOn9Vula3NwCu2gTM+K2oA3YOMpQWn3VRvFfF5f7K3HRgfmIvIn59EF7Sf8vCcDBb/Q
WGyPiwfKgKG3zIryhA7lKdvGLZa5Y5/ENLkRsMafoSNv0zLrJbbGAJ6wjobMJUEPSsQQFSNeA68h
vJBdQ9jPI37qnAi6djTjpcSP30EyUJD6drSM0GzEATr4USsQPpvbBHYhd4NrlbRzlmJqEGtUZv1D
23bFgyGZYuBPGdGi96dG89vT2qHbGTOC/3KUrGaBudzsfPOKyyHSZA22DOyChW416aoRcIbUikuD
JlrL8RE2OdrQoZ44kU0wP4qMmSlv7yeWB7E+I6BRMCkNOCiJyNDlD6bMEuCvu8HBNQ6XYq9bWxDq
qHqQkhUb0ab5nfLXS7GyL7Acm83YPE7X7EaiaFW8WbrEWOlxdXj915AiPmF1A3DDD+5MTPL7wRSs
EbnUWs9TFyJosqQyml+H0dfaIAtmNAmimQRguOLKTxtUKhsIBWGEMx6qXWZrz4XTvZO3DhITXySm
g+qnlMSZ4ZvgsYsor4IBZZE+ThpVjyl/eG0cvY0zH8Knv1rVrqcvIAzTQwW3nyuAIel8KE3zvrWr
LEklCacksZw95ti96pcnpYK96YwMWHvT2JfDWuNHG9/hsTDsdkmyHSxqEi7Hpu21w+igoFir3AZP
NL40nb4eg/bBHSTsMM8NZc4qpDY1HCkvDk0HU0OH2hP8HjSTRwGDc5ej3t7N2nxHZOBcBEvU0NOz
se9fypr7vm1Ozpq9mwMRvhVhOBEz46jOYM42OnawSq/v9RsYC4Wpb5IhBB6xCa0AO5L0m4Nxi5qr
mHhNTfEaiJxvHGn0Ynr/NHxnlJeo8gx0f1ZdfXrzCA5LPefz9jGmTNIMcd1aEWtmdXF8nQenerGD
9M0v0f5N+fjk6wHdHTiCYbZOm2sJjl4m12l7x44XHOP/pXX9u8yslTmFlri4feVkEB243SAd7IdF
hc6MMruangvf8fazvujhNuUB694yQ99G/1U058rK4R/NAFa1Ooh8zsKytk61n+Xcp3ASskyD8YzF
Jfe3D7bTZWjKhfq6drjl/WhbAbUYNht9+w0R3ZvrscTWFkudKBiP3YSup/dhbGoGC60uQN9fdt9j
ydi2bleXjCYcbc2080vyI+eGI8VYX4UCXGd1+IuHuXl3fQIDhPFBlHC+BFixcO95dBi8uyI46LN3
6vzml1uIhgt5KaMCNAYU9If//+muXJCwjVyqhT5NzDTRvbACF1e0KwEoJ+g4cpr4CZ5nNOctW1ww
ocd5CpqLJhfIrzrEGxx3NIbo64w1pzEpVp4dCwnxgfID9PAvtk5DnvsezotUAp8ckPfMzV1aaEw4
a/tDnwp4bJ38Z/g9AWklQyC5QOVuSSyQY2sekBw882BJnNl2kgJpYpUqB3jMWCVyYC4VMNH+v3CP
s2C++89s5juwDtsDs/KqZkXo+FXULtl6AQVMdOQLHGEg2p2BRsCSuL5m3qandaik7HvdpR3Mazwj
IpsHft5+1AMywjFVhePU/PNsg+i3ojh1CGNGjS1XvoxUvQSqjUjAul62pzwYH2U6t5HeVI/W0jwE
fgW7ZOQTYHHKcNooomUyMD8JHmJa1BVtfcj6jcgkQsG91PKJTrY+RRU0B43KLdadetpNZvCfcHFS
KWNAQryWWbQNs3EK5n9FFfh3SjMOTsWaurRJjeQExNnylcLC5WeySz211wpuxmoWBZdP+dLQ4e2W
jOZpy6+GgXneMV/RQ7AUqYJXLAwJwaI6T5iJQog6ehJxxciGBBqeKXrpBaw+ymuJ76puMI3pbJpj
e9mQFZyBl/Nw3GqCubT2JWuNvxl7QwqwxK66hEISDCGn1jR/cnc0kbJ7MpG6pGoQrtSDg8leGczR
vtlCMY2q+jgzRve+qs4CJk41G240lN6bT3zDgFExNyx0hht4JxGC+YnybWUTDHCkA6/aBjNka3Om
n7CjzpkfrTS1WavgGav8IyitfD8Av97BBWQyBhtetMdOF0MI+NXpmpunBNaKD/Fr2UtTPpUIORD/
cXGqIZzz9gKIHlIgPlrmdStS42yph73WG4C6/O7QWTTihf2WNuLkM3g8gL97l2MAIHHBJZC1otw3
GfDiJiClpGQEhs7P2W8ZvCFI8+2tjc6Yw90OG6OtGKb4jzSw+Z1tM0KxlxFjaZc9+AUpgbrpnQkn
qu8XbXgkbjnaXMO9qhSVrkkFfXYdddRNoc7GQNuDJCBbrlaB6KCfqgMcNULSKST5dSyksd2hBgly
TNQBl3IzJ+MUoEwkFWTvKPTZqhh+JhwD8epzKJF7+u2lzfpMJtVelgTS4liwQ8O1AV9WWB4He40W
iUN0LNmRTsKaT8223Zclph6zaLy9unEoGNiyfjRyg0cH4o+byQdG5MPclthUGO4yEm6ACRH92FTU
Jp4kIK1v50s9nn2y00PzTQgyF6S73i8TkOAAHQiXw9yEpWvSpmx+eqq9N8bb8M6c/ANxL8ofU3vE
FwL63G4eDI5FXicmPGbTcWny4U82LiSLeUk10d5uykXbIklabrgiWBZdfR2biCIgdQvemCjj6ZkZ
vtVCI/KhyY+FaVw7F6aYXZLNxDm4szxRoNpHIFfLu8b2vKhQ6YmPyb3tAvdqytg3DlmPi6qgtW4J
9+hEcAo2dShmfdqZqBsjxSmBRJHjypQ+7Ye9nOseNXCJ+j4eSisNW4RRuH8lqWcoBwAtQgpalQdo
Bl206/CVupWkbuZyukOffybpmFaFuyNBCkDMbXPJeDkhl9gzP4xZ0M7oMJYNdrPt3DKRVwfPppW4
zai+NNnc6UPz3LNdvGroappsyPdOMOmxKu2nOScULAhmBPtNMlROEOuqB2M59ROpB8R4eULeOXbz
0o+vuo6IRfe0czdrxaEAEh1qlnlom/S8QXAJjQKRQ4q2rLrhLEXWZJGqvrd5xNFdYBQp+g3hHCfw
LkfKS0gXjnoji3lD8qrrFNgmk16UvSveOm9aGL6SLWEF2D3s0YmUebI0Y8MWZ2D2YA7ppusJHGiO
JhN3VE7XtnehmARFCrqdCHKEMCwnuvW41HJ6SDvIftvo7GXbPeBYw0yLk2TvIuitb1jArpiSCbcA
bCV4KHiXgMIWbD+Ukz6aEEv6x8GelqPGrBBLNptvvVWhwhoHkiA7Cc34h2LlxacnrhfrT6PYaVJF
GqttfpmeC/aRLWM6B+fh1rTCeZUHcgKu2FHm0zasP9raP5VInPERahSlQeAmg609bSPLzRFSCpkK
ZRBL86NtS8wuK4otJKSQgktGIRBhQD8NlWRp/wI+Pzjq1kNmrpQYlnlsbY1H8cqEbdiCfV2M6lob
9oFMxQpbe+tHa/li+qZ+fHA2ymDarPt8KJ7qJjvP5InuEcneGTS9eyG8j0bMfyjLjB0o5D5kmM4h
xnTA3gp5tDKYja1G6pSjSqyU88jorMiLgyHyDIyxontUen4aQJCGC6qliC56r1VgN2Hgv64eFMuF
/hbv03VYpieY6mZsVs6dOSBlRahAoIW92bdOT4+JSTJi03wf1upxIK8jtYR78usOf/RCOSYYNnLu
YbcL/JOo0+JgQdzqu1KD8+UwQVqIJ+rUuL+lsFPKkY0uRvvg4HxGUjPcQoefhhudbjGtyAhYCwnZ
s2Zv/sOkdJ7tU+GaICgwIEcqp3IDfzaHS6UoCR3/gyEUDSA5PE3ve0mx6CPrLkStOYb+nrcrw37c
3Mip4ClMSC79hggiKyIhGAF5cBoIBN/ZN54XjWJ7cOxsOPRL+ZUZ9XyePXGCX8NFBOC2lF59oOa5
zs0oksbtCvoRQfVXc6XXxXIn8ErcGFVpHAiXcPmS4aZmsNeGcpDHouUgZKl1bZH0QF0Qx2wJMBmO
emwblQFj7N+kNwENbzqEVgb+GLGoD7Y9Aov2XdwsWSzmidrc3SZqno20xCQ1h3eoU8vQoyBZ+yM7
sTR+Zffj+VjmPqmXqubOzd77scU95TOFa6Xg/Bx47YFWJVX97lXF95BmfggGvKRupYldzdK56Lp6
J2KKyGPLwJQ5/JNtZu6cJtDCzskUeAX3tQu4v3U8bNusjUxrDcFb55busE6E2NjjoYEKO+tV4tM/
ZOM581aSxIlOkfOvcNqv1RmnvTeZHzeaZfwfRIL7aduGa0kwK18RIpdVy12mYrM4DIP4NAq1ENjx
IW7aU83ImAmJej2YRZtsmeadIASDPzUwcrnmD0oMB2tBZiW4WBPK+i+EWUNcLB6Nx/rPHymaG5dE
FpKeBMtQfJWzEBakCo7dBrH7dS1ENG3mO1ccJ9aAcBtT9mf5zZgHVZPzCPrxl9Edn4P9tU0lAVOo
T4gGIGw1P4J0VOGMDw7Fo3dUfCJZ19UXHicY9ZX/PIHFb73iuTWb8gKLIztNQ44mPdPuGKCze8my
V7OuzptuKxYo+V+fY2lxJPzvVRKfvsyIHDSlJ14//tcN8smq7LvW6Yi4Ijajlptg7xhEjWX4J/Ck
kJb6Gxkj+2M+/kJpDPEJ18kZCmuEiDY4yAmJ62yJK+/xUaNADifTihvACJhPMBHrhIlJYCDn0WXx
xcQ3q+z2N2Pd2FXisq5pf3LwKCgfqafR38/CYYBfuREJxiQVAC1eZpgzpJPu7RHZS8NoYdKX1zHY
vKtpuy1+pJFST++G61yAhFCkxeIs7ek/nZ+6VjPLHCR3dcUatyUyMgy09Qls9b5byJZwATfEgWyw
xpT5xjQwWhofqxAz1pdVgqgzg8MNC8OMF32RxijlxmzFSDc4zxqTi7NnBAnR08htkFjZK8SDTnKM
rQVqfrvHvVF5jynIE5ZqtGaDSxqqV+vX2ntpPTu7yqYaTqNq78Fb6ccuJ0VuotgusQsCDp3mMJ2R
tf0fnY9LsP1i2AIwskls/F4dv3Wyq8tSvCF32k20Fm47xnUuSFtqsPVvGLuyI3IcJVgarVdPSsY/
aeSVH3X91jAl7s2nfLIu7AzCznqyGQq77OE0NKOAaTEd5yiQFogBlCz4NrDKsKh8q7IfaXEfUfDe
TkLBJtZgS9/AthnuU6IPSFXAlZG11R0aDozd1fPKl0rS04G84WrPQXpQuXnSDO21sZYbE2Hfa6UZ
Tzp7uyFlPEq6LCsv1uVYUjQsd3ceOqAZ8brOoIs7Ddv15oSc0Z+t7/4FgFSQEya3/2awW18YK8ru
UbYF/pcxnPT+mq/yzgtwATPJSTbsMJn134i9ya/Jssezscz/AmTvMyKngV0Dq9+d5aKe9vVHuYIt
kTDeRoiN1gPRHYmA/6bb2e+2/fUWbPHsT7ZfNQMtgj5iqNNJN3+U80UHNaQD5i0ysr8Cju+aoayp
fbVd+uGYdSjh/bCsZlT2ZjCeRk4RrRXmh+MyYzwlE08TVpT7qEhQyHuMb6oW/OGSA8rReZCC0E4R
dTtWIj12E36UV7/mdBINLHwfn3DxAOb0bcPRGfhFtHXlnQRX0WmMIplIZhG4EsJ0rmp4t1lXju1H
Gyw4eeisjfaoS9LUxLarWjY2/d+ESnwaD6Y5v20513gZboScSMM9sVKKnc18Yx1X0s2yPmHPg9E+
nicz3CoQlN4ad6SydP36kpvVu4EomYFaszFvIcCJPJwbgFalD5v+aLUCq/ohz6wRaM20Y/YUduSs
wUJ9BCS+s+XnwCYjx4knrPsNL06TpWfL3hIKEJ5oNTNAI7azu9Tku6MBMF7dEShfjWjcFAk5d+0j
c/sHS9xVSG8D9pWiPwfzi4Xa1SCkxezgd386i4AJ+eH3j41XRpM3hDViM71XyeQ+LYhQdaoRDIY7
WFSJI5ZIFYBe/QcyjW5NBLTfhpT1NNSNNuomBrq9Qh/XHY3qF9cDk8w+tp1vZ7k5wVkIezpiaN4C
U0Ji6o0g0gyYJHv0SAz+l1AuJkE4Yk+g38XF1wCVhlydV1YfNwcWbHUm/Q18iPHvtipwmXBnDrnl
cn6lAGYTyddh7eXgHNygOuPWoskEjZpel+6pmPPfiYaEH3pZJgzOWnWu2vaM5iQ3P7Ga7io2GT64
9SeauAUDYoVCKYcUnufjo7BoHnEvNnZmP0vOxJc21V70vhqIIfb9UKHghVRvXgXXyGQZwVHiRwsr
2Yqo6YPhWE/z9sgAbOZzH+F9gZsq3aW4s6ugOPZAIdT8g+zedL7S7FvBCrsNCdQk9nZw3EBPTAJB
gkh0KCrCqM/mQCXRw9/fM/Hm5a59nuRKv1AxsVFwDEIiDPurWPF8kwDy0TFqAt9Oje1k6A61Ed2t
nfuPWpAxZldojdxujYjHZMBxC5bgggFA/ecp1LYM0OOspx0HiR6KHgBCz9NkQlKTd9lZvtbr/K+q
FfSRb6vlSg986N7974RnH3Qv6/lByziYzNd2MM5FI8VuKk0/rJc0JsvZ5JDhgLDUCvV3i8u1+tYE
K1nLYTiotigvbWaz/UedzknaENxYtUe8r8fFnOxdTpZ6Tk5j49FAlQ9WPjGHQSLfvtbvvgLSv7nE
1BrzJYCXDKe7okPxdrZL96axrMDVAeOL30PL1HiJDIJ9VigrZGECm9V6ZJt3XCxrvzIXci09Qd1+
LMgeWr0MvUGhsTM2r1pzHih7Fz1HXW7/CIjzfkA2YEUcs7GecW/GU76dpsAJXbH8SAbFaynPm988
yGH9bz6xiH0TQ/XmNjJhkkfYMjKEFVkAlUGT/8yoQHckdMCCAGJrgWnO4DZG+fS6+n7idNkBHQZT
ZCcasWqT1UpYagAIviM0sWSpw6Lgpn+iwoN8NJlJ7REdlJshX+sN+ROP4n1Czwu58Sg0nINm/Uhd
fmfQPDjixx4RbWzedw+NbLc2GBOmhQouV8yj2s+RLIWClYjrG3cyKx87r4ybfoPtMEGicUHP5Nb4
itc5ViRt29zoNhk1eolNpPnuiu7bVO6PfutHQUYXaoRFs+KigzwX56n+sdpIQDySH5oMn4qvXRzO
YCtIz17OHdGnE6z02bgin2DvPcK+ELX93mr+c98b1x6X/fnG/XE62HrVFiRqoIn2JE9Kja+SFK2+
MN6bgTDXOs/dfe9EW8X8c6Hhnq0s1iUeDN2oPpwMZphr3jd1bby1UJiN/MUMNPc019SL5sQSKVcs
6eoA6pdPI6bNJSE8naQZwJWuZlRTNZODGKQyOVacZUv7JCeiRY7MIPeOnmAIhM2Gri14XJkAQg57
KXXJ73Dlk61Zb1Zq5qd+KcZL24prbWF4L8l62Wkpt8lQwr+xAxt7KeaSjODcgqdqfWmY30i7uncL
FELLdlwMj82/DdhUYkxEEsbf3S/vji1A9lVJWpSP1vZjwYWSthavtYe1GeKoB77Ma5aY/ObdurrH
fviQHwUQi+FaA2fNtD0GUoeM+IkEhjTYs9PZxAmwRGyO70AT5RyE49qjeSsTH5lRNl23+bOcyCqk
AKs9PTYd1sylSmbj019n1FxUEF8bpeFguwsK9fXJ0jHsKp3oItgPNcGcgFIXRr80kSmlZ1g0wr1M
DXhm6GsHkNMBC3ocFS7gM+Lffyc2EvUAKQY5SH3qBWAGVVISEgekmd5bneo3iPlu2KhbtRE9+Moa
PLK37K6ts53brqdMwtRp8bKq6gogXGM6V/unbqt+DQSZkdXrXCtucdf28lOkm7tfWufO5X47DZ7m
782eHIhmDcJmMi5LXd75nvWwDc4T7o6XLFXJsJlXDwVQ2ykW32NxNtPeTaYSGzg0v6b8JM5h3weJ
a0s40j7omZ1DrKnUkaS76gV3+T7HKJLXDyZAAARY11vzmd5V3U8nYV7vDdjRiAaYpXH2fNQ5tT7u
w63AO+CP8bKOTx17Mg5zTA3P9ghzcOQsBZtCqScXIrCLl+EmjGv/9Cm9rzK8CC5Bz665byqaV2ML
O2Z3pCNHWDT2o62STbSR2z/r2nAN2O+Nhv0qOFW3orlWTMv2YqH06n7XgviQWsaB/9DNZ2327wuw
MUHJbH76ESwSqDJiBT/LIE+wBJw7LR83z3KdPbnaQzuvie6MsY6FNZsZc6icc3U8iJlF3muga1HR
D/uFCblJ1siUDxCUNg7ONwVJXB+TAXPMgPwTf6Mpnm9UhgGIUYd2Tc8w1/Oj2ZTYWpZ4pKqxQUQN
lx82iooBizYlPr+DzDa0XjMoRz4BTJgMUSC2jEoLb3HN3nColh5zTxGx/NwP6Azovbx4rQakltEw
RT0qQBRUC2m2ihJ98F6z/tKzWLoVX+iWW2kdWr06ljdbTLCA8h0exFzfZwS0gcMDTnDx9eGA+jnK
lZtkrCtFfZxt73n2+j2qzMhlXZsyemtykttnLRn7z2JjL4g8tHf/awojxi63H1s2ZkrHW9RU6sTm
LMLffmVTBD55pTjFdIVFDG+Mtp7kek99zJSqvdhYNKm8wIYQqOsrnC0ypbXkrxTiiZTbeFrEXVca
KINL3Aw8GZXxXAFxR7Mx96G/oKhsb/CgfLgv8R+pAisz+gjCbmSP1iG4luohQ3O5s53r6G6RbCvu
7hruB1ym9jaMsBKvW6LbWLrCweYHcTXPpIyMB7mM137AWszWZ0ZXm/e3QWd+MlQVLelwCEqyIBag
UqGZTedyQkgu0mWnW4Nx0Tr0uxyc/+qKkkEQ4eL4L6kFCnvLMKME914QyRoRgpmdqFRXXDIa2rg6
9V4DFmnwkkAmDAYv87sxER1ZfvdQ4cbTfZQkPcnq0ggDNJYlYZxTloWifWDyfeDm8g3jUg1UF+3y
Vwzoqzta3tQr9QtwX263gTqgLVnXbVkkJTYq3R/+s838V1TqSQu40pTBqlp4bDwOTun/4ZO8wPIK
4lzL31JsruiSPzDk3c9p9aFuKfByJZyTgYFWOifo0sPBlv1jPusXkbNi59LPZpedzyyfJNqbKCte
cW4SxuSROASrrw+VgdERC6ipI7UtbMxYswmfUwDSnhUrT6CBflA9E0aEo615D+avoP7wMKYbaE2q
gOEfsb+pFoOgcXufc13uHQi9ICQ/qtKLetaTZv4mgYQgAL6iQbtJyTztYWLvcDBzU0S1js50mwx0
2FBzmDSncjg3mXypfeYK+tAN4dj/WtPUnORC2Yixr5SkkN4G1GWpfmbb5olX2GRnOOVjRRJxPr45
SuBndLUnVTVgJb6Ffuk7VJMGm6vtH6J+rnj71rtp4eD1CVj2N1MyhPbFF6imqLL7g80KAk4am7jf
1bNe66ZKHFWzcVjKuAv+W/Ce8dQfKTCNOy8D2UCIX1qxqsNHPCOXZdF3ZbieoZkJDkZVRZuxJsbi
PVdG9rPN56pM9QMasRNIVuJE6CrrtU5w6ddbcc8eiIUwWkd/yS6wT71DEWwPml5hHEqn7KwZXKlj
dcL/S2uv8wgjEMaf7cST6Svobjus+M12S3t2s4JaiGomzW2SjkcEa03zheftR0ZCPKW+wcR00R7E
SFfmoMIaR3tPScSkJD8v3XhuWwUSZBkec2zau1KIKy3GkdCopx7sKzCQdSdlc2h8/VOzbNpm4xcI
a0uKBInlxfCh3+YnNdhTxzj7ubwvKgsOGvyy5Zhl5vM6bYdc3xKrF4QbowhQJhon0qjQJcDHCT00
NuilPtutf1/6OgLIo+P9JiB7FS+Tao+WxTVmGb/DSNLRaL3yD5XP1Makv0QsG0N2eifJZmdnmIhb
OrdDe+n1P+Yy12cksU9joEe+oLxJ86OvF19QOxywQQ552Vzc6p/vFmnoa8M9np57o0rtHZabB77W
xC31sFDzRSEAJXsWgCae7htxiOPYYqe0rJ1+z+b8bDjE2pbBZcjFJ9wlbH0OwL6WGiKvGY5692SZ
YkRx74WYgWdK5A638SvwiZTNXNBXFMvHhShh3K3Bo4J8xVTmqah+0APAnVoZW2bVv50yx6S10X4C
M2AmFFNl3yELRqklrXPm83R1yD5EHq6d3dl6bJruYjpBUhb/KhDFHauCQX/bkEnPI2BDk6+fhlEn
JM12o8kWz50+PCmx3K2smG0a5zFIn9we+pRLiUd/lE0xGauhTVhLGcBzMox93adPFsXYCi1eG34Q
Sc3zy43qqNwlHkzomNjwUfV8+/i3RxpFaxv3luIDdN4tJkANA2FLy9jty52Yr9Z0KQn3tIhIIiV0
51nFudPyk7S5IfmRExoKkKJ2+jpnhKOB9JIcH5VJhBdLPGj9EC8K5yhZ6gprPVLPPFibdRltrley
tAA9MNJjolQO0dSIxMc3LLziPjMZCXZDMsLhGxbrRVg+kgL7KUdJnq/6schfSxRxe54Go3cqqESE
jiIBw9P/ODqrHcmRKIh+kSVTGl4LXFzVRQ3zYjU6zYxfv8crrRZnZ6ar7YS4ESf87K9sqLVCDRrn
Y6Rl3jL0qrU25btwfE1CcwcXy96Mmdia2hcdnALgOVqccOp9lLFaSS8ITMvLDHEAZv3oknq2lTKi
zDr5SDCdExIOrxQpjSvqDpz4I+Jc0Mn8rvfNu9aGR82acq9op+Q6jcQgBv82Mm4J1Gnr+O4jiJWV
byMrjFhmpamug7s/YFCKGL2YY/U6MvJdRwz2feVQtd9qo3h+947hiBoHhB1Jt7fveBbdDi1Yc8Wi
8j2sN21Fqgn37zQ1n3ZakuPsmj1vNSJPSFmsNA9W1HlY0SBuOMEhQ9GzA30/msI/+ODPF1T2vLuN
5RGdBz8jNmgKFMzxQ7qKc0djeL3b0jrXOvu28eeHEcJ6PXBuA1G9K1TLR6RN98rwnGbJtP52Cbi4
3IQsJzr6Cda/Ij6kqbiVrtx3dXKTr7ILD67/Vgw59zMSLgFhq2HGY5pjz5W6178bF/sC0Syo0qDP
sh6YCtHQQufvOV2TrppEu+h9HikC0VSCw8Qu1sUwnjhmlhirMaMx97O9rFUU6CzOk2ck9l9MjdNB
gWdr7QsagCFFLmwdaaqxESSFvms0bZOF2RyggAvTTcHatcu7LWctjKJdp/vpCcCafjIdRuHu66jj
AW6NPRnkr9EJvtMiWhkKwFibHa/RLdCp2E/wz3JyxPkHZSQ1hrWbSNqlGCg5wkS8ZXF37COfCfMN
/z7QDLekLGdl4uCJY/mu6TgUJyupOStjZU8myABFzG05bunPts6c6fCUWUvststMq7ZpGs5iCI8h
8A8DALOhm1BztGBY23Rl6kRT1obBbY/hL+HpucvZGm5OUT7tcHjGDvaIcFpzQoBcmeKG9ykPWqnF
VK59c3r4GCtta1jpAxZAyxBfrB/PDjCYKP4NFhBPn8tXWnthRBuY7KlAsxc58cDlqCRf2OBnfJ9n
OMrabmGGOlHBJlMziXbkT4UTkGnbR5bnFyFABPsB9mzJazJyGHcvGaNmyP4IZZxTClM/GpZ785UA
uNJmCO5yn6bxnnbrU20ScOI46evNdRSoZzDtkGGehaWfx/hR24BxGsT+ikh3zlG/o3GgL7yxUQ8a
Y+CxDJ9F/6zsVWFRM+6Il14EnptFr44yAoaAlWsq9bFKtEs7aJeYs0ZtSJvRb+k5M941+BLmSeYa
l9TfyIHHn1D0of/G6X7EwW3RXz6YjE76p4JNoGLs1Cfd0gJHxDW95GZvAfKFGYoohDyVTSHw/Nhc
RjS4VL7xAKD6jHUos6l71JnNqDmsUBMbd1syppAllImoPZeUZWW+/xokN6u3d3Ycr9gwd7L2f/II
q4OtrYyW+ZgR37n9Y8iJHqSggSqFybBUOlISzFw2KSUullBPWm1tYoJC3RXC676Mht+FcyEwig9s
tN4U5KG+yoGNYG2IO3EEF9OjluWXmgYVn3tYLvKHahb7sQ63QynulhYDysepCbmJhEQ5Yei2tk1j
o1sQ/56dNOkqIUBnasZh7m9YZNqXYxi4nhPMRBJ4UqNBA03T1STMo+ZEhyDViE6lr0GPQAHC5cx8
/w3N9GjV4hMg8eyBXzeNeqPWcd1LJFRu3Cw4WxrJmKVaNWaVJFilKD7sqWus4R5X3VPgV2ydOMoM
+1tqXC+HLL6rvr9J9GFHumgLBEGrlU875GliYeKBv/R2vW8tJN6eUQWvhpa9ojLy4CePsAw49lMY
bXCdCLiZDaLztNpG6v1I5PgVVxt90ljlSvmNcLOrjeTE8f+v8rkDhHRJkOpHlG38R63l165slkpR
/3XRdDKEcRsxD2LK2BS68gDQs2ojZaPSOAkO8KAP0zLVPoyAwFDpAKbTsn0QAZ51gm7r646GSbP8
whH8iVHDExXDPUEcgErwErHOuKGc6FWxD8LkH/TkadHG5X2I2cxgvyziPvsN2vidSqFf08n/nKH6
MH1ii3VtE8FgKa+Dc9QzBqlvUk7MlRhwhcQO0wD1nriHTiZpls5TjaZlhFmZv6VA/sKkxz/L9wm5
N80ElwCaBfpI2SrkCWhE1TaKFWJwqHlr6Hw6N0EPVt76Mhgl1d1spKY4WsF/UTUIL7F/NG393Tfb
Gll8/Ajj/DgyAOzDCpI+bjgskYy3N0bUwM0wFiHbDSHvZc8OEyG8wbcY3Lc0H/Zk/MjocvlNJq6w
MaRCXeB202ySY7q82rOBF+9lxWdsGLhPsLUEAX3VYEck44ScCOP4SDjxyXznd+w9wY9uMx3O9xWr
Qx9+zv3ZIG+khycvWKgpwOXcodNYr4wf20JWF2oKuODuaoW66g1gVbS8EPVegElZ4fs/ogu8Igsu
KzrTiW0RHdOXnYM8qORer9afJVSIxt2mgUKraLJVEU3yQrnavbOKnGhTJuOa8dEtttMn/o17nKv0
oRAz6ylCCjIvZ9ZWmQ1XaRtqeV7eqji+asr4RsFDVTTLti5P0RDtQvubdOW+MP1bYcpkrc8jpZzd
OlDuOGC2U06ETMpOrkdRYpOvNravf5SSZwqFYQtRmPpVQuZaKg6lvRV58U1q5UxuDbdKUnxyr7oD
9czXTTAfqkW9rFz/u6LSkP7a69T+1NgLVn3mahysUa7ckjeTZJebuc867E6jTJZDl6dwaaFoNqH/
g5d4qbXThx37nzWymigY/eAav5JNrsh6w7JamzT8VYZxItR0DEfn10a2IKeJcdby3YOdvWachinI
2pTChbDilK+1FaHgRUvdeRbqRyuNeRLGy8mjHNj5tnb1d90SeNUZ3Spxtm7EcJW9uBCQ38cuNpiR
RgPITQsTxSJoJGy28em3cC50xsiEXiYzfw4CW12tA4GlnAQLbkl8Z/IZTA3OQ+fkQ07dfi8ZXMC/
xAAa/r+a/jTjdwaLFoTRC022OzarTz2yPRknHELzsxNma4wSO8DkJA2DLUc3sGqY1donCbNbYaPX
GMm4d2rnGRhPX4ku9PtS7oLPuWFKKPIvp2AGhv0z1eHvMJC10XI4SffeUB7dpL+bc02fk28y2oat
pF+lVblsGe1luv8IuWsQLb47UXMi0k5EpeY1MPBiVYoXNIqPhwu7r6YeJyM4VwleRyXkcETY2riG
Okczs0AR9kEa5svAxJ5PvnabKvE+syKDWEn8T1X+hUjXpUg3ofHJbO8w9P3KQffAfLRPXFKogckH
Xl2tCtuTYV/mY5ipLkqc4q49vSEsVxUC9xTtwKK8EOPcg1o9FKqD+Cso7mBlC+3sXEjmdE5bf4Wg
zaVhM0upHyHf2VqVS6uw7rbDzxCOdJC8UpxAHmKpMkasKGKrFOipOl+0MH+YX0LDKxyPKC3RwxR2
STcy3UgwZIPirExAQs6CmAnBuAZreaIy+Q4ZbbMqlW1EZ4F2V4x3UPuPnJUNU8yqJP+SJEi3+hjt
5DTLoxj06I0ZE+ejgaceZO2NdDj1bunKjxRKroNoFSZEfppzkiUoMhGDSeY+kwvMDWbwVW2LdU+e
W6I8+/RxAMyKITEmcGseSR9R/svdPqfGsm2+mgwMMsbdaAgvk9Zc82DPnotSn76oqD2WCd6nBv8i
HOw/Lio6vjgNPoUrdyWBRB+rgZhqniVIwsSAVS9O01dBeITRH1KPf1LIJ9RhSiaajLZZ7/vcvXXa
tZ5eTKFv544AHR+VcmpdWGY00MHvruDI2jOiAJ6jibnCqDD4JgSWR4fBaLWxtJJAsf1Z6QYbxjUs
qqcw1Pd2QiGmQHtTFh8y8RfjbE41ixb9sz9CENhzPqGFIbK30ZA8DGTs1upurb/X8heR6jfRGGtH
tVfVbBGXROp1PJQ632dn8tq0PQ8VrgdxVgxrB4DkmzGzlzZI7BzJTYwjZprsw7J7KQuuQxOEC7jx
WfULGZosA4OMtBiPkVF45jxDTYJHZuKr78lzcyk3Bh3kN/LaclTtDUO6z1y1Fgp3NMNWj5wQ7iGh
yJmd9OlwgNYYdNbh+wTgti3Qe9shcGcj8ScGSI2b2rJvujO2XLlMIgvFlJzFqKxKmYE6kp6mMoQY
u3WW5Ks5WVbX8jiqlroxBcTwwgyRzILb1NqnZKBPc1Q+NFCdStVT/Kk9FK6gbnAOQdrGsOaT8but
zPdaiCNcs1UUwANqY/Fa6iz7SQVGg5kI6b4N2862dTDGW/6BluKgeBZsFRTxMZeAD2gz5NaNQwfB
vqkVQozmFuC2AzbDfRpNyGpbHkaOGjI31sQ9tpbihSp2EH+MvACjip6CyCr/SlN5cw2mMDEHFZii
ljltW65ecZDOMFWIJlV1YrFeNjRnEMBpQJaNzwaQspmOLwX6hcJLI/X0krAhUsC8i92C+Vm3k36H
CM35qeih4ju+ddURM/0AbRXcHcsZrGpcG0qzNp3ER8TAIzPQ4BBAwh9IrHDXJcWuDdseY0MSWte+
u2YaYY+4dhFIk2PFwmjUROTnbhfssCZVjEM2vkgl+SRN+T6NEnDA/KWhFY3ZxBNlmf+sNiXOvEnz
EXQdE7cGLqvxOhYaeniQnWpFOTpmQCfJRxW8u3RC5VH66eozBaI9VMCZQ1XflEjUrFHTV2Zpl7F2
vSEFyxwsc+3o952XIncmEMRDy/mpVDKxJNrkInO0a1hPGOlrZJWq3foUael2Ipd2pJEsKN0zjwhV
F3nNjN74B0bWWPoFLoJIbn0VcFsWCwbFIlxTL7sM7twavCrhnJv7L4CQt5KraxxoHBg1557IdANf
z8fJy7Y+40KUEZWqRkt6S4fo2vgk5nEbEW4oSKfr9Tea50wLBpfD5HdegIGxnmiubBGAFWmeiqHZ
Ez/Z4y/dOtgHZNLyCJcvvvOLbw0BPFkR2uFQSbUWhyunWYQtATZzxXi1YZY3qn/aiKvfD49VY/Iy
uNz7g62qvTnmQNAG/1S0QcrFWYQ5Kln6kml8PBsyg5cBmb3EOrCgru81Kq0VJzBRvUp+6ik/Rsl3
6j/taMt44zfkyEQV6F3l3BvO9T9ptomG9KJOL9FY7+NO/iiKscRwuuzb5j0wqz0JT33EEZNlAiyJ
yplkNhhm6itIkJc4d89xHK0Gs3g65bgs2QQVBWt5oP8LxmrNO39sjWJthR9BvR/IefpscRnJYWI4
MhLLdHzYHJVS9CNUfGpMcaHBFVqMJDi6XFneQvLu+NyWCBxrt4v3Fny9MDUPTcBIoa73I65pGmF2
IbizgnGX7/8mKQDXNsUu9TP3YKXBza7+BqRTkYSLiDC90PaUeF0dt3tRq7Vu5dvA/3Pblm0WdNjE
3lt7BvzW6NN243XFa4XmElhQx3mT9Ejj57ub3YcyKsugqrclK0yV/zMSFfDPTZPlEyA4501xUWKC
fDG9sLQ1QZjUtIQ31BQulzt3Z+AmWchePdehipU5XWcqa5eZ2P1LNJCVNmS67+xsxTTrWMPEtum8
VysibOGZDxGQA54j9x8DjHM6vKrxKWBLVuZIMG+GFd8VDEK92XMzQcECKBmJbg2iYBv1j3kVhK0H
Y3JcGlSt2ckPGzwhigGYWv+X5tlGYdTbUfWkD/gDitWQxw+jeLEjEq1/IfNO3Rhwqxzy7NZw9Y7U
L8fagjpYSvPeiGyjwQRnb+QA87D8a4TBnN0Jwmm+suSzN9GFxgtnbp1JbFWCy2MXwharV8gDeBmN
Ko29pFc5HVEKzqdSf2Eu/Ahaix9ZORs9tO7sN8vmWgvm52FEbj4pxrco6/50S7cXxFbaFfiTZOmg
WmyN5JubF6UrAAhT1Ah8rczZmuaf3kXi2Q/OGWrBpiPSdrR7woN9q55lnl/LNrcWblC+V93c9yZS
57Urxx+tDAZsxqTE/NCldZEsG2ibnSMucSv8O4mMlhwGn62umh9TMv1GgGak0vAT0hPj16SUUB7l
psp0bB12llOxASDaAVOnjiLZZbpm7QYEMgSV7lslZA6aU623dn6DJ1S8pMmDafvoMaLEMFtWKm1p
dQpb4SlYXEf/q2cBhFqR299o0zlV4N1WKX/1mDrrXY/9OnWfOibFMeM67KdU2gCcRb7wXXuRqX+J
/t6OmYdaVqlcmLKl5e4qC2xY7EEdEcXnxMJPMSJ8VHD1jNkpXlvboHQmDwMVI2HYpIvcxNjIxx5Y
h0C8k050IsqIIXGUFwu+hI8ImV97nmbFUHajcDxN30Cn5L3fJ8USGMpSNnicco8wLwela9WjDl5q
Lval+MVTbEaM7omFW90Tp6iLzxXEhB5PywmPhPnMCPhZ/q7KACsFkCB6SMP4z6vfCHsIWMsN4dGl
gGKrtF4J9iDGM5cWjLJqntvfIQtWM8PM2pqSt1z1KpszLj64Cmf2fKMNWI6x+Qzub9SfdPlsaMgq
wn0hf5rqRSmdlUkrD3VW3T1GDSZTskcyilxMgPQ8p47P7+3hV4eSrhSfyWE+0YpnYFBQEWAOQb9z
WH+peCK9surrU0TIpqX2oTm3E4ju31I7uL/dyIVX2/OmLJVolxfvaVFhwQqPGZM8aLOHpjpDfQT0
/UYdoarTJRV1rKIgjUoaKnm3kCK5q4Pu76i5ewOIt7CLj4ospzKu0uTocuw2w9Jr0O2F7FaILcvZ
S6Axqba46ubWrSjRN7COVwsVzV8Pzol/bgsXXPAHyAOgMIuAN55JGRlDp8WkzaVFj/AEFcvm8/8n
BzHD70kWqvlGSzk1OHOgfGuVHd4uY5E3a5qQVgQ6e6TOJic4r90s8S+onVVvblzYY3M5qsWG5E4X
LhJg8grjaGkb07rGd5M0Yllh0OEAMkV7AEdkE6DRO8uojXYKuzTDQ5fwMeErZuTQcpgx4usS+Pz2
6kTYm48mJVozkt6uJ7wHIPr1SF/ZfDRx/m7NAV7/4dL3XCGkBZxHo/wt1wfs5/8SKpRcjomVvEr7
mKn10a65w5WslcpSdh8Nn7LJJqWzSBX8tSer19rXQJB0zSF92YtWrXcOZqKseMPmh+biNOcOB3kq
PnEK+Co7RMmps4ckFpLyJeARw4Doy42Ooh/2XmhtfE6RpbmtCwZOeGC4JIJeI2JHQwKHnP5JfTbm
nrl//CfL211CzKAX/yAe43vZ9iLaBhMVKoCCB4yjMxDbZlRrcB3JmH7OD4y5ciykYuo3GTERq12G
4tPmUyso9CvGT7Xii5pu9OsswBlUNX2R5rNjTx4inpnuD5smThMsuAyZmAMBwl1TkMlLjdeaSaXO
GNVoY3AsIBBHEEXN3u5ALjLHnwaMVXNz17h2BNdrVpKQd3iusksYMI+c0ggV6YjSkuYCF3ebmz9y
mT0qbX6uiZWKjEOIFqvLLsP+x7SG95quCDNWHpkEKUSlCAN2RyJe6e1Xo1gAQcbppdcRDPPVhH5Z
MNwp2hzE+13A82Ic4XG8Cykt9wtyKKUPoZ680pK6SPoEIqI6GSDf3K1mJRLB1ZdYDGixbb2I/g2k
odTYlFFMJIovlCnBSkl2fRYqmzIIXswwo+eRxqIByUcGWbbGj92/wbIk8Fl/50nBuV0pi1Uei/Ac
tuqrf/cLo2W0EamvASR0H0v/o+WadRB2dzdwI/cgB2eYSmShXFpMeHHNYg4QVc+B9S0WEkcwOHpB
swkxpRQ/dzcpgP2OWnTJOhNTvr0x+Ma2zOC48yEVFcvRGdZQq3YTAysWE6yQ3UECaO7eW4KMvn42
8h+ScYvg1PqvONH3KpVC9lTvfFQcA28YW92aOpRpoREbVAUVSRpkkNSW8fH/P1FJgHu9o8+LC5zG
lNw1yB+rufkX5329yiwcwoFaSciG2hdVa50nSkZIgQ8BSfTuTbVoeR/D6sflyrdoaa4cNL27zscz
xgObKOjUpdFAzlBoCC51F8MrYHrPKOWLbVBc3EYfsYXPojAJOhK+I8HcGmse4/aUuihIdqWY/yLo
VVXIiQdS+UAcJMin4l7RNUL5RTrY5J4aILzBy0i9laVWvIAN6qY9khagarCmoAvf1MhiUafjss8F
YMOOuOOUvcnJf++b8UgL00/P4/uqkN2EIhdsRisJD0pRvERxbb7ZZZ+uTSU+QkfiNLDpeZ4iDD5k
/sESzkjLcUqwOu/blliQSnKrXtVYtXiHXWM8xCZFFgYrci5PzVTSOTa+lJzLhcn3rj1qKpA2nKSq
dN6B32jEdDS46mm79IW4/zHaOqvTrcriU5YGDmzH+mv0DyCU/zVj55WJf5VGe8oE38syYdhIHWvm
uL84d5pFgNkuj41jaUhrxpxcEmG+Ehi9llzs5uqLnnI8Wzt1nBgaviiqpxgNbc0BBzZZEhXym1T7
j6Grv3QRYZVtqGpQlyZRD4LR2BWYxPCwBml/0Dtxz6QB9fGzxlRZlvzrjo0fpbBWfiuzvXbcsQey
4g2J94wdg30a1fg3jT6V/Daqt7A5+1XoJarFRhbstOKR2V8tDsPSoaOXPt0x25FzMIJ7SaiBxN9K
yAi8oL6s05MWM5vAR10EGLFyhkTYNotVYUSA0MW2FPE1ZJMmOQXx4pmgLVJOuSpU5lMSSyLtbf2G
M17OIj+b3h0qPWvU/6Z9NZTfwXybAn5TAJAs9b3BjhllJpebH97yfS4N7GrZ5pUuaMI82qYiTSKq
8JmOFb2Fvdf5P1lcrulzQfmivG0+94OYD2p6AMSuZLfLkvFsgEygIMvwzER80vVnaNxB2R8DHJB6
gYMhRh5v42k7sK32I6HaERARhJJypAJWVdcVn+w02Js2YZo2qeIjtIcbDdtbzcRhVQr/O2+yPY2u
j8gWi7I6MdBcdXiXCid6zfWDVqKCck8wQ3U1MHMsMfOVH6P/QVffR6cOS1p87pUPqcZhyEe4B5Vo
lV1T0vKJQSlFHC4nhNDCtG4d13FmpjBor1MNLS5uyr1PALXSXsOoeg8FfC4LkjmLtw0Wo/xy6dTO
9exS5tZ+LoPL6bgNOLAqyF5GSIrYaVEUOg4NNg7mgKwwJoTeRnTvvCDcSaW7RDEcvJHeZC4Xunmu
ELNMxvImCU8nOFs1S5fWr7OYVG27qgLl1WfyoZfFNudCLAFQuZa9svFTtBTMAPXtVdQ7nNIJjJ22
kafQvIqshqjPzKldJfyhyEtPARVj1zZTeFTA3dZk+uqGA5X20ZGYy+uebMdGNIhNIDVhPG910f3r
zHEZbeBTsG13q8S1IfhyL9F9ksLYdzPLfI35BmRcYwWt4hPzdVNxl8o0Yu2lX0iNTgaXcK5JtBOu
0pQmxap+5YjvKpKP5JDqNY9Vs5/n71HHEFJHfqbdnTy1TzqBqiWFHMz0M46/TDP3lAzh/DipWrcN
//5kZPA/sxPUTxgEa5kyYM+NY4qVtDAPklagTONhw0aSdMVaBj+i7ddjhjIGlWqMnqz/i9oJTjjF
P5ro3tPyYOFjJPvx4nNnsfThpUUdMGPrCu91rUhid5ZPOJ3z+pgzdMWRUbE7tjSB0AkNISz+mG1P
rartLNtfD0px9KPsZY5Pxv61gPCYs5b1lbbDQksdCKgn9TOLR35dTLqqMj3CjuVg6veg+d41jkKR
gmeCIrFJtb1STzdw7omU17cBwhx7SklPE3ITMknNgMuQaHbqYXZJq/JrgCJgddxtZHmlCn3djcB6
jCtdRAsyCrsNAMKVO7TfMqvu89FKw3CylH67K8nfuEqLO7wIFrjuVzpI/YHwfwYKQIkOOnbdJnB2
LC48NwATFZ//O+X97w4wdE4173AGi9CWh1xgDoKMkjvmLi0FnQHukjtm1VZ/CobBqKkPsa7da+4C
o38KsosDyXVQk0+qfTzzZ5AXs252ztCeswzWIfEkgqQ9bxxcDWY2+ML0cacK5WZ2w4E527EmXJHU
JUQxIPk+lYZZme8yysJ99WJr5qVRudDSJKgOd2MCjxB3zq/kEhu2b5agPQ7oHmyoJzmKbYhRoqm9
AWFUcImkPVIxC3hPTC6VG5pe5hoejQfPqB+3/Xdu2BubABAx3J2lu3zU8bitLTCRdvXRumgxE9Oa
10HdutxJUrM8SC2HxmF4YXWNBuctGvNTaVDtM39/4CKbzl44rz7HykGbLvaclJlnOrweDvoWU5NM
aS6K068S513mG3P6TcbU65hWWBIIQ5T+Rm32MHj4FdINvHgc1XeqCiUFb7QEcROP9WZU6cyx273W
YNBqlG+Yqi8AlehtuNNqvLXMfq+1eGjAYGpduO1MTLVdcm4Sqh8YRgfYVgmAnHJ0SivHlcvUO+Lz
KT1DKg/ZAyAS3aYzdeJgRILMBFu+XGrZS0qrb1knHhEk5lzwEfYam4DxG/QzXmJhcDWnRXwdR08y
hI5hb+MCQhEZFRpPHm7vbuquPHfFt1OhZElefa4HJbydLt7p6F8BJ1qjuTVFeQHezG20XVs1TBRN
o5VvvKRa9N5NlwqhPtd/q/YZSwteTTz7EFhTN7os9o3ZwI0r8CgMGGTZr/HzqjGdodxL4iL4Cegy
9Dn8uOn0Fkxnatp+ReUBvt7Qf4E77FXQAeLqOJa/MGgAEPJfpqQF9+z/RNBP8uojo4mC6RvxZIkf
sQuzi4RPekCh3zZBuoxKfPceF6mMDHRY0NR6BS4FYJVxDe4jPfiwx/nCFaytLyVuNi3QHxVfWZC0
GxHya2v/OPL9KzmjE3wk4AM9nOxjhtSZooeiYzPzYys65xOiL+0ZOPdSs0Hc/hdTi2qm//ScXGlk
v6k2JM3xvfJ/60xb0fYKJm3r1l9xMWyUlkO1qt44pWoMmuBw72zrDaOWV+WM+V08xBx78/iYV9fJ
Tm6Kde8d5VOxXpKhXTO4XwQtxhj7L87EEVLNgnRlUQafGTZZnS51tVCACQPWVvrFyCLlT3862/yQ
7MSAdwdoD8ftTWn+jVIhdarsLGJ0qf408gfASih+Ck5YHzwjw1rQjjCJsBfSzMU9FO4a7vPIm8fz
HUkQtzzPMTdL09YGi5nEu5zQ+ueM8Ojq6FPq0OjT/pZSKUQrNPBFuVUKz+8ZKYzE66x7/X9P8IuR
iOucW8rodg+ZuQ8gIdS89kRYbsHA7IdfvwBU2QLeCId6FRBJaEW1UrHRLRhGwp0xPaxcuzhQkfr6
7xBQBnc9ssiVG+MsBFEOUXAbdSfV3FVPBi0KB9Bk2135nfqTehjOA6lgO3oJkytGcOynSimQY159
eYk6QHg/Kopb4KHZ9u5Ddpdp2vTxMZTk3Vb2PzefYVwfOca8tmLuqZdrpWKl20Mv3BmsNNafPrie
yXzdhOBfs2M547HT2qUFYrmrebYuMpyH9S6FawhSQ3xkejlW0aE03Q34vYNToyeJH+wAPDz4712O
B4qx6CpEydq68k5xPu54r+SGdgEEmvpidn8Z3XGVcTLZ02BicfcwnlKT3aKvLlQqNEF9sNnQy4Go
bL/UlUsjC29olLNziJqnBcQj1p8BuuaY2ju8+na6B7i4ouCT0dGhYuSYMhJ1zg2/+lAN3xTtUXIj
9fqSD//SAM6ZMgRnbBIZ5WjR0morKgf76NBR7bYPZUtTNCBetgU/hd7Fqd3GkDAmYq3iYOnGsXkN
+J2QrUWehww10l+GNAQnCB9HHKX6VuuzBw0wykEtwxVFz9llCmr1iqtuRTcu7A0iN2sRUSYTxBqk
RNOh/GpEH6k1aFcxKXHaKc0c/8pScbO1W+PgThNB3h821gh466kWGzKvtDDPoJ3asfX9oAXn1gI/
NkBpY8lWzHAlg/KTutyZNZu+65o/ebXYwdYJPV8af8yEPts2i04ZVGoW/GCvgkc/+pAUGd653BoB
ruNu2IcAvg4N+DQs4kVxkopI6aGoE8Y6XHMNvwvehNnBAoRLtPn/H2sb5FjoFjhD5/9KNmCrRaNx
o7shfeBrtzjZ15hnvqMcL4DWReMF9JN1iBsTT7SS8f4IdDAxV3bYTXaNuafsyMWozl5qhXVxYmhc
TTNFXiZosDetXFtNzeRs8tFFwcgccUAC/gnNEXqc4fzTaGngeNU7a9VQlUNdSCCIMc11JW0U8MW0
CBZKKb76KlEPVB5NBzdv/zJAmV7dqumq1SLMo1NPyhNaE+kvd9hWBbeIUZ/qbT8yyxvcTmxdO31x
h7HkFxUwSp3A9zoBkr8tcaTMLcLuDAXouqLEdVtRTVdHBUmHwkZ5MZR90rYKX2B3rYwh9+aW51AC
eJSzNqc6oFWTZtT3QZJZ2wocXZwq1sEmuzC2kJNzWxxSbLI8hvVLmcmcsC/5Sc6joGfC/gJ02Nk3
Feq3T+cYZw/d3KQyCI8yPIt+0g55+xpSb30Ewai3Ia4Zw2jJt6KTaRlQbFsL0R38CetbW5a7LNhC
kyMNRNjIM7P6nxt24FXZcK0IbCSt5vRYWzzYKrPIl6m98sGJg1othzCsdhMPMIROiPo6jVY6rifa
NcVJqH/wTVjE8uIDm/mEA0Z5qYFvcgQMmOy1urOdbLYhwkGnidDOpHix5n8PagEHs+EuKYt+L82Y
pbzI/4VYrU6V4m+1qUqpIc5/+xFFHr82xCA/PNSDsrdsQn6WX+brSDfX9G0Za66qyGpKEm+atNuz
td0biDiKDzNDqozOZBfLA4M9mDdgcFxKXWmmI80Zt9xrqalZtO3o4oraTH7rbxuFE3tuHsr/2DuP
5cqVJcv+StkbF54BASCAGNSERysekkk9gVFCAwEtvr4WstraXtWgrXveg6vyJpOHEBHh7nuvPbuw
7XG9MYl3UWHlASeDESEEuL5xThdZIVSDqM4OER4ZbF/DBZ80hidqhupQZ/TBnGJpt8eYDQcPY0em
TCwiTOKnkmBCsE6mOQVYX64hs8q9J8Dv5N5bu1C8/cXC6MzVo2tUC0qnt3dj1Tz5Nma2JNdX6H6M
DcqRTE9ROGe3eGqgYx96iXCTBuOuzGivleAXqxKMXuhcss6c9tqlg2T3kGLhwJObwC5KwgVrVe4w
fzUApM4zpyLZAYkYAZySTbxl9gYOdYpGunYWMtAYLXmFKjNwgvpFcqDZm5G7HhYjbNxR7KV5vIR6
MLoNx/JWZIsIhiXZjLpo6w2iu/ZR01+RFX85dZIeZtAcYSEueQ3HJe+nGCsVKq+YLcvP7mYehht0
WoqcUWS8TQxXUJX+lytY0dPIWirHkKNSTphO7kGrBj7ESFYuq0P2WHf5M9g2JpvY5quoHbe+GPDf
exHhHcbwIqJEwmxPza3qHnVsVrd2FP84qRPvTLylqFoNb910LkC2lEaFWQIB6Ai1nzCuPKWYD5U3
zGthlLhNY/mgDIZo9tKyaNVz3NRyI5zuu8p65tG9SZjOHvErecGp5a5NpGNFjn8fVFm8HUn94Oyk
eH3zztiYmfFNYgPtAoGXEFhFjLIeQUozmQBhA4hsk+2/iq7FLgRk/BBIvLG0+m6SowGU60wjfV13
DHBUAeTQacUTyXy4MtQw3rjm+G3FNsS4uJCouYunmSIso1EL1Yh7VYT1zpgvVk65NmikelCacGGT
+2N3Chu+hk76l2lfdNVJR+OH33gZpnHKk9pGvpov5tC5HL6HLiwvzJrLS2L9juHoHwNrlDs9e3fW
mKZHT4KyNbrkbNQVfSDL3kzAwwmcheXbM4DjZIyLu5uGAzTI00TT61whRghQhwSN+Sei9X1Qbbqq
NQZ3DajnxvnEvOTfLM94FQzfqWF9kSF7tEPwwn4j9WFmRp2iFQpT9w/SDzeFTx55mIGkMT0gKnPu
VfU+hWJPH8/B/AnzLRyp2brIIjFS1BucWAPUR2Kzq8W8Ho5sTV2+s+xWArszj9wzc6PMIlv79Nnb
qrwNdIVqnc1l4zE+Fza1S5R3xFzBY44HZMFQzxwKgbo/RhL2RY5ojVx0tQ0zBRveMXCUA46xCU8l
J4FY3TgdbiJZHpeH/HZ2wXYZNLZQpRGu7D+QPRnuDRRtngbuXxJJ6WXGGTXom+9pWsuZImVRZxda
kT3B1ddYudmpsgIGklNVYVgg3aM2YSUYL3J0jnlR+titPPaCsCVGEffyZHQbRXotyLlcU9XWPgaR
DsqmJyjDS7RNyjPbQ6bQCrbvrfaci1OSU9OgWAs8fVv5hLvaPgcz9qdyzQAqpx8fhpvM0MYxJwXe
tXqcvhkrZ2wsdrFSwMdjlFOP7XvUtr+Z63GCLhyAwEWzNydOFgYOpA3I9VSAI2tUc8xDVNpW2MQb
Rb3vFFG0NW35o0PvJSEYnf8drVjz/V1gonrLcgsXJ+NZXKRvWe0Pp7n1HxDgkevdwxuVvgKx7vIu
db3Eh4gCUFX8esv4cvI1mydORidw5U2VjuAqoHHgU8Et7/sN9V9UfdNQuk+zBaA0hu6+y7GupYZ2
YC54mp4iDtcIAunXBHtr8dTUORLJKB3u+k63uygVj41O3UtBpAKIG4Sw8LJNWkLMGO/Q5V9AW9tP
QcjkdXABIHeN8wmTyjqUDe7ycQ7VZV5k2APFg9uLfaYD++Si0kn4HmeN8mTl8PuJa5lasm2x35FM
8gyUMN9WMH9xpIVXs4L8OKczt0bD0xXNp6mM1zDpOdZAAJRlVaOHoA9ZV+O2svFvJC2iSPoWQKbJ
pg38GKowNXPTu+0DU4eDRSAWFiZ1jBIA/CQBlzvKfdCzlI7rKpcDfOXR2Na+u8Db7LOJJoRJa3sD
NYZK2rMOXELEZy1jci+OgUTmRK/LMcDxmvL0APvFAOhcLfonN3FGaisE2XxrZde60s5T7cNkKwGs
xsJINoSd4wU33yN3HN9o3RukCqzNEvlZnfXVsS1QSzhCPGMK+FNxrrzOaXx0qR1uAePfMvnptxzV
nlDLk+Qm0GGVDZ9IT952lqgBAHMDzZNew6slmQE0l94uz7OLnWICv7ryTGlRi2Y2qmiDfmww2+8w
VT/G6aVvR3lpE69dc3bXlfguxty8TIgYLJfxpWuGF+gRzcmFyGXJCrl1KYF+UBjEY3zxfIaPbqZO
lmm8BSOqPYpMeonWYkhQT1NH+nPpD9AVp/SBNg+NTbM6ezKAiwgvDti6OurQPPQGdQs65G4jMnai
IbVP49imVyatq8oI3jRkdfQ45GXC0hugU930ykDnHKOWg8OmekW3glS8O28mLxOf3dswBPlZTfck
E4boSJZgFI9OU05BnqRKrJ26xTlrRP0hJoXaAYmFzuuMWQCOj9W/YYA/THFmb5tg+i5Mw9158akn
5apwGOS0vn3TuZKxetH9Eq+CpyWmy9Sj8y0kkp24Q/nL7QMOIapzDnMV72QwrFK7fh98hwKjDACd
he/Cn57YO3cNxfheTqxdQwcSzW4JfxNFjPi8hV8qegyuQ6ONS83UsBjTEca1PGT1xIqFqNf05z/S
KtU1H8UaXKLHBj4B4m1p5gMsIfKJU0tY1IiY4Foh8M0O5Dkv2oj4LepC++ohcNJGBLCttqY93jUI
JfbwrFtMmQS6o8VcdI6+NR78BPBu4efDnpnEd2vS0EcgAqY6seQ6xdxjRc0DE0CgSYAi9wM3Gg9+
3njt2Qu6rR3zcQkfuDid6HZz5yaofRUSmkRPeyMPLGydNgMTlzMfjzLha6a9K7pkq8Uf1O4oSNDA
3qRV+olQnAm9oYiYy9W1dtM/UY1M1WaRWUcyI7qgNkEGjhAAhVd3O1+538KtaWNGBfz2Sp2JzfTI
r0vX1Sjm9SiJe6CbeQrtVr/FaPJSVdUUAVmJCEDdCcPAC38YDUwObQsOZiaTaaxRFNKJXce8zzd5
sZCr0uiXlCPYJQkipdmD2Tvixh2GZuehu6tIV9dj82yGBuk+OrqXDtrENHQYOKPZbb1xePEh7bdw
YIeQeQpFELkWVjNit4qGLVpp7L1FfW469CtCNgdrlr81BLd1OONqp7FDDm3fk2VJqTKO3c2oKrGh
nkHGmZyGibRkNypvgUIGQBZ2JH5jcsGzidP9i+wuBcuwPPGc2Nt/N8ksIOOnDzeR9WAZ3lljT8Q6
t64xGK29uUUXEx+duhu2A6vkvkRe1kBpX4cTQkp4M+0aHfK4yma1//cySwRQHWcmuZVTeKM4VGgP
iLULplyiv8WR2nqopcmfLYwHHSBMKeOGAELxqAI57P9/zuv/Tc6r7f4fc167LPrAiPbfYl6XL/mv
mFfh/1Oavkm8q+daQpje/055Ff+0PctyfTLefReGBVGu/yvl1XH+KSxPOp5LA0GZoHT/8W9NybDy
P/7hWP8UjjClEo7DkcyT8v8l5ZVP9a8Rr/xJyjRtD7EtMxLHc5YI2H+JeM0H3RWi77AiSvvdN9VD
Gtv4w1h4/uWK3P1XaOy/FV1+RyBF2/zHP2x+ov/5rWx+IkytpuMK25aSHNx//VYw4ibdDYjRpgbO
mEGRO3yHMYM1Szlo9fRXnI+/3RQgUDSLHxQ/QInQ6iWJi2hcVXdGnVyiJawswbi6snKLhihUt5Gm
RAUKFfX6VKNQMzTWeRT3kt5OmaDjoFnBcEw+yIa0VsmyNyz0Q5e3yBys1yZmfAYPvGV/L44BmKeq
h0+feoD1gtp+Gct7eKR4HylwZyBs84geJzcfmenfQ3M/acO6BSvcHiQCED5x9802BrPAd7Y6Y96P
YfqRkMgvux+ZjtiIx4oSAJw25D600KSJjChcjURBBPKJsATgDB3Vfiatx0GEE4ag4bWo+l3sM1kc
yIBMK+qBNhsPrZb7skvftOn+poF7bRS+jwSaCIKB18KH4eYyiFrBkYE0ZxmHInHKlSzNc5dMD2Wj
P+wwPw4USz69dNzX6IlkfIV+9xR7J/jh30Cc+nn4JB/YXtkmHT5ch5WD23HKED/+/YqxnkDCWc8M
M3PSMiggYit+j8ptOZOnmi/E4qhePOb1dZ5qphH2B5gowMQQHQ2aKaadvesMbIG8pOjLdnGWsFCX
+Q+VCmRgw7xr+3yZ6aK5kuPrkJfhDl7jWx1xNCuz8qumBm78iRgGIHZ9Te/YlRXNEmXvLpLcKaCM
HDmZiq+NAVyFkcp01UTIAZPFtq4t9HnWWUkAXZFCZ48B76Xm7GDnrr3ifaR0zpF2Lp8Blc6wnqYn
Q7WvdT7jbeyxT+a5Qu6GxVonR6q7AsYO4gRnHn6tlvgPsKHUp4zEE/D7dUDNGEMF6Iz2s6ZdXubk
rNhIwjlF4rRlKCkszHBgHJm1sBvgJrIQljB5qTNvp5r5CXY7G6lBSd/Ot7Q3AMQtHWeaUxgpPLqr
jU0UmNLHxJopHy0FByg+CpkCOq/T78aEAHnn4Jagoky/RQOn2nWftKbDroj+XbVeceYuIqXKvI6Q
zes0NZgXi4JsK2Mk4HGMD17G7BDLYNpIgpuL116FTw03R7TZwTBJeU5IXoVH5EakhTUpSTt+Z/56
tX9rVc2v6zV/GNGjc5nIVEswaTN5AuiHbFdFI/iEKDo6/KJAOIJsofzjEJdcjrzYaeEfzYZ/Ebm7
9KGxhZPiHBQt4htMbf3gsvE3Lj7jFMl6daUxo1eB2X6LtrktsDqNVRZfclTEfUJ7MXFtjCEYDm5G
clYbtMyq1RldXjLr6blVERyNhOSzYcDE1m9tZvKF8lwYND0d63r4qKdGI8rV08GY8NsMnn6yE/wr
tGIzleZo8Qj7wJeDchw3hsCPc2MPSAhCeklT/IfB+SUEPTWMAEuBRiPXRympyHMbrObT762nknY5
KqR613nFPWvefdnrg+2YJ1t95SIhdgxZNdLzYK9JoR1cyTTjT2AO76qDEGY38/0wZFSrO0Yz97Zy
LpNmNqgVBBeD3vUUB+NyFjJZ25LVrAklCJ1dM8b0uxAtNZJSA6cxvv0lJKDEKuOG1R8wVO1WQLyV
FbVullAsSQgjOl8kp1Y9bpjDI1AuOmc9jPrUGgo3i8LIVGDFljiF1+TioVgBNCSNm2qsiaBRotjP
AUpIxL2hWiXBu2t3mOXdOyC5Mhrvu7F6cSB5a6d/KiKYTRTggzVtSPbamH13wvkEQGHTUKvU8whn
OFwzCFm7QYc1J/iIcczT+9hOwkE3Fry58PdGoggLU9LtHT+rFk9Jkrt7i5OsmSgyddVLFcXr1tlj
WWINN7AT4sQUOaSP1sX944YYGj2YgRaARalku1MeH8ZB2F+w9rP0Rqcuyk8DZRx+Vm9ry4U+Q98/
8rKjkdifhUGsGHLrSBl7uwPyQL7GZWLK1ZSAJNrg2ORYgGxq0/CCY2dH9XcOeClBYD2WdbsrEXgK
E5VB2Y5Lo8T8Gn0Dd5WFaqWpONN/N8YE+rsyvv2ZhRDX1pVTOFTxW4O0xwnxmtnAEmWhvi1N6mJD
19+iZzaUqve8/TCn7BRpHN7D3k7Ha1fQ4xDFTFJ18dECioCs1AMm0rcyKL47mIqmoagq9ZusxXNl
jA/VUL+KHjmA1gf2Icf23vpW2fu/G4neNcQrafEibokvpI7ymHR38Ysg0+/GbehUzoIxNLoHTzzV
NvnZfHRvPjBhvMQpcLa2vBba+rSs7j6LnsbaPsaqu9bKPdMeu49UfWzxmrcCuXqe3UVOdWkEQ5ts
EREJ81g42XcEhXauyL6SwUM934oqu20cRSSAxMfhPpPue1d16xIeZQPmLqaUlb/xoI+uTFrYjerN
6to/vbhNvGqblg7M7LJ9FbN76scarKeLn4XsHJBGM1rF2tU7B6SS9sKPynM/hGty20k+t8GttNV+
ipJtI/1t3ahHyt8LQaMYGZzhGSUbvV/x0XThOfHbdz9iIRln67mYX8tCvBtj8WOP1tnMx2X3WWVt
/eDWoFOSeHrNa4egTRLtfMIAnSR9ihr52A57VVsPdtfc0aZ8HBx973u3pR0+YsX+hLbSotZBuZtm
915hYmd1DkExn4ij5iYX1j3b5S5rnG3oeGcR6C+3YBghS/VpUR9+KydH1WpI6Fz2Pkm2sTG/t8K8
SEFhxxGQfTPZuBThgT99R0F0Rq/0QxwgBhocdIHv3AsOQf0U+muk57QlJmdXIvuffO+J7rh5Ezcl
LgN83TrfZ0W/R42DBe6x1OaNmzI+N0dAK6EGlWnhzgydD8fQ9/Ryd9PQFwQoEI5kFE9oYN/+jvBG
VZwyyNpjWhxRvp7isKFBE10biunOlC84F/LwvSfxoeb29VPwR3nhKW58vcJG5pr6lYbSjgnj25B2
57hmbMd57xXrFc0PjiO2uC1jfy9HdIL4CHaSNSZVy6mvxiwKZsK3oX8OT4i+NtJiBmCTCJRW8TuP
Odr/wnyx6EQwSYFnbzXD2mIkSiM+0/7FEd6bNePTFcM+sZCCm/1hcOYlX5evrO1NOOCshGhRdN0D
sLwLtIJNT0Cdq5go9uHRmaC62MMu0fFZQWlhVpcsxnx/4cSskzlkV6FFyN79IBaSQ/7hdMFBOOPV
tRsQC/aWkfxxeT0L2a4K9DjRCDIGTacnBrYD1F2MBOtMPuXIfuswuO2L8c0jo2jQxlcQ0ZerS+fO
GfSuwwmw/MWcn6Tu5TgyXaaKGl66OxNzfmO491EzXTQ03oqVth5fJ70TXExQJcciVa/WWKx6Yd8N
+MEB522ZVIMyTO86Z9g4Y7/ylHi0PDC+BtIMHzJgU56JDzuEpge2e7g3TjMdjdn6mqduq6zN6NHs
FtMtebCbAIIIapLMfsNVuYc/c0+4EKYFyGDAw/13h7C+TE23tS1wmpXPnebHD/A72YgCiEWKG7kz
bfdaj3x1lpwz0a68sL4VQ45mL98w43db8whGbzPj/KvBvg10t034aSFG1zIlsCzadGo61iyAgVCH
zrw06bCLTQQV9QKC8W/sEfMt/xRyug5jQeITok1XbFPszESUMIM1Lzlt1GmyD4lfnv0aNzofDjYO
lx/8n1WsICoDtcmPy69PiAAAkI948AHG3vmle6rt/nm5C4siz0ijnaJtpytEdwDjgYPsPedb5BGN
cXu7IAODMmBcNu5qeG4RLaHBnvaB490GkaS3Ht+PRoYnK0C9xSlCP9S0KQ2JLppBXXjsUV/JynvO
jAXP4W8rTiYhVmRL693g1kdFBJmPxLBCWeaPMeGh0R6zUkeyyAIXi+i18qc0WfNOuscvjxQ98h34
bvDU5PMhootipsg+Q3OQ+uRjM65T+tPDnlE5SPFqSYwJqO3qI92GYoC3dDDn4GEJD9d6AZaQzRL2
1wFVB6aClSHVuuaiC56uhmSuxiEFoY1vRYqaED4qN9numdRz3ly+54yN9Wa5x2oIN30jWSIpwJqQ
XtDI4xKr+wYyWoR0tRDcwWHeNRrPNI+NPWJO7+11xSn0L+0RPyWh6MYsF8DjKiuwTtcWG1JwaINv
bywPrh2dChzPM8UE19AGpefftXx9YJfbFOENSXnkkQ5bZpfYY3gPlyq49G+DKXuOvPGkOnMfRYia
lhlZnG1pqkIGmanTx3PLeYva8OKF1jqNYlp0xFYaDKFG59oJeRFqWluOsy2y+GDJeuMMZLnY48nA
VTHOaKixi0Wtu6tNsXENtKX1dDYDYH/Vlr46aCzFabO5lIqdDTlaNhH6xYsfobC2eHJy+PUz3kk3
fnbmeWWNry352lb7Vni8Fzds12sReBir41PnFntCJlcEyN25Dkdt2IkdTfgWY/HyPHvEfJt8QtU1
hEGFe7uMGSupzVwj7MZCW4fbKQScgTlHIOcQ/XRRBCrngjCQBrgCVJG+3KfBcKExCanCe/AneZEs
mIvKVtTeznSHbdR51w6NtquglKQHerH3BYR3OFgB80F0cG69qeL83o+zQw+ntygnMGvENDcAvTP7
QMMIA4K3Czr7IGF4/G0LdpCzteQ5IpUHJtNsAhTh2VrWM+I70QEgbwqsrZXU26D+RH5EMAk2d8/b
LBeCbg2jPeJP0Ojkyt8WCsjjYGYvurQu0/wu+/zIsG4f+SksJ5jz3rQf2YMnerDLRbRTc6dJuYlk
CNIWArT9nEXmblkLK2fB67THCRqRIDklduILnZR7W8+vvvQohZtTkLZPAQ359ZB7ZLBlG+Jxb0Vj
PLQG4x1oJLCQmdwk59bnoCgcG25EpqguoMJME9SKogb677zrAnyels8FjZwbwml+ajVh54its9vJ
b2cgH1hXiI7JmEc5StLGtJxoA5RzTbIEbvTvf/+fZ00Cuh90jhJYRDo+8nYJvKl2t+rZEaoB4ZfM
DQbeof/CYA+C+mA/h8avXgAOme/QHrJMCli7ICgpR14f18ZDMczPmbm01UdqvkY90KD5ZRgJyeUc
lzAVSx9yrDV7EBEopYh+x0Qy80nx6Kr5GUb8Qo5od1a1uIwpTxJ3GYRHxgn9j4GVma5d1XZik078
OWPfX2vD30D6YsjAIHLPGHtnKvsdiUzNKJLok9r8YzXlr2Ms33xm1lJOC9YmEz8W/XOqQxRvpGFA
4efVRJ3M0maGD2HEytRYv3rKf2b6dPhnjBxfPCPeycN+YLQfYKwnWkKxtQAxikywkWLrQ/Ub4g9d
RoAFHHUJXtYjPqmUomct0TPgVpwK1SakM38TlFN2dfP2tNxTT0TsZXb2Ewnuvzt4D6DAf0qsADdi
pmeUyfzX7plJRvwkM6GoJMhHh7off6sKYUvKDSkN2d4wDeuW9SLmm6unrjeunAGB2XB5wzCEt1DF
r0TZBIzO+KhDaz87SKlHxJPJYL+rqb+aHp/GSX86NV7RprtIlBDZeVOxDqNkV5rtR6u4kAb9FRpD
wWPo4E4qWeOJQFuZNhNd14pv8/QW/Zw+jYyytkb5UQTNg3aZMKRJ+NXKGUCfmT8UyVVyYEIPTBBC
xdVujHZvmumXUmwCMomPdHQLXE0eV37gsxBhGu/Grt1JUF+rxGDLSfz1SIWgR2o9jx+OLuHN0IPq
MhGp0TDjQjnh1pqpyNyOqa0xRFvEjwFjN7z+3HVLFuWN0FO4ug8mGhm1zppNlYS/Q+jYBGVIQG1V
cd8bT1NqLPk36XNtuMXRqC4lb9CutCc6C31h4/cgeTe05KsRQu8oc1Wd5o65RfQx2bGG5MVPoHNM
sMgRTkZX7ca2/vTj+ctuuPuqrnZDGCIq21l1NG2xPMCF52OHIQlLnDAeS3nnhLI6mQH4/8y2TrVc
EqmxE04BMRz2FP9Os0YF790bOWecRjkHx2MYRgg9rsgOcZE/FHgMk+8qpmzuQ/cpDwgIrkfab1WY
bGgNf06u8e43Wx9pKo6pALvacklNJi9xNAu6dBztWy5ZyzkJRNY2iqHseC2qfDf0zHUQxNW6X+rf
GiqbRH21Jr228h5al//OzFZs5o4vH9BecXaf9kVEEThLC1U/QiTa8tWrFNo7WtditEgpGodpPWdM
sScNSgzHHHvqMpnvCw5SFX21HC3031vbIMwGsucdZERdU1X6x9DFjxb9VZdBi9mFy9AmIaaDzjrY
tZHf9GYanBoEBHJeDDkjrcowGY6iTr5IJvByzjljyFq6rEq50M2Wl+nHdhByMN9/TV3Lu8XNBGzA
eR8FwCtMbisgDpesxQ2GiLLP6vkaEM5zFN34AFf9Iy+sajdP7KWh3+Zw7JhpjyYeQUMAdZb3UeS8
uy5N19pPTzbvcQgiCqEDorrlu2DYcFnE5HtS6z151LfGwGd0OGCtbPwVc1xcpNLg7W2ODVXdbILf
ING4CB2rXzdl8sdVlO26xawSqx5WkSz21VeL2R/lKdYsoCUi5g9LXJa+gXFDsWwlqvb69eSgHWUf
eodjBKnDYiESIQ+XYy2PRwk6HOwFSg2EK7RYAQL0hBbmPr3MrO32PYSIsGaFslLcITh3eoLtjRlW
tegg2Ef5T2fqn8DBc210HSjqeZMVvMWTU29F5ONPKc1VFzvFvmxxbGdLV1AGf2hzsJG1VEVjl+4G
5V/NNHdvvSZDoABNrpwTufZ9UkCWsclEO2aYqtWcKmdNYqS88dTypDZkkXQK1ApnB7sYf5AUOGvD
NPfdou5ObbyQUGBvXCbubP5yT3bRQmnkW0PyOE9gKqyKy1RZEBWqFq1M3//pM58Vj9fHmc3bMUsv
cC6vXom6J5XsGZBOVlLyN+DC99yPdDvHnuS0Gz5T23PuKLj3MKogFoyhvsVlPakp2nUtXpCg6l9i
evuHuqFLNyBfgPJm5m6LTcr7UQDl+mYita2GYWyk4+cy9po17VJ47Gpfu7iNABkUSKAkyihM5Qb2
25uQff7GxxRqMpVCtOC8qX54JJrgdbBJNm3CicMraS1A6B9VaGo4+X18zD2TA45rNHQzmo8U5Ok6
qR+txcLuDQjtZsl4upq/WhxtN4EsfhoNIaaa7N3k8KDIxfRZTd7LnDP/GXuS7bTHkaWk/eUtwDNC
FV/gzG4Tyz10A4v08pg4UBtdISGq5zzIwub2Q4kNV6GO8HOkgDo91E8mSdtKkOw7Afrrx2YXpuIK
Wcvc50n+MBufLtbjjeXAHXcdZzy6LkEBxJWUm6xzKgZnfbhuCYBx5iyBN/eIwLE++1BOnTZ1dvVs
vRo27JGIEfTKnLGIVH33mvlEwMjFCAMu6BO7oLGzGJnuO8O7b9GznLlE5jmOvRcntP8MA91VwrHi
3bwos5Sd5xuQ5qgGQpp6SQQZKe0PE82RjZuTThnhrAW2gDcdZ8l4r4acsA4Gc+t4aYtiNb7tRNzd
Y3PRxAbTBig4aooIe0uvMux54eKszbsViWk8GlP6nUWdRXckvZRd9moy278r8kdvHlM6TkZNpq1a
4wpgM5Oec6zNLxc9yNlW+L0GB9poHIHuDgm/Hf0WlYGBbAtdBzUC/lO/IZG8/5swTR+oLZJ7J45w
hjQOcG+0zcLt4N91wyORUwNE3+ojT6eLEzMkcEknX1UVlEQqs+exZPOMWsg2ltk+RBNlstHjhI2A
nJF1RQVfBtGWZwdETDjcJwUepmj2cWp47pdvU3fMCCKcHil8T7cpKD2LDQmszwjXIM1DvhVslNQY
Ia5LB77AEN4J17nKynkdU8O6SRSuMau2H4eixIrIYamezZ7+VUC6l7fXEwLxHvzSJNvyyDJAAvxZ
Z1CxhI2SorPgJOr50BMt0WpKsSF7ant6Y5NuD3lGfDy5au3Obj+SmYQUu2OU6BjInOP+dh4X2Hag
/JVJSBEqX+YhKO6eazJP6EB6aKD7VDv7sWHDEK5xMp4j2j2r8Kkc0Yk+hHhm1h1nDhhvmIAFtQKC
eORIYbm8CZtQjCQlvk5D9W5k8YIo4CBHjvTGGo2bvmyfXDVYh6h/QnCOZcYwX+ymJjGKw/UqSOdX
NVpya3cO3kuyVSGJtJuBbqrhZh+WYDIUBfhhHO8jcGex6pSmRxC1r3Y9COx7dD8C5NMzOSvgs/Fh
I+BbOw2UIrPqCCVXNJ5SUmS8AeTOQAQILZS03ORkMFH1LLNsDqUzfdShZusEUgsVXVQAAFiLaIGD
AzQtmCWcFEzkkhGkxHXcLirmYOUVAq1KgXYqADyyNY3xFbsC4vSFhQW65mIwSy9RFDG/rt7MSNqE
JDL4xGLNxqAxa/gUZvh1SPFpzn1bzmcap8jWEdJDMXHXVvedShuAi06itc8jyMNU7xsZfbhcWemk
6Z7oYHCAbv7RJxiwq3q8sPVEe50fOltxYsXHSyFl2Ac77zejCd5kSBqHgABx0OZcngyAMVuvZP43
ITKfpEW6gje+6kVcFoa8O3NCrlpJcNqkOQ1o2qhmUm2y2iZ0Tv3MVsYWi60RYsNn2Gfz1i+XOVdo
HGwBVaqTnJZkfxKaM1pjtqdMNPdMXsrDmP9aSfvGdJrcQXa3lSjEH90RMs8MkSK9LT8nRbY4E5tR
oa6uquTOQld9Dg9p4wPrCKYz+APYuyGEU2QJm1ab4TYw3JfW19Y6Eceh7syt7UA5C7skPcvaX4Hh
1ykeDWo70m+hwIMZLjn3rCPsOUSyxwflRA91BbyBkm0Pcqi9H3XyietkAvlXEbIl7V0ZpkiUZxu3
NbiDcJT1TW3Tb/cGfkMI9J7pdIGVXCFMdrP5JZ4gqxhyXZVQUYrKw8ndxzvmoQ9GVZAKIDKcrCkx
1HQ1HA/vyzSN9jqpTGaUAWRqFIaem0LbdTLSMwI8ejGVjQDBIDPtneCIbjx2vg1LPaegBlqmhri1
cC4CG+8EHJeH0LOvypsWv3dbb+xBHdzKe4wims5DOoIHVMY51iQKxA7vAhTvDaIDvQ4yE7qIyI7m
mCFtFS4RTeFXks5wd8i0X2FXZRvFKeDvRrPyaUhUFQLwl6m11CE2Bu+5MjEqgGjf2Cj4bqoiJS9z
AECRt9O8lSJ/65ET76eZRd1PqzVAlH6V4qZN+hIzdodbm/7YRVX9qQs5fIx+jaaLaABpwl4rhHug
Zr71feZ0jbHQa7OaZAeTsjIT5OuhgDgH5Gbc5L6Hl9YPq3Ur/ceqQGrr9gRjplF7DSRyQ6BeETXv
f7J3HjuyY2l3fZUfPWeL7hweCmoNwjAiMlx6NyHS3KT3nk+vxSzgR7ckNCSNNahGo+6tzDAkz2f2
XjtiFVGPxybGh23gCakddogsFE4GxhU3a0722DBqL5n11wS2bZoYD0MGiRvKr8sMYwvmZgNB5cls
oA1FLS2GXvP/qrB+0iDR7ByGBdU4jBtWLHx+KtRAAvHTkoojy64TEoo123OJAK5Vhnt+BgKV1Gw0
mCc1XhrjvEmh329bHQulAkldazVBJmxyEBcznp0aMW9KlxN9VNNWkSkYabYJ1zEOt7UkyYhgX2wI
nBXc58ucy9+EDkpnumcMrzm+odrc9SDXCUxc3ALjLWu1aRs4w4G08b2vtYd4rAIkzRmG8hbKdd1S
8sH8Q/k+3qYieGQaiaCoSVHzEc24dSS28QGlUD1jRqCEOw9iSd+tocc7enwyzXLvNyQBRC6Q5hH8
1lIdF7EOW6bFFwFkofOGQrFPbeGuJlP5TsQMfo0w/sQ3uCE6CU25Zn5DeeEsz1EIM6bhCxyBokDT
AdZmFoIxBanQI+PVyB7Owi2e3MY6DUYAqhbxIohB60GUMZ0F2RNL31v47C108AnrqTxH5jzeIwl+
NBc8QwIoyLAh+HcrNygUbphkL+L8JGXzSNFseeLdqSWPoPmiyCEiRSt5Aba8HlOzPNlGQYiORHyU
zxL/VvcnCjQCQ+Pxo0dq1NsQ7wNBZ5ehpHYTJEAWD0WX/ddGd6Nom0/3NY6+rdWIr9AybnFb7KjM
BYlhTjPiEzcRyRigrehl3kbiHLH/Q6ZwnMVsgieFe+PeQkKFZxvMkSRA1EW1hUg1ZIWPo2ekWN+l
I8AQDrwH06XYMcj2WPc2vnUjy2/SqISvPPDf5EV+LQOoHW6QoKGias8KXEwNjfZ6mhkv2BRBTn1M
gvGQ6cK9Bh1lVtK7XtNjzXFV/AUkDrjRZF6jLHns8EttJ00fCdrF7yGZrK2IXmGSjMEyt0tQbO5R
z/F/WVqi1h2yAWgH6jLG5MXHGtV2IA5V6nwXcVXt65ytTtgTrDBb0VdlYjEuqWrIQ/F4fDJhKrDE
mFY08Um49a50GZpo/I7QIX4B3BKCrKZmAeX7n03qvgYzmi3T6e+gKVc3etr+ATacbt3QhjXSTgem
J+D2mvtAcU1C7G1Ix8LbPr3oXbqtDQuDcUO2iZQDPpUJUxma+xmPmK05/sbi4QPNBKGyDMG2lY5n
6Ei1EHYcJCTcOgMDBuBkqcKf5iHcMXfwoX0tJi9cho2LzBzejrwxMOR2YGOsvtr2IH1XU2Dh/keJ
LhhHUwJae79YSE0NxdOMbhY5X7yVdf4zmO5NoaoviImvfcvKYFG28PTKfb3wVCoRA0xBvUcDuA9B
G3t1/lxGNdvLbjgguz3MLruxoZjOWIiUYE1vI5WiZh4y9gGpv+srzcDnnantZKvDNOtsJ/Cfrerx
NMiJRz2rDXp/YuEtntXAttHoVu02KchVsZTy0hH8B0oLkyGxzygxtN7HjJhSuwye0z48pq0pTkOW
/HHQ7MOF9sUmKoInq43MdaJi8mWVfDCrPygv8xsensQfVvsyHu4x5/LUDP2cNOV4Hdp2vCXsGz+b
S/vB83llIDLbpiy6yiSA0JO4T8KWtxZ0u5VecyAnbk16JFS0Kcj6Xd3qT636HAnzvgkMkEWCbah0
froYOj+Z8eyj5/Cgt5ji4pRUNsuYj4LtmAVutqslOixFxecUuc3oBRIWf/uOsJ8Bp1Wq1kMVxoxQ
ccUIQIqQE20sOhs2bbCLg7dMC990ysA0LO2TtIFo8llLjwAoLzY/mA8Sqeno1qpNAehMsftaDtC6
Xdp1fmv9Rnjh2vIRyJlyqLfw66Gzum8J/elORh1hIi6EDYWUP+fEWxn+4lG2xA8L01spWFah9QNz
CKrPwslJuFcFLlpg4tASXC84UEomSxHBhE1oc8cw5GFyscwwRmo/zvFI4fcqUJ0IB+kC0/J1ouNa
7JQAvJLfWiynKml+kzdGcnkn2PeUd8x/IzBsuuVZFY0HHpEUUruNWWKVu+OjRANIu3o1GMVZgSKb
PrqKxv8jORDN4m3UUAYBq3kgSwSH5cwy1OjUsSCS2K0pQqk8mAAEhYcL954nUn9IzQJGRn+w+CE+
pOxAzNtanzgN6L1m5+K4ggqRihPPKM9ruH9+11j7nmweVnba0TRIdcfisRSTWNbtlLgmg9DRgX/T
YmSYMHHqrj966KfgEyh26yHgX37b1DtfWY01LmUh0UXUkUH7JRQ4Cqu1VjNlQeubZ7sN2Oi4GSnl
BsegyZGIm6uj10LMF7C8zAieCmXu0BNX5Dn5/Equ1K2+sOtIVXnNyQ7Qqum+X8whNVp9tg3zCm57
gJoEc5ivI+9gxbDL44UgVETa2qc0XFl1+0JPBH2dYX6cIYoDNYC2hK6/DBjPjrAHXONDWYKxW9wf
8ZBzggdVA5S6vk9bHelExbtNgPoNPvqxyIeUgECJxKUIUYLhbmYN9p3S/E+27lDY6XO9soH4rygt
jOgr04RNnIxzz4wCtD7r7hSXEPk0Lzyu9mjBfig0K8pCecFtycqq3Y49X7uOJ8UDjtho+Ub5QETV
fLLIJVu5g02PV/ok76W7cRzDTaegJ4gowCOF/XQ9ELE4G6gOubSObUXHZEUVSdc+TzKQ6ruezCea
BKaOcUC2Sw7FVOehgHZpNblMmxhywNRInyg0HxLXeQ8bBFROXL22EmGoxLfFCm0ztyEEWoziiFTH
W3DCM73yIVFsKtK+WJguKIiCBmuUgalHzv7ByMYnHSZPzNJllYiGz7hL90ECPToXvMuKVrCd8jum
Qwv5hXwOB81z8F1L5i9la2sQr6K3RjD1mWZuXZrF3VgOQHICddukhrN1imoihVh7FugtMwFmvfEb
wYZguhbSel5sr6v8blpYBxlOPzC4BRnTTAS61vppZ/e1i10AHpBIfcWcsM2JS7QM2L6/EU6zZdKJ
Ovt+UDwyy+5kljUno58gLY7zb3tCkIhW5xGQCEnQm4GoJARQWYlowkWFnjA8kcx6mT5oGKT4VkL7
DhyZsXGS6UP2yRMCo7XZJ9uyrs65cgjJaOdXM0FpN4ITFFJ9hBq1kT8bB7+TJGVZ20w6Z4yC38I4
aym+cfddC5HbEfaGru57Stl5MiR6QccUokhHPxdzCa3b7MXpGTfSN5Ej186kNbqfw1x5U2Yp/Dmu
BKszsIP6KZGYbvXSf5uwTC85drKL702gZAt7yN4OqjpWyFSDGQssW+SLQgCSGfAFLcAqvmacTJ2o
qkyqEy1hC/PNeEmG4rXs9ddBJ4LWaD9FKe4U/JhSUmNMy78s6WznGryIQMTDfv3oV6jOzJK7Q5VQ
0mcGw9zGnLY64EHdqr+VNA4EZd75yFLDEk5CsbwGPQ6PEwyBfvSRdcWNB14PmQLjepiesyKeoK3Q
bdQk/owdK3XEH8Ha0DsOPXpC6OEvbJse8e0cRQwtiXHFnjaVijKELKNRhmNIQMAib1U/x8jpk4uj
mefOzg++HXxZIMCm4Ft2OBOg6z9mTQxqmt1XFlmfzlQhh9SD5wHi8Kqxp0s0ji95wBXQCGY8k2se
bLMPN41hQTK6lYvAJul5U/jG6e0r80HqxabB1xZKTOjSil5qrXp15lyuDhyIn5nZwUWGOAOjWmyC
vH8zBxAcrsWiQ5sV4CSX+JE6eibF7lgNPSb0yMEp0Zwgu/TIw2+M3MU0NU/7VOgHbLi3YUQUR2bR
lNAIG2ULZHn6KgvSNzg94V5waM6HZupuSb8+mNXwkXfUjw25O34e0XAeiSeDImPjtZ57/70N2BZW
zbHQ2VAzRTJVhARd+0qI0eWhgYpKyvLTeBMUxfAO7wuA3kFAxZfodPNDJQ69Mz22ujwrQSJg3eID
MQESofI6hW5AcFBxn83JcaArcfVHG5Uhu6/z4NR01T55KeWXZjf3NmKOkQE5wEQmsy9Fz7JPjuOO
xseYqqst1KlW5pPMh2vYxp8MiCrDQZLjPFRGe8mNfkfmCddjcz/HccPb7TF1dUzHjJAKtP+Rfn8I
HBDjqZ/z4K/Nhwk5tmZkVxQlFJG5fGVtekGDeedEEPJd7RJhrR8atUShCQRMSEVlJT/6rkNZG7Bn
dTmVDPL1hH82xZl7BtTQ8ocx3gS2W7QOe8qjZ0Ss0F9znvTxgAkAmxvJ48F+TqM/M2zXOpKnPvrp
cuPSG/CZo5hLehLzm5bEO9hmLHk5MFlPXyrRIhsnPKumamwG9pjN+FFayYKj5i0PBI3PdPtdEx2y
FtM37vinLDKJ5/vR7OmsBy35DvquxWDrU8zNXYT8v8C6EJXpA1ZZc3Y+ItoSvmkiMliErZcNQVrA
Yx0UFyNRR/HausGwuMQWZJ9hXXommVy0kIgex9bdW0QZUR8yqAroZigZ+LHWO4JaZMs8N5TJFbu0
ZFPLIYgugXmIz+dlmz+sspgD6PFNwWlEEjwXEVKRd5/hIWTZ8EOJgPmqar/1Njz6kXFR47OTgir0
S/bpU28f8k7cuw7674KcqMVyxNJtLO77FIKBl4XqXYCSwYvJxCyc/1jkDCDLmG+I/3mZQvnd2Aa7
hpkdtcNQeQ4DLseUk7LEhZmxuFUW069iqlelNn6yGVGrBlXlwKiAboS+gyz3R5JTDsO4rKnKq+sa
j5NZfkZ1wt3KkENvgx/fjq+Zst9a9kAE5myavMMignGHh5A4Y4a9hezaABwAAluTDbpg2jqAddWQ
Xy0Cx6eYJK6kgUVoaP227BK2g2Z1n2HzbQODK5IiC6V6jFiS2EjNoWGg2C3hZ6Q/vshXJrAROKhn
M4rwd8yA3nh/IJ3hnzSNAMvWxT8wUBA5PA9V8l0iys3s+AE2xhdrOW/QFw+mHOli2++S0yQvMwIw
dTrmGek56q1tYWFgAjBrvDqMcQFF7MqsPqhWHmy3vzHmEMnmAkVIGGLDUdppdfHiZvU5IFpJppKs
94XBxIIeSZFJ5Rq311h1SIHx1K2ckTvJ0h3EiMmulzUA9mVfnys279GLHzpP9Ep3Fj82tR2EOE74
SDjg7LebZUckpH3jhPNjH1rPLYADY34a0EQjvz8rld3jk4bYk5l/2n58xs+Cf0rDRAVn7m7QrqGa
z6IKiOCKYVjwUwKxLjPAqmJ87xwyxIAnsRsS5lWvFy4NiZC2vuBo6eJQzBb5qmxQ6qWCQYNNXZZH
6RENrcH8RHPVt8vG9jCCscJXYCCKbtelHAhjnlhedKmNCR6uexE0iTfY9sU1eOwAufKMon2MbAj9
wDCfXFN8hLjUpcs3zj6P61sCUKSjvdi942AH8yktSdKcC8RDFq9ZFPpGMARa507z3TUJi9ew24fN
+Kzq5ZmDXHPVhunTANrOhmDLnYrLRUKB1sJxu4RUZW3oWYBY6D9LjjhYRWBZ4m8IGI9RFW9atsN1
5bprmg4+yiakbpyfm+bNjbFeF90jU6iX0irRiBXFu53FlHxTvNUScYun7DUPrpYe/WFsE5tk5jjj
R547J4qoU2PZTJVRZ2dVcrJ6/4IpWwMQ7j+J0Xbgw6SU65zvLvF70NMnYs9moITzjcPgYVX06QPl
MMHSPop7uvNVn8/AtFvSjElSagRDlVK7HYrwzRE+iaiV9th1fCKjn4GMEn6x7VzPkkDisK2B6yWW
uh52I4cTGou7KuDsaolQxvEOdCZuxie7tU8pAhTPMZvnUCISEOyT+JQLBju0o8bUmEyvo4Oc++/l
5Y1lAL9g/GOU0AmnsrtES+HWdZQe6IpqK8RanTSlV1fvqJCKo21yCNUt9hZd5/5lMI+6fdYOKjsU
DstjxANLXAS0+wp7Q7C4lLS0v2Q62jE77QkoYDhH+CfOdWnlxyB1iNQYFfMUOT4FmOn5OLEDMLJV
nt7FBsjVp3wE4z92REZ0EmtImFx6i8BhAn9CXXF/1x16kPFqasBpi4h4YHUf4OjbMEu/b/ris3cY
n8qGaUFPX8Xic1MtXZprC7CYEsnAWxK1qF4DtmkEHn5odXJbM+6PZXeHmlb48eghkHC3OsFtcXgY
m57uPhzIiUn4hK1q7qjghglsfiO2gY0ZHNYNIYrxZ2VDcQTS8Dn2GNaYHmmb0CzhB7T6vHXYIaqK
TQEDaAI7C157SfWol8Mx5sN1e0JRg9A/uQkG0xmKHKJD/VT64C0hYRCC2QF3iJejoozvUTBdExM1
W4MRCjL6IDfzIPq1YTt3VkxLbMkRQuUJEaAOwtQ/9ib1oT6Nk8calCEBYxLMAwhhnPRH5B1zXEsS
niJeZcEboglX68qxvNCwzV2WZyfJH42odSh02p9wSSXkn5l8gtXssmoICj3fQV9gKqav80UzUpun
1CGYqK3UPefKmZ6EDpUYBCTUKB9G+Z4aFIe2KkELZkS0tbYn28GAprQUNiZ2C4uUXHfexeSqZebk
odZCTWzyjK9Keajj6cL252Zo9FebLg126wnFrN4l3xNR36uuhJndZgEKIjpveqVNwi59zIxxNZh8
C2K0wMFyGCRDSfYUhhUz+FQ+gYeZeUNL9SUZmadl/Jj1wNOiEIEMGTHlSOLjQmI15lOXOKc47D3T
T++WX4tO+7Noad2y9orJDHVUA9cj4/uBULATlVo3xm6Yu4z9Jql8xWR/BTmTqjL9LKIbdHjp2q4p
1cwUFHoAWGcJYDV/tDl8cqLqyw3YqJFT7qMXXV5jrZl/CDvXWJXdlQyw92385NjsWZkw7SPRs76D
nQCpH42gleCQiyDwMl3HlwDIxPdJ5QmYhuhPMRPYoJwew7j5MgmkjXMTVKJiAmPgGoQBFiENItfK
NE/zaN1WKO6IA/7kFl6HKYDEQT+zPr0G5NlpTflgZkuVVaOX78b5PDJRKoiTLvs7P6MNC7kcyCSk
qyYPxTKJMa5VdSmD4mcohlNHvsWA5D5n6bAynNSbDaBLbTG9Y7D4ZBO5bTvjmerII4T8wWUgULeM
D0qO1szAPdUtAYFPtVlfuLv3TcHckLyPQ99BQfdnrr954btbzetQuisdxctqNrSHgG0rkm+H8Du7
WQVYAde6HXEZqWzD1uo+d7IRNX4N7NBLQVAu76GuAfnR7xb1a+OgC5rS7to6/bOteBQJ8CtE7XxR
eWK2TSEK9yDvbDcbVpQdQO5TcU+H8lll8t4sOPwo7Qi3UMEm0PpVG8Bay9RNTP1RcNwTIyD2hHUi
n9N5ktautSFoYK8vn7PbjXKVkn9LS5Gd/NC8twjJipT5iGLnycKyqhn1pavqazqONBJ+fLe8o14S
cTcA+Avnr86cd754ivPyxPrns4nlA6r/Q5Fp576/s7vp0CvtrZlIf6yvrUbwoWLbLir7tgjVfkFT
NQz6Aa0pZEwuGuzOf7NdQjuEjcfclzCEuuRe8shk9tETOuHupg6MuUSPhzp/NTGrmQxELw1sjUrS
EwHZzaFKy3Okl15nSXibH46Dq6CYToKdoFqu6VDLX8Y627vE086OvDUM3OBxcxCze9O73XmgnfAp
o6TeXNm3HMo2RbnH3scZL+zVDXxwScMkMzTqx4GdUsvwvg2LWwi3nJ4RJ+zSqkdW2GzBhqGTxVcZ
UjdllXYyRnQpRc/MHJHCNeOfpiLQqyK4MldsWBP6zI0fmbdla9ykc/zSA/mWmsAnGem30YAIic0W
fXt2FooCwEUPz7FNWlSfl6880Q5jcj83A3vu+G1AvQPskRIOEku8IDfvFPJIxEKPpr8tRnEteyTb
jhrhs2gDiodxQCYiCdkrPkoK9jTiGhnMlOe/5ZJv5ZINyLrTUygccYD/4Lr61HP2zlVdZ5vpM0JU
sg4iQr1QGaUY0N2UEZZf7Ey/BeTqhjr8p+olY2zZCYvppoOWPWY+62kd1nj27My7wPV1z9APwS+D
x/ZhvRAaDXEXWfVjnpH9V043dp7jrcK2kJvU1VEaaiul4163rD8xDTrBBmTzmQVEUTRfXRLgMUk2
Nulx625UAJXKhrIgQqtjYS8YcEXkVn4398nyOFlIjDMjEoOToai1dRzcZFCjtlaXsnuS9S65Ki0L
bqKCJw1QDYSObD4d69NPQgb1lrbX2wQg19IEhBbbX0IuPJqup8I1/j+25c//CbZFqr/9x3/57//t
a/yvwZ9i89F+/Mdf/9nlI/vzj78hAf1XZMvy1/9Ctmjy77quSx30LqQ2YdkGfzT8adp//E0z9L/b
DngTlyWTdG1IJv9JbRHi7xBZBJZkqTu2CfHlP6ktwvg7f9UAs2cagIgtR/zfUFuMhZXyF2Tl8P2P
v7GJgw3jSvH7O9BI2vq/slRYhSjTZZi4zrGmPwSTuh3DOd0hTuz2QWmJY4EOgES6iuwlk1khRNqI
FYz7J4CAzJknbgZn8neBxtAikJSfDRiKVcD5sYvq3T99qv8b9Iu7MGT+9cUutZ1pG4J37poKls0/
g19Umul5AkxsHY+wybKZ0Avmg3rD+rvXMxfTQjIh4Bpvh5BbRPmYUhUZjq6b3o4+ucN9e+c7INzb
1n7/fV+dhuHJ0ZlgasYvF/I2gDWJl+Q2EJ0isy6hCPcN6xiz/t+4GcA4x8Ip4ld7PR/F0ZEorzRI
CwE8rF0n9ypu8kNpGlcALbBYxwiQuRb9NFCcVmzVDUxfA5pjczAqXp++xwrJHJNMAWlqyaGWQ7e3
QgbClTybY0EYNEGvxwhz89o26hc2VNTNrV6c8W6496LW3P2sJ8O6ac13NyHtyAotTBTSOgT8kKxy
ikvF8CQJXACWzK6baZAngc5tlc6k6k0MwQjMmLypY3RnMQE/1rMQ5Apl9FII3vwISZQW0EMNIS1M
eTP7415LbOe5mfJ3fUxuMOITE9vNzg3xWVj//XDz77900/pfv3QqUOkKQ1iGBV/0X7/0egwdzU34
0o2e4VnZU9h3FYvJCn/18fd/8JU0R6TrN34lyyOrvOuQI8arMLOs2frHex9/Np7k+lUPA4FNj93x
XBHGpc/XaJyoFckMDh3HPwlGGP/+5S/39/98zSpbGq4JoMlEnLbAjP6Ji1Qp2sLZxAcZMds8FGlO
poGIo8uyBGljcElckLsJg8lq6jFExaR7q6T0HE1eiqwkSgnxUZqYEsyzljJXSdtNgdXu/+FV4pLS
LenoQrq6+a+vEuBjPZkFDuGxmm9R3Z2DBBsromvwD5MZHUb9Y8boQ3TQGk10d8iNWhzxyBFZUSUX
jLztJg3aR9sZLmlqZ0eLiIT9v3+NlloeiP/6WfKs1LkOTNOl/XWt5VL5p8+SmXOjZIwGoiuLACJj
mJ8UHPbJ1kmnsFrC8jTXi2YWiHFrgnvWxdEUZQothMmFyf1qschKg6DdhkXHUnYQybrSu5J4poLB
PZpyqEQ36VQf8bkTahAkR+St5e2AXrSkcFSlax77opcH2CfUe8vTIwVG7dHcsBdOwF42y/1jRdGT
UEnL90rjlMWneEidtyFdktBGdqnyo4FJuNP9acHUB58m1qU1AePLiPDeBdJ8tVvWt2kRUxWFX/1s
pnvA3NynYXeyK1xQQ2FZhyjBFszUTW0av4P0NAw9GZyEebKhRjPdOmcfg/Dv80Q6WvlWuPkbusEQ
Xw3VYdJED9XoYKzJmFTXApcCBbxbsoaBAhtdUJn0SWQiT4C9mxIi41rCC+Dv4QLNxq0xQBuqi+Th
9zGLaSC6MFC6MuOAHlNEL+HU2Hs3Ml4QEGieGGkHA1fT//qAyCff1aovzgkliqmBTdZ1+6Q3IfOM
FGkowsfiQu/1EU196YGOJaaAKXseD3t0AjzMMmYHCsGa41ZfvIfwMM/jztVxcSCZDp9Qwr9mBoP9
dGGP/37FShYaz2u1dpStKLTyz9+vahjk2XLlMeMrHqbS32LknXCg55+2rY23heazLxg6Z0UuCb8X
xic0A/HY+CawmBGdpRi2koy2YxbhnV8e3aPJzZD41aPVZjoGJRfmTwuJZYeeJ6UdIrJQERQbxGa9
d4KB7aHAM6wMfnwY4qxuh77xiolvNa6mB73FU5S22XNkRjPz+crY2KPYDlFHb+I71kM3jyfSZQ7N
6E8eb7briNHD44XGvEdnzQ7N3Y61K/cJn2RAlIoDIvBCMjrxlg3KpzqctDMbMNxvMdynqiFzsByr
A5ZXzSuzWBBqoPadZTG7USNfRtOx7Uf9r5VN8Dr8VA7qZp07g0Q8juCeHVRoM8/otEKHCE4CV4Vr
p5YzM32F4yBXmK6zOsY1lw5kIvisFYLqy+ltdsSDdqPLiPNMGF+/z8KYLBEWD9ambDqUPfkAL8Wr
WIl6k1byYmb1aTQSCtzyyft+XbCOVF5YGeKI1Pzm95ufEnlT+mLXqOE8BwgfIL0a+yhl+aoojY4s
6a2VREeAONvK9r+FEGKUPbJcsRvU9GJWvX5IZuNap6NzyHz3u+8ZLsuCVRcqS8BcIZXGZOW918nX
1s6eirJGddioe2IWnCsTbIQ9pxhXwe730y9teDElA+FZ1PUO0pb/oOiAkrm/FJKBbLnkFboFdGG3
xAanagfA9CBID3WsG0hXdDMQX9Y5BlkTK4lVGs8kIqADWT4FEp4eGXTYW3+CAZIXiNTTvGlQYfge
2vbVDLr2ZlDFkUCW8joG2yzuXqrE+eEEPMVGmnusIoAvoVbGz0Xgs4B/VCI0ThoUdH99OiNNOcik
aV1MPPgS23w2xzC8Eh4TxpmHe//ye5t61jJIFjW8M19nAA8QCJXhIMhz+KoifdWOEcs8c7axXwwo
fJCiMu5l00Td2YEkZl+NK7qcigckbtsqz6z7qVEXJg8oaZtl0tEtc0Gfazmsq2Tnkvlap9nn78f/
+ySbfUnseWXcI1RBgC782y6TnTf6tH6pL5nqtX7qs7GLh3MfFWDA9IHPEOnZ9vciki5TzpIx8183
s1HM2aUpo00kuYAFQTKEWA0FwKffK61eqjJj+OvpTA6w51LIbuMmfsf+2FwZLqMs5IRvguzSLYTn
0SVy1y8S+wBEwdZdqN0NEM5MpD8OK87YNKcD5N9k40jUrpRCHcNssuUSelmHBScop5r9coi9q5q6
NcRz3xPzMnYcu6vLIbhOFc3urOHs/L1Fotid9rXAF1CxF9V6qtbfG0lYuPItO9t2drhzFk9b6Wg3
SwRKOoljNBjRRho4vOqknra//1mctjaT4MLZNUY/g9vqYOd4U4CUMGFhcwA78IOzbsuWPdlREfye
v78npixx8PaIVNRE/q89j/lNBHhvADgSaS1O9RDSQMO78wm38gbIHJtKRQ9uPSPt+X2mYvN0GdMd
Rz+doJ1aKa4YdspN0D+qts4esukrxsqD+Tt+jsT8CGBO3cCD77Y5UId10Bg2gWqSDZpGnGXs7DXQ
JDxc6dSDpM+O/sAoRVfIL0v7tp7T/oBQ4TQlnXsl7ccEbnTuGf1jafLNO+cVcza7qaVPMnrCE40g
I3ayiZj84Y1xao2zHX7JTZvMQGhzHFSuU/H9pe1420T2RxCmujdUksFeTAxvNCIXhVxIVhx4NuZK
gye5bcwIAy1hpVvLmvDQLM9aXKtEWYEcQ0RS+HsxBXukpKPXIh1ai3RRoP9+Vb2F8phUNC+pcn8X
p4hFDJ6JAXL2PX5/Rs2A4lZVuQScNmDf0+UWcgjOYS0KLQVJxSoyeKdyxAxYaj4K5plyJikpg7qd
1gbxCxDMnT2Ql5fqdXCOdZBnGiPLrNilrvmhxbp4kHX6g/UOLSkenlwHpLyUt7915u8VIbiB6zpN
T3xCFDNuc4gxMdyoIF/HhVXgYenRvmcs2DgppkMnTTh6Uf0VFX3udSC9sDwjPYRk/JpmjbmeWXhN
USJ3vz/9t5QtmF0ZNbMpmCaUhszed/pg7BKFOWruAhRG2uRsI7o2EnT1t8Jx+r3tJ3trHs1V1o3t
vZ8wAlUTtXGJOCmdSC+0eTrvhDoMEfpYI+R5/XtOlqmFYc33H9IR0XXemCdbNNtQxeiBYfk9zAQ6
pMwV2L7Z1iGpg3d96MDoJclLl1KSpg3igmRZqIUmHXXYznds4kKvTYVLEny60di+41wrNtmMytK1
CywvKtB4JtYHpNIW6dXYpzozT67CIH35ARSZdeDTXwSs8vn3yNaMD5PUtzUjCm+m3eBAJVxrqPxs
3QXEUhuoH3FWUGv83r6JCuatHU1M5sYRMI5xT6QLTmcLmpTQFy2jcMOLKM2FRhZtDPSkO1YMxkbL
l+pZcpf3udA9jYAqz7SM6lBohEwhwD5KaAsW/Vgxc7CFmSo2RSF4FC3FSugPwlMB83nfcrXzX8/t
ag5/CpfNr2Y4jNMYaJPmOpFtvdTzumv7O3foLnXD05KGwjosz9S47fVPEbo/VthrZ5DItONxv/1r
UODG49ZPDVbzbokvSUZ3bcdwMnV3v8WYNNQLESDUgW63MNdpGqz8NBJ+0CwyyZjI8zldgP3LGWw1
S+49lk9grBxOgnQEkBPGbm6cg1UWrodBX9p1fSyiWzxEJNcuL7FPkxNCaibl+nRdxgZJUaDgwzLg
LuIlcODVAbjO773fxD5ZKYDMIbLapFon7eMAbZ2u/qJQQ+M3Wf0+SFq8OOSJc7kXNdCdbkYCQrBO
wUj9NDg2QnHKqCzx60s+R2eCHc112wXXrGycs05+H4WNKKKE3MziW8d9RBsN5Z2uGRpAxa50lGwX
w4lEi8wEfsSQeds19bkv52dNpdVhRoAcWv1N4GubJEYlzrIZfT0S3zMmIWTIRl56v19AFU+rqney
jYGabpMZPeMKubgk43L/ewkOLNJ301TsGp/41jCvGLcwQml7JLArAxwBg3js2aZACN7zpRDFGs43
lWWdnQJdfwNbyKjCr3JGpso0PMo9lnl0Fbg2X+1ZXJklPE59fQQa6j+NfnQ2JvvRHv13LXAAw3Xs
TgFosfIO+t6+J5Os35tNxzTcJd6NBZuvW+XZydg8AKcjO46vbGDctILEH29tRZxLy5LKke9mRcXa
lSz3BV6rCm7M/2DpvLrjVNIo+otYixxeOzfd6lawLFkvLPnKIhRQ5AJ+/WzQvMzcYPuqA1VfOGcf
Go+j6eJ97Or62xEJobpMFWF4zyfdQg2FTgErbpsQB21CLNab/2TLXH8m9YTup92oOYG2w/BuKmYI
kf0A+iPFdgTQdkPSrYObIdNHhDrGn74DeBtLsXDKe+OiLVh6JuL7tGaXmWHk3cUNQcN0jtv1t8Be
24246V9ylmuzMadnyBjUaPr4NhINh8LefJczAW/KwhqAWDYgvIdnot9Z+vDPoTOC97o8aC/YOpFQ
LesK3fnr1JSVdTS5RKAH+PWGci/cGm0FsZeb0arfcBwk4VAhiitQtseVZ2F3QwPi+E3ot5hZMqxR
6T9pXfJymtgs8pu11K23LKDyzIdTyAWZ1gi8TIEhG32WPg2Id1qVEPUTf5iEWwFzay8pge6sQZwD
zwSq25QAp8ZY7mfL4QZEg2yWhsbpL7OD7bkXl+/X4iLbuE1RwdUUu8ReVDGadZ1y90b9PB0qwi+2
0pkY7dWNjZHEBChFekcnnhlcfGcs1ElkgF5R90UEqAy7Oc0UNiEfdbwbMWhECu5P/THoqazsQQvn
KviTZPCE8jSdCGh1TsqC2SSIyq4E2w0WpfvEUv3FLX0LzfjGZW2+Y8MDWy5r/whd7cYRc7KP6QvJ
e/rHHfTf2EjGlNYqomhhcnXuysI7mjbrRplYp2oRFC/vS9x5EMlmssOaOXmri+mos6E5zXVOjI36
m6aPdgOvfoYTsvFsvqOD6MeThVt6+dclFKVTLfWLm3gsx9ukfrSadNyO8ptuV1wiKnRsx3c37xxc
e+m/pCY4WqHj7QWCj1FPM+BHQb2pc8Yb0bJmcfg4jOlDw25PoUvWCprJreVmMSJYfu2RH3g3dP6F
SIkHtvws6KrjSEAhaVQ1zXz8RgYEPFzGWOwsaWtROjkdjYb9PDtbhzXiQ5NWYaq+ownKYtM8DVg5
CgoH3HnSJmFPXIipjLKrYWj61cEZ5wbl8xQQj8YpQebGtzcuh3YPFrdwnReyB0OnFPm59/lgatGf
s8W64yVfXa1DfmRIZBqEPPOwBBtbMjRodHTQjv1atzp+0cF/qwztCLxw7+R/HKcqtkEZfPZ59Du2
0M+5fkQYN+rpXKBgkdarC+51D0/tl+6bjwGXEnSUJwrMByw/f6fAVkdfBWGNOLTTq2lXG6o+tLmD
adfTMV3BG+gj1mOyZ7PulA7LMQL5KPAHj7ZpFPk9Sqpvru47xv6Ie45oHI1sNxQa5Gv1fFaFOBUN
uRUikU8JfBvWwYGGR2mgxh1Q4QvdeWsQAnWsxxuH1yhzOyLFGuWb6nJrF2PTyFNVbyuH4h6K6afp
SHdvdT2WQHqBogRcLRqlYX1IgAzEVGWJ7f8eVHSKsJgLLR3PLt+cjNxYv06uELO/7QCd0ZwZL02G
Ard2z6iuhwc5+V+9S+hF1NGZ+UP5HQsIOeAfhp10WkSIZt9zobtQciJsxawcX5gZh1k+N5fYjhA6
Lcs9s2luyjLPc0yEb66oZiqvcvZOaaijRorpXHi7ziY8QxPv6POavSMrynWY3wF+IO6V6W0a7eli
9zm4RQAJVVluYfPA0rSZLH43y1GGRIhrwJXYv3t549PeZRHNKyWKgVAvcvJDRvocsWa0ipXYp5Ff
hYUKMyYReEV9fWcVaKDb6JW90rhgqhgY5cZediDek2G6lBH2krxFIFbM1bvb2/2J8v3bNF9Ms844
IF1zr8On8poPYk7CIEVeOYv6rLdRTX0OWa+c5HTo7PFYCgXqGrUTtqcY/Y8XpiA2t73nv6cIb1gZ
pGSzsS8ls7u1rEfqDTauDW4HCskw8JJ8503Wg14He/hSOkXJpPbsdxYLM5saWT/6PSd+V/iQoyZy
502A4qqBO2i3TAE8q/y2h+5e+oeuYlYTtZANoHA0ez5EQll67ZTj1uKMVi858n3MlpPcVUwNW6hw
9ODyOshFmkMXxVsDhXLuwPbhQgYD7DjHwek5BoP5HOMOBUw1/EUYhd/JI/VD9QH27Wfm2LfK6k5O
izXVFbTcgvReO2ZTTeQifgqPJFpThl6XEiHjuYTePpWWhiyzLL+9ASr9VH1OWfULUds3m3CSZhOz
C00NaxxbRbEhMw47vY7q1c2dat/Y/5hspk8ET8Jox9GKllSl+AyzsBchs76lUMfhIzL3s/A50ZQ0
n/VUQ2zafbMj++gUSvzBaKAruVCH7bndF4HL6Yup+aL6egrH8pU8+OxC3i0uLJgIGvfTiOi11fKP
GQUTThFrRogyAkYdFw4o9BEeAY8KwoS4Rr4a17HJTTyRPoD7kl3WZjQUzbajnrgr411mO79bx0X/
4Q4UUoUT1n6wpxjmdLHZ+kxxd618PcKgxU8NU5YOjgY5ni/Cn/6p+V1DaXV2dP9likIYbjyCiljM
rqJ07wqoWWaSX4Ct7RXrroPIdVSsF29yh2tR4RBhjPGg2ZQ1bmmSE6SBI+b8s3NW90Ncc4B289X2
o7DWym43CTQzc0wGVmQTClcuyjnsJbxhAM+0BtE4EXuApODKN8F8GC0Xn83dHbDeDn9x1v+LTftp
WkIkYWS+9TMthLKHT+kSysP5hiTI3eiqAMs77SWwmt2IBurgVwQOAAp/7QnkwLi/EXcgGtUt0JSB
bC5HKtbCLXSpmbfmsyRmlkeCQQTZgdgTaaj2mUEQhoMsDvR9XAPxYDYWPCRorScsJQdQle0eRj51
WO3qIeGsX/2QzgcGxY9FjawsCLwngnWKI/msr0IR2l6hpq4Ii8ZRhS9IxBdRkicmvfmTsukeZWa+
H/36zUa9gvKlc3fTAFURPzYlOx5QBdaltJEJ9wSLgTRxjtngGYxDlHvOsd/vVKN/Zj1JgJpXP/gz
GlNnByMNoLpkPFKI+rPyz5HRq33UeZzdsY5vEUGf9RlXBRHxPjIWyAkpk2Gc8aLzWxRX+cmw1H9z
bb7YROzOC2jGihkCtLHDYcV57cXt7wGZTpy84OkPbQow/J3Vjv4fMU4doexBdLhBvcupJaErNLWl
Y0OjTyCKZSfYJkyCkhVHzhD2bnHHWFXsSPZ0iin7kyTpuSKLvE6S+MkNHtnJvBrJWIULMmuoclTW
5gxDoIf1aNXYWIUewX2qEYQYPilApIt4v5CxOqFMUnRuy99OmaXdEr9+Wv9lH5AU3WVXq61bqMU6
EeJ5Mj+uv7KR6CG7HNN6gXd/W1PYPLbL/zRiwLsmAakQNWU9omq0H1XGuq022v0ImYHg3Nz7VYKr
hXV2UGlKqZghD5BTyT209rF6zhEXeA+IVA51UG8bUODgRjq1lQMpS65Ytp1RhOyNeeF2HqO9mvPi
OPiHNIvtszlV74lXBgeOqp4mMK73WY6ePFm8clnlbteuvp/8oygqdY96x9u0JeHAvoWCNRvL4myI
96YbFwtY+Qhhi1DjfFIHO8rbe2n5B8Ir01sqZXc09YsXcSRN49ycgQwQGiAga0DhgTnR1s6eM8cf
uZaIJ6b7rMkhAWBi74elGRVz0O11/tHPzr74TK00O1LiYtKy5uGoaktBRaQitljHCN5EBP7sWBVo
kBkL/YF9X7cBVGyf5uJf13TNKxfTqqBY2v9ixMovorw+APVJkebDelPG/GfIeNWM5ujSPmmjoEcy
NmP6oJA7yPEihtGBUxiPx8UFNxguN3X7FTepSe3kdfCOYir4ZCIwE4JoWVPkldGQXgGs+PjpFaKi
bIj+zSZy/apHvxV3FOKy53i0BZRR5GxAE7SoCFuXH98ugMSm+lQ/olWNkbC62MaAMOSOf4wDtCR5
171SvKVY3CGrmCbL4+xe5lP62x/faAjYgNnpzCKL6Gspv5rFCBnkzbvm9+oJgzr7kGWsVNHbizj+
LVK3ebAn2EJ6SvrybL5WogtuVZ0gXAuyf90EfUbLI/opr/fCeXzzI8bc69TEb/H3jkkMjtVmQ5NE
8L/LpH9Y5/AT+A8GrwlJd4tyZJ36wOZCr4bO+mjb5PYi9Sh2mabfZGvRXjrpOU6Agq8TRqNo+Qqb
kXFvBfQveoetXRvFqTLikZ9CVT9fW2JJHmJUcidDwWErq2o/mf07ZLzmVye8G30kUcpc4hSjKfU0
dKaTxA6J1z5uj1rNsm22Kq6E6DtgtH4pWR3G7LkjUsKaeHoYatJGfG3ID4PbdQQcmwaGE/p/KJBX
SvIkrOLFJM2XmcXc+CjM7j0Vxq/I9QnbmKf5lNr+N6Pvw9yM4rIu6ir8BYdcECFkltmBCol7chmB
+uQR08dS3sSNRRIuGCXyrNnFLAKGrIPynQpu9CjwznnKlJo87QTwyci3OHnxBQSJDhk/nvKW60hn
jLG+aurmTe2zFVTTlO9l5Wb7LpgJfq1wHjLf2lWO3/PuQaJY/jtOls38AkErmOYgqC2mGdushFnS
psP1R24jGb0evQTnjx0RirfMzivS3SLDd8KGTWmX9s8UkQHh0AsAmfcj1EDkVMpgmTVmIEac1jww
i8UlNFMKTO1k7H0O3G1fNhKQgptvCSmmnu+ZXsIt5SNA/b6Y7TGtptkmndjzWnqz3N7s1xEXAFyo
aNmzJjtE8AQ7Q39MPH24Aq9heOqCNwja5Svecw2RA7KzAyD0sQgOTYSyVMzjwde7txaTP9uEhN4i
0Z9sds3nvDcnvGb1Y4eW5qI39g3TO6ZtFZBspWF7lKA25gHH9GYQ7vMyFjWTBk25YNjdEzp2TFvr
uwGRfHQh/Z/SjheSRCADMbhcEV39QZns3Qzo5onxns6meZ9MKEwgB8D/LwNW5lA1WSJNSbfPDBsv
uHMMJMYpb4LkWkrj5A6TCOWSW0+7dIomWR1qjUs0o+9/hMs53KoMoFjG6RuI7EC80zr7Y6Nbsd7k
Qp/z5MGJbFIlQA+2y4wXezir2os0ZQKnw7s29TAfREPjoFyb47wMnUUl5LVWRuVA4lMHk2tS2aVL
zxrupwutPV8P2JZRKsM0S4p7P1d7EJ39frAKZz+18DEUw1KMEV+ti/2zdrW7j+l3/dKgAybeKa5f
md2/xWRJBWrwdj9PQrMk0VZavW+a2NpWZLLbvXdLUrICy/pWJi/wU6xFY/FmN04V9ssZosU5Ti9k
YyeCwUk8tuw3y4/B60LZOoCvqQ4dPoHJHx0KevK/o2WXGbQUpGk1JnvAXGrr2jaFic32UvqFv+uc
v+YCWQiga+tR0Z6xyAEnsxc8GD03zbdzRIfvbOLCe3CmNt0QvvxXCh65dahdCsQPZt/iSarmp8Q1
Pw1q35tnpH1YRvhx1g+JoalxtNRgbA1WIeWyrbTn7JfRDVBTy+bLatMTmvM/SrL6tgPjBXZGfbbw
ex6KEUQrGA9v19pm/Jh28ss3wlWqMM05IgKEPrAhoYmRJnbyxs6GKaL9y4w6Os0+1gLtMPkW88lU
oRkptE2sGA7ETTUe8o5rciLZ6mF9KVhh5CGmgol1QU/mB/7erIm6ERNJHDXD4JPT4IXiWXsidW8/
1SX4/B4BXZLiKLJY5g+T/YD/SMPD5n/K0n1avwU4E51LJop3Uzq/FPV8TbT4LRIF8Dcl9qILpYMR
r45qYBU4hYZsAfwD+sGAIb51S//V8QnxbkL+SHBq7aDy7fsIAYZaDKtpopfwJf9JOYBSBJLj+eKV
ROFraSEXqf0Okr0uLqBq1jOoS/G3WtE87RxPEuSb0JgSiwNzVnxXbkK0q73oYeCvbrHNJXuWVPNm
reDWC62oQKGxHTrnRX1fixLZas0ZClS26UmV3ZgxEkEA6BD2irJD3s5WzOfc0BfhVZNGD3owfRPP
Hf/ReZRWydhaKK3H/HpdVH39bfj+8KjgJVJWbQfpR0+FbfSMJnlqNAg2bd+TVdeIlqEXs1mi5ffu
wkY3QI0TzJRR3uexs/d73Fl5Jd8BNMERQOPneHawr5zkT4/5dHl/s05x/g7jbv2sCh/aD47Ts135
ip1w8bQeV/MiZUkswK0dVEpWHz3DD7b6pVNgn6YpHBwk/crM3tZ75EcGijJK+zDSVAs1Mf+ZEShQ
0GmcoMuq23N8QC+Zsu8Y2f8EpCg7OjlWqiALamhS7RQ1wZXZfhxm2gT0u5T6MRqSr7QnUCvtzSuH
DEnjvrj1bvDPdzXoMfYvzVSLJwnsPP5ZHFhBvUTLx33AFtBG6rrUp15HkF/ecOIqu2fHTGVmR8P0
OxWcuIOd5b/jtGHBo2vPSWAQY8dU5qhIlr332Z4amXF93/LFGkpKUHrnjHEE7OmPXIv+rfvJflna
V6r5GlMIYjBuik5rrnEFtgXQ7uNg8B78qIYoKKTRlBe3Rfzumca47TC47yzCq85Sj29BTAYAAR3D
lu6eBJJli8YdAxCuCu5SvZkTXv6WmpS0G9DXFrtKnBsTn1IuL4gNWQEuksSu79h4DIQWdYLYu/VD
6C3mTSqwX1WM8YEYtL2qQJbHLnlKy4e0XIHyvxYOC7I/29yun6tLaXJovCjdo/5QOyA/CRkrF5Fd
MhLk+dTlaSiw3tKxgXBbVvl5T5mTpe7dHr2wA3MIGqaRB2vO7uufGCOGOpaEC5ZYLDEYs+SRNcSk
Gf30yYUqdig0OnH0EzA6YLwGoO8So7KpN7kJGIKxFuUbybwpv2njhD2r1kJUHDdfxz5DdOwpltqj
3RfmLnYE5R2qOFvlyXH9oAkLIgJ4ZDVjLQfdmFQns8agaZgWcRIgmoSErZ0pYDsslkPAO8e1y1pL
bz4bwWEqPx1fql2wxISJBJPx7FBA1gilqYQ75B/Bu5TFS49y+FZ6yNDqdswvwutAvIwM9cGP8V/A
Wp87gG2QBDaHypG3LrLsha9GBnuFbKum9Ex0Rhx57V00zuJbnvFNpC2DYFIEIXyZBarHhbZ+etLC
mJ+Rpo0Tos53Y5SgLJtfJqYbjyU/aO836TkiHxhW3wJfdMiGWsvIeMsuyNgOxCPexAAxczDOOriv
7XqNlZoDIg3HPAUHuxw5f61qXIXScy/t9Ao1d6k+fWTvOlFGh/VdNXKILiBu7x7qUqDKIOJQ2Pmz
rW8bAXC5NuwpdOwKeX1knJBSPLXcnqFZVW/ZYOMarD+SdHww7AHzyPIE8HiTB4IEBmBsU2w1u6g3
NiR81jIfdeMmx/VXBfSKWj3+XzmT5QxxnYlFLoUXSZzqJRC29tPiFIswItMsY9MDyl674Lgvj7Uj
iEgkc4s5TnD3sydHOHLrdRUD26ANdi2z0fWJnCTs2cDbYnLHbbt8kYrzrGUuoUYU/3HWgDyogjYs
Gj89RmNxseuESWBQvqzd6cgFxoQxQiek/IiICPmpNF7mj5DW2OmW6C7rybXeI1PlEtkk2VJT0/If
noHOQ63dRskcAC7/ZG5snfsadH3bM2MnEZMAqzhFJEQk8nocrOJcjq+jTlCfbTgEeA7giuNqP2j9
uc6I1Rq7qDv19sRiQSp7wzzcRqWBtadM1Ps8txBs5tKnaT6O0yjPFoYMlOUswhP8wscspggBwzTt
U3B3Gz2N0X7G8ZsDr+eo+XTGDfGGy3fdOqohuWVW/bR+k/VKnkzJT8UY6zmdq/qn1Yo1qO9eg/i1
ufwstjVm8L3ZP6yq/vVDsFm2MrfeB9IzL2io8G0DEmDugSepltrebAgZbWDSHTWiCycvqs7DkDx7
NW7nhHCcqGUX6afjh2GANF9VsEixzec48vdeRyKmaZFrmhNogwz2VnVe9HO25rpGZmFlPq3HS+aJ
bkuUGknTHaufJMt55kukpI380Nu+PGmtbj0UebarFoGLk8svb1H12ileZ6fHNFvGiQx18nvz0lIP
wXS2BkbVy2QmXypmb+na1yfVFWqE48SkD4RjvCGDFAiajTaxXrpNuYjZmjo9oY/AQp6Ov4O4IJEC
Csgp60YS65b+eCrVVy5rBJMOcz6oJSgf3emYCzgqzOWdy/pX5RQ8sofkkAwof6O2/OfkYkPYVHBm
GTZtdPOvXF4NmW2vSdZNNxex3UbS8VA6eru+az/XR8xdiu7lXpkRq6fK+qw4gcirYS28GlF8NG4X
/ZGaGOFwLatTmflqR5qotoOoCrfFF9NligxojPYQMjh+b4pk0zrxP/S57H5H/lTA7dcC6fLOasxd
ImnONAOeyxA3DynZO0Tu/BdrOsrunu3OeuPPi3dt9LGrpBMDUVINaFa18mGMgFCS+QWpyBjynQUI
CbntL6EsVrijxBeKDAa5LgKfrskfSdf7jyVMfpM1IeayyIm9YfRXBtVrwxN7UI0MWMWT4uRaod1p
1V74RoZJLUFeZxn/ZS6s1RQdNBWfJ3Z54ef0wPhrXC1zbioKEF/ZGJKE+12iRmpjRZKPm3Oby4iZ
8yL/XhSZP4eGow+noh0bolGNd3thdzPOc3emx8oLjggZqAzH6ReZjRF3OB4L3Qggs3fsGPn6I/OJ
FlkcRmuGrVhfBcdEYDHZWXRZyNPWwRC430M7sIaAgqxOwJBE7cpdvmiY465YgGy5vxvs/4oxCu6a
2TGMQfSD/RcaDkK4aiz8I3NbMrt6+rOfdlGSEPEziAjSL6fWsKhmH0hAIFYmojo55VdNwBN1WwIw
VMaMUooe+m/bkRUNGceCfpIFTKRMXKyO1ScvHVxdCWx1rcs0sz0QwBNsiLJEG+YCKJdG8ZwnHfkO
kF8OBJN9BIrab9ajF9t0tl1Ty4e+h+sgCl4WOMaNQgXKJL06dgVhVr2hrtY4+eFcT++tlMkDJQnu
YzQ/dfKycOvRwBUGVDvKVXRsihRKJOSXYnLJPFIdDmqmrRZ3Uz3SXzVzdawn8TTBy0lz72kynAh5
/jAcZ1M9w4yabm3BizDS8/rhaVk80lEinGH62B5l1tE1I001o5pOmr3qJGYizagWQ/KToUTsAkwt
HEIcrJyu16rd925PQJATP+JYcp2HsprrM6ybeeNnWrAxLFQFjpfcDc0Jwh+d6ar5R06F8HAY9QAm
dJSGkqWEZiNfTK0vJo/mvuEKpWNlxcLOCjngFCyHDJXaKHo0TF6HpMicQp238ZhJww8j1DUhmctb
DSdPWHt+Cf9AEv5LhdNZ44uOefXO21mxmTPrg4mMY8PSHl/H4H9AAc7PycgVy9dv14vUf+gll7Y/
xiGJ0Q9di2lWa7t4n5KNHVWZ3LOAV3gOWBOvV09TNi3Rowh/3E7bBdnSLSfOJ3h796FmGH1oFzIm
eL89rl/SDZfCC159dW5iBMLrt2bsT0TYwesqvI+fAVkbfflRdUwRKl3WcrjzhxB5prbzG3QVcE4j
tD1Q45yEZW1UxV9B9IhQkNTCRUJY+rG65MOcXusxehLQH46V7o6n3IjeIVXjlkAgFJjRX4O8Iz+d
jNPkOd+Zn1oE9XC8j7N5b+BzP8IwJPWItBNM6CaOk/je/bZLq35cv0VWS4QP0CTq9g79pheVWbig
dPNlWFn+xiL2sQTJvAyCyck4FGdGKO0pbZkqjATdyIsqieMofQFUhDGj7SOL92wbeSa6tEMDz5ph
R+BgIt405dSHI3JmqQErT2y5//m+4gN3GEI9qDZighqbX/1i12sG+V4MVr1D8GHu+j47zoR5XaQw
nzD/0EUgeFrPorQDyekRC2cFVb0dTBucKdUXZWuEnnCzirnXSrXHz3bKs/i1tetb4Zjitr7RSU+M
XDsOfwLhAQ2E43RVPVE0i+4ePkdwqShRtlqUvsjavbtMSX2bdYqjIRFa5pDp6DRHNkYvq0EtxTkU
kHNzQrd/XEfXOsS6WpRnX3bMc13s2Ws9R1oh8hT4j4SOLPOkAKkCy6RjuqSY+4DxL7HDvtYQ1dJ3
prjK5ox+YGJzD84iXCJAPDJ/jnlecarqSMI1O8PEYUznZVNiVagjnKEL4MOhPFuP2PXlCrIwR/aD
+8kCOxGQcYnci/B0yxlPcTAQ/mTK3zWIZj4k9YD6U6FIkPIw48C+lW31Oufs5aP+ZPPjhiiF3pJx
KekpffdAwpK7aX25xWBizs7/U/ks0GWxpoiMv6jZ6p+PHFxudmjUCu+2y2sJQSVj2bfTmMbt+/7T
BLtwXss70RsoIoykO6ChhFBiB/GDE8twUsFCz6Y3ndvkammc23paIVaZ9XvUPjuS985cZoII8T5S
AzMcY+xBdtZp8EkgX3sTnMBgG0ivIEoFd3jDQmoZRUfoIrfAosjbgRfFvQL5M/uzHi7dcr4y+u35
5zFC6KUhkeI9mRJ54/+xcfwq1IzX3uJhaQuRHFZTqZl6zlkISQBJZIUgFFc3RotOcEN+XLBjWVmC
BHcmMMyoO1zNYoUfXdc3AEFBelv/qhl0NLuCfmdAde+muf+ITv4l6D0R9lNy9SJlX9x4ci9rHUBH
IC8V2iOitOnZlCRpEMXuRQiBMHz9PtREXa4VKJLHnWFCpVJ6P+/i1JXX2ZY3E68XKXoobgJWzefA
m1+aHgOtUYYG0KIL5FFxWHcm6xUb6fpwG3GWskzJgOON3ReP5EA9VKizSIar9JESJbyr9HCo6DtK
mqBC81N5xIEv4wHAE2fZLiQch0QNE6330XEbwUnNc1YmDpHbSxmI9OEapG10HGf9anWCjeKyZG1R
/jjzhyRYx8MD+EeqGnKePi0cUZJ0ApDkLHyzzlj6snSBNtpIOXojP/vO+M+PY9SRfI9Kwt9A1M7e
U7VI2wlXOmdQlGFTcY1Eap4uo20dqzwl6mKeRyDHdnNF8r5by/sU+NzJ8tjVpaQJrLOCoXGMO/a3
R7b+pMMsC5UhMlmdkrTR6wE3qZalhyFBSFMPE+G6NvAmVAnpbaZtQzKComwsLZKilfVvrbG0GmBP
P0bNttKbdss8QRzSpHxcx4hJQCaKM1fTnYebSA7P/Olo6q7/zRKxPbFq+EBQUrG5cZgjCsbwDvs5
BNsgJZAPGBuz7/RDkjiXuGvQXUkERSbSzIHXQz716utwZfwfc07zVQxE/dQwqLwZPY01pHRa+jwx
f1c063Mb1pGLQ5bNS6plj+uAYui17nGMyUcbOxNcLbxe0KsGqF67v3gzhfjq/ZsCaLQ1Uva2DpwL
isZ0Nyfdn/UuJWtwOKkMdmU0sXdICWWTJpHBXcXcSuQ2GH2bL0NnvgbF0Sj2dU+C4tpocIRZ+/Xf
eMV30HCb63l7KCUGtLTNtNCHWx0nzTaGgso4GCBTF6PZZiomYXSs+xAziE9tJFgOGUBa18s6jb1L
murZsx0r/9Au+5e2aH4HGudy36q/saHho+s47WOE5AiqiwH5jJbvbOXqLL3Y8TetwUCSUuugjfmv
pC2/WEk6m06fTh6Yz07xwchRlZRaKN4z+eYFBsTGUguuZfK3iptj4/HUcO/qL7Ip9JeY3q9goKVX
EP564hMuqF7GGwkIvxzdUqHoKM6kjlCBrQozz4BxsbKwyVGiN9exzD5X50DV8gksLvnaXOLt9B7T
pCs6ZOu1fml0E6QOo3SWqUusAU3FUMfPHbR5xGxYiOHw3JLAo7FbNOkDZrkwc2p6sHb6aNX8K41y
4gaDD5diFZ5UOpAUlL+P/pCgpRocCsj+Q8WyO8dDog5O0t4ZsIYw1ACVFG6812Y6P3OEiGZpGhBp
3c2PXQUzZfWXkYCUbHWXBaIZN/5VLj+3AydVuv5uLP0jW5OM3mnKd7Ab1CXtQBUnVvaUlFlwL/5a
PjRJYbCttNltWHZ76Hs3uqS/imbqz5UGkNETyCLs3GQdrIr3xK7kAbfMdxQ0417mOkIpPiLbv5jZ
oO/cIC6/cb44J+bF/hXT0E7F1UtTKnVcQl5c0/Ne4PzXZxbv5Hpwr9YteS257j+ylYofGCMQauE1
HU9/wNLMNU/trIetkTrP65euVFO551N4K9jZXhsvMUNQvdXOrVpjB1AgpYkrdxziFgahaCMW0XuS
M1/IIe7n3nRD2MsrLvTQmtxsZ1DJ7W1yQ/cECthPzoM9u9QKo3hDuPkfApD2PqDRr2J/Cr0C9vfc
a2RDJXSfCcEMcYcpx6iA6i3fmlFx8q3nWpvzZ+cZUTprF27UqHytcv4kzYyJ5tKeOi4rvlGy8ZNx
X1OB4Bewsyr0Uf06pW692rnxkU/VS4Z7gmR1K90ztgrADSp5jK3cQCxsYiRt89/GaF4Np2bpVJv/
6YmdnTqzG/lTqkOruf0je2nzqRlMdpRGubeV9xFrfmgtwpisAuRFwNVl5oRFYY2e0ZZZg6nNGi7z
7IayRXoVT2XJoYrVXdMLDE8TCDsThQJPAir85cnBQsbWJmMjpU23ObHiezYb/xmdQskoEDc0E1/k
2OE8chlbJWy510qkbJAce/1J6jQ44Jr/E86EkNdWLz6plTZq7bUAbZL2za+9JuztAeEfMg9+X/Mk
LJhcNjtccugOKWhtyiczIie4534zOq+90CA9EZ+njm5JPkyT1+OpsBIGgBglTt6MqNzA7L3HpC8u
juo6ANlut2/LorlmU/Scnu2l7mpIEgq5rXCVJ+RkMV5Fnmz6T17/iQJJHvGtLDkZxsWFiOeLrmDV
Sn+y4kQgnL9WEfbTjMt1VyVmS5PK0QQ1kmkPDCiP182SEfFY8YtshfE89zWKcKQEnq/S/ZQ5uK6G
ls9t6PhJfdWctFigYEzteI/KF6NDxaQ+r+zhrg0V7G/H+1xXgZaV/fMQe4bCGV7XhYCmeAx7o62u
nJo7SabGRcfbvbM0qFCea55zr4hubQ4DOWi1fm/UfPYRTl48epLnMP5re608zRZRZWvJXqYGQ0hn
+FY5PxbbhI3G5uIwlZaBD/hgwnUJgxmRDgmhcBAsjn7S5+6lbRL8XJXPq4sePuoiwKoObh3dXaZn
zxm7/OU6ayzC2pftoJWyOC1Aih/wklwZzuIpWtg1nJToHdiyGlwkp0qQayjB24cdym0W1qhXu+w9
yPL8mAH6Qqj43/rbwPW9RYbSQ0l5W4g2upUWnJEhNg1+iGF4QH+o/wUakWy6jv1zDSN+g89+TFza
ebvpfyucD9s0L1+iiW0tGmYOjtw/2LmeYwrEO7e+oNGkPncjMg+7wPsfY2e2HLmRbdlfabvvqIZj
cABmt+9DBGJmJGcyqRdYJjOJeZ7x9b0cVHdJqdtSm5VkRZEMRgDw6Zy91wYrbyKW7bFlp3P7mJm2
9UUCs92N3SLhkwaXEg3/NQATRxlGTJxe/UNATx9YIdOkV1f2pW3dm5RmyLWxRkILevpzOZT5Q6RP
+DXV6ozJrb8X+cEteii/3GC7HM0LbcPLTKDKY61pN4FJDafJKchZfd/dzTYfvQkAl4X2Q9C62akx
GtMnkpPujJxaCmnINBtzZkgiNvj+uc6hsMb0X48DvQHkFXCLPtcjgoeIm1Qvydrd08/vYQzQ9iJA
M99NweLdLoTumkrxZDFqiX9qaI3myVHTZlQa2AF3KwjC1e9X8sbs5PKEYJWq1dxZECiSxJcTis0i
C4maovRXY0TLdATydLTSk55i74o8PBnekNRHLBe5LF8rpEGFE+gP3LZPxccwJWdh6dVZaN1TM7jY
OVi08CSbZ7h7oT9/bdxuvnX15mHdKQfU7dnUepgBtbA6kAPl7PsSbnS0oFpKow8wRICFbbPclTgm
9oCWrUn7zTJiUC7Ymmhx0r36j38Tp/4bNpJQhJY/sZFgo3gGhg7oUDyRKzvlD2wUgBbj1LDAb40W
S0dLZtyxqhvzSm54ic+F3YtH2vcddVvXHzs4mM2sk+Y1LuJS/gOp5a9QKVeaLudREE26buj2LzQZ
UqtcGkJZuXXnSOzdtv9mY3Tac0fTm84x6F+pcsMEPEkrOTayJ4cu4NxkSUdzTZVd55RSsUuAW4zN
HI3yvUGwqSzMZvcPV+0v+CtXWkLhrwzbsHTd+RV/5WlWW2Rg9IpK745mYeibXsAHgZx0s57D3Gl6
lxHF+ah5jKr8PAMwX+TQQMKl0TiEI31WAnljrWYjbdYsgzLVSFuiZvP3b9VQb+XPN5i3yi6X6ypA
rVi/XNSpZVCYE+1+0YY/xrbPn8lSw+JtFMyABGt+7Vo2O5Zyg6wyrDYg92uare4TC1HWE8nmZURc
A9EKCVuWvDDPRcOpKV2yV4QD2T/guuy/kJtcaVOUcD3AR9B8dIVG+sMjSXBmaHqCJA/Xcj7qsTKf
g+hqix6T3Oiz0/GLefi6LkarS3VGorGKLjmMbMnjHvbraaMaOCsXrvwplubDNpF1kaq4RXRCm+/W
4gywdvpGhfdxoCluoxbJZtKR5tE6Ndv7Vepb4KKJ3PBJz+gFBmbLSbukQVCRj7FkFXoDtQHCDXqX
pf28L6zxeZlc695LR/suby4xJq+j6IOzcD/s0OkfyBJna2ol9iUiVH6TQTJN483f33HxV9wR18+G
9eYJT6HjfiFfIU9O6WkTX2zNRX3IXCEpfYL9XI+kK6cCQis2ACroVVbjuNK3VSrdc8mB66jbqH2I
X/F2FhxddmL/8Ob+Ot9I2xG2Tt3IsCzdUqy2P9xcilBaYFs02spiiA421syTFREP0orboRDdniLd
cGPoxt5l2kbtzDnG4EByndFI/cPcZyiG1p+HhsveHE2o7uEaF7oa5X94LyT1WWEQQlX3SAAmmaKJ
b4HvzlTUvZf1q67XjQs21KOs5vkL8c4RKk39xVZI7/UBUb26cSYgJgky84gJO94tOnsvfUbB6AVa
fwldFkVVMemlcMA1aEerqKLPIfM/P8GBv0/j7QoSfC8rtqJh1P3y5X8dfpYKK9j+p/qt//tTf/6d
/yJUkf/97Y9c4/cGRMxH9+tP/el1+eu/vzuFNfzTF8AwoEvf9z+b+eEnR63ujwDE/99v/g5KfJor
QInvLIKderUwLgsQiesfUBxCNe/+v/mKu7YrC1AIv/7GJ2LRcP/FaQBdGQkYhq1Gyn/8Tlg0xL9c
2iSOx2He9WxMP/8GLHr/ktIzsbsIpibDFfxSC5Y6gono/MsW1Aah6K6vxrf+zwf/0w1EZvf71/+j
6PO7Mi669n/9h6EmuX8/m7ADHRQ0PN3C5rlkL/vLIF6iJdFSDrh+Zc3TXT4gO68GBN86SLqFiGYK
YBTHWtT8We3+bIGNW437GlGAZt/dm5tisG9nGvkAvTxCs3lQcQCS4aBJEpqg4JOE1X2WJS2Znsgh
G07Fkt0EFkdgkHGofINy+Ye1SKxT9x8/lSnUNYOjLF0Xr9Gvuw2zoIJvFOiOZ0cXN4VF1YmQTvJb
FQJZ4tOtyCm1eiK8jCy4QcMSjiREqApyAQQIByGmFoJQ9JtgRwWtNMcNVlw0L4IIq7nlBxDaLX18
lTEWHINoRqf9UpfwgivTe2o0LFdzVN1UTU02SdrROVBCWE+gA1XxrrJ8niGHbZHWYjUhEahwn1hQ
6MUE0DkIj9/0ztCcVApkkLjowbAH4migZZxP1UbUIjgTd9X6wJS7neYSoDFNwabv1UuayOpwDdDG
qHYCD5+BJ3NrGa96OolPNtsEn8uR1EqFKK+TGB+RBOCbc5+lJKfJLHriEYYB1I+6HLQACdqyvda3
2buNJLVuNMsk3iiKr44RHR24ZL2pehqZdjDaDjc/qlcanH7XeE/qalij9jWMkWMKYxoI4/z9Wxch
u3kfq0fFy4gDiR0IXx6MmqyHH+WgY11vR1xD96VJgPj6oMOr39KaYHG2ze7hD0P2vxkIcDD/MhJM
nYx34QjTJgjJ/WXFGJ2uHidMm34y6S9GNcz0/+lyrDd9fV5srR1uvMBDHk2jyQSDp4u3xXaSA8la
ml8XH7IUKKl5tGpNJ/tCxI8ZqXr7gQOF4krZO6MaWfzDhKDl3LjOzrRsK8Kb3IkQw7yqtT24XQIJ
mgW390DSpYOeeQMlvdsqkGBqIS4tQlAi68vairRXd92yrydj2MpRr4iSQQShniCnnLhnReXsMp2K
NbJePPeygaYXbAflMDDMAblMPepH3aieAghg+yJUvacgwzPPgUWSGkeGn8dmBNngxqgbDoKgFDfx
gGevLYhqqzzIUJP9MxYsSBG+qM+/DSzPJzKu2HK5ea8zo87rwwOKYvUDFcHB6kmbjOJnOqRvkVID
NmDA5oxzfFYQTrM+KgAUIECHu7rKX+ElHzW7BW5X0bO2QwqM62C1lautrSoqm+g9FqRdmFs+hmTn
zNrT0rwM34qR8zWVIfgi9KpD0b24WLi36SKxW6jLNrc3ZF9qILN4FBEKEl7X5Kit1NiNyo72h5Zh
yknIRPPwS4F7GB71RfstwvUC88v5ud4GwtoSihvoTKKAYBpkvBc39e5JRHI3XuQMB72L8Y2oP5hg
QNwFFGfaGU9XZmkPBX7LYIBZjgF02a+3LwkbVehufc0zg7MkyeeSNcTUjoLgNXCghTe8Z3KBu1bw
X1vjFbJJv9HbXL/YNePMNZNTuCzvZqthUmBYTSWQ1nmkrkvBV26TUVUs1TXsVB5KMeXPEDYa38iM
5pTouHktYb6v9881ku+Sf2ab2c/rqfql0W79OZEzdRsNnaN6RHBiYNohcauCYzA85w7p9iveqS1T
doiTB5wzJWCmfo9l+BQjV/HGAKE69T/WCV7I8XTcaj1OHg4nWaXNe72NXoyJDM9+pNQVDQWPtdm1
l4a0FpGU5EN25/VZBvUwJsUXb5gBFyrUbTSNrZ+Z3MJ1+MZJ1frrwOwkae4Qct0AWgMtalhqjYZL
qHZ5ZAv+ukduTGwGN07i/lgfia6EnYTO+PP3E2NxD4isOAQidmx9xT/cVoLv9sRJez1/Jwr4Ztl/
ay2sO41kUl6f1bZlz+b2d//+mUI9vYlZgi9PGzpgIQN+vfluTICJhlR+I08UDvGUa0SzV5TC88w0
t33XWz6l+rsY4twGQYWNDh/PWxMSEyIF009MbPFmIativfXrB/+cW7FKIaUhVFjG3nWdjAJ1DdbV
aP3T6yfL1I81FK+3KckeoxmDJx2jZa8bIr4HtYxTRg/OZW0/LDjeccwavtTJ/k1MNtiwT1kx1I+v
L+2kHHcQ6/X8Xe9psQ9l6nC0RgYNPU3bZGH+Qwubp96s+c9xit1ibk6O+hBmhR58kiQZr1/qTM0g
x4hHDqZxODhQadUaGuF2C21r2YVhuMOvivoq601ggO73QCSvc8nTPZbPYTfTA1FjWgpVCx9p2SHB
TVngSvAt2fci0/aF1qMsoU66iRtC4Y3aQ+qLRbsu4sMsdXgceXkaschvZ5QjhEaZRIAPiB3YzGzY
hOzoepcwjhlVpY4vacw0l9PQIbMLecV1vC7ak0NXZqJzl6opgwCcmz5x72o1dZje8C0FwqKitrzg
VQbcWUuNZrD/z+YyP9FZIwYdoMMr7Z7mxJ4h4NmZD2VsF/vFcwQu8ZsMDXxEwFVaMqMk7aVQIxFp
I2uOaMXN+vZE0566MPyIJdoPEw9e3yHgI5rlRcbPZFgFzAiJh4Sr269XuVYoZgIzG1qY6AYm0rCj
FH8I08kgANLXmiKDuvp+6FtXaQiZuNQGkBBuwi+W+rXAxHRwSnQgTgaQMmN42rnAo67FBm0VPrxW
HSpNIe3UTaqyMTlC8wEwuT6eNCF6L/FAOZXMQ1xfHKBPU8x/lnUJEqs8tzxdYcvCWsQsEyuEtrVs
8BT1dFfBVfZV16hR8+/kOO4BK8ld3mowK3r5pWh40qqe2VQWs/FQjPHVsjAiq6WqQbpO0pV2XEfG
unARAjjB6wfVwMKm/u60kHqxquVgeeib1kf0auwd2jy+wajdB1Jcl4V9lQxHWjwZdl98CUNdT9hC
gaDpM5bUgg0ds/ay/0Y/sPHbiMlBOXMWA28tG7AJT9sCPo0FbttjjTs1BIzIHpogXZxj0uC/cyTI
q1njthPEHNJX48xf6a1xF9lXBmTN0Ohaf8glCAkZnfrKKRgyKGTVQKpknpxA3TqbEnz1OfHMbpdZ
8mndzZfzoB8NpbtSP+q0nrNJ6vxBuJY4j5go9dp51StC4NenK6sJEk3GnV6/zmYwHmf6UOxTaWjY
ZLhN89FMQLI0A9LgRnys05OG1WpTjCFWuo0juOeUqDhh6A1sghZLhFmpbHN66Ntcx+uvpR1dogr4
psE9UvdAexrTot6hymithT5ISNhBppZTvM01R5XfIsGKIhJ7PE0xVGHGGcuEniAA4izbq0WwtQgI
qt02ubTM+SWWkxvhTBeR0/ia0kpsY1LIdCt5SCf5ul6IUtr4RmbxvK59mhMBcEKviWEIAAzTasYF
DizUj2ONQHy9kgVb/EI2uCmCFetBSnOHABi31/S1MkgM6+sj+BmcnHwoHvX2IMDd4l1bLG6f2NYZ
9yXOKZBabgMwUh1pnJanwWDTp36HubvDtMHJTX2F5p3TBCRUO8Lbp3Zh0nGeYrUDTUkk9aNIycvU
RiI3UaU1wk4Q0XpPAzkNyo2xbhHWQbj+vyjSCSzzDBx8ars0EmWHlDI7lt7CVCubExwUNh8Jka6o
bws0vGa/LwwCaqpEv3PKZrhgC+O4s66CjsPkGDvmc9g+xvKaWUwDjtoaAqAiyiJGOpmiwygahxOb
Oz/nJrWZIMXVtf6Zdf0c1VzjqT13iVo7w31uO+Y2D3GTdxjl2wns8PqE2SnCbpxrLZSkx3acv9Ru
8712cXIFPF+2Nu5C8noxXj/oFPEQ1UlitxHyqey9uhibkyUQVeVx/BG3yKSnDAwwF8rgQLI1k/ga
LszN61OxHsTGXn6MqTdD7OKKrFMJ4VCvtdk8tAur+ZQQwTSQBVBbP+YICd76GerI/NaZ8b6VTG3r
bBWksJjWuUeorVnJBo90IRKN3kOLwGuplgdz3YmwEveKF7UuEuuk3+jZBSA9MzCdHH+du7CNsDCX
SlXa5ZdU7ZBGZ3lzYyT161mvInIuqWswfL11nhf3CWppgFKSu/33By7j1/MWpy3Uv9JyKIlJ13F+
oaUPNbMm9CqECmoPtT7I9eQ+hm7Q+5NmQeiGVTIbeoANKgCzDHVVl2wOkjg6eWWY+7oVvVEfZ67S
7Y+lNl5hurSYegEekKN9DAnZaRy3+Yf3baoUhz/VFnQ6/6AhBK0MIjPcX2ryUeFZqJxEuGt761KR
6IV1EL+RpJPPw7/XvOWcpiAmQvOy7uerqL9Pa0Yfp2O681G7HNyUKvgo2GjY8IpaTbsaDnv9wB7z
IychuHg9jgViX0dtqP3VXWKSYp2CIt6msXhk6A6+5/0YWG8OQNff1m3xAhX2H+7Rn0u8Do5OicaE
UooL1J4O6C/pAB5nFRuMPZrOmWEW5ezQtZAz3So+16oR8GakcYZV75czwufR1pYN0buWdrfud1Id
C0pbkRy4in1yxRgLm+YExZ8lAJ/aeud10Z3YPW7hopEGXcCxU7WNv/805p/rsL9/GrhGSF49acm1
R/XHOmzBrndZ4sBPC7+L7Y/e6qBDGlRlQvB24RjeCVVi0Fus/3hY8WWpeaXS3VMvWwfiQnYb6+Nz
rqGaW0fZOrYzzRuP0qtBnxpv8G18V89ntnthvVf9+6TtiFIdS4gKHoHLaofa0d/0kbeuF3UFLdfW
YYje//7jcn/UEPrTo2pQy7BMJmT1mRED8/0/fGA82uRDMelz1Mwk9Ex6pVEJ4HUJOJWK+cMYh+Ho
sDvR0YQjxjh0sXMvW4y9aXoOmyJ/HKdn6ZTPbud5l1IRZmm4knpeIlWn9n5Z/xViJedo6Ytgggyf
RL/lUH1uBanVVTPf1NZe16sbKJb2Wcd4iLXckVhLa+m9k3C47xF8PmRkdbUCRL5M5511xcwe7WeK
cAC7YFKKXB7jEJpLAGF7yEbJeyZMiBKDvR0GrdlaWkiiMjzARQz9LjRT5LsjazxL5FNpXzmasZEm
/RFeouNnsxBPenr1RAeBUmuWY+eMt56lJku9826wXOyQlQY3JWibraclJAvW2g9hD/eWLELCVeJL
A0b4iMDP8TFRN8ZsbzS3Tk6zll7hiIS+yMqJd2Uj4qSK6Nc9Ah88c4hqU81PPO8Mm/+Q6tq50bJj
g4B8GF9ydz50DKTYe4itBo8/HEcn2AttuU1bYgDBHAuisCTdfVIuwuKHGUJZsPqPhUg59Cd+7jHr
RFGlnM8jdMwPV9OektC9jfqdM0L4NzHxcUYIEwvctsMetoxQYOooLeFwk7zcZt19AfyWA+20idAf
smuBaqPdFDO5XHF2jDHtEo/YGAiBQBInyXHO5nOuvXf5qc4Jf0Hi85sLlWmDyd8H1/KVc9geVs4r
Z2gv8udnE/ArCZg2VrT8sUWjmAixyXRYnVAgYjdCHWHsqgqZQOlcm4vxQS7WF32iWNNWd9GEQc5F
NtUceasbQszRe9RUVAv5o06GK3Qj2S/bvcjZ1xKNc52Tq0cKWE8sctybXwINxBx9PWfaq+uYhS9D
l/ujLE8FpdbFRXEnhg9nrDh6kIBobY2F/MtaNemNowXpZhPF+D0I+ysVRACqGn8RNxGPb/GcNof8
opXeTh9Dn3qp23xBSXFDl16lKW+iflBIjI2XakcuMaZcSmwBqKyClxQSJRKsw43IcDBMMWU9x7uG
dX4DvODCHoYjlby0JFqkvHhZW99tvKRa73zLkHQE5Y+hRVhrpacZJ+qQeneLDuYLiciutsfHyQLe
mFYW5+iB8J/IBxZ4dZp830XTrTQ6IHr2S8CSr6vM2zB7gyT+YPNpswBueHqHNgwMj/0CfeurBqGf
FMdjObqSBEnjgAv7UkxI+/MKZWxOOkMaWCC8CuIbrOMkI36q+0L092Fyl3OUIw+WusGxy8A6CVXd
Lo56jomC9HV2Z+OZ48HOIEByY6eCyzBExxKfWd/EvmfUD7gYqAfd2NkEENK7Dw39lLt36DFuyQoF
av6VguHWssuHtDS3kFXfdEu7IZEA5/SIXJiUbth3E1Zprb2rlgqKcfFmKxtZQ8sWlidFneI8yfIQ
FMWtQdMyLdtrh5kpDO/jAO0NiIvKFYe63pexfhO55m2cpfdLGb1OMrjzih7UkJIWaht1nkNqyETi
S4DTsxbsUxSnGgevyGMB0SCvhkhaDAKL7r0m/o0TxncvBjpi6d3DWHmXySPGlyON8ouVjyWBK2ay
E8OrGf0U0fOlKAgG79udMqvXmeXrj7Er74vQvzWGb7z1KUDMbZb76Lm3noMCwZnzUVojkmpjnxFv
3hGk0ZecOZ2N0Zm76oYll25zv3GvHXJqz3hEmobAnJBDo3nXqzsdFaVmEG/AkO9mPCHTnjhxv8DI
EszZPYYNSOhq/gy3Y7StVRBSj2oM05a3ILvpmsc+oXLZp7fkumxCHU74eOi64hJ4F6NBN0lYeIav
hULpTIZBFsKDgyckOmIg2nPDgK4QlTqCKALq5unwvUMFhEL50lrhHvscutrg4nKHXMdEqeQco4qK
r3W/mO8TNtVpaB5sPDstljTsQ5vRqvBvZ+dQ7bMo02piuHG18lCEH7U376b4Zqk9XwxELzad78G3
d503i36rG1LtMfqdB4A3FCk89S8tOPHBbuERDFtsjIes4KiMiqhpi60e3EXBNWvNYy0gbxkper2D
jpMC/OVdj3vFRGrc2oQGLt+HykDr25zw0/imtOArcA2a9DxNmKDNXRlphM06SGQ82jbL2LCKWwek
4jhwDPfUlHhtOLJoYvETF15S1GHLaAm2GNAu2hoKRf3BsF+TWPlTmO0GHOUhxISPsr54aiZBtLlg
EHHcH+jBtsZZkIatwhLhyoMMi5GYsUG15XtvSkym5YV6HK6JFxG5m4WPn6W3YuzOI2V3uRyi+bWL
cTKnOzPQIK7pJ2f6sNnqRMaiRN9bAEevsUc93w529Iqfet6iCAmNJkWBcz49rbJ9sDh/aRzyJ9JC
aDzsZlE8h/r82OgU2tHHYDttzvawnEdt2lFOZowtM7glS0fmVycRpfAKZ6x+C1MaDVd9ICdiqxNu
YrntIdeQjQ9v3RIY0GGR+RRkCEMwuNVN4x0o5o1uVke4LizOEMw8lhcTX753CeAMFKaDH9i6q6L0
HXwHktSyo7JTOC+pE5BUNAngkb5llT9IHh0Asyv1C5+nd15Hr3x20v6MhBNWYPq4xIqJT2dGiOTO
eMnB8EntYekm3wjML0iDLb+Km0dLhHcNEsINtIgfpYBzEoELLGwe5qVNbwbdOZpl8tCP1x6rbWQ+
D/JHNRQXAwFglout4aTYG6gAY7XAdLkR1bktXntQUlgID1FhsHLuicvYzmn5zRzEHv71W+NKH3gU
LgyXzJk0vccqMCzJxWVvS0DtkZPLXWRZbPYzEAuLj+f3TvCr7pvj2LuU+czTUb1cKK5eYzM9SC69
8l+EJPFodJvrpXxO3e6mJKKFbZD9ve7c73XQn+VSxvA4IJaGMEmQ1V0MUG07dk3LHfya3dyE4oGz
GOkVmf620ICnO8C2bSAc6z6xjoI1aPRSgjyEYlIbOnNLIr53hEnT6MFTZhUN+4DIpH7s543Uv1Ek
plaHjGbysuCMjoaj5Tw40PuL5mbEMcjcMRaXSnrROYry+ZQWIqb+E9ZHQwu0x8adlo229NMZaVv4
JGXeH8zMrfz1u1iEx1uEeuchn8N2q3UInbusYC3iVwPbQ+pTTPRT1JfkyuiXypzJKl1/OJl/EqY6
+APVn32dL+mTdFIWYHfKzl4dwlIwhYnUHK9QG4C3SuUFGXPxAvMww88JXtEc8/yFCIfu6DbVBPk9
qzCjddp2GmwMVxV06/VHGtHC/cIyf1hfYKKNzgSxYPWdlvzFIT9w25Ibcl6/a84xTeuR+vH6XS+h
iQewlTggtDSUToNXrzR26ViLjWUF8Pcl0LnNPB4Tkx1F8DYH8/dW590Xig+gv1RlfDLRm8r8IQHd
xXDQEGFRxe2d+VgNpERUBTl0bPgHXCpj9q4Y1/U9oT4tZPLqIAmeYMka9mMLdhKVT+E2vjWYj66z
mJv9ZFE2Cw37a0IBkhJy/Dq2PyjfnfWpeIzcoKZQwkyKm4GmCukwI4Qs9iQE5C4HS1t+uqy06h/R
1EBtOizI7rCvdQLIsorcDyALgvQaSn+U6xrebHaMRmPcZ4Cm7AL6rNsTKT8D4JMz1IxpjxsVpGoU
Pntmu++NdldAUoqd4KEGdbmZk+U8lOAj8SFqnJoLPMYcsMNDt/Tn2ch/i/R90C9yrwqVUUuMErr+
rVtuA/TLDk2urVNRsIdvTQNE3HtQhACZX50NHRnQ9YZGJU+Gb9DZaECB46eLEfskWOEtcpcvwGPf
mHPO3ljcmzkgZeQWxAM1HpU85qhCHN2loV1l7GKL2RbD9R1mS0MfB/rDLQKESl7BB1O9pXPQj+R3
0d1Nznr0KhuXlR/DHUXV6b3XO3Nrpt7N5N4aEquVVt+VXsdjUS6HTjd9q6UY3qBFnyqnOWSQ5eow
sX228JiPyWQia6uZ3Z8F2wOvxiRRndooe0hy9wr5cqul9ktK470e6fKU43405E1jm/482vjaCITW
u0erhm33o+JFw8r6ycEd8WSARNk5cuB9Jll3byR2AMZVA9PeVLR16p2Ds8IwzG3X0Z9KZ7KeunJ5
sfHkNHr901As0cZJIFOwtxubAQOuwnBaDOjQVhm6UXHKWNCsPv0yxkW5swNE/6VZfS1ZCLFGm3fa
7NPy2AVuthtlP0BqZ2cTDB7sTsgES/uwzCFeS7oTU02sOUCUuWrPVoJbtkgScahezEyzSNHZAPUp
vwBqSsle3+Wp4V01yRxRU1K+SjBIfX1vyiUhyckm5EpFgXHI0KeaZqIhF+oAmV9XhrwIrSJiQZmv
OtHFB1FIhTGLThidoB9DzDwibEG/O/m0MR7KTivnk9c5HVMRRHcjqs9pOV/XVsaiZCCaXF4DjLeX
DCAk4camtWsKdwQ/GZxnE3puNjSB76SG/oXuiNxGSxu81ZSc8fFr4UXPzK3Njio+ZCXTQm7a9XXs
UZzCFuHfdN7HbU4239lUXGVyZThDzsHjQl/zEIqqPiK9u8xzHVyI9bgIxCuc2SLtiU6Veehq3bwY
vcu63YMWN4xiOEYC2TTCGdBKrmVj4nRec7LxALiSLhHq3Z1rej9TyBk9dhDae+zPB/CzN1rOskjo
8f0o2Af12FWOaw9ryAbz0BThZb2mvbEHC7mpclTEvWUZBzgEM50yC7V4CrGi6hai1hzYm+5uqrxy
+9m/ND1qnkiYCcvC/cKxoaR9rX0rWve+mIMfgtY3WUAUwZdQ/7mExSN7E9tfL2VFn243U2kp3Ze1
W2fOpcGcNj6vyoS1uDWSYnsiXwFvRrdBjieOlhMf1p92U4lTKdB2geSAiGL/9PkbJYOhlpO5kxbg
W6rUIElT720cLLYpS3saFCxn6O12956vze3UFP5S5sOnqEkHxbkNiWw54LcPznGWMwzT4QLt95iZ
tBj0ko444scdGSMAmmnUru39tqHv0WIQvKHg7anqoRV5R7j0L7mjwUHXWqJwG1gCufu8tnvWenge
ocufDTfx146NR4Vpw27n4BWUYe0IR5dq4K+fF1rZT5ASxWUS1mefC9smZXVt+ulgdEL9AXYqVqF4
6o8XaAFvqIh1aGzozCwjRtr1k5e5Q+pro29WecL6ysaia4jAht36vhKj0J70cLraHbYUJZrKXI9+
PMer9QJTtMxpKKDBQFEIhLW5Z33CbKW3nBXv1h+JBA38xaXh4aqOn0YBhCQrwGRhNW0d1bWGV85q
SFgj1oNNllSFT1jqawdoG31qez/09B/Kmejd0tSPYxQ1+3g82T2BSQjOu7ppfUFv4FMooKMfYApL
hQ2ZliaI6u9UwmzQniWb1EotWBTtPU4p9s+quxMa4ZuRt4dRpcs5iJbQpinibbxtPLDlLrG9Dt0j
vwf1v0kcnXgId+2KaA3eQCRmE9OUlqSnVG1qHTYoY/t1bW22vXhZ2uUCeiTfr/8FozctJhQ3hEq1
r6viYVkepEyWq1LHrR+xVzfIaCrog1I/rPMTQao8hFP9SCVCrs1m0F4/hoTZf71iCMebwxjjoFe9
nLWZNatudEgb3BzmjEIOzZpV/rKWt2ev8eem5RDj6aSI0Gxc2z0afVw61JQHnW7JtprgmFZ5MClG
+0XTvJDX43qul3ttLwe4mMN8OUnNkqDVdbnLXW+/ltk1AntYUHV0WyRIHYLMmDftoHH26/ObqYdD
KpSyb+2udy7qjE+JhrZ8ENJXUPDSngav/WyMF02icVxE+wQuXVW9sd4ZBHp5jNvaOqklyq90ZJRh
iKgyoMU/MI1wEJObSSVbg75sP8E27L9aH6c5EHRz3MKdETerajRQQpmiiE6DzvqJ34QdhHrVzjaf
7bhhBlT3hEo05i3XOdEgR5nIKcY0S5zUBiUA1aRcxYQThyWC7j7KqOp2TQ/RXlCexr3Oe4gISuMB
pMs5CEo42mFUYlMhjWobhWD6Xtu4rfxaoFj5bO/rJRMBEB8N0YKKgA3TY9zkBg8Mzy0ZM+5hvQ9T
b7nbJn5aJwfpqW1dT5260Xjq9OI4g6RvO87EVkxNz2hvV6lHMyCqVM0EgDv4Fctun9XhJRqxt2WI
O7aG6R3X25NRo0P/QYvncxE2jXbDYuZ9Dn+7Ys9OqhLpFZRPvalgZIfaJhLhuLHb6r6pmIuMNjQe
cDIyyzBNfzYa1tZ8OiGvi1CQ02r1pvZHv+T22scsPe9J7+0nN3b2wCbZCjsczlIH2rqWTug+SFFf
NQzBWLZEgvOaXMqGA8lmVXPAmOo5VqfD3mJCUX3Fz0lTibo0VmK3Kxsw6T17Y4HdHz/QNlFwonWS
t5qmJtjDaQ/rA98AbsJdfru+ehCjJrSHVPn1JCbDgQqykQw/wtJ6G0OpkSpDOIDqRicJWG9rzLkM
5XdhLl+qvHoTFK0ir/laRjQKY8PeNLYgISI1H03itY66VYebNqx8Ta+qE4Y/RGGql1znKg+2xazP
+F4HmM4O6mSw5VyfIR10AulDAK2zpMe3srz0oXElqZVug2H91ocSBFaf0xyoxsr/XKo7dCOEojok
qzOq1+7uOk2sj3lisOcKUFDqrvgiB7qBEZ1lv3cqGMEZkAiA1Nj46muQB8UR+iObOAQ2jpxuLZzj
q15uyKQJaZ5DDhQ4FxJwVW3XKS8lxM9vHYnCiUcYi+ZyrJsIXZoVQRaoUvIOanJEkV0Yni4ORme9
VWojn7oIFJWeZhrEx+g810NDiaGx3y2NuLBg7H8DpLcvpAoOYURvLOxuVJVRrkAfxJk7S8whnlH6
diR3QpoklCwcJehhUXJLJ/vgCni+6wdZh/86CHUN/VhqYL5TKqL50KTz0QvL8lPrkA+wVavQxgiF
0b1TEsqEFMVNY/FYTkrtFZjf8n45YOYlFFSNWyBNIMBBZSuZgz54lN0ZblzP72sTb1XGrdPFOuWt
98Wg4b8zm/q83n/Q2T80AYVq3ajFqgtqyhxj7VshR4C7atfYdf30BfDMhu86n9Hoq9xcLYbSNk6V
rpvA5+OfUtoI0gmZhFD03BPXRzHZ3kzYPK5tW/9v8s5kOXIky7K/UlJ7pGBWYFEbm4000o2D0enc
QOiDYZ5n/FF9R/9YH1V6V4Z7VEVISi960bmIjHA6STMYoKrvvXvPXTly7UwCMhrighYeWhe1/KsN
SU/hP4Q+UHnun8h06k2DpIarjWjZM4KVXzCzKeXWBSmL59JFqqU9MFF5jEm87jU92NnoO9QRIU0d
dq8InCYRW+q6fyxSlo+lc9bhmmhsF6KsuOFzDjWhkWkotXlx6uZUAnJyewHq05W56ZuDOlKSCYKg
oAhfY6e/qm1GrTpJ5z/oTLI/dh+08VgtY9h59HvNnfqcPbhrcBdwIayKxXd3yUKdK7UkRBa8Fqyi
aldTn2A2oYBxs+hrEdJyVHuvPjks8u49p/THf27GXUDqMZT1fdLQbRXNeFA6Dkuq+N30Dbka+Ylo
rhcsSiT8UvZJ1aIT26eZkokqP5VP00KuWmnfSa2HaEO01tDDgPvwvfLe0koPgUqY3KS0HwI3+zKg
v9rnPMe1MRcHda2IgiWEeAqO6kEf6KGxbrrLGgEX1qzIBlZCPuLKnJjNKSlOQ9jDagr74KdmtRyI
np77ixpHk5WMMIsYgLXbOJ+MCLZOKhXWysqrJ0jJwplkzGoUB7TqG8/SbsfEfJwReaulTcmVldBM
7S6Zg5XcJAGJubRyHXgVH7Q1dt/BAhFFJ3JMDqguopy8GGBvE1d9p3bnpenpFOvTOkbg2wnWGptc
b/SC3Hp4jlvO/9pRPWGgCKut+a2vEgTCQfxiacnRGBK6a5kHyM6yi7W6M5RqT6m/IhKE9urhdTOu
ii7Gc0KOjxK8CgRMy8BpB0LIY0uauk3Q6JLSopHCS4sUJ44EoHKY56/jOSA3kcf+v44LHlqpxfHA
ifnbeMguvFPSz2z36DjTc7skHccBXqYbtJ9nqm44PCwwiA1J0NvyE/c4+sz90ACz1MpvVmd1D3Bz
pViJVTL03HpfeOE9Gvqtb5CxNppxx03wXUmVSD4FXiElnAImNs0a+kzp6zL248Ec0GtVstTo6uAU
26RBGVIVo+Rb6kZTin8lGPBNZGC5CBfgh1nwJVwQJjTLHp8Os62m/6G0X30kpZQBuE5LJwO6tvSz
K+ieJk7EqKBxSQsWd3XAvVrq5r6tylOK33abJO6mladD+ZatrkK0MXQf+rCuYycMa/Hs4J6Aftmt
1fW2/f5laGXUJe9LPiRKRaROSUX4bC8la5jRaOjc39SdoY4G6iKog3Ynqzb1pM2l8+gFLqwQ+UPk
3kZXj860v1Krk+lEVxd8tvpKMNOFn0FfRkNtHNihSLKRMiso3LLukTuBTtnSTBvddyHYdU+6Ee0T
8hS2A8fJptABMDf9VSs5hs6kXIZh0O/HERJlHiTtjkEAjzB+e3lM+ljBpFjX6+1d2QMD03TzVPdz
sVNGmaFhLI59ngxeLtbHwX6cPDoHHc7bZD6rOgDKLQzqmpwJ9QSqNTwRebytu49jXxv3d1obtPug
QZ2HLepEgXdyk/w+kJIbVUHaZvICQoz5kyul1r0er5XgezTcB88vXsu0O9EH2Ks9jXHja02wfOA4
lJB6uVGrQ9c3X9UnZ+bjYzYZB3JuBc8pZzGld5dKHH8p7TV8rh/qXKWWHXWOSDrXJ3qquy9bBg8z
A3LZfVAS+2VucVaMSKeltjCRV89BGAoBtUCXyo1PNYdYfZBaTL2+VXWtuuHVBlaU4VlibwNHf4l9
skiWF/VN48IUFQs9ROjM/lgQRpxOQVdsLxiGzVUj75+0otylA7tPrRw0uQVYIvGMU9zqn8fAu6pd
A3WSjGVkjuFp+VZV7kqoH+j5OfCLt6VAwxt3nX9mDBJaF08W8bEOzSColrvY7R655atVpl0bKQvW
KR7V5zinbrcNkaeRT8dJRfso8oNBPKvPQF07CIb47x8g0gY3fa+hXCtoYcE3UTeGXJoqowGRliIq
iObXJZxZS5AbHkCDP5DggYw4A36VZOmtequj5j1bWfLiErkKUIjpmfpdZZLpN73jQnOW8kFA8/Kz
YU0cOv3aaD6lMz1rtfSrP679kJNrIlZuibGE16ZpWrLRBvtVS261Ua9vVIHlTBk62HifLLhlA5uG
Y18il1CSVpuFUy4V6sOS/5JIZbciAZICGY/MvBo7fMqnhZQv+VJ00/7uM+v4UHCq3a4npZo+RHql
IXmHmqc46i6xCvIYro6SM7EvdDcqhh+mTaKJPOJwK4WaRk986RjPyrU3mCyM3DUTO/D8pxQTP1wT
i64iW7aDZoJo6FVQTjOQyqeB8okubpFsO2fQdvZQPYcDiOPAMx69Re9/6kupKKlbegzNAFsYxHDU
VOu4uunV60ucKuSYSIHipTa9qKh9DSpS6Waa4QXhRUln/wiX9EudBcZjPO7DyQcgKpXg+LsfpgW6
o+fi6pMmsRGVEmUeGri0IfZK6CSUORwcXIRTjOUD4hB6M4Y9mxObA00c+NbSZaga3AUGlN1t9MgB
Exgy2PCqRyVJp1QYb52M5qr6sFwNuQxEFSp1bjnl7ekTatKBVJHUFndqv0XERtkfkCVUogweISY1
i/Vc2/Elas1rpIMqlhu8qpkFabRboINYwuTyAe8534pouc0SVu/U412gzgyZJmrnxqHPo6XVg2Pz
gWSFzjygYp90SRuUO+JUM2Nn57WBvYlhVSbsMWSEgs/fi+olKgyHsKx4Hw385LCn5ZMz11TnMQHI
0/Np7TtoOCbO5QfNygEmDu1j0okn2lRcGurVLOiDT52UfNUAbH1rQPDKgCqHAHVMaI0t7MVtEeQb
i9A9pvSErBfW4oIwJXvTGokhNqJ+b2CQ3Qn8fhsXQ56DroCFrc92Tc4JbGRkanlDhTmOJp8p3HwL
6PecQX/cMTh+1yZb7FqTTn8hDlBT2WDG5CtBYwD8nfqLcBrAumZ+M6CB6WtcYqmWkh3f3GaafkvJ
xXLn4QFnUvoJQN9l1KJ0H8GLT4BX6k1Sr6KwC/eJxeOluQ7JRUBTNmCPloRQj8QTJOUk9Xqu+/q2
RirmFumN2dADzvqBmTVknl5LQ5q76IoJc4HdnWD6wL3x6IUuya1L82McCQNoHKwsYxvfRiEZX3OL
mY1sB0d42yWeGGJZpXY0uRPXAQGaYYfLw8TisqYhBVW5IrhS2hnT6tzmfrXuzcrbJuG2H/XuLrCA
4jiBg+7DecDem1P4012aCmjxHQXGxiA10YwmgHJTdDCOcLXzzbxoNy58acjE1hPPQ9heiaz8FjU8
JYMx2bfWaJ+7qX5dYCJuhxE1v/oHPiUG1hWrsKmVO3DqZzpMNKx767rAiTqk1bKxtKk+BkLf5a2B
zg4eu9uLnmE0H22bExzLlSmQkxKfNIdmf5wKYmIiuPSZ55xd23tqnUogIwWLtzAf74bxc93mp8Kh
OWQK8Latqb1WIsS46VQTATwyV8Xr3zy/fvdDKNKNKJA3ZZz1Fp8hS5/iUEj67ND6Zs+E0AmYutFy
sNCdjGV08Wfcjh7KEFrM5jktkoVohuhTpXJgayxQYFHX3lQhCZf1HOOn91CED4zEUQPOWJGLNofi
FX23AoNIL3TwoDhvGy+Kt76ujZinx2zlwfGqp36gXkgmgltvo3ygX9j7jJudcA0RJbnryKTbJ9TZ
WyshTCxq5PfVsSVnJHtC7UGIigQEhqG1m9h3ekLnsi8UG85+6ZsXjT7rMuLXacpXEiOaHTq9HbI7
Gl3+kxV+F4gpTpBgkQ96060YW/+lN9/92vruTL61i8L4a6xP5l2cL8Bgg+j+JS6WBVgoIyBc2zgz
aW1Zotx0HrV3OEWIDChcUlZ51Ebgi6nfFmECDRfRU88UAG9VvRkFjMjaMIlOLC0fH8380huASjv0
jgU+PZJaElxDBqLPxhhWc20MdwYugRE7eJoAnk4inOY+jFVR2a8TPZzbYsCC1rWMSPD7wycLkm9+
psHyyjvvRlgjIU/Ae2JOUcwZKDnIuMgrM1ybNW08PWWwHJXXVEwyt74/0htLbqeaSNghhtdVk0pE
00zmkbgLVg6vwMWLVktWBWUOIITnN0EuqJ9K8CjIOQm47npz2zr9C2EUzr51cdkZFuHsVhicPHpE
diTq4yiqC624vQVxbO06wbTOA9PFihOFpKmM7V1Cj15rrfnGFXmHJozJvU6346bxiu0wcBeyuKGx
SG/bWJdpZQjScn9AxeNwISo/hEqtgW0vZWUEI+XvBPx/UkXrriNQRpuuwXjTsX/jvjDgShNScuIt
9PJgZYiB3LxPFqKQtsn721LW1wRsb8skuM+J4aZnju/KNACrq/mMqkDkDqok6rknsf+UekSM0BOl
T63KvFoqI6RhitxOxA+HtmIe4mVoeFH/0pqRDVKgDPOaZtyTiR5r9MzrX+u/AUH8pv42eIcG+m8P
UL3ueb+J98dOR5Nlpu7HIZBIvG4TDTQHZ9xKlIUZcIYBq2007CbjZvbTp1ELZ1r5zHJYHF7++tVY
QvrnfxGj83JMgBOOMAwfOfpvYvQx1gETGKm98V3jOwTMaB8vGrd/Jb2FwQg9ma4BILdp7lcpKywp
cfO8q4vQZTrunmlMZoAAjfslDPB7dzrYT2/u8ANNx8C26VDYfOPQ3ik7SZDGb22CNbDQ/RP2XVxl
sgjBkes1RLIr29hQS6jogodmr+qVqiIno5dQCGmqUS44DZ7sUQT9g+03Pw2tCMv3ukParakzmV0y
2YOVjSBZo3m4zslq0xuoXKFEZKBUqNf8ODKY6TmkNkVb7A872qQIJGW5r87MSUr6THhti+mRMvb2
wwOMJBOj2lflb1JtNcPkwNAQENhOKN1DFwvPgK6XNA/VFmhkm6OeOBn7hjfvxhldRbuMVJNxcKN4
HTqCwb3tndQFUuZrc4gfg5JNh0xS2vghaMCaxaEb5prWBbMo+A2cPbZI/wiZ6aQjsWJeuAS8Em2i
DSprl3BMxjutqWnkIf2z2a/rtn1RBlXldwcDdb8kOCzVLHmSLItyjH+EqOs62/liOWQQpHLY0CYh
cbosBlUeIOBn69+nJX0yZCS7sIsuobsnJ2r8sAZOpcG5xf6q5qy5PhunJo/PTQhng1Bt053TR6T3
wDvSebpfZhAI5UJQi+wXm25yJcJroxOhPjbOTZTZ0cb08Fmhyud4Wc1Eko+cUWRfN7fd58FYnpEN
MWGgwsGIOBwIc9Z+NkJltlIr27izdtRi0M+Qo9bZoI27oaVLZOOTpBRRs1lnpqY0XJW1XHKyitcG
S2MjvTEZ878VBUeLpo7ZMPy0F+WxcaeYCN4l+a7qjVTMeO3Rhqpuh5ou/8gb8ATMvVHbxhiKWkEm
WaDXD6EWP4t4qFYWfPHVtMTLSoj5MZxncWOw4dYFYlwr0PGmOKgP5SyWLAz2A86BrQEbWU09RpAk
RG2GR9XJ7FpCA+Mp2YnZn24cb/BOlHOyUos1eeKGDSoHe3JxhC6UMnIYNoS733KieLRlnKfq8GU6
yQYsNHbjchfNiF+0hEEQe7XRkV0mB37q/blR96nCrkg8DV0GVbKzqjCNJ88D62HEbys9c18Qqq46
t+kUH2mfDce+rJ/8KLV3gRXSQ2sSUqxkN62ztfsE4dHHPF/zNP1Ygfyf8yK4GaMGFi4xYIOR/sjr
RSMYkmllsJg7hbkmQ5iPhpGXlmNZEnZ455J4pObHqiuueliqoyrfvY7zbSMMRJUSBhCWM3kgPmMg
ZgRVfIu1P6SZSFSQaJn45hVeUfUMf9RdNRZJWSurYrMJ2Y5ooH42aop3lK1o1GeLcGRAwhRScqSR
YCRbkz+zqwz/gqf3mMkivEz8h6p0FvI5AzITKv+LKsBVGyaPfbSHpLA4FQjbtkvyI8i9vZYDpHYb
Roqjr/HjHHSWIO8MPHSqU2E3IyMHgf0Ew/aNakRrdMgIaYk+uvip1+PRjxA2VT4ml48eygRHYAop
zBfxyU+6s+0UV9UtJC+64yhg70OvIRDblRFbw1G9dUW8iWsmXeQk7A09hBHIOUPdXaPVGLdtf26/
DsHZS5qvaiADgPTzlHYHddf2UmKinhgI7ABUMI6i2J7s3aihW3Nc46SapHYVv1p2whmxdr72y/B3
hDnjT4YzMERCftauw6bme7+BvwiIIxkgC8XG0qGxfPQxs/hJEIUlDwBqQJR5w9ugz9+03kbE0Se3
I10X3H88RzFSHTxy2fGvt2LjzzuxxbQJbTZYNE8Yv7PRCPOZRqpsd1ODTFkT5MapzH62nQmXvZy7
KwMrR4t1NkKDRWoybibT7P+O0uRKttSvJwJLlwNF20WpAorxtxOBHyEhzGQeRSNb7nl6ZyaURPoY
vZYxhhLZfFU7CHxujlUteoiiR0bDhMoZMVAOYRqtR8dgrIYSWm636m8vk3FEDf+ieRi+7Oi7pgHG
n530LdeXaJXBHDIuQSq2LdJ2c/wSiBL4wEwPogkDuDDVo9tTW2M+6cO70KW11ImSubM2rRBv3Kuh
lpGEt0NuVPfkDsQJOUshuIA4bopbaNek6eqHoQdUMWmjgy4+dm6MYL70hs7TU0BXTYTGd1Blq2VO
9VOSmvHYyLFDNVZii4aQP36dReeC059fppyOZPgFtmv4QRMZpOStLJLHiSRgOt3eSr0w+g4vHa2G
lVVaXybcxR9eTFHss5ZF5kP+QOhFMdmQOBQXxuh03KskV2bx/FiPOM/lgAUmLCISubL38xTJhRSN
m0dTQzZ8Zyt1Nlat7wxd/8HucYpJwS3geozsc3v+gP3aSIKdajElAXsf++4Hc8v1LGcvTmrWpfpN
VRw+O1H7JSvsByWVUatUXA1f59J4lwZkcAw/tPCg1gW1myu0ERJsn8Jto6aBWiDofYkPNIR6qsLo
EFanUueZUo+d1F20UrakDmvq+K1LjtZILAPTBDUWUENT9dsS9wQ6F4VCc2BmUnZjfK8eSEX5US+7
dcdt0jh0mhkAosay79Xr60X41ZlhIMpNAFLDtaUr/zf1y5+N04ZkLgrPdBzdcXl+eKz+4Or0Ij9c
hhyceyjJHY6bvC7pm6E1nxN52yhBoPpo1UzNkAIyNT1WN5t6leES/YBHeSq71nvxrPWve8/gI2Uh
8/XzX686fyLNoUAXcO4kytSwCWz7zTcdFCKmhTAwbS7FT1Wc2TrUWm5162OnnARuoQ+Ci9M/zp00
4Uq6AdpLdAmd/Wj21bKNRPCsnphqGW59J2h2H9gAxnqCMnnlyFVCzsQ7f6TvUVzAEm8VjAgG0d85
iv+bBd6WKzvOW4gdtv07SZbE6qJ3nZwJrsQ0pRnHrchwz2Ri0HUeaRelNhFDCj3RFs5+nNi4O8M+
pwEdDiXG0Gbz0jIC3/z11bZ+xbHidWZV1VFCcXt4tokH+NebRGSSe5mO7iYMyosNO2aReh3fUxQo
mJGEZdx3nSxA8KKp2iFJgI2kkgnGFqCmTUWJvo6b8ZiHuEezqzwLqw1CtWzVWLgS7cMYJRZuJyaY
altXMyPDwVbqpXRbAa2d1Hv7yXk8f+wQv2Enf/vP/y8plDw2f7gJJA/zJ6JS8jj/49+f3ot/u3tv
kFr+EUSpvumDRGmYkCM9AxAz267lwmP9PyRKvgIi1dH5n3BN3/I5yBRoZcBN2tY/fMjNpByblmmb
/P9/kSj5kufzo1iIfBN+AxX9v0CiFPz2P54GeKGe73P2QhYMEwLCwq93bJfQ+3ZHhNV+WdxmxhyR
VO0chft1IfBsFK2B2FFf5YlOBlE6YKL7odmdTH3CMujihci7kOGOsw8xSBkFYR6oDnbPRJp/GuL8
UE7JKW9+CCIte7/6XPv+t1pMzSFd1qScHdCIEwDvQOzWsTgQlv4tD99Ht/4WYa/ZNOnT3OIvMgkb
oahuTl1KnzXgxEo4Cts2SKna6SLcY2D8+szamLlJq1WIlQXm2jWq1aSLq6BnFw9+fjCoAcoa/4OL
LsSJqQ8bgUMpH95izqc0lsL8bgq7q1sTUsvkb1/78W5u7/2xxyjp7hwXEEluDUg9qwc3oNKI9Y/1
4196xp7/LyCuv7Bh/ydkrHw13/7Amf356v5fkl4l9fF/Jr3u3n80bfq//vPfyrZrymH+44Mmv/Pj
OdPcf7A1A87QkbSZbNA2nbnxR9v9x79r4h+ub1L70OZmA+fs/U/mq2v+A9y04IumK5iWyH7eT+ar
a8gvMQokHgROteP/S0+a+2tj0LEdg52Kx8xxeX7Fn8oSd7BTKN6ybVDLoFgDKvLi+us07D5rJWIB
YmTw0qJutkT3ABUeYFkx08UkM6aszJZsItvdaJhEJgeps5OjsPWKcuc59KSb7BTlFcgttFl9NL0n
U73tTEb7IYAFWtJkRUwE3tt2T9QSwLDFDe/pSK/q/sdsVw8Ssh2NHlHQmLEbP7/TaFQiZ6zPGAzg
YKP2lz0nAl1YCtCnr+JpODLMepvM7CbX7c89SYUm4Q6xYe1rT0s3whlnWu8InkX0pdORewZh8Wak
5RvyxFRhSuP5m9U2d3+4M35uUr+QdRVO5J/ljbrMLKYwfB32YD5SueD94ZxWNLEFu7uw1gsvEH5Z
drJoPX/QiECCpRs/QDMi5k4KMd21WAzUP8XVhv8Nuxt5s8yE97m4seCisyre6EBuCp8rq8XuDDoB
D5z3LGqNGbRz1yGr24U+ml+s+Jc2z09EQ/AhxHSWGp9wIgZTG4Dd8abxPqE9G7Ge8fE7HlcEwM5K
vUpIg9+yBfSceB7q6CobXn0sLoa3n0eOtYxAsWp0r2YXXoLak8NhIvFiLcPoCQLBOfc6TU0wbNm6
BlVLqzvFwMe4iWEWhUzI/HkBe5VHkIFJp4LWFmj3+BHntZTPGs5bU+bnnJIBvL737qPUoMZDl9/x
Ruzc7dFJ5re+1s3obTaUF4do8l7SiupF873npueDXVhP5b/YUuQz1lRhtDaP1uSO9Ivzz33fxxge
eC+NK3PCHWa6BeJ1i8RR4gK4ucflJqjLR6TofEJp92V0vLe+DO9Ks/zUj8WZgF4CobQfUtlJ1ie6
vfK5HbkfuSNIoCi1DMMOr2jEM7z2RLa1Leco/zKtiXuO3si3pc5wKMXzFJDHHcVn9VQZUf5We8iU
tOlb2BZngzalXgfPJZRVtH44h3wqX5qha88jnHO2w6s78Nn6Lr+sgLbqad3JgjFT2dxl8ilBOnI2
Ge6iJeOBdodNkY2UJ4gfZiJ4oQwZB5Llrm5LwybVwyud/0PfW5dGvpse29zan4GeNZ9bC7ewCMXe
rXBppMFj3qZvsUdSotcEzHYEtlcwqQSGxq9gQu+g1eFtC+NrbaQnXN2bKY0fBx18RPDUuoj9k1y/
yjegxT5YlGTUITbp1wFC/Eiw0JZMGkwlLUb8itGL1fVPGQ13MWc43zBUQzZLbrPYNLezQ8I7h9TK
4RWnmuZgrxrv6rB8Uvf+YHJprJpxBw752SKaMzLe1btDMPr218+74j79+rg7jiEAzvv0MzhESd7V
Hx53W9M6JFyEAbRpchSghNGFFu++h9950azLVJonEbvnNJp3M+o0c9Sl6XUE+FJ4Z2D68E+W5F1Y
/hq9OvPUKKPCDxbiDZf+FrX9o/OomzwHVQrno1t4unVpZQTXNViPVZxtrdRYMXv50QGxYCH2zvJv
QWU4EmBNkFFmbPo4/oL45lvu4wmF67QaK5TQ/pB/QuGP2GHfm9ZmCKdT3oGErPL3SOt7ZBI4wIkK
c9P8vUidcZXieNIMsifNZ1x9GycmxnnupG/fYxCsTUW0MoZDwF2Hv7J4qZcU4xfMVljj7wuvi5kk
RZqIj/LXmAi6tL79TpIwQCjBSMxwp+8eEZYrUFm8e3fo/6aCNvRfG3NyaXYcS1BGG5RI7HW/jca4
bGa8xJhSw8q8+LwveZk6DX53UIJm8S5IXQ99SaqV3WmrKsl3wPJMJfjXq+lZ/m1/4UOaLPK1/Qwg
GWgX0ZhvSJ6AmgrzsjBtcwz9hybSdxdphKHZ72HBJR9imyi4lKtlNPpWzOKhTet3q7Qvps+XUxZ2
EKtfJxT2qxLJWlW+kz2MpVuLnhyRvQuXuZMhchxRGGMa8SVzuYf8mqs3sSwxW8lxLuGOCwPUBWx3
IuACctAIcLwfx4JLagazCWOZwjPC3yOGs0GMhOnxTtVXiHZ9cIr2vFjmqUzyaNslEC9MXFej2/jr
3Oc9Qx3NV/nAOs1dWJTGeWJdC32Pc3BL34cGPeKUQoJ7z+Y8H91qOSC434MpcNEuyskZoVLQzcXG
Ddt0F9WXNgQClUFCYK5NbTxzI0AW+SpGbvkE7K40WmPT8oP0sEQmi3/fI/xLvzRZ+jfZEeJXJv7H
3QEI3DfwNHvErvx2d+jgKkOtRqJEXjMKWEJ/He+cj955WbhGbl9+9fBwBvrsw25kcjbU0049dCX3
dMiWWwUN/WawkCwAJfN19UUj5insEj4sbLKdF24dXZywdr7Lv9kXpFNNc/6uZfwKmGzwKGiMJwgq
0z57rzr7EtMpiEf/bDXiXDpRRNuzPaNplf5QLlav8VnLFyB5lIOpS9CrthItD/BUiHJdkmS/jLBb
R35TN1zgCnKWymse2MK7yc0Xvm+G/AS+Jo2nQ2EREdTFmHuV4A71aDQnx3EUxwKBGLk8/BCDf4Dk
kGQ3uDeNtlOLgGYxnnX7Q8Sy5rLgkQ5wQcx8+evl1v/vPiQSEAzSxuhuAOP7dbmdC63lnRBTnriD
t9WCnqancd8ZxXkQxXsryvdKTmg7VKqdm4CRsbkfY/M2pyGPCJKFqrKyd7kyy79vLDTdO73Y5XVW
A21ge4xHEMKFvlk0TiwwWXWIH9l7WC2nkKAyPfzclsajH9C0ko+lm2OpVJ+BFqRfSLNB7+ef5YJP
pB8PpPNYBc45SY0TE/9DUDg7eXXLmO8q3fGS+s6ll6un7A51CKdWiRzF7xnaIz5tDrTyWYLkntKn
WH1HiED2JRpZMEp5a/BjC3IcizG5EP7MgsFTjqZ2U6SZCUyXNZtkuR8FGT1r0nxxmdD7Lllp4B+x
EsfDm+KvEqNLgBc6+2D2yk2sp1/A1q0pIW7l54ex6CwXbFEuJdkJQBk8/dKw1+G64c5Dyr/pzOGE
8unSAOFeP9QDN+Bff+q2kLvo77ssWhjabr5te46suv64y3IBw9E3NGOt2+V56co3vc7f2qU623l5
pnC5NJGkwmklp7n8VMG4d6uLY4NSsIoTtsMzwQxnK/DuKPUdnVPD1ET5uq67SxAfTT+7VmaOazB2
jkbfPXFmQUKQhyCW9XkbRjdwnd+Tujghkjuzz3MC8x8TfQUT7FoSywXKjEMLCalwGJJr0YRXe0o4
RRP1PWElR/zAm4LaQsBLmRDOKuzmnHqe2HQRQnctQn+b5UVJrn2Ks6V8nhMctwF8X91j/PVxLjOr
l3RCcN5WnzSRPXShnXJrfLI6qiHMmVqiA6T0UObx+doBipqsGNODHjLXsatqW8/9m+mUpxjTizqx
2j5XoZKQAuACW9chLbUk1XIVdS2SOo73HYcKdLDPkBNLXMNoCNLwonXht16DeuUcIs052E2J2cZl
z5p7Pd+UhBiuU2qjTY7HAzjAdCqC3kVlwkSkFuF2nORxURAbrWsXdJWNg87NYlaX1PGzlAaoE3Uw
UE0QAXdTV9M3rUBczSRwO8OlsifeihdZzbptQPKhJVtrFpMMm0MzW1nFsS/ip3Wy+KlLfnYUbJEg
PQuDk2npRVcr55yp6oqKga4zCAwQ7DSzxj+srHzSWshGS0WlZR7kbSPvpFqeMieTe457z6uKN3fi
jOz1aLs6azoETnqdFko9hNw0VtvnIRQ38BjuDC05pBpJhkyGEO3dll76Rlbhm5Hn1w6SLNILgCpp
9NmQr3kK29fcdY59UkCKjL9pHQgdm5LIRz7JcImhdJu8xQO/SJYhqtJeUrxi80zJ54r9fPUxIWHb
hK0KoxyF1TZu5y9psAAvjz4lTX51YxRLg2fcmIyQqMOASMhSXo9A6nXcKQtAiIMFJoKKj5dURs7z
1H51Ew3ZQkEARyKtpaY9CgYdCZ82jsPRfcvy/K1xxbOt2Qd5ug/4fKUlYI61uyL+Dqn77HLVgG6d
SIHGPAEyvk9KBnpXes5XZNYoH4xXfKGfo8B7VvdDvIRMqQ3qZybVmF7OvZe/jfJcHwuKGvnRwK15
IbsAGkSUQsH3x9uuE+km03iQY7It7fCt4BOPy9Bd97nzOPbJ567hPY/yw+7wE4KEfJUljbrfZOk9
JeXTNKdfG/nXZO02WzX0OOjTXnmK0BZlrffM3vtsZlwZDFFmAbQxOZSaJwVG1IIBH2tTR49kDBHh
iXq/EFxNRI38xupF6Ia5GfOQTdz9OqAttYL2EILAWdU59atcXRj9eUpwEtnGuWB+Fs7yTfvNqord
W6vF21x0O81KX6R1twwImKXkV0uEGm63WfGGQ0Ii9CEcCJcDP5vaZPVPEJc5wPnhtQh9+otzfELa
LOtD3msap0/KJiAHWEMMzTHnT7WEr1ulcyjnbxXiHhzWZw1QsDYKgidu46J9lb8uYwo6wl6D9Icc
VdpqIOMCqa9XucaD0vAZj4gYwp6ZbWmCs/DFdIBeBtetR2JACwc9LQqCSdfOgLo/uZX8j44/zniG
eTCuUmDVhPENjiKwFnngoWj22MC1J9kDwk9HBU3SmDtf1Nv3ucvFxF6kWznd5JglsIMmym02sRuv
MRzwIS3RVXaEUp1OSx8DAiUwx50fCWNkOTfomeTLRmrGt8ScvVVxee6b+uzMN3abn5lJb0nHXAm/
OLcDbafa2cg7Vt6WOBnOXpxdQZBI2qp3EJmD4AOwts7P4C4msfeMSewimzidgSM0KvTPQ42V0dAA
rNMHOjOXfZ+qHmZPQRfOHLSr486fMvlSTYvNPxza76Bn5KtrZefFA1oTJSx3ZWduv0/4zzHLNOPG
y7x7d+FjLxFW4qKH9BeRDNNx4lt0LhICjG+lsO7GVgfos7F8Bq4kSG58pqC3Hawcl0HPSjqlArlI
y5ujdLc0+u4gPX6sHbGRvo0Etq6Gyj74Jpe3j8lC4p6c2SPkHdMW7bghCx3vL+2a9M386oxIpeVK
oT5k01hamurh3+gM/hS/Jos93+GU6ND1NKnPfz0yFFbVgERCQg5wnj1cTzcpvi3ilrdpOa0tv9qp
rVtKBICrveU5zHFk3XtnBCSvHsq+FHuQZC9NCHzfd6Da4QxhHEifzlrQ/nGbdkvKJl9DY6bV+NeH
HuLC/nzocW2Lk66Axmhazm+jkYVwyMJvKFd1c8ERhi2ubYsdMqKL3XHOzajFNHLTp7R5rqcHUvVQ
SCzUguHoNauyNbm1ZKNBnkZLEs6lgkyeRIPcPwf6e9Lr02rRuZ3gHQHrW6ZneaAkFpoY0QQ1GNUy
j7EGcgJHrTo3LgZYGm7SszV5+6C/X/T5LvEpQY0RToHtciBUhUzBeVH2Z5iOPDg1bYmqsFPORlxJ
am6DU6qqhGU9HcMsQOTBPxJwPbbFUz+Z1iXtjBcknmt/RAa+VJzYY07iTsLhRhLBy4EZ0NzVT7oX
PYUjZ1ezLY/OJN6izijXKQVA7d2LLjrSgqILSI2EG+I4ZPo1rIwn1Fcd8SM7y+qv2T6bene/uPSL
Z615RU1drBi1EFkhfFzk8uWPXZzw9jY2GeCQ8+krafZFtgdmUoE060V2XVTPBo4+6r7+O08m78rl
16qSw/OmHYlRyBLl6bvs+POp9O5L6frz8Ml7orzxi4wWasxbKevkQlqv2T1m6XQrL5K0cDq5ex4A
+QHmZhHIv6uKpXP2w4DTAEQP9tcetffAsTSaupi1iY5v+L/ZO6/kOJIlXW/lbiDbUovXqiwBoEBI
gs16SQOLRGqtczez0/t5os8dEt2XbfM+Y+wzJFAiMsLDtf+/dZQwsyOnMwPyJzGkSIMyGZ/jUPvM
6CHE2Z/DEoAl967Fx9lWlYQGsJXrkUJK2e687aiNt9k0PZeu1gNKpXy30+eag7T08jXu0kPrFHcS
IShGeFWWMmlTUpUTcDj3k1uQxh3J6WRgva0Rw5B+qqwvZW59ySxkD88QxvLCuvcMqExVmpMGNrxN
slNaNg9r3kKRaCWIkZpM5WzqSv0chkyuEsfj7UpgbXhoHWLnNTSdhudhomgw2+x10Zv04WU/yI0y
clyU9yZBW7lGiBLGxjBTzIN5mPLyZkTsQFK4jwaMznovEtO6Mutx+/t7vdbgP8Qytkp9wDFNyp0U
Zn9VTKoxMhxG9+dWkrWrk5nNOmykTFpL7ph80PdmgsINn3aty4CgdOsO9idgb+/cXn/3kccxT2lF
valafH49zk6rLi2/xNAJbpbeuU5165iIb2sOsPRN6ZvJiwyKlkBsbhqxGqKg8246lYFrApfZHSfP
PIsB/ZfndX8t8a6JFSoiKi0TnkF3gvqhBaQEciMNI5tvFvcvTb4PkbM3xVu2MKaOmPs1+d9EwfPA
stvZBMK2OCd9/CbetZhWCaqWUIONazfqT4OL0y+OfY1hlo2aaeoxPeuqyep7ooL7Ogw/16TLpR5C
j+ueBjPdAWJeOyiJA7z4tXiisv+ro2ntYMe6pU0dlyNnAjrB5Ruaknl2vsZT3RerUi+hlZ0kmjQs
2XHonoEbegSzEJqVYJcCYsD4/iFriC9mN3guEqI5oFlkvsMrSc/rg8mEhHVnAzAIJDhOrASNJcAO
m+RbyMy87smQsFTVMtu6GRL9vP4SApUc/Ukkh22d1ewkK5bHwmhE26nJDqVNaqa2Bkz4hNFHx3yK
wGdeXRwztkeaoaE9CifXD1r0mGU8gmdHjNBIryHD1AUOoh4n13E+H8Scrw45MAQgxGRoYCchJ1xe
uSo5+2Ahji08G9BxkHulXgASkcWMZ7sDXw3AWCV+a0nWbWCR302CWNvqA97t4hyqjBYd8akpIoE2
ZdBjVoaIAAgCT8403SYmbl2v4awrebi1lOg67sKrcKZgZjM8B7CbdiOXRWpTEjZ4YJjM1a2OhwEo
y22Z0waWniX+tvTpviBMmjwcizWQyUPMiqyNfuDUlzJRQuFho22W9AHocPqRKQ8d4ia78vAjM3EB
w5RynCZHXTrFNraZLcwL86ZerLfEfgi6GHBZKfd4OrJKRKNTxllLabbJYtWk+5qb+YkMBOEagfLs
JQ8kno7k6Ed/qeULxO0XH1BdltTPp+0YRJdAijr2EIKXoPghfehrlL4GoN5jZVU3Zm8cRQDcTJGJ
zM9ByzJLPXlD6Gly3spdaAP7KNLL1AeOlQ5zwXD878/RchN04OZr4LrH0JOImTMxFuSJa+M41o8w
3+pgmWrV8GxNJ5hKnw3u5XuEzEsdQjmk5E+yHouUk9Yi1lBX90WY3ctnSXQaoW+YCgPt074zDHBA
e1s6LYMqAMRlhLPQuqps5Rq4IgpyyHJHJqfPoruyKG6zJTpTn7rPFMmzsH/idtKHl+5Xb5TO1nbj
uqW5zzwDJDpKRqox3eqFc2Hwk9gp3EQRg5/M6UN6BxeMGnIPZ9nyNUpS1GG/GO53CUflq2lCB6tA
tqpn/ET6hRUYNAn2c5Knk4FdRU2KpqhsXgg/0720yNL5j4VpWkBKen91jnMU1Bo1rRGEAjyn5es1
GcihQdeuorGqYxs+9D0Kn+2b+3hbp9Ehl7yNJBcSfHiz7j4FsebnffJtcL555OrdsDlKUF1wzoGk
Ox5I/fKOrDhJ/Q6w/WfZoxGEVbIZZ/GsO3iMNiU6NK6jO23JbjOij9CImYrPCSuLb0WVP5U6WMWt
+tjEVsxlDOLjWhuXmMpEIDCJUo1YAyct17+aPe6UhGWMrd8sWXQrhUYJhxS3fHXiiHiRHeoD4Pyt
DviV9RkbAphQ7qkxPuEI/DCDhuvBs6pL++QVjzU4ov6aUCm07G7RmUxq3PC26CxCBIeOtfU2KBU4
2WQdJGWxHqUVEWsmiXrDXNm9xHIlpYaJHv8K1fB7+7WmlH+x1wAW0iJFOAFShIbT/au97hv5qYE7
qxaE8aJ6bSYq2ikH9CN6W0ZQCGpT+6xGx9gGfq55CEfjaMz93lWYOZUlrykDUXtyTE2e3AWMpU/O
rqib26hM37w8+xeja/2TzYXi3PUkbqAc+MHm5hQz1DCfNQjVuedRdq8J+0es8QSWplAorC9Or2wL
c9nGzZvtgRb3LF0cjWMebUmQ2msGM3hulCXcAOBFy35NKIp1wwatORqxr6syl59AhXoVw+ddMRsF
lH1/Y2f9FTyZRxs6A9FKq/3qvOSkwKXox7q7HDOgmrpCu5PrpqQ5Mwb1XaZTzQ1d61lUwBqcgzWD
makd5hSMqzX6Wq9ZYjjXtIw8eJ7yI/f40t+fuimn+supQxhD047pmIzTEUZ+qAbFZjYufctV73Tz
s9XsQOSKgUAgUJGSUBBkf3r5V4YKCIgSfDIS4rZU3Gy9OJbR4K+1H+nRqMJur0qUNetPs608DeHy
WWkoxuSjStADiNwaDyhSNpVKg01dbI2ZpLwgdSIc0CVLv0vdIAYTYdtO4DIlwQCuPJNvXap/pgIJ
NUcKFK4ZzdtBan3g3cz/5rf+LRw1Lds26EKCzdqllioi91Ole4FQI3aUQdsG4P5fGZYM8qFi9fIE
7BT5LQ0vMlOeg3Sm22XonypnenjP50pqTHCRyBCexEQQe/VbelJJNDg7z7WPqtjBGSSEygX7caGF
pI5PFDc/YYzWPoExtKxNZD413fBpiUHw7cUDjDKclHGjBSC3LFIk1yfqx1SP/kUYPjT84sGKCuCJ
WQ89j+oqLD89eqwCH1fOnrp1mdzXlPqZGiiJHSD8wGzdFDhFg0PpxfLu234CwTR6TJkhoJgfAJ0L
1GqYp/9yGnT0fhRQ1gTdNX41Qx0OqcNfjyPpMZpuDyhQPORnLy3hLcDpkYy6a0Bv1xIlS2ZVGpBy
TOnq5q156skO77zwcag6Bi7oRJI0aznbz8ZcM80QMyZvniQjIsnORbfvSve0uCgPkO/bTa1kBz2G
KfLdW87iN5mQDRn5T5boSp3WlpdADlzePrswudvfVids9WLWxqZB0a/JxDJVqDBXR+sxMYcnCUdR
PvIDt2fqDvLfYsPcVrtZ3TebXqasxELHZgDsGolFzW1vPcX5lEONsJ1S8p55Aebl3pob4liJi0Ck
eKVyQcoCHS2PJP7WqqHiuL/qqBOa5C7XlOvqxvSFqBqjpc9SPMa1niJeGBxEoWaCiI4LyVzLeWEw
BQx+mAkkK63YNUO96uvaOpQp3f1Sel+l2BAuRAtSZmms5AEX6a6QWpHmjV8TullSPDCqddpNyNCV
B/JAokd/9mAmVbCvFt50tNIW8+rujDjYSVhmy0GtycsC11JaWZI5u48i9SosagCB8HbnEYveT8bZ
to+UQI9aZztwm4OIJ0GWTstfH5ikkqWiQTlRUrwOOE/wyI/ZmxGWb5aVniJigM5Y7nrhDKDzaxWa
SAoPEEG/zFF7I+n8NCWP0qa3oZq/Ffr4qEOlK9dYlzyrqWaHIqs/MQ/2LOWe1cNhfuSHCcza6oaB
w8L8OFMSdpezUYyZRNGbOXLfFTV5nQodkovVtxV7UgfBLagsMZJQ76uF7NYawOaLfu5VEvnMBiMO
0i1WzxkNiVdD9FcbnEM8EEnFoF464ATbfylHm6rk4H4xE5QkVVPT6KwGnVnTPuToyJRmpklSfCt6
MEms96CerxcvXYITCQOk9mKlBDXjtUWRRAeNwVKM5ywqTsBZ3UfIyVQU9AgVJ6lk9d0rfGEPFonn
SbL3ojJrjfIfQFWMMWcbKVpIOlnuihSmJEiu1OCOGWbKoVJjMjUbupSkARFLN/1OfYgC5kvlg0CR
S6ofIjkjdap+eZLELZS2b1I4lRW4rf5MR6eo0/XeFlxU7rZ83Nt73G1H3/omTLYR0x6SrwbXM6E6
FMB1BSsdbloB1kkXd69pYlJboDwUMAYh1Bg+cNZHZKKwKI5Lz+JAImf9SzjfKVr4dY6bs0kOYFtN
khkoziLFuUmDXkgQq81AnUvoLLFKEKeUhxxlFfRqjYFxSFI6G7ygfhwtFMd68rp4bXb15FGi3tQZ
MenLDzLAuO9SJ5B4X664a4BMgu6cM1qsAAUopFdwLJOzKKcwKvcWfZerkpJT6wsSobGzM+pbYHyf
NTs+Zkv2MDizvpNoSUEAV4lwCA8R6icYYnzihmd1hO1JamtraLmqxDmu6LMCoar0srNTjfhGyVPa
isaSFypufz0UzH+StHLZP+Q5/ZR64N037qeEqyrO9KqMcyqahmmdwKzDKqKRJzu9CjPS8k+U66i0
UJmQGFnPk1dXoYedu+FR1FpLiZqUEp0oe+LiFXiUW0dCL3l4hntgpCEdyqMEDkTz6+tt1bwzoRlK
JWx33PBM1zO/guy4vVM8VON7MbqmjMfFgL2eZhAGpNm7RJGCBGqNfRKzs7Yda/AjxBCpvIeT6w6t
pUkJJJNE+aENFilekCNrqQciFyLKgxo8Nt6TuK2yOHCR7p0CpRpNyQ1J4ReGsNYrYtCSaE+qXxXa
pRp5Nmke6CjSVfNJcKrWhuFUaMkasqtg0/JImTyXymsZFXsPcXVSB3WYKY+yaHiGPgNCRmrH+mq6
6nnGzNI3hIG0YsptpfkoWQYVEolcvfy3EwTIi+8GyuU9B2KFzsa7leVnnoi8NE9b2Q78ngpKFm4H
HWGnKeQCzNYzrdZrm3W6ALNiKof3iiH1FKm3pG72YDbDLh5B2VBznHZ8K1hzLdpbF1e5qaebQpIt
q0TBtQM+RXMrhVmpYHVi9dbKZceQvqYmjEcTwEgZWIJk6Y4IeqMnCQVuPM3JIECCgwQEIpTPjXMt
QbQYBCkTyevVCp8Aj37B3o7JcxMwpikNoQlZMYZxQbQTky4hrwizlBddDq8ogt2aTBvJcFFhrezq
LFmJ1ViEXXIWU1tIbn6OD0vyKW1hrYojQIE1Alq5OW3xZOb97Twsn/GWgBHs7rSGUmlHuzAfKnGb
fDDMuG8GeFAxulpsl1SubaCG6IoXsGzWJhsXiAivkeaagugN/drQedc6Gznp1Z92/eSa38kivRZl
ug8H7+a7ZdXWdg1ZisU4DsDn6yDdQ0PDdo3J8G2a+ODOpDeCuz0V9nPFB5YzF7CivmTbJMqQjWwr
q4wLzR9GAFDJYmw7Lyi23YiKlVxE4kTcHfchXzvCpURbDdH3Cfbsio8Uy97iHMleQj8KfYX5rCnu
cY2O/ndOBPBwZqouZV90zfz4I4zL4udpD4++pP//nMih/9EU7Y/54zv+mg/R/0CpM2XlGnQXeqZu
0Nv213yI/geYOsyM4zzi0NuO/Oo/k1jeH45hqEC5ODZWm+GS/zcfYnrMh/B/Dp04THjx6//JJNbf
CqaOCbkhngxNCAatddaHusTQMBJNlycckCU0STZINfqFBmOAmu4XrkWh1dvAfknHU2/cC4SQF9zr
1rdh0CF9o484fhDSaXO+XwrYcIBxD8BOB9dxvnS0Ff20r/fv/tXPUxYfuwA/LNX+kN0IW6WjRSmb
yJWe2+bULufB6jaJYZLJPWll/C9fp1v/+IUyqUYIyNjbx97QbA7yas6iaSP70o3N0XQAi+fvGcnq
RT8VABCSdAU2Pt2YxaWpHiYgCplX86JTC8NC+TDXl7yikcfZLK1GIuiU0z+kKP5Mk+8LKAbjiOOi
n4KYbCQfUugvetds2XsFzodpepnBwZ+jL058ysdLyis06zI2Fzt8qGkfozwGU6K24etGjb7rAdBw
XtNXL3q0RY3WGZWhhqaldMNCs+ky5Q+JpJClR9uPnupuD9fiYl+GqcbSX/T+xbXCna1faP8bJ+kS
lc9eIvClCrhognHfBRdWB5dPGNyzkAYypsgBTLM8QGzMHmTGS96fjPQEHNHGgGl3iKJdNVw0VJXK
52RmharTNiyjot0/K19s90WPH8gh7PIpoR31ooSnnp9R5htPjvopeLO6l5LyJf3t8SUDSsEdJz8B
KLCf/M6+CWYayeKLqzYbfujYdNPHOzU/ZYRHyKWpAII9voQTzmR4KjgMw0Hl2oh1eOrqU0NcIYVv
TXlRIGai+XvUsMe4ge43rUsO8sqc7HC2QEJ7kwU3yXwZq5PcDdnHgZ6j6Mg3OnirXvPSZF/kHWbw
EkRwf1JKppt/0zG7DTAYDe839GnQyWS/zNo92f6hOmWpXzL+3OKJ8TSCTKoxwWjfy44ZrKMqV+51
mM+Sg0EL7EQ/B0HixuG/WsXdwQa4N013saIHuYGyfhqNCu+GJiiC4HuVZfKFxBIdGDWw0Wy05IGv
t4AyE/mzjEtj3sv1r3hJ+cDZN/1FvjoCvz01X2IkXtbFq0a41JSaMws2dnxi9TwDkongdNVJFa7A
+ziD5BXGHPog+XEa3BTjQ03TIdqCD6dTTl8lhrvAqfETIQ6B4zw2Nqat/0u+5G9ZXFEZDNeR0tYA
5tA1NPnP2StDid3MaTtsvJ37Mb7eTOf9KdDPStxvzI4lFNwvtF1y6iifa8SnQxHTmHWmt30DYOLR
oMORk0gMpIKmUveckidnDPX3qu1jlk3WSduKzfAtvCN/myeJ8M6HbkC1DbTXle2ZP/Avi2oD8AZ1
Z0bWv3wj6cwPQez6nTDl0YVqgBq2zrj8lN7qujoeR6Rp46rXmkupDMg4FbqZDhwpaM2sJD96dJNo
ncVgQoEVILgBvVtxGZd6BCSWmbx1J1owHAPCdAobAr9P2xVu2aFJTLCqH+Vd/Ctub6AhdeBMXF/N
/K0XFgyjPCojLC9d5sOICAtEtzFmw5fPrltaPRSarXprnXLA76Fd1KL7/BwbHdkqqOmyp8UGXYXB
hRJqmOo8Bnz8cp78CVrjaLb8InjsurPW0tbbEmSds4CAJZNlKSrPCSY801WIBnyZASSUes40DpR1
IZiUQ7dJ3Rwsm1d5JNmP0HjsgPQyiGnD5InvcbTHJnsVKLjBVY6yaMs6WYhGYvKhtba1+dWsnodK
2yJq8MZeBZGNq43Nmh45YdndZlnPm61MeCyXDVL7DObf09h1Yuf4BT1evtqf5QeyLPZf47Hz+mQ5
j/y6UXhw3dfUR6Jozo7DkbEQtzqXdInLetRO3cuycUX2AfBOA2BGVvTd1XZ9jnKERqaaeTDWJTQ5
C8cYT92mmh/5tGFZj7owHzlFuz3IbjA+WoW+XAKIBTayKSyPTa15Fl7l2bdJWZOQAhR4vXElIThs
aZssk4S6zEUztZKyC/CCkCtdnyqiV7gPqQawo5gCZSFRNJ9l3w1Dgw9p3kBpTX5Q1s5iVgEFujVj
cCNtuvWAcrq+WjhCZUHyc/n3RC6+y/pDMZ+riSolzQfKK+Eb1F6XoLpuokPxHfDjHecsp9aQ+Wfv
60iX/weJwl72T56E85bvEREcKQn48hd59YKwMMK1EzkVEWhz6J8TQO3GEyfcoAj5G5vIqQGcguPP
IYL3TnOv/EJrDiRyZG/EfUmxKSq3LSk0UCXzLVLCIUz22Ybxd7EfuVgiHDCGbjuWlGqGH1DrSWfu
nRjzY/MpSChhnob6UFUHo0RKgOAIwEUJbydkRD54VXEc6hezPcuCh1YOBxAitdgiUA7cp2i4BTo9
6GYpJkJXwdVEGckKWWzHDhOQbXmRzlr5iSw79B4LXQdykNNhcliOB7w9lcekji7KSyQN6un1Oae+
3pXMDythsNMiOKKMx6JFrNqDNUA/h+KV76rymJYWdj/mWNlV+rx9uVEiOU0LWqzzmNEHzMY2BreG
mu7IGziOOUP6saYGgdCYq3uuheKewXTjbXBy81RFQ9e6C90gwo+m4FwUM4A9546VpICd00Zh9I+y
APnMSs2O8nlmfA5Ij8WcvEV3aeMGxx7/M2rY/lTbMtPkT2xbweUbLKoy8ZnN4WbIQ2RyUcaDmJtU
A5mVWyDP0iOq8us8Q4Q5St6jAbNJ991IEkg+SZSSCLWioQfnx5IOOMLWVV8F4besg+hE28pmympZ
viiyRr0FYFIlqJRfiF1DjAzVFLWz5E+sKgJKt6+LbdPAoIoMoKEQrpYsh4JTwQEgR7KVin72qDVg
g3peQvbSl7vTL48TSsMdGhrDcL6wUoUDqRd3TnY38OjWd+BaZ+/laNBEOio4rJ7kUeW8uBUedkG+
QSwt3bGIkJw5Q+ArtibrAlAHlxSWs72dUmxn49PT6KRC6YlbxBXChlj1ASng4SrTpFWkPbjea6Lc
x7DqkQ71ZVHyxn480Pi8bnQCAQrxEEWlZ0uhp0gTy+DxILLXYsBMKMAWqk4QDvrykAsGsZ5z4Hce
M1f3ZbfFXoiMif2QvgF+JVpxse/NwC8UpNRZ9sA6bJXllvZ+4RlyS3UvciyyK1vEEchezHyRKEEP
tS47H9P437SPIh0u+wzs07bOAbeQ+5MazF52BzGffOF6HAiQGASsRGO+62ExXe9Go8ddFaNs0fol
dmbVr/xMTOU0YWO5u2KNoubMvRN7jTLjrUqm083NpmtiOoMq9yPuBFcZ5Te3J9GBdCAA4clHGo/h
dOZ/kUuHCyGXQn5eIXR87MwtDw2WGBr+aGe+im9Kdmj7gvhYfFF5ElnCesk3i5tA9gNWNFQKJloe
RPRa2jNFgx4TG86XyelwYDrbLYrj9z7YP4V7ro2fqLtU12g6/VD8nRj3gmw5nOCm7zamhQLGJIgj
wjOqWEeZZ+Q+y3aKmyYyhbGVv7J/PHFOJDyHT4t5EvMl93m92/DYYZy5X+/m1KMe03Je8nZjWM5y
cUV31OGrZ93koBhwTd2x2lk8LGpNpFDUPQyWO7G3ls2twdJm6IwGvTgWZwtHdnqUXZEf1lwvpAgw
7q1sEn3v73ghAHSEP8p/iMMNKTL+XP7Ac3RtmzYDy9EAH1Ilbv7Jc9Qjsutq6IzM9od7eX4MHLIj
RrdL4sPQfGViDLtlLSeUL3ZQrKjoIRuTLfIvf1fx9lbdxAajbT2KknlCGhcTIhdSlJ64GOyrs+g+
QvP709bsf4jueQrXEVxggDE+1vr1YTL6wYaoUgSL02apsfa1cA+Os/ptnDrDSrKjOBzylIqoHOcs
LUbituDaidXnZXgq1XfFeexDHBReiGco9s5pcELQ3+LQEDvwNfrc05t1lhtitcaqXJaQgho8LUN7
wMeQlzNcI+c85pwzeyP/icYU/48vIpnqO6AsimXCgxBLK78RC4l8iUodWYX4GahGhtdXkyh2ZtXB
KM8sZTBqN6nf5BMKrGDpMJrD3RMnsG9VYBrQb/aj+KLrU/MycSbxZpA6/oZ7Q4DQ7EQIxdyIbRQb
uu7U++UUN0UnLa4oqMh3B8eAsclFR7wbTBFcMZJdnvviUYgdEQMgdoOUFA0O3xsNAG7rjCKSsAEj
EbPn4q/LzJLcQSXBGeY/cH4B/2XQls2n6Z+gQj4Z/SJWJWBiGQ2PphG17ZjrehjE8EuQKZx7uSfG
o9hA0b8V5ofl4uyUCVCdxkm0OG9vE2Wn0jHVnOQZqdDJD5X4SSyxnCWgoaCeoyuwnHw9ilOOX3Ql
b/m92P6T0Kq6JzIL0JfhfWjHSMfMGAKwVkTloIv4IxZOLAbfKp7v77/unwJoFwBagLMZz1SJpH+9
6mYNbvgQv3+fyFlI/gWJR9TkCAhrxIfs6Pc2ssiv22tjPpYNuputd8s7HClcGgn12GVOcsb8v7F3
v1/kP+2JA863TQIT9BVJ1/6sjiLqFGYaGKPcU/HTwYYS50c8CI6ffVm/7n/T4P+SBgfg6Kdz+Rsk
2e1r1oGX9F//p/lR9d+yOH39OSO+vvk9Ja6Zf9BkBSgSnfCqIIHRhPWeEec3mkux0pMOF0DbXerq
fyXEDfsPFVQyMuI6TeX0vmCT/gJMMqw/YD/VgUti5gdkMtLo/wNoMsP4NS/C56sk6ynsA/LnWPSv
fyjuq1RulTBVUFSkxLoaUEKA6u3JFxhIa6k/mS0FdveSuBD9AeZNejaLLrrxYJEB1CpvpxaQ/vTJ
QbLoWjvtR6aGarXGLX/JyvRmcaOrcnC25vUUfC5xXEtwxR4WHQzq/rUabyoIxvpXJ39Tu+vgvlAY
P6PgeJ09h2g1Oh5UVubRrbrAC3by1Mckv1uCu7n8vlTVZij2CQM8mYfncLMYG5t5PBDJYFjZBNrn
CcRf756Rlsnx6EiZ9nYAYwuD6EluQHFqABhO9je+ctHKDUAqwB9vDIJZlYJ5CO070+/GfcW48oS6
dmsS1UkKItq8l+2JlMl34ZSeq3zDOM0xSNvrAnblWOERyDWM4bGxjNtUzfexAuVd/qebfttCvQ2n
XLiVjGIJkoJiN9sUWI3QYkWzAZCosllgE6mcW9Um4022O4AFxXUgbWewXR2f3IzhbtYt2elRd26E
nDrHix1gPBri9KBV1MPK6CYko26Aa9EGPzRQYz1z5PGXq2JO/SE0yGhE+z5KDmM5+2lIcneot+Sb
+/oURrSod4dBXGvP15acDgGmT4iWFfhgSLfPtKm2xJvMB05heggWuFdYp2K9TKRLSW6PyRcaQao6
2lrUUiGHcD/384t+TBjviM+lel22rw6cY6ZLAp/kOHNhdD29NNXk6wrmffSBbJCcdEk/SHwpmIQO
SkLf+kVWGVsBqTKy1DhUZXhRTFK65IYhQNrXGhCyvG/Jhl0TMSoTawfJsuvJGalqLIEWSPzYBO4a
QYWbW/LFTTXszIkqS7cNeZSpprAx7DwLfBKiHckaD224p0gw1Bj+iEy5QjFI+ZbDh0zRoMhIEWOW
xxh+n+oaPvSDRd+8LCvjWNo+8aOUoQJA9cx43E0eDfnQIEvTdOGMfpUfzdLFcOJxvLTdRYtgFiIC
aBwEQijLQ+OweDRs8TWqOlGSjjaFqm/pqYIE/JFgZh1WHb5OnbrtE2VPTxhdFF+79lprOJQF4UFy
l7il0TtkOAKpxWlyx4W7TpBhv8iQjuoBlcFJ9BGrSgheqkvffarBnXAWcFvcK1L9qRTL4IRqkIEs
B35jGne1DUlbfRiMya91KhWVsQ2lTAGLm1RR5kCHzoPUIiSlDei7izb5wEeA1RTCKk9NiX/HHf82
LhWLtZcZ5gH1JLWeqZgZ7kecmFWfZzTKxO8phGC2t5lzbzcNqCDUVRYKMtdKiHs03EbJ5SeN/g+e
v/Nrf+xfutGiDUjH1NIX9SFEMsC5ozc9BlYme2vLxl/uvGrkXA3yZYhckB2QeoYqoe6SJ3NvoJji
qim+5l6ZTr6tlmk/c+KDql2N8wECZkFGrPaDoe37EBKCjnwCQ5tWW2/hqj24032jHqt5AAlOxL9m
hBW0BEaNs/kil0xqZNyBtnxQ4Q538AxNxu5dAOxGgR670FlMfvvFdA65bmw9Tr4GZF+H9ISykRST
AvViJl9zkNrSgw1/YA49B3Wt+oHBONzLS+DiTbPX8GJuaPwF0OaujR5zRu+s6fD73f2Qkf/77n5w
7npnztPSZHeX7HM6Pdeps82NEPFPfCchN6jgatVvhvlJST7NCqbHnH3qKBbofb9fiVSef4rw3ldC
BGy7Fp3QzKJ+KLUWgwKPc5tyztQPp32lnQykfY62pnrFxlnevq63sMgxz+hByzHj+t1DzBjWwFxZ
O/h7Hftgm37aH1r1Rin8rNno1UNa3lFuaOpLZd3UwqDAny+GcUiJmVToblXwp/q73z+KWOv/jlXX
J/FUXUVe5WncFan4p1jVSAzAyN2sB2J833jfemoNvWpvF+dUkmr7/Xf9WsX5z3cZVPJBT6Wm/+H8
Gi3zomjK+81o7mmcdAI/G/Z9f7CosXyjh/xfvs2Qz/vl2Yi+aRzAV1KBtdJW5/2nZxtdlaH/gOSt
6Jsl0WEv4VpBFJZW2tWkcwM1IaO96Er9J0VnD5sxKt5OmV7GsQeFL9yVsC0ya/xJG+rNnBrYkehG
1/pb0fKFzBIv6UuYVNtJqRhX+0IV2Yujz4mRHAou+Rh33y1Fo6zx3MTd1eLpW60lfzQ1W/jKN7KK
LEvuW3e8Hb36SHnYmQATnxn2QFlMDyZcDeprvYS7ur9AyrB1zCsV4ypuBFhaIDk2zJUe0vaGP5jX
21kNGDk7DcwEwFF+nPAITAaDIF/wmzzdNH24N+x7Y3gMIIdsFaaxtCuAVo4dd55SPPRm13p2RIVu
kRTa6SefGFDvcWRA2RHLS8FidWzoa5MKJuNZVMCxfPK04fgMU9wmeFF7DC2F5NSkyRh7gsoTr0Hl
PYpcjgZeLGllRtE3QXPdf3Ooa9sA4UW2P8xfhg50CXCJupHh2OigY/ykSA2nNKib3w9Z96Wt7zv4
V4dqn5ARKZxhV2EkQvweaEibgYvYUl+pwRcjT+AtP8z0XqkGCnhk6ClZw8lMJecszyUGJS+/SLXa
qW8J2GsXD1KL/V7hULWvUquWNdfYPClni8M2gBpp3vXQwtjgBpgp8+7udRriAJd8WAK6nKVsHZCk
ABPHTPYUlWuG9ow4/2LVzVEzxttyvEpmKO2N+Cpq3U+zqRxtGM0HyOSL0O/7szFEW60ErgYYuy5m
+jnEWYT9g9noqTyaZBInGhraeN7To3xIymFnhDU7DBtPf6CzYXFCeBCpn2M0TZ1PZ47WhdWiHHBV
rzGXsX272uWdC+tBm7625FDp2ZJCuBaEu6r8AVQhaUey7dMpbMujmGtjTPBxEh/UvYNSNMeRSyMW
ycovcN3Tk/yyJNlWS7rDnFfbwDyV1UOdUKLAEdItZDEJn9PCwFW8GVyo+sLwqqvC50yjnCQCobzM
Pbny9nHQplOVRv5gAcIU4hsUQCm0F1oOdLxrDeD/1mLU8zSDNw+hKD83RiYNtBWDUr7BxadG8AF1
30zDtZdDbjeLLDcj3qyKxQrpyg0xZQ5vbq9FDwyjfgijaaeY+qFPuqNdj3tj/iKuCN6NF85AhZKC
hhFmGWgFwOQZ9RMSQAPCUSHFD7kMvHvSAlTp+BqUyMpSv4rAvbK4TugLpw53uEWlA6sA1grgD99C
CaresRnB6cibrdHB0swtaxCXWbzq6TnvvkkQ4dTGGmM09bijEUWQrGQVBd0yNI8EqgKpGuyb+UPf
XsSJGk2gyfYuXyMtOZEX+SW1pogmuUgZdpIEiKfVKbZtxYfteEeTqdnT8lf6IDxtoupStF8quCH1
cQew0BFoHMi6pp3daeDXxfdtgjfA8wyKD6fDBv7oQTO4XNmBPnm/BeWraYNjbT0xk7iJexiQPu2T
WANfFxxRIgsQW3yFPHkz+8YwMNtLIoTzmqq/AgukQUIHDyvqIWjS+VC4OHPgOJj6g0UTlTSylPF3
JRh22p9exiXsHuIJonKUtPNN9tyoaoKsS1Og9/EzvXHYDbRzZCkNSURUPZN1DuhLdj1jjIToiv5A
z6+y9NDT7sMsP3EmEQvj/WrQ3qVAK5VoscY9B1RzYxsvnfZEbn1D3TxeJ6OTKKfkhdM1vvTJZ614
i6kqj3FJTpoKfj/7FWtQgdvIAt/KYbxGfCNGPrriCBBIU/mOtk2Y6JP/JgB76NI8TMZtjwdZRtfZ
0m+NieHIigZekHRKJdgxyIrbY2112Cm1jm4neGNC9dhqD7DK0WFTZc9efwM/vLnsHOMQBOfYusQx
4//PHR6xnPUIOaH9lIFS0Ztv/1lsSUupR01TuSej5jNZvGXIaS9Fl5xwstEPdZbA8Ukv7TQfzDrj
FEcAK/zGmP2AKe/aUva1GF31UGpvanoKtWLb282mrm+HjDYp8p8Uoajv6M6XoqdUDLN8RxtWa98W
0TcgHez4MzBbaNYQdMheT/e4FweQXuMfkcXcc3qjhs8ApG/z9gayJSKp3A+6z6XxPCWvCuoZCxBw
fQhWO0ARAK8Ag6GBAah2TkUGMsgu7O6API7BLoyuUu3aWz515d2MBmx9cYLkyJb+BUbDsgNikiqT
DqsmaByhe/ICZs7ZimXvjBQlSJbG/TbV9xadtymkTClcoCWp70TRrpls9pzmSjP6nZ56n5Wwvlsm
oBTI2ZPaoVFXPXhqv+9q8Ajm2fdoaG7+L3FnluO2lqXrETHBvgHqKSSREilKoWh9/EKcxmbft5sj
qQnVvO5HnZN17TCujcJ9KOSCUg5EZkjU1uba//qbMTlseEcLvyM3eAcMahPSx3Lm/4ozoaRnRaXS
Qa/4IrH9KUVPmFDJ6PpzQ+OP97rUJ/6cHOu25DWku9FGwRi7Vle4SkeWHJ9Is8+V95hkeA0P225b
QBIhMMOutkZ2VGaDZbBIPRsMQjIyc+OV5HPlGK3vhvpSqQDgvH++B/r0m6W+CvJXCmS7sNnMeJ+k
02HRiYsX2S6fEKwieTajkTHbFto5H3C52mRMO8OIdqtQaQ86IoP7w+roN63SXXUBl2GTLOEcle/d
VIMmOQ+qGR8ikPAKr+xtgjPXk2uhDkzoG3Vl2FnORNfAzzbD1eJ5+8MdR9GWIOCk7E+liiesHTEW
eBmXryMYiFx86rXylNC85CxvxlobjVtZP22CAe0FRfTDOJa0Hi8zPH9V/aphaVSlyPVX2G4YVecq
YScGJkSsZfYmJfq6zC+zNuxKJhOCxOMNgm6zXW1+XbUJs7jpoWGf6xZjtz03RXI4Ii3E8vCrKQ87
0dN5p583p2Ydk+MumXcKbPdC+VwJqNcxa6Ir9g7NUTlFhwyoQUdb2Gnbi1n32D4Q1JiAVJEAsKY7
RjcMH3jBDCvQ0D90E2cVtTmY0A233y+AaySuUYbWHRcakxQSmwDlmFHuwCQ8b1h2BJ2KYuQLQNho
hkwhR7VBqLvIi32GoDxlt9voSdvodGiZZ2INRfe4bRKSxRxFObc4JRuL/tBt27szujpHwgX9Y8nZ
ffs1pzewVB53w6A/yNXk1pV0GJExTlDCZT3xyFp70vvCNU2I9CsbfURrPCAE/SqMOexBpVLAg6wU
LrEfbAHcLIR6drprQZ7jdtrXsJihR1kgPkl9fijA1VZNOuK9dJhXWl8jCUo0JqSqHpQpdJLsbYqF
m2bumosANc9pTWVsbDciAxE3IiO1DMjTGMOKfqxnqEf4oM3tbIpBnMD3Uv2tLzN3a3o32LDXmAbT
58Hii9FqR7rizQ2UOYuIMBrPvOdWvCzuBvugZXE37qtmSZi1rYdZo89Ix/2MR7PBV36kHZcbfEQ1
bjpgXnaK4diLuQYsB9k6GjPpPxsGuQx+XmEEqICA0KWlmkIm3L5AVdqafB0zwsYJaWgDjTUt5j+z
7X6KAxCfQfJXv8gna4i4U86HTUnQmzIGnW/r2l2cMnG3nj3J14e/VutPPAoeZFDCrckqpOiI45Pn
9MVVmrvLrPWndWi9JM7etI1ekMCBrNKn++nufzRlCNM/u7qvvw7/sf3P/js94Y5u/99//f9EN3z3
/0vuyj8v738zlWEzf/1/s+3/6z+//Jl/F3qy/f7fgwXV+deG2kPXVpkvGCSL/PdgAc484ytNhuOt
4MGjMD34N9Ne+RcBDHg4Kboq24yBgbz+PVjQ/wUpEw0w7tGGhtzf/J8MFtTvp+YWcSobnEJ8kE6Q
isIA7/sxla5NSgmBAWyb0L8iNVdaS6170mcsWhx2+WpY8kMScR9XRAnxeNIhFYnqBaCQsWLEjA0V
IJGVZDy3Co1ZJ4HHFNXCt6ZR6eHfrVVYv7BHVrbZ2bcQw/aiuZgQU5kVbxfi+xddFXLfKaKJAaI0
3EHL+apVKzApLmR6/KXvJA2tu6HtNXtGHuDMYGUmB7hkPH7zKT/+/Re/5f5vn9APL8S2bXx38GSE
m/FhyKcR5uBUBuERWb6mIPRiwQhexiZskFN4qTrhweZXZwaXk5x4OFTIm/aGs379+cv4iLhslwM4
aRu+6rppfaSIRAnZtVhmcMBvmKx0bXOYIymk78IIrSQ27ed/TfkRb2UYRXgfoy2LlSMbHy7/RBZb
lGPszYanjZeGdMgp0n+Xpu7aSVtao5rru2qNzRdAU9I0Y/GHKmfRee2HMoDiXRem7Jfz/J5YbO11
Riq2Gs66QjBHAcMEbaJ9UAsi7PK5EYAA/V8kLz40GCCcFMlQj2bJbZdlxU198/Rvi1OXD0OwNA4g
yCL5VdvGxzyDHzRkWfoscw7W1NIM0kZxhdRf4iJy56kdmayw/yu9TXOah6StlEHdgQY/l+UqXpDV
HYjOsA+9nURno3DehnHW9wUaLwPLZK0syCpPZxk7sDLdJ6ZJH67ExqGPpq9jWy++2j9lrL3Hdh68
OVHjMMoyxVOr2RPLUu3kVOl3PeneQyZVvK4V2XAS5b6EPh/KDyZEqhHi13KKCnU4kYp3lKSx2M1W
OR+BtsG5OrivkVgvpU5YeN7mjlfI2mWYl9k1lDSc5Vw+6NyRlyToCUlYqm5CqVHh2KPKFvotYIGp
fil0b7a57Rt6+3nt1NLLLeM9AqZzCI783EzAZuZMg8m8vOL0jo+IExPRXcUS5jWtjS08WdonWW31
ULeIDtacyrfimNRPQlKvxtLgyVKm3lDrve8043GxhQBnrdaTZg2viylFZK9Fl6iWElcRg+x3BuwX
bTLKi+kQUJozgfX7d6UR41szcjxPVOFqjSOeh63rTGqmGAnWhAd76F5qWGKXZWrUoJbUwOpE5sWa
MgPWcXpQxih1NRljSUSliQcuArEi3WJyq8b2pDj+VKqT4O8bXyOnnHzb4RRv2fV0nEfao4igJRwp
u9uwPeiz9ElXRhQTduvLmtrsFKlkwGlhSyKJ2vkFrKr+gOJuA+Bt/EyIp2ro9y3xG1S1riy1TBvG
UXrKSKnITqM6TIGucyiaJo/oFz3QbCTpnfU5bXDtxzMoukyFepuZto1rSZOMz0A2Oelj9NLgeYJ5
yoMV81B38hR0aVEe2he570d2TUnDHnOVj/HahHYl0mC03V9sItse8e0WrnLGksGkTdPU8cuyP2D5
siz0BCyfw0vbVZAJKyeUnqAQbbgVXfzQk/Or4oEtzbTT9gTLckXN40TRAZDT//mL+YjG61hb2ire
KrKtwbH7aM8ZlYW1REOPjJp0gB3SVw6T3Dn3IHB47SozwFNZN7/4RJWPUyv+qi4bZJfxZ1W0bh/u
vE016J1QFywirZbxLMNgnJgfzE74ow7I05Kr7hKPDj4xD9Gx4tB20hfjt3WFj2n3+FZYRZLvf34l
lO+dPJAm86K2BCgSEhUmafqHj2XK6q5TBas5M4fTaLVjiPk/3mdLjOB2HKRjoozLqSkyTiQDYQ5i
fP3FK/i4MHgFmCQiDDFUzbZZJN/f24dBLlPCOutdkaHVc0qOypISMe/hT0HSAA/SaYmXfDrFaWnu
AA/fa9U6TuY0uEvH6eTnr8fYPoZvFyqvh9s7mVcmYhjCarfF880Xzx6NolaLlO93MoaJObVelcOj
yOaC4IsO3bHZlye5SsswKuKXcZSVd3ojc+9g2Rjm0mr5ZiLezZIQXVgnSrBkeeKayYZja3WgSTbw
xejALzR6QK9BSaPHZXpTjARWaudo2kkzFRTWGVkUCEeMSvpqt+HQ6wkKKO3Tqi4TVszSGJQaqgJh
4Fa5zOMn/IzhIG8PDr4TO9y8uW9C4HoCTnUOeCg8FpFUXrR8QWMvL+mnVQMIkvpxDrQIZOP+IKXD
F90uoyOHi/gXlDH1x8/ZUfkPHC6HdBTcjb6/rnLeqVk/gfSPpRYaUd49A2RaF3KB2we9B003snF5
k9v8ZTI4WHIOzOEWtF9rhlw3vSKvcu017L2MCv9QzU+0qPnDAaJf02L4bERvg6r+kfAlCvRG936+
Ju5fze/XBJeKfQIRLfNIqNnfv3ZGNI7TSESll7Kj4K1l6oemw2ckkreWhmk3FBtO3sZaTk/ZtAjs
qPrkQdUq55TUphtVjnxGv0EcUjSsyBSIaMLFobyl2zMp3vDSXmEk1KhF2FaEhsaTdSI9FMcluXz6
+ZvBivSHFe5YDtZcHFBY6T9843QSdaCjOHwSSSpCWxPb7KxLMRhKcXV07OrUVXp3s+pExu659jIm
l6fJztMLpl7+6OTWTZva7LKwpexWrV5ZhjlAulbKQQm2rHbO72M+PCXJtF7Gql9fzCJqd7Y5O6QR
61c5S7RA6lotyHMO40M/R/v7P82o+ZInQxWYZYvXM+o4b03qr7hNtgzgL51cV1dw2fVBW+IziTLl
Y7Z20d6M1XlnZ80U2Ir6R5Sk7ipJ5m8GA0YIAEej7W0XS4HsGveTV8lZf0zV/Nzrc38YdKT4bHjl
FXIm4wXLqiNPkyxSB2aQ6zRv8WQ0V1BFu28YMMG56BMkt+RWHWq5ao8rURaP1UqkLSwb+JmJUu61
1lGeLdhXk3hWtufthJLeiOpzg9PQLcKfHG0nGQNlHlXPS7sFcghhuCoNxSmS9a0Znt6rZA7jspqC
nKQmRhqpRtKC7g1Z/VfCPeqysG+fC84jO3JAhqNVov/B/YfbOSfTIJnyxxW3LrAJDC4tOAv7VluX
322gxmk2nKASiYS4aV5YqwmwU29lr3oPM+Hnq8344V5roSpXOTgw/ubGt9Hsvt1OcVaui1ZdGgZk
3UQY0KEEeXxnXhUzdquwrx7rhQ4Zwy3Ea7k4SMlUfFJWRyBXLeWwXtbomGvCeaiNAv98FBK/Y3D8
LsuO8WfcGUFBp/wVo9K9nDWvHbeLdWpE0DexCMpkwUB6yNZ9msjjsa/TV2MeIVereKKOYHOXkYSb
m5E3j1Z5EUu++jJ3FWaQ29OkHVZfLyKmpSUMH0wB1yumQxoeDWvs9U7RMH3mHM2WtlxUjqjXnsSm
B7FGzmd8WtnkV4P5kTn6K4vet+dI83EKxI2Npis//Pwy6x+/03BhFEVGOS8b8Avo/r6/zEVfF6mC
zuxBNgqBfbTOCh7s8iTGuLmKUpN3mN7qZ3Ii9HOi2wL3Ylk5DJLBKDDGSkXeNbOK3qJsfLvqkhD6
UXIA9qyY3J3hWuNeok0Y5+D48Yhpzg7rfOQXWKjVEz3TmskaCicd18ZRhFNrNs9M2ySQ5awk6jfT
Xvt8WV1Jkb9aGtShUZujdzUu9YNUJaZXNFH0XjX9b+Vad4+6TVP488tDitKHPY/ro9LncLbVoW7C
tvj++tChExGQAENneFW5mayeIqvoz9KA03SsWO3DEOlg900tv+K5+Ge62PkXJzMQaNUzJ91hE/IZ
1jVqW3HiewXVakq9pq2Kq26W0V6Bh/mSCutdUkR16QYJ0Zxd4Xodrc/xKgM84p7RDJXFgWHBeTLi
L9rknniFoohnO3ocxWEQXxrNMEH3ZuvWEaFCwLfj3v+VR8PvhlOKsBtMBQKMyYlqu6pmCjNAIW+2
SrLpbIwK8DMmnQc5ngh7wDit3LcJYycEtvs+EweSzxBR2539u5Y0t0rX1i8xPIFsJotRtdLbMpfX
DgzmKC9z5TWqJc5pPaenTMY5te1s/diaY8PhQejYVI/MwmfD3CnwMsJSVniw+/TAYVN25Un/Wm+k
TVuC5clnUrlpDuMB1JNMpBF/nxRTpFvEDogPt9P8odBqLuPw2BR19Bg3VrZjDzg5Vd+FjEK7UOLE
L0UllMlOb0OV496+ZwyJNfpqHVs0kgNjmLoh96xUo9FttsujLIlzWFN9xLRYVV+HUb9JlW4+O2vW
7jV4Pq3EebMdDRZ5q7w8S4z4NxId2tW8M2H8MyZybAWMfxgRwvXZkzSk3XOES/9xsiu4orPobpCM
xaWIikOaGPGDrDZdqOq2fVN1TqVarLwmaSBbah9Y2tAH6vYsnXvr9PMlvlGPv+9b2Whx6mCWwTkL
EPHDDpCU8M5Ga2539Vi/amVcupI19TAltxUTV8g8B2dCpDx9GmXcgxZzWc/3h6ROKizXb5P6uKiP
fbc9jt3jFD/KypVy2quqXOdLq2Oae7WUi6Nc4ipKHnuT60Mbk/wJ5IiFMX6yD7HveGbyO3QXBnm6
gn6ICehXYI0A6/92zwnGPHaFpD/y27+DyQz+UOE7lbVPyb2g56Mi1Yet1HtZxnNevlCTeEnLl1j6
p9buNYpeev116V5b/bUq4Hy+EVFVijcqK946CQOQN9G/V9IbFZtE63QlE1QpwqTQWZr55iS118WN
QwKD6uylyflESG0CUXceXsb+V84h8KF++IxAz4BfIYKxCyFc+n4XUgxVqjEhb1HvnYzOtzp/cnxZ
9mfmgI6vcZE41U/BkJ6pqDuvCqyQcy+dkeEZwSiduybs160WJzQrLO630u1LVF2m6krZ9qUVV2qt
rpVzbZxrWz92znVaH5d7resj2w3VtLcI/9r2Bu974LlyizVSniGP1Uw8CE3B6e8FBE8/qXl8lros
I3DNbE98N5NrXOcAQYbiQb7AO2TyZd1vK1+afCuC/3VaO+56WyXOVlERUHYR5HowJOdUD0w8L5Jz
HJ0beSutCimlCuUlFEu4WqFeXKhkvqjFZTQvvTdrgZNfW/MipquVXxvzOk+4Gm6VF49UWjxm82NN
VJ31mMyP8FBy63Eob5S53LrypsP1Wm7kpZBUoi63wrnJy82snzLnNiiTSsorI7lRa4lk7KWQfiPZ
p+T57nIpmwL6Q1oSS449Fe75TZU4rsVjN0Mrbp9kxITVk3YvpXqiIuu2Vk+2dWOVwQuDuKNbNz2/
FfNWcv5PET7wdxXGI0iNPZCRsD0mw1VLH/Ez07VrnV6t/lqm13y45Ok1HS5UPFy09DLq4TCGPDZj
iB8i1c0PmXUw57N+L2yaVSfo5K3yLki7gM0Idl01+3PlF7PvRKc8+wW88uMRGrBEw05I5fTM2f4j
XE94mbC6ZFMhq0n9jMuwfZgGGZa1shjPQowoxHuHt1MYz2VfyVhKLdDm5nG89LY+XrQ2OSpVUwX3
H90fZjnTQl0LUoHT/161yvHBIaBIKqb1ljh2f8FFHZ55h5RUTDXC+yRz57jGtgCZhInB3HvW5Qzw
LDl1q1b9++dWKex3MeABGxEN+vfvyznMZbP3Y+RILgZzjImtZrreHypZnq7ppMcedo/mg6g/rZw1
L53WFo9ySeCWkv9pQtN4H5e+O/Xl7ec7/I8n6I3bCYBkaoqhIELZesBvkAk4bIB2aVzvjNV4yfLM
AU1YXR2MNGZ6ypsW1t5euxatWXVJKrR8HMCYgMfPNQYbz8wTXplX5bdV91I4UZOWjwe94e4HsQrz
AUD9a7L4RSfqX3Snyo+HABVlDGgKm55CDsOGuXzzym1Gy/VYIh+dRsSMw9rRJ3fqa0Fg60HXG22f
l435iBXZJ2lx4jdjy2/Fq1R5sKaS236DoKQi43VHNGRYDHnntxKT9l9c3h9voECCIMG4LDFlQoP7
/YvMmDCAKUhIqgUU/Nos2p0R2/FxlKcGEqBhXRATm9sp+TAjI8ZktBag1ZmAexFJbmV8wju582Zl
1I8L3OVNzX3OnEh+UkX0m6Ik14Fc3V9AE8pHjjTMemigqJhoq2j77Q+Xdl1K3bEJPt0lY9S8ZjaO
2QtUCg8n1/mg9xrOSqArYWT2bjMI+aICtD9kPUEBvS0+y+kIdzIy7F1NH3uAK4hHpmH/nopF/dUr
/RF3sJg4ajrqKNA+yGRbj/7NKljkdTKyjQ+KGBZGG4wgTqLyORtOxb0S55gWp7w41QoG01thnBqX
Wy2Rt0ZeqXm15iXzVk7iSYmXpIwvXJxFKBMfKQYrrYs/gIQiw9U1d4n+qb7w+D7IK74gnlg9iOFt
ejSarcr0WBlb9csxTU5/V9Kc/q7JOFH5chqMk5n4euJXeuYgp5LgVm8m+xAiTxQs43g45cMJCnLs
HJPilPJ2nGPuHOfh2ChHMRyl4jhHHiUir9A8GJQxb6TeKiKF23IppK/G4FqDO4D8I7V2KYM3wtvS
3JlB1r3G3qPWdStnVQCR7NnBbO8hsX+5xJhO88F8B39hXiQjtmZOxMmV/NPvPziaWCHFwgESbUNd
DnEeNeWtIPPacui0YSSHmRQmXRgrYUqg372a6aHv3VIJqy6slZC2uFVCUfgN5HBCP8OpC0USykm4
0DAnoaSd9SRM9PM4njP9PI9bCZ4XWxXAnCKoivMqAtsKRPNPyU2gxIGp+VQ2+cW9ROln0YnS4VEq
0CROY3Ga76UqRwKgscdVjn251QiZHIJW5HErR09aN15jeUbvVRZe00cZc9X2aC9HczmuxlYzQQTN
aWpO6nLCcppyWt8yThaPrW+0fmPjbAttxc+LIL1XNgYUSwhrDjqpIZjw/Ioxrtyqi896cybitbqX
bZ9xgTXts36vpQxVG6Z5SA1l2JVhO4dNCbU5rMownw8MgfM5TElJKsPMDJMyjOcwmgjtCaUidIzQ
Th31uFqpjhecoZ3rYsZv9qxwwh/P3XiO8UQez8N4nniOlX6BlJaXfSaBdRaBwZUWAceDMcKeg4nr
VprmU3IcGJqfTv5U+vnkx9EpvZcG938gLfw0FNvj7BxXLjmktmGreDzakUct6Kf4BjReP5N96+kI
praV7JVIZEDV0mPeboXMbNoLMky48M2JTC1lOY0NJ/BTl/omSR48tr7e+tPqA9eUtt+tflYEyb2k
PKi0IIaaqQVjfM60AFjbaM5tfNaarer1XK7ntdlYzsa90vU8l6Fin6mRyy48+Y+eq84lt9JjWekw
oFXuxL8Yj2k/3CH5imHDCCQPxO849zy2b/ZGfeVGh5dLg8QchVbtWOpzRWY6frKNFahZll0yAw/U
Pk+aY1ssE8JncPNRaXBnAI6+9sWkoUpr0LBoou7PywKNWF4KDgE4X7TFFLujkhisuLpwe8N0riLB
HgnWWUe/pcASRY4aALzrgSUt0S6pxBw6tJJNjgG2s8Ywz6W6OcrAPXuzlJK31XKAQYAjf0H2wO7x
x+3GxChfZfJJXqtlf7gRk3DetdmA9kqGvH8vYZL0uq/iw4oV7Ke4BA49RJDIMWhA7iMOI9azUARy
17kXefdz52YbYc2NdLcSLrRa515R6cXVVtgxpZVXjV5zL6F43ejJzOvvlTnegusCZ1mYXY5nK150
r87xoP7Hqjc5njV6uYqgyyO4D2gF6/iKhsvL7hXXXpJ4GBJmCSFJbpF4remuq9ubrrK66bDVWroE
o1EwTzMTRjEutIeEXGt50y79XRG0HHuPfxIFzdbptzIglcgEre4Nad9j2nt/TBcymA7xvWrnUDqH
HL545g4UItPG1Ru3ydyXZnYj1dUcWAGu4rgi96gZOnbuLZ033WvoPKqjmRFbjcLr74+t8BTDyzpv
NTwSmxbDy8X2JP13xcLDDidaPI1I69ZTSCfMvLX1ZvQgGYR/b7JdarBdxiVCcWfFNUa3rl1tdLVk
KyVxW+tA4XmdUM0hGg9SvVX2Du9hcLi1bwWpPSbwHmf8ft+3e2VCOrPVam6VlGRFHqLukJUojQ6J
OAA2UpA6l3sNnRsX7tQxQ3Qd3V07V9LdxNiKZi4mBin2kspLY49Q3OJeLQ5eldePHmIqqiOvEarh
6FmKJ0bPUbyl8iTFW1kGqqePnjl69r0EQiLILpVHOfeSKi/iT7BC7lWZNBTol10BSNq7l2zzjHJF
6WaDC38D7XBsHlLzkLNKxq3Se9GJWvj7ptz996O2z8RWRKVQy7TX5a0Kc6uuQCC6FdKLtDuk2kGa
4XBx2oco7FJ95hrNVugxJBW9i+uorurAB3dlh5hHEHp3Yp2wJDpvZG2wWuwDppq5lxEHihsXgdXk
NBteJ/6pRnhUxQoycD7yRhYOWkvhJfeSFhjtnrN4aruV3HpLRva4N7FGMqYcHhQEip3W5mRnuybE
1tGtalcdXTXZSk7chv3JOkjjobIOcXNwxkPEMsm26p09hDBK6rdCU/Dz48IPiDKzW7A2ZaP6MS02
zQ+IcibQIXeC4yVZbL5lrfm5SeIB0/tF2uXm3hza/Hz/cdo6/zyjOQY6lsvmaVVrUkgwPVONOX5r
+zYKJxUicVGu1Sd9m4MMJg6dJZb9uwSeb8BUrjstfNRCsx7irhBPGXD7usTJBerM8oR5Wuxv8et9
WgHTIZka+wGnE1P6zc7V8XF0supZKzauwfry8yuBI8KPGzZmPBrjXYMWny7x+/4QOk9cZJLV7Ew1
gehuKdxitWj2MMt4Tbd/3X+k1qYXtyjgQYH8JAmmya+Zi5RbRaWfwpCNTs4AOfZkFltZzrEaj7F6
hEWUC84lW1nESiZITU5GQ47XCWbQSU19+V726purv9o+4etzEVBjEUxjIGtbOfG5bc9WfK7brUbn
jHth72xVVGFKDFwV9suD3LjxEkZzKJlb5cUlvVdcXLrpEuUXO+8Sf62Io0H+rEqY3mrOPl45pgZR
jA/rVoXuj5M/A4eV6KL8RD2NgGKI1Em6LU72cDJ4h85RUraqx+PYbpWJo40lOe+Qt5ecpGWr2jwp
qV+ap7LzOflSSxEYpMvzBm1/HgOF5mbEZmGrBvCqxTDmrK9nufWzA/9dVmHnnKlkCam0CiUmi1b4
i1Wg/wBu2hinw4vkjo0cXL47HX3TwjD4mKOmwFm3xLliH08SZGW11K+wFZHI1Y32vPSkeUOpKD7R
Ar2ZmzLQTtdH5DXFU100Ny3uxKdCbXpPqzjN1VDZ9hg7jPgECes6xqpPPED/Asd2eOmRkI5aPxAy
vOXSphyRwDKONbShd7st3GzUvwxdimevE7+0St2dImdANhcNB7NPv9TlNP1RmcpBmAyPF82pt/kg
GsK4Vf7Ii/5k6GxqiCPbx0ZGgrBOnUTryowhlZZqnxt698LX1KTvnhGbDa+RRaThqBINJkZDI86g
NeGSa8NlNSrMhqvV+N2O6kuivTG9dRgOjqPfFvFNtWfLYyYwuGOlGY+ilIhRVNJ3+OVW2LNYYqcD
Ymrg089WHQgGiOdJneU3nBR806H/I3Uc3p+oE1RqiflZlSIDXap2FfKkBGMiL4/3h6yVon2z0jbZ
eiQ/mwgPrmNXBYkQ8nPfKu9cn9kXUxkxWzJOc9njFsywZDEF1hBNbzyWpq0/EF1an4q0i/drMZa+
NjNLjUemIt3XSfT93tZL5fH+IIk48jWGS+26I/plDeRB198bM6AD1j/VA7YMwljs3ShjPyFq+V1u
yuIyJMtVxE3DljrLB3Xt7BfJYYwhT92NrOnuFkeOvo/ylpk4njvJjrskAbxXda6rSxmZdWhFiNIb
vTY/6bryRSHy4c+lFn6f6YSfR0bo2KQM/3zx2+qHHVBVday9oFPfVdDwer7fAQtz7kUrlRG6c+Ml
Ab/s24oYGLIyjnXc5uQp6o/EBBFF1RgNMTMxYzKnd0LEyl9mWW8OuMJPtGoGeS1rE5hJA/eyTCFU
m0ajPUwjX/stLmKNpvVds8enehTyDW826Vam/aOaYWTCTYqozrmHvhmtfpoOhWvlHFf0CXvkzqB9
4JYlnu4PJaiCjW321QLlWvpmCAx74ug5Vs1xKu0YBfVuaaX1L00sBoKsonqaEqNHsIStUS9+60ey
OophSrwFSuvf0GmP7NXK0+ZNZPL6MDdbfJZqn9pFmgOlU+fAyew3K4OraBZOf6pshROsqZeuTvbs
jVmlsatFYewLMRsobzivx3GkH1qBUneyVbyvSu0t0irtBM8A46/t58YImaNXzNe4NBs/GabxF5+s
8nFX45O1tY0t72i6BfSxffLf7Gr5NJZo+vnGqj34CxG37+ZohtGCt0mxlskhSubqqYwtgoOtWH3s
hJzv6jnST5DZ9K4zPL2qCNYVSJoaR1Wff77wkBN8vPny2rDikonHZOz342RbI6YniSwm27OaHoYJ
3KCS1MKvcnwvYd1CAV6VeTdrZeRlKibwvR6/D1mVAkSsr63VH+Oq1vz7Q5csGgLotd63srjm0RoF
i2gxG7dJ0I7qJ6OvwYkZ/b1aKuPv1KnRQEOeCc2C6COI2XjKQLN2mjZ/VXNz8crSgrB7FWPZBKm6
ebfEavsmrErfxTVnI6F152hwcq9xUsPVqxUJWFdpr212iqOhCyK1TjDsnml11LLbZ0mvn+7/uj90
BkNOY4QPHDHKJkXSVo4oreSXiHA2Vwe939eQlVws4vCnaRfQWMMsz2NkDezUZflUoX+L1WX0yRZX
OUowUh7N6l3K28+DWOAazuxDo2JN50TuZ3cxJu2mbjYjMAid9wr7pdRKl7/+D0/ntdu21m7RJyLA
vshb9S65O74hkthh5+IiF+vT/0PaBwfYIKzsxHEklq/MOWbqJ0u/MJyPxPFGyElWvSzuIhe2aBUq
5RbJrt0+NR7+4XBQE45Os3irxB+jp5ypECGJen5WGed6HrKP8bvIP/qGTSqukt9ItbCBy8jCjx6B
sEgwJdcRf6BrS2trpaiy/bJW60QRA2wqrK0TYpjoHvc7IYRDM0hQJY+c4+MrU36YSdccawYFGxko
d0tWhMG70QWUIbpeVE6LeamJIRd5RJn5Tpe8RH7HAG9vxVWKl1Vn+xIhFXG1Lb154dhLI0lT5lIJ
MGChLdb45T9yrJdWjTwTy4h9MKRNIpAW2EknZ94MxWzvBGvQc1uTSZQMQvAYtZKjVemjq8zxinKB
8CY8pu0diMdp33/ktfvXiLonacDcD0sJNbrhma4jfzlkyCx1U9jHx1e1i894Lk39YVzCaIyvfAQD
KruAj0G3H0k2eqcJtQgmW2U/U85sRjkyD2HP1k6IzzL8yZPM73lCjYNfMRz12WElfDfj/8yB0Oeh
7aJDW9XFOnYD7I9D/BdZTz4r5zuN1Vd8xGLe0xOiteTx6F6IjrMhUKH/8+u5WCKFMEHKIDHBLLB0
acNiDEAvqL+qKxKOlVNNT047yT8iAkFhtnNzqzMzOSWinVeP/2H7N1fIzZj4zhM8IVbXWubLJK3d
dVzGIJj3QYXYbpRVczVkHG6KiGYg7AEER1aaHooqvVuq52mjvELs4oayhfLAerFQz5E9MztrC8Lf
WgVYi4dSoiUwGFsbVRGAD2oqa1vEXkb3XEUr18OgjLI5vhp4BTQZOD9zXIDUGqLXqDfNI8GqkLU6
hjW+rDsugWC4aufCrgApwf1F0WN1dSokt4lniQu4LMqPJDvNOcFkAwqlC6pV3KxNKJat68arAGUY
kyh0XqYhaGm0v2hN6e/KGmRWEsEi6JskXswaZaNhE5M5mIHc1Qk6b2Okjh/tEOZSxJnpZsJHMKKf
qtiBnkhMNLfsbmfWSsB5Knw0jRWxbxKd6eBbxb9ph2A+WI8skfZ1OX2yuBTnrA8XA4thLy3bbc3w
6hfdqpGf8sp+63XpHGFX/9+hGDAngQJvV6aJvBAv0bOTVZo1b/UO4rD87XN/WRgF81bREm7YZI46
tgGXXBgYjHM9+YKoQmJEWXCjVbU3rVVEloBX6JDUesFCx7NRLU3TRuda7lPhXWeM2Rjte1Znfpku
bSefz74d8zf4qHpmutBjnfCUJwbKMEV3GIU6JspJd0Eu/j0+g9rD7BLyGa/qpoyfuqjc5WjGRhF8
mrUxLeMG/fo42P8CiaOzjWM6bvu9Z9FwGO8HXdDL5kVH+MbAbiTFartVYyIXxiDcS5GX31Phi0sQ
kGTKdWohrm28PeX8gGlDwKGd8Eg7FXrOEJ6+sErFjLluyYFGdTYFtMLIqcasdj5Iqnop2o77gut8
OBkfM0B5Yw/kIo77efkonCslLvirpmvriRS503jTreG9xk58iespWvWtpd6ScD6wV2MM15r2ZhaN
vFj3g5djK2/qDzPq7Q8Ya2c0Z2vDsOZjSeuzlaY/b/Le/QssrPptyu4qeCJfh4eDJHPkygBb/xDi
pEWmmFxIf62xf5PViF44qPMnngVq4VjEx9uM0URYGivO21fpUw2DsqE9Tn2sSZhaLdBBLy4bl8zI
oyffIT5swoS1oeGujzw2GNYXrbeZQ12yMEv2k0dG6OQnrGeChCDw+T78Bo3a4wrZNnXxAwH2VLjI
eeOEuUlUKH3shvwDbk/DTXgsshOL/XSvR/3pp/NfJ+2dz7TMcct3ZNQ1oNsrRfxHFBPRGSV1tMp4
73BcZzh7GwSRjh3Hu9JjF6SnzmfkhyInxQ4WlMpexSB9yMASxTnNgwNV17AXleAGVUclIqz0d+RN
+sByvHquMn01m0xcbLMv18itAbgXuAG0p3gs1e916tVfqaGexkbrXRVOxkFoI1j2clw/pPMhonPu
DqwCpZU6T4Vv7It2wkPYINM3IlC7WqmX6f6Y9j3jmI0fSSyC37mj3+xU1Yjz7qoCrpeCdvSInqE9
OxZ36lxOoALuw82mwdRbzmSwtcK8kOeGWaoh4gVJN4FGZbT2FLOaogogWBXVQZcW8VyP3Owk6W5a
ivBgOLXFJwEmpXGbd6f+nQaZ89L2DOsMGfpPZhoqHPzdutNQdCwXDG/azMEl8cL7FKo2/jQ9E5m4
5VY5zANizgoPUJUlb35k3bQAbOIUQ0YeeJodUUONC4TOBl415Z6CSL+m6cQthR6kR+jD+Mxq83k1
linLHxM1qEuQs4A0ix1iOJiknh/9dtp0eQuqkK3orW9c49q6T5yD9ufkQiIpBPVEFBq30JmMq1s/
C6c61Ejjt749s+nvqnUNCsCeYfbLikx7lHl7S6f9iv25v4m7uT6EY/xdOHNydNqx3DUdHZc5T9lV
ZqG3cLkPnBMrHl9EMJxVgJrJlPD66Vyyo9kAQmhSth/IU1FFBDq4uBOfkGkHGft6JiMlKQxErxEF
aGBJ6MxsaVqzj5VbGzzqRMqSSY5XbeBlz9w2XHhtMdEJIILzEjpXNJ7jh/9LzaL+CNC7XmbGtUHU
HQaLTMa10Tr9FvP3CKLR/yFQVV4KGXI6NM9x2BHF+v8H0aZ4vblBZQFza2VhzKrN7i1O/Ook3cZY
ypK1WmRV37k1RpROrEXzQH2VPdi9FPTMxdH9Lx+PxUG5IGi1LMrtIBzn9jgEBgOytAjox3L7qsav
ZjJs9CJZeM265O9os6AQQx5RO1o7nXjuweG8WtZ1dzEsEEEll/FTzr6YjV/3xyibdue1xr/Izadb
VObfpNViRTfS5iAxF+26yoZK0cACDKe6fDWbRkVoqPuTqmEhF2Pns/ELylOQxu7ZsID8JuMdE+IZ
RCBgPz5ro+wgZ8Af9VoGwNI/QT/MnkqTKInmJ7DIWOFnikoednF8wzAqt2bvG1sev84x600XE3P1
lVi04Qa647u4VK3QwEa7eELeIdycEMwhv01Gw89j591ZzFpDR7rDF3gzhyHxD54wbpYO4ivPswei
iWQ8gEyJ6oh9muV6LO8S9aBpkE6O3jFp/PPkUEo5rvUZjMhcyOTqWZRqZ5PZsYcI0SHlSRDzfY/c
0rdRZjZ+ShOu0/c8T6iUwvsCrHPLRa5LeTBRjv/qjkSfzpdEkck3j7JnUMPbIP7ZkwqvboiHKpfz
SCJLMJ4cWQGbnuTOd7T/TIKGv7P7b+3O3gWM/SaL4RJndggZ37F5lojE/531FLtAXpj6/EqlZa6c
erBYMIHAlrHf3B6HAi9vZJX65LYyPPqslNuxa69kH8hrvzcCGW3o0l46Vc/v3ryfCtITBkUpozzm
d0xjrEN7/6oFAbQwGzGuCTdgM1QwaEv8+r9DorJjphHBqb4JMJVn3bqxfGNz35Kui/5WEy+aLNq6
2zuj/zttRf4ZDu9zXIHh9D0Sk31GCNg6ahApTnSI8ybfqfBOSfVxaqZ+VH07Lgo7Fb81qgdvWanu
Kc0qosxbhUunn8O1sJg0ZKjDVkAuC3qTisWpghs7ttZLfp/BzKb7K5EkZ2k3SJFsJMk5rDrOVZ4O
Khsdxs0Z2fXsdt8pxL8Ml2ZwBS7F/yintt7o0cy3j5eDB3lNeJF30T20Sinj11iAiwHKJZedsjt+
5GZgd1+QGlMvW79s3uo7eyWmxQN1yy5LGgWXgZ1X7SEt4+fMHqDVCL+4TtexzwNW+oJdflL+IBIO
gNKRCEd+dptE9Cl5zjA+BElzL/xXysbjNiIwkEwW/EVjUh+6DOq5qm0KGdO5hq5SpJzRr9K/hYSl
geIemIWs5rryXi3b+M1wmMEqETOdWeCSEmUMlodHwKOECoBg2MQJYVnJ2lU8udXdOBW+KEZXw1w3
7yrKxhsfLFpju3kvsTGf1UhD+PifeIVDkTmrePTMD3dSLwW0048yi3dGngXoPszg0OZhCaEPUaHv
e/3Fm0gB69rkb9/m5mUoYprkrGRiQeZdMxvWFUN2gnpE61WGI+TTsWiC5nTwDroWUICzmSVnXhz4
K5tTnc39a0Oa9sLDrbd17+a5IpnbXeZ3kL7xBRxTZ4rXaWnmn7qdQIEmzzrDa4DzINmFYhTfipCK
dY6gdJN22as7TPW5x0i0aavAWGalJ2690wc3T1bZwa/5/cadc9JXjbq6+FL7AHBznyC5EJxXZ0MR
UxsdEz+zNyLU3lPUp/VCmhkNWpI7h8eh1VG/E0CfBxlET7OqjtX9z8CIOPAJfyap1e7mkQGAB7ht
WnTjvByYKmLD69UuqRXVE77I68C48OGJZsxSL+omy092F3G3N5hbMIiG/8jcLq/bdBmKpH+Jk65/
acoRrE23r7Axv9tNB0L37ttEDc1ushPlqzKwT3oNLLQs6k7KDIjGs9b90Hg/Wb4O8i4FlpywbokL
/8WYWe9XcU5Hr3seJPpImCzyqrx8GuvoR0SBce1dr3yeYgaX5bixcrBfYQeVwnf1E7d8AHIu5+uT
ruC5VB3feOpNgGbsIY7m/RA4A01NH/p7Px4h5tlR+0mGLUVB8IWjI7mOWZFtWzXXa9ZtLapGlNyD
AVU2UHb6ZBbW89Cl80epS+rvRs2nmABlJIVYBhtPU5VFzR3gCkOb1jDZZcb0Zs2Nu+3dgdUJFlie
IJ3nHkOvBzaE9ooqJwxhfgXpurjX2EmvX4Bunp2pqk9EAdSnMa8rSsHCfbOUmD4DLjwGHHN1Gysa
CnnXvKZZ9u2R5uLwLRahkyIASozmXKTVyYJsdFBTwMGU/0yrkVuWWtnQSLauGv+pN68Z8PXLuk2s
rYg87+j3Sbau0+m7ZBy1jaQ5PJFRT1dSsJHLGmS8vdVdUPp1FwYT88ob3ALZekbzGuvxdQrls9G7
r800uDecl91ry9bULo35Qw30h7Kpl7N20hNP9QyNoEkPUnWc0eMlbXuMhglPZOqxr8HoxckzRLlO
A/MX74D1EpaLpAvRRGkuZNcakmtyF613MVi3ykTNE6L7Aszw7g7NsWGQ/C+/D+STIEgIG3obx28m
nX/Qwfhby5ghI3p2KS8Y8uWFmT3vVUi7xWBsqCjG8BI1aPdUvsnQtICGNPQKw1p8UIkzfdZQ4HpC
dF+T6dLHo7xkTdGfY+d3O6jybzSRIK/NOcVq8fTQQ4OVKRax6e8VmhMn6uOtcwchNGBWFnaH1WUo
K3FtsZBetd1nh4D2+H5CN1z+n9oDltZGLW2Sx7bSHzBzYbMwrax9UjEb9DIyc66HL91J7w1K+Ca5
G2aBnC4T3tg1ESHOB8CR17oYxC0DH7MkiTlZCKbARyga/YIBm17n4zCv0wqxSpEVaLCgi8kwDphI
Kh5vknCX+yuQmX/bio3QHZGDQ3QOPhJ+68I3UFyIwVVgjiTZGa1hnUNDjB98qzwlXMOcIZerqN0k
KdMnt2FswAY7XTFXsLa8ux6JFzbi8KrBY9d1d1ANgRqJYcz7yB+yUxuxcJstvPXWPSajKf/6vWEs
rQp/tlsWn4nNViacW9JhUoVIfWoYqKhKdGebpeBZ1pM84EjfpX0XUIzCZANrScgUdroFZGREE44X
7+/vXh1WPqMS3kI9Bb8NY8xfjaHSH5Fwn7TMmOI+LpT7IdUTj4J48A/UMMt8lPLHDgCrOY0s3wCb
FZvETf4Sc2XtKnuWu3EI/paWShZD0gWfgZL+IjCM/CBaBxqAn14wkFqXyoJNm7nwD6McMp4YXSAr
qjUZ9SXxuTOKEbAxJFuNly+GqDhMlxa8C4z70T3C/vqLHXS4eKw4YByu/tunxX4QH8owLc535lYh
JupF9CJ1/yEsPFgsk/Tx8VU2VtmxK9cWd3NOIID/OJxxnVaG8QSAKz+rKbkYjqDCHRuDCtG3VjT4
6jymVXNivLEpK8t512XzGpip+eyP4FJxAEYQZNJy7TNqRV1FBWubfProp/1Xh7ULvrb5ZnrEkgs0
XHk10LFBNHrhA3y3etd87yNqQyiyMZaN76rJXSrsxLnMRXiY8jCCaRLIdxCPDCvjors/YFuM5kSE
yh5WexR8U9IZrx5Qm00ctNVBZhV3L4FGhz0Ry8a7EF22hI97Y3fN7cB4taB8EWrfmAPFflkGm8Z3
OMUGr/0w508d0iATq3l2Rh0RQhrrW9qUAHVz4ymM4z92mSR3ZkB0rTr3vXQHqv2MediinvBpthkx
7ZUVUyZg2MVsEW31lCSvYYatLuafk4T9sJ/mjl8a+g/D7t77NDNPCeOZ1zTPUYT1zbLmDvzZiCq8
RFFqvhYF0QlhRzT746UFWGHVwC7epqJ6SuzUPHtGZ2+aGK0Ot89lep/LPg5k0+/81PHXfDBk5k1t
6ZIbBTu34GzYBbM7UbDC6mRitnVlEb/F0d0K60ge44qgNOnhaQnvM+ewFYsuuBsUYtnfWDdXJxZw
FMiYiHdWNshNFIS7NvOm58FOdkBY3LWey/zX3Pfs4CZrFfVufsjTHj14VqTLQrnBLTZNBNsjA6nM
BdXMz0FYGVDmdpbl8yDQMOcGLNhCM4RisYPRvlZHTY0SIZ6xi0ziC6f8GHIGLyxgp1vLTHRhWxNc
yNx+obpZe5Si8+ASw9NM9VbkWCpBC2fPqgj0qeXG7wzz3heZcQFskZ9Gz/4sWwEfc5gYFg1fjxeh
Gj7msd/NvWMdHwfDJWCoVqg2WE2dJV6PX27ivkd5desI/K0N2T1ZI0PQcVrXGeENUZnAcR0Sh9Ot
ASrhu3a/y8KZIKt6YoNrGOGhmNp0F1HDyMov3+PBcZZ2TX7AQI1wHnzjs4rMayqd9DtO5us0EpLl
JIQxZd4/rOTWiU7JXaL+jN6d4F8wGZw2xtil+9F/ACDTBgmc6z9Dz7FYHdnjwSegfqk7Ne+VSzqG
GhvvhV7IX7X9hKZMvoWBLPBLmc3L3HgB5desNnkbqBczd018yFKwdsPuMQz96QGlSG1amfh+SPn1
OA5SAKv4QFvIuNsBusbCu/tDA4m7Ed4FeQgtAoI7z1Lx+6V0EFtk5HpMuo53WkfeYZya+ZgAZ2CQ
EoK05Y2nkMEvKhrNUlK2h2RmEG3D8aelgFs9o6RMHU6ULk0tonxc89TgxthVNUr4msgr6gnK4OYQ
+XRcbVkUaGq/+gyohd+JL+X6yYt3LxgaP6Bk7ez84A15uCprZogqiAH+3w+ehvmoVdSsHn+iBxjQ
gkUdRhL/Rh79eSnjUxuX4HPD6lNZqOX0WNDiEWl56OJ7tZ1/MFMsLqLAbU2r6C1SZL6XTgr7bIj/
xthFiOjIL5xz5GjjCSWP4mzIkBexawMcQiIH/T8inkrUT2nu7FkLzX+MioyZDETGFZFKeorvYFXF
on5Bkz4ymnPNZ+hMkrFK6GxE98PUfjpkQw1gG8jl1quqfdc1KyBA2dkikPqYGNPNaa15DUDF3xll
0P3qzHPUDikVjhOv0iYsdmZFeZThn76x9Z9PCh6Ak6DILCMIdG1kdbckKHePDXQ/ptnBEkzMlXhx
yt7cNuXEdpq++GTEFrcxG96YKyV3QG2ZxPpRBjWpuwpz+7U0LPEbAsgxagPO67pbUZ2pXyWGS11x
VTacGAdt67LYUdRqQs0FSjMxkbIzkO/dBgO+2L6hzjXGk88AciPpPA51X7fsFlQO47zW266a52XL
LP0KRsJYGjmjjbazbkDF0o1hwvwBpP4mHovkUDFOnlRw4D36QaS9c0bLvcawKTvP+3SzdtjZEiIa
VwK3TXOCAx5VPQ9xKS9+1J/NTJI1MImXx6MjoPdeJrFH/kXeHRwyUpkhTSxuAZPsshFsZckIFkC6
9WrFuts/XkWN/ZFxqz/Fg8skTsX5539fTf6rBXziFgagryatc/LeRERYIOLNJAQp7dTJd5e7/G16
PLCVqVZsbKob9+xu2YONNpy2AvvAjgot02CJEk4An1WXRv1eBN2pY2/+DtYkOYW5Y4I5ZfWoSodt
voBW5Wo2fWHGNZHn7bol9HQ9MMFnFFX/abppOHiRK28K1vB9vOkID6STdtl4S+89Cp333HKw+tgY
sBXv61ydxBD6l36U5rWiPr7WufCPhZceRMaV2OnKPBZF6i2b3CzeC0+ZizlLo1/2kALeSieq4ZnI
T/qf7cg/cxP6M5wIt6sWWW89V4Nr3wrVRG9Z/UxN5K3rOkGI4WTphZKeJM1hLBaPlzLGVa7xdW+t
abZeuD39GysUy6GVzKsucNGXd1n/K+LTmqJi/qNmf15SeVUXp1UuWe+EU862Zey7PKal7LzqFvF0
WKXKTi4tHOam6xlmEhm8Ej4+UzGhvdUpiGJpx+tmtKPVEEfO6XHw7Mo9pWbcoN9Vv/OxI+agdmhc
6Zi2/WgRJRS3sOZSBoGPl2rMd2HFWMjoX3Sal38DuEhDaA5gmsW0DO7leKpm/TXg65R9k+/7LChv
Ihp/sXyPDqWS1TlApuDP7fSkc3d6chnE1j6Fexi2l7FAilEUotwWSJZW3CT14qGuDe/K27REAhc1
hkbrMUdnXZ/9jDXvEHeoLAWvHocaarlscF+3WqhbyHimMHMI30k/XKKCkAFLDNtgQopuT55aa2XZ
z1MxE/8k6BVlBft4rkzry4zlm5rD7mrZ0V+/KlGOovdYWdIkkKarX91cnCJTY5u/v+rqCjGFkbng
4oPpMNv+Qmi7YyXuOlAQgAxs3Hny0axyKGL92cRDcuiHFNqAjVUtFuBZtAczZBmUXb/soIZhKbDT
Z7fssmeAQsfBqY9iKN901TOvZYZ+7VM2b6DfI4T+AZRqkxZBmubQ0O2Q5VhPL1U4By8zy9GFS8+9
R8YQvLDZc3Yk/3ScV/UuS+5GodnuX5wZdYFb+T+z7q1dT5YW2+WCO1duSVbCung3ChN216C6P2yZ
9pKIvqkacW3da7B8qpLz46vHQUZzfKZTeetBbOKaxFgyJEQtFgQq5uZzYMTMPCr8EzpL4p8uz1+c
jhIDWxqpFxHgq/BO+qkQjmSpj7r2/urx60UkzJXM+2CZom96Tugxd2CFxKL3qnOMh4aIqMp8HifB
IqDz6tdCpMMyylDqVyBhGCuK4TniXSF+A999MgzPPZefP+fnSlXGnk0YTxgw+qKvfwQRkWZ216dO
bXBiPodIz4zdp9yHVzPDIdrOmuV3N1wQhQ9EMSkylusyxs2NtK9t5x6EYoDXqMvOtu+nh1bj3Jzm
yThVQC82tQ8tOI7qWpEAieePpdh3pEggMqIg2RVWAVzYw+wTaiS12CrHTSc0iR713OEn4wA7GGP1
eOdTN+6m7GW692VAIJbBbMtqSk3egyMb7gzuiNW/8DZBG6lLYUWv6BDqqzNwp3MbpihDMn42OugP
jzOL/fy+TPiBp4TLrPKdAonM/UvatWZRmyIk/K0lL8iv00+fk3VHnFB0LoVhbyvJZ/z4LgzLCaR5
UUeChpiAWAyTlo4cnd3j9RyyER9cNu2DaXDfc+vpPdfuK2Qx7xD3EyutSednz2a82vaQaEAbIXP2
t0kdELHZ9iz17hQcsqkqJNJeuFMs/3NyBnq0NYva659DnogCKqehtywhGCHk+7xKnvOxvMbwO4OY
zSwkIKI8FyVKNYU/iBzxdT6LSw4cU05i3TcfOEbD+cRa/jaaRI+hrshKk9au905W+5mzkJmmin2W
3iPh6ENcin3Q3bUqizSVy1riShH9J9qcQ6PXfZFcLaIeugngu1hWtbcvXGMZgLUK1oP/mbY0+xB0
AsvCF3qou/Ci524Hp4rPXf/wT4SM7V6C6BjP+0R/SuvL0faNFSA3nGRtMb+cqhiQwS8IYOs6ZmYS
MmlJ1EoMhzIdDh3EtXz8E53nZpfX88ayuNsUWDgr9FkMhZvo3QNlwiZy4p3AnKNwlm8FNdpM+6Em
uUBaRec9AKjH8T8LZMV/WgfASxMxFiBDJiSJqf/rgTwU+9Qq8VVx+y1xP81o+EZzYRKhYdjhLfge
sCTnM1Oytzl9M61fwDB3bXGw7oCsaGmWxhaZ3DIdnujZBX7LwP1b/S4nF1rkuSsRaA+klk+HQH/l
jj6FpMi1fPw8ptdN1v41m5OJFsB/nuxuJVy9Sju9CokGtycSBOlVEak6rKu1V59jHOEV5kQ9GFSs
ZMBSNYxQnYTlL0KY9iMasdmclolms10wAu5QvZm1XE9K4H1UGx4cRBS6S53nR4/4bcJmRN1gCavI
rvqILJtNEOrNlib+mGTc9/inO0RnzEm6L7BEonpcNiVpDA5jTWIH15nHaLZ+TclbkCUpO/DG95Q6
gdWeZ+bMMKfIfc2gAGYJk08frd2IG5l4+dD/YlN9cgBwOj3JiszFfpt9sFazSxsSYZtmPJf5S58+
5Z4zfKpS5yeOiK+A82yNm4qr1HB2fkdB6PXBGzDL/VTnt9Kw10GWgo3mCht45Oc/ORcLUqgLk7eN
ndq0Zcai8ZDaO/tu+jOlSBfDGEhJfLZU+xu8wzZP47fJZNMSn+NZbwuAp4TZRl6+IwzDWir6yrhv
93kH7ifFEMU7Kqfsl88zbZx/UIm9mgHGi855bsDVo+/5XfU8WOT4WoSxfeHTWM8QAslnRa20GIW9
6IfuglZnlY4uzA2Yg8TOrL1x43PNdrlx4fkgNxDarcqQ+7ox1hJIm4ssYHCylarwZUuL4AaveAr6
6JBgA7MjxnHhfaQb77wpOdTSWoVRus4CGjTdLqdIvoyYO1LipUr0OllEfhMDujw+qyRZKrRt/j3w
pMgO7Zgt+x7AdShBqFQkAnHHQiR+SMdga7KAYOI5v8fs0lmvHMsqmUkPVP/IXCERI3S+qtrg88Du
kWJ8NTAk464XJqNpb35yUZMLn6ypjlskBtEtm8xdXSZ7yQPGHXZs9Q5AvjYWFjc3m95ZGsOa1ndf
SrDKjAP/Gf7vunjtw2ELTuNmragOCI4voeBFyzYmQdNL/sk2Qnbl3cZSIKEj4KTquFN7ZzSGDdbV
7oV5RWxgS0up7a2ReZNuN7EnDoVTvtYzko8E2SiXFnphXA5QEVUGYYjvSj32kRJM3s2IyUmmnsjX
m2dOrsJlBcOAswXHPZvFS1RYnz1OvpRVlmnUrFGgZ07iuzCNVTD+Gr3fsqn+DHOxD0suS3vm3tL7
/2IiEPpyIJ/KOHIJXllxLtP6h2ERqjRrG6oaCvTHNBvuIkwIV2vk39z5yvt0Yfcu66D6mkKOodAK
jyhQN64dfzHdIH7Yv1tHNLjZpN30mZIr3UUsu5jXEaSScNqmFaZMRt9kfAqyW+qq+YNfYdj1c4Mf
3sd0WhHKaTPlZfnSosFRE9GCdrtOEhA6EnWOEaxF1MAzqNZDa68cu/wzcAdC+73FF7bsHXDtrrFJ
mOJwL84t9TlFdG50Cm6dnQzR7ELW1EY932JcUlZWvTVVfyuR2nH5n1LLuzmJuWpsuTFG3JbVyExL
XEph/hSu2ObZS9xTO0cJ4xrwd1EO+DA85v206xz7Pc+brS8QRI9XVIiBCv4NJk5aImGzNtiOvre1
eiKawKYvOqz4UT7W6BKtm8tFpCyM37L61/ATI/dfVF78EpfDv3p019yFQMF32R9IVHIFJY2xYmUf
nDh8ni2Eq0lasq9dRY7iIhaL2Y32DSNA8Lgr6TiI/O4AReNXJ0hEw1RDl00hDNshaPrD9BOTRMuD
UT1lUfHupynlFPcvK91aDum4NTyNlAFASUxFif+NSdsiMdBuCblXdfrXTZzTrMDKJJcyhh+SDCiv
SQxyxMrr8n2Vq21mGidpR6ylG4aqebSRDfcnJ/cxxsVPIiyglCGZt/M1k60fesHDZJmb2gjee7P5
jVYwl+wtoo0ZGf9yqz3VBKN7ZNF4k/+kB5Jp53FXOOPGdIl+TWowOwZTjMA8hFotq+nbs/XKjf5N
DlS6//F0HstxK9kW/SJEwGTCTMtbFr2bIEhJhPcmE/j6XuCN9wbNFiVdkawCkMfsvfaY75MiuGZJ
v096uVNec3Pj4KlOqx0W+FsP1JCkj43hP1q1TVaNna/ysUC50OJstIke8l7MiUyA6q5wGXoUGF+J
Hs6N9GJjIFEhutzJe9RGhLRPbyHhUsQOxchCYHoiLuRDCUGujxK3JgH3OgQxlQRJLEV5zKuBHqi2
Ndl5Ybm3Oqz9tbsdEwragk3bxoruYPdQYc58u8XaDYhJqmE6ZKw3Uo8ElgQZDtLb+rtHD8kkbSvx
GsC3syXuW9nbq7BtdlKZR1JzlqaOuCd281Hqre3826V7HzI8VHVwqu2XxCGLCYZ5G5XbpvDeYurP
kjuo5USph9cS01gVmcfWSHaE/u4Cae66rsXHAHknGW9uGT1qFDSDVx0yw3tAMIxIOkHJ2+1ko4ic
sc62SfpxVn72MkD+bKQ/rQg5aANYCIDqsqsp21WVMdGKq1M/PuZ+8th5wznK0P5EHHgrrZFYxeC1
xz65mkP0JAS6Fs5zzKECG47/L08pQyymZKsiyJhiotkQqfmjvfolmmWyHdp6OnbIVTZzq77UyLs8
s/9iv+ahK8OTmz0mfnmaBpthFgHrMRVS2Nf5vo9qos/khpg/JEzSoQiNWUnjvVixXIyvkFbPxdxg
2Wr+ZtgASMCrbpmRPNSazBovd14j1AhD2WSrxlYsWBj7lla4yjri20jiPgnFL1D2/K1E9VSg2l4p
NnqRNo5+rOut09S0IwTaxQHfyJTTSySsvYXXLQEBP27r33mD+YP2qoJGbpGFoXOeXhNh7fbZAl6R
Veb7EEQvYVu+m9p/yitILws9jutFGzygetIdNnpCplXJW5p7BKZWqQbxX158ZIvrql4iDCVz+r7C
spv9RUserV87xl+L5uuv5ZKsqpNTQCWEcR2nztSxeSwm5r8tFGxTFg0qbxrP2I7X3LVyynsiqg0W
eh3Wndzb47gUbPktxpkTvCFynVaWpfAqEbXjoje1K0fh2QL00LT8btt+g4nlmoIjbjtwUc2ChjLH
Ww686Ri5/U+NuoEZCQWQ0FF6YhWnbUXwaijRJI8Uuqp9d/MXbzRQSU2ougvOIxXXJEMpMrQXKpME
qhVEmYFgsJ1WVnuZagBoieN0pN+QfZS7GY+ekD2cyT4rneBUFKxQto1pY44vKOenwF3HrDo2GdGY
Tp69LqtkZzYtQq/mD80UfI84/j3ni9XL92BH871UdMpSpf+SOFqsGCN4hwuAMeKByvSzZPyC//6o
PSrdCSumObVHx2xvv4u4BJFdPUtyN9kaWcln54hyg5SZDkJZr1M7XYvWRQzoJlQabhpvNBbNkcA5
u5TOejb67wptfij+uvrs98lLFka33/+CjXG+0sZZRMWpcouvIVKPzTRdqlTQGTKqSyKfZ5exSB0s
NDtJ678bYbvr2J6tmCbcGlP+1EP2wWPuMOQAZJZvSofyjOPFYyY77ltHvWs7mpjZWs8eZh/+eCJq
2hIvg/aQkNm5Qx6goHQz3ENV6XVIkbQWDO3WZmb9Ke3oeZnXrVzLEruEZe3Qt38bJeuVRgB+zFFM
JdKBrDw92OWzqeFXmyT9dpX/xwzpdfPg3jbMN4j6kF6xXZC6jUSoL07egHWH8IViZbEWddEYKHPs
V0nt3aaR5IRxeGzGmoCLQOZ4Zsm1ktd0wAqZEMy4rpmXNMx5+7Q4CpjMuFDfDByw65xEWTatMQjx
aqlE8k1oEXtGHs2qMMt/4xR2NOH6p3K/a5vQeSXlQGBe/9cTpIW7mPAg/2TpS56w32Wp85khdkYp
gKjXJLTKYPHHQ8r5nnISArHvphWahMAoohNBhi5LzSFPudPSeptFp6RCAIJAJFjlYsZjgTjLHLO7
yikfWD41q8QRn1HKNVB37nrULBYx9JOmRzxmRqEcLtHKzPHJS6PWI1zzK63+mTlZ1pzA0EVBshKV
SgVVloQ1TKeqkM15YmHhO4ZaG1an1wbxmpNlQYEdXj32BxvFLTbyHMhqJ98xdaERlxzrpeOsUrt5
qwOKNyfsyYIIoU7l01ch5Qt7c9xD4x/qEL2ev1t2wXQ9wKCJafg2zX9mPLItN2cHNgb4MLPxDyqP
CZ8usd40gla9qb780n3tAccSBTMenInKAtkncfKzcxsEaq3i2Wu7bf6QSOx3jeARY8UFD8bnKo0/
RuIrA/EwdpyYbvGeZRH6kBGUXyBTyilgR0p0CJJ6SuzEvPcMyUyka/bFnL41vXUyEubszJUB9rKe
bz3z0je2xxzRudXL/4DdrW1NZFwJlniI2Qib5Zd06d9TJ+62QcozecqQe7gMZgipuQeKtvinbhYj
XFI/OUugN4KMjUFSKt8jrTEHv4DAFRGAIfWnxlupguHax/4pNJuj9FEVeOJe9tHWivJDYpRvgdlU
SPYVFCMcH+RbpOrL7vHCjNUCzL3Gw2IucSW3rdNvZssPlsnCqikw28pm+EyK5FraLEPa8ZOnpNoW
Q/ZYhi46R5JnZUALO4YfMfAgBmSYeHuP1NCASNk69klaFfdZScruYIj3lmdfPxH1anzIYTqq8aEu
jKuucXek7lNcGN8ZmjJDvow2AwjH+hNiElAuwX8h6/gQ9bXWTDybls1si7+BGsLRL4llPkOgu9jh
/Iif6hJjTFxpk2vEJ7STZ2x/6AJnU5soio2URrWsCbvzNJ9xu3cc6pq2W7XojPAQDVNtchozVXcT
8YirBV++fMx8FLawkNVKtfmxzIW9SRYGX5P8cRM289E8qE2t+1e36m5mUCEocqt3q5rfRqhjhftY
UCXiuzAcrhWPIPDlJ2pKB0ByEv0VVol9NyZvLVbQKiYGKaZlPFk5C2TyhhiZdiAKLVRljkM64hBt
zDA/9ksyJfhE1krtnVlYL0k3vC//T4X7ajQDMyWmZ9J9coNqNwzWK3atbSjjb+2Mn2WZIqtziN40
0JAoWAl2SqZypS5Bkf8YnPttUfHIC4eNLmkxfn+GqMCqWfUPEWLKHOK+0FdFKuQqXF5nmqSnqDWO
oh9vvjKvvZMep0jTeRTfLQWDqR2YC2hf+37bxlQqGZEnjDn9eYVmfuPAuUkYklWJejaK6o/DOwvY
WIbhzAwLQzmH1pNIIJQ65JcSiUU9Isechms49WbJfqASawIssfmbB795SHojXJMN8I8FxCloy4OB
9MaP0kc3af5QbzBGmn+Wm7yj8MrNd6elQJpGXNNlQneVf6sxuirf+jOmpARXPXBGEt0tRqRRQ1Az
LReFE1GDvmBgXfS3mustacpva6DkCvMHYod2Q88wy5ovVRgwyajOVfuezNawxgCFziaNnxvBRdiJ
P8v3aJb23yAJv8owPRJQ9cezicrUNCPabom7LyysMoRYF86wsWL4BUWkV2MdI36lduVBnP31vW0i
AXLzdolQv3fCPfGG3uG6PTpjVBKoGFJaKb0bHZP01mmPovs0z9DUo2UsJzpQDqWzm5lzCTPjjY+J
3h0i8dmJnsRd7DKjPUiGWMFVLpe0F2RU6jYK8eyqfZ81M2GiRQ/fiuTRlaPIBO2lpHeTN521PxZu
Mly19rut2Z0RSbdvPWfXGTWrEwEbGVz3O+oFBoHl8O54+Y+WmB4s/MHrvh03mLynHXIqvabWO4+I
Z9nRXWxXX+w0xM/ryAcnZnY8mspFz8D7k9thAii/v+XM2EfcNfWA9s0owcs3Ia987ZsXM3Nh1uuF
VF/7l3AkfSkzGa/VCptDTylbIfEhx5m4Yt6FUpG81g7oEG2yNeEaGGRB0nJoFX63Qhdgjb4Tyy23
VSn0WstCbueAzYdo5oGBKdwIQY+9tqK2w4ruRccMZrEKtkEdEEhdnUvZwUe3r1GX3cu4/bKjMVzn
qPg20ScucrEKhVy1hkRAoNA9KIgfXWHCuqdE8b38OyqMh2rgUVQyZUbSVtS9YGx985KapMpOEMo8
r5nLuWTnJXeFn96rgSCwVDaMusRzlvvmfkgUACRzXrjmtFeTHl8GT9iEslrN1mPFfHYWF4Q03GNV
FeFpKEx/HxXjXTzXch83HCaeBXugEeGuZt63Dooj1gYapNxk6M86EPlhn+wlQmLTHKpzR75otjgT
RuqDoOYrGYVx1F1yjjSBsDyyFaOTz7kyv8eAcFXi221WJwdY9fa26SnqROzBkw7NtTnbJUGY1rkW
GmjDhOtJj6jLGXZq203WhRv9S1mwrvwKx3XEXM8M9J0MWGY7bDkC/m7mdl+hpnFrENpSYgE4/2f5
76z4+eZegfMba4C8pAUVAjJoCeYJe+vKE8Wn24Wv6HCx8EYzXHJob1OullGCj8qNiNCqi29OgP5g
6Omsah/NBNu7+pHJlb0duulfX5I/F7N7Npn28rLm67H2yYe2motsDM23lv6gdQN5XR6SrHFIjia+
tSQ/u+/0dtIKBX1gsw6ukx/IwDyoyhdnkieqbXpx0VTbcL5LQ9vY9wZkkspEuJVNr9ESe6Gz0zhQ
+JQxTZfR1Y/oSpG14TJruBBXplTEXGC8G4mjD9IFsEBdjbfRhUaXHSObxsuQAS83rWiJJycGpR+z
SkUcTklVglseKlxHYxkeAvJcGV+/KQT7eEesN5f9sYBvEESJsXEmKP8V7ADWg6hchKZLEaRk2yFN
UaeIVW9YobnHsg4vTIWuFjrtevai9b07Jh3nVPbVh9PJNmP4nEDVTfb5TvdQ4WkLHf/SLNYfvrg1
LlME5m5yWOSuLuRxXzJUMsmgdTkRnYxHZQOXmHHCeIvHrlvJrLivUKCxJjlpRe5zt9h64szapJb7
jq3+20/6H8rDDwKCvvETkLWkIKKwtkhYj43kT4+l+dfjZyPyNz8NA2K/cq4x1zNqM208RgWqRW8A
9yMxfSrkH5AB7htUp+t+Xi+Cs83vnyaW9YehWrPCeBn1bMDaiAV70fJDdBEQMKLaZlOd3CjBjYUg
c14Op5I89Kq0XtCOfpuVnW4isl3cNv3yIzNlAPeR5+3BaspLSEStabTPCMr2gjpx1N21cZzNnM1v
aTa8ibbZJHSPeFnpzWm30THrpzbH3ltqgm2s9FQwROQ2UJ8esLkQ14AtGCoNCtttFYuVz5Z+PRYx
DiN8RivahgDgces+ESXrrqQHO242V12DO7niVrG69smeFT6qmWQIXxJIrdV9B69JWjN/HXTvmD1l
ZfEibMSJxvICKgdFO+cvjAIiyLPkK5+Jze3QdOK0TKGk5w99b78CCIJ81dzPVg2R2L7UmckFbHcY
oyp8EGzvXcU/aZn96+T+scchWLW999zVMYKcnH2LCAwoFc455J4LyaoMmakOHWDTMrnVleZYjaZr
T05Mlz8RBEmSr5s/dgoKUw/xqG5RLrwGGcnDOV4bmXivUn3Wc3Jz3OpsiOa5LkvAsVi462FnqJkX
QxGd4Xnjl3CGT9g+9H4po5gWMNXkMy0yYFuxbezvO6D2pUtRC9fDW7ZpRuPfU0Vwj/cxPl7CnUfy
ygVh5FFqvrboaANpbbC4wQAma57FCkUsVHxq35XxKXIKvQpvCSPyVR5DtI+4s91aUofp8CP1yb+0
HhyVc+TOQUndWkwr/6MUzOLThAiSaORuIwbdWy7uZcXWJCuJPpbdHtO5LnxMKx7Tpb40sDJOTeA9
YNX5sZr62vvTH3A0+Ly957RjPcc6B3Xs4By8GJ21mNIEk4r3RbzJSzqOPA6XdxOYOVyFJnsl/4+d
Cg+Alc8TjiG3wsXj1c+4sz+HIerBuaLECReg+WTO2zTcQt+DMjjJcAUj6NDV6VVSgu8Ake2rKT7b
DhOluadHKlCpNpec2z9tsRaQqag34CiYgez8KLzThnFSXsbs2bPe2woPtM1qMv7Muu5GGZytEJRx
MSf+yVas8Di5ORrdvS2LFzdFF6jSe6AyJAHV929laVj0rpC32hr4VenRh0U4FIN+fM9M0W7tnljp
tG2KXTTNnyien4uy6Fjk238KnxUiCbu868CapaooKnx3P9bAmpSIt1XYvgKCQdeGa+9cYglBvWsc
ue/ASjbcA1Har0aOLkxgzIdn8gMd9w821a1g7GUF5SHAclQ5JtKA6avxGdK6ZboaFwtt79T3TjJv
mozA8Di2X1KRULZk0TvDqi9u2L2h4cDj9SVG3ThWjtcAUB7fBjdNDzpu15HrkuAReudI+S37QET6
/ciSxSJqXmWME7Gsr6bMwcdd2h9z6L814uLGbKStIWfq0RhP/pBjtEspH+pTN033fp3HqwD+NQ7p
Bwx7ywQ5fAbGGczWj6wVjgvJu1bM9b412rM3+G92SY4Xl5CqmD61JvcGSpdTNfrX3PNJbSe7m0ow
XRUNjwhDjjzjEpa+Tg4QOdlNVbmdISXRu3YP3oTtWnIMeTCGDcJqHG+v/Jc8yohkXYLa+9r8shE0
JVlNZRGpn2YAsb9glCJTvfj2cFWqW3sjX4WkwnxleWa2st0LT1XGXq1D/ryPx6W1mnecJ9T99vgw
EmJIVme1rcPoTQ/5Y2AnZ8RY5zml6ooHyPd2id8VKtfa45pBMsqQMbpOtU0TmTJCKez8zzg62KDx
ALDadiO0mMAA7H568mbXWwfNXVvHD8ovcAV2rw1erzWmKa7rirxzxBD4fPtP2DWfxrRtkD+v8FK5
quUVaHkw9p6J789D7/2aWvkmcIMLVfglSjOA7HG1bnP8LDlgKdtgUo6/KDyRwMyJHVJX/P4zVv42
ZdYzrgRqdre6zpH9M7CzWMdT8clsAxCTuptaZ6C8x2OTqOY1BD+MKs8tcena2uJVKKxHL7IQvTLw
UNmZcB4CexhmU3H2sAxdDnMREV6VgN+ezvjIk/WYYSrILQN5XgrVJ3qLq85fjcVJ5Qq/U/PGQvA2
tcY3mje6ElRJwduIMz0OgkdkVl+q8/7U6InmQPyNPhKbZtqYmLs1sN6VYxNXpPfumL1baE9J/+A6
8GxSqXX3nXDAIxhPzm6u/C068XANr8k+FEaVUkkhW4k2afqWNVyZiR08k0ZDSdXvZcf5Wtusniwx
/B1L/7VxHQqexDapJQEHj+hBM+wZQ9d9B6zpjUFsOtE8DKP+x0LkagKIAeQDR7JmxeHULKebg7T1
Y5q1JScNTYCYvLPZUEAOpMXhZdOPLNQMujBcYmh2GgQuuczytVt9lFT/Omg4Wyfc4Ma+jHGq+G7H
65A2HDJGvc81HXPMHEn0/rXLzT1m23RFalS+rawhObUssxUd1cGM6ie3ySGwujnJDy58KgIG2XZP
6cYe7W7VmIwHERhu+N4fy7JCKdjWj05e3YVRyBoZ0E46EsUX5saGMSwhi0AR1+F34KHMSmvytcm5
jSmCq2udBcApImjAzujeVRlPFa5iYhuiEo/p1Ma7ubrIoP4k9QdLoUm1PlvVkfko+1riBdcBm+Gi
a+3tlPFQzfrorzugzyaNr14FxT3BD/SbEdpCvPespaWPKa6jjM+zR9PwAW40zmKVN1b6kWuMh4VN
B8N9l6w74inHkSO2yjiYbEE5W/VOxXrI+248cU1cedc2/JiR4YLCHU3SlMrlKTOSiRJBICG7udTJ
ph+ZKAI2o0C0xMlMkldJ5hZbZZsfM+d6M9Bjr0LHXdPDHgpT/ePJD1EjerCsANRQwc5iCWia8+wU
Gey0IyZeuGjSmeZLzdz8AIjQAA/Wla3MgYdEhfFj5URsr9HZ1JTCYXPTZWfs3MgrVgtzcGd2bnft
iaJeDUipdlY67KvEjza6H7JNoSGYRc2dKoL3PrHiDZrwLpHB1pJVDzPQnzct8Lgcy+Cxc9ZFmyID
seLnJBDZNi3NTSl51UPDRIWTNSitfStgVK5D1Adzt60YogUl7AWKLQOCh8c8kakXqp/2OafjP3O4
7GKZPxkEau8tQizRiAzGQydD2HVWwrQJq5aonx0GWuekMTF9l3a+zZouphBz1WHwuBYSr2rp+sR3
Nqpx6zuiphnM4q2IWU2bYXph8Vf56oECPtg6kfzblnO5LccIf0hsPdqxmA59x22AMYWQ7GFADi9q
FHb5TH/jQwDN21tp1WyHFdOFkOKO1RwxAoVxx+Fer6cAKrRaertwuomS9XLKUgcCLbnvsiet2kaE
5hXJ8ygYYCCDlxtANqQZ95G3KqyR1aoFqsw2jpRWKw2FZ+V1ffmGVHFgtAolaowFwr8+RvsyzVsV
f2ik5qfMIj+aenudenW0DYN5PqO/ZoqR5XQcgfNFnq21lmL6SPKqWDF3grNtTlhbpursGpveamNC
UgYu4UiGBJ46KVysOH/BIceGw8miPYr44aJ9EBVIE8N029cwlAB60Ef0GHtY0Lb3biHnVW3Zzr7B
4nw0OuL2GpaFL34z70bPvjPmvPjhybSDqyO+Ut0SU1g26hqW2Z+kHRgdxfxt264YaNuaXQ9E/P8+
Re5T4AuCMAic6lpYRvaYN/ciaqf3qPHfA+ej0z8NCXCX/+LksuYdv76Bz/dZWCZacU7jy9jExZHQ
PUbKWeXDo+6Ts2DciuQgIVw9rJpX2yseoni01i3/1tqqG+P2+wEdfX6MM+hj2G9XyMPdF1ZH9RY+
FlEaPXsgt4H0W1fzqYwKcRlnIe9tfMjAprJ3M50/jW52L16aIyfMLb3G8etcfj/MqZcila12ZSie
pi5fe9BX0Jk181s30yeq0isBq058BX/4Cu4Rard/uqVglGGP7defJ8BQGZguFf5TnnUL8U08DCo4
kms43bUh2Kuye6cgQ6A/uvaL0Xrh4ffTzIHnTW4iz8NhFkfT4pCxHcWGAqwKGSeyaw6Tm1uMR+XV
nLIGxHGtr2OYk3ncDzXpqgo8mwiOqIbQrWJv+eizcwDT0VvaAnbV6UoK079UPvhPj+OAkSFVuLKc
8pDC1FnJhhQ1tMeSp1v50TWgawCSDHfWLB6I/zGuUYkJrtI6u1qdWmCMkcXOwSfMpArBIzjhexxC
Qcmy3NzU6VhvioQeuYv96LkO9VMzd+XXZCKUH31MSXZbzXcm4eYnpqYj+6/YP+OWQPCaCkpFjB1f
ZMrei7RoHvJ6frZcF2rBwGmNh8Hi4Gp1upWQOXeVjexGGzFSOw07pLIZQwxOTr1HNAyiquqWBgQM
BEYK+cxnRB40RXAjQjW4sTLBvlqhbAp6L9iDEHusRN+hl/NRZNa62WStg84M+foW50DFQlxnAfhB
8WcwKqKh7TC/U///q6jogiNFx3+/7zj5fCxdHpFeBX6amAhv65h596aYaWZWn/4N2A6P/RpZgX/O
QMJseawvcJl2OMwu8hIwuECeET9sVdMT9R7OCfCNWOwDd9hPbsuwECzNlMb6SOvD3chggJMfEdvC
G1XAdF6smGNNsyYvYvvNDxGUJmyv6T6TddsV/T2mlfrIXW8ihnluwr66F13NwElNUIPTZx15Hl8p
IVmy4oepg+rBbIGNCkmmCE8H/k6HLgIk7dagi7oWPVPaQDNrFQ58clxIp3yxSenkLs06/px85Ds9
JPk61JqIiY6eUoGQiYz0lHLQnGXw1cSadNReJs8hU0KBBIVtlSKzYCDEGM+7tCqe6S4xRQG0JeZF
FrF9bbyNW3PYaTP3rniAk7VjzfjcsgK2KwwIkrCXX2au+y+O8jMOxOngOXCofQ2Vqp7ERN7krF6l
ND5Aw8K4m8bkCKWs3fj0Ay9TNS2Euf4tUJaxbRA17/0sLN4QULqZQM5oarF2ZCtXTQqbJRMBDhM7
ONSB8yAXu4udV2RojHQfXTBO65ZlBJaECUaGirYpv3UeOxCH6QS/MR2N6eKFbHGskPwKx4lOdsN6
XZH51DtNuvt9ezL9p3B0fG8nxX1XhR2pf0aHkNQ1nxweGhujzar7eMGWI0kDgdbg+4DnNFGUHtjc
R/NlEnW5V4aNVFy/BhifnsqBNUqEN/mgBZMUz8j0hgE+pkEV3joC5cnlNgL0dz7oBpV32yGS6K4G
o3iwW3XWKJ5pR0p2giFxhBxHOnmJ4Mc9TmiVwCrbX9RFxouV8P15VntMTdPYa5H7vD20M+H02dQb
MJkWG/L/M4CaLpeZ9P1zFy/ezNp+Mj3kLHPXHQA84R0dXHdPeNh8dAhVnNCOWVOo8P2iNwqASB+m
aH4J8JzvTVd7Z+YG467NqL9rbBm57wRr2aNzFl1ydUX5Ho6Z8ySnDIuZgdM1hMd+afy6JB5mN9eE
qY8AePub/UJb2JGt5Dp6HxGDeSp9EeBCL3tIDErfy5AwJzIQYPXRIiOK3LRhx7NlaWNbBFkPCvMG
8o+pZENFmGjUICBFChRrzjWy4MF3M2oI2VIjqZmqu6yxn9DXZ/tf01NdotYRATOrBaYz9l53i0Fx
VbbNMA0zU+xM7X7swE/0gbW4Slll9rOHEl9wCVS5z7A9qvcSPzNbVfd+IXvuXGvkxe2ZAQQBMyjD
IREwlfXJdmd5gavi0Vw37KIXN5I7ZLeySr2DnpiIzwPlp8jbIxQ+IjizlgEGSmTz4LnLNK1ALTQ2
o2SnnVVbtTAWbJqxtetZwen3U1RMxxbe5IOUtb54RTNeS7OKLwwg14g8w8js36ZRTteobpZXLTQv
2HPyXWNXqB/Il9vYPRIYo2R5I6ZY4SjmHcbpO+7zeBjPuCS2QH3i16qCIFNEMHOGxIlebW38cCHy
jS4yiSjK1QUsl7mbmO09hEgewRtN1mtXDcdmMklpQcHd5l72pJObMiuQ37mHPJMpZnMp3LHcQwKl
a+jAwJFvDMETLOKjFebRld31UxdxWdmZni7MVNQxp9BBrOgwx1h4UzQ8O186PIkUmNdZONEuGPJs
3aPkBdc8FK/mIJFBq37ntJKxktXqE9ZwY8fG+hYupi5Gdc6OdenPL2NpaLpDyyDKlHH25iuaUz1P
BJtvBsuI8IXoeMfD7ZLUC3a60Xx/dEnVEL6Q8es9wiuWdRQ8KZMjrLBr+3F0p1sNjI4jimn2UEEl
84Od6XXpZjSxXTYd10RaAc5r+y+79aqb4fSHOeblGufvyAQp6Pr48sfJcY/JEO3b5SaPJz9hwNZ5
BwEx+L7wjwBfzxN7KmJZsV3kkyFO4MQe85p6yFC0lnJkHJ5nvXouAwd0UvI1d2b3hqASnecAgK3w
cPpULkqxRJ8rbMcIXvJ+P/aMFITe8XM51182DT7ikGMXJX7pCXx3VhJff3+VCN48xhxuWicvvUjK
s8kwZIOkpPik/n9joHQheODYTwIOn2wQvI1MannURhlkg5VvzNlJQ/F4GsrO40rPGcqit+5L6K0M
bu6avG05HqYA1g3k50iL/m6offtOC5DeYbAY1QiJfop5qM9DywZCgqPqGdKu3DFIHt1uwrFSDiCE
umKAKW5hhEjD4osA8UsRfikm3VXQQy/xovJo8U5s5iRGiavOqSH5AnS5/vIB6W8OJWJ0MYDwKViR
emvMBF6ifoECmldf/z1Pl4dqH1X6WPJEXjUJvDeJO3I7kIL3hHsDSoSTvBbSkCwnnINgibdxJxGd
piBNgR/6d4OTVaQp94hNEKIwpW0A6yxSlqD6F2aB3Dvz6G/8sQOiaqX7KCma55JpPaR/h9IXqgHy
YJVdfj9YIsS8Pfkskt1yJH92YlTG0vNjrtlZtYPl3Fk18ihcNR/ES5gfEzK6tYeGN29ruL7p74GY
yr1C2Hefx17AVEN17+AFX5MpTb+EH+9dMnsWxdOjD8/gRbvIwqG+Pv1+Ni/uSJ1Uz7+fwaAGGt+9
1C1xsm3bNbTSZcGesmbbGJfN85CWPIw9/GIxM5kHr3dZEi6IKSNYaqYot66FiJMdFVSGmq7w0WbV
51GM9kvLdFkwOb0EsTtfVZqZ1yZ3/TVqin7DWCljmZ9nzzI274fEF/9cUitoZDF/PgSuMX2lA+NV
xjo7RDf4cRsdspdtW16E5UOJJOKsEe5jqWqRh9vt+fdX4C4pEhJSHJffJ4u9cj5cqHY/KPcMYf9g
3vnDAjS859gKT2Hsh9fS6t8A6JkLKSq8ahX3LHYruQWLlt6AGXjHWXXP0/KZjxBgFYhu3JsLasnM
5r+MAatXaU+LUyJ2D6mXZG95DcoI0ElzJ/r4BcglzacBsV0bwnv3p+yFsho7F7KURJjGw2SZLA1S
NItFIPg22AeEENYKowvPfpwPj7Eav0kfppAQrUTLmJnn3w/Z8itDLBIhpNNbJ+hhLs+sKjy7kwdZ
ms5LmxvJZppNefjl7RtpnW4KBO6HPB1386SbYwhxk81hwA1UFJJs28a6/DYQVs9+KaubCv7/3Loc
016+Ilk0vThLENEEPsTscTR2BVgqM+kfMhJbD6mfpntzCVHLdfVVSkSiE8SOBz+Rb4pl4IpoYPGh
p3yT9QnUk7CyTo3tjJvAtuSHtkoEaWp4sCZL3o1cB6w0/HEZuP2PsDPZcRzJouy/9J4ASSNpxkVv
XKJmyecpNkRkRBTneebX96EyG5XhXggHXhEuZVbCXeJg9t6953YbzBzBrdtMAQGI/UpnFnh7PWSK
/b8Tu7Q8e+1XIl3lmbnR3UOtq9atMm45A08sVKeLXiV09yLQBDqDbj2lT5ck0B+vS9O8lcAfyLvX
ZlhWmm4e0JFkC/2fTn82vcuu/iLK3dQ/ZjpYUui6LlHe2ErYuvEhdILtMF8f+Ce24NtE3wYxZhQm
wjtR7YZp16DSQw/Mkj7aq2kpf9qXcs8pqeIDH9zYHObmkMOoNw7IK4D99cOxyckYpyG8huM8D+D/
TtTiV4hPvXlSzVJVcJ7NEwXYpAMgFZzrivbeUn11RkpGTdcSi2SEqJWzeT26ZARi8i0vbKE198Zg
MVNeYm1JBW3KC5GgXXkZykupnan6Wq0G2fXcM7RdIgy9hn/nWoNxpibMOeFZN85kgoKsFvVyTK2T
fz3q3YlyDVaJdencA4Iq3ycZ66vKbYr7DBk/VvIpfsSwZ97QVjPvZrt8LQW78iURUitPxEG65Uny
w7wkQobuCUqfpk7utczsDCaOGofzRArksFQ7nOtrNc55TC5EQi5SX5BVzrlNLvFAExpv8DlPLnCs
AjJCcLrZ53s/PSv77FxLiy+Le22gZXI27fPcn8drTfZZyNNgn7v0nxrliarSM6qqVp4stFXjCToR
FRanyT9Sg39MjaX8+qgYjkXYS7m3HUR01Ej2vhboWAQ/jPMguaAysLs98uXodcgI+NnXgLkJB+12
UFTGblfS78dXC9RSILD/Iv5XGEtKbJFOQZHvf/7f/yPN5aR2TQvam+1K1/yYD1UZTm9puBLQBmLN
XU08wDBY0ysO1lz2lKjWAasOUvyGte+s0aIEEk8PTVUPzNjAtLEhwsbrm6UMyxsbT1hL2deSeFuI
0NC87FoFfk12t9dCCt1ximmeZMyqsWj3sEtQte21Np1RNNJLjbxsEaV4feuBuKMXajItJKI698LI
Q0w2YH/E5irWFAxSamz+qT5aU2ztXWtlusQfrBqsDP3KYENxrYAxf7AUMRBauVZgY/Wl6muVGlYR
Yo082Mkq8Wg6UDPo3MEbyVxBljR4iBxJrqcm5TGpKHmTUZPymmsZEXpB4MLeiD9NeRSx61R0rUB5
trGUuBYW8oB4K7YhHk1t7DKUGXsAXfTYm2IP2KR014W1tqd1ZkFBYYa1btp1WqwjzBzxOiYi1Mec
CTBo5S9SvxXqBTz3OayP/MbfKZRFuFv4XpegqLVVrZkdhwMKbhbsa1a1TB7AjsRybQUecj1qvtbA
d9x4+UsCAKchHNzD20hHRkweWQcp3+DER+QFNgLLpfBkUaj7yNvm4UxV18pnr7GZZXud7TXAglpW
hRjJPFrzxrUm7KTRUq1aR5HHWi0AKivwoa4FVIdmzWq9zdc92bdEaAPtd1fKWvGAqfXlCF4D/TvH
XK4i0s4CQEJL+bCk+6UafV2htLeXKjT+EaflWiYeNfGFDstxoEyvHrzueiRQsTH5TWj78VstVV+L
zPqILx0mtPJYeVMx/yb7Kxz4ERtdwCWeKz2j9yR7/97TSTWDzAMXp1yqu9Yce4pEECZC1jq31qm1
tuAeT+sW4hqu4GId8r3y7fqrHOHQnlHSQDtRX7n9F4lKakkk/3AfsDA3SsfWBXzZj4lK5VSmGTMV
cqd8U7F20cPHURTEzNRicY9nO4Qv4YXRiO5JW/CUawzxhkMuMBD1+PZmBAB/L5Uotkon09l2eEb2
zJHgO6+usM//HlKyDVZSvrnyLeneso7/zNscvFXdmxG8iWshDKcnfm2Lv2rpq2O9dPOrqF+UtZRv
vUh+9p+pcHoGqBbex9Nzkz6n0zOTDWk9UU3z1DVPYfAUByygH9Pgyc4f5bWUZJm2VDw8COu+SR5s
674QSCaZfpVFhhE3ctRjMmnopwr/F8Sl/BkzzK5m3HSnBiYlU9fGqxR2ysNX2VGfvwjbtkzLhTRj
EXj/IbZR7xu6rf4Scw9SFMZGc7wephQRItknq6aAxtWOk/milw42q9Y2jiCt32uXGzTKP7EeeNDq
Bv3GBikvcsMkfptc11wrZOuExNk3OiPu2hSkvPoMvuNisZQUmX7fpTNPdDc5Zvao31/fanh5I2lE
YvULXdS4CrGbJg1Pqkg9TiNoiRYRSurHL9juScSs838fSH4lBHQ258pAHD2wnMH2iOMgAK2hqSfV
YaZL+5p7CFtpwi1ioPVl9lyPWF/+/LnKT1nOUjimgS3ZEMKUjvnhcx0d00/0euYEr9i0T2SeXCBX
TXtcYNTo7qHXzS4p90vF7T8VMAqCxnWtglBIA7HFzk+X44j/yd9ahLxeMoFUhjiPrYucjyW43BBw
RVmIJdtNnS8VJ5up2lhiE44bOstUTzXb9loghSQ+crIvoh1QjW7cwaoEZEKl9i6myn0Q7vkC/WDf
w2Qdl2LrNEYEKdOAYgkvw9P1UGikihAT1DVYmgl16BYX+hef5scANpYNdM6YAdrKFK4pln/+7wA2
/NYt/UIytfISQBIDYqh4JJVM6q7vBuy6ZTm9RfV87nXZbwMUeozz1Hy8Hro61Y9QqodVxaZ9V6to
uPUrQzCVN63vrWmsSjrBa2suui1TzuTWNIz4luvhZ0h2yo7eyj9vXd/HF+UDnSBy+foPcK/8ZzQn
FGYx7G7oV8cawSMNrNk45nxtCH2myajfXKZ0qyymLR3EP4rGjr05nvzHbjCRVUXkR1k2SZ5Bwv2N
1LG73lw4LLGeP5u5Zh27fjFp1nn+rMvIPKsfTsOsviBU9htG1u9+N2U/xtY/EZHnPtd+/jgtkW1l
zmhTc6EGupGJuq81n43GrO7dJq//Y+uwfRJrHM+JzQC7nYvGK9us/CIY1v50IQghHd2Qtm7bHKX4
/atzhrxPu6Sm9+4b7W4qs/6OdSGe0bF96PW0fdA6v9tqkdoHqfmNnKmdbNJ+H+V5ckQWfJ8uA6so
CA2EfWw///uy0IueQWT5MycnsnKt7+VQkffrTM7RqhP3NlNoOMlfsfdjzv2tdcsEQ3uQnK8/6Z3L
ECGyaTWIqj9oc8yYhM0Qd678gUb5j5rm4DYqOnfNSQSM3eiefHzCQHxzdedL2MghtPhVpj0n+MIy
ulBa3gw+C4Rj20biucdL45moEg06Hec8LsU6HWP1RQLxpwtDWMJgj0jX3IJeqH+ISR/q2Q9jGygb
1HS1s63u4LrGfxhsatjXIbP8+To0ly/rt8e2WBbwFq0Gx3GU0q3fv8wOBBKDkBE4A774H+Rw3dgq
aX8UFSiGiASvh2ngnhRa7beyxUhpC9j9LC/rqgxeUVcF6m5Gnnooufr2kZX+KJMUrXWQuvvYDl3P
dCv7vpzHZOmYHv78uzufEuVZbih7uRXrppD6xyfdEGeDROLUr9zWYJs1FgcmgGFhNXc09wGIpq5g
Ssn3JbQNn504NGX5OhVFd57QIs4xzbpstOpVpjIGP9CMNxYJ9h7TRR+x/t2U6va77xC7Xc5651Vp
CM3D6pO9BVo8CMdoK8PqP3qDpsvG7LgaWo0tkK+hBGm41gvHmhmIRnd+XDVHbS7d1SDJr3YHcbJM
6b84ol4eW5soQ8MiGDR7dMM37uAPCEfgxXTV0u8vSaMpQfcw69DtTdboPrv9+GwZNmnZoX6OzKnc
DDF5FXUBd0Z3U0Lfqh7AmAEC7M+fOA7TT6cLUhiUvcq26GUYzrIK/Pdt2wDZaggM68IxLoIDI/SA
GGIkgZuxB8xDVFC87mB635rjoHZ6O9FnXdbyuWpwNOVrJujVg5QlNtWyQjOZInHsK2ZrTUUDpxyn
/q4loglVO8axIJ1faxnPNzlxaOsuRyhG/IdzoEXfnlEMqKfAiFHK4IpzCE4BAlXcdm2b7+26jrY4
pNznpikfwe52P1J8YCZD/uTSzLHxhpszAhxTpX+ZmIFMEJG9vUxD/UY7TxPjUhWax6bP0NwOHf3f
QbJ5iwrjDpTJrdkG4obxMePBxtcfYsM2bke042W9DlUDM73QjwTIkEhhBtpBzaV26MUUQPdEFjEM
7KU0TbkHR+v0fTZEA67obBH6GaQGRo2Y15Dr6gcYIvV6xugtfN0gkilrL2lrouaPDNTZwHnS4s7U
m1OoovLZ6Hzjoa2dFbIFte8FvgfM47doD6NnUWnV3jTDdFMQjudAGiT7kz5uKIYdxEPLGwJkVq6m
l/QvgZkE3DMeI8E+MNdD6ylYfsJm0d3SUVQ3DEN2mlL5ESx0e/zzGWYtPbDf7kcOMcGG4XDj012W
sUu74V8nWCmE0WGcJQkn05/IWDGugys2+agyIjRiQTfUO0GgB3tSP9okRHPctIyavLir/FUnAnkp
NPscwd6OpuwtmDG0qvk7SMDrAzSS9ETAcJ2mVlvD/qQZQcBl3ur+7UjCYqZb3UmLXoXhu3eQwkRX
uXxg+oL8Ktub0IrMb00MeE8eoHu+aTapRL1ihTuSeMXWMQi9P38e9rKq/PB5WHQSpe2wrXKU/uGC
08kdJUUF15VbLRtby50O2tDDWrCkthqC4c01kNv7YTeA3gHTLfBEXbD8HR0yaE6Sj3pXGd2A/qd/
DdNgwiukWxesiPFaJ4gXnLr5q8UHDVEfwN+4tkO+ZruZyqfeOejCecGYroH+4skT6cZzvEaSYWzA
GWtEVtz5M3jYmIzvWOdi1wyoG1Uo0+/AVqDjJsTEVYl8CKJ3gB8OUd0um27o9pfECg+jbuX/iY1O
rTWke5c/f27Xe//Hz411Ovcq3ZV8bB8WKQzcYsP3kwIrPdpi7k8NJKag+FY1S5LvMsqwh8zfp4Z+
NLnPnxkYHYrvA0FVCS6AWK0c6IvoKVT+zAX7q4jfY5rxZmi/IAs3V0O/ybscGlxrsNnVQTkW0ndX
JSHqa0Xq6cEZIAI0+jTzgdk+InjwTG73btcNftKC/NmpJ5PZ4BdkIPAtcug5TAAw0oiRSN1ymwPd
yma/B0fWA9j1mYCiMhTZ1o1cc+sbahHTOX8VsehOhkmXzULZqOtO/sLo5E5LjPLOFwaM6PykC615
6ProUjKC/GJXZHzqabPLXPZFro5DBFDjslj81/WaYNjSrSEoV5Ye9aexl9G+TuA+tYl7zKsIDIgV
ZmhwiUggUORYBNNw6lr5PS1iMqkiWd8baR2t/CJBN4ntmwSiwdnhgoy+enb9r9+UoOdlwUrYBYur
339TtE7ItkDe4HYORyCeIeP1cJW5sfFEyvv3AY3XqatiSdtGCQ+q0L4mTvPWnfVHJ3c6rxj6lC5X
/A2ADqq0LkPxWvnii+Wf8Wl17TgGt1euebbvrMg+XPB2IiLc4og/g3zIl/xuT4yieVEIrfeE5Mxr
qDb9jVmV7qlo4dpMY/ZoLlI9FeYMnt5Yz4SWX7ENV8ZZdclff76wxLIg/P3CcgxHmQqOqVCSS+z3
j1HLS+igM8uTCsfmWcniftabzgvHCib/2CHyaPNgXUfqJ5PAbqNysSAdamS3S5jjWNq953TcJ1XW
+7cF7crQYilxPZDwgYtq0ovd9WVbvLBH3AoTS2RLXM5DoN7rTHBtjBB94dm6+6hk+plZc3SRujxy
o1QXJrJfneOfluSOI0xDOUoYluAK/vBMcli66eyJIgRC2eG6ZXT8yj0PpGPEdxNe950fFKc8afwL
hNE90ZTNUSw7ztGYvwNFecMmzPp6TO+/+C4+PywdrjrJGSN1CzrScsr/6+IDawUJCqLPqkOhcda0
xiWIBm+XIDEwRWjjaSEjhphk5r0LJHRdMUZu83c9g79IIBwDknmaT92giwsK5RzQeGStakdZZ/CQ
NjMhBFGSpeomZ9WR5T2gyHn8Fnd0XB2wGmzpIvthbCQ4EIIe1iDW4PFJ8lRbVEx//lv/x43GsW3B
3VzYghzej/3FqrasBuVKxHjBWRErzPC/NdH6m1K7xTq3GbvafQgrCOp4R45jqIVA+t6STNDpLZsT
0bXiMowtftMM8TCiYBLvjUjdfvFrWp9OFhob9EHZj9DeYMz3obGhkzOjgf8rV4Nhlnu7tcgVlGZx
a0DdKrxZrEkIqBwGI55kBQIL8FrZCH3Ga9ylah4F56hig7KZh804bDKxVE/QgrtRydZJttLd4IG2
kq0/bUW9VdNSqbONrzWEu+5amr11ix1VhTuAZMOws4uduBaoeYP3Wf8Vu2LYjcWuh1gGkbDYRcOu
LXbBsLOCXVnscqJagl1a0EfasoQdrhXaW3PcGuWE6od9I8pyL6qa9Nbm16u3AglYvXWnrVlvM2dr
T9vEIXdyqT7ctdeqw50qlirDXT8gqt+1ww7fpL82ix23i3LYERJD5cMu5e5RLAUyMeSPIBUOFk2w
c/udQfYsuTrBbg52PQjXYBfYW8q3lprHLTQZ1rs2Mvt1UW3zeEvGFwYBKlEgsJaasH7mm6HbDOGm
Czc8Av58UnxejEjCFWiM6xDJDdP9uKcHcJ7mfWUibW1h5epZgu0iztpHo8kvOTq+HX4K9biEi9xU
7Rw9mjqXVD1E2c7O+ugQVzl6SBOzH1q89huaimPjsGQKW3zik5yN2zB4d3FhIqSZLuXUtyfw/ME5
nOnVloUbvunDwBcUgvGoWpIOfANhQK8TnI1OyLlVIssOVUOIZUKY+HOg0h/L/3p3bFZcivIWYwwG
2ZypZKcTU0FCy8G0S2BDHaahTG+OuvPdWCTCKWwsICB0yYhzw2g3BeI9sLWf46S3f9WhdTdk2g/a
G/NDAfH1xurAzCJV0764Cs1P21RpL11FmwaK0E1bfFj9SQxlqep0Ps7E6cE+Am1tKweBdBk92uj1
dMLmqtqdX4sgKpmkxy0DoLD3EjNKcHy63boSDhvXpppeirBBtWizF+9tnwVA2J/thOQp+iH+Fzf0
qwLgt4crYkNhYfgS9NeVY3z4vUO+zNLS/Yiek0SMMAXWaiTvAQtmVR0QVrCKHOM9hPT+gRxMd2sU
z/OorHu4GdoXK2jz08OF3orLasnU2SQY4uNW3yABgfRhAkKI+mBSEZbFGfj3D23gurFTQdw9oRab
CNbkLk5hvyCZzrbRVA+0dLdDUEzfYrHQz7oEi5qcb9C4mXRfGmcfOyAIzXh23wm2u1e1W37xsGDW
8XGVgoMYXyedLeSEpuF8aGu1QZ42+QivfJjZ6JM9E3NLyrRpTdwdeVV6h1yp6M2jO1gmY3UOnWAo
GzoAqq7/oLBDcYwy+QByUm7A0iwRX6Ji416Aac6zHK0bWWF2aDa3Yjk0Vd3cEg/4E+eXvaka2R7F
kHTH60+dMbwVQ9PyzMIlWzjxa+sb074rQLSRwLvTULsQeNj7xxZIOPjueNg4kLr2bZq6iOHQRJAv
z4/k3DUHXW5qwBnqkdyTsdgGpaYTuGLauEZLm3x6OgnKTlq064hir+9NU1yuaaMR5rkIN8fCcVYV
eeGeCmvjEisfKdvk4A8NRXhXIVJeBXWPdymIorvreyjp3dv0xE7i/78RM1Cf+gIGJ2BZyDsMgn3F
ndbg71x3LJfQ0nFwSkiP2uKDm0cvxnN0r2cwrACTDAyOwM9mXXOpY2xboTCqO5TewAJG0G+pSxxB
a3Q7yy/aJ0PAT+gLhbfO/hXlCA3SGZF8HSXjjjwKiVGtEbALe0HkpLGEdeI6EGIRLbbbQLQFbhkU
9zKFCcNN7DCG7sEOZusx8wG2WjGthNSJ7oxEA46w9KfhA8AW6EwTNZJL495p4jdnGOR6NBHqdFNt
IrTiMZlI/alRdXCXC818sdzvlu1kzxkK3iDyxS6xmvAwsLk+XH/qOyIlrz+VWQU/vO0BiTdBdZQZ
S7aqLdW+LEn1znFR37Rm2x9ZXXXHDln7MUPGjZtudreYrwgQS+JvqaCl06Og3M8Jowd6Ta9o9s5Z
GGPk9HthntPGZ0NjTckBX5WOPhW9KPiq+i/d7dFbTOoyRTG+9SxvL4oFyfVVNWXzWlVsYAn/bEm5
NKwWQklr4FGGDxPWt5Wtsetog+lJ6jA8jDi8a915fHKId7uRTlPcNIrZYsFsthfFcKAhOBzou/zz
k9mNwyF3OYmJIeOBy19737flfK8644dmNcTSQvq+//v9tDkPfuGerq+u70+IMVTUYvyy5oP0GQa3
bjrd4TfODobJc3xy5PjCk+2e8AdE4oYDgFpU/iEJeuAW85KKycUEqy5a3o2u72LRRq4cWceqVflF
4iPZToUOa2fZR/19aPp5k2tLs6Swm9vSmdo9QxmbrpPm7/J5yXPm1nYjohF4VtnLcUs/jrDjrDm7
+gKLHHTQhwN/j/k6+xYfnGO2i7BaHqpqf30Bu5Slqb3Xp84ydoG1zMYGA1hbOr0TvJc9a3mw4UGu
3uoxfYBDPOwzTbNOjFvjoHKP1ZDh8L2+NRemRVIShy76Vg0KTWtlkdh81V0Pixy/scddvnifEe8f
3a7856CWl8rFE1gl1rAlNJYstar4Sepv+8CZmdMhT3TPEV34ONQKA19W3V510loQm9s+AmpM2zfe
Bxo6Xyegwds68LUj7pg3KhTBvlU8D8zcKe90IFtRWvcXVtK/JG3Kh0oAZKOd3pwSXNQHv6oeEYI1
tBBk/KxymgNxoyFhFEyNSazIt6CGq91s4lS38L+T1RxHqFaAuVWlLqab3AyDmwYHDi6VQCfXsZuP
Cdbswwwvga3GdPLrGLXY8tP1QIebVe0kZmQk8lVpUb4DvWKflVaTNJmb4pAX/bMySGjRbDmtSiac
K6HMGaP7guxQMxR4klxeyix7rRy3IkPATNAW+cwnSyu8a8bwKIqmPugteWYW29c13SqwLa2PIKRV
eM3w07B2KZb0lUjPt6oV1a0lqwraTwp3rqu1m9IO9DMfDJpYwsKCphuOjPLluiCiS2TY232Mi5e+
7IuLZiXBRUI0MFZg4bpZK70QScbGR175FA3gz2MJMEtUhtyFtK1vegvyl6/V/xw6nNEQoHssATbo
dhXUy5MibHdFlv2wlmshBt130xZlvoOhRK6bnUHiYmWBSi18dKwg/kuO1q9Gr6z33nIAvAZT+FJF
e7/k25iUnBAupvPfBy3zwW/amSIBwjL2QVDGgHjKhZeV0Hmbi/pIT9wHMnSpTWTTa0vknBQrAPnJ
+N2NwhCoRxPeBajL3EizD6U9+A+wTgjvYIBnaD3pveE8XgiMy9fTNMNn76BUqVnfQzhBma6gXWoJ
Adbm2FfrSRYTAidfnJM42xtZN6H86X+5Gpsx2OoM6gK8qfS0HgwRoO2MLf9QBMVPwZbaG+PC2CQd
1nHDCqJHVPKMyaYRRVXY+I9NWP2lJ7H8yw5yxpMBsKceJjRkAHWyVK9OJjMGgsoxqI+hzgTOLX42
tQXvToZvBLd2nu+YR3i45P/V2cAXjFUoyzTn+N9DiWv/GJe2jootBgkciB+zY5WP1miJvSHwLRfY
sLYanw1BeJrkpDYfRiOz9kUkp1u2BciMHUChDHam3Z83RubnZZrrMlNjS++4lsVK7fcGRmHMreLe
QBbbwtPyZfqNKUl0qxAP5qikbFGbd6OoXrs+J/s6mZsLn6y7JeUPoVyawjgZXeNm49VOLO8S5iD7
0AnlVqe5eJe507NBYvTaDgwYbm2jh5curcJLmcLQ/vMf8rk7wROAXZlUtEN4HFof1psYkB3Vdhhy
w8oqL2Ft7jg39LVOu15FBfLH7ihodq74/wLNcRdulGQKRH4Nu8XpXMXxN3g4BCn07mPRmN90m93c
n3/Hzwt6Ftis8ehZI7DiP/9BwJKF+NNpmMHmlXDDaLEytqin9mX2sSVlxKcHU2He46cx7tM4o/1Q
JGuJzeamTvxHVn6M0ouC0GaV2Iz+iTSwpnnfETx4dz3YzK3Q7FuYdd2q/6ItetWD/LYzciRdW9Rl
2OhYwekfenCw7ZK0qrN0VZvq1zzbkkUBmUwMswwI8pZG5pJbbmog0/cuz7yVhknt1XBwbvidHW2L
MsQ1WJfIRBZmQx+qR82eMP3Z77VCy5twdq8aLSK2Ynk5RIU8RInoHhwDWcasZ5Lbgl3v6hTiQtCY
pfTId/UYu4WW8V2Sqz1M+omdAxvlOLa+mNJ/3hc6dFoZiQnFdhZpwIemsBZpZsRQBtITFg1yFeEf
dd341LrSOg1a9hO6HlkGLPrS2rTXjIWNcx5VyKVjEKZ/Po3+5zdh8C2YQlm6gSP792s2S6zEZUHI
qV6fM7hAN0XqTi9DgNnXte2BRFt4nlqRHhplpLd9oOQxDOwX3XcxFLDQPyWVsu/dzoCYL4OfpENo
eydnPT2oEGmukZKcVHWnwXfre32muVmYzjuBjaesZ+oXyj56YwXvr3uBqiqp7PGUZc47iYkSOXqN
vhQoxkYPXcJkUpbWX5yI8vMYgT0xbVckS0w9mMn9/udPnBkhEcD5yu/ICZvL26SSwRvUPHZHGYnJ
rHvV1rcJRuGXH1dmWbyRutGe9bnAUtyk2T4Kic9uxzh6c/sG+7ednsNFVZBOLsgoklltDSplkhQS
8hdqLmWPR6v1ZyKwou55KGADNOWES29F/9cjdJ68Zl+YwFCCZpNnhnufA55a27KUl0YLygPKyWDb
BJ3+aGVAWMnqI9xzsOkHL0vdwGoZBUOG1glb15pAvMxl+x4lzVMvfLXqwRKyFGkaUBhGfR/Jstwp
4ApD1yyww+ZJ6IncJwTZbMwusQ8TgGxZhOK9FL5Dr7IbMbtmGSMrdMItRjAvDpNmb7NOfQcfUTaz
xwcYQnV3e6Blg/PiRqoH9m3Mj4aGrBV0s7P98zn8v26Fy/3EWPpDaJM+3q67KZERshKiFWsbC6Hv
3Od9/VPP4Tfm+Ku3iX2XzWa5bWJkZAPm2MwazXuCc8Szwo/V5fUBQqn/MBKVTCCne5cOEy4+BZ1h
ALh3fYUuY/7iMfM/hi9SMhNXAFHRIKqrRvFfDX9S1bKy6gjBEnJf1WCnxFit2PoGXqKXpHDxVexy
csr2RmHvwxCod9Ng3mnIHlzpmuMel5dy+R6T3v/lqwHnbjuZB6M2y10B23EVTx3+dZP47V5v5dan
hwH8KWccxdnewi49GoFK7rD8IWGt2PJNs/lNROmMmKuxD7UFqOzPX5b9qZnHfZ+WmM4qwTRNhh2/
X3E4habMikh1c3Uz8tgwDsfIh/zXT0HnNaER7HFLxWflM2FWQ3iP9hMiay0fMPLo6yyEglXWBK4Q
zIDwtS1tsI7c7dWQNzStDfuYu1hSixaK7Sru6dM7epGcZxtiZwuWUnpmUsf7YTT+spZGT8JldjvA
aAB119G2bsZsOGqkHx04l6t91fcVYBGcFtPkE69d6ybDEgIT3JBhl6OH2ylR/b1r00CM+jfR73BF
668aI3dECeD6YHh0X5zv1+fDh6enMokuU5ZtMroTH6a0dk8jc1J5vnLiSHAPJUhbN1gwXhfKUY62
YmBiSkbvQNyClnSPeLzjlUz6/GHuZvNmCspp52p9dD+YdCYMG78Swl5IiXUsmZX3ZbWhwdJurGIo
jqaZ4Azte/ZrdR1vdOXOx76HQe9WBsth+o3hpgjwGub6GL31xLd7A2MEoiFdtTZ8eL5XFU5dWcUO
OMb366shNt1tXfrVKqNhfO/WurEjzxtc3zJfDwhh+eJi+yyNc0ifdMEosWiinfhRQjBqRRVxqTAp
09Itj7bikT5HdGvNgHmbEIt3LOqdRWv7GGbVe2kLtKpm9KZ148mfu7eum061M1o8IFwcF31lnVFt
Y7VcTAZxP6GxbTAUDL/IMlDf/nzNXBfOH75wl4WoTmdUkJ9ofliPxi5IDlpBwLab+2ooxXNXtEDE
THy015d5Ue7sKOjuKhfHUKQp29NIetyzFnewxIA4y3uShVIiob9B1LVq/dhUBZz6dJ/KwbkErE9v
g/mIKAiINmZR5DrF3RBNwU1J6EERk+kDi2rcB3PZv8a6xI0uvviCrt3w3/9IZp6mQgBoS0tZH0fl
ve84eZkINg6lNW/DJB32TuS8TXbxzon997UtrekhKvpxTVtdPwaOPx7YPAGhMjgp//yh28uH+uH3
odNsCn4Z7AkAYn+/UTkW3SBZ0SzXOiJaMeKrDTnAD1M1kIMYpuHlKhrPpQOqfjnYAc3ycS6RlJMC
gjNgVUchBG15awpRv3J69YcKBgARFryMhA1bcnbJBTu2gUXWcotMzYlz+TSTBliShfSopzncGV+r
MFoY77Xf2g+ti6u+cuv01r23Ic+8spIvNo5pGgDL5hb7D5c7DJtVAYyI9qr7ROT0cImKnImi9lrR
dd0HhPquEtE4LHNL9Pe5akmQ05z7JB5fg6jVjz3uyi9uWs6nzSED90UmTk/PQBGrPky3R9upy5Fu
FRgYpmYQ15ckO+2QINS8s7oWU1MorVWcW2Tw1iPwS9k1x2qJpm+ieGQ0CoK1kxbgT5355xST7Lvo
JLS5je7EfJdq7L40o4+4Fzn13fUQpU52yuz+mMZp8/dbUGJYamkZ2rmlUfvfwyTyAWPWfYdi6oYJ
2vDexggaK+Tcx3aI1HMbMyaH2PYuIzT9TZR/R5GGNEL0dO4GUkWJW4djjEc8JoHpSIRstUpxnW81
4ZJ/0gcuchl1HqVxGyey9fS6E0yoFITdMsw3TLjp7xo+VxartyZCfDlVj3NFtwWzaz58cbVdZ2Yf
zm70tqaDV17YtvlRifb/GDuz5bqxa8v+iiPf4cJGj4prPwCnZ99K1AuCIin0wEYP7K+vAdp1r0lW
SBWGmcmkdHgOmt2sNeeYnlZFWHcZUjwPhib1PYCEgzFeUu6klOwuxg1Wc8DT28EBkgj5X6Ljx5RJ
prfG5SKZQ6hDtAAXU/QTw55q7Qs+EMNanW0DCQVR5evn/N5yk7QS68FiJDculS67VdlVZzCcALKJ
78j1JjQMCE5XuyDCMXFlpOKd//5ZFuuz+vnTsk/mf57NIPN5hZj3mhaVYKwAzPjFjeN1P7PSc5+a
1S6c5L57opW4wj3zI7cZQWatPpxab+hOrhnM3QBSZy2Pqnb4YzPZ+PrOLNtHe8PITofzs8AAeROx
FRXBO82U7ZMRe23Xa/OtravlTBuJVCLo6fb9P8WuxO6TOhJdWcfKIo0vNOmIG+DY5pUeG1cz9GuT
DvO18KxfEic9UZeFs8vROQYCCXDQMgGcGukSPJhFF03ei8BUmn816qK+mOEyh4kq1XPRYgxnb/No
TJp+wHgwB5FXPgsM2Dfm+sXNnR+EuyUkqk+PuZ68gCCprmzCn8/nHAVdEW0cSc2eRB3QGZX30BLa
fSLuuqUlh06hmsYWB4YXX9RpHwVFp+8LWa87yGH4IYYmvSRU5igzB2JBfKVhufjD7WB+3fb5wnFt
izOB98H5fPfzEE7Mc+Q0dEs7HgDesR9rkwXPM/Eh8ergyP3qvIT75M21vrWUthzduSZF10onHFPU
FQzrehgxqSZNYx5mhRmW9hqpws5O9AP1wkY8M2CjWNBhgSkZg+TwWmOPZULeTdgQFakSsz6YD5WD
CyQZfP3VnDrQfxOgywHn9OTgaRduM4TOyo0q6fVTOrbKbWEAg5JjI1BDlJCG51nedpw+pErA7GKw
8cStH4Si8VxRZAuqypqGoCdM+Bx18oItZbrpJr8Ed+XS0dWjbmMO/kvjs5rLZGvdTBHS2cY812NS
m4JhXJ+IFPdonsDAV6m+sBvFHRKNdXRR96wrpPXTKXPqlGy3bn2IlAhsFdGuy6G2Bx1RmFdHqF2J
JxiQ4V8UOWZRcqLcYFq/hWPo72vkrDA+bB9GmhGmXmZBTdWJbyFKBIdsm247Yr2uy1qioHGa+JQT
mVgCRyCgji9OopP0qCPbFZQ4twKi8aM3VN8XOrMX8FlTNJ7dsC8ZxUOH3gM9rxQkR23wYq1xsolO
ZvDqMzQRWbFS6XABuBQvZkPlm7QQ1WlQOeFoFL13o1zs/Qzxih60SC8N5BzcbD5NRr6k6eKfzxa3
gllUyylt7fG+0g6ODkZqJhHtvo3Nny494tIaDsPAMnP67y+dLr7/4U7/MutSJGSMx3nCwhFl86fy
DtugWHWtWYaZ/m4kB2zu2SS2dWZBMDhJACE1gglh01nVwZl2mmVvU/M8q0t3Oa887dAiy8dEMzS7
fKJj+fu393UW4u35a+HJ0NGI8zY/rrGSkpTbuYXnnyxpf5k2KHV9yujsVewWEoXVFgHNpXLXit5A
KklgLN4jmF0j2QPKKOxr6tHzuvsQm16OcC4SC8O4v7gXYBvWtawHMnAYqRYmpdC35TT3l3FpmmGu
41Q2NC2AOOo98gxToxCRoLuBX3xc2OcYWuoTfWdXOzcxrT9Mv1+dF+TRII23vLViYQFg//jB9RJh
GR37KmQhM54NdeYRbd8z8+pBmZovGQ2IHRgifDDj1o74tF4BLvf3Z99Zf8mHWZE3gfuDZgll5K8i
vAKJoVeIcgXoJTvdIKSSRKpDb7drSqKMT7D8WZMk3jpxwBwAAbNzUVM/tH38QvZf+9rBP+uIGzzv
dDjzUwWbBCrOjAvV+lmTsXiD4LS5Wp+cgNtTP5vX3spCb+OOGB2U0HjVdVzQ0mLcS7rlPJ1beenH
A8HpJSyrZX1eejmQIUcqSl7Q1qfhB0EglUfP6/VrszD9e62RiPIQiENFyqJ712Xl3Zl+fXz/qaX3
2XaIgqyvEBS62OAHQFAHB5TYISY/cBPNpnulEo3GuGweXWwlokz0NVGSQToVt9SpIWrQnlz0ErgH
9Zxbp3GWMGMQ+sMFwRjx9YrYLNZhwPmUSb40HkifQPmhcgnqmGqkiv0Lz2r8i/d/k9Zw45inCVB2
eSpGpKtHMsU55n49huKo+uPoH2b/wL3T7wxx0Pr1mMy9H+0Xcz3aaU9GAvls2UCstCFJ1xaU8ULX
EzcLKw5a60+zPPvXocdnpnmy34+cUOvxhGKWI42OplgPWyBpOdI4n/zDWBxxJ3BE/SGGVhGxOthH
mGLNvTIJXd073d7q9oS01+6exHRFLZROb3qAb0PnOn2pRgDvpKYeOfrkGNlHNR/b9OTZRA6cnOZk
NadRnXp1Kr31yDmGs6Q4S0lTHc6m+Lwwzzi6+PxfB7AQU65Hrc5Lde5CY1TrASyEAxxhBv36D5fQ
XzVdn54pDyWMATAPwSgbyI8PdtVlWF1JnUBN3M1XaO78y0acEgrvWKhwHmWspW9YKmHyqr1f3YhK
b6Bbm0Rpfo4/sz5lTkEub9ynd1n0aiUQTJhQSxAr/JtWFMtZbCATbKP85NTpk4bH5c4h93eTuL1+
qxbb3DRkMB4agkZu5DkuvypAWvsNT1lzXdduc710fnNIUpYEbjE113Fs3egL0T2WrxIZeIMDmKB7
yTKprvpU06+pgCXoJqT1hOGrQDhYUC4uYQOpFLXapsZxFPR8WNC6EMlz6+BW/YOhmWAxjcy9yNze
BQlpObuy9dEp0oGCr20/Zw5mTFQDw8ZE3kgYGKU7AcYn8KaovxlB20eF8q+zsqVlta5WaqxpWDQr
4AL8GkQARnWwbgp9SEssikBRuogAZ6fP4ZHkfgeSDb5alxrmDrMgrvURj2tujvW1KLXHXjnlS+rJ
F5To0IKNiFPyB/nf+6X+eCv4aO4MR2CCwhv9udKp6DhFLjNwKARAYVcrLh27oq8dqfYBmejDbGXJ
2YSo/+DQYB8ptMHoZ8Tz7bm7YrLcLiiTQ3NENqzYLm8TmAob4vWwqIB2xZ1CmpkUt/G8h2epAwpD
X1iWNWzadLZoymevlY2TpTfXQFcKoXpvvXp+hPdsXHkaDfGYVGip461V+sI5T3Ii/wxavJvGJUqd
ImEYS18d1DKteua03tOHyfaew4ps6Yz9VE3LVsi9kSqM2Un1PfEL7lObZjdOYgT4W6drHkQ0vxRy
0Q9cV/NkRQCnpqXCmjdRkmRZefeHSe3LA+gh1abCQMnGoadjfaoziKqAWZW7VShnYd2TKKDMX6lv
l3eZCYrXrdL8Qqba9VC/IAzLz9+/YBcoAyKSxMGZvPG66X/lc5VdzgBk51nAhGXjE3nWY7vYhNBP
xsZdGbC0FVnfRQnWslTfFGYP/lVh38TeFS1GeR0b4gk0tH4PJgHBH/vpn8twnXg0+kUB51VBzLrL
SiiVuBDgQxX9LzvjYnejFFu5JMZl2YEUJWztvWRqNh6Stwn9Temm6T2up31dL3ddmZ/32lifEiOd
Hwkz2tbELT2UU/6k2dp12sXj/fvCc4x+we/v/qCGFl/31lSgDYPZyqZGRivD+DjiSS+2Yg28eyiI
R223rrke/vuR4svNd3m7HmW7W6zdqFEw3s3abin3StuZhCsQYY6aSOxdpH35oYQ+BtRpq7x9nh/o
0Zb5gQ0rh6EOfnvALE8IUdIdULeY7sFTB9s9ONnRdQ8xeiz3QB6g5h44iNNM82OGaxVI5qbw0P0c
Ku8giajRgQwcBv2Agosbk8PtcFsd/O7QFAetO4BmHoqD7++198Mw9km0JyaKo6v3w/sxJqjfmch2
hrPT1Hp0/Y5e5RLvepoOGC+2Y7OQgTDrPq6o/iGJ8/JcEdJdj/vm/ajqPQfe2YbXcnbd+1cH5xRB
53TagiS1icvwrO51OcCB/gO0wf6yCWa9LdYuDM5/w2D99/HC9QREw20nCxwNtXGT9sj0I0X0mEcJ
/nulixeFw2wvtWyN+tb0u4xORkEjc7sYAMJQCexTL4kpOdxwiPKGMBoWsNwlZ//zpV+/nROi0lD/
GHszSu+KWrg/RE5xrdbADvfT4N+gxnqbpHcR2w9+8Rgtj27xmMXfkvej6b+ZDt3/9egmWMf7sv6e
17DVn8g8MMX3cX7q3492foohHPnsc7v60h3r9q6z/evfjzA06j/P8Zw4Hz8XFHJKmjTPP564qYFv
ai+sm0ddu2qdZNyBPMcMYYvpyaP7AsSYDmk+Cirtc3EhKpdxUYynIbtupXfZ6i3MZ2HVW3qh1BV6
oQfxggwjSZOfptfF1zJjDxwDgLjqBhfsXkWXttWpgtq2e+4Y5vxkT6YTUN8LZMP5SFw4TtD++tvY
1X74TV3QvWUdlhllDw3TfovY5oTKocKv4RLNRXdpOf1wiE0Zbee6NQ92RJJLW0Z3qs/Mb4OxHEqt
0l+E99PTXRqNHllizfqlr5vlvCwcFxi2UZI9gDF5ydMHWD/Jgx/fEDhUBEUPeNkgt9eZ2+rKHwAV
VRAxyRcZSMiynelCT+fyHJFvaBnlGyzG+b4r02Zv56YkzwiPi+Vp8bXI6GBRJ8WWYrFzpUF0Zg5S
vZAm/2Ok98cJnPr94icMIwMJZ+26OSSoS4aDBksmzIoKHzuahkEuP5x0qneTxigxbycJ5OYdhfj+
xRHk7+YT/JI/3Sqf7xQfe6JhG0jXXeQun+tMvPggJ78dQrapAPUj7dEap1+JoowNhXy4QJBdwxLY
574zhXJAF/77N/C164WQyeP/mN2hBwnv0wY7BqjRCY00XjONKLHH9qmnohS4fRet2TgY2Wwm+Ewm
O9noW7oz0yYd/I79n99sJiPejNCPkbh7W294Kvs13ASxu2XsjCl+obJdUtle5C0ZL4ffv/MvgxNv
miHJxfaB4YPm18dnLJn7aCQQeAipZeGUcdRVlZZk7ni6TQKG+YpYernQBnbG77/3f73M/zt+q6//
tT7r/vlffP9Sy6WFTNJ/+vaf+7f68rl86/5r/Vv//ac+/p1/3tcsOcvf/pGL9KWtu/pX//lPfXhd
fvu/393muX/+8M226tN+uRneqPG+dUPRv78HPsf6J/9/f/i3t/dXuV/k2z/+eqGJ3a+vFtPy+evf
P1rRf1Rf/uMCra//7x+uZ+Iff0F8asfnvsvrL3/p7bnr+fv+3y3D8aE0IBeybVqsf/1tenv/ifl3
C/sGV9OlVqRbDvNMVbd98o+/LOfvtkkDwsfsiCPeXvfDkK3ff2T8naI4kVg6SkJvHWn/+r8f/sNF
/J+L+jeA1Nd1WvUd7+bzxprWr73CDT3HAnKDGOTj7TTG7qyQcEeBhWSlHqk4ZV4td7VKCVeiHk0e
jyR4tcGNONtZHebeJE8KNDve5/S7L0nvhBErD3SJCMf0xZ8aFJ9vd+ZhCkGoDbnheVA/m1IrZVdL
pdGBn3B+hHVvbYw5uRDEh+xs5R7roXCPri9UyAf5SUJOv/WoiyOiTJFW0WT0XLz4SZ3/KHDIdX0h
IZiPf/BhfT2JvEmwMhZv0NEd7ESfTmI9ILnXBw09NVTGZdmzmlnox8UveeQMYZdV0TYX9M8iTMPb
oUh+FgT2OWZzHB1/2lilcaiz9GZ0/jjMrkuV/9xqcfpApNDJArNj06/9tAaNDPoleuXEoWXFrMVq
5MYqibIwVRoEAPh21RFV4UM3xA+EDbGoQ0q4xcx51WqudTvMWnykrU8eVZe/zpOqv8V5dOlk+vcs
LvON3TukMrjUyd3Ckht9sFFtp6XGoFpBPkgFunTYw4G0RHuovYiACoLQDt2wsI3qbP1m3rypOTZ2
RUq6UAnuYjvj6Dt22oCG1HW7C0cf90SwuPBBzOJ6misR5EhvysadLwYULzwopFK7OQihQRIgBYjO
tzWioxcq+B6Qod2ysIc0vfQssmdCBy37QDZXfrZoMRHwlJQCJGB4N2Mt2g2zNK5geTca6UaZnJON
GadNgJqj3+bdcIiGktRirR5CT9an0iU4Lxm1lmTsOTkNpGJllF4xm1r5sYvZr4hmWDD3EFCmmca5
M/Ybd1Wxsdsvd6m1UuBzopRG0rP9XH8UhV5v2C+A2QROzac2WkJLFhKeJ/+EEMHfM59lJ0JVfg6l
yerJWt48mPcsPRVCNysdNksDF5Ka/GNi1+c5wlEyB4s/CZW+qDTXewp9Ek0Gk802yoSPd3s7D+S0
O2DGk4E6xdieF3Zv7QfLPTGtKMj8Gf7LqTA2Yz2nWy2aX+uJLC4a/3+q4n/Rf6xvhYIghWJkIKsS
5ONbQb3pwmZKtCChxKczDAdl6e8ZBgjmEPg46VJG+ON2w6R61PDRIzYHgtz8OtkIhywzwyfALUsn
C0KonC+X+slDrHkqC8LrxOD+0pjptzFA1YTSz7ass/tGgRydSJwHlGNv9aXpNvWUjBs7AyXj4AvR
pvYPggvxWXDBp7R1Hy0cyi/+8XnnzgDJynj2IkI0KCQMLODOtNvJwWTtYXzfxmZIWZBQnpy93mg0
xT4xihhwR4pZgQTB/5je/j2DfJgxPhfH13fD0h99rk/LmJvg4zl36wm1AlLdwGp+UsB5NRPXvCHm
h1BqAB2xQTkzWoEHWuHVwZjKDkkesQlqKDaFfEBek5zo66vNIAkD8/4kUWcA+zrk2a6P9JshmZHP
+7R7q+pk8HKN1Axz+uawhN+bg+kFjqcu3LnIApWZ+ATU0+rrObguU4RAwrlR5AhvJ0aNp0zYL0NU
dlcWWdnLohHIMxQpxZ4queLeDrtuaJGQFQBkUYE98ny8YFTpTtLLACJHS6BFrCHJ2LlOupE9T0pm
rXbWWHP99Aozk4FtjM9UYceP8+zdkNUb5HVdfPfc5CY1yBpqp7olsqP4tXj5Aj/T3GmGXC4cNvSt
wvKcFGLjtZQU2zboeosqQIq+AGsHaSdzGDdadGoymKyZkk91T8/Pw1a2n3NQugiE4oOcx59iTvHX
qTt+VX6ql4b0w8VeIYm2jbY6G0jQlMnJ0tW4MWKS+4zeOZdjbJB41S7HTDok44wvmajWPJwCci1D
PRCwiYWDTYlNN9MDAtHuzBuaexcQ/33kj9Q6KW61kKmrxD2gVqVcp2ay1OLxlLF6juJenMouGZHh
tZiXiJzq1w6xaobtaux4JPjU3QBPuZbaZG/60iD5hWXHxsUNkjtY8+UAWrm1MCtZ5kJgTD3LXYky
EWDm4IV5g5ikmaKnYurRqbV7CrQABv16Sw/oOFV+t+1diddtno69dqeB8LjqW/Wz4KzvCp0UwqYS
YWWkFAPkizdM2gNWdmJsqSAiP/5G27YPViHwClE6vOsiGAUf+kpceXovEC9bF7ns+b2Gle78nk8V
j84ePQAoP0IzqOPIap+TN7sGL5sR+OYRi1iD3pNZkL44QQgS01U7y3IzDaUIUrtxmV/Y8E7Jq++U
3cNcm+RmeWQJRl58Nuts5gR5ItdtPEYnf77p1pPmNfa3NRo3trt8N/KKBIS8FZHeHWOJsStqu/5C
1N31LKY69HJV7w2pOKXEYff0U0M+erz1pjneqlzjvMbU5cGAAFMlttEsfULhNH1HBAUR8gqLqeVG
LAiSE8/lWY/KzmR0CsYkjgMAJ79ihKMlMJS9UZLLiFbgDbOiQe6CWlNSvIbAZyJS4skjr0eBjnTC
IjsuEyvTLAaFZ40eiOI+JZ0JqOlGoUwLxqLEJqCh88NqR5FQ9ToZtG17l/CBObXidmwbf1/FZBvY
EfsmDz40tR1337TNr7xLjlQnwMPW463wKY5rrnfM0TteEztvBX5G+JOhTRmRQOn4ZluXdpRckSzV
P/9hpP1/rH3RbtOQNSHpfxXnIEkXNc++FkydjnKXZIhwSiDJtiJ5aquUHCNp006P/Ik5qqpDw0UC
Y7NiIrD5upQq2zTetG8Ftn+823qomz+iDKrOH97muob8uMb01lK+wRqTId7XP20hko6cqW7wNNZ6
+bhxtPmBGHkCDwfUllkZI6JKSQShglYS+G1H+8qVt7OMtLCvcK7//s18nSrpJxhwEj2W4TYr8o+T
k9Os9gKJhIopYOXp72xc4r//FcL8LJoS79wiNkssONZq13pC/kOe3nhFvnIdkhAvHZ0r2vS0E5mJ
z5sUSZBogJ8DdrJwP2I+SAen3rvl+KqPCBTTYiGeJCp++WMTneeY587bXEr4LsXJshqyKZNKGofe
FHt/8rFXm0mPNXk/6vZ47izzK0EPctfHA7hWdmaSq2+A1p6WlxSnxRnLlHxrT00TdLIhN7qY/DM9
HmSgOZJ8j97qt2kWx6Cx1fC4LN0GgpR5Msa7bs2yXGYsEi4w0GCazB8T9DQkOwDUqlSFmV88O2ZW
BH7LG0jJAAmjfAdypw6sohNHh1zcXnce4ewSeFkSVaXYAjRNBDc9HjAQTz/NBi1zVVAXZdFk2QhZ
ZkJQTVauu5QK29ZuWajPZXLysa+fmcl9ojpGa2anTeEbjx067U0Sle4mtXvjOGj6rV0gRSjb+KKv
Snz2CRglf20wFL66gaRzwSMQn1ftcrFUMt0MBGXu6oY3XhDJvgzMn4Q9XYzVBLV+ITarzXNyY8dc
HPW0Tm5j52QanTyO6dkofbRXJZZOPCt32oylwpqzq5HJ5Ujgm3bhYhYKGj1qIWpZ4iylu7DVUs5n
GGNNByTR++c8FA4IhOoCyJE4c1fQ7lS1gWMUzSnRJIS2xjMCyyRGAI+QfTLNBqeBP59izyKbzbBj
ruNUvvzhdv4SbbDezmguQN1CEbFpzn68nedxJpwEb0roONbzuzHRUuP31nXNI30kGYiXHsgg6ZC5
uY9SpCaFW2nnxdJBwcsVlytbd2vvbvOMSG4WUUsAoAwtDSFbW/C85wZro8PEIHfihunCqffQTnrV
SwcIS9g9gWijFlqZ42HaaV1c4P1lkkuACSM5VQoE8UiMeg2FWP8h+jI5wjcoD1ZvXKZuqh+Mub18
t1Fpvq32NHwq9IR4SvsLeP7D6lPV7To+JeVbVohcIX6RzJh6ZuwSCdAyao6ul0Qna8VYJHlU7RqB
Z9qqNOOKaCLzavZBISY9zCmd1O4lqS/FCn/COPMzruxL+CHQjjRSZ3KbhExTPevdvOxjiEgZzMBj
iQA9KITd7Ttkcs0E9V4uMShwn6VkfMwIsmLktFkGMtOA7N10fMJodCkldqDYrCbPgwJBN0QlNR5S
EeNsJG06I1BdtTmEfqTKfrzQYOnJb2cW07eqtaZNLaUd2I49kl3i3goPXFRkztWu1G3kjXLa2NKP
CAp0ouMEFCBp6DNLzxjOoE7ErG/Piskpd5EVF0HSEFz1+9vO9L5Ifbjv1hH6nYwtPEBwH++71Ua+
QIpOKdCvOpT2KHA5t7X41hklYNI1q0stLwkYU3AmILcsJ863aSqA2JbuI5trFZrIPgPCso7mFCc8
HM0OZttPo07h1qTixTWJoS60+Blk7MqY5R6v8YTirFfbvCa2vE00MnpqPcz6BipGhCHEea2i+SaJ
4gdZUbpQwzUTGf2uAmngOG/pOJKEq9Q2M5NvDkXUMHrSqC+h9yAfG0vnDjjSvNEFWb1IRffawlWI
0XKHi1XvZCGAw03aa9etaAHFoOEwvRf4kHS90oIl06HzkqcILWiFNI0Qmh37hiZVEKXLwevKu8mt
BmievPneUSwItJxUwvs68t8Mes/YlyM0RZEvAxgNL+6CWrp3MkgDKYUOi2gwsyFXWZk/TbkZuCvx
P3F6BHuGRiP7iM1PkHYU92R9N5fjVivQYAo3SnZsGdZzqT9L8pG2A0LlQEv6M+8+Faa7q2zWFeiZ
brOpxteizDGcJRlnJAiHOalZYTs5AF6tJ4KVNp1o5qPNeewFap657rKtMes/lkLBtGpUoDdaTRLG
XcvNQSbFcubhkiZJOtmmo8YCDPxmpZEzktm1zmIPo9riXjaY0tIqJsG0zStoqvEPFo/nItEuNA9O
hSU5OekaIU/+55mutSd4cNj+SBOm5JKFJpWsqRpLktV5nIXUvjMCPS0lJX/EdpAecMjVDt/lizuG
PdEfqHCv8DBfZlaNQT1j06ahZMhSEMV5Cr6v1gh/NLTnFjk9tp8N4dFEcPi8hC3xmGl1FPoudZGx
g3aokaZVDceyyx1mT2JRxrh4ikf3TskcfU/6ExX8dbGKWIDVvOX+L6vLb7hJnnyPTxuJXet3xSYr
c0GymfkQdVOK5IFOnBY3rxNytKBjuHMSUhRHqrj41NlFFd90MzlkUBwCTR+LLW4ZIxyca6/PngXh
R83ER6XpYRAfNb452XjIZ+DQTsx/EQVB634dsr/Pg8rMffZx+a+prTnBVvWQibBz4wuDUNpgWBrU
iyaRbUkSX0EyfvZVfZdG5YJcYFYB+J692XE7cObH0HZv5pQMK4clCxAGnpcc8HaE2wPRvcdGXpmv
hrR33twiRzVILEkNFboEmwWizs6SDiyH3v5IwMKq3jVCt4iuc9O+xR2P+pp4X73BFRaLOtA6O98h
f68DZR3iDHiPMJCyNqUi9tPR8KwX6uBO9k+FrIn167BJExcWvg9MQF4pxkToMV5BvopP9nP0pBqq
q/hfq6CpelbppdoVdfpjFmx9lvT+/XHlCiYYQYE+JOyyI8cmE4oniTwNHuV0/OWvumIXey/EAPZu
q63DiW6Npr/n4YE3mMdbt5NGUFnA3GKiCFOLi6ERwh43/bNkj7Bp5zcqlm0wkM8dUOt9UVNE5LlI
5XXde6+2WZXhAj5gGyO+cMxy2NTg+hlN4LbZaCOamctS3jp6tITAw56h68U+n8dmpRYm1CGD/MZe
Bj2oyTj2Ev1XLonPkGnxVNIrIWdW7UgFRz2TE2oR++l+zLMtwcY3pg5zw5RQTdiWAEpSdHYUCUqH
yaNSRfTBEeU5Hyaan42Os6gb9TfXKc/msn2eKZYHqflNaN3z0Hm0R9dc1nZ8jSUjVmcslxWjVVED
mo1yLvRYD3tvtN5suZ/xGYOlLBkw4/xOl+LkVsmdX8R3jWdaYdExypM9jOfcR5ymyVf6ySC8u8eK
NJrR0+qwUaxp2UDi2kjPmzUsRHc565mC2B1hG6aR+NhI00Z/UrP49bQbjPOHZWK4hWpWbi5krXHj
6p7ipULHAM2VQksn0TKFJM7O3FoohlQo8sMsR4ujvN1QYFwSYxdoxHiG7POg2fWbuqzhYZeM8DvX
ZyNInQ2FIhRGZocaTmKM+fNaq3FtZloF4UkVd7LTrhV4PfrhEbm29pU22DDU4V3Tyql+glCqAgMW
wWZp3W3tzZDt2wNlAEpfpLSGauBmE1lzrXntL4wfQaSb5VZYo0Hi+Inmc7bRFu7UzJ3uSBm4h6FA
0Q8CLnomLwTjTbRsbb6kvntGZX83OzA+lI3RMPW+yYF0O7cosDQNWhMMPTyvxbyrKuM7jQdzAzaX
eksznUkrZ3Kpd8RXuoGTcM+0Th3GHh37SprTZhwNsgZnf2uOO0l8b2BPfLzEjZ1gSaJNDmI9iOFK
h531TWvJMGuN/LUk9hoTPYNppMJJHylXGxRL3xFO71/4XUZXmFulWKJwgULDZ/ePYDvlKt2zkn5x
vCYPHUgeYSwWGChJEbBKfxllTLtnIpEYCNBah1jIylE7tO9DAIKfhHMxbC1NJ+qj9n91sjtNenSf
eNxMfaZjTGUsKHQuatV7l4BYzifVbmbwM1WZXLmR/tTqGu55NMDsRuynHBZ90OfZxnVXsWIrvyGG
+C4W6tRU5aJA1zzJs7QfsuG5rpIsBEUgAuCt5FlZ3Nx9zSrHV2TOOclG83GY1T6ES6PhfhZxhQ8K
SEnlB32vVmROdmvhR4nSb0VpAll69Er9R7vm24g4mXgR4wl3MhcSHVfuyWfLrqAktGU4Uh0b/e57
HZFWj67yVFgz4aWqDLuSUVX2lB6HxvzWl8sPH9Un6on4+9TG98vC5G9VSNUHHmw9MsjmLmcuV4tq
QegIQJyEtJAs3tct1BHlauWWvcTejctDVC20Ikh9GNQvJ29pkxsQmYgoKJ25Y4WUAX9yaPEoozmb
8wl8CuCYAP7AlSYbJ8hmg/4QUxi4APSJqmCFxhJhMf3XVjZPuj/3uyi67jwKr4UiMtS146tsqFnN
Ie7f9sVtObYRCWzaa6En1J4jJlTgBEQXlGfu2EEazfS7HL9ba7XPQMZ5ZApAClbLvdHp6N/w18me
bgOPHzXh6Rnjd7kZbcT35tYmjRp+Ql5sUgckX3zX9Qg56wXTzERccmx1lDZXRULPGg4Y3x1MriUs
hzdJmN3l6CevBoqVjucvEtZeh1QYcAt8A/rL2GZTX9O4hXN0WSLR203kin3JTYrRgMzqpTxa632a
Cv9b7GvBYGMy0BeuIdvZxxnWS1X4z4OfJ3RkdELFNdY9voT051PubIziefIpmwo+8VhmrKoIxR0X
PjGB8VyhrCD5mvfGFh3D57Z3CFTzURQGrr4Dk0V8m4JvImZHhGkpmKbS7DioVu3cLLsVXfHkgtTh
tbT7qtRxIlUtyfUNHrvYBQdRLhM0wddYm7agn/NbMRrz1lcvVtP8MpEs7syyC/PFoZyLLpVHOUZJ
NJikBMgpUBVQjGmeGdsDUjckkXmLvZn6hPWLBLs3T2a7qyjg7FwSV4A1sZXsxByatfWjtLUTvmiw
oh7S5iiFCN7rVVhW8RCKBR+AIW7yRiJEpTm6dWz71JnEBsZTYQI4RWZnlfrRDiwbFJjpJg8GNvv4
/3B0HsuRIlsYfqKMwJstFOVL3m8IqdWNd4lLePr5mMWNMVejloHMc35bmEZArCUxhuqfrnUle46z
p4hb7Vgah6iav9qWJD1nYaMUWGmrCbbcdjT6K6Y/XZKm913bbcVs8xpKN90RDV/vOsJZwgHctEsx
xdUdvk3DOM+jR6Wk+qGRJtmTEQbUKv098RP5USh356PqPdlFcpvYUgNjsQGScO8FjiU/4rUsg0bz
mrBfFzxYZrqbC4MoDONxEea777DN0WtFYGyS3Om59gaqdnZ0kl/HZAXIcYdQ89KPJa/OmgSMMHjo
spLOFqJM/1RE+QX1zGrATzoYtT8zUecRzlVrbzT2S62y34EkL/Y2/2qJKbCz/toqh4mdVHcmH4I8
1/aXTei+LYyec0YOAbA8I6IcPvjAOqiKwgrG8oX+cC3oYQ5Cp+OJaGAQlrj7UPShsL/bj05CDJsp
qZ223PY2JL13Ak8P3UoGhes/i9GfA6VzQHTOJd0cteOMl7JeLplugCSONLQUM2oiPxlGEjc4sdih
GeI5Rckf/4XFilkXmyyqQQw5zdIimpyhYXjomxfEzzJMGvdL5USmZ2QzVkOEySW9xaseNThEdnZd
cUdMzsmrcOWvdjLxlrQn0ZF00GKHHPL+e/JJ9yvq6ktqBRPRtsKlJF5iv9XCxK/Cytb/5SloZllk
HSgXxy02f0CtfaxjAW+m7l8/pBl3QUEbpDxqPG96qe9XnygolpL3ep4JJBMkd3r0V9fx0rOZnYbN
dIcdeJPUf5QyNVgBSzx7Xv2QoJMhXgUR6WRZX0Plk2OLVpqhVv/BrtEG7hKbnBoDZVjwFaGWpe+r
rn41hRahJNJWkmcbTN3Gy3AYJfWiB2Awf0l2HEJix47VStbaWOWfXZEfHbsgHXV8Xjr5pMjm4nak
csNesB8aLsSvpsQ1T/AaFJ7Jtglll6bylWUSIV3YaPqwq0lQP2oGsQAY94KsGW5urWOXo3FWzuMO
PVvgF6hiWch2k9kSc6mKfJ+Mwx0YgL7Y/6S7yiBtc1K9ZvNS2HSTlzhVyc1Rh2Wa5THrs9BeyTfR
+TomAgdLwVNabGr4TrYUhqHvOOS3cqVWdtL9+lwZifXW+v7fkUcrcFw5cYGafF8V2R787vDE9jgf
6tWiNNu0UbcmzhGyy2UbN4KOELkwM8tsl3nUbuj+zSIhs5aVBnL8DnXIb9vM3Ttbx1Wx/g9XNM0d
Sl1bEYyjFu7SVPMrEs3CQeQFicm6iEZQ7J1pzBRVCPGaGB20tuG/oO9RYWwvP3nRPyT9+mZMeXnA
SMFSlKLxj1NZBeSh37mMX0Dcg4ymZeWFs+PbWNFeWnl9HEnX50Sonn2qLBnLQ2f7P1cVlLU8TKbz
JGam2yy/NynSDpuspxxwGe78Fx06OzLmAUd03R9ni6qirhtfEwqM4sR0L9myhlM5uGEjgTlTXtqu
RU2QwlkdEZUSWkj3vJVVGAXX50pXPOn68l2gAu+1pMCHR8pq2VU/+dZhnRbGSeigkWIyz56lagaX
jLhLPjNts3mgikNujvMh9emcMPN/o5WOO6eTZeCKgYalpkI93N5mHKqhtQgZMCAlFuVe+uLluzZJ
/qypvzAOk5AjCSO8mO735PbZuRAxRmXHJkkGHl9wyqqmA32V4yMX5le8QRKF3WQsGzZLIinnwJYv
FIj9tPX3isNkV/vr19zGj0z2QzBvRYUk+O/H7CXNzANZRjMOalptSBrg+mLU8sCJ4+/a7C6WXVB6
bjVFKEcSVAcyD+oMRNJFGi7MG0vVa60tM/dLA62V8jNj9DGyafurSof71PUpizXYSE2D2mCR7RMb
LsbNN4e4jgc7fXMSRU2NrEwIJ/fMAQlVn4AGuuS19OYvVR/BpGNNTmtnxa3j3LUa1UptdY/T4aeC
RB6G5NdvoD6s4dHSSsavMmpT1quhC2enJ/1yhMGcvxq0b9hmuwWsQG48V+RNXIiF9WAKYl41b9xX
TfINe7kcKGI/1bW4V5X70Opya65Ceyz05jo3mQSGCeeW95xK07XmV02OsJe4BDnG+c+cUYvS58lN
umQiQS9xTz8MyrpU82TdYOZuK9tFWCDrb/2iOGM7IL48+b9QniBMHDAxafVafFf7gqYWj9hbQr21
tDEC5iE8Mt4hH7dTp7+XGslr3JJm/ux66r3O85NnLdmBEEKer9LcKxzMAVywJEq9e611ZQai6nIm
wBITTfeLNJ+nV+fM91NV7ovaeSn6Pg88ykQ5w346UhUmRfoG6EFVUPOVT5KpvR5/83K+uZV7JDP4
C6TKuLOs4ge1+A/4NR6EGnIGS/K6K+uCAbuuQ12x+9u0YTEkkn7NtI5jkx/9Wn16aLSWXuy9dfzD
4jnvDWv6MiR9aNOa4OIlpPdCHw6LjDDORWuv+8ncBGHaP7l9tDaMf7vRyfd9Z/Irlc6u09rQRZKL
hDv7Il/RvdmkIwetKd3LjE0LXkIR3Sa+5k3RZ7oINMQwdEQJ906YN/mb7awntyJx2DF5dxGEBXVC
s4HtaePFlt6pKd4pa8gwtVpZVA47pfAcjm33bWiy3A2rZ+w7xwTxjiPd75DXCJOXsuVuM7o8NLKr
3oGDKWd8JYYVQAzlZJhNrgb3f8emlQZ4SGc2TD/ZOTZlzEj0iPwZSxWV2TQHLcFfWNDEJW9KsugU
15kZ2+axQoAfqHw8FhLEOE99sqbh98GvdJp5E8UaRRqtsZRcqymzrjDU3upwvLHUgf9qz+DgnSCH
mzEoezLI5yb/8BW1PeH0YYqpKNriEKFEDep7qYEfbYTrCSiYoErtag/9NVsJsa04DIjah+XPJxYW
4uEfl7rEupUIM8ygmmT15ceKDm7yQnaTR1G8Kz5d1Ie0G+c/TNna2Z6lqtjptWE3K9402szuXKu7
K7V6OORaLs9kt5vB2tMlUoJTsBi6QddbN75p77wkwj0bRkeSX17uB1FtjdFya8NqgVLSBqCjHZ29
Yxs/drlaYR/AmtNjZGhPXBXXFWPb3jxYnec8jlb2mBGECyBksCpYG863czHpg3TArZIQfZa6f8gz
f3nyrfbk6pzEpqI9vNNByhakGhHWApa7WNy5BXB1ntyTpFzuhWZ3+1SW4JD4eL+s2s6xw5U0PVoZ
dZD9hyDlqaoCU+h9KExGQNvfZzS8ZzX16sr9MzoY4/yqCo01/6lT7UkN1hht8BSXiLyaMp6Znp/0
BvuBSi5oNoJssJq/w4RMv4uKcvpCAlNFGBGTAKrRvHJCRkRKqnCMjEF8UVvyK9y1hz9pkwj02gKh
7eXRK/JLb7IQjTMZCCml1wYlKDQ7IB9DaF8BdW4edq4a7zC5lXN21vS+bLvzyjQCA1LNO8+TZ3OY
th8yCJndqLvS1v+ay/hJ1J4ZdKXlhEJbjkDvbxkPz50hs/e2dL64IJwdOYz3lclVIXteMYd0YlT8
xKfZNPFqiQvy1fsaTTMud73Qw2V13rJyuiH3R3M0UbIuu1uGUynGFKo3BWcBTb31KB66Onkt3T+x
peFkpxk+nV3S1iqL3DabCaLkB9XVGarT2L9q872HDZLDFNtmnmt0kyAIqmVPDJcrHtupb8Kp50/w
lvRPs8i7ic67g6dBYNS95+zMVScVx6zhwsbqnzATe6+J/DvRQLhrtKa8Bg+lU1dR1lv0sc/aOxVl
y96pvJ8eqR+zDJv+mvGnKKS2IQPWXxjbF8cQdAjUPjdT0Uc9YVMI4z67hXzXleoZXhJAP7/okEIO
BoMO4C2GWi7/Syz9Z3uYroN3bumU3JFpT7pApRjkG0ZCWuNrvYq8umcYcF/XJOGZsKilKF47Z3hu
ik04EtspH2XQa07cECcntaUweFChvvWV5GlHZZVLE4F1lvYottZOhEb+iR5oKbut+l2HGegZkZMB
Y9tCCKw2jt3JbieEyRP7cla6OYtRNkQDI2fQWDl4tZcFvWXU5FkLrL2GeF0Y2hO/ttFcNmU01zqc
d8u9VqxtZCngEk5vXEcTdpyl6kByudWm2ZmjLF4POocMEjTCRjH7eajnlJbsdAcuzK6QoZpDfl6k
k+xyzacKh3wnH4NO3CcqGueJQj5eBZnO8Qlc/N5K9RvGw4+sHttLKkgWb233ScjugerHad8It4SV
ybV9Pq9cbW61n7VWRJzBp0m/5Qmnsp4siLS4MQn1udGz+17JBdR+/rKFn18zUjy0hWBRgun8IJ+1
HwkseNSVlwNOusZ5TMczR9x3gouGwCf7quOOURtXQb8ZNYNKfXnW9DB2y3dMPitKWhTxbs4gWVnx
XUIiXuP0gWyGfD+N/rvSuABM82vsBSn2Pp3HsPRYfxP72KTq6HbrEfuBf14G78+QlS+GR/S/Ojqs
qxnR9QC9bFKUEJHEgmfQPdVz3kWILaizNSq28oMO5xQkDhgzqNEeMjaNLOoswdijZPRf1hXnJJNn
ragTdJb0Jub1xZ+761C54jCbmc0tXYMgZ3/tQW/I7HZ+utxxGVnXuyImF0DKXcNGg2iNV7bt4ftb
0/vXpRVEsMVXB3kHbmZwnRCfA3RTNtpBps5j7KT7UgmcrVLCMOAEQTiUs4Av96wHKN2Arnf9Iop9
P2M1LglqIcirJbAMe2W8mdt9e6SYOcmeMCJefbWceqnZd8Cix1EHo7Ht9d3wyoWJ0MGLzv3cL0zP
aLTOmVBN5Lfla9sUdNCX+uuwdvplAp0VxKCS2dz8WgXlIE2Lei6FlynU16qZP341MjYiJ0MC+5mW
ajpawE5BnfcnZ6Q9sGza72JZoTGStoXTO1Uo/aDQjgZxkYGVOPAY9fxSeOIqchn5ynupfUhjbxBA
W2AP6Pl5pn3GIISgZGx06ZX3iyMnh8RXnlHslW++CuFSp+d8oZEAhJiKZ5WyqpQ8LPxg6BVkaNKb
v55RvSHzHLi0GvNEBtwDlyekcgqb3sXenTO2/6x1y0RmhhKkrJA8w7Hgjaemwl6Fd3kIyf+YoB2c
na1KjHX/PDQeh1TaCWvs+MfJi+4aNxZK84GfnZFvlA475/qqisE65kmEczGPrNLSyLsXYe17+8EC
YfCm5mlEZBNag3k/tsOXD0OHBsYIlLaCuS0KKow1Waber9Z8D5hDySREm1EPe/plfqHHYHMrY69L
88MnFzUAfvyX2t3V74rsyAwE8mggv7YNrw/6kpwm047aTaStIIYdpO/hRPNCSJ3IboJu5SLu9pTM
viaF5u+5QG5pQh4cWmLuvcJ5YOC6KOTdweAZtLhzgMBQwAMOC0aAesNtXZ3tZS64fjLKYKHmyTuq
VxTIqZW/aG6Ein+4T5YWFEjwP0kebb1R0jCVUVKt1Nt382vOwJBZyIDXrP5oLVOc9WZUYWuAfEn/
SHwvwOsUA9EowKi+6qJSb61TiVDThfbHtGvu0K/sPcxwWS4Mnjbi9HFwZnB+VyXJZ2i2qy4lEF9k
Ld3Ii4G9RDxlvX/UvXPG1U9wQREUKZwjm98R3+8ndq1/qE5T+PH+4IEtiQb4DC7I9L4GEwol7lC1
YssAzvrkv8Y2IsW/fm3yIEvro69WmpLT/aLbB3dKRvjzDCQjxjRDLwLoQUX/IWM1vULAeiX/unZe
eesOo6aI3rcKCidUsTfNjz7tXzTMk9iLaLG2GmijqnQ/iXjId036r2469SkX60QI+svQLdY5Tgz8
a8l5KCBpykZ9dyb2Hbc4qe62AtdsgqEcGTSgEExVntRfZa6QAesNsWe9dTKXp0r07wjUfhv+OSyr
A+3M7dHJ/RS1mg4V1aCC9AoQwYX8F37r01G17Scl9fXJzFp6Ihjhts9hZX5ByT2ROcZ0dXWRAi38
6JRv5MB+vbQHJCRNsosHPj7Ni9/Osuf9GKfcrf2z9C86fzdIEzrNfSm1eSAT6dLr2iFfswdbEXcp
NJDy1F0osSI/LpxWk8xCvXyUItmNoJwh3oYa5yRbS+qZSIqm/pdL7AflmBV4+YbhwTbYX8iAgioX
0YBBJ7INQamHHPbz/K6cBWm7zmY2ruVBDj/mzHuttz1VPLCZVCwlEZj9MxQ+nSreTpNTf0Wq3WSY
xZVmpSGU+Cnz15el0v7E9Urele6FmTtrT34lLhxVzHtZ/tav4iP3+j90sNd4628Io9+p4H0sRuAi
7KpOUBhmuPaLS6AKPwlre+Eq2VIDPBYw7EBdEBGSEp2032nmH/gnHdQl3lgR1uQux8nglBXoCjwn
DZ05BRDGiS2WlUdiislihyLvpTwVaVpH6UpweTMT65rIU6GVYOEwm05PIRPqxYBg3OKgmWFngIRY
fgJ3v5ofebpetBJSsBEFBKbjPbozc7RNwUCwzLCHPvFbDvomeL804vPAcZv8iltLjWE6dUerSkfC
EJY/yD0Gu0DvFhftnsoQP/coTOqrPCgX9L0EDRu7RMU+UhN2Xc4Xv9SjLauR4xroMdswQjjus7tl
MA02RReeXLrzUhUvpT5RYLvW8HKx85gofWePIwCaZ/aMNET0eM7Vw4M8anMbmjPt13W6/nGqZo/a
GUgABdDO1Ad71/krH2XOsESgnLNlbhY30gxWpe373EcNNpSf+EQ8ni98U0PtH8waBxnyVqhZGmsr
DU3t0NNAmHsLqTXo3FihmaINxZNTvM5Q4eBY+hf7kRgy7iuHF3Aey7OPtCgiIQq4rdbeqizu9tz+
waI4qzsJFYM2vQriqrjXYvON8/cw6Ejni3r5ak2/QI+1ujsUgLS28H0Gs40W1tAAe8vae6LYaDnE
KEbYTPsF0NdBWEAuF0QiIF3VrPbTSBcFmbs8Wpj4Gc0G+ILS3/e+uimH/icEYLdq9l8x65XBnHW7
leZfx3zr+gnlU9bwpZbsROhl3Uvfzt65mz8qsmm2wOWtjo4hoNWcm4hXLUpcLY2U0Lc/DHC8/zTJ
yIxa4iKa0m7RNJDwXnHz1SaCQlKuOQ68JeznFfS+h7l2JB/cvkOuJgcpYTYW2PGye8Na3+wZ5EoG
+hrcUCKnkk5xRI/KQ2+gp6wd7pJBAEBZKOFkt9QHqszufIXnkCVL36kuiZBkU3dhkG2TKBOkOOWy
j9sXHJ4IBR0kP47NlhQTM4NrDG/DWP81RfI+m97fKmYl0gfoqS5vXnrEMlR6tJ8O/ILSAFQyTxCD
a35YZeNExSKjWaPth0E2DhsP/ViFPybK4MG5s8wk0NA1lZ6nY0zn55dYzUqVg7Gp8YZpbxOezkRc
syar/9OGJpQvyG9Flx0zg3cw9jhmiKxmqmnuy3SsQvgwsryR7pdGA97DW5tOfJs1usFATvHdUHcf
boJiIynIYdJaFGysgTmCDx7NE8zbQksh6IQBKxnoZmdFmFn4qm03i9rZPMoZJNGA940hhAmA5Fn0
spn33s+DibzMKE3tv3PeHyezgFmnW8Bs1negFj0c62+3BFCbp3q7ZTN+y23RRlXh7iepRzVcJ7Yv
IsIUx2NDdzptfX2LUsm0d+QjQhfN9wbrF6WuJnADGz9HN5O/7XYnE30GSxqt7PEIcLmi2Em5eS88
5gx6gPOBg9AKNS/NLfbQPFTEVQ2EYFykoISKaGgk+miy6kbsKA/ogkLCjKF3Ecdhi7uhQQE1irEe
ANyQnmWkhtV6s82zKLGHA4r5NPQl2jg2D5JB0/yKNrryiwtihviY1/2zM/pGaJQIZMgLIWaTxO6p
z+guMzWd9s0+w06V4bIqWaXtsobXTuCnzTHeG5j0NGeL3PQMlnGzeyc63+XnD3rRGP1vqhtf5JtO
GHMXbZegrbOlc6pHDgEVOMQhIwQ3aQtOmhsx6npQdQgVBoPMeYWYINJH436J6S/BHpSlhE0Q1CFQ
NMh076LpQKnQH3FO9LtaJd8lIqxKmBb/FTsscNWHYS5mRFY9CTUbkOLBSeWkXWKvkLvEFU2gLIDW
QTdgPZCqRQWYT501WJ+QSe+8XsmzLbRH2RfyZvm43NKEJdCA80ea/mFgZmq8Uka61/endbV4l+2v
1aUGQGgg006rXrqMpcM1+M5yVz1Ykxp3CqkTfreBNcQkaEd/IiaKN5OLlBS3grJ0xRjugd+j6B6L
7eh5rzwWw0Ufnv052Q3S/6n18XMsIm1GcKg0c96jYA0p6Wx3U1zutQykIq0leFAznYXwJ2bkkfAv
AlgXRwdlVROfTxDnE1lMCy+z8q8l578xipcV7tEeZxiJ2jxQihJ6zXTUfKfBmK6VrB/sJOhwHVjs
oChQoKF0fy364n3IAL4wWWi7ok6QBNGXIZLyIbF9GA1waAbd9CBcQqo176Qn46+9tMisNsDXLjfp
kd78OtX6mMQq4t920YxLNFwtUosV3oX/x5uYinE8W9NAkHH3wuO4RpoGlNNgBue6chBVyB+3Xz69
+H5w2LskjRO7mnwLmfhbpho8XYkLsaUHL0tf8Hfoh7KDBijZLFL6EXZ6JoZwRVeliJxmseSfSnwc
5TIs5AklTVT6Gkh3Rqhj4Y7MMDFEdBV3AplbdRGi/UxShPsOaytgORMgFynUVMn3AFxTz6/UQh4t
JtBoVcgd4tIazq2TxoGExhYTGc6Zb9a77ISe0goXM6GNESRIrK+uU+ZEkOffXQpmlhnG3h5aGwci
MQHECw9RqbhXnKKFg+u8x95FzlEJe2esVcakWx3KqaMhKxnF0ZQN745Z/UVo7ZFjm/0Bh3vxEOiP
iPVurmjvO+V+sOb9w9iJkgfiLzTGtQp81WpRVowRACj2ANG9Vqn+MqQIP0cLO2JZ2Y9elkOz5v0N
tRgp14nTsewA+RoK8MkGrDXM/uAjE99sm2PID3CijXl8yqCFjlinv0vf/nUdI0xr+9IV809d5v3O
gKJmQcCeQxTyDnH0N1+8JDFxJUWaGUhh3dvrvf5PtmN6LbPqy4mBH12UbejG1Pqg+TQWXcA+vPu2
zB7SCeTMI4OPx7H4iBeUxFNVkQohvs0YU/Hgc5fl5UbXFvUDRbz2i5NSAbNU/zIDdMbWF1AWjyvQ
1lhdET9Hs5jPNMb5lCqjRBpkdtdlFRlpWneivfcwO+I37fUqJAFoiFwrBxHI2q+5M80LaDTwq+bd
UxFNy0bhIkZTztGyTorVGs0jVOVkEH2e9PVBW9NTSSgnc7cZkk7mI9uUT5ldoGJqpvyAOoYTxCTe
gpjne9shumFxC+gpXIz35jjczwiQdjiRXgdMDTD+KKyol/APaCUiTq18P0jn5f9PYNjjHdi8v3MH
a7mkki8DcnDvUnZyojujjdYBG3aK6ywSDLcrzSJ3xsoDSZsmeTJetjNs2NkqE8ibBlDeeqQwtedL
azpu215Zd/RJGY9+bJymaiyoysbKpYyl2K/Oe+Fa2qHQRYZ9kk4VxWcNPFC2GJWWE+8yco7YYzcM
aOsQsRs3Qq2xm/oaNKUlVSRhR6o9TKn0QMMmydrBVg5M5JrvpHLZEZYkNHTsbLCIMkLrn+OXWLeO
wfggbWOIWmoZQ5dPxRjN3a4WoMlYK6ydzJibDT1LKdNmVemLZ5uwyKgk+yhcJhM5w9BcJz8hI1KJ
l+ZbIAqOUAHRdwd7HBTdXZESmbak83MKinIwVtfdOzJDDZdpxgmV6C2nhYExbF3CoRvywI8R0tTQ
mLC73EJ+txUi9AohY62YvEhISKhzCgvqIp0cjVibaSdjy39YMxPl1cAhR6o42n/l+xHIJMHLcH74
F2irB0uw8facYl1pkTtSfzkIhvgV2DRqDYb/dM0z8kZLsBJLr/YdeTZRm0/XRhP0yhiAeW3vwCS0
4mjPDidEM6+RZeT1S+qL0Ncf5DDzbvf+V1boGG7z5M2vpfnoZvrntEza3uvat5HYg7s4w5hceO5D
ATyPXJF+sUU9+7SuEuMF8MqI8Wa53vP/qQmd7f0rbVZRQi9/EhD562gYmBoN7zQpjzMh4deqJxhq
BgmglCe/Bfvv3dowFhgjj8sgWyeKZ6T5ix5zmzPOfuC8P5W6vFtUkz0gMGWEXtk5ii1TDJFO/pWV
1a0W20S+dt7FS5CL+GZ7LE3deZ/7NASyi/9ahfoQOZukYz5aJrISrcdjvUjduPeN+m+1WaJBTZH/
q2q8k9gTMmOmHVKCWLsVXRQZKTUdCL7OZHB2N+kjd5hOtHZpo9pI/agd1ivm9uqNr0y7A+s7GAZN
9avnfUgoWib1AL4PXgsZzqVpGAKnwnyrR5ei7MJIeMn4JTLsDPRd4l0wHshW6R8qbKk78s36KK28
gVIGMuRBDJtLnSR7RKotyOBswOdbL85sTWGDlhaZ2HgV5oxJYhb72ktB/UYvj8zmCYfC9MYEeW7x
u+E2cOrrbEBMdwjCrRZQaHwls8K61yaqDDK2xURZH90Ic9rO7F1t5fp00TvV29rTpGfHzVOGBK5P
W+3QGVl56PJJvKWVsfNJ3FhzNASxBueIHwaWDwBHHAng9J6JuVruxmGbgVx/iFDHWBcdkcLCJvhH
bNYB8j5hjXrtbvCr7D6lmZlkLi6HeW6SY+VsnNdo1bsYWiZKVvGkJ2K6Cfx7h0RRnkGgfeEiAo+5
Y6+FwaNFu2EazjER0yRoo3AXRrUzzO7JXWm07Ys7ve4oJFadzeDNW+pjfyaSDR3c/K8ExE78Ub8k
+l+PLr9Lj5pvHdE9urOp70obBx5HlzxlC1xSU38SyGyeCVuJSsJHPypU2a0Oo6nVVbePK+svLWbd
gztMW58hGd5qrgdgK1s9jTmT9HSZfXDTttTyB0CYJGSZ1mWcn0Gj1NEmjibWnPypVu5Vp5M3YCHR
9nY+vSymdSnYZA5Kwpg6MxkPidDfcHqNx5J+QMuZtQMi6aNWKP0qSDGyoFXQdFRrFC/Ld4eA/UaG
TXPUpsyOaPqJnElqn5nVHqcNTbTtqXik3M0IjFSrru6wlqwW2bD3iqQ4GXJhCzPi+sACRjMIeac3
n1WsFb44QAGxnFoQV702XSYPZenA5qMb4jjzLhwNRPKyd3Zea+cHsjeMyNyU7Lx6e8wNCOkSr72W
zjpE0s7HvecotZNJiSBdj01mqjal9ZXwZAIy6ultnpbsIammO9rLqxNaGHSqjM99b07vvAyFVMTK
wszMmYWYc3u48qxHeNWQil6IdC/n+pwPXXvh7Ts6cpSn3oIbsGNfPCgYQNJYloSsP06Q2lKfZjHd
l0ga2IvIlhhI8xaD7fES3dBJ9ccGSPICAP9F8TVPAYG2SBM261nxJWNhQnfzPOFbAf/1mx9X01+z
WfK6VuWHXHr7TCYCEJxzc/RuvqEaUVHsbujbgCKco8V8EEX9qRnc5EttOteVO/toL1lyyIfpDvSv
INx+aei7N86L1blXglHbnQu2OKaZvIhZ34S25ELUFdOH6WTPBZ3NJ6p/UJuqur7XfpyVJCIwvOWa
KBgiICloNoGDozWm9FlKGGYzmx8tSxRntzPUmSIalvkevNGqS4EwAONUTgGWRbcWE8Z4nVZkDKma
k9vY5v6BCmcmTzDIEqKczIg6n/09RRVklWlftDTDaFDG8ZDH3qnGZv9WF9gocQBs1x6umqnNXytz
WKL/c2H6Er7HNIh6Ic0Bp9MyDTcgh5TS5faawgUEDoBHUGPlLHoaKJbGqY+rubYXilL+KIamXdJi
Dln93CdYiCSgusSUhtSe9AmHNc532z/DhKsxZi3qtbH4nvM3andibFeZHk519tObPdBlGlvRAgiL
7iRlOjfzR5K1sCmy2/EqOXgQ+uEN13kwKhfcLrcebL9Xd2RBNWGbNijxGNYpHAFDX3LIX0+hQAF9
9RYgemLUpnP1OpaN+NuIjHje/J/vG7RfoGQB3xjmT7HwmMUl8eFpuIz9e9+ViigqKA+hWX81bBWw
JC5jx9buI/Dt8VYwCi8L0vTm2RXCfswcBUZi8BOCI8WLNPGKe1/G4BaRXqTr3vJQg/sSZC7LX2xL
TfcW34HTTff89l4SCVBERwiyR6J9e92+k5zqAQ1MPyjhdguGzC+LC7tPnB9Ybv1VLP1Pyl2LN+w9
xb7wrlTxMnUtnfcI0HAXjPDorvcBWb9bKjRF9dyvH/P2d0tLerGK4/GclDGpGc5K1i2RURGSVo5T
wdCmYeT4Few304p7t5694i7ppx86ABmMF+FHI3DnxWrSgR0LkwuFSF+IcE6laM6KasSPjmpfANwV
KCgvyGx4Tg0fZb5NLWTjQ9827TGJ2+qqGaDyupsD0iT5cGwn+9YAXD6u0G9XzToQ38auCpCY1DCG
G9DocOOOE6101qY2t5kDV7KkKVRHtAl3SvgRoITtn1uRpadqwrKSnW0L6YXfT6S2MNwFqe72OEPG
D5bxFFWs2QTm0rUn3dI/4roszvh6yN/tKdFC8XZly+e7rip9b1BkELhuC/4OSSPqt8xuEzLVOGTg
B3CC/cfZmS3XjWRZ9lfK4h1ZgAMOONoq84F3nkheTiL5ApMUFOZ5xt/0t9SP1QIzq1okw8jutkwL
y0hREu6Fw+HnnL3XDppvkT8ZR8O8hLY10pclk8fwLcr9ooxXE8AwndZEq6ldVPbuwexc7nYCvyjw
b/Ja2nctsibEWhngo2wEIECEGc/qdwKfHSjwdNXsUOMrzE+p1902nqevS48ntml7+C9W9jwZmVrh
j628ERoGgtuxSrW9BqoMtanj8C3UxWUybiwOLOfU4HY4lrfSoilfZbRltmFGg9WP9NMwMXTgVjpL
M67QthnyB3BSJCoj3TjYMhfkA2EnDxWmXScmcIGeObUn+sDi0QV/tQl4WeuhNFgdqVqniiEXDl30
gsE+i82frAvmubT9I2GNy6bOVjIOnEXdflMW7tLEB9nucSUXxGiD3GmDX4qDBIEl8tLu/hRAJgjn
iNNtyBHswGt4jV0ZCbKpkL0M+V1bGfYmtcd7yjVtLTFtLXsmKIsxzfH5mjS8x34WvNQQWHmTHFs/
KFY9end4LqjDrUuTsMPtlIvnwWywvwj3mtcLbRhVtRu/YbkNxuAgj4/Lg1M/OTjuLpUYacymBLwg
R5xPwdGilBqSBs5JcYAcSSePRh/HnFPb+KT14a0aZ7VFMzAjo5GaWsg6Ut9emXaa7Btedno1NRdu
33mr11d64jAQbXVwKI23nfTXkoljIUqBB9WziHwni1hkDFx0m05ZYLBcSVTKNmNa/+gVeAn6m3tl
5HeQy6O93g0eA0dFJ133v9mKcgoMW3qnOKHQyZv5LvUovG2YmvWhLWpxo+eoN9oGh3OA3oGSmj0K
sPoyHGvrOMqIVikGgYFqYTlEcHCAA7zetqrVmZxo+W2Z85jw6MZUxsJe2pHGI4186pBH/dqsfXEz
6nx3+pCFUMr5SQI7zajNFhU3flEpfbrVwhE/YbCmDdUhGrwc9NE6RgX6CKSpwSW6O0YVuo2kmACP
VWCoK1Bbs4zOqe5LSZ5N7N0HVXXJPuRaiLfrkCI/oIpZFDbZ6L30bJrFkAnxeCC7xvLuUja55qFI
smWFfDUaUE+ZEcjrRmpLDyHXRk61fayTeNeBQ9LKzjxXwNMWxbgnn8j52aEGk9Uz08HxzxR39Uyq
0K7wj1EiFw0Ecc/bJ0GQHo1Y69Zl9S0s0+bkZbYJSszjRWMz4E9MVFh5XNk3ObzLi1E01V5gJCNR
NLhxYgyhRJyFRxgWrvHYNU12rRdBvE0Go5rlmNetNeW3vWOzCcKeWpZ0KU9VeFAm6bztgPZ7PscI
e28VvfFD9QyfNP5CtH7auZm3j0g3yssy6utvDuKoZSRHed0FLBTSRAA21jczVhhdm8AvHqT+tean
ey1KHrM+yX6EntgTGNPu9ME/GxlNk0KSyET7w5sLlc/5Gq8UxjdUJuTshqMrBCPUzMb7zHm0paHj
YOBcMMmj+cO8389cDkvBKq/g81OKxpsOWd2iReBQYN/wckwJ1dhvG8PeBvD1Vp37bZx0TpHoLguh
NlUbQRsMR4PZm3XpeDK66AXoCN5fy4aT97FAhLFq6po3bZn2X3wi9QHs5yAkskmDg0PjurrzjrKK
Hsc1opy25KhXt4NwrjQXJwmDTgvgxyIeHJqnvL53GrC+RMvWbNXhho9WujK6aUe9vHRd2r3ZSgyR
dTIiNKGEi1SrsKWHX9dDvssm8x4Ni7lHbAdlRBu0jZ8KeeV3BFfXfv7NcIDaQQOoD5rF+N1M2QXG
yCIRzUz2atdIMz/XqV/sU5N10EEEODCHe1aIK/dUJkxgSnAqXePSuM3YKEb7qkrxD5tIzpavuRyB
NpirQAcHU6b6j85KBvSqSEQT2efbkKvci1EcXn/UNp/rRNW7usSzy3D0XMXjcInUmal17trXE34T
cv+QpfuorwyQoHXWrRqqkUMqc+Pk1BP06obwhI4styvJfGqtrAz4nxK7cnToPLYoiT9fl39FD5UK
mqV08BhCZ30Hz/IY/2U8txoVHoyAzusJUIVW4tKwEa5v3tvMlSoH00DU0CUcqY9I3pwWKoDg9Pml
vIZovXlEJO4e6CSM/oF5fQCZSlVVYW8iRWpSRmcTBL2FT40CFKGPVmhObfNkuLq4Uqmr7ZgxUTMV
98KqpsfUF3dTkwNorZqXPGkZGMxjHTWLOZPQ6raldG8j/BxfUHM+PtXzJRMI4NgEw7jSefftsfkj
sYKCcoF6qt0xxgSsSQ23rNq2XlMJANaySrKm8MvRwfzeaMUB2tYqtZAb6H7+3Yus5kJD+L1Ndefq
Fd9sow5YUQsKBrqo2LQ0XAtM60un1qolX8d9bJPEjQ3v1FhldQTX9f9zH2x9/kwE+Qh2rLcgoNTO
5URxTfNCV7Q/Bm/Yos08RVTIdDs5pw46vjYmcRh4bRJvE5TOWWm8FDXH7gRCq8afPR/unU0bovhJ
nfI7B1K87R6J1541BEfLbn98vnr+aiHb6MBs12B7nf/z9qptGSDLLiHY8bJwGDRhAONceLLKYykQ
UgWI5hexjDWILfSbjQCBvRfABlEM1j6/FOfDzigBwTu6DmRcAog13u2MQ5JpI7boec6T0HQfGPhr
yOS7sVyyB0344+gDt01YHKgKDXpLfXHNHFZuoWObxLihwmYSe6vX6iciguYudIdvU5LDJRFVdIuk
8KaWxbEwem+ThxAF5/Y6mYD1rilQqyBwxkfNODx2dcLOSg4ypK2jA3C3eYtEoVJWQs4y7xCOed+H
AAEPIB4LryP2t15Nv5DAG2Sg0BgzcFFhKtnptltd2omzytzmuuZ4i1JCY2Kft96+HbplXrTV3p/4
SfqYHAsGZJBBkxBolZD0DuDHT4uffenQi4lzecbREZdMepi3xfcOAqzEHO4qneCrwQ3gypjj90Iw
e/v8tnzkBCIKVIaUyKfI2OZ88XaFpH2RA5CbNEp3IB/EHlK6G/Uh7XAyOUSlrcA7Huke0KdyavyV
WY8WNV+9ThkSgV4Dc8tyamWOw0is2Lx5fUlqaYmGHuOa5VlPTjtcvY6k4rndhRAxJyaqYeWnUESb
DLtkWcDr68RhKoaF0TfOsouL7NTG8CVMT/viUTZnZte7LVVx3HCFoTCNsiLffmSvShIfRJy/cDpl
XfiRhSLW1691vz5XjrCugkHPF7RDcOPyhl8NFuSxPLDjU4w2OAdiyUQrylbDfKyIBFzZ7tnnvXkb
I/ima4ZpKqesTFHa5AGF90gps4+GHBlVF3FgGXJ01k1irXqZBbwYiZmh/ftN46DzVPYPnK3Lr8Ji
PuKQLdOmK+iwQxrAmd/hhmnvaHGU9xqMJJotTWzW2yqtbkgD3ZvIl66r9CVTRbeL6PTM0gB70QEu
hZ4wJg++QBrSTk+lEbjXAZFlh1CjIng1xtNCDw5uEN5pPuT2pJu8fV/PPqpJDtcMz9GojL7YxAjT
mP0RN+wWHktjtkOknn6NNck4CYom0U8OIv1ZHmPjahVFZVw1FkplqDsLcCT3KNg8slDWCEZvfRMZ
cG6i0sLoM3eyslWTNgfPoG/W5oAjJ+b/WpUcXT2Rx7j3wDERWRUHDBIqp9O/Il/Pr7O3y8liZyOr
irhKyzDku41NITJOynCg0J46BscGXFm/wJqB/pHzGUpcDcUlHjswHZpJQwQqWMUnrm/NkaX/+eP8
IYfdkFyM4CZLU3egS89r/zfsJ258XVQld3rM/fBcKnQsdOsS9P5Q2HwM6jUjHCEuGwmZu/AwBQOX
Rav/kpLc+EUugvjAIJ0vhkWn2GF0EiLmXIffLqbVJtRXbQA1qgJlO9YRTQKetPVrjUy7wNtPNBVJ
YyelXgw2VkCSz7qsWUg7m27B09Ft0jyfddju04EhigyCes1gP2WcXHr7otR5vOz6e4Z1ZqNFNrQO
ujZRzMT68+9V/MUTZBnKRfztzDf69UX720dxdU9r81ZH1hksQzfbNk1rHJk2lRdEalxLxrJP0lvo
jZ5uGRZAQzAcDHpG9pDbvBu8dZHTNaNQa1ZuNa8NkwlqGQD+UdF49s1aPHRsQ1qTwb8wMjRPWvVr
SJT5ZH5ZdH1I05DWnKeBOtTF7mzM0SG/3xVhDUYMxkRDP9imy3F288QqkqQvxk+8++PQ9a/gwT24
RY/MH+YJg8/urrep8EMOkfToNMhJwUNWVXTvDA0PUxBtGHRa+wj6JWYWHF0wgd11Qvlgull/FTsJ
XGYPX9rnt8UQf/FhbFC6ylFEg5jk0L79MHahRWnfkmpBap7OpIvOj+d4D/T9vKUTpdciYaib5Y62
zkMH87Eakbfj8mmCQdEZo3sRD39irZqMtnwWgk5g5Bu8o2qxMMh5veDch8D6JovvMuZbiIGYn2Qd
ZdNotNcvtmmgLfLqx6SYzSe9lc4AyHTXkVCLdY4V60amfzk0FXaiQTbbccSUQDecPVjY93JOqTWi
q4RIpltPY2+YJHZHdvB8ielDHbNyeupi7chQpDhNtXjGj1HdYmu9HVEKVcTJ3ToeUcqccCrdyi7t
acCEXzmSaQjz38FCwjYKaNUkV6ipPmKWJP4sQONUJ/qT5vTuRdeFR+FUtCclLUCl7Uytjle5jp6n
3Hi3QVRcuy50IlvTGVbmhbOwIHg6YNsqEBUbl+SoBXpwmDpZK9bTLAOptTFcxiilLQuvgQTeRBYr
Hg+rnNRlWIsBVsgINHTgiCxQNT1jk0HGO0+umjzaNeGfxKOQFtnk/RVn8fXcRfFEaT3bTorDJk77
dVbP8u+gwvRhqfI68yBVZn4ll11An2Z+nY5EVj3V8ZDjqSzvW72R4EsA4zledMSPca8kVP1BUlB/
viTVX2x6tkVPQ7H32ZL/vl2R9FAZVI5seg7u/QtVt+FSq1p5QI9jLluEN5ELsuLCUOemJguvEMld
MWlqT6diXMQlsu9S6Yz+WcCJZ4ZgAPWd5fjFNwc+M8zd6qJPidDFpVfB2W9a3MaLpnfHZ+yxm8DQ
xQ2TOSjp+bhijmptfFpkYE5S9xCSzYG1h/iLMnF5lw7DL3w60RkYNJO6VjWHlMhoJ/B21sDK0FNc
ql0P7qnLSO8ayiMhF3t0OtopgT1+hTOcMnRs17GvZz9ssyJVgzC0wuuK60YFzJ0DpzuGc3tU69CS
Avphhlx+a3O3OkkbZ63hUOsXoY+7zTJvaG7xfTF1tIJaexpK8AiSueGm6tliiNW19iLMXDrZTvw4
Bk+TF6yqOTLMNvDZYFoF39FU0dLzXCxAcjojCzWOJh2Fz2/wX245UufsqJgzGLrz7q3GawtJqxBk
NxQjfAcTtjvmNpcNhuwY8tZZ2LXzVILS6p3gEHaJdjXWhYkRzLNXaSIJHE+ksybidZd09BcY5str
CqfpIjKxkvShBosnYaJp8jJjDn6I+xcxSJr/rd5+8V6TH6syy1bUs65JkrSlxHy4+e29xsxh6FKC
dugt4VSPmuiEyhKiQv6IyMRl+ydynbsgFx78KqIBeNimGkFxnXjPo6kFZ1ljBnG0eOXGaX0QrpNf
QUUiE1DsXtO+OzjZK00m330D6sTYTMj2h6LfYMdBVj9QlFbZU9eYPwTv0kwY49ad9cte6zxquDB3
mWJvGebRJ56tG7NLF00qiZf0AIfJdJJ3AVLhElXbImsGc0sUx5EEgvRsuy0zXKV2DPGHVV4n/erz
dWB8fPU4NuWDPcf3OIb60OoLUQbR4gdU7lbgalnVpKxb8Dhoqk+vgoSAUKJewwY0VIisevEckmO7
eT26vGblEM9aDA78ibku+uLqPp5KHS5P6AwChKULe77xv91YQ7N64AQWeSy9ZxwDfcBv4pQLkmie
PGqFDScACJRpWbE/Erfdrs3Svx91eff5dci/uA5F40pRZ3GuZFd8ex32qEd0BVlgZls+eRO40os6
6C/HvpptRW62ETUmEm5pugy7IFqT4Q5rseRk0k89Ck7dMFe1bG56w4HkxYFmU3igJ6eCiTM5r1Q0
0t1gWG0vfIIjNjryEDYBZ8oOA8sM4A4NYLOU1RJaWbpqy/6bBpViTdCSuakS81goH9Ru7eAYTOtp
PaWuu8tS67YT8flV1Gj0/mUWK05qpioWmtfSt8iKO+VJnVOd06wir2b240n4GxoIi7TGDdh5UBM+
/yaN+Zt6W2c4JBLrpu0onXjq95FGeiu9MEBsxZs2y3bqwXPQJUhAkTUtBFoP+dKq4EyY2V7vdWsB
5PiacT5ipDrwDh4Kzi9qjdecgncXRMnjciSm3GClvSt80jy0Va/Tgh2ijo4ymO+ccevktjAXZ5aD
Q4jkBfNBdMe6hUAlHnOCxqsUB7nJyYrO9zPl0U0R2n/6ZdbvOM/4Z+gAq0qz4kNUJfbS4axCLE4C
AxwxB4arodrGmn1dTfIEU3JvNKPYAu/ExwaEDmXeTSZ7dR7BcMBq146m8szVqIGhC7UiW2Bq/m4x
OVtaOCbOqa2shSk6f4OVLl1iAxu/OJ+6H1c/90q4JhmSwvxYjkXhgIq3KhArZNLZaZPlHRrDCA+6
NOrxIi3YM9zOn1/N6e002qRi9BYBKUO7w2lWQXIY7B111UWNp8XPanfDXCRZlROoChMegSu+qy5h
+o4IbdmM6hfFJ8EAifphZkrsybnRzzr0AcJoTX1ZxYj6Ud+eutiJTi66euz78xk1HMRJTxxxgrAZ
VFZzGpz6QGxaug1ihrZIJpnc6iMSfQW7N6xScdPZ/I3RrChsoulhouSCZYkdCTfBnyDkN61or1En
2Wu/MpamNRYkooywjY3GXgRN8xSjfU3onTU29ncCpvODIZqHAoRcgYyEd692ES1w9O/N0i6QcRZL
ofyHiXyPfUlZBNiDALEQ4Iprx+E6CuSwSeguQAQSjQWOQQNY06PyEqrcFtj69yJ+9KcfiCDo3uRQ
Od3M1Y///IdrfnHb/+KIMAerujYJiOx71uum+Nvmm1tIgArR+4vOv9EDOp0q+9PMmSR2BvZOOKXQ
1LXDlEP7w+m0i8LsGOZjuGfQcaFAXMqwHQ8I1xg75mDMh1uCMzDkCO+Ml21j4o7bvZbUKp1xraIG
DKzir4Ygc1Po7eM99wWFQYNA6iZG3bc7d2RIEZfSo+MduPmGeqTbVUm9cQaRncKtPqm94ylmVtoK
JOxwyZgkW/eCrA158kOCRrhMdxnTBVkMU/5Eql96zCL1RTKEORd4b68SfTkDEtvmCCP5rt9eZWPr
GCYVzTxJbGJY9vB5pdq5dtiuGzfTWRPo88eaZ4BDZrzUsjS5wh1507aISXpSTfI4vmuIBr9M/HmT
Yo6ww5pOOoSFlBAQUwru59kIrGWnGuuh7cngQyMAxNQINoHVWthiwHkkhNCfzOGxo1b9oqIw5o/w
/iMyRaGqsKTt2K8Vx2+rKcSrktUIdxdyllH1fX2KavnkaxMQ9w7KryX2mk+qW6fJkyfDM/kpdX9n
tcNzrHFKSg13/GLM+RdtJmlLhrb0jR3y69S7hmLQBV1vdmBKBjN4qMbuIQAmcVH1PZk25Br4RVBc
+P3M2XB7gLyEDywUG91qSFA1t9h7Pn83mh/PYqwCw0RcSxIRzaZ3bQAIWdIP44S1ahBDxQXXi9zK
+gcfrHn8mHkkr2geylo+TbuYIuQ5ioVaR1x0DDl0q3nBz6Sm19uoeGNrKD+0cLoZyGE6o0/ZTTFs
Q0GhXaZJtPLBsS8QTtF70kx2a1RmGRnyXUYWjT3wOAteOoHSGL1n50ZU59fF0Y/97eef2pg7Ne8X
hm0TaaQcnlBau2/XPiY5zGRJicbKc551B8XjaPdXw0RGTRjThhx5S1oemi2JhBGwaPHimuTdvZ6y
tdyFFVNSPFZu2646yF9atJItU+rPr/JDijGbiCMch/cgSmvTEO/2kboqbd/tGPwksrtnDrBhcoxl
e3ZxeMjefSdGQhoy52OZZkLpF+043PlJ9GDMyZc0dDdaTgR5HOHW6mMLcmXPiL91zlHuOJuENJAd
KUSPlJX7z6/8L1Y5R2i2P8uc6yOpv1vlEJUmt7BZ5eM0+TsnnPCKhoG7qUHSLGw0tVdpIE9qSpF5
ktzKI2GtbBPhRpvvzaAy/59XOeICThLWa3t3jsR9e78LCo4I50y44JqvG7NSW3+OhoRseNR8YH0e
I+KjUNmGZKdm3QQoUjLDnM+EYM0tvTrPUqa8AwmX0P9bGwzakPfE2xYc/aVHw98PyWTEz0Ea3RRw
ruqf+sy6Ay3arcO2CpaMQm5LpCyVyWe3zQYgXc0ppQYaY01pc6WLfsMpSn0xvzA+VKl8cOUww9Qp
vCXr6e0Ht+vRiqjCZg0C6HYUd/lmKuYjfzSaCMtQ/0wBlh8nsdBF9i6GLIlq+/PVYLofHjdHmqxh
l/avLZhiviv8ofnqve33gFiqGE2MT1vCA4rBm0K/nzEbAJmOVdIenaHSvzXd9AAIcGE1w/ACzPwh
dxP3KXWCn4Mo7M0Mf6WeLems9RxjdkBwyotmElBTMV3BK0sXjKgIL9LQhU5a+xCK/Ls9gXx2LMbe
PT0Ci8kyyGGoyAUoFkjn2LVmPWLtHpBj4eX3yHmM+o55VPerR1q+QonJusVSkFnwaAfXRBfY1peA
Ky5qOwJa2IekaQ2rchz7nenBUWyBh0xQgpeyZNIqXYMhcYkUXmAcQR9sL4Ck3yfh0+j7gCogES/i
CGBk41rfVMDgM+b/9vQZ7c7hsZnwR8hc+z7fxJzp6kWLbPQC7EnBYw6hfYR0PkGvjRGnMEy78VE1
XtiIkfpJv8JXgo85wCYNmxwEs9xWNaf81kCxi4vZy3UEqjTlMBTd6yA+Rj7AKkXycNGmAbwKjxyv
zHZXXafVS1JK5vDe7xC5olVd8aYP3P6xlYxt6alhIyvclR7ad0DIIVkQQBLOQaV1nS7ievTXzSwy
9f3iCG/p6NThTWrQuKh9gnBJLXuUCjDlLHhBBNoQoATMpkGkqJgXtooZIqSKaqGmvRODgbcHeuaR
IkFBpD8KoV/POu9YtIpUmQins+UMLIUO1rpm7yeRXUeVGnEj9ls52d/1iu6q3xVXvUOQcZU9WHr5
FGqc7IeeHckEPue3fbgQkr9XAJeEJlVcCUIjJgTaNd1mQlWyBVXybT0YIF0E3KjBuCzTdAA4FKRr
BNJD6/DV2uOG/n6xBpkJXYc6dLAA1XeyxNfcYh/qmXeBESRAJk+DaoPvF8gXfVukT426yqN7WRXp
Jm0Z+uKIWaUNAC3qcQZ8bj7dsP1ON8oCEz0mUbRnmwfZE9xlHEC2RQE8pNB071AK7udQTMVaZIRo
TZ43cAoVHJTDeDP5nXsAf6xdCgEw3OrzXWG76cn3pvTUReeoEM6eRa8fmtwkl8AwkU/aMcuzGZDa
ZyGegCSIMQNKIXbSEP6lG7DsY6t4jAxqo54zxbKVi3kbddFOUdLY3FVU4UkOCaSwZiQJZeYAARb1
YQ+7NXKvClTOV0Hn3OY11nRvtKGBDZj89djGCZrUV66Ffz2E1YDCxcoOoW/dmUYfXIkg/dWNqdqp
BL2g32RXDUIkjDHBQo7iMm6DYhNpaGIaGWQbw8CrH8Lq3yG/maHhkMdcSlvbo8ucoXzABnoaE50u
FY7ZNY5Ze6XM7k/md9AgMnoJNPcFwZkvXdrBYGgtGmhWbau1wvtuZEwvSI63uwsxjN0hg6tvlAoK
Xouw1QhR+tNFvKkVCvohsI9CzAzQANSCnYrnvpXmiSyMe61P1D4LEwgkPolPaWBVO5BATTHsBLZb
lgKz0aYbm62ic34Bz8EnHDl7HuyKcR8gGdD9jAzTyQuvswpTqBeaxtFGOClbG0usxektTX/VrRnu
wkQrFsprriMTmTCgAHTD9nQHob06ZMCpYP4O3VOUrx1wGInXjdeFZ0MZiyT82qSJDmHfjBdxWw5n
XfmrBj//LdkNbRUlJ94O9wT/1dd1Od1MROWwIzY7LZ/o0nZ1OcPQ+QaVl57CrnhC7kYRFMpk6ej+
bdVEz1M+q6DMZ3N2bfq2BWwvKJZZZHPD+gh2f1gxY+yMBO8C7qTXrMIiHk5FgZQuRjsxlHm3cmpF
Nl2Zf2tKoz4THXYYK5ZvZgfRMhowFDHzyhbtkMW7MMdSDFCHNqAmMUnkvFZ0gjI204giqbMBpQKG
C77BAV85kuONPpjuti6wdHUFOUSZHX3L7NRcaaXDiibiIIzACND5C1aZwIal9cB6slKld+WsTpsd
QJ+/f+d3/JvD7vz2NS0qPJeOK2H2b88AfaNG0rC7CLYY6Ro1YaS035IeVGFlbKFpnu2QI9Dr3/nv
P4f/5b/k1//84+t//Af//jMvRuyvQfPuX/9xl6f89z/m3/M/P/P2d/xj85Jffk9f6k9/6BT+rPI6
/9W8/6k3fzJ/+7+ubvm9+f7mX1ZZEzbjuX2pxhtSh5Lm9Sr4HPNP/t/+4r+9vP4pd2Px8vc/fuZt
1sx/mh/m2R//+qXdn3//w5hLjX///c//1y/OH/Pvf+ya//zfSfjy4Xe8fK8bfrP6G/sAnY+554vA
RnGn+pf5V+y/2bNMwrVNlLkWxygOsFleNcHf/7Ccv+mcaHWHx9yUkrbiH/9W5+38S6b8m8WsGgQE
iiqO4a71x39f2Zs7+H/u6Jto8HenON3gbycYgn4Gyh/BwfLtOsplWk4N7dWLKTeJiZJPo8g9jhz9
ALJqAiiTpcfKMe8sUjwyoOwF6SMXiU1WS8uhRu/Rr/W3FS2uqfdf6hJPx29f5b8u+LMLFDrKJEsx
i9Fdan6UlG8vMOox/OqhiWDb7kjIwwizdVDnbNF1J3v+h1jkQkO4RKbRqvPqfZBHP+ssaW8Ro4+7
PIxL7POBj4oYsFpqTd4CiZPY5UX96/MrlfMj9/sjiULWcQUIWPSp3Lv3mshEn++gxDY2gW14yn3n
aQrG4QQ4s4Y92La7yK/OYwHOOydN89tEjPGhBjyKTVMlaxrvYktsS7iacCRxW7KzTJKt1U8kfbfF
+Fz5/VYUT149iDNz1vqmMYs7nwyrg9EqNoIZHLNp3PFHaYKrIXEFMVUgsODTGGR4VrdXqn7U0b3d
DWVEkIMen6DCqoPX2toaUWRKG4CDGAcGuQp5Ac5HoXxfD84vrVHt9T+9BZni5KpZU3+rRWTUlskE
LMmtzk0btV/NbOY7++77ZF7OUIknR3zsuE2aKIym51BSFNpV30Y0J+ICnHSuDUg0HCh9nosfyds1
Y2Ycw0rejZwwtpEB/sOL7PFMd+Px83v8oQZGqUnsKlNM26LF8EHDU8YVRItsnHHq1nDdV9pwzKbp
oRim5rJvdA0i6dJPJvsGyd6vqYydxetQNs31bwgr9S9K4A/aYsRrbE4u/Q5U9saHdh8Nj7qFvVRf
DA34JqcJghNkC6amBqZCvcmfmsGars0m5cQcAsS4KKy02YRDBujCK4snoTrjYMaRsU9jucvRCKi+
dx+tKEfT0eY/vcKyD82gwxWGKwkhE9QIiXvBrgUGvDKISrvoizo5kCYYfjXg+fg4YYFgGMtDxRsO
OfDbBz8rifwqB729qMviwVLQ7AoD0AYp5D9yJBuDCcY0g2h2r7zvVq/Fh16gjshMgh7SnAnX53f+
/fsW3Tu+frp7mBkE29G7bcgdPZtDCrO5zk0zD921sRI8o9cjWoJry4iu3cG3vmp1vtucBe0NXgFz
pc8T4HKj334FSAajiM0G41We3WsM+E45c8lF1lnYfCCZTtxFq9nh5PfA4mfdbTsR7pMKdBJh8igT
zIiJ4Trn0jIeQYR5u8AgdeN10PP5tyPmK/n9WeVKGXnZnEgwMjvowt5eKekslJaWpFyRwD7ikGTl
wUCLb3RPdQa3A7qYVm/KvjDviZFYDr7r3dh9g2K0bZ80nbF6Vlv9ocWtDxeBn8e9SOCr4omqU3NP
tz2/1NFoqq4d2OLrfdW48dVQDA/uoNeXMsU4gcMv/4YDevjiKaPJ9f7T8WzRaxYWWjFEVdZ8n35v
OaOwxuDaQJ2j1bFDur7p6TddQ8LSDk0IXx3rxZ2Xiuy21nL/qFDpQQMtXvQxFef514YizG85qWmH
3AEB65uhtuoJi6HYbsprfArLtjSD2zi3X9pRREeHenQZGN60TiuQUmGnzq3Em+pq+aPn5tlWs6Pn
3uvrO6z2G8brBy/Rh3sXCdc6OlaDwj/gjO7WovVFjUB14mHv2JeOk92mnnnpjYmzrQH4r03R896U
cbwNKJVf31wxWRzLND5pqZcfaTjy8SwCtrs2M+9Sib8Cy0cCfaCjE3DKU8glr3scXdeBMJqUibbR
Q+Eje3eP+Ic3U5G3pEsHxa4cKnlbj+pOaRl6OJ12h1u65jddL1dM4UISD/Pmhl1zuoq8YjfQeNoi
FXSX7AT5ZdHq+aVDAJoVA6YZOjgm83F95UeMQSM5wLfpA//kw96aoaxIdvjLd7QzvYsmRHIt7J2G
rfBUiBsXx9Cp1dkQQ7Bza8p0VGNwiHbKtoNVy9T9EiUYBEq6aetuXnzD/A8JLxL+fX3XCAfYrWfr
x9FP7RpNllbsG7AGsKascTE1Xn8oRvGo2aYHcT/QQLHbiMosWrxCVu7V6z8ATborzeNAM5QZTF0X
5k6R6S8cyvaZhHLqP+eiyc+pq6tDanuIE+ISzoYnnEVXquxBVO1V3aKIUoIdQEhhngK8tTxszRIs
ykvemeVTq2bU/ERXNKe2j/RcO/gFMamI31iO9GjirM3PTfRU9256V4u+Xf1zg5FGCskudKpzNjrl
VmL0patBUa9K49GnocXovZrOjdVY3HJ456jUxb4BqLVzOtGvnYb8JW1M/qwyqzqjFnCLLCEAg4We
5FZ65WrV1vPMnZjK7glxXIiNczYZ6XV5gGNSHMtw/IEe3/4zzSAGx8QCzw+Cksq/qf1tkOfxodYT
QHws4cYoQLe+HoQsJ8Ro5jtyDToOIHln3Ec+VZ4YiEbMbZWucHyuA9+7nriF8QXbVb+Pc08iLeJU
oVDdrWr8TU2J79Vmcnx0dKtZZxaFo6jUfxF2XjtyK1u2/SIC9GS8pveurPRClEraZNCboP36Hkyd
7ot7DtD9QlRKW1vKTDJixVpzjlnvhA96hGKVVW2u4Z5/tMLbd9eYr+8IVXT3Vey5R+Jw36Xo4lNb
Oi4EpsDdFvTDwqgmLUJT3XaYhyyz9v4wVU67tsQsFa28HyWxfEeXIpWhEVYwLmNkwdCuY/cU0spt
lO28PP9uXbnuKTO7intYya1GNOpCFnQAWgs8fJAMf2gClj8SP3SXoABovxHM/MaeQjab07gYC/lT
gPGdY2wV7qEX6o80cfQEIXnOsgdXXoBlWfgFzt1nxWCZUHKbyUMSAp8sM/ppy5guOU/eMC7p8JYb
22VoYgBV3EUGutGujg7KarPXpLOyl0EilAvFAqSGc3y+g7BtSXxqN3Xu9+dM6+jTMMS8tQnArQn7
zXuO4w/kHI1Yy2y/48nD3tvVDaAqGZ1LvPptTswFrUDO9nYilmGYIp20x2ZdGgnqlOhueaXcFnn2
Kywc+wOA2w+SRfd2U4+3tomTExAxcNpICaOGwOqqmPoDjZuLCPQUeFEOlp+RLvgrPX6EitqzFcWu
wf63s7IhOAol2l3wHaaIE0ryUK6Tmx0CxNjHNNZ+xh0xGwPSvlXHnOZKFLXc9DpJqcPgb7ywj06Q
ma1FPzhojUODEcP8E3ny/Tv53J+G3MPKm85Pvp9NNCotnHl7JH7B3ZFVZ6wjL4cOP2XdKy4ZeLdW
8lbqsnvw9P3wnHHcVKYirJl4v03smdWGcHcAMDMtmXjC4FjPF1iAI4wt8nLQ7ZDYxil5YXpsTNbw
Szr2QPSiZr9EA7mYnS1gL/KsyIrweaukW6aeG3wCrnrCs8/RCON27kB4T9tkWcaDOFsymgPTcrk1
VLk1kxKamUz+Iba5PDC0UAtDGvKiF0HDhFw9cBO/6xRG+zDuzUOYMFBq6Lo97ApIS99aNWIfYoYa
lnJVgw91ypzRS17uo5aBd1DW0YuhzXCy4YCXqHuFieNunAMqGecoMpK3I9tCIEquU9tfgqK91Wil
TlhEoy0ENDzX1jQQnhht7aefOiJ55fQ8cQm67xAfdJTTXn9rMK0YsdFcyJcls6ZL/B08oJ2o2+RH
kmmX3mUDji0AK5wZtqVmXRy9q+8RO+qKPlZBYvAoTrZzHHUjAK0qCKYMOn+D0tw5Bv0AadkgbF1k
YtzEBx6I9iadfLxNFE4bX5+hw1gEXQPqW4V3BgRZQ8qNHxxCT1mPknMSOAKjW494XbYtc4hWlbuI
/rnDnPz0vPSWM6AUJCS3wHewncxs2FkC2I5hlcSpxcURHA2ZdHqKLxUp/Dpz6v58yOOINMb54ujM
K31vGObxWfNwQuFtCrWTMSxEJmRN0FlvdMmJ67OCaxxDgWTHN7aJTT+9I9fujaH4BGbzEueAO41C
XOHFdlf+gd6mIVXnxYjkFS7rrqPzbBSm+NVTPC39+SNqgH2tXW9KTlElkhO9PowEAKyrMEseTmuD
pNejF6ef8+2IW9sXUA+JnSHEsPSzc+/QsEvY0V/9iolLhg1qExMij4HVAncRuTHUbHM/OCOvKr8+
gQr7hvKZXRR00Mlq7ZcGD/iq7Mf6PmnhW5V7zbIUmfEoldevk8xIdpCsklWQt3azGb0amnc1UOU5
4EespDia8/92dlgu41apbT802qFx+BMlGEveniSYhVWWBnrQHpkkka3tkPxStNkjkPqrqFR2rYPS
AJDbzKtNHN4zaXEfxNabn/QGo7DHMLjJHebCC6SIbPU8DXQpTXszDCnW+7K/AVjBRJu50wpIT7xu
h2p6zwyTLCNOilcj6KbfHZiGReEdqG0oeEPy9LK8zFfF/NatPHyMc8MD4zPbgB9Q/lTuxUfX/UTE
GFEnYU1F4Q4rZHMzrWtYkHpEm+niug37nUNIUhkouSIhYGnQMSEWK+g3nHZBGtIDfNBZ1nj+ermN
7enTjyua9HjFzVpwN3WFimnY1jZn0GlFNgzRPgmPrtG55tuUDg1uKPk2DO2nNYiH3+f5azPvRg0h
BgV8skaMj1qPwqOUfr/AeI+tBuT6vkWp9X+cI8z/mNsy7TZJD0FW4DkINMz//xghXPoXFhQBljt5
QDFkMv4Z1INTXgRlYvhpYU4lHgaYNnJpBDY4DygYm+vzEs7yMMcO701b/3p+4MAfrENVkr5hoguP
0+n/aHb8x5kOwzJ9F48Wocmq/e/9LLOv9JRg6DlKMh2XKRiIsznJYEf4c3NG3n0hlBTak490vbDH
4fa/HymN//jrMcYSsM4Vkh++qX87UvqlFzG9CtQiKZW/7EsZgbgKu6U02npZ6nq9syOigLzCD4/k
bjUXr91UPuwOpmGiEKfOM5io+S6DqY64iGiMOEJ6dXEJoL9s//d/rI3G89/OiNhuHDB8nCIEEnL/
379c04ZpaRtKX3TQGOMlcoVhNfV2fVIJiQzacw3ocA5uNWMcj67hLF2i07HjhuPx3AxO+wvGYfU+
tXMMgNeDDsky+9Ljvjz13qce2yRNwCn4YnqyJiqdIL3pNHR1V61ybLAEpyMuHDH+AQGSe0oH9Ec+
uS3Pl6nZ/es37KY3NkzE3ttqCg9Ja2R7aLjmyW4rDYVYZl+9jEVAEkhHVZZVC6Tir6iyfYgeUf7a
o5DZkQKnIX8lkczyzsZ8YdsjTN3D5ypcKnjoXtVlLER3MzOiJHqC5V/cLELv3f4JnGRuhWG/tlOr
ulsjBDn6n5tJUwXZFv99kVlMFxoAxLablwBLTHDFW6GpvaDPle/tdvS+RQ99ZsByYcGp3QcID5YN
zqi3Cvqol0ALCrvcWz5P1o7mi50+oqBJJkngsDEcLVkn++ddDf5/KcNW3MlU73aB24BD9FrjtTB8
f6sF482IClz2XV/9EL1uLuuOVYbxz1eWNMHledGsqDlLrV/0OsBrJKfm9v99PFT5Xz7ahh3qTg6R
hONUhdfvs5EoKoKDfjIgd/fo0ry7G45LK0LKr8rmVUQg0Wx0n98OBLaFZwbFveic4WgyRyUtrCRf
jX7e7rnUUbVTCQ1nIAPyWCrrz1i2022M4u+kLwGQ2WZ69cQQ/S2bqRcunISoleXwXmQoL0OH2IIu
9u/ToLsXOJJ3JIrDuhcldP55nwq8uj54NYRC64TIVvvZdJ699tIkWNkjCShBpV692BPvuSM/ncEv
93rB4ZkjH/uMQKJgxgGBezGOl3rwzlHvcd+ARV/g00ULjOtiFwtyup9fV/o7FC7RqvPqB0Rk3OgR
PPPGmJUJ7FnnZu41FC3ag6jQ7RfBLHuh1yK5+C0xTfNJwg0wjdkaWPwWNp4V6eZb7sBQmuKg3VNq
/RoGlRyiWbI76SQ0i3zaFrZGyF3XJneqk2lk/9M6c/woQSeJuKjWaD2GCz8sCUBzvrsSboEjYF/P
BTlR4AQQoWA+Rb1trZjpIMAoUk9e4/nvkGkHzirzzpZw/wg37T90V+7zItn/PWsnyPtfSt/9nLDO
XvvI+CetLf3khjX9JlyUmo7wfJHrnr5Vg+iPmIwwJ80/cQjQdhOmyiX7XrgM9cw/dmPUbSgDkgv2
yl1rwPAytalBZ92NGwd44YtteiVcUuJPV0Xt3Ec5WB+Oqt8Ah407vSfyxtECWImB9qEPwSfSjJeZ
I/mzdqzjIBP5hv/EOEjpOOio9V1FKfpKChuVVmzLa9Do+U0jY1009dtEa/mPzvG/y0cXwQwVH1kY
/h/D1bA2B2cT/P+NUErxCrxCeCjPp7qZ1si42k2vxdS1UYOmsIgjSGq6v3Pi3F6Nk9g/oU8NE401
ckdnDf2JBHpLGAdXkMiR+Ha/7H0Yu0t3BK7lAWCzApK0kqRzqYyAezVxla+Zp0xE+6DZStvOosG6
e3apMsQiyAa0cGcz9T8UynO3ji3hqM3PcFrj5vwFfXvN9zB+4vUBV+j27zEsUtji/aDjCUxuyFtc
smUoN1qvMnZIe2yOJ/PDlow3MTnDTdeE2goRHDUZf5VDrR6unjenKXcedZK22yZBbNLqmg8vbjIR
8TYIFNZNhcdC1VVxbnjGzs+fIJSfKzgkh6eIwhoq80J8Vsj+sZySUKzVmEW3Fj3RLR0myi4z40Aw
v5SWTShqgbnISIqWvtHIJtqrV6jpNBk0dDshGXAr5mvdqvZFtEtHbE9jySQt0Qmlqz31WljOr7Ga
kxX8hpTaBpuFo1VrXcFWV6QY7uucUWLR0JrSo+oYcB53gJ3quYgvsm2ZatXJZ4G28EzLQ1ITEtRO
gITxrkg9tWX5YUbEUCStv65hRF6iTHqrgYPpK3hSxkPxW5x42evz4sPgDSsPALCKziQnd1iiiGgn
85yS2hQflqGl+7EnpxBojE1+DQ4M0w7l9mmRTMhsayu6DoOBLV95Mli1Uhonx++0FZIrfQV32EJb
qLEamsgBakG8Krg4mjna0NzbFOY9G3m+eXYrw+LFbLTybANt6q1ofORjGB8iWH+KELUDvA5WDpvw
bI1EuIcxftSBSSiiRu6A6dO0dGOQ1pKohBzG6donCgBD8hAQvTmlVyPSVkZDDDWhJ8TEuwWPuk/0
hTvhp0NmFSzLukgeHuZroLgV1AYORvjwR+3ShZAtsGBOyxir7iVFinbC4Ab9BLUVyu7pq7EIFe9E
86N20bxMrv/PUDjJOnR0MJq0AgkBLtzfhmkRRKp57Vq3VPHKEADD81kH/PPJJpyTEWtHhyZP4k9c
ARs7zl4yUHjHZP62hvA5Kh3xiSMoWbV2lN2qHkJ9DMxAQ2RF1l5W/SCYhaeselQFrHH0bj7PhHIO
XZJD02B7aDPo0jIGrhGTyDVqhv+WlMiS80SbUNs0v4jKoR9mkiW4seY0nH6eV9qJ/o+Zyuqghv4g
iLe+sCupq09TrhIhwTVm+x7nfDRqTtbEemVeM2z4GO1ZW1CDgK/vU0euByhuCKcx3cm5vqwAj9Il
JiHD7oW56pyeDEQzeumeT3BPPbOgYS5nh2S9Ja5uOj9/ogPJI1hjyoWQcXRlYn8MGSnmLUGfHgbL
DRprcY4mN1AAq0hkGTzLutHn3JZm2J1NQ7gXMU1IikPzMork84lloiib9l4efVh5cIej6gJ8mAHd
0o7vcv4GPA26RIh2p+uVRhoSzK3nZU7eRHpi3J6vVOXarPnNZ6XjWC8Mohj7MVYuJi/oAmMP7vvv
a2yS07Ux259FD1MM3ekHm0GAzk5XxKRWCAjsTrvSz9Wuz5+qCpjJkEc9B8+aFNYpwaVE2tdLj+4J
Wy8MSfCizsuYTiSO9NonsJEQVgwQhAXmhfHsDkDQpFzq80TCnFGbYHv+7vU8R+kJHVtILIy7QjHn
c3//91HquSO7I5ItrNjzAfBZHgCkXDfDMD6MtMEpP6Y0XYtbj27ylMxeEy8IvJtRvbS5J3eklTNk
mFeX2kAN7zVRdiCAaNqR66oQfDI5N4M2+wsyy3s325IZjzLQX49GEfxRZEUuYp7mYdTGh1dMAKq1
cPN3mKBwOE3piAQRl8mKklRf2XC/dkZuBEurQWwU1tK5Q9Z27oOZlujChL3PI0Psk64EG56Zi6wI
ou0gq2pHHq99sbNy06SxWPd6hSO31ZKzpRxzIaYYbHrX3NXgOUvHpSLVvdx5sZBs64HPKjYh2Mrj
8SfS4vr0vES5dYxV26yTyYpIcw7dbQNYrRNede9tfLtu6Njn7sMwivLdwClYKZgHuKG2rtVGL33W
RjvwxTG7zyTQJQr/WglM/dgqlsjk5N8sE2feZhObfCVEFYDon3zu+WKWRb2zzPHgptN4aIdL0YQV
9dBUIkcIlODYkzIdbc2yXsk3Zn3q4PjIZN2yYhlIVG6va35vYebOxfa0cdcqWz8h5dZPnfLUKfoH
v3J7BDDXHd1K82kNOb9aJnPH2nDsY9aSbGVm+h012i7UHqYcxRYk4qEyaEk9L01sfjm9X7JamlA1
C9LCnnfc8wa0MtpOsGjjfeTOYNCCm4nxd7Q2GofoyZY9tNSc6pH50tx5XeWsLXJWZKzGy2TI8fL8
yS8RnFE3rZ0KtPtzMXheDIKN1pg3i5XhdV+xH1Xnvu36S9cQqAzNG7U6OXJzleElLC+Vl1zT2kXx
l4CTCeXvv3MofKTkos7VCf3AbJ2Q+bFqVCEQ/HrjJjFLSDQ1MJc6JzIICma/jqElvdLbiI6tCRVU
z78QYtig/YlQbBFJLC0ljVUf6+HR9ON4O0LFPHT58Gkp3ScsqJyusIr7bWRlPSMdflOOcDO7iINZ
UHtzmF3ZfQSaoQMynczD8yUtYeI5AKqnJRZLFD/Dg6/yGE+m9QFHT9tLDBOrp9k17Oz2WKU4uaN0
fO1Ib9j1kQVDGAvRO0KWk9KRzsVpTv2xrAxGf4t6hpInYfTH7WPyVoX3U3S0EpS04qOQqF3nffSo
nHhYVHO/7V8v6SE9X6JG9XZWlWwri3rXlq33Q8wc2YwIhgvwr+4+9d2vQMFoyTjrbWIzyW9lnUUb
0doW+kle+pb1Im2nPFc6jfGx5TBsUA+/AiPiruqMCWxGzrzFiqJ1NjcWzVgewRBMHDFF9FJWdr5N
CtiFcdssAznajyHN7IeReZ/aOOSn5y81UwgmgtkWAVsZEZvze6mdvjqmefWvl4XvVMyttfUoSHWw
pcMx2Fb0byeNSfVEhxc/NWGgovzBO+BsRh+9oFkCbJTAkEAp987mCg+VVzKbkldSs8i9XSBhV9tI
TDS4IPJcw1x+Czo3tJu4QZsyaA/9ZF6mcYJUa7q/48xdu0r+AQjTPVx/aJZg8gLAZfVhJM3zpdLj
XYOHnHDQP2OC63l6FnkSZe9SUHawLipja+qsC8+FO5zYfnIGK7BS2dmfW6YE+wG0nqGG5Sim3FPn
nIb4lUqL5bqVAKLTqlwXfWTv8CyOnwNBmKNT1pc+DF+dIQvP6G0hxeq19iNzByxRRG9di3qsOcgn
zEBijqwF6KGdJGp4nY7sGEo35SeGgWtKavDO6BF3U9CJk4F4aylE0ny5kHOrLB/f2qYlvSkCINmZ
OCXmQqadL1TemG86PtcGQ2fpjzNagrUWRy+nVgepf6tgVWY0K/7nYtU+BaLx5bRKYwP3+PIsJgBg
Xt7qtO3BrIG8HRyp3V2P/yn5EQhMmcWGlGPsbBsJovvHRH9qFblef9BV477i0VykHo5lbq1o4Ykc
UfxU/mNF9aseu82LSeKFi06b3IYyussK6mKZVRZaPmndgEY96gnYKXE1yd8nIJ0fgyZsq7ONvqi1
wq2qrO48Afm7uVGGyJphK/NrfAFjlO2xcbifxcDdNVX7v3upRB+YBGNxbnuOQotmBFJvWs23GmAX
xi0xB3jkaE5oBv6MIPyQ8yTBVVVyGiLfXxdFVYFUSo1TBo9vX1nB58AxeVETRn8DBFFs+kBdFYjl
Cxl2ZwQhTOtLt1qh6LvjTldbT6vqo1NpHC/nBioZWuFqZFGGsczAUcVucMSUFK0ooSxyUOgBea0W
rywToc6UQ6P0yI1GIweF0BnEnzPOCdKSuroiWNDzTrp+9XozJku8I93R6F6pvfVHVBc7EhXgMc4L
8+gF2rLHErOzGICg79LJC6dYLZvc2wX4w2k+9oB5ZXaGxFt+8HkBpyEFF/mduHErtis3G5Pj304F
xMHk3s+rz8B+tC/GuYx0uNVEvat7k/NMnMHy8062PVZnju7B3QyN/Gb1/SKnb0/XgoChp9DD8tBx
BqXCxgspYKabfKWx3Bdtmt9lG5fL3O7exqRsscGzo2st02RE10u6gfYtTYZd1lbJOe6EdbNMEs+6
abgw7PzMW78/grtH+BTk3h3I1iJwgmbnAvwkUotf71waDwhw9s//6vlL8ZhMTGBddpyGMFMw2Zx+
B8N+KHENA+G8NLaDVyCtLrXFls/kFqPhLGx41k/S5fM0kKonpdsymsitt16n3iL6Rlv+PbR7RBFo
lPYXe2zty7wsLig+WaY8cuSmbNQ/cB7/mOIiWTpGUl+csCW5dKphpjPfWU8M49fPbmsbo8UIirPH
Y7Y0SKnYwMw8N7MIcqiq4eTk3HGdHo8kapJ3QoO2W/VdsspSqtKnpCDqVLSL+/hn0Fj1fhyxkqnI
CvYV/S5iGmi8OCqlTnTl92hr8SPINf+E7vGmGGIdhrrqz3XPOIkuMOiI4CtPDRL3mnRaPQVEqiyv
z9mQptfuojfsgtkPxTAKu/GiMxpmN8rCA2UPQhG3vXM6+ieaKWUBQ66taZbfU2IY1zBKf9UI7Bde
aUS/7Hy8FyF7YxLp5ENMwM0DD51MguIyT3k+DKdmO5G0eOncYU+polE709UOXBovX0VLMkXOQGGZ
dWTXOCM9c+dX547OJk6Mh91LOnuRPFTKvfrlSKRZmW2CMeh2QkS0f2bRv68P27Zjhp6HU7zyi+iT
YVEiiNOBwUsoEW/f0mOUGEm9oYN/ExZfJT14l1W7xBloFpDqM073GPJKZz1pk1wLgQbJZqcIgBa9
dCOhiqWGlMIxy3w7ZSX5oAGhyVa2HZwkRQwi6UhFOEZm4Pgm11IOafIrKommYyp/r90ahHsCW3Xs
POK9dFS9RWT+oCTtOo77AwjUI+YOhAL+w98rbEdr8iQ+mWdsbETYO6x24JICQOecUxnVC7XSObq7
QlsRxBViOYQDXlFTDn3HqM1ShwD/IUkr8aFJa3qKefrbKKmvpuSt1mkOWzSA135gkhVgfEc9acOT
ae4cMuS4KatgnZRNwiikXbe9v6r0ciDYhcy6Sb3Zvf0J2OCnHJaZRrJzOjMe/NCgfdh9N8GfXAz3
QLbfodUTtKfyisMkpC3DyA5hc3X1oNgEwNvpAIt8r6ZZhxFoYsMB+k+k9WuX77Aao11dVwf6JPkl
k/4iTT9VPwQbJWmQhBLHWUOIKk1WVNjEGv+TaHZ5FLBGVjTtaWknHGNqfTi62mMiFW3RGWie8ipP
WGf9alHPgWaNSKFMSrw7dtg+ULq2Zy/iJKgn6OmHmiHLMGaSrT4Ljo0DXIBZRQ9tVL7NffaTmyXl
qmVKENIG8i33mGsRwxefwKmS8JINVE6AUKSDLNp+yrYm91kqgzUpvvQIO1YZvTfFFrG2YQFvFfVj
AI68sqzo3km73g76d2H737lWj6vMolbqokKuE+qwaeq81Wye8/SaLGIPpbU1rHMyHY4GkmNuoLoh
KVCrta94hslkmJqzwPsq3MwGZpThniIkmuBzYiaa8bdoXGeNKg2f9RyxPnT0q6ImVqsYEEHghcSM
S32e0/newR12k4NxU4loUUNR24fe8JamudoNLlVswdbgBbx9RDa5CZhpon8XZv1JmwwSJtPxTwDV
eUzpN6IxgRDt0NzUCFcjawK1PJsxNvL+nO9DbUixAOXRhtumAI/TtbfAafd+NE/VM/SOHXI+LwpL
yDpSrIAtRguSccSG7tcLih+wmnG+VVpbUToxmTGRUxGITpbHTFswKGVWCo2A6+A0TcpzYvarUeUM
4scm2Ve5w9IJO86otJexLE+9wKdVNQesk5wyK6dcoP5/KN4wA09WBrOqcVxJudPs9qoXoj1YGZlI
Nk10ZL0xPoNGgdByiKL0fxdGiN9KG1iD9KxaTxWfWO/a48agMzXpzm/HBx+JuqxZjLQzWaksWoxu
Zy11N4nXmlbtksB7oQIEmKKX34XrJnhi6+ZguvXNaN+DOek2SgJnobT0krjip6/3s9RI3trMAD2W
A5mH1TuNRnqbLoUhbKJ1wpR5Er3XKfstKn8OmHnkAP9xTEfZru0JqJgRmQxKmrYivcFZpq4HLyaq
9tlgId3LOJF3to7mgXh2OsYvGoo47PDx+9goUhtDO93XbiU3NSOOdVt7HygHvKvDdz5VwRHvXXLi
GyfFqoz/KYcOT5krfQqeYUNVJvbCR0ocV11FpNgWiW28tckGXZSDVRyt1ju5ifUSkSm1tI384pTQ
c9yYrGHhEKKrYFmvrKi1kNj/oulzhsiMoS5yURaEbXjUKTHYGMqdhkuLNAVqULif23zkcZ3EI4po
2On9YZQ6SLg0qRY0P6+sWfrW5gsyzcmAqtr/Bn9GembeJLDVzD8pQ+lVnIDWLbT8bDq62tOUxtAc
GWoTFhh14be7a1X9CryymM8+dPFaZLoFc9eF7Y+Ew42CrLKIgQ1H04y5SJ7BM+y3ekqXq2AaRH4L
KtrSI9ja7BpzEYDXXwC1JnjWrtt1EPTkFfpVSK+PbmwIlH/lleqSKh6CwM5ZSouNv2onpgeuhr2T
pS9fjz2EiBTkVhnGu9rP4RwHDvPoZD3KoiP7LSPJNND9ZSale0YEWIX/aA3xD7DSUaywIK2q3qw3
Vsk8PAKDlQEftyvhYoT/nLO4p9o0tuyAZAdBRHuRtfqBfPHqWe6n44TvjiPKq/AzTDjcONTLK7gm
5t4d7roW/dAZ/C6YBf6yNEcum5Dy1XaSfRS6zj3uvjoWqxW5rl+ZQTJvFs2hjTRrStl9571JYIs1
sMfi6GZLmF5lSDsjBhXg+PkjG1uNIx48mzgAvg0Pnhz7gGzrGnhT3bx75LNYFg6nIbhOePhXbspM
2XaBG0CVBIejw9WPScpYx/Zvq6PAoEYOVtGkjoZFnqMFNnHJRpIurBYqSxtqf9COo3gNjEvhy3wT
apeaY/AOMVe6yMN33vYRdtqwIb+UpHeaonTt2okjXJ9joQfna65o2wHnNH64PKIbE0OIiZyUBUn/
QbRHjRB2cDBWdS1fLWMERNVAKq0oW1YV+9vY0AkJB7XPMAwtVRz/0oooWZN1dBoC8dUCwTzD6uAT
EvWhSppT1rGgNgBM7OnLkRRxvuvVHNa/fa/+4M5/YbqfronvQHEeRKh1et2+1alamZI6LUO+GNkx
attR/eypsLY+J0n6kmyjk760OvLTCyyzrt91y6Asq6UKs3zNKN5a5GQAL6IgMy7xJNCiVuAoQ5pC
GoRry7kZSX+0RiCV5O0UG8rUpTn6Xw1w9ajxV5aufkcq4q7mFKPVGSuxeEE27C1VgDRyKF0bwIo8
GQSUUYknZFgkEfPWtgUD1aRq6TdZTBQt5b7jl/Tzi2kVZ0Ny0nKGlCpmiF3jPU/h9Pij97urix96
P3RrIql2UDX7takjyu391tz1dBZRZqoTEvhgpMkXCPdDtWzk9pj1K1+0eMD7hZVW2ofTvZs2Dlxh
6ffeSY2FzWNPBN+m9CgKooIaAjXoO4YTF5Uo9uCuQg+Ld4tzKuSbzZBEnwYbroyLwzhSa9lIyKne
12YSP/DMKqIwdEb1CPfKQOOO1Gq6qnpaXrRxLxuDwLAiRXofsC5S+0VyxjyZBVum8k8THrWdZGQ6
Pwg2u3kmbe7xRtzJW2K/S80tU+Kfc08oDfrvkkiRAH3t0JG5GXJQ5OgHQqrpqcV1DSlgRQgeerbq
TIqH4LCTJmB44m8Sm11ynTUD/aa/6XvdXTHvIovZjQgUHUKiTi+MJOSGpHAM/zNHzSBnkxMTOXB9
hyq+9L6CvHFoZrCYOmNFZaTzj83re22G72nuVntT+yauSetWVZcaa72B8RgNauW5Nu7m7qOs6nhL
G5zSK4Xs2iA6R3IA9L2qX0bSoTeS3BFZs33bIiI/xJpvFt89uP1cUaeiOVIDazbxKj3JCuSvcqzn
mxqXmV5hMgjKlR2r1zHv9K3h4RK2oJ6kovUWA7cDCohdTeLQ1kFkBvfM2jBsS/auIiVI/lbO6O0q
w9vaVWesIrNDZDXxLBmJ7u4qpfYoctvVGLMUFJOLFc4ABC+okOJjR9YiEGIee1yY7MGXZghRLMfO
RigTqAbm85WyzSOTBBqfZJZlDo2oGvZ/myfpbkDtNQXqtx6Jh1644yYl6H6V1DOSo/rEaEEjzPIa
8Hq468W4tSYE8l7cHHwN8K8hSJWmGZGgs1qMWa1elMNiauWWs8ws9TMVufYYmKGRKHNwvV951ogf
uoeIScmMaCZHcXZRZBdmtYMcOPRAR9T4Qlwshh49Ncn4JQwCgsedoOYUBOwyQPa9GPIBKmiuJ9tE
O7oqDg6JBd0415BrOXTFSQRZuO60tgJXAWsm68HXIbimqWQ4kNNhRqIEB2Hb8xWD4xHrvAZe7rYB
sbJ+c4BLlC58DNZLTH03wD/yWvXuQQp7xpYUGamAu6YbPsLIThYii7p1xsoaYcdaZ+XwJRo4FFUs
6q0Ufyi0om02eDda/guVdoxNihECrszwEvnGrWFR3vpM0mkOa+vS6Q583IRsev3SaYO7PxQfMq1h
5NjKIXyQIC82Dj/oyUvzJwRC1coHiLDwW+t36dO7GGFXLxl5LQckTDTXYvqJEYU6LtaFE9bNpiNJ
YD3VECRxqnV8K/sk0d/rVO5qnIuLOE+spXLxZ3TloyW8pUGEAlKJOC8jWUq7t5B96NxTSf3TioS/
YiB6BSLkb40qrw62gXqD9j0ovL3Z4Qmomo8cIeyGgwoKm5iGH0aFdTM2WIoV4fFBu+wUB9XWz2bI
Q/BfhJ3XctzKmqXfZa4bEUgACXNb3tKTEnmDECkJ3iWAhHn6/lDsiTNnd8ScG8WW2yKrCmnWv9a3
tvgix18UcHQCBUdtW5eeZqbfR9hS8XocxB3v4HzQU4NPIXiVnPyOygbg6YWfXtsfa7KKWybGcmmD
TimasBj5UHrPWmxI3FD8FG5oCZUDKaOufmvbdmh2YTmz+r01lNZeudaG7CB4r3nksg92l5zDhPR7
bdvo3BRTtzUNp3xopktjGLQvOjG3zS6LWNIIaMAnti8015VbW9V/qKp+rLpMsz4wPPHKd7x96b5O
5veKtYXXzKXg2oXXu7xtVsueEUV8ZNWTIWk8S7jOsRWyBjrmhPQZ7wmrct8H27S1imxne86h7yuK
aPQY75aI8jopxHmaAZ1EZ/yH/sHtjWldef68USLO1+2o0LF/ZZaoWf+RZlkgOlQT9y6ZAX50dTmc
o1nvUnN4DiH50vg5vdmznOBkPgoj/pg8+xGS8owIGWcgHVNo3TOvUWIXsIMcay0xmuwtH89X43xl
lhwea8N9xd5nn0H0P5vqZ+JgSPcwXDHwxOKhNCN0QHc+57BNk8RssZQPYdLSK4euKGonHcmS4DCw
n+7G3ijuZGmiiE7NqRcp5YCVGdN2DB09TX8oFdN10XIwy0dubQ22kJ1yOAhiVj8QUr/Lx3jAtMzt
14togBhv8YtE7oXFW9nn1BQPRLALs33AE4fhq6BABDbhKYy1tw2gtjLTHj8gOz4HfOWrIcHppO32
qCBJreKfeVKAwj5UgHgSi7lA92KSvrjDd31gWplg74MOWmPBkE5n70phEkzDM9qAEuprmzSJcZ7q
Zlzju3qqUKO3zfBJD5NPgXUBw7Msz23TH4a+n+8tItsykJyFHfXE+AdMst+uZA2gWoP95yM1vCaK
SnDa5rvtKKAoEcfbmKJgY4FgyrkW10NjhRtU8+epK+xz3v2iM49mZLUSZah2czgeaWVHfSuDBvRG
eDfHptjUMjq5vYXTilpEE7j2KaGjMOdMuxrS5r3u2zdH5bspX7pJi6VwuFX3XlQZHA+mI2tqvW+T
/meoY3GoDMrOLfRKNGZ7ZUfYLPXgYJuzjO0s++S599ylepMMdmDGq9kjGvPeg5o49Y7+knn6p89t
npig58Iw9lDe8PUn7UtQVnKbj06+pTz5Tz5YT8i8dBo61shdyruHRf7p6qLfUZ3Srfc5ZHd0jmbc
dISzVRTPa4otuCo4qT7JPnutUhQhmjubjcjQ+VNlUMY19zwC2KpMyrtr8Etnr5kOwPojVnpLHroy
eEjjBRuFbOV6etxZkZTbdOyo//bwJckU54IzePtY2hSVcyZ0nH6+mkV/gPRtr/oALTxcqhu5gDLu
MXvqUWqvAn4OV02nCD1N3e+Vnquj1Vk/sdXBKZthDwr7K9GJcbCTZ8DCTIvS8Q173+/aARXeSDxL
DjpJ0mHId60ngqTX2hN40eeC/rZuxv45BdPdpF7S5g6gP+NEnCzrOOc9komFSm1jtLeHz3Fu7zom
a6tswGbfGRz/Sky1jcfmqYkdrNx8OnQMd1dKdI8h9giOz/5GpgA0EYXrUppn0yt/WVSoeHXuYOIV
117Lv22cZ7gesnu3bwJETXr6UOMAa4Ur4nvIdUziSK98jMWlaXEhcqfUivtt3CJ8eVw6FpAlalC4
Q3rr9tHMRFOCPpVefh30S13S7zgMBtTWkPmaLGSyYkt4p6A4vsoCw4focw4UPJ9kLah/2dZ+arNw
YCDrlfFnsinRiA2LMq3yIFyIR37NgFdY3CTgYK2x11y5Q4YYifmM8LH+iEN1iHKe/AKneQW3EXGv
aSgbSetFmKXmZ0Ib8ulsMsX0qzdr89T75S/EGJNgC2pxKSbiTeUdlrrXBd18qFT6YdkV2bl+/NSy
pNyywcer2v6tLw334qd7m8cwJV+3LcfeRz2ez0HbWfhO4h8ojRSc5UTHwoQsiEKe3wME+BtPUNcZ
wzZizM6hiRuhz7ya99E4e2ajfxi5Opi1E1Lxosut6yQ8LoXtskg+4bMy1kYf/RrMwTlYZbQ0rIAE
LIkYMd0zEbRBxTW5+ZjRvbprM3o3gyn/SEghWaRmgAWiPtkpZz4ACylljeumFA80feaYMst+O9nt
1ejie/jTX9QU4NCg3qT3JR7BYvo9hKYi3MMWOjHS+hF7XXoP5p1hTGQpax/KAPrvmA7rjJwXaC29
UyCkbaX1sbDxjuFUec5pfdgZg/0DsslEpGsY2XbWfcYtl4sOIkk//FBG+27kJW3fM2SvaUICHPLi
OTJ4TLUYr6WAHkUOcZbdztEWXj7X/t1CdVz3Elh9iGtI2clmVAGRGtvKNnJGodMBp1PMFu5GqKLf
qrIklWYmP7SdnKcs13TXJxz46EZljVvU7kwnD37irGIPR1LHdPwcKnnXeb3Jq9ZTu92oDM2niRnV
w3P1wSus5yr8FaehXhPWtRBGKL4eZ/dpqFJjVzge4cS6umtTMT/RIPmgCnPDBz59zPzhufPQ4frp
bdJ9/Vy7BNGm/p0kQ3XBU/rmqk03ivA6luG1UONzVOEtcpvwmfEGFz/rVzKiv2cLH13/AhKOPhWK
8tL/1MLkMm/xGY8TbgNdZG5bfxpXXtJml0o3eDl1Buc+z9heue2yXk9/qLEDHpfalx53thzVB9RZ
tPOWP1ikBN21CH+XKmnPQ8orFYB82VJXzPHVLPOLyMPs+wde4lXHyGcbTSEU6SL6qvx0OfPFv236
3/ZOErdYnYKd4fjeKhGckcuGGaRarnOMMgepDnPd8s5nxT6zufNjBQSa86lsvHtKsskLjKCUTxFc
KtclvcFp/2dEBFgNkSmubT+xmdI2t8Js/Dna+m9CC0xkT5hOy99T1GIMGBA+c8f9mQZcuDPR0JXM
9UHn9kcZ2z75/fAoGsZMsoxQFdFh64lTYJbuK6MVe99MLJ4muAJYNrbJ4MQHC7OFM3vpFltrDxjQ
fVHawgXtcx2P6NDRERJwpNOd3Y/0+NqDeahzjlKzgLqAK2A1D0iIPKSDwz6Hn8bYGO0KTu5S1JL5
hwy7UD13zrZV9p+OaQPMl8+Rq+VqNtstB/j8vkcjZVyhOeODOtW1idSFGYgrF/0uKFWo9CMbhrLl
yh/lC3b3N9uO3hyDRS1tfsBPmdeGpfsVLc+voTGz4RsU1trwXjeVL7jc1/3JM9M/UEnzU1GVv7jZ
vfmzlxyxzOoVXo6nNvCbvULITkza4O3RR590EIb0r8nRxCZY0WU+vg4THiXrTyy737zmYuOlyOFp
EjUfNV5mi8J0Llut2lR1uw/GVD7mUPsMuHRJT5hqrveMlKCawE7b8oV+SI/hhS2DHwHLlaKzOK+w
aFnG33TEg9PVJ5I7PevAMlJwW3VEfXv3a0RmaXEv7qEf6pEPnsklzEQNjGXv7DyXMxJLZU4KOmuc
Ky0k6crJ3ZzIX97tuON+hFNHjr6jtSUat7gDkUAkoewQQvKK4x3ggSj1d8x/2WkISbbDtIX/UgE+
g9BW6pBhouFcgOLy0jYWvWNtvHF8RBI9cbMKYud5DjR9r2L80ftxso2y6oSeloMwxsQBo416P3fX
giO8KoZbZ6SeDdXLyVYIgVOu3ZvmUF9JKjMd6zdUxGcbL8dB1rSzWmvBWiPj/DXRKCfESU+YLVau
mTN7G0silJJAVhgfZi7xa5PzrjXSoQcksF0F2sczQHv3mlgGNW186tuKDYkukJmpL3VLGIi8NTDj
O2EjFXAmGtedFV8zcj5bW39a1FotDrqCxJPINhEgUayOEzchET81rrVnshvudENyoePImJigOlO/
3TtVIdeZBR+vkz/qeAA2gM/btjE2m1ocmXuQm5hj+nTc51I51Vr6+ZHcL1SENeSDZg1S4U+PJz4Y
aNBoj4HpFUdRuM9WTEO11JDdOw4fbQiAhGFB/dlwxZ+Sn52phm3j08RkdHwQKX3kGeFwqn3sHMZA
5w8vOiBENoCAa3oo8PeH8DFDiT7v+ZxL+wplfZhFDtGomrh8cfgsPId/jtWASZpeZczl1sQ+kQW6
mP+jz42tnexHlBGcdi6deFX/o8A+Wckwe1JVfhhk128NFXLyqf3jiADART7gqEZYmCUt2/f5Rz3z
qUxD6z2SdnEKFm1wkVFcNZHsGJqFn+3bTEiJX9WWiaBXXQOcUSssqPbG97IVl91m45GT3vC6H/3S
SDZOrZN1PBcX3UprzSR81SvIKgBVuRIXKG3ogPGY5XAoIzakiv+T5/EaECCRrHfyyejL34Fij/XH
O+ixWINMhPIOZ0uSzi7H5/GrCCkkDgq6ypyKaX7r/MB4gWfT67Mr4g3Ea7viISsaWh4ZzBUdOvng
qnITyPIrtecl/Wwe9QDv1MHT2ie8+f4yNcIhUF7xkW8am9ZSTPQlqp0ZATpAQjcK+dgHyY9h8Sc7
xMosoyIEt8cd9RhEDnzC3GaSnc9XN/Mv7WisK5PWTFcaS2C6+ZtDSqcbAEJM7M0F7cnzqohKJOHA
+BUBgtk3hE9XQaAPpCKRnnUyn2UUPpkW6AJBoHucGlpWBo+mPz9cUBKCA0QdQoYJOESY3om5ZrXC
Ob6agwym7kTCPUZDU5GPmXmmdM4rPke3C7YhNDwuQmYLfShZFUaIrknkpMDqvp84A0vOyUuLGllL
6LCdtvxLH9bMLjw+RVK9YMA5CzdyN/NMjBoghHeoiFDzufFPU9+23Org66fVY93ELkh+jtpRZ324
Vo4e+uT3hrHjiCN3rHIrpSEE9RCpqXOZd4sFzp/8V/Zj4K4cBZTd2IzpAkV3aLGyKS1ai0iOxwQe
rJ6mP1zl8tXs8qnldmIYlKwG5XQuSuFuGz1tHcUdRGsJPYg9uCMVdZq0uAvaugF8W77YjXu1bX++
U0PhkRwYsjUa5LGgcGKbGFOx5mDScfuBstvZT33cjNg7ZLbDGUCLoXduHIrXcRhuXdCuJ7KLPApj
Fm79YTw4evg0+wIjZl1VeJjceyRHzptoBptiFJst8+z5MjNom7PC3nEMxjvR8Zy7qX2YXynX+xhI
BD2HS0RkzD7jIC/uCYbfqexrzIcHpAp9qV0kJCCAhKTGnIgNog7mm1MFWGzXSM9BM49/pmrGuFm+
DyBDsNjSTEKECX3Dcv8yUJMIHvG9I8dw73Z2tAmUeDXS4JqlxVXYYY2D0zQ2+JofI4I/SZqos1Og
leameNODufanbEEu6D990hY7rCE0ZY58U+073ZM4Umz81Fp9lBmTnpY1enb5CCc5l/QAvFXEs3Ro
FlejO9sYFhCre0oNrGZ6aSln4i7BuSQruQeEdb6OCTFYhcSNQ0dfXRHgiiCxwmKYX8IoBl4EcgI+
T9yZS/UaiqRPZMeJkGdw7O0GM1+zAyVcnyMSBPkfpwy8NU6uD6OqOpjoYidLI+BCTGVZMOMsz3OH
HX9TA2jekvJSQAQHmhN2EfZUP2bQILzW3MuEwEDonxi87fLFvD8x6Oji4ZFuXfKBpo1xJAq8k109
KXhJXrfPPExoeC8+goxOYn9uHLKL5qbUONNNWyxO4PSScqLyXXtnj7QTo/9a/bMZQflu+DiPjeJS
ZdrRY+aa6A/3uZFOe6S4i4nxZSUCo6bIxQ93BQU8fjmh/iWU0oXuiShzuCM0QQWXKA+VkDsyKe7B
maMtAxpnYxcmAoA9beWyd7t9oS8Ufo/r0TW2VQq+zINfiJ9w6I3dVAC4tkDMb+KR6lwuvUzOsHjo
TxgQS0C2o8BlItfCgXNPCm6I4PXRg5Lk3ZnPG2+PnvOdd/IMsz030nwTyIyQPyIsPpwGNdmxC0m2
t8DlZMQSsgtASSNroDcrXT2Onb4OysLOzvGhRoTCAhxfizAONhG39tSqkTHG+64EKGMsIRIEfXDV
o2ccDC0+9LwWyfOA+B7xl1G+0fSrQgDj4bLScsrKR0PfRWiOp9GsnwBK7jVJUhY8FZzHqnsQouN6
atfgmLX3znG6wX1yaTIyG26eVRcXhNO1wdq6okLjzqh7eYoch2S2211rsm87L32wjAchY2gYJjqb
3foHm7PTaq4Nujci3yTiBixJjjXwb3rod7loy4fKHLBqqTh6IOQrV1gycPkF3rZdgn3JxKkpxhWH
NSmXzyMfOHucQRnFFu5NGXX3baPa+zLT7F05s08UvKAhsw8lyj17hm0gxBhcgDD32o3nHny7oIRb
enrP5QmXpYeVs2DYj+jycvOFipKlS6SGswcPhy8lDs4xTvp1hEOcAT6S3u2PcTrMzriA/dUt371o
VwuPqksHPoZzS6IuwfqMV+0VexKAHvA3LeEpREEYe7yKnMySdEuoKmV9DqKXSvnLyUV/jmW6duga
NznnPrJvtY94sC1Etpj9shBqfXshbDkguc5YAbG+wtHAsJ5ha3b7kd5nfztjkDoqHK+vbUnMbq4d
2iOXIuKQmGUUQzeIsfK+xkPKfWA2n7Qun4I+Ku4tQ69v/7KQFSkL1epLWKU+O0dGLFPH5YsOfuFm
5uA5Vi20MH6Fc3OyiVsyvjF/RZD/4dTMeKYJ7B+qihReR4vIdQoF9vaOuUk1niAWPshxmC43Syqo
f2fNKTG6DlgggJza0Y6sY7GaRIfwjc/33hONc0+cXW3CCaV/RTgap6PAT6mt1FpbjfzKbgCbwumc
F5cj8yLlctLhNE+ymHAZYmm//vZwI2rAKN3dMr63H0oaJCJY+nvRq4eZWcrzSHPGyNAZwLVxgEp2
NIG0PlUMgdeAPJlhGsSC3dKjhoooTp9jEQhs702OZBYjfEi2ke89zjgaiX17YwZ5k6F3Q0UpVe2H
+9t3q+Uc7jFo8s9YI+HDSaevhDnVFrI7JtMb38jUBDFDlPQDsm7EmTSXdLXo8MB56k9ZcYagUJSt
rNLTPjLgfka+TC+Dzl+Gth4IsQYtCTuCOJlHyI+Hx2YDawnNqeaFNfLdaU3zKEdMVNhAgpe2PKol
ZtcDF7uxYwvQtzDzo5ADEqg6RJp6VRfehHk6uwqzHTcO4YezU3nge6YxXCcd6+OAH87Qlfw95jZJ
N/Td3o1fpoJdKScovBGi/DPDZT/XS66RAA7ciHlK8YjG4xXw2j5u6+QOlyLu0xheoTvn2dPg+Lsp
FeE5n71nscQKu7Zo7kt+1ipcuVVYmo/4sNaeKdVnH6IR41aIH0sx2tiseOtSl3HLmHTzzzHlxFcM
D2Ws69ep5JWt6zG6ZuVPZOHhOixAQdq6Q2yw/cM4eO+m7XCD6ce6WPffDJFWFJc6nKaHtOGYreaI
0E0xnYm7t4/K4bB448CI2O2x6lU4a/Mi2jklZiuWHvdczL8Nfn07kZYkoMunCwvHswcJYBPHQfVm
VRX9oLp6oIy7grtXsCF12jvXmNAZkpJTxWPHGNup/YNhRFhml0m3tSRj9DAAiC+hs4bk6m/EoURj
p4K1fhV5qsW6iFPgAuy+CfWjMJQsJgtUWhfGRnXmL9Sm4jTF9gictn69Aei8KXGOjEqcOxU2M3uX
92DIknXAFvl5atU6pHeQyuAY+2Ob0mqmBoFkqk3U8HfVj9wf0/49XxAMA87EVTJlwy7PAVWRgztl
HtjLKgjynSMAZkVOrNZOFKQnWXIk7liAH2zmxUsG+vaiYk3Y1nVKZ3voYfkk13BDsNHtTDYIvXld
8QAe/GnQB5y4BdfkxSnoFNOlRauKl3xFFJ6lsD26KAjrgm6Ld6FN2nnwDGt7a9e7vSVh3BJYz1Dl
+XNkQxjc3hlGHOxKq+e/0o0Y3fpakhTf9SpkkjwNp8qRYnVjGXGwC1blMJRPRqq8Xdniy/vX345M
8xPcgXev6LQBbCjzQ27Hv7CaHzNi78lYqb2DCrkdKwEuD1jaHb+woz/yfMN5NQuOs0wQbIrymJjy
rYq7HXTc+l05OOzz245ZFDgjunlZN+LnsbTUKoCCc1sQCVSCvijzndvmWAfoolmwnVySKx/NioDn
MEabGz6xKrZNoc3LbbOtEudL9rGG5JEOl275oTfJQEErE4e0vWc0cmGTXtb3//tD4b97VmXe10P1
NKAlcF7itxw3/KoHJz/dfjbbacnhfeh3/YEbwfTTDn1F2rrDjlDzIZCTYz8ZZbttKKj+KDvOuJgJ
7WtUFckFDwO/oRE0JKY1zj1vHaUxnT9OP6V1dnUcHEuvD9c0pKU/895jVOsa3CyUKxAlFoRtrr90
SIV54jUXbf6ksT35A9EGH4dAov6mBrWVrI5x+CcyY8IWLgkA6L9vhgFjDSvKOxqv9hpSNc0Y7USG
C8DBanhjyHQYBFYCZd12m/5iLbwTOYm3rCjsq0rebgvtrQsY0+9POkHNNWtKcD/WIV9EGT2kbU1H
NxgLOqW22o7Z9IemvGIqe4TZZ9DOEPHNida5M0T4MRABORGADGnaiebtDZ2go+FhXEJuaUoh361l
spyCpwlI3d3UiOS1T2ji8LwU4J1BBaW95OEkO3o3NhzVZxbuThrp2cdtfq3GrEZ7I9U/t8CtDPoW
gYQJHLUeWNkuV+N+SIfssa1ZjFsHRXdipzumk3waW44KNP1AAIiiBa+S77GIQCsLkQiSRt8niqi8
IfAbLPGduTTP3xt+41OYgm+Zcpvpp9HxpYy2SSpa7L7fHPJStPYI3ut1BmQiLz1S2xVmmrJ/TREd
cbmNxnmMSazg/W0vkTOrS5Jdb+sJ7b3jwUg9h8RKYNKNwVyo4EE53AB28xTMR3QKLg49I0Yva5JP
cAaPHivWpSE0CMxb+UfTzJrtMHjQUYidb6NKjdcm/3s74RTsa1xf4T5ZQ+ftslxk5+/9vcq86aHy
6zftyAD9ltUodggGYvhotnYqnmroxHe+lTpPKbPX2a1BtZrOxLE0shBr+qMbKKY1nR2SZZg8tMcp
PPKhVHT9hvk6IWCyYXh8oiK7u+/Cirn4AoRjluQ/fn8JmAoN/D66PthLd/eEOXAx24F1aev6ZKQL
cxaX68mNnbfQCPO9SJg74g2IDlDuXmqc9oeAYqIDWyzCEzAjXsvlL4GifYCsu0Aoq0fXIIhWZCHG
EpZ/csR4qVTx5UAj6Nq+eomUecUC6KIBufyMA/zaIBn/Ug7crYzUIeZWt5fULZt7Um/cGXgcWEum
n2S8KZNbviePVFWvDS5rxN13qAXiUlfuZrBMdblxY3pZ/w/Sp7xtgLaVmitniIo1dVKoJy1xJUs2
KHs16N7Y+WoZCfBYbfUSIsyYCNmd7TzqqAZbUMgjNp+7NI/r9Q0jI3TqPEQ0ipQhTj+87n8BivB0
8B+DjPekpsFUKHl/+1IEInu91+TWWFZDYxv3BHORk3Cfteb03sfMbou2vSeFI5+D4RXSwX7O0/gX
/T16nTkCfTJxg11mMk+BX7O/AWB7nRS7PrMfbqUE3oJlFOQjGwLYq5nQHk64/7myEJ+hLAlr58Xz
Ru+YVgG2/2XVlzFn5SbyjgInElnKBBTPcslqcQhuZctx8nZvq7VlrTFLYBxfbmqYqaIttdzVfgFr
En5I/lJJhz0jCndjwZEWj599IIWMs30BE+pwcI4UfpGH8lzsh003brXLMFrfuAMizSnkYqXAc5Zs
W4fqP+7tKGNL1hjcAAONZvxsTUwtZWatgUqDCi5DKCff/2mQDEF/URtRNfKNau2B6vlEHnA4yDft
x8xdrfKjbL3sUoKwYjWiYrMvXXsjsH09SQJLVMk2X6ND9unGs5wUPhZz6ugUqnzveWq7YKPUX3or
iKRaOT/UFmPC2GHFs/qBIY7GS0vQb+cXTno0wvBFQhy6V6w9zcLAwo7KH9XoLtVgBt+Ubl4fjuiY
QRKC3qknnd3ECRG7FiedgSKy7+e19j3zKJI7Y+6wmA6jeCpD+oiGrPmsm8lgDA+XQ5rwzhRbzm2t
vK2arJ512VuMhM9g1Ko1F0Ho+AMHQb9COLh9VbmIz5h6o01Xy/4gPVhJg2EHsK6sgymivxrZeJdP
BcPVG/l4uGBEKQ4Bdp79FLiXpO6Sl6K7cKKvf3ZOwfmHEsAXgCDe97rj8AFY/ma3RD2SOWp3fhU4
ax5baub9tjzVRsnj5NrPtECz2cMN92L1RSrzIkxm5QlB7vsh9P8SOrMQ4ty/ZRbOD62rf8yJ0+/E
GCMNhE74UlGDomN3P2NkWeOM7u+rzjiMYPQO88gklNkRSc88ce6siAtZEYdYtXtQcssB3ujAtd4W
lcj02S1kt+HRne8ia2aQyEo2eHy6dTzty4ZD1eQSepYxim9ZukeNQebiBONHRCHA2ZOzf2aNzCDA
MPOiY54BOOtZWMzDS2txSaUz641lK/2d5P2jUxQ+3pDoxGRt2tSo+oepFurO52O7yhSjs7Hqvc1t
t1+G3Mhs0+X2NU/dc+mP9YNQDdq04Fxwo8Daxpge58483jYzucSnlWPyGEN1t8DYLozW269OTfQO
TVdf4yQYeEE8f5tE6qkSg8W77AcnmQ+PTm4dmiVq3tTWYzsYhABcfUqsBYkwX0CW9Fvcp8XLFE4z
oAhOUDnXP7kE3iEc2UwWNQAQiItPoq9TqvMAdVczFeqBDZdWmlo9/us3sjyUB4jzyJJN/BAuksKU
h3+xi8kdgesv5FV7p4ZK5nBfk+gqSequvcL3T1wpf2nsNozGWbsMOwPlXYe4/ZZTRVz6JzcBu0BR
+6Ndps/k4Tp4M5G/hMVYTlo33pQ9rADO+xMCslbr0syP8djC3O/z8NoH2IsaP6sfuoiRrMWm0a3H
urU3pD9/4q20f2REttfSbv7OGBCOOd5A9q3I5yYXb2642CIwmP7C8j7OKdFI9sdoLykjv9YlFWus
5JTHueLq1GGMXW7cmdU4HYwGBP7CaruPVXFfh3N0BU0S7Po4A0I/H8hioQEppEE4PziZlioaaDvx
klbgYg3qiqlKCmO6aV7dbEoR4Ui1GyI98cJAo+jJst5+aQr7VwmdhiJfAb/c44bcBslHo8t9XuQ/
ekacd0YrPzIXXbBOWfdL8Yw3cHiVGkBc1dPi+r2QIFnfFR2qsFlJ9yVLzWsSCzKXpUypCKHC+L9q
/vcJ2qVYxUHTcN6nu8smYL37L9OKSw/9R7LdO/eVJHpu5CdhEtWonehtjCRixLxpOAaNhAsTajFw
VDd/Qf8kc3LE7XJAgf4wg8XFqpxD004QMBt/FdtoDwNk6MZu3yjIYDgZk+jDMf4Av/0ZMyUNmQ3b
QWo9D2PwWVvutqyA/cxVbaxpin5o6+5iQfdAWOercNJDToAzqjS8Ok8WK8aJX9iGXilU4CVfIM5+
KY829d5YQhxMtNnwFPfdKjDZh9NQPXPTA0jEKJfIchdUTAyIpNd4cFTSoYRMW4P8NB7kIcyImsfA
lcGXCp9xY2MzVprnVeQUYhsJnObYKQ3bBI3u85pSfXIo1X8ogLH/SVSFWuUFjhCB9MGt0pn777hc
TCGO7tJK4Wth2qQzl/Mtx9Ox0mfbc/UZT9IT5lCbKWekX8ellHiG/bKQ4y9ZSVTCQyxZNR5g/pAb
DSYjBu48OOMx6Jxg7xuS2B9OghNSzO+BacwzpyE6InSY7OLWlO/Kg3njKwMu/EwEKQ6c/1Rx9L+/
RaCkrsNpOpCWJfx/tG8NrJtjkfm8oculeh4dc1xPBmU9JIAZ/Vdlt75dpA2vbfBDYgCWZpie/8+/
2soevlta/q1i659FS4IOV5JIVGnzz3g4a//9hY6ZLbMoMGGNFTn+nsWIIZ7iCL3wQL9xSrcDCoko
a2XQFrYJbULTkmFh7LvN75lAFHS/5D91zP6vtqXlC3NdjmeOHVABdPv9/6d3ZQ4mi4ZylxkG7UOX
rhCXahFFiKw2C7r0uRL5Vy8Q6o0yIZuqUgQkrOyLHQDLq0di8///SrnOP8vHLdNyXJ4un3AM75r9
z89kXJVuG7K2YI70V1W1v+FKaR2wpo5a2DEcAEH17T5C9HynFvTLDDz93JKNPuLXKndMmQvKXTEG
sTN1Vp6fjLgl0xdwFJpHDJ8S9gWCh7gGjV7nuewVrmkMarMZvMVlDrKXkU5ktPMDhNM/Setmp2b0
n2/n565AYL/Virkft+vE7cj9LVpLg6UJBYhci3Dv0jhLD7cn46a+ADdcCkt5POYo/vwu7PnGmibo
HvskMdSj1wXvvLZPeTd3ZHnDgf6Os192fCtJ4rwQ/72/QT0YnuaPlv/T3H4fJSG6dCANavESDVzi
824Yjrfih1HITzRVBiOLoJiU2UNVz+0xLOGThL7G3tHszOUAZS0/VNbUrs3vfg8d20cMknLl0d6w
rceOUjA1Al1WLUGgPiFMif1v/HLKv63tdX8G0AcrWJNMxIMiORO86+41+baVy00c9mF1nGi5/MGL
Tm3zKsnM7un2rQDnZNIQWifXYr0Qkp6GJCZsktiyPvtdwJBLh3/zsO12zG6rY2mwN4BXaZ7M3KQ6
TUsXhK0HocoRjBbH9L2hauJPZ4s1AVgmdhNpNye1qu3oD8VVBerJzZvplzMhMoL7D36EIxPuSBXj
y4AbBimw7B4n0m8jPSM2lWjsYWr6GU0s8Mwwsp05473i3l0+ToSsWK7t6UP4JbI4dTL23BzizJTP
Lc+3hTILhb1nErCA5XsPX1flDRd7Crqr0/pnOwfU6UVPfWGMD16Xj4uo1H0jbruudzY8ckCdRLUO
Fqj6DekIEvT7Y8OEcicWCMrSLXZpXEwgpjtiVI6Dj6xKoNyLr6AWNY/rAl+rhoLeY3s4EfBh2+XN
OzroKeVy9jDdaTg6Kr0rZaseE+ZzKsARZU/S2WDi/m/uziQ3dm3NzlMx3OfFZrFZNNwJRgSjlCJU
Sx1CJeu65mw8GM/LH3WuE3gXyESme3bjCTjnPulIoeDef7HWt3irhPrW0VrKjsKuNYzc9WeFi+ax
Z/h/829/ajNcbTNTLlCbjnNBDEDoRj9aT3bT8WBoNvNilWph+UfEovaMh6LljTpdk0YMmyEtvk2E
HMCEooDhon732wwPBIkcaMjA+BO9haqQLW8tUgOVPIMhbc7XEZs+z9d7lBChGPZhNUNy7eRMl4Zc
8c/hOjMM2liCgk7H9zPZIWobJTihWaa4DIeUB5D1MM8nEjo5S4ozv3+WJQyOxKgvfsxCb4i1r0wT
9n2IoW9XtgaNdOB4vxParPe5vRz1q4rlA2Eqxk0Q80EU0TOoPngx+AYmdRJ3vtJDllIJiEbhG6Do
KKPTnKRnhvbjpR6gHqAsAaqusmix9bY5Wnk7wZWwtOYY+cvyL5kPvyS92bD+5iJbldXdIL5x3CKs
bH6SdoUX2z7+1pU+dAe9lKfCGbq9UMS5je3swq2TkauGj0uF0LRlwBgA0CPsuxNpexcGTe8qJjqj
2RiuYxcU598PzYLDDYggQc+TanthZtE92cJZZvb34xRbhH4gaVMtAPBKhihNZ+DpsZX5yToL93Gp
aHvV3koCPdhvk3ZizyCnfq9lNEBiP4y2Z/bs14QSN9vf7z6bBeaDItv9/im3bxLfcePlzvT7PbHU
vgdleXyyNbJ68R39GXTPgw85sQYmRVqzfuitIYWuSp6Vbd6k+sjQTRHqtpZgFn4r6wxqQ9vZVHNL
HYNbmLU8WJ9L2LI6xDjt/SnQbVvxHH7b7NdRbOki82BsHKNfJmloX4WMjYNpYC2rnTbelRPiTYVQ
R5AuM8cWCIdcr89ocWucidjuRwIL185kTh7lBYxHI7kx8BO6eiDfwZtqjzGG5ptptt5nbCLHWuAa
mLTYOms8I2ddBRqiCcAW0wRyIWW3eJQ1aMJ4ZFCb+iUzbmNJ9JVJgwgBI73WkB4eJrKBFtxNuzQd
4UrjwkeHwOyA93V8lxcWvBk7pbX7bZozEnKiVFcucavP2Lmon0qLM22uO2x545gfbfbiiRx5EqoW
Nx8O0CVzTb8Xqn6AS1t5lSVz/ID6ceqK6S03yL+Zxo7J4ig2GNThP/fJO0MOe0OjrHhpmTzJwdc2
duIAHERL7FUBItZ8VrQjjSPcoAGC6xCru0irtF2DB5dM8PkEyCbxYJ8226As7atOV7oKquFTZ9QB
00htNwDf0DynCL58iAdXjVilbZ9m1ckBD/JnpYzQJFk7LJ7AL6efylRjMi5G5qPLP9oAnVhjgRIn
p+xeNHOAMyHhrrSx3j/34gXb0M2fuTiOR5t30Xc6Pkx9/4CctH1X4vkGHWFezsIVVV5vfjFVTBYI
FTWivHltp4liZNFS1FbjyZxBgywF4YLzaLo6EtQXs9Pvpl1cjf6dRjyzWwbQF3dTZd7+flcdPzej
9WTFHj7Z1oFSnyhuiyOaE37kQXxaBknYjT44R4aA6wJD/dbu+u7YRzAjrZ41q9+h2DDrxQdGIjV3
wAyXNHhAlI2tM7sak9575Lj1hGb7i1I0xAzX7zoZRR/ZNOCxb7Tr9NudooRGeLTsCbW0b72sGjpE
Kq9+IqNnoTf7CQHsJh9U9agYDBgHUiowZLBRzGKjP6gFFCRRDe8zRyGAAIx8Gh6h1J1hujUTYrFK
ba6/u2MjD/epDVOKrdxO/NIIdaJz3baGdaU6FSF7g/GT9sm51WbueSIcF4kihhZMOi6AQTQxy7y0
gTCyjzRBC8rjkP0hfGMjJJOFSnjLtAOlZ4D6Au0na0fBrDrs8keFYhXo0hjeTqld4ycz2Owui/MZ
xy77xNPAg7n4T7GemlOCl9Z5HtOkf2X2FjJ0scIHbYGW6cX4KAWZQ7A1GLFg37tWpqcoP4EqUILn
FKQEUFosAPXuMIti2KltVP5ZCsfpE3BFRAoLYBDKI2TaXM0P7S/GPMuKdSWn8IK+AHlbvYjmOe/2
/YKIzdXjAN/BnZctfFaMGC66FALbcph0y7dG0rpnqumzgoXu0Em4ICHzmZpc8gdNNoffuIYMxt7v
LkLVGTiaswk1jTQDpIv9ADF32VAnVqB7CXyHrSGS10UxsKVKYytVw8/6JYqXHe8s0VWn/7iZ0P4Z
cKoJqatCRZFrqKaqyn8GnNZV6bRjXCGlKtYDr8HNtHxI7EvSsGOqjKlEMckHSy35YFp///H374KW
OErh4L2oMV+fkQwd9KCCrKfkKS2BLuBdSKlf/3woWakUA7u23x/h78jtv1vHfySA/+OP/7m07/9E
avj/U4HgGn3hvx8IfnjP/9v5ffr+1xDx5XP+RIIr1l+ATH8HG6ZjGOCH6fuH7yUTXHH+Epap4uh3
DPa+QlXpMP8OBbfUv1STHFrLlljqSDfgDbNEShMKbom/bM0EoGSZumrrDHD+K6HguvWvbe7vlyd2
WdN1laGAiQPkXycC+cgKPO2xZOuy+lLIe17PEfUYmr9zMxcAux0NST3Dirpi0LRoKtmMMAGchmc9
LZAuGOd6ISDUo/8A0+TNL2sv7aptpau3VTID9GBrbNfYLMm3AsUMXDY07ny65lWDkohKbzrO0w3E
wpt6Dn8SJ734Qf5mVl7qx1fmUzeVaT1owXgXKxDoZPKDrvEmQ+PHFv9eNYEVxDhsej/88fHv4Y83
DLrmdts1aBANfRZsNaiGQAa+FNWn4amt8xDo452tNId5YWrXUUEoTuHNjoHY04fHBxVKOWPs3gR6
d8eDncKYkcQRdSnaCw3lYHvODKkTxNTEK3+cE86xHjS9TqlaQHyBsdAx52F3qKaWPIN7GDZFTxpE
Hkzl2Y6K8pyWQUpMBoLMIkDl3yZAuQMSSDLLIc3OzDaWPb5YJXLZpRcdjNHc8qOe26b3V3nJd02h
8REG31qqrk2TVUo9PCcL70IW+R3Rp8jRO08ZC356jfSXGeEKt3n2lKvUEE4C7y+0xz1zsvqU2RMa
VJ2Tf/SnExHs08ms7wipU3dwJzyzqtWNnHkJLQzaKIwSgRjCIqPIZgWINfA44J7byTYjhCspyU+Z
XwiJ+ALDL91S1y4oPi0Q+tNi00l2casAwsXIgQDHrXrjC8g03pwxe9Pqrlqn3T37erziOgo/1qOg
s5jyjMemnQQD3fhGoqAIWb5BFXyYEwUhmRCuJgAuxeNzSg7pOiR1x+lhAVQ2DoOO5UAURZ/lVJxa
Sie1PPeB+UyNVrmpHXzWZcGigd5mJqoy6KD2OE82zpss+OIap/Xun7VEE24QSgRrxYjr26igOiYF
vfmm19CUqpMBYgRG9nque3xIY3qMoCespyi4A0yvr5luwiRDVbxOLX+L4Lhk7yd3NkFsCZOgWoDe
GaZPvdfwnQpx0VVfEEFxIGjToK6MM0aiEp0vAn3T6RFc6/3TVPDeywotQpJhnHMjE9thYahrC3GH
3Fb09hOYEoYYGx9l3erUxtSiQ2Xejw12K4V7dhUbA/jKItvPjUiQfMRsocZ4awbirg3ozFNj3LMr
qXcTIylD+s/Y4TGSCVapc1w+CW1ZujkPlHbcYbEDbICCoVlwV2X+2Yn+1uJA0BwYFkqIwycjRcCL
aYrKVH0BafMWzxXSiLZEf20Eh3Lh+SBZUvn8BNMNMIJiM9Pfo8wH0KJE3V1AZNpKosxe/jdGurLt
Zv+iRzabsK6NtxpHi9GXzqakNSoz0EtDce2NWT2ANxqORmzvIHvqqJUZ3AkZHAkzbzcost+6Nvix
/HxjIQOWRnrBT/jpzPxcmc9jLAf7XrGA/VSZAZCwhkQjK34jMyyqnLCElWzItJVmRRKxva9FrLhh
Po+wxMps45t4+OALYDWV+jY6gRR3NjEwrF7DNqbr8Hwdo3wY2DAx/GNWpFji0uI4XIlQPOJygjcg
OdkmozvxHDOwIuFVlsp3jrE5DKZH1VeP5eTacGyRq0CKxWX97gQj7qqG1ysfa+Di1nuAdwi6QgwD
EHhQaWUwj3EaG5nO0qzUmpWAiLJOUg2B70FNUlKVfN+Gt4f/ihvikGUliBREjNqjMdFWzwY/By7q
7zF/p80VK7z6nJTLsybSN6fggdXy7KEI8xclo6vwUSt3UfkaVbb9f1Gd/P9WeBhsEP79wuNUtNP/
+p/I9Kg0cnLRpv3X//jvxNb/n8JDs/9CEWZJwQ1oM1knx/xP2aGJv1i2CM2Rlip1XRPUqn9XHdL+
i6eJabelccpTdlCr/F11SPkXX8OWFs4Yw4S1ov6Xqg4iRCgr/uwnlm/UErAtJHwY3Wb1o/Ot/KPs
EIyqJ5V8vTVPpxfmXXmslRREjpaOG0VvASjKJDiCPGByWh5m5wqeZR3agNKA+9ST64M+7MCdlXet
768wm2M6TsD1NrbimigjbRpLXHu5DZop4kxHSBPMnbkBCaohvMJHjxPEPIjwISuzS5qm6lNmarcG
qWyzmrzMDae50S/S8Q5LQdSdJuoWiTLb73BkTJ3+nEb00GkQ7poyaNdKt6omyRguzy9hCKMHEMix
ivWzRZ4Wus7nVJt/WSh41ugwz5MYTn2yQEAW6TesqE6EZ+S8DIegeoyFsXVq/cUymSTISTNcU3Qb
dGFuQ8xSVjgfeVS8wzqeY/0roEgwUGCA+KHeibat0j+adbk3hgn5e4hRAAzRVgTpNTJ0kjjzNT3C
d6a+IqcmsZ3UEfzuoFsKRudECb0HYXk0y48w71kQ+TeDll4LBcNAOO/RMayb8plBEEMfZPkBoy7L
3kKM8fKaoa86eSZxAfqsnPHcb4LlYB4y/QQUY8FMSrae6AuLYKdmvudA4qmscVNNNgbrxS7fmF4s
8QH6/UcToO0GImHWWwEkDg4x4Vkie6ry9imGJiG+I6u4LC8y3fHadKaP1oHTFJIT4pewbEZgZNom
mZYFKieqbn70QHcqK93FA1MG42wszA1Oe0yX1nOqOHupE7gWjbsFEtECh6wt/dpDBcZAjakTaXyR
WZ7Cuw7XuW/vGA6zZIDUeEj5P9kdtndWJG6r9qdqYqNszfIueXbyx4oKYWY3G8YX1BpuAIUywK/a
a3yh1CS7Isn3Tpatwnwklu4liI0Rp/2Mu3oyXTwlXHz5e2rNwEXluI4n5wH5nHYsufwyzbJZicKN
K2r12BvGY99HBzr9pCSrUGNo2LKVYkSCM2mq3xPE+cnYf9WPQREc22Z8KEW8Lio7Rp9drJVy6d51
0ZAxHd9K0f34JIMbCWYRGOTEKhXjpmVcg7oo8nRGjT4q45URCHytAfkbFLMt3rfkJRwh0daq8cbs
X8LAc4iimslcGStylg0pkN1EpZvZVrltCyBCJUCVwevLHCgI4s3sAJ/LHdAhYk9Egveuyze0873/
ETWDV2RpvO9DK7oRMjtlTPj2g1OwCOz66ZpXTr0XeVtuQMqm8Nl8Z6+CORWjdhYNhWtqUnEDn6hv
rDR6FEZmPGTBsqIvFlhFe3TC/go4hp0oXm/Aa7j4SvXOAd6DdQhfc5q8zeqpMQuGt8lx7EacpMkD
Ns0VCq3PvrgLl8k2XGgcktJJjomBgcwCpYKiNgc6r46PAYFufBJRFBE35k9lLUlpKeQtsNndtDF7
gCpEP0AyBE9wIlLMhbV/0/K7N1UcrDltwsugOptJO0DOIaIX+4e47/uRcWu1kvId8gh509hYks88
L/Y2lo+yIzSR5RNKprVtk4EgOByzxR/qX/rmbJbDpi4iz67ISTYpt0GndNm9Ws3emDdej884Xezq
2nXMX8yBqj9904udhvjbmqu13z+085FkGRcG9yYWN34gLnN+ba6NX0GWDQ+S6A0D8ySYBQ1ma32D
vBupbeb6quJZofAyVTkSCuAW+q0Dd0HRa6b2r+Go8qxNqJjwhrUJiJolk1tvvRwfKBDnqLyGwsb1
RfWuYs+gUEOzw+QxY7oc5s95NSLcEvhRR8iVTCOpxRUCvEokqhBMVrqCS6R1jKcpTrcCHc/IIDtH
Fpyi3gomspF3PRSm2fxpGAcqiBrnhvF8XO7HNqTfAHOVv8CA30z1M4rPhdMd8x/Gba7E2xpb7hSl
NzYbn9GOvGEKnqCTXJLR2RMq2umHKPms7E1rBZs5ll4maSIWQclMePQQug0QQcw1LveiSz3PBpSY
63HhYuCELfZpe0h8VqIFYF4WmnZ03xLphHhwPWvBa9a9A2BdhRmQWxOXmk2Ig+jLtW6cAuelCgqv
j/otqqyNUN+C8KeaLHeefpo2/qwSKsTR9IboGqnWA6s9t10sh452rXsEIFDQ6HpcfvEQ8YsV50nD
Ti/BUdtxmhjZz6zP3ADSU3JIU2rd3WgNEMG4w7Ae76umuMYDYWDhOphM3laebCcQEJrzE8v09ffv
nJmpqz9tu7i6mL26xSYy49HEYrk4jv3SrXytWGWGDdtJr7QtyTeuNjChUMKnfoZXQj4FQ3POoMTe
tVPriiC5l6nvKVlyMyD/H803X3311dsRQI+Wf7RtBf0cHu5MTodeoMD/aKKnnCziGWMmcg7okMNy
dqy0Dl9gqgCnaltcHG4R3/eLcSWRp1q7w/xH9MKTGb/wBG1M/N5JC0Gr3EYjsI9wH8Cs6NTiIwlL
mvF2my15G3Q9ffTkt9mpiEhhjbTVOOTeZPunXr5aSycqeGkjwLtwdGwIGA4PUH4bJazwmVT7I63R
IpxQU7R9xCTUo34ocQgEARdpspv1xuvacpuZ7S0JdmsLOI1tHhvlC471KkRp1spv9kKrAhmcjQIO
qzWlxPSSAfmqUSMaOXtfnml12NrLNiMbN0YAZERUO653D2+XN43lLm3MbVEklGyYV4tyn2n9WfX5
tYk6+UBu3Ff9q0TmisGqcoux2QW9c1eMy8qYOwjeYjD3bsXtGRcoFzLnJzCmne/fxzlLAikQbGt3
Z2WAnl8a5n1D+xROw4OZxx8DsByG39WWdtkNdc05Z4nj4b2pXCO/T/EQL0IMGnfEuSwJxRt1DIWk
j6TbHRuwYCxnLnoY9fRDHNGgZFxLYfFQBMHBqujd8q85Hr9SxwigXcjHKjAuPiP9kXeALaZdNkfo
PH15SPvxhOw3XuVqfxdEmGixnpFUagTBKbWQHqel/aKUcQT10QSDPa8DTDERtvAOuy2ArWoVhNNX
2jeB63RLNWdLuAePWlzdUj3ugny6s0R4MlLnHoGa248D25FhiwrqCGWkmvubShxbXfsJdPurzfuN
1QB8q6dDPShf9UK2LxO3rKBOFBXHQXcsypFtuP1iDHCCqWvsQ0ukFNgSc1ko9H7hNfGnjHUWTriR
WUgiRHs2k6+uR5RQsd4g51drlNVkS6plvkA3bjoJdCM9wh7mHQtjIEQLjYomzG7H6UNh9DGF13Qq
PT8vj52RnkpQdJ1S3jLxDLHBc5Uz8AL6B4xJwFmQr77zUzjFqYT1NSTRphU3C/g8m5p1vCS7W6QM
EIOizE9RqB0H/mqGYdmW5Y5DmqeAuQMQIWfhsfv6edChAvAD2Ik7akBdYpIoSO50IJgp45NFfQjA
dhtBaxPEhhQqcJD4HOqm2z1Voe32DrLawosHvHKsmqDbHQLxVsWoP5ySt82DxohrrNK9r05bWrgd
QRn8+8BGAHvZVfpgcm7AGl1F8r3Ijfuw2M8Gpyv+8zW19yoniyWZRyAY9wTbWjYjrpxXF6OVlrth
j4Bywj+AUJah5QPpjgc+EW6PeWU9wpDBqLeDNbllZ7ilwNNklC+DVNZ+8MljeiDj1m1mYizAKCmU
8aHeXp2O+sFfEHOl3FdZeavB9Vsimb7Zyq9je7zLIB8FA5cJPChmBFQxchqxC+LDVhRYeh269ys+
mn4bLavNYua4jKXBEjpVXvrSwMpE/hUX/KWa9PvYLDEiSlJaMcCUVfpoLyPUhlLkszXg0c23AWYh
2FoYa8gpaZewDFR5LfEU/pPeUYpSWxfhl4mLrqCLo8hxRiglaNOX146j0wX/IqHYBIPmhspXnjyS
9bdSGeXMVQzHO9wzojF48ybcXppEMSyIWm8tKg2DO0lF8rnTqrsE8y0zXWFjPyytTWJMZ2lAHmBj
B7S3sG/M6lKJZK+wB5SydKMZOxqSFQX+cdJSuiR7uDKrRHQkQREklvOkMOMFNbUqYo2N++D681Fr
cRbo/abD3F2N/XZ2BvS8lmvT4mpqADAmZ4jW4aYU2zli7Hy221suyyXdcJX60U6YwXEUz625FL9E
sbTvCaOihuTraBrvAkmebfkTMKj1/UNPtVFwqbUcFn3+k77PPJsRP+AcP4x+sNPxlYQxXDqowjUi
B4LZzoGzThRaTq3fpWq7U20eJ2xdDaB0lVTnnCIlmw8WQNVUe4rMaJdYzyrNUup/ZA5WDGizaiEf
heCtOuDPKH5i1sJRkd6EebCx8jsVpjoCRBsmTal/1gR8ac47G8HJtz0UWil1/3beJvqDLeQlBkLQ
xXsB4ySvL13/VFKDkeOWgGaD+Q866KUPws2MmqZjBT23vKqQfjrDXjkAeDPTtUm9HduHnrJZkGwS
cFQ0yj3jNXdYEs1KbaviC+ihh6fYLUX6PJOoPUSYjGH/B+Orggbd728nfj+xFWxnYXmk6W7bEk1M
M9AtBdsaOyMrc6+2z5lwPnpWx3FqrSEFb5J8R44MXqVzmQSuqT5IpG6Gfu7yDzNhf6l+6dLcKtDh
9GYXzbUHm2I/5cN2ttKNhDtQa4Nrt/oqKe6ioTumUAcLNrHSWdkaENWZPSn7ZHN+tyjh2Q24+M49
kwLLyrNdSLxOZJfoPuh6muZkOhSGHDvTyc7vJIDOhDQ8CKp4XS51ba0rTb9RUR9LMj+c0HntBIhe
P+FKJj2HsmNSQDGOGhDkepvwO+wK8ta7bqunT5rxUwP8QfW20pPaK0Oku0ZBsRWd+g4m/9AB84Kr
sNec+pY0pnxbVwQI9cqHjKNrCpSVJQuJCYpc+9JoGUQo/ga87T3SkzX4Am+s+mdLchZUvIKpxZHB
MNklMP4KS3dYazHo9KFVbqcOHY+oPjML3SF4i9bG0KFm1wTLrq1U1Ifi0U/hzUuwu3QvY5cdfP0H
G8CKwnTbWN0V6tSlpuB0wJLNKEFgeO6GkXSDprgdTUyrZLja7bZcdB3gtgJ0T3JwuFqUXWV2y9jg
ugSO1YPhtQn195RfmZetps+m3c8LMpfuqgEwHsPpAVfaFeqnLfG/J+lBJxymB/cQ8AqhdHmF/k68
iL0u6BEceVSX5Lj5U0+hNMjsYPhk9+jvI+8NwetWApamrQ/8EafOiPxKvxFK9syZADFjz/7nu1iw
C0a1BvSyquJ+q5YZnLbOLZvsGAJbGMGhK4CgWi0myXQ+TGl4408vMEfiVT/LdZ6/CIRIMfvpsgEE
aBCkaRHhrE8Pc2bvQx0miw9lVT6kdudZDozj4dUxvgHRTCL2/CnZQfS+Nl0CTha/Rkf4L8FvwOpQ
SroIEi4W06AgZ8VS2ATcdO+WA1KNIRcqA3KH71Jh3XYElbBew80dDe8D3Wut3tmqVR0w1uySEh15
K7LtMDC9LxHUwwmGfjf8IDIK1imJx+tcmD3Wz+4wGao4ntlIxD99uwkUsX8wK5xTX2COSIKk7ATv
j93E9DcplkYv1GYYr6zJzECZoBMmJ4hw37rxjdOSVOXkZNFqj+24LYDGkAtC90DfbyKuR9xzMQGj
VdToWTy8RYXyBNSCmyHgZNdXI7cDSis6fq8b9kXaHEZWb0lVbs1hX/Y3VBhsCUuK4slTOnHA076K
zP4HzQ31NtJoMifgtAc6NRjD0CG7RJVxT0ApL979nBfo+r7iRHq1JK4NgQchIAxmNnb/ahqYLom6
cpxr2kR3Js/BaHDJlyNAIXCFE+l3XZ7zfeCiNsWDr5XI9ihpU8d+w/OzdvyDIFrOsBbq3vxFu74a
EUeKwXmofbdqhEuiltmdlOq55Nr3lR8zJwXEf9EWDRg7pOWmJMTgGee/F8EcH0W6k7nODUwFIT80
4gJXKWHZw3c0AqlrLKpEdDBRM28742fsz6YCIlYdVMS7qkdtfzPWy0CWFs2aX3y6554yX9WyNbke
e9qhVdHcaSmbNm3T84V4N1xaUk2oMsDnJ9VjoPQjBxf/FjkDjyS+Pelx814nw3dVs8as6cyQ9DDB
1nMbg8ubhmdX8RgPrjWfmCwD3rxqrLgaK54Vv2GUARsombPDIKcjcNSVRuHBGNYtZf2cl855EYLw
6UdCGZ4GWkahgS0BvuScprg9WRMj6vY84sWfVI2CFlB5TbrYHF0N/x528FFSA4ftc7LBL0c5jfZt
5WcpOX5PBllGzRcmppu+fsh87k562oykvdaa3WQ07rPhTKwQWR/+UcNADV+qgs2u9S4hvbXrlOFO
w5O6A7D52CBtDzJ5wTp0ZEPqGilLulx+gIk+KqmzdqrigVXoF2YXdtDFfc7O14Bv2pyr+JOMTvAo
I7hGa6uypKb60nIgfGIDM80Dbe7yQqxhaB7RVFDkIY2fWKlrFLBwnzKzZMdFsvtTIwp2U+FaqwAW
EHGZVw9IjHk2PjP51mgkNaavvBzH1vSm/Ekaj4nkScUvl1rvWVFtJuzDXQzpIqwQOYiNFvbnQDK0
dkZSSo7+0IFB4pwgN2092C5BTeYKkvgWf8SNjRBKOm+xeUUeCi/0M2boEWOrBdXroT36xuy0RrA0
LRnEGglWjbNtavskVbIc+RVpzl1DolKkDI8I2hQHHHqKVZLiBOJfCVA4teiskFdN8VuQPM30HKF8
c4BD97Z6RcHrNvF3bk9UF/M2lfm2QzWGRvreKcVXNEQEenT1vkMvv8lVWa8TdADovVZI570GFqzd
JU9hOh6mUjtTo18arU5W5F4M+Mh47PXSPGBwo8nVsMSkKfAsX+elUptU3cLn0Ii7Z6Oh6ufYVm6q
wH4I518faMXTlxm3NekyHTFVBZHUDPNs69QpQbmPTedZBX9FvDUnQ5S/gN58art54HzJL0ayHaco
ZJAxvS8iphmxE5fmdG1GDng7jp6tVjU2s4VDSnX0fZZa2Iqn0cN8bQEiIYyk5R+wwVlQThIAyzHF
hXpRCk5kFMbEmA5hQ3472UE1GOuIbGsGIqIuNjkyCuxNvcfeygvs6QCFZpWJ4JAxcVJydd1YOg2o
9cy0talnckBa8nBIpQiY6VnxCwaWvdFqSEnzlHFFPT+XGU74UAkBBfCBaSoJFrE4sfq9IhWhWtBO
JIwku0DvgYpEnkIxGljpVvXnM5Hyu6QPkdF8Dtz4rGkQvNSl14XgAXWh3Tpm+UBeQ1SzN69g4+b2
h1kbaEMAy9CHoJoPfuKeJz85lln+UkfKZ9JCVgiofZjgIlcmHIoVBsIQbu94fBxH+xlyW+Fq/RKg
opHkVZbr3GHo1DY7wNZbaMhVSEgDmoCOipSLFatVMx7qjmuujo+hyRFUsvX2hxMv/GkCYRBFLzkb
NycGE1UgMAy1TdTB5mD4rPFuqUTnJZxDPZkedbcd01CspSJpflLSfaOJB4IRD1K/CNczYAxiqBAf
0izrSRLspjE8SjMPPE32V3igX74S40DpuL+U0PdPFn7nSrTOyTdEipRwuG2Vet75agvMODkT9Kti
LeUpHs18x7gfnp08Q9+vHxLQnCHYCo7unsUbhjOpBHAbesLZihH6PBFGPBnpYO6UTL+LwSNvtcyE
9sjAcLb4BqJQhNvgNEofym3SjZ6sueon824mcxUX6ifqLhBjbJhukj2hI8bB9vPTNCJtCKcTyMKs
qvzbYvZfx4aklKrmNq8A8g61cfz9IAoed6Wi6Vu08iISzpGkvUcjeQxKK70X1r4qiJuVgbzqCOJR
oa5tHKAIWvpdaPc/LbqgVUsCIrFm+rrpLHm2KywZQzfsWoXfT+UwMSLOkIvS6evD3DgaYZmsKkhZ
OQLDPgw9aXaNnW9UMZN6U5S9a1l4X4NWnw5J2617e+C01xBnkw9oolNmXGQYvIQJ7/bRKh9laFV7
p69OCcwRDJAaT69loFuqpMe39tS1nbYRxMaUuq2vYkslzw/CJ29oHuuUrhYBuLQpwAdztiH91tW6
nhAhYENnwVIRKbL4ZQkO7/apNaZbR/+xi1HDbgdv0i9Npo5j8W6x3YyzvAQXMFhbWx9uZdbaBxJF
o33rx5+Owxuya3ghin7k6/K2P9ql8ZI5Rk4oJEd5SsHXosja0J7NDDHPgUmtlFBtFn03X+ZCQQfP
8Ny3R2tjDeIpLXQc/6gC1yO2cmIKeF/3obYrrJDfHCGeTslWD8dAuTeXpxQlj2l0hzKGj5wCimHi
7DgeIYRn+EHk5Mzz8UIcUngTZ7MXL+suAqQ+zNHRt36lf/XaO78K5ykBl8NSeqEu5jkAwa80UJx7
GayGNqP8zuol1OCl17WzJbkBkvIJv5jhOWH8GuEWcZvObCDR8A0lOAd5OflGq0i/RDXnrBEbyQ6H
48Q0I4+85IzkzMT6wsNvPUUZOEelPfYWey6Ujb3nNOlTV/B5Prp7t1lQzU1SH0eA2shM1HWSh18F
Tk0qfQfiHzVYYPmXwAnf4R0rdEPQH2yU0ICo/U1l+CRZ6+FtmrM4c0Lt4mCId1G0kbZXhI+93vWu
2ckzmxb/0joa537cpTv4TiFxfizcgoCcxMbKUR82JUiq6j2y7O6tqQmElCVbapz2u1ZTXrCZKUyk
KSlN9E9j3D1Dh9lq3f8m7Tx2JNfa7PoumrNBe0gKag2CwfA+fU2IzKwseu8O+fRarP7VwAUkQYIm
hVu3XGZE8Jj97b32wNG9jXjqZvGUOtYNkgdhnWLeyFDv98lS00VLQLFuYAOsqgiLn9Xb6GCqK5j7
TH8CjYZMPvn7rAJ1ObGyRL3xx1xakctovIWGUm6qtmLtLAFpj8gRf38wIlvlBa/RcM3bqEnz2C1a
Zx8X30rY/pGU1xgAJhhNxVFwaJqaY+meu0O0MyI6tKfg0LNvo050gEaHbmb1kvkaMvV9VNCqggz5
Fo/oeRDrvk8cn8IiCCV5cUscoipxQi4rZ/qqEYdnOeQa209eTvrcS0rC6JBjWr8zbUxQheKrIxk0
vp9UJvHRoCavBI20U0T5085gQ0xKmxYILvoj5O9ZDfmsRQSaVFERJ0i7VwNcGJpReiB4xXNGa6jC
rDV1bC5lFl5VQWx+rIB2T2q/LjCsgQvIw62TLJxTKjRckvF8VwuPfn4preFqlIHLflLjVVfU49Ac
MyUtQGin5EckCUatyw9DX+8S6vcC1RrX9Hh+MVnizIGJUc9zaP2mvcEn8plX0ENJed+CSMt9tY8Y
qM20JENh5bjERVqnHhlPg9NzAzQOBiadNc5RwJWj6LZBC/UsrxwPriAvdOWUftOOtD1lFhnAMAZS
VJEhUJp90zhv4BLHVao75a5nJ8uDPrhqC/gSGWKddvYTqdlHCC6Dv3Hch3nuzbZRcH8g6x2OQmzc
0qCvLqdQ8z+CtJIQQMMofWfrG17n+OKkBOKiqT7GcWv5onGWZ9fQnqkG9ZsAgrgZDvVGMe0nIDs/
ZGf6R2nTVGpPKS9JGeq8Lra7yR2leNLjQHtYXGC8umM8MOq92NWlvnULyzpWtbvnFVS2UwAqgH3m
EjktjASnI2VOmIMLhbHLsCDvJKstdp3cOtgzwNW2oEAqL2z3ngyhX1to6EgO2nODK4p7YHqtddX0
Cc9a7wW932UgP3SXyr7cwKlDscR3MAQhFew5hNvf9lBG52mGrJvVVDPSVcUFLbZeu6Gxn42JNRv7
Hsaa5acVkSTun33nK2b8FOcGK0yecDSCb7QbNEtBEmM8V7XRO09Ts23AjNNgJYrnuA62HIoZoWlt
dRBpyreejulKU+v6VsmqJHriQtA1tPrGCXkd2+yzpW7G50jGCei7YFrTqTh6YsK/VxAy9lwl0g5/
f7CX/4pFrlBofLGs0j6oTYFGrA3IggG5SWgKX7leRpiJC2YuLSOAyekv5iwTAEABTW+UbNiJvpPo
zocwZyVomGz5ca1ZR2g9wxGHTsr5wy7OsxPWZ235ISdd6RmJGu+ChN22TyblItq4ex6jgBieOz2P
JvYaS3waShI9B6bJYDtQFn6GUfp50VgYplPkeVFqBxwJcIwmC+CX1czHoqxvg6bYF4uxiexo+Nb1
Q9UgC0wNV8cYt/Fdi/QteJ3fils35zRNDlXIVdOmx6QTSnKKaSLEMpPtmp5OeJPb3daoiX4grwWT
nt/yJejEQa24zZX8Q6dZtQ4znX06LopXykDLNUBwm8fCMvdhBL0n1zfGQFyQpZzWs0o2z0VtfoxG
ycWtsOjDZBt5tQTtcCLptL1YGNn0hj0aJUmOboc65Iji4UDYfjCUBRQFiwh+SrNLLGk/O+xLG6O3
Br+wC8THYMz2ZQwdqtEdOGcR9miDBqsMd/ROoMJuyqpqfUMIjRgIcDAziY5Jv4tVs7i2ej2v82E+
x3KaNoQT6gPHtXs+jvpGtuw+lVoxaoM6c3GWH8Rg/JqlPvkRY6mWRqnrXNXKVVt+SGWJs1QzXxKu
Bp7kCHVrI1Xe9ESgPTFJMkFZ3/7+f8cmrF3BIt0UdN8uoEF7aQJB8yKAqHkxlbFc8a38jGvtyHsh
70IM8m454XjUFfMV3K3rGyqbSFot8eRC9udK0/FE5TnmYdES6FGmnQ5P4jRVpXtS056iMc4uvu7g
wvWSnoDiwEF708yWcXEFTa+cEOi1Lwj7rrpJf22wnqOP5buiSuybMSk/BIMcdq1MvwKCoccX4HFp
DOWvCQm6JjjNUHc6RdLtTiTQuA+gejJkyyGfpLTFC7XtL1rMLwxZ+MaEod2M+qR8dNxmEzqpKpOj
7DjSoILywuQef0AdhL1f2UoOmIdoW99YmIgmCHScXs9qWrg0m5DqziYrWSv0aKVOS2iVUnPgLVWA
+c5472TfXksHnSvMU7GU6IwnKCjQv+ExR1CYWtvjIzNfaqPf9aZJaQym9CsoVN3D9xZfjT5YpxUx
eloJ5s9oLn0W7uBtDlX8OCmeQ57fL0C2HNPG8poGYny1Z7YRdqBdYrgNI13LvhEit28uWD2qmEHQ
EDxmbo1Tb8lYWE965pUpPJRAM4H2Q354LhJzh7cb1xs0z7bjVIZBzBPtwN23zzhMlLS/YtIOuXTj
YseLNqSbKBE6mnBX36ZhrOFfAUapIo3hEALQwRib6r1ZLmUu426JkXLO4+lmp6gY/JXjVjqTcc5j
uW1pTTxQua1tGxCgUWAYZ4UJnZ/a1OjobkKDS2wDQBii55BM9LHDt0YCuE49rWiyrcRDBh0c2XoK
gms8ciTN0ExkXcS+MJJ8NxbyKdWDe+hQ77oQulaxmZrvcaxvkwINfrIoA4eeidSjBw0D0eG3XWf2
O3z9cxuIK6QCmoWAEOMMiNNdJyciyoQVN1mdcHH0hT5PZ2cwiQ2owybqnJ8mMx+5hfW9nhczuRjW
OWyMVSmt2+jOb3nF1VWEEHFHiJRrQ8mbdSOZ23Q4KKgZLlmlwWOqcoxf+IOrZgFrAnm4mpr9pgfl
ZxGoHzFNS7xA+MrDAKQ6lZJgaBqKvhmNldl4ocbAfRF5t47c0fw1Ddqy5bBpygK1PKRN+i5UgF3w
rtc9wJuV2VZ8/yABdCBPnEeizeDEjLaH4UMv+/nQBCZp+Mx6juyhJSc4aozKxDnhayS/SjtZVFjb
TAkZvGonBxzBWtYqXrJ2FNyLEC9yVgO1D2hoGLl+VAUYta5R8bXpan60rCzbFovzK40i7gq9OW5a
o8xPJt12WwrtTiYjNEhKzFesaM3dvaHkmlZPmVbjVlfFnlblS+sMI//bSfdp8Oa6nXWPwk+stK+t
PQW7qndOk1oOT25PJTYEjnUT0oSl0ZUjx2OT0FmbpHh0eimjm9SBWZEtN0eMB3Znn7EgjatpBkpQ
OTkOXarmfWmQiUBEJHMF9Is3qlniFi4qYdqdqCvFUxK80epH9bGdGpsJBu8RYgieExWFOx8G45RS
cId0WIwLTdLw9ADN16rrI61t85qCbmb7wd7BYnbGNPyI6lZDzeSyTuMZHSIRNe4hrBSsIAbs44iR
gRM9N01AKB+7APOj3PJ1dcRRFvVwEEM8nJVtQOuisInSjPiaT2Fy7Z1LR3nA1kQaBrBuESdQKtKt
lArsY+aVVoZcQwH0pZodwtig35lTbCy+4FOsfU6lUVzSSvnsVdFuusmGyT3ajW/Mk7OhtOtLZp16
yHHLZ67cUhWFrbM42aM7cL8TKBdqWBHwLPK9G1JuO9wHSQtOqpgUndX7Ulafs8AF6shf5WKbSWvt
ByC4he8IDTNJ8EB2tIzxG69qmlVHJWCK4BiUwurMxE527S4KX5f4Siabgyubkzq4VwL2P52qVH4w
McjvECzl5F7I1uj4QNkYsccRgY8ZMUVoHwIhh/Y3YDB55LwkDutgQKEZ7WPWNu26gvGvNHwn1njR
tEl5QnpaEb2xV1ZhwheIy8VzkLZH9DMq4CrU3JFAFZ89jt8oI6YdM1mbNYV0bp/sAMAkbC7zpW3n
mmmPWAeqq21mrtE7RRpiU4v2pZHTn7rvaRCJTHlSlh9cXdkA7wh2dThzFeF4T6P8FBLto3zb0cQu
zmJCz8J4HozyxHEZ2PDEfWbMK7bPvtYvs6bP5zZ9N93cp/Mv2Ug1fTAzgIpEfcm1GTt0gqQ1t2Xr
dn5i2IZXItIlhX4OteoYhEG7A0AR8sGj8qoypz9mptj32aqdu1KO1kaD48AgX176Ng73tMNEK2Zc
JlXyqrNFyNgTydb2dqV6EnHzYDyH6qyerKz3S7P/0AeEp8Kh06D6YSEvNrXTLsBL+ZmAifKSyvht
iZeImq0Vs835Ojv7pHuPxl4wrXAALrccSJpY87MJrqIYwNb1qrsUmRXYErkeSxVbhV24KOJs4XXV
XljO6VAt5H5ihp4Kzidz8O3QYbCvYDURKyailWvk9vW6Rdbnvg3M7dUw31QL04Q+MEnrgTF0xA1M
JLyY+HnSQ0sTOCDmVHJnbTBEKcgcjWVys6JLfZ8Y2uShQaJvNAHlGjOxqhK/IZVCXqDU+XE02xof
EQhas0gC9E0uOJTFIOzC5/RrvTSxCiQX1q5xHeeMuwPl5IJqPfwtiCpAaXRVx3ubQcgfI7IZRkVJ
Zt4+Mf4M/MlMFKicXP8MQpidEzxXgkgSeRCxoaBkEpwjlSiiIza2klv3TcMYUrp+zrC7INp6jm1L
4umz3NeifHWQlLajjkPTgFloYv7m1Vg2aQ7uxYyTEi4wzxbs3lOh5y9DZz70JO6u5jgcDXjtrP2/
9Hb+ilVobwHnOtriTyDXlpkHYm66zLjTUtF4YDxeVZiwTrwxi98ss4pPUUTsZYOodlzqTyWiwmHg
wILtmaGbbszISWsyAw327QFDIo5ovDgJpZa8zxP6Ukvbgc8zMBAbpEzMKX432PtmqKN0vxNkjdne
tWG0QYRs+0oMeysLH9nYsHlpOfo/Hb++y0kx4Kqz0qaSCT78VHp05BzJP/bwUYDPwlKbd2c3/AlL
yPtk4jjpRSqlhHq6GTNCCDECiOdy/lwumRNvGb5+mxHC5Fr1unXuUZ5R6F5EL2DGudtWPK7LH2OJ
VNuyJXaZMh8zgp9Yz621GDfs7hrOnGRTjYJg62xIigDa3+NCBa50UDe2qage9l5l2wI+SPqt08U4
lTQQO4CBE1DEpeaPNrPGiLmTN5nzxKGvBnQd68eECseZdr+ALAN0pec6rqkHtkOSnNydqfXjzZcT
tLMJHPNmbIdnCr7wn9tTRNV99avpSDzgRLHWqksgmJnZeqyA5KV2X66TOfwZSDpkCCIHU9V8XcAV
Ct2qObfN00jt+RpRO9rkvXVVhch8yoCw8XMf9CKB/8LpXoIAVyqHr2GlDiXkAWou85Ftw/k9GDbE
EDOKWe2+q1Rp/aTGeMGkg7t37GondQ7HldTixVT6Vue983cRcIpE5Qaw3GcRi6PEB3hfbtRDOeKp
iefpOS5nao4dJGXMF+Mq1zE9pfji26rzapbilTQQ+3K6+wxtfgsGwXuMSsD97UOJKLnrwp9WhM1J
UeipB+o8rk112Ovx8NVpgqYtaOK76aGX9IH3ohy9qEPudTKmixYX8JDZkz0O5aEHzO5lLVh1Ht5f
qk7dgFMaMDKDe93VFgexsEeI4O12IRYx1+vzS+B0pzFK251j1Z+q3hIrqqDg6f3Mkz+Vz6bCWoFs
wAs0tNrFxqxnWt/4EF5jN2s+SiM+075k/diBsneNJ1q22ptsA/sZ4e5rZKE6haQG5JjdbQWIYRbm
Bz0NemaQY/oU1eOtJwWwtnsgr7KV9q6XDH4H3OGgGJ97GU/3zuIMVLw4TTo9i4Cpg8vs1msS62HH
TXkq+n6NnFJ+mXT8UWAjqS6lWIN3v10m6E43Yn3kKgjJ0mIwzHPJW4Js5+aEIQyhqChHQtvpTfaa
BgtEhQD11nTtyNObGeelxkvy/w51+P+JTX7L//pdVlMTcwv839IhFsTEf/4ukBL/Qk6sP7vPf/zE
/xtjvPc/zfT4afus++//jT8Z/pTL7/y//cV/hSGfp+rn3//Ld9kX3fK3hXH5D0CDrv4fs5UPGH30
s/4jWvn3j/wH00F3/81mBkM80sKCTFoSbsN/Zit1seAcXMs1LNVySDX+K1tpksfEQyZs23YtfEQa
v/SvbKVp/BvgQ91xnL88hwXR8D+/9X9wOXgp/leIRwtd45/hSiTOJUZlC1NYfJSIQP2T6RC1ctSD
QdW9FIFr3fZOsuuM8Dqo1FPWNampVPNduMlesPT8WsF4dGpxpkBoGRsP9dYJOZrGEA9ahyYgPqjH
HjbcztLzDz1hSx4VlNnaqtsNVzUG4Wmrsf/NrFMBkx6IF/tCvrXo857mgFTK051JqpRatVfD1qAg
ANHx5/B70i0yDDJrvEbPDlSj13QC01PWzi2aCtPJOm0pg9Wic1hriJ3ItByn3Gd9dPcz8HNfBjqk
atO65nr2yO3aPCsaoWwdsqpMmAHnslkP+TgwVRz8gffmuHhSYxbaiQud1zTg/Ip06VgHVBeomLOK
QX+iq8RYj5zF/T5kTDi3O2bqYmM3C1W8VR+hkWwRROlfEvXs9Tb3T7qFXam94ZgaCWQ0aCESn6GR
Uo7CzII7MzS1VT+jDc+g71y1XwzU1tam95GjGdWWrpN9haPs7pVS0uvrJuvITh5aEe8ZkeEnEhDk
INf6hsGsPBKNr2c9OixGddcLbMDNWgzrdow1daMEB/pUtXXfOm8V9mDcMtwCc+wTgYDcFsF4UJ00
PoyHSCdRPpXZTYsdinymJYVWXGTUfGkxH57MwuCKX+mpR6H0uGxR7DsNH53+x8KPj7uvv6cAWmns
nnaxhZWZnpAGd4YnxvCgzuwFmj3N8N6/5HLgnbRs9l33J23Yhqyx4r5jf8iKpgFbZwBtWP3JbMgm
ZA4HiqlS32v0tl1MereYGDk1Q8CNj5nHkQD/PhSj6Y1qiIsmH3xNKgYYOHa9zqCaGKBBwt66i9P5
DODL2TpN9RmanOOmukVVITKVtunnRDZgB3EYc1SJXhbY3J3733qf0olkctGi5xzkxQRjTTsBtXTP
jgnQLy+CTWdIiNsxFom2TswjkMmPMeA+Mg/OY8RpheUSs1820Czcqe99TFyWuNXSH0WrpwvXlX0T
hUfvSf3a08oxx3Uk2BPmLON1ojWNkuWak0HOVgd9xcCJHAdTsR4qHStshCnQrkp/nNhnho7JRySz
YK1F6YaZWIN1OMg3Nbk13GJc6ieH7FjABC1TIjrudBAe/fCuIzeSZTZ1b6y/NCormBo7zGKt7HOg
eJnCrM5325EAcW9uHakxNErnd6dvNa+xB1aGxnhTW4N1xH5J50jfw1B8WcJokZKHvqwGZiZZTNlR
DRHmHbP/x6g6PFDltcD26WlLO05GHqGPOQ6ILNbW90JiZVOes6SkZO291i3lOLZYD9PK3GGLiXdY
V2p3M5FIe6XolNAYBS4gHnE1yaQigDFemrxTYY4RXeGYfmqwlicM1/IYlxs49307ZMaqHbOXtnJJ
zFD3NVfznnHPRtGMYFNm+q+qTXjDSYh1JXQYSTVZAVwPy3lCc9ngEGCceeFkUVae2hjPiBewcETM
elmb75plXtFtbxMr8y5R8PNXsLOTnKBRIQlvNLX0XAIrtBArIbEjsZswhzObq5g8W9/h7PBGM/bw
rHC84zWRsHaiTRVPjBFlwfs1EPhyofJupDE8tHTGlD/Aguky9RUOXetppht5RsyINUuns9rVn5VJ
pHnUpuc8Valo7LA+RhExsFHDJ5hA2JngTACpJHbgYEJWOMNUI1RkZVIwzTJPrMIoBfAVkeQxJ193
+UihIfSnWv0u8GocaJgkthEzRsUhuLYyK93l+fM8D8at6LP3zEiBNs7aWnMIbTSVTa1rxC0xtFZg
z5FdIo2TdYG9PWDISId2te6weN5bRH9mgcBR2qlbO5Q0+yZN3PdyMtINObqYpGHLMq/lJE6HPV+f
s4lCMp30MdloMoxm6WAEcQIGdovVd1pP+Lai2H5LgoryoSpUTx16gWpTNOTqUtkqdftlNaWAyoVN
pRr6978dZSG6txcYYBvrWXs3MKMRWC3fAo1T8tA/hxmQRWueOe4D/0n7hQ0T8zV1Fq3k2kge3Rz6
dicESq6juO05VSY+d0WF61or+hsGYGmyAatN+BLVRv5cF0zHFAzwAdOglUyaaoPVqUfk1829y6ca
9K8FnZEqXRrQnlXHKM/arDGzQNBVXdO+GHUDXnQKzzOleDyX85NtRcPONceK/etNhaV3oJlhbcCl
vQgnBnqf3bUmRbvqJrwXk6RUWyQflkVyrg5a5aaH3qw4xjkeBBfwmYFXHP5Sy6k6JHHkbkO/FEDW
2zltXwwH0SuV8aXHRpqpwJuK6tM0nsspg9I+6Rr83MVuVM2MLOo59xDvqU6cN3qN2G8alKhD5j2p
JCsHxENwfH1GOinDDC/Fd8AkFCLEUO+mLm02SiO7/dioNl6eJHogeUQ7pdH9tuunfYfVY9PYdfGA
+156pS7kL1ssrWuhH5KV+wxtiehcx+lZp95txdh1xJTiNOukiXpivdZ9xMdxRA7RfM4ll6EIk7ci
8olmoifEMQYa01jCYTCHNPnmZtr86eBNCOf6fXGrxrBpdlWk0H1nGBFhoehcibqgiAnQS9tZ2e7v
T9ucnBvSFdbWUi3P3QI3hahJeUnJ8HKsqB0QgVER2mTRcofQPeIJDrfs+h+Q4IcTg7jx9Pe/zJK8
kkUt9ZoJR+D3Aa8VTGNzWxQhbhz7S0KIeUo74JeKmvkp/QDPsd7QUatE6qajr6Q0uIaSNGanwNuz
cTODnyqhGvpN7XzqYcRNU0dPnhU+GgGW+EV0Nc+0XKqxbiEGqsupKyeyl3HT0w+IErFnVO11bjtz
TzfqlCrhZTDLcmflDdfiPrc23RzuxNIHa/QuxqaSls8BzNYKihiyNPdklWMethp3q7vZeBSG+1YD
DiMTtk3MYE9OVDss/s46KJ86SVZp0glgZy85q9YqNmhfqHUATvpyz6XIq0pccii29e7o7hUOGT52
c/ioxbvmiJuOb3QE1mBA0QlSYDdm24Tom+K5D6XYthlMW479fpJcXeuXVOoTVlPstQUmmGldEE8y
FqYTSciGw6xi0wNBBQFHs2qBihEtDkJmJlTLABzV4PowKoFdDmrdoErd7XrDo+foLSooNMos7Yd5
E9z9eqbUG0wmXoMIx2e6IZY9Fp/Mo1ejE557DaXX1IfT4smDGHrgIHcKQturSAUzALpkOPry2tnW
dbuzWNs7aqlrmLWN8s5td9e6NNDNEU3KygZSLnPQ2vKobeSg2Z1thRHdlAqUA6YEwAFuPIowoLKa
adY890RrC3fbcxieo29RkxolvGRpuIzJTk5dhorjEuMhNRYlXlR/1SR9SSrgd7+NJLOneFiZQ+EJ
Wa5VSotBz63nQ65ACFH6tW45/rJwmqA8sC3w4nTc+l3X6+JybQqJdQgnP5UNKc0ErEdrG74noC9O
J4yaKPERvYPRhUySR1vZJnYJ++kdUc+h/bbkd0JJmQXYYeDUPnPSUMlDgZFYtfFN5J9ZgiWc81jD
SFWFjVnKZkW9L3sdmRwGW64+oEMOqPASjvUM8Cn/JfV77nLfCJyE8xneVo3UdYd1b9uWLzYuSQ62
6U4tKYk8tXgD7LnDVE3uwEK4YzodTre8RTCjIgZWF/nEiGBbM047k2GR2uA7r+xLDZiFQfI6sN1X
IZNfaWLckwwJUqXPfcVZsYVQTa8GyM28Tpfmoc5rqQPjTQS6QFrB5Ayoftf8E40aXcy+Ji/yuzNU
HoT3go6qpabXwrM2SuKvtIwLBWJEE3v4gVHLmKLyYE5E5e1wWEvONjMW9Frb4h3eCgsrn9QjwGiW
13QOgpc84j4NdgYJKtwR5L7ZKLkygpji0qC4neJpPVn2nMEW0+thF5QokovNhU4AUNoOZ6s6nU52
Z/lK9Nb07pNuzne70XoAcXjNAN33Nemg5zqJ6Nht1VUN8WDN+rofhPYyU22KqWTmNWv1p4iLIl3m
9iqxpkc2V18udq11kJKwnSXxKYWB2zUmBFg1OXNxSao0oRK+E9VdHadfY5HhkDUzGn3yh9LiPmyi
+lVMHLh6TseDw6SNNorIVbvV0JrY0sKrCB2C2Gl/zVRyS5kAHqR/JlZztuX8npBTZT/xDMoafcYi
741cOe+9IDJhcFQzpnbByw2Sq0P2q6pVUjJ5uyELhnebqACz5wRRUu+czDfLuF/+5WsucmzgOFEH
cBPIovNuKWzCNogQWuR/uOzxYeMxTGSnA1k0voMGyGtZhL8bADxi+ZjZDdM56LrgxXl53A6TZNgE
LyiT8xHj+VeXk12TUf4nqpXPeSLKm1W1xs1M9RPNyPemYglSBBmLiShPepdzQiN/IVvFOLhEiVKt
2kVUABKMc4mUUGPpJYpYGvL4GqknJno2Wfou5px3E6zw+nDD7bCStDKvzQbsRZ2nwPSETZk99i5p
036VEO7PHIm5UDAOiWneSUX6QMxc24ySWlqc7mmc3ikiGhaa/KYoIBcFhc6FI2NwVbkKR8QLJSUO
SeJuXBc1lanCxFlHkj23cmWTJGPnkaQhERzJiar6gVsxuvhQ1wdZFpTogB1J3h0iM8RYicXP0QiK
ErgRz1ZqvLnwBwLqKhyKTHAvrPS9Dm9EYlWOeRq0z6i79PHRGbdsMDO/7lZPDE7IoqTQBxfuwTUN
n8rqIe1DI4qNQkaJYsm2/pTT71DeXTIX/W2Sh3R6H4p9/VLKe+CcNFInpD4E0ATaoWT4q5n/6DaD
iaXPIbcBA4XrpaGAjoeQ20olGk8P43XJdhmPH4nASHZVus9sug7ktSIUmbJ8TvqJW/COtADfYpQ+
iD2Vgo2w35EF2ejh+zC/Rf0ep6ybvSvxM/IEd34yJyCClIGqluAxsWbDpudfBhOi2lzkf6hWWEXc
QkOep4LavvQtD556zVxjR1oZY/sJuyRxzvTaOzEaKXyi7zBkodTfEI5XtkDMZffhUVnV4b4Zt/Xs
G9MmI3jUyq+Af7bg9S7rN0selPFeIZ8TJTF9tztYzm6M3s3iLbMfZwl4jJSWeVw6dlCII+w4BWmW
anxdjikRScUTxnPb3hE5sklmWk5K5gJIOiT+Y868TyWamOY4Yt5hOcNUCrjWGbgRiBPQEHFumXb0
7Om7JDiSvY7T1wQQST+aq42Kq1kZI/7MZw4hVGkjShf+UJfKNAii+16Kh1a3zAvRjILP2jj0xobt
XdbbwTq0FtWvIZaJKvbJioTaxmoA/1juSulv9obRJqZxTHT99CvsP5u2ZvMqwQzdHfeS1q+TwXPs
EB9xIFSdTfnp9Ke2+x3r1y63vIRJMfY3t/Gw2TYsMcVxIHsJvWBtYHGcx8/OMvmwfg14usFiwu7q
fFSc5EUiKi0P80ekPVpHo4Eg8RzIIEjqFm1CnIzQRbwpe7XSjyw8BdlXEN9yzkgllqmq/mI6WRQ0
K5yc+Tjr7xUf2kFcaB4tEMlpow9njNFfQMqF7YOvh3GhBfcgnVYaX/JsEqDGWQm9lacIB8wtbK19
xRiItI3UD9g81GJDdBsLf6WTPDzK4T1It6yfolsTdDUo10Oj32J9xxv9LtJfCcde5tLhD/bylar8
WRAAubj1xrEqCEMeXfO3Zv4GV7vcZ1e2u006j27CDEKCsqM2xh5+A6LRq34f9s69HrN10zylsJ9m
coRWdGWpGJVHNf4RTnAIRodj8rUNn7ia12nsNQvwxb7DTIf3QOSoDTxR/6JqV++uEO2Mls1idC6w
fQgUfqrxQTIEIsxKZHuJEeGG3kOrBeCJSsmksS1vgZ14FsjesNTwZbzwe/Lwqsmb1R+w8LGzuwyD
+vK1j/ds2cGIFMlOZgEQMvge3Rq6BgerQb2M4bObvyj2g39DdS82BFHll11ZIMyYSSIhOMW3Xj9p
BDvze8mRXTo3u3y0xovRwbjhuI3N0a3TXQE2oK7w1Rx4yIAVlfbGzp/14LVV/kTyx+2OCkzR1m9H
FIB1N2G6flOMR7HUmnINhKqT/WldzGIoFzeyQU11kgxlbYpsXsHb5sNPbd8189b1+2na4a1xexhd
Xg+ZBMx2FLxk9bloDwq69dEWL+l0Takhbf0x9zXq54NdY8ADgoEQCAof3sP0PusXahLG5ICCOhZH
nftfRYoRNFMenNTxQ4Rsczs14a+A+1kdl+xcZ8GTJ1a4JpnCq8wCGM9wB+qzQ/hCynplOEs05KQF
Z4hGwJOsieztEZifbT4aHBiO9AWZ0ir+7OtbLo4VL5+p3UtQv6TXz250KtyzW53z6pbWl673+QbV
/pExY9O2fEdieiny0zDelPijY8SRfCc1vpPhbhq3qbq/WWhDIeuwtqGKvdA/q/CjxzNjHab8mjmX
IXmnY2eeHrX51lYnMi6Q40mJjPM+iV7EeCrZxAakqRyD5WNyn1hj8vyQ62d6IbuArNhnaRmwdFnt
WV5Dl0MeKXtkp+M8P1VK+FTwarf17zrEa+6hMREhW1fqm9N/aYLOm+pHzPuMhzouVsr0lMFGG+AF
XHLCf2KrqSSAN6l5CEqMfFs0CnKzzCmoALro6VehfSJ48dW7zdPiIL+Y6S3PXyfshrxSotoE/TUH
jyPjzM9hFBXTzxi+9eEVqFCu7XXqUAX3H1PfIlvaoLXmNS9jTkxvQOooiOYPfFNJ/OGUG5PVYatS
JlDSxvkw4v/B0nktN6plYfiJqCKHWwFCOVoOuqEsu03Omaefj1NzMVUTznTbEuy91h8PknKzSFxV
hGfUP2qGZiEG+R5pNNtlwVGvfqrxMTdv0M95QlkqWw+sNIGBg0YYS8hxMyibcvpNdEfMf9TgLco+
CDdeYTZYtdbo+NWJdwQYnqhFH3PHuLbGcwZ4GONfkpIjl7IyrHl+CDFyh6AFcNzzqVOiqdTbMnpI
7Pi59d21N9hisvqSENX9jfuLT6ZVbTO7863Mw5JRslHDnblEPe3z0s2in4GsnwDcziKRscRbzf3M
vTlVD3PEeHg2mcb5lfgK0JtO/T3NJqwFy6WYBTt1wnS1nQaE6ueW57f45O6LRQ5x3UNa1aSbSfjQ
lH9S4FnCbszssnYNGpaktdH+aWysUntqk7dRabFEfc77url31jvuk6LkdRyQoU4eqV+8dEG2Uchw
FLfF9N2bmxQnJn2YJnHCL585U/hJzbOBE5ugLF78muhJKPSDNv1ILP7tfm6IL3JD4RyQXcwhGgv8
oXcSxkDUmNjl9MTzSoQH6ZUjaAjpIsjbxf7BcZparzl5xNohXl5uw8t1nG7HgcEk7fgv+vVIk8OA
gw3POddrkt+ZNxTxNYy7tCKUzctFz6THgY4hu0dzWUWP0qXxQJ2h1acN/5FAbR4lVn/WyADY3zwF
Bq96YlMMif/cYbBWFUC0Y61uB+VOeJitA8nWhImQZE3ZNexSSDZBibftvJiG+ef4vowlkqG/NGrJ
r4tJdJuQCI511vzWawE66274B1bzJKaPxvEHQjmeyfif+RxV+arLfnrhMaCflcprFpLQiQsF/KLJ
HC27DaNbSwcVlEfyBvFIGjhL58c0fPd8LQHbWrnh9ov7S7eE6o3imniHVncbhNbDIyMZsfkhJaBt
t53oYuqDBFnyyafrgPde5NqJ/mnGMSU2SdM9yEGeYsV/I2AJBQP7bUr8ec0cwoVIN8TY/M04N0cP
9e1KZjEko4kgai0k/9VVms8+fnAUJ7k7wSXWtHcaDq+sjFJC8kBGciLgg22H57tjfgNE644iI13o
oAH25y3WXtNEvOAazabmERdvDVZLBMc7WJfOC2Ibc53p8Wfl1RFptQMwVaG8lI+EnqT62UivwbBt
gk2SuBlxiH71wGPdjccxocTQWIXqRuw3Te8C26PiusTKg1rOxRa5F3emF9fbKeWgv5faK4s+yHkv
ios4b/rQLURXMXFkbflBdDLdDLpmbzOTggykfS9ZCosddaWO2b91ArkdJ+gHkrkJFQOsiuOvIaFZ
/l7Ia/5KNrOVIOx7wUkjR+k8cqlGleH4phjfZItI2SHBiw0vKWfbvKUdFSEa8AJaOiKTFDb6YT6P
40eW3uXuW1N+wvLZwgomKhYTouaRLoWXWj+QYZPKjvynzORKvdNyRRA88E38V4k2Hca+Sn7HZYxu
afrwyxP6kgKJs7ZCYKYciNawCJJtb9F87tV/MSkKAXDLbupdXbqr0m8c36PuSJo31haPMlEU9ba1
qlgvnCk8tgdf3yfKV4lRLT744hE1nD979XCZh79mEOGbOKkRblmiDfI1Zi69uX2xL6JvV4bEVVi9
36XSHhF0RetyfGd1k7GgUVlcgTEucmiBPzZYEegRvuM4Wg3Kx6yRHLBKbFX8DG3KPTllV1wizVaP
t+F8iqwTon96anYBdKz10cYH5GMRNgDtbJJuBDniZNInksPB+hyzA6Ip2lfS9JoRs0GJnsEJGQnv
bfGp0NduWM+KupQcGeQeQ1MVfwbCoUXt2SV/inUsxcs4rftuB1bhVzb5FIp+DhZ0Hl12OiANIupN
4/cKDpHCPrVJR6xuntwdaNlr5mdH7mnE6ZlbD0W8mNIx4pEpScakWkfxVGPPqgKuP587teDPJAyW
kEZMnpT7moSB6Wu9XTfjkdFdu09wIVJvjz2y8SXRUWWIdGsVxLX76IT3SEK5RKVSQeX95P/L2ATq
+I0PPBve5IDXcE+7sWzPK7U6lQObcfmPmKOVTlNNKl1k+U0OiTN+G5DTGWuCzQJ1n+z88U3jjs/E
T17JhjgrmLxAPxFRbNGZVCHcau8mlWMQPHmMb334mgCP4+GSaKcuhTJraH3AHjGmFbYp8KPihh59
labnJN9Btwd7oN3JRp8mf7Whbz+16EGyVyB7AU66wsVLW5mHFOdqxK9FtgERymDyTMQ5lX/zJ+c/
CLb3KmzYqMlt8GEsjwlXNh4uJ1R/fYJRY8IqBnk3V0eB4yi4hMWRL0sNNqjs5vBNyCFae66Zfx0h
pDx3gAVn3M6rqncjV3ALBE9k/TETE0fD5Wy/GgBRUszWTfxRGhsFu8oy0TZY+B4Zdv8Yq7HCv/zq
n569M48Uxa1EOxjtW+GTlGFEat1xAa53sXgz6PsGi3aYc1hU7WnGvMQIHv6JXAJjgZUUJ5vVg9vq
l8I8cIuO5tfcXnDc5OKDcAjBxQEJpSomF5zzwDFYt9cSMQbkQQVgTBAbtkp2ZNJ/Y/KEhQaMB+Js
x4/cP2rjXStJrHRDvGbL9hVfsu4r6Cc3E34b5LxLEpUxHSDylkenRjpo7FMyfVP5smxA2QjRSmie
9VmSfVAg3EzadbLEouyU+EtML+bgysNLI9XYFAGBCT5mp29UwetJL0vjm5E/5erUOy8ZGkujt90e
sQ25GoG5OjkBB6l4yAArzdc0bc2HKBxEeRf6HiM0k2ipbmfCAyUiLb9rzROL73g4CVR08SE00hYF
YRRcA2aMknxC/gINRxTPlVDx+W5afSf317L9i5s/xbiLQMo9chkTdtWoWTdy+ng/iuhdGn4nvoqG
G1i0hzCg7O4bm1IJszDyUWwk6d2cv2YAMKYIRyIAwci+BGNrVdcg/Sh5DgoZIze1GeQv/TdAQw8C
hVn5ThM+F1xMVWlaDgo3nCjKm2dcpW+8HZLvtcQizvhQCFK3FybqNwWPJnpIKokiXvPyhAwxxiXV
CQYK75PxQcB3sXr59TqbNqbxpkXvUXpM9F2hHjnfUuU9bK5G9kTc6ed7Td+YFTvPxjS/Jh08t3Nq
zk/JB9QAppPvpsDyLV5FbZ1bm1l+TYQvapx5KuiNPNqcowyR/tlYITdGSUiCAvdohEw3b1F1iheY
XZk7gBRdyrPkh6E+NUyKfKTiuCvLncbE0Ts0u/FSRUj1c3OjtK6e4i07TdqbNB/qkmr7vRbpGBII
3qqWmYu8RBBJ3lfpB+xkXC9Z7SiiOncoCKnELYuvOl3rkPiMlZz02ptSHwdMpQibUWQ6HBBkild/
RPXV3RaJmFx5RvrqhX8TKkWVNMEk4JpA0hTT7NA/YuSu6vTEI5OVJyVADbxhfF3crpWHaNDDwGz3
EHVGuWNzqOSzL3voMxvlS8zueX1M40cxuVLL/YhU+KdOXi2i6yg8sz/qvAp0bMjOeAAgFB9xhR8Y
scemIefQvw7ZBn9tOu0DHW/YN2EJ2ME8EmrP5nj0Savz3yJiSCNk8Z/Le29BOnJU0Vm+bv50nWoU
myAxIuC6jKzu/DDWLv6zOPAwfzophA7MtRwT4dftSCoAlxPBIH08txt2ldlYE3TnF1dTfxTiPvAa
1RFuFVR781Rig9J2dS1xLBEq4eg8g3gNjX0VHrVA3GQGThTlK08fIuH0TqaSk/q2SKUERhtpOcSp
GDAmpzZ3IpYwfnQDIyznSJJ/8GAv+Ssle15LW236COe7lTzJENAragHPf++i+RVztSgLJtpe1NEd
603NopxVQPNAXwnGkndSONdC6tsCxuVofqbGSyNkPpOuunVpK0DG/j74bswmiznCaazDOL6HMfxC
Jjv+eFWDfx0iMGJOaJfgR+Yv4UVdQpJa5WzwcUarS6gxVOOd5AqUmVNq8zbO93k9O2r1M9gkgCVr
3e3Xg+UgqAc8EkBRVUc2DHuitaGGVpElcyXAhI3Kb4EzQ9pmpUd2daWTwGub5YMIZpZc8iWJSEox
QY0rMF5Ihcgl0JAduYmRsDCsJYon2oiS+d5dwvOrqyH/xjYCnvZIZBd4ACqi/i1dXm6oBSra6Bs9
dEst5bqVLuV0D0R3cF+VuPEtpooSZB87qDax++MENlb0yA4KhlF7tuv80rH3iy9heO+zY7qAAHqK
GO4NYX8Z8pzacMWOSnBE0pOdRyRAF5ISPz6jEb0h3v88/kC87dTyefl1EjaQdhWg6sj0k9Rg/nBS
RzT2jXRslgudaFTcmpp1ppcLdXV8IDi/+e7rY9l98lHpPTi+upNnggvNW1p+0m4FJ0YOAm8HNqQW
K8q/Fv9MNn2q4R7RlsAaxF/fE3lfr/QB68fvLNy7+mzSBJq40fQPCzTgzq+6lkn6vWXWKxO+jRp7
XM2uYfONTduq27R7dav3qYMRw7HAr9m2Xc3fDq5ESjKwNfaHVv2TcEoOD4IN+fG2zFiTfOVjINfO
wqnEmt4T+gaWL30LPBJ5WtlteSfOLkvc3Kk8eh3KrbKO2UBqRN3rKCZ+80A0KF+ZEd2C6tTIRzH4
hAQYog1oa1vucgkX4D5gNyDoQaV/0W4xD3nkAW2ZGFnYuRgx6a0Ckltj6h56pAvY1ZXpPgavADeh
WsHfCie1J5C9fYQ6YBUlEl1KLgqQdEWdLeIzuioSiksFgcoFQGbKGu2WMZ1Yf2rdScvehV6xUYtd
6Q3IXrzBupKWiMqbgjJsvtJNBLxIo185A/4bvKQ5gO6V8glZLAjI3C3yri/1e7Gcedz3im2SglI4
5IBDUMOZxpQcsYNvsOGY2qfVTXZTvcdvankJJ8rFmM6Sh1zsVY+QtMyLjM+UU3xMzJXZJzwBFaLY
t3ENGl5dS0cFrfIMhzsKxHbtu/O0032iICj3lo0vfTwrhtfjD/I1E3c6ECEZ54PBnk7Jpg2tXZ8t
2SW+MknA2An7RsP/5yt3nyTf6aDoOBmQSv5N7VEqfvToiRcJ4AAY5SNN/3wdyvD0j/QV6wLkAABn
4cMT9swYwQhG9RXlrxyrt9L/Qwa6Cm1S9n0POoOfvHBlL4qvFghLmMlu2YWUU6iE9f+BHDHrC+p5
ENHcrUhHmXezA+MeHTsXT1x5EeHnJI+QaQFYSKtwP4IrDq6OD5fsK1bl3P8Jmn/i+KjE86Rcx4ww
Ch4VPE2slli8/YumvxL+XabtATjsYTjU8JsNCy/qFgd4FOjOthziZLKvQjhO0wfGvZRAttqEZSn/
6lKFul13hHblN238nOuzT0cqMgRF+pUROwnVBkg452CP222jvlUNv2dxFZEJhtA+Eh21glF7nIxO
C/hnh2hKAQIOanHhRnbQLq7Gs8mIvA29ciAeVyQCGD6mtxjp82NErIi/H4sj1jUOZLQTgcmqdje7
92AdekHlYm9bD7/WP5KtbKnlvASCJRmu6T5zSjdQSw2emF965UcUKgw6ZL/mFzkjimvTfZtcYT3Q
fy1TU0LsGj09TgNANgsvqftsjRsTb80yEuIWWsgTEI2bIDihtJbMd52tXukZpTRP4Qtsy0Oie4pN
JyEqqc7hBZH0bdV8+uVbmnvFRWdQoR5TKnImjAUwphNgaDYCBiXtGERbhPE8ERKy026P5neVYWVH
xcyT2hPDtB+5siTrTD9K6G+gZkDaLzHJDWSZmJadqm6OS4m/Pr2XsPANZJz6BQWE9GYMDpxjBTUw
BeZU/n/bUjgsgdP9in2lPeYKuU5e6FjYwdZCK5NklLNF5D5nCWPDSJ7nKN5HB5MQylw0Z164zfIt
eIrX6MeuwdxF0PuPWr8WpZmIaqnruI0IhRdH8k1gPIl5doIPHdP58oNLoCfDgv3C+YUkCJbL/Jx1
joERuGXXDbhqBHSFMdoSpa53FWHFMqarJnjLpGeTSGuQRnQYG8l4peo/f7gl5aFUPbV4loa4VnFZ
YsOKDpV1HLAdFbcFMBEza9tmrNZksMrVo84+s3wBcNZ1ve5ZlrKPzvjtjJ+yf4kyVpsjKke7EHaN
Q/Q6VhwbUxdfjWuQKuDFjul0JIUs4g2dR4DHNvpRw/esu94+esIgcSQkHqGfLqPOzJKnJ7tU4XrT
RIKSZjSydmHeW4XOA2OzhLJfuRVM4L2c266l4kxRItL6JFbOnwSWF3UWBy7W054vQev4tv/LyFlZ
RuuC9aimjS7aQ9gKbYQcgfMXc+/yDWHz82U7Oldl607QKRI8dynd8whsfafBtdcbVToG2Qm+A7C6
Z1ngL7Ut5iXIOhmAR2XkN9rP6GaYPj2PxapxRfJKyKgCdCREOroaDBd+T8wxBoaIaU+MPKtdy1yF
6CCGQ6ZawLmXALCTci2yNbn2i5O/ViBBDvIX/msk46ptoKNPX13s8vFG1C95ESFxXyAFEOdvfvoj
jtFhDJBF5DehvYB82Rhp2/sE9c1wyzVpXsepXqEltbvVZEvSr045k8fp257qCrspshayIACM1mUK
jqu9quDGP8y05b8qYT+3Z8l6zzGkyjKHhrj3VbbT8k4YHrgK13xlh6APJDBQKYowJB4YSCJCWrt1
2dYkdHymxj+jAQ0ULy1bOAUW2eCAGGcvAOdV/KxIl1ixdfJq1LkjDZQ2kX8Bo05QZ4GwnsJRtiKe
CH6omn/p4OgTFSwBFaIIeS3lUfh/aqCgvt8M1rGbFlaMgwXLH88BTTpe+IfhHQVAMnuqXqHGUWzi
JrLDgvOE//5/wcjvaILire6lw/2/CxWyMd9Ywk/Jc1aMP0pJY6m0M/N9aW0DHuLuL1SfwQqq48yK
nscAwvzQpO2szhYyqTr4lowHUkg0a0HAcbOai01Q5XxAs421ya7Z42XhqcU7w7L5fdjAiCKwOLZT
LoDoFoXHZD4rqx7i+TNL/4Fj09DYbeHJofUFUIgz3njpIjJHgH6hT7RQkVCenBFso/GpBsUfW+wI
0bBcKAOYtt24EpIG3oa0P2axRYDpjyESzDdvsw15mBgUKnTNJG0F/8xgAzPqMXERgDuyd/M0UQhN
a6HdG5mTrZ7Tf1wdypoErtaJte0MUiakS+YSbyJeoPZlQIOHduBa5m6RaKYIs0YDzm1NUDFIK43J
/bvUlvSkLOkCMtWd30P5gbqFIrOTwIhicA1qTudObGIi7NAm5JrRS1BTXDaI0x3BYP0FjcSiHwWf
nXyNpmdV/MrYV7rxqYtvRJvBP5IfqVNohJAvv0XwpD2igAV80xXIADY7Mf8OyB1vUB5HB31ct9lf
L31NKI6zwLcRmgFa/zU8Apkd2V31DFhhgLNk8VPl19PmPQpW5Ink1LPBDIB2ygoPOGWkA5hM2n9o
v1P1IfcR3RnbwS6n01C+6xSnlo0Jh/OLRam2PJL91f44oD7huya9E8ojwIOYfZXmKfJohTHexo25
9dW7kH/KdIi1VIxHzcpMofCI745vI+cyqxBBuAsMb9NHk3ZXghAWRJiIL/KfEVMG7zIlcgJNWNm3
AQFBiosjpNkqLd74pDiRF8Rt+jKMXTQdZe1t9l9KeU6n+/JHW8LTBGFYWoNGM+EhRCQb3qyS9AiW
Oqz6DGypfmNLUEe2V0dW9qgjdelThV6HIk2CvzH6esHU6ltpjTSPZSOTd1wA2xYJiAZClHY7i9gA
0UEiTAqQS5KFgsKgaJ+1D0AHdVSE92hwZ3lDwL+14B0TdPCYrHMQLAK/cGI9jPydXYDQL5dA+HGT
EJbjIWqHl2Ik3gqCXWFJQdKMbNUTd/l2gI63dsuvQthxBsmRh98dqsZnA0M9i3SmKb8dCjEjfJIc
CjE3M0R+zJ+Qh03yIfH9YjRCoJ2GLDh7QSjg5NcYBOZ28WsX56KlJKo59eNrYp2evGU/UvhJXS7D
8Fg7IzJQmCiKvHyohYlYu97OZPrfeFR/eiQnyyKUlgJILviyflmubq0/PZHHqTDkyfAi8jooLo14
ZvlWk9+QCDUxfg/nG7u+FH6N9Z3Cqv/giy67wUkKuI2wAa2wesPCEXGH1n5juNjBhx07HFw2Wd8J
l3jDkcDdWvUiKtcfjcq35WcBYEW/JgFbdudlrq8W1FZYOKEuOBaIeUskuCoRd/J1KXeUOJn7Bwxb
PR8w+6GAFTYv4EqNiYA3cVCJ9qFaTJBod4V5CUU0Zy4FQApxC2SNNiep5ES/qibRsSNi+PbbdHos
+yt+Ro83UQJ8DrUHXLxo7glLhss81cJbNZEcEX354y5v7Fk5ttPZZ1ZsPinwFYVzzvKXU+FLYb2D
gtk693YHlX6Vu40/k2VRbVsgHtjcVVx7BCm68B8L1uTOZEeAx+A2wt1EtYkh/8nZvRbX/lcl3FBG
YVGG6b0lLbXAxptikMW+mqEcgDsic19VJ13cksDE9Jk7SO5lgyNDZA6ZidK8L+ejmnnLbkdwKBmk
DoHhZXzBTp1OnlF0LlZQsLe9UFEH48nJBs8Kg1BV3ohXYxHHcafspRH458PQz5F2N5CsJuR/+9G7
Yn6RVbMygCQvgemmDjRiYEMQLTMUurMxeSaoVJxxXUVbakDa8VOKTgGtVmSVdTjL7GjdK2vLPATS
Swh/W/keGaw3lzh+ChjlsjYCUSAHOqfyE+QgDoD2KrpWUI+ZTqCvzCeVLuTOEiJsrQuvowkZTTsV
KmT55Hsw7oXDwC6xPGVoscA86GTiLdkWICUY89ND3XtGRuknGbX171I1RBeBxeMe/eASC8N1Z52p
HqYdnSHUpu/PJER/FRFWCvwhMmY7WGcJKmzzzWSF60H9GCCYiMaO3+Lx0I63Qt9k+gHkCJ5pRG6G
1IWKQtjhG0mhukw3Gs8sFWs6cUskQCUqG3t8WAKYZ3tcTy4/C3r7xuXb5vM0t5TJCa8SKHukruad
KR7FzUqT7GUQTuiuUjk7rIlwArz41UTEJ11ECevqcuDCxwprWGlsJXwFI5Y02mFRO7IA9YwubYwF
1A7qfUNjOAeIhmvqG18ZRtwdDmo7EIA1zIHkc/SJ65GUr3z+89FEDUh1bjWvV90SyMQIFpf3ITrx
I8brfhOP/5qrJGkM6SrNbMeEShhiZIVdMrqyvCb5GwiRl7nazbArbGNQTOis7jP5PWCiBpC+lB2Z
GLAaelFOVw5i24XgotWoc+Fi4oMkPP3qNelfU6mz6nSu4ZP81gC2IaJ5T5j4yrDBlgEVbLBFzqBD
mDBx2O8nHl8CCDdqpZJJ/Uu0KhMzhyvWG17cfqNve82rmE9WBMq75Xi3JjaA/KRHWzJ9CukrZT6D
tlbYPGamxA6AVTiHMr2D6TrMDpjGFPmRsAzNN6X/jTlhtHK3rHx6uh8BIgY0mEqEtJ1m7LgBYub7
R2QXJs9aAXWzjpMCgqynBKj5pEd/BJJXMxHeg6U0lGky+mkGWLlKXLNcunq8JzCPkC4+F7aQmfmH
gYT4sZbMfFP8kppdVlys+nMZuMpfjrg2+qKfnLOR3S/nlV9g+NHhFIbWGAnwIfID0ys5GDHCMlJV
A1491jvURGLzJIbEDg3vRT0P9xCKLlfTtkh4Wnxu467xQ2LUMB34l1iAtFjl6D69+KX6/xBI4KI0
oDFPKMGXC3yBrO2XAUtCF8TqPwStOdQ64asI+eUvujYQ70B3Df2Nx6BLvemZd/cmO5GnshqKW4z2
KkXD33BwQkwRPA7eY/vkURxkm3aB+LYQR6aJowGxuXIpDMSHrB9Gi/rqJU+2RqegvihxMvNQdZXX
UEu1jGZRuUb+IiKEsHwF3RJI93LMNY9KhlYD5Vz8z7TcrSVtY5m/kbgLc5pSnxNse46Qf3lPLBNl
ECtSRYL4zxTFkL/Ije+NHa8nvsc1aAW1UIR9KW5Qulp0yW3ssrMzyI+xRzMBs7YcpzMIUNsswhA2
9ql9RjAehKbPu4XwLvz3kgeCnLPVvIR/8Lvz2qCic0dQHziEsNsN5V9FLsnkiOFWNS4j6h6Nn2l4
69CPWO+8sE3+ze5TKbeofAOlwgZEh04GrO33l3x8kzn6wvZhqt/fE1B1aKvqO3ZsO1D+uvUAKku/
lHIKVj8VS2oTQkQPjQ2DVGhOc03DRYssSqB/KuToI+ieLVISUnf+E59b/DppR1+d/wONP/eXOju2
pZs2f3n+2/kqwy1y++5lWnTZUMLE9Um3RvudcwZvFd6KjwjJPebQfxIkVOkHrmGCrvA68HgJn5w5
1bSqO6IMT3Gxrtp/8UBb/ImlUjkwK3C3/io6FOi1Xm4/As/Po3hf2H9Kt+g5aTRQw+EKgSlala37
iHIJ1RxqRIbaLuEkUfnfXR4q3qFFrAHIRI/PptM/NcKCIQYHXmArAmXA/QuFYgvJszJyR9FBbBRX
6Heceap+MrscjPu8aBsIgufyerckNzLpk9nSH4+g70BjDxnA0Yo3Yp15BlqhdcQyAVYakdEbLYYK
QEYFPGfDcAroI9VEMSJz8J+m9Dfn7GMeGo7VHBxRoYG4ZPZPq3rjpt0ME4WAB+I/eVBPfbgMIDlB
buNnU20TwUs4knQHozhrf3Vv8bNl14V1EXIAThPJFrzPB6qAqjxVeASr/hvATTO2TfQBoDbE7Jvq
GjEVb7NZwn0N3nLIxxbnD7J7pZNXCkB5vs0nR8gvOb2NyY7Ot0b+l7Y+/9UETaKv2vwSifsUtZb+
BRO96ts9U1t0rQvJCWsiaynArZHwBykdHvOVD22MDxUtrUh/F9TG797FEIWGtBAma8QKYUMBCnYm
yIQAuyAKJ26hwDhYBDSxMEQfCRLdgQQruD1qm4B/WZ58dIsQdovT78SlPCPjEuq3FPSEVcxnL3P6
aVMjpZGv1NLoHbIppg+mrmX2Q10+uEJwgA5dTn30rnVmIoT6jPpbOe+N5NCILHcMh9OpL4/oVxxg
ZRF2F7hJSF8kTODaIv/P7cw1jixdI1t2vKMdBviXsQml3af+J+fsyXRfeiJ84+zoXANUdeAap5UM
CbiBx1kcc1tpb7U7ky52pM2qid2RR4yrD3OTZvwtLgnhlMj8/GwbDTw4TeREHELZmZdUflELzSM5
yqQ6l54JNaaS8aGuTFCMD8MlsmM4RCyGIuRocl3OUy6uHrHC8BeSB8kxxaLXOwJPkrg6SpDDDdwM
YWuC9W3W75a1Yfcr+L/km5YaFa397pHYAx+HbLxa8a9bE/Thc96PNtAHKn0fGBFbwBJ+SXwDVrUf
/Jce7CLrCVm3Nk72RRfXZTSIgIBHhDsVPwqyCGllUjQkK88Fsu/iN9qvgdxQj984+skVQThbgE8P
YJ8YFRYGQryFdbqmKW+dyKhmgwV8mQ17qbc/iRaKTfA1IoI17azQuzeHSHvMRV33C8fIGWxoW50/
MQcyJJ4dpQCXrPGwEHOFXsygnu7j6F9gXWVpWn2TTqFcOjqB5r3fHP0f9ovuJxD3ScHYa/J3AObN
nHXY6f2kA0aNVmDEzLroNmuGPCbGIRGdJWoB0x4g93+wH1gKu1bb7VjhVgQSLMtqg5LUKt+a4t/0
XsuXoloPkJc8C5KrR440HzW0/s1njWpTfjdsdrz0BopB11NWfGfHiQhRJ1xrCoR+4mDNHJOrhoDc
p1WhI2XFXC0NsmhKMuefSbu6+SbzNcUpQhXBZDuGEBVY65nPkj1hiASjLXOB+d9YpYkXxGrnmidM
EHYy8t6ep+JhKvXFbI/TJfFQdarbxitI+9pz7WN1OTIz+BLWeEqmzU1f9Xxv7+QgECbx5HcT+6Ov
oLdYa+CF9GUzzQXhd9i9Wun5HzptPVpEa6SLEGm7MjCL8HBX0SVcW7Y8WAdyLTi/rjrvdC6dJOE4
OowaY3muELwyMzEkaOl59IEla5SO6Rt3UQI0RH6+HYIAE56zqpV0AbwFbG6LpGtAdSJpx+wZWazy
+C4AMJDOEEThoCdt17pXBi4GDvbvDcsAHb77xKFWdsZN8GuV35H1NcU7duU0ug3SphJOC6DEv7Nq
ElEZOdsDlHJBB1uu2jFATn1kusGsfJjaW5t/0dBOzjEiBy/8J0dQv5w536ay6X0UN/FP1J2E/AHG
UWnr6XuKPjXG1OqrGB8DG/DCVC+6TqrZkGpw3CiI0wDzq4+lJDI4dP5smz1FvY5p/f63+4PIJ8Jf
5BKZQjHZot1Aoc5QBfbduPO6h0PBRg5R8Zh4+YVrIl6F8kgkLwOejkDt5PdfgvaUiftbFOFLTukU
/MbaU8iKuzX8Fh0U4Vpw+3rhmAfhb5kMs+hXbM/NP4ZdKLWOHTyPHz1AlDDcO+7pWbuhGVYJUtF3
fnRS5LPY76Psi3gT1DSjp4YnWXdF3M+zz+4WXWAPuAfSloCP86B8LeQJifVE+4ZIQhxSNRiMsi0m
ZdtMjpHo/SHebr/oF0arjyxDPSZcbhXUTsDrVyMa6ixeAUDSjBVvEdjN5ncjvrHNGBpRHB7dVMik
BDoCLDfAMaT071P4K0uLJhx/zUelnqx8uww/Y35dRGDIjfp+N4VE88KNCN/WtE8rcdVmj0gjwghz
2qOf3wXGe7WZHBWspjIOTf/RCDs9vlnpKZ01oFHevOEGvIhDAEp4owrr5QhgZLRgberKG19FgoVr
14xAEocq/BOGy9h8KKj71HOVXIKZm29T9iT0M5YQFOrCDWUWcoJ+snMEcR0UkktYLeCd1ByiAbmN
vw7oQBWZcCnYu3X6PQr/ovh9gErokHcBX/KI1ETdWqy4Kv8c3PKJIspodHmF+MWD6pd+Pxh7Dozv
BoFil3E6V5dZsHnfhPiqKxdBfKhQewbi+EVxmzZ30jQBAE4LJ7csQxYNaCgaE+UaSLRKboxpXblc
JLDk9wRihY26LXEd6JdUubcTQ0TyivrfpENdfoEFQOvE2jZifiMTGnb4Txc2fbOXED2D89JclWyt
4mtZ08Xm5hv3389Rp9TRBa7QnnUE3Nz9Q8s2obO4YmMc5UPG9R4L38n4XZxg+SMC9pm9Sv1noZAM
MBzqKOgBRR5QR6jTptViW+wIO4isPamtAgf6AP22Mep9nn7W5UeHybJ49Hw1ivS4lOGXUZjuAMYu
M2t3f51mLM+5RLpU6Bnsncv2RIyj17UHIKZ6HW8jxNpoWjmcgoCn23SJniR4Yg29XaOLRpmMoRBz
S/sX8l6rDCCt9VgqU0JG8BeuGaMD0pYQWixG+fJpESZgppRVYrGd5JMQXamfoT31Qcbygus0za5t
LmVybPJ1XuzCNdMpFwAZoQh2EnfCPldytSwYCRGpeB0Wghzd5oKsKHwhUoKfH2VSO+x8wIJFpmH/
j6Sz2o0d2cLwE1kyw20zM6RzY6UDZmY//Xy1R5qLczSwk267aq0f+byqq0yjwFh+yeacjkrYaP1U
pCjL73HIbBPjcicDM9h4/W3IOPIw6gjqpykY6MAG1ZkYMaAKUSSXaMWY2fRsJfkr8COj/LQpaMuS
H4Xl1nq31If3lEPVkNQTLV+D4YVQUR6lKAaOsJECTmXvgDH7KGlA3gINVcyqMN+D9Sb9e6JG+VSV
ji3vjJE/gF25HJHT0pA864q7WK5buJE+/fQ6DW6OtjL+AdPka4QVLvUdzG41aftTrTOo05RHQOdC
L9ZK6ExbDBJBgFmh+mNDQIoyUSiTsag/GvlBDDbhypxK5dPWW9JbtuOb31/ADg4XCru2HNDHwzsH
/9nx7B1V50SESdP8ZPK9LWkJ2+T1yie5AhgTeR/8qEkyw8JpiDVn/u7TvendoA+mCjRPw9FQ5rxU
kDhyCfaOOKPEpSjJj8E9memvVzLuRDtD2hCBayGoDfAWLmSTZWQq4Avv6nFP0DrmVe1y4LIgZ39a
9eck/BE7sMUpaJO2oUAMu/zOcfPTAxtFyqztPml1IzP3rGhrBNuetqCJxF5iCgdZd4//FBbjKWAs
JWjGBp9GjCRrrwp8x71BpaZkRNE3C+1kZT5ZyQZeJZqLa4gZIsI6xOmWDXBCvtlILHFMnmdRoj9R
FY5lKkWaBTvljEwcCnfLigi4f2OAU65Dd9lAHHvmlY45ISnMow4WM0VpfnTJ8x6OXvJpONNw3EQS
qbu4b2gsp1FkSzXbvCQJb4I5Qt3QSD0IkmNmyt3k97sk07erSCGRCZGegi02vfha8uhcDxeQsQxE
1bfOjXYNJr8t0z8uamRD4EaLYuWve/0U55QwbyPngFKTj548HIy/UU8taXcTUu7RpeA7/rD8W6B/
1+ptRLZHhmo2D+qVGS/U75jNboaQJcHuMjMJACnFjjnNUYZ2F0vb0Z7oRzE6cWNWEONFVDhqfzTy
2HdqC7qM61Yjx5WlKQB4pViZ1BVqCGapVy9VsrG9Fs0rx/imyB98Fb7Drc35UvbTpEAWOwDn9A8K
wwmtnUI/zCGaGGBYBYH8O4A+pbk43KJdeexmCE588mMh+2YdNB7eLHYpyIGVt2zb3y6/B6wftjnN
k1toIQ83zoiT8f7OQjZeT5xPTNUl+ekZu/KcNZu0CUAskDZEhgzuHbys9tnrHxHEUVtr86642cPT
JNhRppF5/E38bcqkNR9mWvYz1AXCPJ5W+lMlRmw5Ah6YPAlbIbl5UfvlSjxfNqtokGdr2x7XPGuz
hkrn7AwlAuHPoLW2XygrxIHmFnyy1461SR2POSEfvuBm/Bw3cf4RtUdxvroo/4hznP5K6Cn0+MtV
fqOQM8lH+VHt+fRAeVHx7cxyZcAI+f4RERS9TVoOFdyitm/pvbTolbxoJX7O/mJla80+Y0wosTp4
OlmLl7SH94MEsa5IcEkX4+gPN0QmEcn2MdRcXXi4Z7FD0qPA/535v08u1Va84/RXISnibbfLAz5A
2GeuPmAO+AKBC+rcusVeXY4LazjRPIWja55YLzX+g503wydxAh5yfVk/2+2KyGopRkHVTBzHAy2c
u1wfeaLMh6pY+AMzAnLKnH5p98cfqJXCQ4i4Upd+dOcvyO4ekQjc/HyuWrgg+G0yaBvKKHicODO7
a8SGipl4VB5iatSCz3jKyFKdftCWZSUrSEBj66WEyRaCrpguLx3N2Hyof7JxiTpHfBF1gVNPVwnR
IR2mcOYJwOG35GLI5qFw0HO1+wHndUSdHpFT4JOkN2OaHrcZZ6DPyQLXWs6JfhEzWBqtuiMnDKYm
d3y8iFNH7zX58lGucYnOcm5vEsAA++2Zwwlf2M6slRJOgHi67oW1m+zrAizeeymodqOeVMAM4wMb
jXqjgIi3XPriafMZzp3+R7T7OQBePkCunVff7gisXREvxFvvk7MkbCOEapXsIUhGX1LEGR+v+vww
ggS0tTXxuicKbmnKZQT1KAwrUMbdShAHdfCuLeEwtZNHRVp0B5NRSVhjeNWrUcjmoQ4RxmGHXBL0
u2yts56Sbog/zXKn3wS9obYRhKV57qOPXpAlnLUCvi3xx1B8ybeY9V8867y6gB3mFqbGhNUrucJj
X1yuWgF38ZW+PQtMr/7jsuIhCuZVODDaq1MNlUqEeXPowTqYUNXqwxwO49JbV+pTmgfL0dgLIKOI
l+6SWxd+T4iEFDJ9GhQZEVeiIyFs4eqy7Wsgfgju+pQoODBTesrKT5XCB19Dc0niTolx69R46Fzs
v6gmoEH784AcowcpxnxpMwL9qKwDv4PkupfuoZ263ANfuvEGtqe+GBfX1p0hWVb5FBxnpijjPOj4
cfj+yD/E37cSh4aPtBQii2Gj1n75X3ju8ILBe2rWxg62vQFU2YGKqZ+DdkqkhjZEC8UDHeVqgTRu
W/nIc07AhjP24qlic5T6qBNppTLHeK3lKOd5OFpblNhjzC7u+ldrfgtntRk8U8x+fDIynH4sTgpe
z0fucLNniIRYzcA4SHHlJ3UAeqtzi54oy7biJCgtkpDmMVIXe3irHZ8E/W+e9ZmWEjcwiiX9LUUn
xziF+kFKdrn8Z2U30dNhQHd6H1Hx05cemTI8u/62Sk4Vez3LJwklxcaIbmmC+3c50HyzLAGoA5l1
lM8xQYse8QoD5fC+34t8XxTnxhCFAJPDOK5HFASxIkAvepmjGuECE/DEmTYaQxa3I3+EcE0pHC0x
luBtunaXXnwd/QtBPiFC5XrrtudYE+AqebL+SD4B7GFBwAOyHm89bqwGQxA3QOVrrO0q9FE06+DH
CjiB8CDRkixj6fGqeG5ZBQflsLRlaSXyvgwU+SbHBb+CK5GX0DnsFcz2pFz1cPw1w7zMcJVNv22B
knO3BSSIifcHFmxAa4ugq6DhEwqRG2+qIDEhIokh7EWjK9mBiPZiay6UXDQ3zpHVli5oXqCwizxI
hTPKD1d5NRodTyeIej2/4JixnFcUW/z50mIIWTxaf6LJUwfus154bJdu2mI+G6Y2BJPbPXETAhyD
yH2yyZJmBcLIxHjEP1xgc+Zn9jA3E2wPD3MzTOmfxtsYgeQOJYpbyqN4GdqJs9OaCiqpoelDuDTE
JuSOWIU2eYzac0p0qbE3kbbB8VTqKg93kbw2pAVJv/JjNFbk9Zo22y/SUJ5Jffy0kILGq3SNm0Pd
ETwoliNMxgNRKYg7a39htfXaCS56hWishklfUanG0xR4uGbhuued+FlkjnyGO7sVbV/KtM1jzL2z
1n6x7gnrQca3LOZhlQbmXnpJ+SpKCCv3bpV0JX6qe9juAYdmFxCROUw7B723E04cE62/ms+1uJmh
3Z1bIEFA/C6tuhqWh5nsrfXiq5H+8vAGHJ5mpxYtB4VpbMAlUz3L6ZSe03rvWgjLD138pdpMnMR/
VmA22DWFqspisC2HX2ZTvkb2XYhd8ytPWbi0PR2Qs7biam8DIBaKd+qLy/cRf/ohShmQ2HbRWLu4
/cuLq4rag3wsni2yPvt8duLyJqQJ9TrBjoxasLDmLEPyIS0dvJCofPj28QYxpxFeslLphBZ9SURQ
6HY+GTIco189fsHJu0v/CgtApPgp+S8N7d0aruLrKM1HF+xzeJho6VCHomIz26TDLgL01YT+FK7R
lO1pxHFaEvYbtlyI2bMkOUnijsIYiRwwDRbak7wJcZwq0gbO2SHHhehscORHauADOTQuTKeHJ55c
6wKzXL4m0zRX3oHGWEE1u/xVtt+NBvqYlkiUSOytLG5T0daDhBRFpOd/2+SJcU0iTbnG4jqut2px
cdV9kV5dhAQugV+CkvW4ajv2inROSCBaO8P8BWj18gtAhs5NH88150AKLLItkfVoTOTvwf5ik5xy
5SQugN+3OXyE6pch1zOjfGowBwTkAEsOu9YJSCoACEK8KmBPL/8T32kgPcmenPbYPAgewkS95njm
i6j7jQz8iaMiYZk3VnqwSArw2w9b+sidP1Pfcipk0tNFV2Hl8mRIn3wyUl1jwgGhaE9ZeDBpDmlr
NpqITJJlNA8XIUEMUDIa2nmUOYG316y1Zbyz+ktndsn9yygBOBCHQw32GlxcQpTYkK46XhQ2DW0A
3AzRPoY3O93xVwQMFKJHbJkYbO2phhrvLW0lMxKlLB8cZmbZK6VaR+y/4DLWeMhajSUmQin/Q7sK
mkaoHP8U2/sYwVlcb2EZSP5JAR1D+uADeqdrGsv5MuZqexUyJg74QOdA22v1zTL+AhgHvz5Dsrge
sWBICe1T0O18KsuqO1Y0AO+5y5pj5hJ/Lpud+yLzTihSQBYhJrgKouzLbfe+udeaUwkQlPxEZJoO
q6pkrKztmVYF00T5tWdElro/CDSnMetmGOQocwj5CQUkgNzZOKKXFBtvW6nYqDD3pUgzawTPJ5Xo
rEL61Coqa6yP3niNY7k2TA1J5Tin8H4axDcivDEE0JWCuQ3/Oko+Ngo04alxqXzq5dJqF5dg1eTb
50Tk+LwM0UhTcvWbB3+OcVPLm+zenb9hMczgWBgi6wnMUifgP8fdMquXOMg4NiaXlkjYNwBHsQk9
kEXHgB/YixgMSk7mEGsiPsz4adWZqW1wSYTs0hPd3EFUS+6HUK9b7UMbL6rxFH6+kRNLrb+xZomF
nX1YVJD6b394dANWra2EaJuXg4dSRR1c2SkTAU4yrPfONahwJu37/mwN4ZQmx+kdti74q9CIVo84
OFNpT27Gl54Q9jShJ62/EheOGART34p4a/cPNaOojhNUNULAW1pf5fITYIE5bDFqgGHLDol9Jn8E
XM7D3djW9pnyH14ANJw8hCudi1k61hdVfvrVjx3t/HSORnfXdcugFcihNzdnUnn1nTP/FZloi0Kf
IDaZqAgA8DUawZns7ZmNs8TtoM1Lrqa1om46EsvR6JKKhV2D+2yqcFd/kbHtH+Tu4JKRYsEEQoQj
kFjY3UeFZ5OLStzLoAVItBZyuotjcnc5zwj49H5Uqwc8x5jHu9GbZ4IEvclJRwArbbUnSUGli9nr
LbsHOT/kNJfjiJtI31b9MTp30NMaroVatUk/HkowFhfk/xEndCID0ZTYOsb7QA/hsGrVW4KZLSwn
BoUF1Uw0x12YmWbVC50XgZuEeWVLZy5UHqNyGTBVArOrtTNV1HbmQPanBrTw3la3mJv16DtX3xQX
ctwfff7UlOwxbP4qETbhnAhCOdwl1RolU5tvQ+lAOPakxEyrrLIYrTqnpUEdA2JA8b1rgTPV9IVB
l1H6qhqH3nZvZYFiCcFv7fJVSXM+ODF2ZUQOCK85YgbpKTAr3A4TG+pBdw/ik/DUV2Jts5GASVj/
YZ8F5azqXpVJ/iajl+VsXXPH1zv4J7wPaJVLlGohWu8aXsKWiLCL5hpyCyk/SBFt1Q8LdQsZ7ZPI
fd2hrtPzMMunSrQu8mOqsmwdxS8QBk9NRpA2g+hV7lBihAfDbHBkIGyx+u9+FQAfscwjjT0BJ08j
khoL6VTh2UAdrxA6PuZz34ZfmKTaLBrPMWzOCQxO87izHR6Q5EsyCE6spnLySvRLQmasQXqUp3+n
1UHLr6P+6SNhU9HENXcGKrQg0gdxb0E3YxAKahq751axr2fylBYqAtnQWhKt6RDfbPCiy0h0R+U3
1y41vv5wnoImuxiRovimAOBW+cZuTjBXd6J2J4bxruR9ip+43g0p55X3MRQPFa2juGtVHsZU88lq
R7oOVN3CraNNQBnHYVog9Q7ztZUdDTThwZJiCoYGSGZiAWFvaIVNZnV8TWSw2umXY4eEE3GSDyWj
N9u7++mEe4k3F9gWrd2MuAO/2Oj6VQhX5OBDfLZOh/movNXBl5PgDwSyK4mdmZHoys3+OeRvxdo0
BN/E75IO4WEdBPeheybVBwXRYf1ODW4h+IahXFvcTqGL3OGImgr30bYunhn4NH0M/7ZFRSWxe98V
5BYzH3O30wNM8qFX/th4WtP6NoIlsbwPegqB8/aUY1ZsqQwEnf2M9FeLtklu3nK2BXDgAk+DV2m6
+xapiL+hp3ka6jtObjSrv4U9HwNMpAuLcET6lMT2f6qyo9TdbWOe2QQOZOc4WdkTlpX8GOl/9A5O
bayE3ybyvrs1N+bk+Qny1/V/uv6M2HMUH6m1aZ1bgbGFxgfQlS+es6JAkmwt3YC9kY+h2ghwyEAn
QWMHS5bmL9BTDOJpRzVQPEOU5UN8qNKNmQvGux2e4kXE+jGAY2JgVkijYgPRAW+td8gDISmPAqa1
1X/4Zkb50KCo8WxUeyoeiYVSiBtsq2Z7LaHW8Shrj1y6angbIuZj5BiwSwuFcERjnuwM4yNLX/G4
t7Q9hsIy+kg4wnL7jOqG7NUlE4OuLk0LgdGprVd9f8otlAsOFWl3KhBSlBCs5RWZ2/9bsSBIOOyT
eCPw/5rjSTcWovElon1k3tSftqgRsz6FDBIlKd1viKU6ikuIdJKOeA9oVlOZmJxdqFzLjuChV1Xy
2AmdqOAiOb7mo8G6whpRhfVKzX56852jbY4A3+b0TDenPqMiZdubK+HkCz813Me4fYnSdZdCnBz5
+75dSu3SaSEaSdFAWZx7pxoJFNPPt/URbT1tKxz9Ss29IXR3a1teeeqq0ydpudTkN/UYTn0KSMJG
tUPA7kK2aSChZp5/mMu4RP8CVB6qq19m/RqTkjik4fGs9jfzruTuA7kFMgwOd0OQXW0LQSpsRbWo
Hla1DoHYvEWqXizjiFMjfmdEkMgg4gBQhfcP2XTs/3UH4JDykYxbdJqPQV0aKkMKO8OiKT8T5LfE
cvcHiNpW3dBAAMOxRqCLlAHeaZozmt5p/JnqxUrTGES2ffPLCIeQFGSXHzZIL3GI7LcDsLiHGRcN
d5XpBQuwJjIyDkHyzfXgJzeL5B/pX+ZK1O1gW9FUheC9ynIkR+vmyfuch9iEHLZ6XJqvATTDIuNa
Kc+IpxJ5lcoiTlWKds6CJaa29hYRjWFrs4qPU937K9uDEAeQCIFcm8/p3/V0FBhYmL4suheEp4ky
SI7hhZa8jA4kCss1ls9xn9SXNL+5BgFX33UpAqwOOSJ1E9Su0sneedv5SUNaLW0s+oP8A6BmEq1x
2PjU/HrHWt8xKyUVhxDGJFy8+VL+kikIQr7hiMQHwn+ohQABvJEGEPc/ubu1mcQpZChBkWSunRrS
pyfXA3aayS5FpbIvAxKJBCbC649WER8tn+diNI898UIoT3NznbU7yyfo7e4wFZAykDPFOSpXAWS/
dsh4sF1EKBsA/hz9XgM2pgOciXUm7vVlkF2aKMMdGc/G6kmUmJu8xQNd0OgRawBbc9IS7fjUVKTE
+SkQ/1KkDTrAaSKLtRwwiVQ7rwCGOGnmh1O9eemnPmYluG4OyBpxqKZ8lg2mgGXT/HmYrBmWnNlY
o1hG6YDrVrCpqXfV+HR859Qr62GhLxwPu3yGdqiee9bj91vmn2czjLsfXWg1Sntedj8uHBgqyVmL
cq6Tt52zIX06pMkpQVTt/HTWn/gZTDIt3MKbVtW5yoAZ5y4j4q2YoXnMvsXe2RAa1t5CsEpJ/SJH
Wc53+NPJIlIHsnIcXjltOejnXrqPhDlb2mOIN553RqNoy3tNE05qIBFvG4iWi6XubcDteuVeN4/Y
eVYO4tNrJh88d50HewvwcFoSIbdGwTaps5+I63usLoU+17VfK/1LNeIZ6OxZ1PVnWNyd+K06N3ni
z73mTGPDdFhQ+pu96ITkBOH5RNdg9SnTVoZp9dk0e43wmmBrhaylC9x1bnpvwQaU0vz3GGk8GkQu
TD06zg2MGOvOJ1Rzhmh5RvALpyxWFjqlGzApMH+/3ujMBFq9NL6hXMmsQWNIGpAwjJtzXgTrGwgI
NBdVDn0B5t6yb1VyibtvqrYz9acL1HVdXepSg1ImDogSHt36irvdmB4qmFpRlD1CEeTKTb6a6B+S
9b+rE2bMu4rkq8R8GugN+xVB0jzSB0LOtPJqZ7uW9aF08gWBN4RkASOLPUVtvnUMG8NTZL/U3bJq
j3V8lgkCy3YyEChglj0zsH6EHpgeZ6WbivBlg+GLlzJZcl+H7aEddmOF3jYm4ZhXCtxMJgbrwBFg
MoMhrAguvvHHoUBmiqWvqLBxvV9OAwR1vyMijR5Ql0HFxQ6p/7bMzCPoYQfxGKkv0gYMaMiqYrLr
tlG0acY15oJp8BdXiIierQul9d1XawWyDh98N8+R5+nPmP+wfhqCt5RsVQ6LjojB/tqCoBQy0yxR
CzqyWyf9kdxTbiyqETkS5NdOeF1VTDvFupW4ry3O7MM/GZV0Az2apgXZm4sm3qre2pYeqkFPzBKr
xjrC9WWg5mh4gehGpE69QTEvQmnPY3DMgIBZEkSGBz5T4QToZML6dvRopbtgIFR0iTxyTuJE2j47
rO5VurWUHVFxZb638nMzIZMQLQLxMPlNrS6w/jmWcwu9+SxMFtyh6KTq7tCHx4H7RW4oyGF2hKgm
7e6jYWLMiltVfQzM89XFKi8Ol6imrsgOTADpIjQ6AqgqpIuh3ukHsppD4JfTpH+1OgfW+A3NL0K7
a9QyyPNtCsW1dEN6u7kG/u7aFw0LU1wKKVAfwATuQFZCrTg7V3fAX7AKEQj37dly/2x9P6KPpsgU
G7SAQvqJnx/VapFriBOYu1Z6uHWak9PvyNYcIN7JbwfNjNpn5HHeVQebRV6lY6INjiZofZ7WyIee
mraWsk2iH4QDeyyX6jyZY3sWmgXvIKF1CIWogP0iWiTpknR04ZvR+qcFzBoRQTFFEpOBOpN13G1H
c+WYKzM9KcU+RKolnUw2uByx+cMwPpXhkkjr1Nka5HdVAKRKRb1uQRqUTcAGmj8sgfWBkXCamp8K
p4DlvgRfRlwv6lQr/Qi6IyEdEy3Zj8UmwlQSo91h9Z532tn++vcBDlcstXP6/0J3LzvXrv0i6YUr
RnL3SKtTBXkfUuZ0KVYmPboKP3PIiyNj5azcp+J80fo6rYhF5pXgZOwWloFHb+v5PyJxriQZINuk
eCAd7cOr5CV6bmdT0eDqkn3uWNN83iRHv7rklXALmZsGK8egPnX3u7J/kc3MagSBFnJvcaro9REa
hPZRzhRmZNKriLHVetB0HMsKgYi0MLkojje9BlF+qXlhzF1iP/JnH5OeauEYYr+Qidjj2/bJ0vHp
I2kQsLg8lr1OWgaGk5T/a+3sfuP3P51dgE7joGFnxWIGqVKSySks1Mm2sg9jjzx8xlQa8VS5S7Q/
uJL4szUmBNiNQL16ylZn4baNk0m5ldDzIZQhHZefN/OJNaDYadqaG8XcJAAOKfBYA26Wd/STEUdo
LrxkneF2s3fiGK2cOcWjM+OjHp5hs7ZZj/obWZGxRKS9Aa2kQQOMA8fjnvklAX9D6x+XRNafIRqm
nC+ytctpe5ihPG6tlysWdRKgoJ/mDmnIMrmyW+2iBo8Uf5CF7Q6WMTiR2jcEh7xZVPYDDQ2ye15H
LK3OcFGCG+nSDrip6ruHXP0SZS2cQA2jClkCDWAp4U9Jf5aagxw90KvOfHBmYqaiLbLSwDxVUxp5
W07+aWFMB3fl1TOQOn9Rr2z94LN2r3R7HkZHZvaEyI0GsbGMEkbcEi3pmg4eOq4IvSE8EYcr4mjD
9pEIE/v4gjTTAiIdmMbsJzJ07qgmPunGM854lSzkwNExjm8IKcj0VYkAdQklsHa+IC4iaHhSqRiS
CRP+pxfyeaWjQ1MvQKzY8pIYM8HCcx+9RijvYWhWxEBFKJq6cmXt9Wxvze7sh/ZknGcEMMKVYJah
PmfZRmDBG0I1NIb1bNP6NxvJu+TMOpdWpU9EhuEUQDI4i10eTZkKMKseSgOo/FEjffBWkHZ5vxNT
Pk5UKmfFG8/DObYbadgSU8vDqJGpR36aYa0en1QFkusod4izT3G7zETCFqlEzj1OFsL9l1+6DK5o
za3x/uWTGJ0byBCvDpHZ5Nr+C+xDrkuoLUSkhXwmk4nUnvv9ibwFrKyeYU9TLP4Zwfayrc9NbkZD
q6kymDBHT1glF+TmsTzzTLYOtXOrNjpDmTw18sFZnhExkhfhGc+MN8Qfv6OQYj3hcyDlEzecO8v6
/eBv4pLtWUCyJCm1x8pC/LDUeoKRyA6hqoboebz1uKuVZsmvTSJNlzyHcG/HWyToLjEH9spG6GRe
cI5MqxrGbeehkScRPNE2AQHEBiWVB4gM8HhZPYQVSC+cSEakR5qTpMwvAEIco/LvGO6HWY0cRsCT
SFS6aDkmHymBd061DYaNMCArxVyYmVV7m1fnQNtwyOQO4k4ibHhcy3uFP1ffJgzpMvWVBevCxrHY
01APDGxWUPscVWp7posjHy5ZE05HDy5SBFNARkgG5wWi+f+l0QojEd9eT8IoQer5XHrgUm7L5Xgj
KdJDZZr211InrsTbB/W7d5atcMzCP3rvNFko+dFMNpTDYJHEb4pE/TbmMwG8uMlMYsZX91H8pBMd
h8lDVZYKvZkse+yKBlFUQsw/KLfG+BBerPAzQ/Vtj2exzVnBQZqFU6Xde8isPEpBHl6xHpWV7d77
RwroKh0l91oWW8vZycYyDLE5E45ZDwguLrFQc/tgMOHzQbAAzH+vfQfOyYRojqxXuPSXJB2OwU8h
cbRl5rSX/mIy/bJV0RDniDC4ynHvOZdU3uod3YFsccTtHuRh7cgzmVCIQWj9lH1Tv/d8DDVzaVWe
iD3MhnNBl0+vH8N4LyOx1U+IX+KinoAEiOs31Na8vEXxST8NX3UEYeBRQiXixXye1m4ufJVZ9ZVQ
O6gy9HNqEoeWITAA7S0YDL1sWbPACv2kdKwQekhX8Qs2JAkk8nKwnx5VpgHWSzVBwkIqYrRCgN6U
aBuHlREtJPWhAwVQgiKAl2JnISVjEbLwOfpr+uQmNUsgyrM24C5rn7pPIrx7DLOlRo5r72CBwLan
IHcjYBA8sY25oeyjOSMpL3tKUTS1OUQBJkVwgUCSuM8T7JTBsIQa4yoFwVk2wYreYK08Y2/u2ejt
8k0On1DC29dRzCotNKlxETrm3vkWK3a3LsjvqD71ppun2DXfvCXuuW22bbJXtLuwDYPYetHW7Deq
TvzzjN6Vsf7Vi4/GfHuoHTLEtkpFAjPQh1EsBn1umB8DZCrRd766FGtbYFyEe0kvZpK3L50D9Pay
QnkMrUNMgZiTFfvcKR+A9xbaAI80PkhgjtDikRmLLv0tujsDUXxl0g1rck+FrjcI/mrlEriP5HcM
j2+aiLsFus10/M1a1hohZ92GlDek65DPS6aOCthNazZ5Mq0cXGAyZPWGYCoSIUEiMvs0cmlDA1K1
2T7YjsHszORI1khEgCaaHTk90lGyiHlI++oiu3vS/YSmi4w15mj+tQDxygIEli4OHjW+CjHKaSqv
2F6kQwFD55hlDBTtUMrPVHrVzg0HswHwoF5T/1UR2mre0Bk04gYOcJajj97oNi0PdzlaUxU/EaYT
pT7HxSZFOkNssc5UPbyzChGqM4Nf8n47+lYsohzR8whpOBFxDD0Wf4ua0T7kyIGjJkULfpw8LS84
iHlDjt4Q/mR/oFrt1oD8czoeBjCtZpdoywKEWWXo/K78jZ4jlUXbFa9gfxxjT7jkpC42wq8Iey0Q
bVZ881wSwaGEhBZrD61c143ITTbiRZvwA9Ex8lfObNJn1XXsfZkifsTbM6zzF4ntRkN/5DonmLOD
lb2niojVhAiwbrVKqO7N8lQ4NMg47mMPEDnMsqnKRm6SIdw5IoALFdciWrMquKgWWeiDk6wd1JrX
LSXlc2cTAgF04Rt7YZiOqk/xmEdz/vWim7P8kI2sZpAYRC6CH5dHYtwFuKkFFwoK2GJr7eQQgpsx
BWgIHEiyEsxCqP2q9SXpWHSgsBEt+etZvgvSg2EdMS5SFXv3YOWYZ6Ztwcol4fm1WFZIvy6Dh6Qd
ahdtYget/qnHy9SDnAowQlF4TUSDpCNFApFTdoMJ5wLoVaQ/LTlI6g5ITgvuvnHJopWpbgrpWmVo
KzYGSheSI+2NnSD00ebgyrgVOTOqcJu3vwPzbxIe4hYleMo6an2VEYd0se6pCaKtTGxYmvJVJikx
Mq+Yq8+iRKuFMCVtSw8G7CXuozSLL1WB66QOe40eDNqlwxkZbkuTSKm85EOcZZ13Kw37UEnhX1MW
nzSXcFd5qT4zJOU0jsJ1xKyYpPKfpjsnPxkfiUwAVakQ0gCer4box3xpW3MRl/mauueDYq0GPXt3
42dHm6TNl6v19HJ50sEkS37MzGeVEI/mt0sbPMcvvG1Gxn2YJPuSSTKQGyhV5Y5efNrg4icmprvY
KEmJXUVaiP8tjejdwGRZkH7hjrvOV7lMsYEU+sqBTGlaHrgy4tAcFqzWC/T/UzXQ9nu/bw6t3Bws
R1l6uX3p1ESGcGk4f+c52kDNl9DNYAhto4vfj0tJ0YkbdZZyxLgp9UcVLhJJhp05JBNZi7Y2Fz17
lsja7DhrSrn+sfUQqsE6W47gdtglYvrPEb456MaGJFtbAX5RQv6QmfugTmZ+KVSSYgey6Mye8MV+
HmakyVjDMhvRudA969pIr4iWdL1ymY8wwFBRtfrmMJbabqUkdA5qw6aTpX3sp7u8DSgOG1cxMsEG
4YPicW/CIgxJR/eaw0uF9EdNFk2uLRt2zoKA10BnN86i05jY99bB6tGaxikfu70f5kvDI9gXPbIV
K7O+ELU5OQvdiNYwRvgo7c1goyc8EUxYCb43VjAn+Yhxn/Ref/AwBZG2uTPIEJCjYl5bZIqS+yho
jCxUzpVDDBsdZdQTLyJeo8Avdh2PBoMJAXoqnZbFMswsjGfEEhFtT27xorUJ0oK+GBWa64UIqKSL
RuGmVPB82+1O0b8k+T0SqJKLs+dHsQiwsaggqMjTqiA9QUxdJgqdCzBiUoK0JdLx5f6IsSRGtmLA
6/en0Acth1oKURv6BmsSysDIhig3oP1IbYS30MGN9fDgxB85e9XgsDlTtNEfpBr9A8WQo0k6DdFa
NUZnA0DVhCYeRnRiNZnPSTQLGzacnnhXaPU80acq3RQ2cWEDd7bKuOF8OWiXCtrBFKSEHQIF8efo
bFi583IZ9pu8mfuRMjEwXHECezK7MZtmMC7ccTvEr2KsFvygc2o257GBvG5k0G1/9BpMCZgkPNrW
zg22Ka4PwFQm5RnSJK2CW+f8sPAr9GIb9W++sbIUOsBgLqmtZyL8bMcLQ3cSPXI8vg0dZIGFyA5s
AhlaIHUzz0+WFe0ONp9IjNcjpgNg4gKUubId4rGzECIMa50ANy+ZV2g7dYAQKZHvIIoNx6L4eEeR
a0MVgkQGvoW62tL52NDOix8uYKGNM84H7dn+x9F5LLdubFH0i1CFRmxMxZwpkooTlKQrAY2c09d7
wYP7nu0qWxRJdJ+w99pkGPWz/JL/YOFQqkT0obOkJSFtkMUYiSZjgOQdu8dITdXC2xuxX3Ndd/ky
6LWVodDb+sM6Q4I34RVws20Rsn6sGa/RVCLMLpAoqJGqBDSQgZ49EwBTMVGmQKC6uVLjq1Qh10Iv
AEEAzUPHe25lWxOoV+HHR6sSq7Qa6TZo4BgMrkrnXhXswdRvDvjYYYZh8A2f6V52ky4n1rn5HAHp
0UfXvIEc7uALq/GmGjpjOhHhMnZDZpqTnOEhdSjQrrtQ7FwIxiH1Mvqr5s9KvyRW4plOURvMg1lW
zhUr+3uRvFUdyFnzAMPrAbm+phMGCESJmP1oikkxI3LRc4kx0S5qSkMXHdgw1qsA3F7z1aQHFwDa
wLyrZjenc2vnvFYTEImpu9u+059k1KCsiBaYsXA15TwpTYWK9rMT32EASzTlbX7uJSmmtJL1yhiw
hUyEA/TGIaneGwdXGGuEvvnu/bduOHvhS+JdCvM1N061ehflB9AKWb1oyYkvv0l7KQaqFJuGhTE/
0oTCoB6swQzQfzS0BAN/nw/rtra4MpBQDP7e63zWU/+sHgxw/9siWpsnqPNMRI9eE+6ZwuULhJ/y
OeNDSePrULLRN74yyewhES9FBN4V5ghWi2UEScHPMBvkhBIg28ihiA/6z0y1YJlpOycBUWp0gR2P
3KIvWYGoT/HZfU/91XU+U9TQyeSvZvOHZyl0Jd82RJW/0Hi0rYBswcwtZBgLManB5ajUl6qZ2hMJ
RbRB9te3iCcd1A7io8ZoUAAOEb8i/pNMpYrPDBloRDP30NNvXApcAaRDPmvxRVQwvT4UqurZhGfc
VAR2HfOeqPJlbABmS592E47Q8quzXpzhwTvR4wVhZQxaLtYI5FKLzN4P+nNQPFKCdIEfRQciYIVD
jhBPIFtvEo/y3ch4SA83KZvZ+CriSwdR66k13nVB+6+tQxaCCZ8R8AuXPs7EoVbWGxs922guUuUv
JJuAhio0LOFH64SIaAUcMQykOu8FjsqGbYEt3/lHCP2wPjlfKafMkFO1yI3Jl/5/KXaC1g+TucmN
3cpwbQbOIaPftd1iGTKK8yHZxknNXgli5PDpdzMaMHlq2AMbDBVoChEME4rIQps/wUgSgZ9vh7zc
xtVyzg+hEXHZuCOruDCq0mLCVM4WMWy0GemWvDeo0SCWn9yU/qE/kXMzIqHs1/ken+OUrmEzzxW7
8cK/qeWrcrw60TFQNw28Hpr29qDjXsTVY+W73IPb95JU/yZwrxrYz5YxhS0e85c8LT4rbCkBLzn3
Bv5oJOtCEGEfToSsYuqU0OVG6bSNUAehqzDonhIdlL5CoW69mFG5NLur5edrU9w060UjXdI0voX/
cNJvEXywKp+c7P+jpw5xgjuU7UihCnRPzfBV2B9ZdW7dAP6RTdAG7eGvyQmSP6uMqLc/IzxbJJLO
j2WW/urui+F+18PB8C8F8Bn3kCGEESbTxd+kKtaj8RrHRy3alby/dbAylVw7JpoI8dcx/PbfYJ0B
ha38A++lkkemCaztWMY0B907EsWD776Whwq7ZXov52tWfVn0faP5EMVHmiKy/eN39sZjbt15Qsbp
PeeazcafHiFfWn4C+k3iOwrDCS6mfrZkTUA3acnGzh1eauqAlPTD2rROkkUKM/9GcCJ+6Fw/Ec72
yrvqLTOqk1/enPYnK7flIDH40rcoTHyExmcT1z6bqbJ4MUKXJ+Yly9/GERxUf7eb21whCB0t7jrH
vimuWZwunfBoiFtn3xtmKAnc4lvnkG62l2sjOEfdzaB4Hw9RSS93JiGdf7eUux60xXQNmY/4xt2U
H1UhFjZ3ahJfMLSxT/R0doGXitOruo/hT5p+iXTLTrO1bin6bpp1e7oYzQ4HnmkcdNJCRHTw9RFT
7aZs35SO2PGYxFeZ713/FjJ4g2rX+4eKVWV3Lsq1VQNf2Lf2zWwRWeovk/Po0S+I7AwFvaJllILh
TX3JMezwxvvircn2dXFKxIeazvpwtzgIWvXCV0ZwDOB/Lr1fw7OPYkLMxo05/zomvWidfXesdd34
wdAEDLsK/rTulbG8GE8qYnH6VIBFoCQLzKPDsg7zIkuUAMMhs8s+fxTiQbwQAtiLE2FBwnc4XTWw
kPPS4uHIXcMwyDomeH2jdeGxrrCP7LbH9j1lI9/j+KGznfWu1I3xxrcv/EUVX3Xv4TCKlTYjyowT
HWlCcrWrF9c5hxXMoeewPKQhKv7dMCGJ3ALXk+E1RL5IZIRnXiJbLn2dKnzDJcda3EX1O0DL7/tn
J/kG7JDwieYtujyyXIaCWovTs7sThF1kvwl8zfJfzPWXnsJArVoUCzJ0l8J/9a1tV6FBWZdYlrwv
rfoeg68penMk3lTt6KVXuoPlhgokhG1ccZbm5r+Cu0biwRpQ09Q5Wp4+Wim2W3nwZQ/kQ1PqkYaD
tjNPzmNITj0daMz6IRRfcfiad2+O81KMLGBWVbbCDOSPh6Y7GsmnxXY+uwThzea/Qco2AwWjPVnd
Q+deiX44HGt7aQR4EhaKtRQYveZSWCcGLDWTYgyEyEwRJHylKCilf/NYoNX+LRLUT3A3jLvh/9P5
APIXvhFlerNaPtC/glkZIkY+ehORLpjbdm8hLA/41l7lcAj8L6veF4L5WP45Bj+NvrF7xt/FqR/O
EXEx3S6KLvCMaeBlvyWjDnM1B3z8Oz9N7bVuT4FxNKp3emwdomcUvWnwNymjLPOna18jfVOimmSt
4R2SnA3xThmvfFeT4qeudsjyBknmaPqUI0EiWAInCanGDE9eFWYbAdZOPJc4J1PO4g42JDhbSO0L
B85zCj2MUeiSsrCQwSKSklnV7/yAzcODomFWeIrsQyY2HG2t9VqQAYB+0U7/Ktb4ioxJOsAFShTQ
OryyQuwJQw60ne4w7UKRymki+33dfeCDaCZmXHtfHBkeeriqo+DdYMZNBfxU91iF+TMN1rKN0gUd
NZmqO9kSOGr+WnOgAjVNj7Yvhl+ry1llz4nqus8yu9kMFop9GD3mNo0X21XfdKkBPHfJGHYujDoU
o25FXoaP+uqYJb8mjqSO8a/CWGirRz++097llD/RNUqfCWrL/HVZzqaHNGCrfZTx3Up+W8F6X/8Y
rJ/C/inzvxJBf7YQPamC+7D/58TDAoPr3B+22r858zClD+uqu2W8wQWrqUI0hvnhDcMqY/RPU0e4
iZeULKlk58t92uz8GpTZRhDo4wKv2gwT2fC3Jr5LybD7PfTOyWtF7gJURR3GHRI7KvnsL/HuLUrf
4odblF++D245HBxANTNjFpLxtWAqolgmHnm5jrMGakAIpcMTR2H3xEMTlm88A4l50TBm5a8jc71k
a9jbMSMc9aGCowsTmhql2lf8RUmW7urFwhpbn7iOqT8qcOOIcMlGh0zGp1PiSGBDwz7qiQ0e9A2D
lCC14S8i9xExIOKcGF2UKzubfEnUaU0B7EPbmSMuCg7GJChYo9RcCDwyI1J45b5vrWJcWWOEHsT7
7NLpzXOM10KvGDKxrDSmL+l3M+vwWXIJGCic2zQ7j/xJzs1rzNRNudapM7GN9hJsULSvTZNHNkfM
8eNXNhXEuLNjGHHekO5SWR6cgdqgyI8+KvpUsiWWwPQ0RN9IAQZQlXlSXR3Xvx6LNj22tju7sVah
ntnod5xr5Foo58i34o+g34sgBTTKMLZJvDXT+jD05rHXYjx0T5P019NYrDWGlJ4bgTBERRlCCAnf
B58WxcUMiLYAR+vGtptN2hFCURXEV9tiWXQ3CGTbyQ3Pwg+ea9k+NwMEDm+k5T426T0AKt19Nd50
7iiOmhCQQKyvWkrTthj2pfrUUQykI3UtfKfW2GQqOaVEspcZ2hQb4TChbk538TnrBc263t0xCBTu
ZQyGbcporwmBiCC1GlnqmDCAouZLz59n+a7CBROTGpfFxlPJElEzHnE1wgEb3+Iow7kzHVs0HGLA
NNkcvelFJcFyyohGyknkIc8rtsaFXjSoksddHX93uMIY2cRkSmD12/JRrvMEo4o/W+PynwAYMu1o
gX0l/rMZhpAJCtXKQF4XbGJ+UJoTUkujOwJRx0i8tAyEXYDrtW5ce+SXOUR+2bSGNsVYgdDRNXAt
I6uoyZvpSqD87opsZs4jPmhmsQZ1oz+AnvDLiR0uAURN3911Dftfm3Du1E5/w+TWpTetmja5Iqms
DY6mGPeybu/4E6d8OCLPPOrJyAMlLlnWPNMAbyxS6nDW4BqFFDGQUw8/IY9uOtl+pdTekrG/a83v
INW2d+0X8Lq2HG9GkBy6Itha5Gg1GHubxDyWVvXQyuhXS4i7cmZ5b90fvRd3KL7Knphep/+O6uxe
CL471KXY/HvZXnttOPdCnDNnOocxEmNOySYkZo9NmOfMNmFz/KnhO7UkG80afH2F8CEjBSkpk6+6
KjhEWFsMRDJQ0Mi7BxlsoEVHMtd5NwFNrLRZksNadjP13pSsjk6Azr6YEKyEln6S9Iq5f9mr+DGG
+l9imoC/4u5ce3+D6O+dtJ5zy4ZE2y0da9r2JH9ndr/09OGCwwxVhA5tzLQQ4lFedLzotLPZKaCC
zpGA2ipe+nyne0cDP+t+oHjAyZN+mf4RuAzbLXuWwFiQMWuP6CYBr0R7M1R5J9QGJrR5TIPy3nqY
z1LLeM/HuDsYF6j73KZl/h70U4WN+mfQxn9DTzAKAsVdCXbuyJXpMZX3GB8mbftUlXO5gUgnyQln
K2Opjr4/vbgqJbthVM8EICJs0qynnFTfsMER13OCZiUBuyb7VoEth0iaDRyau1VtI6qXxVSwqrHs
al9E7yYhVR7CesAD5LWorTTCrTX5e1NWu2qE3AttBclnU0QHg5a2TVB9oT9JJet2me6n0CbdqIfW
Z20d6BSefupIm/JN3HcwSArWI6ireIc2sla7vI+WU4HTvqme9RHjeBQCPgkWOEt2rtkfnQBWvq4t
/dD5UEC5Ej9dqJ7njOxbva83ldMSmYlDuO7owqKjomEbVb4Hq3MTBLjz5V9NLpZkSyBDfZRWux1b
rE+tvhfR29Dx5RaVuE3t8KGHNTkftNpReNGF+CkR6WYH6fsoC4EIl8OqTNrdLAVgLN/ypjF3JHsN
gPwQfzkBy3WLfUdUXYOi2ndq+plISOAZv3qWsxta7soZweZwQ1vFMus67Ep441HDiHQ61Rqftz0d
rVA/2IFxaF3oHgq6PgWCy3bfij57aFcJjKUUmUo4UmM7kH76Y1tE5zJS+x7k5CCQ3IJGwDroF+Np
YNgY2s3WHNu1FkBrsvNNBCEgbbwzXQ3+rF2glef5bztAqV0RkSLcs+JQZ7v1Lw07+WqYVonUGPIN
uzqq0Qg1+4kVoGTqWYLCJzJ+DVSJKFLhLBpQ+0kgrkYFWOcS5vskXPvmmfhk/je0dvAfuvZq5LTR
zFmaM1mgFdgjpX6KAX0euPPR+1ebb9XcRqZfubZx/fdCf3HtZ7w1InwMSjAEBmjhHyvm31X5rRhH
BXHHkJ3BlvPRVM4yYXgwXkPOsRDWZCm0hQupwwsFnFUWmJCysAHrAgeFd8U/23r7noM9UJ+teZ3h
9bbPDEXfW7i8uux1nmwG3s2jXzBBawz1tWvmF2QxGS1JXq0r8GfuV8Bh2zA7Z8NOgx225BzCMjHV
c4N7jKqoGdG3n0jPwpNPHXQMCZ4IAGdbJQjieF1rn/wQshfCV5k9Ci6eAr+tS8xus/C4JK3aQ0x+
TMdnt1y1+nainaXybUjYtqrXWGz5OOpkr/kXEXxV1p9hIi9/uNZXad0dk94Veq+Octe8G+of3/c0
gHj9mYK1DNw3mG74jqYazdhxrWaS3CkHSliGagmivx2YljGbd9bIxjHB6KyI4/g8oPKyQ+jjDAoy
DAyaSxpLW5D7xwPuaU9OC5cQP0oDhaNxoa1jze5J1Z2S98hhgvTHL8IIyNMYx+6Nlw50pME1Jk9a
8siZHcsOQ4jCF9eDbK5nf/R7TdioQYHEZV3Oszamwvb0bQLCLJioEdljEeOjyU83RozGvigNkDj5
1eI7CgeO5XgZ5s4qIYinYj3naAkZ1d7Kvw4mC7nY26qxxYyHJpw3F10piQs8Rexzhibb2H6yjprZ
OVutHebXsqNfGHdIP0hEY0FMNkeMg9f030Etk/oAEjYDUhzswSYPTNj9yESL1CwChwANbO/erZe/
YcqlqLMNg7xjMUq2g4Gl0wtvf7RWiNta4rPyrUieNePFj1J2FF9p9Ksb76Klobj6w45sXW8dcVRI
5xzJz8IGDhT8WONVphd8J6wQKeSnAiqx+p7RbgaWtvY0tNeMHczI+ur/fptOTqYfgXrqxWsG7G+i
W+rgICTlaxbg+n6njErlv0B/cwx4Ii8xR7W4tx1bmAZPv5PSIiE1718d9+jyMYR+fXC0f0lDnPBr
GD9PtM0EZUzmC0+HlIdQe1bTI2ioAurPxPiKWToE03uQY3+FU81Wn5NmETn2gguVmTmbZ+2dMCjE
6Pcwxd2kQQl5H1jKSoR9PI7eV5vr6ykWeLgeFTqZKvkdSGfpBIeu+rNTm8Ufq+9Rw8i50CyCqpiR
FskDHXyD4sV2PqOElzYFQDTJs2Io2/7GLoR7pB2sM7G7IKZfqiZZssNb5453G5tkM3+V2rBczQyy
RqwCao159FbLYmsHaBgHCF+iIw8WEmqM+hRhrLGajHDFVAmzTIiNB/ufka28wth5GqmD6HkHhytV
tMvR9vch0ya/tw5DXKwc9qmFBtCMHFTHYyRp9euIK7iHiGtFA0kg/LN6tuHvRamf+qB/HtjGJTYP
C+bnlATPIYx39MykF5Hl1ElW1vcg4rycrLOyiq1AvqH5qOYpMVwRrqWernnVZI5n67yiVu7LTRY5
q0kmCF/ER6FgnZQDweGQ7+Rm7O1zUOHVykM2ILMAgpVM8BJAtZAxQj3Gvj3qD8qDZRFEq6a822FM
KiOpdiGaG7UOJ7Z82JV9G4UdAt+EBlrXNWiD8drgV4gGnnDTP5TZRcnsiAUa5EiprZ3Je+Vf7aF7
EiqK59RZTDqqAAMuiAERq4xhXxNzBSnEtqDCAUJIATJNBnrggQMYeWTCwijvWbVhwSmSFdyiRQ0X
zJ5Hz025zClxqM3C5jiQABNl/blR0ypF5ZFFkO8Ctv+dWPbNuOp7f68xAUKbK4BLVfy8oXe3CoSn
nbQbObpAPVmxm/qlZZY2+enKW1Tkl1i+tdLkuBo98tXpsh0glTQ4K7vot2OP7QVFRuOpdQc6Ukfq
qlwD8dKEC+fkOCjX2X3noN6CRm5KJkGMLEb5Eolon5ZyS1/S6vnSbYl+09z3uvaWOoNJ6nT+EFTB
1yTaDlO9DyX5n4tJOzo0dA5lVczycWQG4gH+0aklA4LTf3smQRaKk362KP9p8ZteMHWKh2WPLzZ2
2Q9hVPQUdrjuu4RJU1wg00p2cKazyOcVddwiLGa/S0RbGL+7JQHFn4rl/ohT1G0vVvvmsCXK/V3t
3GL7x9I+O3r+WKeaEc9VfI/w7mLOP9giXpvPYXAK8pgt4dTxmupzYWsPFVU75jP5KiaJOqvVaW4N
i2Jaevh1BkJS8psJUKZbJ9GlA6mQqA9jeFTi201OZvdrZ9tBvenaOjIfkgTPbBPr16r6SeVuHruP
eb/T6eRM7Rj1SxDmvnj1IQaXz3Ybr1KSVUT5E7MzUw2CO/nViuNsOgrApaMA1eV31qMIv3lsNGxU
hr41S06CRdPmK88ldP0jNO1FzygvZjfX2z/67M3EwLS20navNHxzioLy1dNfak0s+D+A97Ai7I3l
oVnClmA/lxkexPTgCLIXUMfRBjrQJylJHIFDUK8JLyIpvCLCmC3Y/GPSFPOEO7Ke9Ggw5on3Vin0
52ZHzvrd9K5jBGOf4rIB9o0DkQ0EUizdSf+17MaFWe8ajlAttlnNq3XCNrLDa6Sda4HGr2/2QUUK
SwTbIAgY4MLdhxWZQ8aojGZZ4d+zBtZhzkvGfVh7Lfv3eiOyaTN45qofdLSpw7oo6rtmfvoc0y6D
VzDlyusXpheh/qo3XmmuO8dfmr5ai8ZadrFcd0WJJvvTHGlL4OJ43rlWL74RPk3eNcldpPoulM9h
XeE90KXPoWrie0h+mhbDW8zLZ5U31NSBoNWtnjAfYqmTSx5bV0bD+pjwhs+lBnYPMvZ6j+AUVMQl
MlI2ueAmYdWTTUJjnaFzScNxk/oM7YOPDLlThKwisN4MtMKorErSz6Yy346NBx7FXg0xfCbUFmoi
33EcCGxHfI/ZtSjJNiNRg5ze1EC0lWFYZ3OVs4b3OB47ncl0gwrlb6AC7Uk9ms+TCG71wO4X/9u8
Zq+6kVv4tWFDlEnWLPa0qkd/MRQ1sX8YKXlxDWaLlozJhK2zQtFiHIyER5nyWluEBv+Aq45WdBOr
1yJC/YaRg/Ku0Q5dB07oX8GGLDcw3qR/RkPpLT6mtiU8KViiNJsHqsW6q9wniw58Goiu09S2cKcV
dxa5QMcGbrdD0mgRtMeqlwdZY7Ew2o0iOGNMQYdahWC5wR4mOXZxSBJU23EJTBeQcx9IQVKmzvZo
7HORnQy3viheOB1xFdHruXZ9TSzra0zLUwEUbBIXS8CGcXk0nowSX8R80duJtp5arpmaUUk1nJO+
3RQtuUqJOAdeeC878To7j0yFyNGI1EEmPBR6gS2EiHrjPD8BIjK23aj/I7/75OcBODO5rfSRB62B
8eWAWVNnR0C9y8t9PznXyTr5Xvg9xfndZzCVavUb8zomzzkk/gakhN/+A9kYNvU9yS0UFADn+Kma
GH/mwWDbtOfYg68UzbyA6hwQX528eC2QLQ/dcvKSetHKxRYVR8Nrm9dgTqhW+vcEaEutWbtkZEeO
IgpZFebCeFznQX0xwgKRelIfeICOnXDQmVicaUiSbfEhEGLMNgOt+tBddld2D+l2Oogi3jFIRYGF
aN2rrsqh17S5wcaqOlU0oioiy85J3jurQpwRmP9qWa7tIHizAvvVF/3NZxfn6Q8CAG4Jb9Kogdry
mKc9qY3hcK5ImkcCXn96NA2NxZQscQ72iA8sijd6xavOq7Mt5u8BZWcmHrmHGEaML55GnMtg0DYV
Knlzp2gjLSpjx/rrg3ynJ+Va9Gpd9f5tyN1Xfuw9toKziSIqKBEL9mg3tQRWXUqx7zj9xfOw6bWU
8my8nitVc+qg+g0wHFYF5EWk3KH5E9Ykh1XkBrnasUjkWhbPMPyXkjyImIctYs9Zl/XRhYpFpz5v
zYpbgHp8ZItmtiVe4ps5DdcpwiqGnU+rUJHPeNOQMHkERAzjowTYCSvKjhtOGOqUd9M7Ujjq8/HE
Nx9t4ruO3TlhvMnacjWSIt/aNHOTe48RUOhGBM41PuGjXkuAik52T4N0g7NcC8b3BpFCFFprNK4s
esmV96vHxBi/DYi+NIzjGHsnu2ES1zIlzg/+RGB4D8MUuqIDVtQZEP6YHIul+T3RzAnMWX6v/1V6
shK9vY068zDG5ksS6Gu7tXdFwdaTjFZA/ygP1qkKHqJpzugg/oLcWpphs2vgxrv9uuPr1hGhDqM9
acJdiVIkRJsVkS4WG8l6spvvsJHr3r0h8Vt2ZXKuqG1Ufhy9jAURCw+msjDLdy5WrtEOGIem17wj
m6D0X8Yh05YUJJfeOQpPEBmvAP8ImjamV7rTUjKTJY0u2hzSs4zq5yHfEiMLR3LwtXOaAQk1EaR8
SzlsTZ7fKcVpCHxDsTWWROPGXPbZhMRlEseyxxbX6gh57QM+7De7df+GP5dgU0Myj7JObEYF9Asm
fAtLXqreuY2zfbOxf+fpmhH7B4P9QhmW13Jyj7qvn3N9xIo5bpoBEJdDMnbeXWfxQElX1WsTTOjs
KjPoehlIKktqa9Opt6Kor0EPlAFztvCSZk0z8lQDDBCBD6TQhcporhvQBGLsDuCEW3dadpZ8yyus
oD77mzyuF8wkUL5NK3nOMmTXkno1wJyAbyW20EU1xd1DqaZS1AZoC813u6vWA5kH3Fas+yJnEct2
37GDhmEvxhhsjUfoOS6O2GMj3vq3tqSLiNp+WabjcWAlROL7V9mQE1cfZJZuba8+mkO3S0zozMws
Ozs6ViHSzJYwd3kqBzx6RxGiT8rYX/U2ATnFrtGg+nLpaArVj8McvzEW5Kmn+PpyLkEyDwrWBU3b
nP3XBMFiNP60RbouRm8BSs4cmm065esY7dSoLKKuJGwBE8yEsegqZ63r3boAv57bfPApuy6/3ugW
4pd8WKYQ+NNhQzO5q0ndbZjxO8R813Tk+DCPJcFUOl1ZiWEhjz9c0Ik1BiAwpvKzlFDc37Uop5NC
GyFQJAfhko94rRKH6V+69GfjJIq/sm7ALXwMZDP4S6LnPfx6DZTaEcz4XHUXDDZJjuppRG2mCvZM
XMBVp5iTmLNkDRF2+dVUqLKQbymaWpN01kzh2ChgO06MwdjMKwy2guYoJb96CnFQd9H6zTXh6uhc
2I0H86bEOoh8FZEkNQORKT9ddcxYdMvwc4y+6+m9m0dEKRhDB6MPPD9+za9Ma5c5RS5XFy69nH1j
vpYmtk7noLOGUpVkPsPAXbdRZz8MFW418Ww4JPVVqoGmTYEYmoKUndYg9zmdwwaJaMjbCR+CRwcm
LFhfhVZ0u6zG0ecpZEB2C8TagbU/5O9uJcOlZVKvh2/p5HybUfORgIRZCl0t3QnDb2OU/Pwo+DSN
iNIrExdVkfHjyhhFqYR/0mu8WsBHRoyYo7aMZ6cEcpZKhjU5oLmSXyGPbcpAF0F2pseQaNLiLMrm
WkOCDEqFaLfN3HXTHDWfK8ywBrlwU1SeGoGq3TRvVRK+ZKEFL2VSslhnxI+YiTC2CtyJVxacagLR
t4zRYUZWFrEvpuwcbBFuHS4f0lApJiH8+kFM3CLSqsHpXUbb8bJ2/fqYYy40XIvkTqzMmmt9l70L
qnUgyNFPHsIls0KL2x+gfcsucdaxMFbSwKzMgGkhaRAyhWzA+ed0MxxEqSNP0kxBdgDaFv7WCOFx
Uf9ibSaTXnqIYdVn42aXuNAesWUD2gno+fNj2DfHyC63SV9QRTsICeppPEr8W2HS7XhjxTpKqXms
4Sob9x5lPoQOw+9A0UV3LwyfXZGu4hSv/uSYtOqNzroEcQCef0CTCAF7DTmDkITFDTN6lOAB5cAP
CZS7C/A0GwLHRtnIUxqDw2pA2esEbvQGY2vDDlEFzv+TZRErUxdAQTBwh+iIeu1I7quWtWpY3I3B
/jOdZxI5gDNqNtE/wXXS4Y5HzltHjK3hQPfnlUf3xkjhMQ1fQ0pkApvkfJNZkNHMkC9JUD7MqMCG
Yg8bK+HhMuv+oLmdufGyg2qi9JC2/ka6jJFTlx4rSPR+O6TBsSxAryjlIxtfSu7NxRDA+Yx0oPhZ
QiDYlCRrMYaAPpQJ+N3vVk2FT1EyqV6Yo9VuKp6ick48sqvvoHXjVRBOswY93cb2TK+B/jgY07Qc
JzyazqxyIpdLtKpfN5k2rGQx/OvL9KcxiORwRE2LzhTfYEyvRy8Vqd+7ZJIEciXmrw+WsnRYVrc+
O1uzTvd6iUjMZX5YyvIk4pKlegsNV8UAumK3gRaGk0KyEFiYr5TQ/4Imx8EST8gbxFfWI9Hui2WU
MXurAvunLop+VYGE1G3epha+Vg+pRExkLqbEU9RpYsC9idGOeuzfnegDd/JjclsDo3pK/0QQmj6x
5h6F/2EjBMin4KdKUbTGJkl1EeJtL03fiy5ytqbyj1nOIs0BnlWOgBcr19n6rFiWXUZDZ1rWXYcw
x65vI8gWLVzA+ozRpm3R6L8oN6bkUU4Ih8YA/OKgJpN6eDrLnplO3fW4awW1EJFCqfqyExitvf/o
DJi5IetNkSOy7ESwGkJCPTSee6txviOjO0QVSQTZZBOliHHCKP963/8bBfOAgbpAFYjnypi2FOVA
FihYye65ptVaujpyfE//9Jn2DAOSnsgwltY4q6kNjMvK9PalCe5caO6HBzevg0hTW/dY0kyYtv/L
WZNyYTGoqG82XhPRjf+EWWqgTYgXhJpluKAiuMASX5/YiCTUJN5LX/NkZMNn5GAzjiZyYYXlnvLi
ETOecqJOIPnm47Bcxn/aJqcqfpKuszDzABC/TrSwVhGyJrTMPwbY1EyIcnJmsU15yson6d87r1zZ
wKz8VKNhQzvdBgaVTd7gve0KNBV1SbVw8+L84FqArmtiuKNYgbLpUM/6uYsWqV8PmcVCc4wAT0zm
cZDQLYwivNjWhzLBAfg+yFF/1nVLYiMgJESgqIXFu1FCwHDd4daYxdG0DH1ZToSZst2qXSg2Bitg
SdOfJOUba9pLKnOgwL62M0Bqe611yHnHOTmZOdWJf+/48sD8hMqqmTg47LpcTu5y8KngHY39WaZO
hmZNRKo8l/+/E6UVrYzK3Mctc6O6IiytbRB52Nq1RFaXUHYxP8Wz0KbYuwZ6G1faLXrQW8mM4T/G
zmu3cmTN0q9SyOvhabqgGXSdC21v5PdWSnlDyCWD3kTQPv18zD7Tg+4BBlMoFCohpaS9RQZ/s9a3
csQzWNg6gl4E3sOhwfu+VEKZFi+hQtwZ9gcrrvGdIn9vY6ZeVqufcguzj7IpVop2hskErgfRleVW
b66M2aKNMaa6LKGNaqF+ETo0zfrgJMpZlwYne4OrTkwRidiMXowS6c0Q/EoVIsXRLFnVC7dBA3Lb
zwSC2EHIWN6AOIcEOe5xIZrQupf3kRD6tYcKTHntk0LvA2eJzZIbVq9l1LIFcxjQyYfWN79ZDjwH
bUvAYrgl2hfxfjgU6EFx0Xkep7tvoRyM/HifsMmpFDlkWUG0Q9J2R+5LzIoSQ5paiDqjDQUDLuCU
lqib+zBYowC45qY+W1qALSIShLP66CL+pVl7LblN2Y5lK5mQ9VErs92YJjHDOvkSPakFk93Q84Hj
ZfvWrFrmxY0h9txxbMpGLvVoBEPes/fP05i1A4YmuzI2VebzcddCw4furZmIMwrbT2S1TFYVHMcM
Uq6sspfeZkpreHgMBf2TH0dIepkN9dw+zGie3LzM1z3mVwrwajUMGIvCtIvZRljPYEQrPzFXog1z
AoqZK5Zk06JYREmdMqhv7Jp4SysEIDH3GzyGU1SYa919iTKiCHT7V8Ep1Sg4Nh17HtG6zyUi/94p
AZVPvbeZdAULIXiMR38JGJ+hDfRsq3MkG1KZr6lDZeRaQ4YQGmVeh6KWunve2KV+xTiXuSnUBy9+
dGrlcpAhX8qkf/I6tr8Rq7FuztoVFymm7P4uNRlp20Lg27YFmK38SAwDZkMWWr2hbkdbfEUz+4de
fBuTMtm3jkz/c8Zkrif2dX4oBgjyWn3WBgKVOVwY+3QqnfmK+HVmDyjCfGd4wU8KBqhxCVeiWxCW
ayRXK5tChnvImaY6vEvax9xslgwQwFCywzc09OOlhj3gZmy6cZETO2Sn8+pp1lmO5zPCRugioxWJ
vIrAifeew8wy6UNvl6qcpVaPByJs3EPEI/VsQI3Li/TNKcXD1JrEXTdfUvHINDKbr6E/kqoWXGkz
1JHkWpfWdG7Lh7iK+G2YzGm6EbaaH0CUomXt4wpzlR0TkYlNwkxYiMxlwjwQFOZYxcT6whWwpobj
gNjMYGbAlqnTYLtXFRWAeFy8vUlplkutyHXDBj7tVI1/ccSTPlW//HQJYSzYM9h4KCDuMk434yfH
rn+yd5k8yjkjhcPTt4KBYvSYB06Ea8C62BHzziYb72QfECsTOe6mH7LbrNWMrYLk3s5GvFjUXXHC
3iFvFfCMriMIhvl0bf4iiyJZVZ5dc1+OuKqG9gvzIurYGauRGTmbzJf6GOXeY631e9VnTNpQ7+0U
soa+8+jKRu/B95EQD1WFLYo2JMwDaxd1VHAm07aaQ92tyPDVabzMNgzCV3WwPEYB341h8iI6+eU7
etqa7XnOsAh1FMo3HgtmOhxAU1pwRzIMKDqayVbfGnN9Pxo+7lYnC9Z2SiBbBF1E0SGmUcGMaMDU
5CgmDFmIBnc6eo4msccKmbcE5n1mUsA7MbzVkga6zVFHYg6MkpLVXtztScNZZ44BycWi7+1sYpWH
dFUj015Zo/MxOh1rUowG4UybaaTOplb9EVz7uy1DjNYtK6isDJkP80DBOuQ6tJ96kcK1ZA+4cW0C
D/QukYu+O5HBTaACLIH1XKxtY1P602svP4ymeCuN5k2nDAuiECdLlajXQMaY2zS//li5V0tc0hK6
N7RX4gJ9zqNBb6zM/j1TunIb80RIjXYlSTvVIwzDTDshUppilyfVvlAK0iEuA6yflYEHzgyt7USW
NJbHGyWhb0S39dDCbYXNuXx8qCgTkRkS2nEelmA87TIpzxDmrUFLRyE0X1Ubh3RRWshFmywj3Dpi
qa9npsr1YnDvlPpF5Pqnj4bJnIOT1efroRMtejWKEcYr664nwjKoqJCnwXoeYxbkpLgzO/h0RWAB
1+KnK8IPrxiJJZwIpZQJEiAGknAxiLZNlpKXOSJLJnIHfOteBc4vlJQf9dw8e2a3TZkvrfLh0XD6
RR2pQANWP8sRhIFkr6XiGdlAvvSBIwZpxyKvW8NMSfSuA9yAukQN4CaLFCeJN2zDGJbHlBjEhncs
YH1QS519JsltAFHZpLR+sqeFtiXrYpVqaGsWUhP3YKe1jxOlLDalwdvrp/ias8DdWwZPkWGwR9Jn
433QBQiuTQefVBBs5xpnHKKv17EoP2TFvGluWZIgmfwZVArLmbszxpSwzyBk5cHMMSmj/Z/P00m8
Ieb5qSrMixPbFzYYnxjUT52gsrYd2sKi/NMl7aUseZvZRfZLvrsNo9JMf8edd6+a55RBAYAaLrJp
7l8bY/4uHVQxJhbFKLuOA72P2+pr5eDoLinL1MwuKHu0G5d0wPxXRbJj0FTrcIYJUDIh6AqBpiQU
Ow1RtuCr33jLd3YM6FAmT5OJbQjhGDPDooW0kmXr2jLob+1hFxjEDDgOFrw0RHNgmpxW/C3mVR9K
up8FatYkka+yCCHXPosBH6fr5d46FMjuqgT3ZI3MkAcXy1+WnRwFbRfE60aqXx72slLiH24cZJnS
6z+H2riqMJW76mcXpSPZa2e8AO+enGkxFZCWhrWBrBhBxXKAqRhm36R42Itqxk7ofZihv9Cz7jME
kEicMpfyb9V1WDsBaJzcvo83AF7BAvkuAfFmRXLvGTvhd6/lY+KaR511mLspYCoBrcDulIsTGdFQ
NobxpvB4tMiN9ki99DEj1FG4b0Ial3oIio0QPLj95ZLS4oJv996OBrUuen5nYaCvTo+AbPY/TUPY
bLcgjnNWiemXjvGSCux6q1jzLXn65KCgijsno7mcOqs4NYN+LcJrEbvHrCxXOTq1yUt52o05Y0BM
4RU70Lysps3c0InnY/27a/1XK963kfPAT3TKYgyKo4ewDUIx8+tkW00jpUfHiGbIrG+HNNJIs9+b
w+qYhNMyhQSHZvT+3vERR2UD1PSZYrBz4nHtRxTJTk+xLeOIfdS4buCaur732g4uNFXHrdY8kUbW
+zZ7TB5d7PU4c1U/rRx+JObDcbwhiv4iTIaY7DqvMTQfolAm9hyLkk/krzpgONKO1cB+ug1XRZ9w
xevJWDf07HNtRcgXhi/b4KxrY5qhcZ72Xg3ysfW52rqazt/1WHF28iRyao8xCZqb2MxrXv1SgVnb
WhovZkgdWMqaVsZy9loMC6UDVUdEPA2rmXTFZBnnslX9nlvEHEVh0cwLdfEy5EQIBvbV6NyGHOo4
Jnlnmoh3znNyrH7FZia+BYToAKGzDhic52B8CiaiTZMEuxoG5ljjnMrFdoTm4EjzoXQRiteRAS9p
JKyy03BSaliytcnuRYtpM7akxVILWkm58WUdISz8lavrLCj7s8zBMWcDPXCwrOIG5V4T7FDLAqi+
gqJRthWCBe7p2q2O1kjIs47RHhnKP9Bar+OCyzF3mYUMKbwiGTMxGjTbIkZxeCIW5FscIGAsp+El
sH3/WNPs+ynzaUbk6YzS1cNKr7oyvVW98aQ5x3bZ2Lw7Des2y+frCq+rTiPrfJU6/L7MiorVmp5j
v6oO4eifmq5aBNb3ZWX6x4QF5kpU1mmSnFW1jNs99eHeaMmEjkuGvGZk0CqQApXH0GnF5PrbWXF8
Ofn4FppoWz2/kTdhFQQM8LGhIfzdiJTbI7GhHVcd7I6BK5OVl3kP7yBdjyWGszYkwqIavuaaUk9H
zUNnYGrKWGtWAVmPFXEzZYYeL+m0OrqdeAymvnouEaOxxO9YYd3R60DWN8EhRxKXh95x4k8bsyRU
bK7fmG1RZjkBMxtK9GnG5mnm+Bl54BNd2N6guOE3Wj8zhgroZ4M3EVl3YuJvSWHRKLf+qkKksMI+
s2ckiaN120tCM0az6ZCVMCya6xEdlyDVMqNBH6Xc28ID0GeZb0o6BsqC7jhH7Xe5aBfSg5/SaZY5
qF8/WUCdA1WScxNVNtXMFEElqPtNxF3pZIfM48+BDUscJke7Qc/P+UWWaJO5Py2Ump3BbWYmYmJf
2/1mnjOj4QL7yFFbIooOi7MmWzcYrG1RV3tdOF9zNRMLWHDCh8YmzvwnsyDFxR0XVKM0PwcNKKka
nNvBQu5rld9RXA+rcYSP7GA6tAE9Cith8TMhhpV0xI1V5WTd1rtaBEhjM8XSs0xOORgQMMo4amrf
vwhRNbvMHddwSuK9okJGMBL+zrjTNnP85qRtuY/7bPmRaZNptR7r2GE1OrjprtIO+eAEPCDtMuy1
kgU5tY5R7B0PsVujx3xVA2ALGBuT7EupPAWfGKvK3oKaE+SfXFUgwuaes7+cV1PsAp8XmOBiuj1r
GFDcq4KbXnG4tAoFP3c2UUA9fo+RhtkQI0pbmhUY1mjcogJ0R8Y05SZoqWGcciIQQGYK23e9jTL9
y+zojZJevsyyb/cJsVyC2YnyGdImUX1b4KOTDTLZeEZWME3TsBoaEnMy45KPTG8C1Th7nj3sA61y
ExMd3hbpfJu4Fq75eD7Ce9ngpiAXtQw/0+BlbCBQeybajTrOHuKkvxRTAMWqslm/oOYtfc6luVzk
mXnxXlvtbZ+wkbEKLpvGTsGhlI8yR9Nuh4uVXjpX7aW70ZleutL7LCz6pShDkemO7OxhMXWE1Qwp
FyY7kGIGWydY5kokA6iffpsRpPTCIYHFR9IRhuNiteuSdcqibheHbxyZemXRemGlYTjVldkqDNo3
MfL8dgRHvbK8V6lN69T46PFshWI+sd95Vm1HF4CncGEIZLJGS4VkLjfkWxNTeWX91glUta7C9SCQ
T3q0sVVLoU04bsCTLByIv5HQt2LgikbLvkAGwNuXZwuOmK3LGp8k1FOSd9N+pgtb8dkHUSLCLDhP
YHuI38gQ8x4Qy1CiBB81+uXp2nhRt0u5V2+CrjlkImIWGNL94pZ8KH3vauWe3og5Y+co3Y2M4cZ0
BuGrPsJ1Hc/pJoTPMcoI/KPnst2Lu6csR4WKBWOsJqiY/tfoMIJVYbVtBaaNKY4uoxQkLeU8aNxO
fte2EswrjeMQR8TQpxhkiDWUbcTTemL4kY1Eb9pU1tDqaeXajrFj+GQXtKWRznn3JUqf3puaXTOe
o9AfeKKbIPDdgCC2Ith0zbLFa/NoN80MzqYST0WQFc0+Mjd9Nd1OIZ6+qnQPnt0NB0An9735oueS
FPS+RIhf8QDBjMUIwK+2oIJEzR3VEtSpCKcCefA5ArBt8uY3C8Z048TGXgw2DOCQ2Sr9kLund8CZ
zbA4ScSjryAv1JgA8Nejp5zupdt4R1SU/WGe2u8U1Qcs09xYTwO9nbSuTGBbFJaaE4FauNeCLENz
HU0JiRee3NSDRr9ODrFj+BGfkz/Mle63CcpuH3CTDnk/EY8RaTGUG0daPwtZlxu2jobvhQT5qaeR
iDUFYYZUDJKxfVSoc66/E6qeo+X3jwYpHes2D1+zKPqIVZueHU1WROzL6JAYNQQUhHK5SyAafjpU
fBUnvLSZfXpWvJ3zitFQT4Ou8k+0C+BJbRt8gzs2ey8Iv7LBO6TcjpxL6n4gq6Yzc3CeBjp6Vhz+
ugtPhcv3sANxkgFUEzElDhtGH+iRYYJ/m1tjI4vsEkw2sPoJJHUlP9seWV+Z9WDHuNtzU4RAxMeD
156kO8QP44w7e6aaRYiX85wiJyjO2DfHOGGKqrx3B7NYj5LBZYQf4NiOGv8gTzCbSRZWvgloAuq1
AUbCzu+Beuva3ftBX6wFCq7chf9g2xHQoZIhNbMJz4fS6tUtplIWojiisjfPoohwO3tYe74at05R
vbafyRzuYgcPi8Kl2/f1ppie5jBJNgHC8rXNuxlkMBXihLy4uEzWc418iQfyO/f9O8FhGVX1+D25
LvlNBv6gmf1yaBn1WRoUqQZEiIwFUGbPd2Xrr/VnmwtnKzx1cdPyPOPvnDtW69iZ2A+SLOZ+WNhE
N4HKoHIb49M03waKfrFqZuB3OWKmEb21BYCxii3nOaSrdyWhDiIV56yjwUzc4VYbEHGdRZI9CWTU
tJWajGdqxQ5JGyNM314t3BDD/iqWyTZGPTA7+UeKGxyxAzg6HvyL8hilqESbGWqmMGWK/Ep5jren
05Ah7q5QNfORU36f+qxUmY8yERPlo7Kd22Z2KD8HlBhLD5OjwMQiRytfNfa8lrBUXWt8wHv15gq/
4gyUeMtFDfmuRTM4wHYPeWMq1R+KyJq4px/yDsn7bGCg0ZELNzVCpq6BmS4yMTNtI2CB47bJPI2A
VB7RuIJzjioG6laAa2Bowb2j4A5jwnpcJO9dxPtWWFmJU76FGZpaoBchCWaC4wHFHGE0SaW2acvx
McyKyURQcFxE7D/x2W2dFv1U0zDx1JJCFDYtwk/a6HocyA9EJeZbbbyban3NGghN2D37ddHyf4Oy
ry17E6lUuen98s4AGLdu002DRG2NrDpBbMHjKAkLdTbllvzh+NxDl+bkalE0dlDSWkY7RrKrY06f
0CuGfSr1vdv7HFOlh3LSCy5RXCBi14xGugZsy9SO58z2571nstzFiWzc/Pjr3/757//2Of7P+Lt6
qHIWjaX657/z50/MhG0SIzv8r3/856Uq+PfP3/nPz/lvn3KbfLaVqn7r/+dn7b6ru/fiW/33T1p+
mv/8ynz3f/1063f9/l/+sOFJoqfH7ht81bfqcv3np+B1LJ/5//vBv77/fJXLVH///eNz6S6WrxYn
VfnjXx86fP39w3KtP2/Uf7xPy9f/1weXF/D3j3Oi+/f/6/O/35X++4ft/SNwhPCD0Aq4yE2HrzR8
//mI+Y/QZVUZeJbwbdsT3o+/eNpp+fcP4f2DcyQIQ9dyTc8WP/5SVffnA84/gtB3A9O0zDDwHDv4
8b9f9X/57f2f3+ZfZYe+LSm1+vuHwz8//qr/49e8vC7fdF3L8YQpXOEGgRdaPh//fH9KypjPt/5H
YFna1hLXrJ3RjGQvqVTvHgFpmNLcZ9s3zxE7/Jg7wKyy9ykKdmMGft4euR0dasRKYS0tIIHk8cXF
XZQ49dY2ZrAT4JH5Jhvf+w6487VD9DOk5KQeHyqnOA7afwncaR1phItuBovT/5zL4FBV/h11aiGH
uyKB2Nc1t+6IHzbFYEgbrUzESYO7yRv3aQmTLU9dOD7NNnojp7wg0NpXg0Lc4tZ4Hqdz7PfHJkux
0/kRk6y3qRxQmqK0sXLntRn11U4fDcPFhh3hfVZ3bat2aR4dl/4qrRXJ9kCMffS0TnBPp7BtxpDp
Glm24Zd/b3fJNoYrUfHyzQjq31NfhU+67o7FZNKTEcVa0v828V3o4rxGGQjY/mXe1gzXo5x97azO
BazJBmJa3KaHjkjToSeyuY/WhhvsIzVuUKNuTAxbcV48NHbIuv7IHh+qGCQsRHCKIHvMlR9Ob16k
wjsbEhD3YhUsTpHSZfCkiX6Ium1Vw6pAFgkU8nEK2ScTC/fQkqRNrjnVTa4Bv++KOMUV6FE0Zvk6
l84W3d9TbUdbLt83W+ot++J47hmc5cmh7rHJ1jyvM9I4SjdcTuuLn79lXDU1CJ+KkOM8ok/SApkX
qqU08FhquAFvPe4v0hTZiz1mZK9FbGFW/tDcsqoPtlWBwGnwvyrhb4wiuTq8itkEUChguRvPXfoz
cuezF8B1wjOmKI4TENzsYi/aCzbSkDQ06qOS6Kglp24mEVKEhgltP1xHoMnHtIIAj2IT8YHDcTzB
Ufbnn4mI7gTrXQrJDGywj87XDtrHPgZ4HOkNc9KjmSIIGEi1I/wydd5bUZAtPqyy7r0G2pGOJb1I
Xxxby9gbDg/NBOdBw2zdjluU9gIQyZMYJqat6IKJWDSd+M63zPPC4XNdwXPF3eK4xGMCQnj2QaWF
qb7VWjynyPYrG+EHwdBlSyQkD8iqSFZz1uzouNa0js9TQ0LpgPk5hs4iLGKw5o1GwBfW8cmrProR
8JQirX6msjSM9J4WLlTB1c2nY+OzWCzhEUi7u+LpeBiSE3lZbdGAACs8spKpxLvqLsnyU9fQJeTt
uxTNofLVgy+rrZo+zdz7EsQHj6xubhIjumtU9Mq+ilUnGvVL6hvboWkPchnv6SUyeWIbghG8vY6c
hitWBocQs3cwXSuNONrvIUmSc6r4zZoiZ9yhjpb275UYH6OMOE0/RtIAoUy1xLDRaDC6ptyO97bl
EWmU/LLrF8VOu/VIhCz0S+NRddThuEuZwBjmizcvyNl7HpREEj4krYFfczo3jnNboc7oKBEMVK9D
SoiYfAotG2J8gZ3GiT9Yj75piwBNL/6WHo3B0FcAMXF0tkl/KyKPxrgZbpbK3p0JWoffQBI79f3U
fSV19Ni0MWPp6LP0iF9QdOmVa6J0teNL6LTvSU7nZDTenVvVn016qH2kkMbiY4dXmqWauLslf7cj
7rVTu0SrU+7gNewd0YNe7vZ2IXlwr4u0yk+4pnPs3fGzjspj03w5EQ7BTN2aLtIR8yha66fKssew
UU/+IEMazv7JJTxQZNXWHStalB4C6mK9rJ+ztL5OXf40lfPGSfNdT2RV1cqnDESyP+B5tVl/aMBy
zsYt+nfXqHCuWmvJKt63k0en89cOA2bTnF58rM5OlS+DEPJ9GeI6ZFskvblOXrTTlmvPQ5wKRu+r
DLgNshkB7JRMMeEnvdwaZFfF43tpMblmGt41H2X8FfYmbmSgRtwI06UcLjpLdlE/bgzDY8Ixb22g
Y41VHk1UmR6nkm3Lx6EJwdE24CVTpttzTL5u2Yob/OU0IRPJB69mIFZl+qvnZBNQUKSNzcEhbVd2
awAiu45ZeBvTbGCtg+u680R9ZrX4ZqcTw/BavLIEPjc62viqZRRgP7f9zByAkRhdyEftTb8z4dyp
igfDbGL16QcbR3zKaI9L2ZdIVMEiUGVus8CH6au6W7uIjqWsfhawLJCS7QdOttCeNosIyq1XzWTt
ZBVDHaL9812m1osoNgGjyxE9B1vU0PCExvbNCarfRp1/x37xmkJfj6jfh4wJs8ZZYE4KbrbMf1kE
pbQ576PzFCW4v3Ig2m470Z1kOWwXdt9x8xHaAeiFuCdKGo1wwntMWXuYB5RRRfnm4Fqyq/JkauKo
UmM3kJAchvI6+NZuBMRlC+epDczbqFa/O5YRmFIfVXTJkpi5oSxYtkbol816/G0a6W0yURs08hMw
85KUtXiuPorhrdYeftqe8YwNFWhcwRMB8x0gIG3SS4Z9EqvQCyAKtm+kvgQomNpjld7TZP6pr+F8
Egbs34Ra7WU+H+Yo2g1l9hwjfb2Z1WcpFo4vy+EqMM59FfN9ho2N1tlPZLyuoEEIchBXjMB9TJYr
t5fvBQYIgIZPzUSaPK71xLPffW2dbbf/OdvZnUH7cJOR5mbk1gmi7WkS7tnFXaTwhrAC3HKYiq3v
OODzrQ/HA55bNeJkLMIZIQgpXWZ5SvvEccTe3iN6J3aQh9eeC8kaqQkarWeWfkRvkAIkqkvY5/et
6ex7VKeR3w7rrPDPMbPMvq3Cm9nQxOUEPwONujt4pF2ev2MjOJb9Y5YC5PZ33mTf5k178oqW65e2
kf6FcYOhWKOb+WU5yP3h2e7cguW0va6XzWsqv4NYHUqZr/3Bx1/3VEXRSzKS3IPiBjH5omxn4+XC
JpvBsrLPBP1MeKVdvBldfW0i5+Jk3S8ZZi7r2znZLMck3eTVY705cUlz1VPPUkewFbVd0oTgIaIk
dIEDY1YYczRT4SEsvr2g3iUME1z9bTX2xnVvy+ndZ8w1zXSKE57kLMK8Z2IxyzGM1e2ZWJ19aEy8
mjJ9GQWSjkA85PV8wKGdh9dmyq4ClbYn7VNrNduuR4QGziKE0Fc0LHJ5M+bswhz+rivSq4ssDL8U
ohn9WPMgUUa0jfKQ+IvsmBynGGQPEdfJ3sV43rj22YAi2sUQKSscDEn1QHv2hhKL+oU0co9Sym8L
kknJE2A47gbyi/aNHjolSbzzCf4KjA2BUCE4ZA6a6qNeFmVNSsxJyfKcx7Agk3fAppA75CWL+he3
BgA0QmbER6GYkTvBsDbmECf9DOZyBuTgNfY6LLo/PxZP0dzcmJ1xDJLxGtbN1dPe+IQS7ygzBzF9
iT+hR3DoAEcqLWrXGUDJBtjrTdOxGIZ1VeL8YUPb7E2zgfk0c8jBrsy9u4Jf+MEe6wxy986fMXKU
rAHW0kmMvXIi8qnQsCzu+coSgDnjC2KmVQuF2oyqpy63uAgI2olyeVs64yZHd9YReKLj9WhQ4irb
w2jPBqW1FRDDnKp7TD+jMvrIYnHMFsxpopiQ5v18GqGvpQH2TlI5ZMfG0cdylQuCpJwFPZGUTKCt
XSnsw2hZK9x+Id5ryYHmQyqyJ2LgePiu6ix6sPbSD65VZxjrQvuMl7pvZtbM6kB9T7eQaLntXclU
/TQA6ZoEjgkWfKnzGwEdLQJl3xBiZSIWoG78A9MxFImD/SkmvBVW0LIutpuN34zMMQmkGdVrKLOT
fvW7EopBeswL8ZRQ89qtvPhBehYe1Ks53bLq7vFg+NHV6CC5DAYWUbR4uL54FMzIMCMXEuAYR0fX
DJAFzVSmkKvqyTkWNoMXhoq7CaFmAC2ncfrXyMF7SptFbjifQkW3SfrkZIherxuEs4EleAg07JVQ
8ba9PhrLgNecoRjiYYmC6Vgmahf7NBaC7MZxQCsMkZQc7cgdAMOGWzt8tZh09eHnOMszoPu58Xge
BQDckH0aTM9u5DMagQ3Cvo3h8zCTmbFWRXyVJkZURKNT9ASDCDlkN+eYSDD10L2di6h/7SRbwooA
kSB7yx5jWU1rtkiPNXqEZed3ccN5SVRjFMZbePFb/yRj19smNtcyFgzdHZtFSG9GkSAt9mMmrFxq
y9+NIwFS04s9VzAedbexQw9J7VLmMyqjybWd5rdLqjApSZLzSGj/qPaJPycrT+Oasw86lAfi33Rg
UPM54tL1akOEAatfYPROdh+MpLuTrJqzbMmhqXK5QjbYwsxGe1ozI0QAmRfzQVn2rTd6BxMkBfeg
7294lmmPb0k1PPvWndu+QBWywu9JcANA2/w99OnRacgN4IKDarF2SKxo3XPT31aK4SsnIauZGx/B
hSl+tiQ8Yr5Fx0LWaiHXwoGZwxHdM0yb2JwIyIxDf2n8le995GxGfCSfsoufp95eGWgAXTYqAPdY
uBMzvSg8UekYkNOlfEbqcTMQf9Zn013s6KcoaJ8jXkE3JHSp2ZpMeJ+Laqa0EPqFJvomr9tNlnw5
ItzBjD83o3iUozx7AihZjLMW04c4URggM24owKyE47gnR7a5xY+046PZV+Lj+0qzeC2zjyF7dkpc
xLo3HmHkQ/SZDzWhldT6oKDLntzA8suHZpeHw6loyKJ1nF9FHd4PY3H0dXlh2HlqZxv9YtW8Wco/
C4Jj59g69SOpXpMzczUUA4/BCb4hpAXsVy2/xLk/ixR1HAJ0uK8PaLWQL2BJMwN9b3YVAX3zVw0g
zmv8C3OiP8rLX4lKMZsNt12IlcwenzqQ3aei1x9xgCxMFDnzfBnzMMiDI6+FNau38chF81Cm3/Af
eM1Uttr9TJnddrI+5G57aT3Ie2ImPa8tmJg3P/vafAM7v25w4lvkUYVpdgoMB3V0QgPbbPNw3lne
vK9yAEXWeNAPUxHOGzPS92nnnCzQyhkQU90jnWHaIUau16HmmzLGRqgOhhyD5MwitsGHVdTNU7Ps
aWVLRgWHUDLqx2rh+IyVPkVhchLDcKO0uwqj6UFr5Fr9YDygg+FcoBhEvpO9EvJxwWZPyWN4Bbwt
Gipp3ArQZjjUkiPzAZeVanQNexd9x7CPpQm3GloLWs959Dh0Udee2gIJSwO2sQ88uB/kBZw7bEhy
YqvaZfdOvy3GfKdSZPYtPpsyzY/QHSxKtBPmGdKD/eeJWsPOMnhO4X62aPyTvLhFq2CwCoX/EhQP
5s6J4SVhBLnzZziFCeatMvzOwGG4cw79ssh2g+9c4+rLy/M7J0RKpWr0ahF/vf5lqWldJ+LFSdXO
IzVNSfQ3FTvbdALyY67rKthV5rnV7waRFsDunsIWF1HuvaRzwHXMNEwisO1cV69Kx/pIl6hRpZCZ
T+gie/KqJLO7EY/NqNv1SH92YxfdJVQtrah96BxOCNO1bjPTeLfomShGdLsv20dbkq/obKR2b9HK
okx8qWEopCmHkfuqVQ2WkT4H/9KZwX9SIDIbzmjatpT/G0/yIgnKiH7V5k/2uEi+kvJ5zECoDcs+
F32DXeQr6ZqUnqaFrIHiadtHx8CRLdnLbFITdtTwL65tX2YbAf87FjSAjeg2WuA4yu0zRorHflRA
82zCIRP8YBnthGlVhyHKXh0V3rfRT4MKh2YcTpIcwm1Sq3OOsWY8NEwsjC7ihDNt5nf/i73z2LEc
ybbsF7FAaTRO/Wrt2j18QrgKamWUxq/vxXwFdD08NBo97xoksrIqIsPvJc2O2HvtbEapHH9Ls/+V
NQrwJgUcKODJhPCG1nVbgtRKmfz4ElIT0s05nv9mKmLQ58B8u+dc3nf6vkCJZzTGWsJow3Wwjpmu
zpL8prFDSYX+JRGcxfqT+e3G4sebeCKpZv2XVEdfeUWKq33nFMkxY61ZQlPxjVvXx+hK8Xd7kqVU
fi0yn7QF8yddmJySquYMkeJuSNGX9uZwAgTGeC6FOx013b6msVFVfEzAPceQHKhr9U0p8JaokJk+
5MOwTmQAS6w6UdNJQgkb2FgJWLawAkkkqPrZ5fdCo8e7RBFBa1D7Z7ZerOYbp1mDddyYyXfG+Z9C
3mKizbGGhYEOk7VfT7iMaT0xrUFlz7nhRmyXx/paBKyD6sfJnxlBEtGI547nw0EPy5AiwWY71OWZ
pTcznFthkHOWu792SRrXRO0rsozEkiy7hMyUbT0dnZZhbx1xrjcFgZ5y3iIj+wUAGetxPcl3mYW7
GaUe4dgHn38lKTCbEcwNncdT1x3GFmeL9Clc2k0boXW8souqMnb3GPaJUM7qezSuK6OmuyzSQ9U6
e5NasTFWtWRjX5+H/mXAkTokxaZH+d70bNA3hGfoTB0Cfxv2SNH31GAgm2JK/hqKKjCXko08sVcT
uMsWFRlr3JFckL7HoMcYDe4mBwEywRR7xxzvJ/JOS7vdoAjcTlG/w39rRbAwPb1ul0qEwZVTP1lV
vyOLpBlj0Jk7bDVkjL82TCS40WADkv7HghepIjZgTPHxS04ylej2XmicIlMgD0fPQk6rKsadNu8n
82GJWS3C94yN8cQwl7J9bXgm3x1A6+CLkBzckWhoR3mrB+Ij7/O83eqEvHrvq0uKQy5CNKdJcWnY
709s12JoFm3ZXKjO53827npnkmGVBprte4hPf1qXWbbLBbIVwWsExs8CfWg5f9uy3bCZbFNJVhUh
UmBqS0lSbPxiWv5TUOAaxkvXq8cRO7LwBZ728FjEAYze96Y/LIlANixaNq5uck6rL3cmt+cFae6F
Udc+ye+TNt81uCeRoz53Jiki3FEjOntTQs7nZM729oA50Mz/lEDv7emjgL65swjio/5ZcLLOalDu
pQKvHc/l86RI9fOde7jA1zBzzuEYAivFdAmznjRPk3TrKPWvlr1QmJr2jyWSq9uYxIj0HEe1RjLu
c+VHdQXiYuZhL6PnitF1w6hLUYw5OrqOWRsiiYzqY6sZUBgsgGo8RIgQXnXYfwLZxeqBXSVUIj8W
auIZXZq9sPgecbryCVN853awCiO9H4qU8irQ4kyb3rl5iN6z23YS+Rtrj5mtEbKmdVqjIfDmx7KC
yjgByZqIDkBsN0FVINUynWHqYMXn+Ig6BNfkEU3DH6O7LDveGiKpR4xXxqrEQQnbvVWxQBl+DIo9
IoMBcJ2FP0lLQPS4f2sO8ovoHuVH4r1TRhxiOqEBYUCV1DUEcBzzTAJMI9qh+V/bTJZSktJhZQRW
sxbBmwWfOKvhwNUdGgQmSZa/RRJ7SIDZm5wr5ZKUZednScwz+ykSoqIMVS1mbRyDSCsQWCEILJyk
2SijuSTQZ87pYMRHz3BepYDOPSKQ8pX1PCM3bJkdHjGoRidK9nEzROyvLEQ/J/A+O8tqGeYpdvle
4NM6Yvrb5WEtT47KX/1JkN7LjAQFGksANSAOpr6CJdPg1Q8b0ClBh1W2w2m5Ev9o9lNr3sv03iuh
F85T9bW4YWSiAHmmHqM/0HV+WApUQZl+rl7AWbPNnhINSs9+hivwNUwUyrqdfFT6sdgNmq8+aUZo
3EvpnHFgwRw5SiNiRzaN+QPQ7Mmu3LPBa63b0H8OCS0DIvoksTx6he/91k5ySYNc/fHH/DV2vW/p
ruOhta4prAY+sdS4A1P97PQzjNGab9uy+UgCr/mEgtfuDQk0OoVuGQ6hsZpSzrfc7pjcdlQWRvgQ
VODBLLvoNklsfhRtRQ7TCDJPMsongBrgXaMuaH8VUMBZbwbCdbGaUhDPj1qlAE8s2nEnGb48czhQ
SYNKjNAOdCJS5z5isewQfOYQsgUEkWnEvPVj+61v5w21frtWA8LJDlsPEsHirkRflziKJlcCUmy6
HsVeOz67psJjeAhav4Spw/Iltvd+n+8DlBkoKbGYFr08FMP0pi2yy+ZoxD4TWOc2OmJ1aga4gJnR
bmaSMu0gXilcf3dz9xPK8tSaKerostxFHQLJsKNez+KXRBCJ65fMSCeTit4S3NX26NwQacTbUYNR
7gg2C2p1cQQTa8+0NtOcJcc0jHaDHxCMUFOI1eSSYS5EUSeGx8ItPcaU6ArFXH/EPloeG9UGJ/dA
alTqb7Vebmwxwunz0brjr4ROljQ8humz0VF7OQ3BhlWK8sy1yMerLnw+hAC70RJWMVHWdpVFAJeR
Er8I2zfokvCY8nV3xQEJiAECiFkhqvuCODmmSX3Y/lgzl0IziiXHmfhHIQjPhLVoF6DOnfA3HPgD
Wm2Ffc+7FLSzbY14tu1DnFwlnxJ7T06xh5lnbY1C5BSOc7b2danRdOJySuFpcyvy62oGl7gniLJS
2mQsz7IjjH6HtOgIMrHsrRz+6Dme/sbzGZ3lztYVvn6xeEARMUWpxuJlQcMsRlJPRR492rEeDqDq
arPFi8y0jKqbLkYHijEW0ANZ/iRLsaRAarQ8x+iZ2X+YqsBmnp5Kr5Mbt0MN1LuUKhy9dIKfUWGi
KrXB2NVu3RzNLDhPQtd7wQcJgxBl0uh+GzMNckFyICk9pvYtQkgq8JpxT2XugFj6h1BdUNyiJDkw
F/8KmuJDCYzYQXcqWqe9pY39qPplZjpM5yo2lhCLBD4cqsciYGjlsCSmjgeXvHh0syDPwU0Wr8pR
0yEzzWkX2FAzvPEBeoN1saet94FalDd/kDOz3nneYgBOSth/jTD5CWX4PKNLgC5Nki2urzvyEcON
Kton36kLrk4uBPyMkhRDaPLlhN6fjfWUJhazrTMK2n7lFjzwwxRfkyFw7rVlxBvGks1m5G+R3/nw
ZCOU5CNzpXUYxrhAYJDli0bYJiJMoatcjak/bZD9A5sYiSBqPQZZEaAQHHv0URm3Zw9cdeXM1ZUy
XqzsyR25xZ58fg7HHoy/CEbYCr9NdRi/DvDALQhmB7OwyHu0oBYth0CQo843w+9c8D1DYduKoJwO
MLwA9DbXAQ2jkVggcCZRIlCsI3Zx5I6apEn5A84UgrBpchXY5QaIFVSIYh042I0G4600DzUf7Y2U
TrxjSJtq5yeTAOJsZX426cgCJkzwt7i/GeQtTmN8f27/R+QY0s3ZPLvPupfeUYJ8sumyDzJ0D2gf
5S6aZ3czGtgj+xbB+QxG3uPwXqVD7W2d3PAfIuBVD104/NUBPtEuQLJlNzYNh1WfxrS0L3W5zxwf
6UELcttPW5c0iw647oDSM2x4XbWZPaZumKIvKED+v5uWPV/6vrGvU0HmIbNT3NG6V7vRqc6lABwe
kYWT1Rir5xmxa0ccgkzHaSvGYWR/rsO9N4Rb1fcTiQ78RZDncR6c4W8t2pdwcsjNMMHcFQGUEj15
a9gRzWMW6ysgphR4dpHuS3NCBO3D21MdjFKFScew5lVe+yOCSOZ4uYk9FhstgX4lLLwMxexdBkCh
ttA8BAnhm5Lt46Y1IYHXw+LCF2pNY4fnIZYvPbUqEwQTwErs84FQZvSSMy1Y4q3jBLBFYPtXXHzY
Bzywqa6HumGYfmG932JZn9ENsshSZboxlBcSXFBUZzmRb+nLib1UIqvTWNz6pLMPWYpjMQK6dOek
tsdiyPqtcHchjvgYkJGcKqP4nJKD7GaBuq9gnzk8hNFwrM2yOMxmVO+QOOfo9AIwUeW5ye1q6eB2
JfpYnXcmZXZCPa2xkky+Io8Ca9pginab18bnXDnlNbU+RaWcc5Z5C+nsFDS23AhXXwW4lPPCpxv5
UZAZF2hSBG2R2/XLrBMCRzhdewZDN6BgcJ2hozWYJ5gQwba24t7EL0WkbMM0aEMOZgZylksniJ+z
GNVfWLKpjqVL/42uZDOU+bjJZkyltMMWCAnnMWC/dbHK8NCQkpMGAXeVUy2H4LwadcHkW8b8kpH9
GH4eABIpIy6Zcrjg7oiIKEISY3YDQ9wJ6iroX5SWI5ox8ltA2tT4vH0GZWY6c86DW6ulvcm9BPBZ
F3UHFF+I/+zUv7hADMYuKvbETg/TFN9nC0WD81FB0jppA28YISmrZplwTJKl9iD7p9wR50w2POl1
92pNaMMRUpvjWxATTS1bNa6E6q9F7sEZjUdcs5ossQw9PnQcUr8N70SVuWr86uwNQbfj5+ak7cEY
y57AEXaM6Tr3+AI6SxWnOBiB+pvQpL0BgIE0BI9Cl2/iBrQtmZUsdBsTk/YcAjBuzzECrztkKe4O
CTDk0yp60dK9pDNvUT4gHSpD+9koGYAUY45KNer+KESjgBGoXQp0HczJ64NLYGdRA4AYFlCBnsQG
5UzwYBESslRg/iap4FtYU+J+NOi+FHL4l7Hprxz0Gbcb/p9qtM6OQl8CeZQZfTq++r3+Y4XVp2P5
b1WSYI9S+tYzccgkqMYuGd+9Ig63U88a2qn5rFPBPGoaQsnS3Kd1rzOYjMH8Vk/ePeF1RGVKIka9
hbHVlunWiO1HtNUcsujN5eisEa6xNRLAzklASCD/oVrOlkG+JEkVL1G+ivoM0UPEX3JGul3q16yX
m1VbJEBLaZrWlZuo45Ba7wMj+wMWJn5N+D2VouazRv7Xv+Wx9Rf7pqV7H5dXjo9fFI+zzhKmKQyV
Jj3QL3Dls1EnkFcc7N43TzmAl4zL/cK0ALfQO0NuhEKEQ9yFTlXhEqKY8SR1goqndUTQZTPDmaOf
YdxmPfZphgwg4U9doxIDUMGdGhsBrCG20miQSnGi2I+xIT6JuK6vwm31JW5OuqG/kpHdgcuq7IdY
8xeOBXq+jPjbtjk1prRfhJNeAyvkFJ6A3ZcDeYGjxShXGWPxmQlmymVsAIMaKneLvSXc82dc/Aoh
kH/PwSOu6xB5DAkcYW+Ha0xtyTnI/fgcUQL/19/9739GgzSdJgQofGBnn5U2X2S7d3RDFJ/saMcy
vwGLanFXmJ4HbSPmwY/scTs4WCzhz1vEiA2PRou+yhzMi2gxfZiJsgDRrYtpIrfYhaAXePoTeki4
wTGZEhOJik0UF9Bv5MGwiG7L8h3yRkYhPGHsbLzp0IKjBKeE/syz6jViBZB/8iWYHL4K6mtEyO6A
O8OOScOdYdLUGXltIa6CNZihlznF/WFn/sfS4++AWGA6QHe+W3xaBW+yDqLhUkgYSdM/cMowAjUH
qK9uJusI8evixt10RNp8DmL5oJwpuPYjXjLPpnFwkbYfLQHtxk77h1oMhEiQJEWrUm/GGEdmZ+MR
gpI4Ec1i3qA99Ya0LgNggsvQwQPwKC3YiO1U6aoHNTQHcr0wElSgHmtLil10m21mGhKfLEWVJLmr
wAyiurWwK8QajF7vapQrd1GLIQmLcbpDBM6yw/GIJdL9cExddRRQ19bS44eNfKA4zsxU3UhCuTFs
TaYBrq6tkRm0hp7vAvct943MPzKDijrWSuxtvZeEQ8xJCPS9SAP2LP4ZCBQunjDFpXRwvIZavDU/
7f7HBlXD3NbE4Dg3lNpx+JDNlbeltF8czXG0K2MYm61TvxqmGSGURJKLNh0bM0XE3QCz+CFkNkG5
+RpO/nhQsXqdHJ9fMtQsnFocxjiXPiRUeZojuNTt3mxa/7XIzfLSm7zFhKHfaeBQj+UEcTrytjKN
jLNtBKg7K9Sc2nt0A49Dof8sNFGgPWOvgokaw+w820baosLEkubZUNwLlJM9zAzPWgJ7c2QIxoB5
FmDN+zwmvyKNAVLQF9sBy9PUoa9Uzrfjc9Y2Y/JmOcRlO8aX0YrXkZlfo8KMXHnjOzCce0yAGUEo
EXGklffkUu+Yctx4Xb+YCNmmMZUBgTJarDONvw0JJ2yx5F2YtSCVum2ewfgJO5ul0QJDsjWMZyGg
73Hkrow1Ga4gfjChrXy32AJp5naFbVJNyTaYkb7GUfQZuZAjAvgIrirg3Wd+tqZeeQ7y+mwGLYkG
yJHv+ooDE6D3QdaYXiKEKMk8Div9XpNGiDeWWRScfPOQRo5aTJbuxmV435YogtykJu+8bD89yIJh
D98d8C0DfVSZOMYJ1qrUst6hWynDBXvM16BciMt8jCejcaftYJgHp7RG1Bn+A3EZj6i0R5j4E5Cq
O9ihN3xcPM18MWKGXLPQIslZkty9TRmuUpsnKDdvijl3m/b32o2Z6c4YEmK7eKdH/m6diWtoGt+i
FuZWPVc/cTr6bC5pPeLyZiW9eRNP0yTXEHFRVTvIs0W5ELkd/JAYkI1YAzgEhWRb0Mah5G0p5Kad
HQ8Yti1zbzT1MQthmYYuffQAj/8OKJLcxkK8yjDp8bgBHSOGd6MH7DvuyKnIZIkYmQahKTjXsRiJ
m+r0MWvNCmNz9Vmm1s3PiQTQhWkeRtZ+A+0PAA/3HEXTvRsF7LUg7PsiO5SZ+sPXVCNBROpUx+Bw
SMLl9Rn3TV4+lWDoqL2DdoMMHG2NmnDeqAUMGaOoWILjx3KArYgXTy9JQPiEy1XcxJAhA0ClmIBV
2fnrIAbhknb2zh5BGtQLPwliCDtfozp6PQLdBsL0nUE2OgO9dJsTEwQZZjGRJPeAd0YmotZryxNo
9x5gMTfhtqrg2ZvoiPss/1UZ/tKw9eadhMfA/H06qvTL1EAXojj7GPjzs5xIN6gTqlVgJLcIjWVl
PJNPLf2W+Tbmdilzi+wFnOtRk30FWtX7mhhj6Bz1peLFRKNur8wSF3J8jBM2/3kDiaYp+AOFnbiV
4H/uSpb9xLvQBCHuGddx3vm7mmDCwL1qpKmPvtNbmM7yMz/ceGf1Kt749VBdMh29ZiMTW4rhlSXT
bMvYhQdBh80VaRSCuvQ8pKZ/P86sdYAbeJsKHzNKXItauZ4O5eJmm/3GI49q2NhzJp54Ke6wRS5s
Ep9HsESbZwTmmcFKkhnBzuDU9mcld26Pz13xw9xaAwE2MXUT0Hej9LxTIop423eMf7vRJQ/BbA6O
a+t7DHeuyrMzHIhdxmX14zFqaiVY1rnP9iwUu9IHJupwtDcvXfWo0nlTij+1QTnNei1c4kyGP0I9
WSnlEWepATmBWXBD4LQI8CbpTxV+WvypZ3s7gjeV9P9G8DfMEVYRnBcM96mcKW+PWSHWHUFHI9+H
4/8N1aME3TpWvxOUqazod0H4W7HVi/kwJKlkU9CgFG+PbZRuY0LjROtjW8iOBRmXEiEdbJDDQ7+Y
DomibPnBh5ANSoVSdIu8QKDMzvVzV7krU1wK39kEKPxxa94AePgkMYBu8+guURltwsj+8MFANIvK
O6NJcuuXNkLTkRpX6Zn3YrJfI8HaoQOVV5TA9DTTxC77Mhx1jOTwThAjvE+0WkP8U6Y9pq37oatu
QAd2yWQeZsS8Bcx1gbO389QvRutCvWb5t1mdEzYhgfuqBsLxfFYVzmvtC/Lk2K7nZXRvZc42iNmD
42suUZ808BdSZM8okiF8t6CRodJkPVmgnXtQZnY2dbbWxFJNzWIeviM2AYAlVA3I5tG7jxCmhRTF
PBvuLrZ6+TsmzX2U9zRdIGpNC45ke2QOcMRzc+liVp7Grhiry2KicNllJJO3vC/YNAOsDaiOhLFB
l3BtKUen9KFs30v/aza7DcZ7JG4M/OcEnztGVJQY4VOmGAB3JnI2oiqZRt63eX10XbiyTznArayB
KQWnlokh+XVml+x73e1my2PmR6BTJ0nE5qU9joVxLWP8IaGkiOgNbPXOsJ9AscXtLFmWWg+hzf6i
MfEDx0L+OLm9gCvWNHwkiZ1NFtEdq8yZWEvHuXW29SUajgwdODtKFux0w6lWJgzh4jNE+G107x4l
VE3lZscX4VaXqbawriw7k2IL1h4mEAHJOL57/qtwP6YSobPdDjACOzKeYrT8ZvkeGfnnWOp7ZzRX
41KW0Crbbf5l9OlR6vyctsG+sHixBjSviXgYqFAjpfcYy6dVkCBAStz9aPiSRSknDrvAE/IhGKjc
4XeIhrB9IAlYh8AXzSh46BpCmfIZFXbnjCvljQfyhTfEOBwnRPudrm5Mabc5KjCv0PdtGH+YgX6R
fr9m4IGhALj+pNQlhh4HDQtjOXMwQEx7xXYa3sehHptV7RpvRtD+JSnPyJ090kmmn4glF3WLavYw
3zbg9MmEak+YfzfCM9CtsuPAK922nDH9sGSP2adKGYdyKNcdpKoKa4JRvWB+ZH576iAqFX10KL2E
YpiVbZ919wkVcDH4r05JnRuE2Vp53rlT7numvyHbrps8P3g260VnHcBiC9V4MmG0lNr4A3aNoaB/
MTjr6UHfgQpBlg5ja2fGQHoBCBQ5ZkgNLdAwTiVKayEXFFPIWroE8C2OrkMVOXTD1eR2XMlyn9bV
ZzexNehqvdzk1kq2yft/uPj+7Zf7T3+c5f4Pdxw5H54Fc1g6DvaR5X//D3dcBQFV16VLwoyTTPs8
fYliHDdNiFirMh6zLPnTuXz5jH4DIlmLuL84tU9KVcATb+pk/c8f5/+7L/+v7ktci9hU/w/uS2Ix
ht+SnOT/7sDk1/zbgWn/yxOewC7JBnxxWuJx/C8HpoU30/V9l70+zshAuny//3ZgusG/2Jxb7v9w
YLr+v3yMDabverbD9sH/f3Nguv84LP/TgWm7wjGFFQAUk9Kifvrvz1g9Rz4gQ1hAdoa9R4VML6Ow
2U1pKgjONp/TamkXM3s8NjV4LPDF14J7MYK+G2cEPDoW5WYuURTMVVbsRe4+41YXsOmGd6UbznYx
A1KbZrlHhD2TzNF219ZB0zLp7sS7TNBNCW8nl6K62fz+TNOtgGgDzzzKGW5h1yXPVjYvAveAqaNL
OEk9JfLgNDDoYsqzw9ZvZnlgF3XOAUYLpceTZwyYklnwrcrGobrRjFrHyeDXC4Y6na3NfZGNT755
nYvG3CVuqNY1BFDUCFQz6C108NsVXHxZQ25sZz3mjAbvJkXaQSKzk57rfW5SFIblg5unr/Tu/Ca5
ixq/AzzdRHCXiu5uniwgrLalGfzRKHsZ3ITO9bBMU8YqGeaXpCYNFIvHGroB3nQNAZfh/JOHYVRn
3Z8o7X9Q1/6NnOq7d4pNk9VLmsuezeQWR8uFofcjytdTHk+nJqhe/CUwLyeEB9nZSw3BKfD7b6dD
2Kxji/CkDpq9YuxZw3c39T1ycYDMnJS0cO9hkjyqvIYkHSFCiZrvqZOPxbhGiHFVi+wlAbCz4oIO
7ywA3qFlc1zq7aKPm8rsUbr9zXb1S19G27F+7Qymln0e3gB8oeKEph/5f1ItIOQ04DArxFK+N5SI
4QEOi9L4yMJZoN2on+okOSYONNMqWcSqtfsL7gkFk2EcrSF+gtvMQlADoCKYCNaygNglC/bGvUA5
D5pgV9C6rIsQJlUMkCdkgLdTuG0ZKoTHkT3d3i6bmlxO16BOCsCE9Sg9fBw1jdE/e7PuXl3V/ZlN
SIKeekgi64nkb3bYYD9N0JM+18BdbmvIlhKGbdgWG9D3VPdzcYJjSYcdsRTshslaa3ehtVowrpJl
WkHO1At97UIK65YEi/E7pHU7Rg2DgxwqS0znt8aB8g5EF0CIxAQKR2JETBpZMA+dhP5L0LYFTYy6
RCn4I8lJS/z+7HjhMbZcrI11SQxqDCQb2EOm4uzC8L8boYdya43znVPJD5n6ch0amqvYJDyw7ALQ
dux/E1s8huRoWAoFfIRvjByB7KXQ7E2SQkWrSUa3cpEJAPxl1BSRt+EVDAgK8yBmAuoA4//Gvnig
+zd2cRv/wNAnACVVtxJPMtnqi/GFbRIDFkRcmfve1oyCjJHvtWEfwAaeByJ284FrbNqmbm8xLGKX
bBIh5CXsbDwRsTzHlAjxrf7T/EM80oD72TTi5wQdGw2YR3KT0BCy1/x4emFH/jMErAIJ8OhXZFLz
Jsjxnv8j30kWfmIOxw8VMuTXtvjF6dYxgfhkrYXmryauo57ym2lDCXQMYsUr29/nkbLZ7rvZKi3e
FElja09RnxbvkH7ZAPc00KA3OE4Nsk8yPe0jH228aL+YVMMrTYvxyD7s06KdhNWGvxi71G4GpIV5
B4JTj5FbL+SXxKCQHtrFXlE7DNudgbPMZkEtc0S2W4RN44ZinaFkeW/NA5sBY7gR6UMMngN5SPg5
QSSxoq3qxKml9nKpmS6+LzaTw0wpUJdGQJHRHKKu1kcSLpAh6PIpJY/dT3tOAZuPPwF13/U8so2l
mp0gSGhseZQSFzpuK+NFVErPVA2IM0u4Fnyf14AUA9wawTqxyIWZLNwWDW5fhhBwdmVJhIvFsT9q
LMM4pMcPcwRw3TBmqztCNUw/e4BjZ0Pk4CuiI6FFceRjppP41rQy29cyGI7aQWsQOn1D4Ih5rMoM
wz3/sibCkT1aGMVzNm9m8idt4J34wQPCKs0/3DMOC/Y1FFNnds9FzTuZ2BDDQLdhYG95pisF56Mo
ybV5CFA+pGm4Z29oEo+w7OuGoyHVW6vUOnWt89TB8QFsl6yjrPIo1NFC5PrqVUuMfBluoz4lAGxG
bUmObbh19o41uzBbGNc2oGBmAk+kRYwIVnXPhLCtsiszNaCKsX3TbXq2p/AM68jdKBf6jKhmda0R
jKXcqqRJWoz6DNBm/Oc8ygpDdIWapsBcbcpL6o4/rNiKFNpHmMVILPnd76Jacu1G8U1WrENx8aI1
LRbnJ+4es/R33mT9VFp7G3Nc5hw5z1I5i2xNzBMHf9zY27ZnOm0mtyQN+00tsbbQnXMLu4gre7NH
yZmx5M7QcSo5fcX8/Cokz2eKRodDA25RgZls9JJvUi42dosIW4ESKXXuojEwYY+3GK/6GprgXOZ7
t0YmiZXcIjUctHy8gBOYd3WCvIY4cX8B82ET7gDz89atal99znM+bw032WWR+Iw6S2z9RRDTLWLB
zgDCVg8M2xaFGjvvXSEW4jftxVABN/ZUtLitIPktikTRyuakxjcXVcXDLF84allwN/y78iHA2+zy
roLgjjcI6aE7i1KtLR5fkXEa44LIiCnnOKC8X9sLYTCuIQkmBRbWAN3O2igIsM8ozdbZsOhnu/mv
rfMLsikuWlJOMh/jb8chlJLYMyXMWF3VwxUTbYQYClNmXUf6NDSoWFsoTdjLXbzTqJWlhV0ZYkuO
5UsepUm4/GRazyptf+jJUZkWPYA42iJG4Orqg/hmUk9CsIqcJewPMNkyeoXXmgY//SSrdVlgMbRU
8tXl5kc14ExUGYlOydyQ4c46uu0p0dr6u09YKPmKtAKSvr9KdCcrQzdMcXjzlTn9mI0XoF6z9K3w
IM5yh6o7N8IIO8est/PaJHCkkKt8yniBZgJfkf0buY22JKsYr8tKrvu+Hi8gf8mHRmHdltHVIAjG
qRe461pVqsQb5d1qD+3vzGNiFHq81Kn/ljMsZPvPsjhnvc64wHvWDqoUq7+Py/QTsVq0fkXxkfLR
Ejtsi82Q2CmmoO7DD9TPMCCZD33GQEPEEYFkih0VW/ciwVaR2BNo/y7e2iXctNDipZ4D018DDEXd
b4f9EpTAARgtcUYCGUY8wiuArsQdcCI34e9Mh5wlxpVR0guhKcXKWLZHSQtJtmlarjQNpA7UQpZw
RznBp1355doOSKgS/kOTdzCSuG8AqafIjVF9A9F1mBpYgf/gimXB3X61vH4fnEAD7/BrGDxqFAKW
8zHJtxwxIdlflLmpSRMZfzT9Mx6JWH/XxcXzblV+/5W6X2n+KeP3Ud3PhblyODaSlGX6quRG6nBM
goS6c5tPqOy08RgI7e86YqJF3JfYjPlPYx9GC+sQ6IqVU2wtO8NQBVxQMgiOedHPU0+njgK2TAku
gmqFMYghhH8/x3JnOLifIwIyskeFM6UzSXSonQsb32sr9d4fvUOcDbsxeDeA3ClkmmJj8ntkzH7N
uOPNZpePMTZvED72OElObYn4VhM3PsitZzfbrsHWmn52IBGpTdaDnW4SgfeCqAhhfTgD0Ws7P/pK
ew4u68PwqTvbh4BwZxvzX1V94SFvgmHfWLcGxXZNbT/d94ibhuZGC75SghVjqLddjTG+eCmHCIWX
gtRHtHyxnc23gURaVQCSN+JHvqkta9p1GWWXHixslnWr7QzawL6OwLTT/pBm3MzL9ZDcTcWL35MI
C51B+u/lIvJmvV0yF6v/om+gXLcfE5SAjlCboIz3YHBcypu87Nf8ZqfCGPaVh02ztQ9lNx8Sgl46
irwYx5VEJ1aa1ioN9Z0w7pOU+kc/NY/2vOru3b8VXRxWtn6dfsM8J38Ko82OoAxyNVF/5vFmCUgC
UF6uhF7b/rb2N12KUGA99wckZXikOJlewmCDvpmqz7HOJt4ecm/EmqvrzHAq/BDMwR/hoVCqkAfa
4lcWd3W7mdh01NUKDNhD+Q5/AJjNSJhseIuQWBMylVDIlTvCGDJzP+ACUuvYvCJ8lzZrVOSt2/Qw
ilPmgedMDwNndruRhdwa/gHfyV31SoZHG10Gqk+qlQ4RX01MA/WbOT1W8W3UF4exW+I/VwQgjyAW
sEGXR6aHylpHJR/+yjMuFASkoHcT83l8dm/FJw+LQnX54tXPHK0q38b5NoTfku0dtSfyC+cK9ztw
kWNObBSlYtTRyW6dJczq3LPWIfxz3sr5ZubHOdql7Tqyd4prGiRQ80NCoe/+puj5SG7pNnxltQ37
DLs9vcQqyg4JOIZ1V/wv6s4jSXJl264jwjUIBxzohtYRKSJVB5aZVQktHBqYCjvkXPjnxYW6fOTj
p73Gb33S7FpaVd0SEZFw9+Pn7L02zualqZbBRI7aunLAFsFqWQ8upFZGBSf1aR5c+MdP6a27krjA
3AnMt00W1gJmB9O5AVEQy3aED390gqVt70CFBXKjcSExabsusS0kBCODjsG34q6YVfkg4fm0VuKB
XnavGsR6SzGsBw/bxK4GloPBPyYZ8lhPu5waF00VthTCqpMDKeVxh+AfMD0BBsZBl2xV3F/UtMvU
d1/8it/LK9lHqCARXnaMBhfiTvcSDhNrBCnZDsOqLda5f05HNp2TxCHpPekpZNVpF4B/S8wDj5Wq
vxJj2/c4u3+VnNjsHe5DlD5ZPpS2/AcrVzXOr2qq3+iaLjLzwFOXNCehD0ufWNT0yTS2YCx5EJub
g5mN8PkPJq8J2aNsdtWKJRo2bzxniGsx3QwbH8grlKPs6Oe3LGdIKDYaryY/9tOeNi/jxAhtKQil
4Sm7MCkuuDUlTxMjUlrnpELbEOO5EG4TgHX8l2+Z2npX+ztCYuEsMFowpKPAoQ294U7baHjQFnm1
BoniYDW1Ht35Kxv8e4BNBeMVunTO/k8/ONvGCjx1MWtFHrXvBElm9p6QImAtMf1WamXd0uESvASI
ur89oJhIJ3nA5ErSdWfsGS5nE0eOKgQg8W7QDhggSGhx2k/WuQViY1gTFWUxlQ3WE8wKwMTRHsAp
2gtctMkEZQMN0rVLNhGCQtCB3032iJITTpIZXivjNHYrld+qYFXi7YXQQd3zRusk+mHvKF4yKvxq
Q0SlgcQYMgmMpn7FC7Tw+UK+JECC7YXvfrQP6pOTXxrCUD9HZp5MCRhquNgc2NyH+gHzLnKKJNhE
no5RakOR4dloVJfFhbfG9xZBIBFrtKOVswHE17Ynpz31xbYoj84Q4R/fxtrd8rY01ShcO7Rv0Vr3
1qP9ANUzpFueIhi5ZbztgHn6wXOp0TYZmuhFUh5LYrQ3wLbXySPgcNaRNm7ybjsxl6M8mjYMX1j9
gfZU8opH/zJCg++0s8QNDZeeIFDkqmwW+dYxD4l1gDo5Vi+eu2e5O83JNM5utyPVJll7xYouOAiQ
Xns02KvD6JHnR8UOCNhbGlOVEpdrvZjmsytXmC5QCrn7+gUQM4RjKzkJc6tzHoRbEIMphkWYFe2J
E4JFSh8i0VGbYoc6CBr177pzST7I0U5HRmBMewjRXvboFiGg4EtaafpTpvDpbUkB86HVkwtY0dAj
4BtqzGuBcHViS2UvW/Rc1oAw7qz6yM/SJxlecV05+YbOWs0ZgzM4gyNNZBB4z/6QUFzh3yhWc9gL
Z5/YsTRGiDw2CWmsPJpGS/Cd7Gv9h/njUDyRgdmsiu6cNdfwCtCWKCeyxIFvakuWFJUEqSHcE2xu
tnKTeb+acZXGT3h4vGINwIh2UgKOCMv2ayKpcJkB47e0dsa0Qho9npFRSAZ2E1ml83vXtOvQrKmK
amPPyT2S9QvLyl7H3bauN3y82bAy3MWGUzdEPnGr9A0igsza9mijRYE8fTGmeJwTc+8OS2LvnQsA
Ti9BdbXO1jFv2ttCdSq0VzWtS/9qwh8fjpN2CINjLH66GtPsIUt3o72BFVUbD3m4LowHKnSKXYKy
vyOxZZmRB0kU1pVvtI8i13/i7CEnJCX+E/yPWtK7CdEQrGRz0PWdXiCV22kcf8hj/XPffSps++ke
nQ1j8vo1Tk7FxP8nqnvvudfk1dcfVg1hYPW6nfb5Ht5sUVzma6WDgsfZIemkDuiGI29b0866sdfa
QzWyfW6t+A54qMdyyS3pm6VYIpouvGWabZz4ooUbq1wPr457FGppPPNZDBWitKWM7wyv4W6S88Ib
Mpp10H0Bg7FYXRgyazQLO3Zry1sE1nOR7H36W9WGLdf015zYnN59dze0TRScBZTfCpXLhrfUkjkL
oJC9iH+iWgFxrpp1iBTcZyM9Iw6ngQKecNoC+bWxQRmLQZ7RQ9Q0ckiRqZdftPysiXv/kqR4OFke
9DzqetRNEAgXBv0vaF+n9JkuDLsT64aDlhVChWAY35bjAVu9BOO5NB+pYheZ8wTU0+ZH9CLaFGTI
jqiooX11gv1X5XLZXHbXkEQgReuvocsdJte02Hf21XFPMG/Vhx484ZGoiQRRd1FujPop5B9PrpN1
N+1LQLuBzYvOKeaig+scacdQrn0b6owfy/EulFfUJumsXVk4PQ5eMqFA6i/d3wE7sfptsqMa+/Zc
bsQH5Qn2FaMDx4CX+eAfKizvNvkBR6vZBdY55/Jo7gUhyNzKaWqWx0IcQiHW3CpLWlrBKYXtx6ec
rmPjSStXNDZVseYZscfXjtqoOYzaOnM2NNgRZDNA6z0o6sgBljgqGEOD9Z/+lFAVNkM2PDLWFsiq
6MAhMYRB/BE265zfxnnSwaxecXJGnwi2wGNgQjCMF9s74yJG4MxzTHon2R7N7OBv822W7ASAlxeh
nylIqGPNDDDXG5Utv4sXkz1yQlfd0tBXqbXgEk+jw9NoZs3f7xLoA38CdcDFfBH0YE8dHuwVj1v1
TdE5GOOPitqSClJ85awZxGaUjh5ts5Se+FTr8HoqqGEgRsRVB3hCwwkqRvqMC5Vn3K0fo88RlSbq
P/Xo79tHcHERJMiX8I2/DJV0s+bxcD6ZUFMJ6skKVe14119oPB9Q5tOj40yM/au6QNBEKYFrbznQ
/bSBzq3S1XjPGLew1V4oGblkFNuyjOcDZMDrUxw1EmgGSdSH/Wiwh0wG8o/E2xClt5cQUIoW4GEB
OFIUEC2RQ0T1nuQ82azbhhzAtAKCo7nrGQoPlaf1HnAnrQC0VYuxTs/5TCrXb2Zc74OMGTMXxBax
J+SQmaLhgGgTd+ovCFoGHhlE8wvnPEPq36z+yZ/2iEL45pH78EhAgPErfSOZE12meZ7JCS+jcQCb
TvGUuzioljDQuMexY2TAp9MN13CzWnRvcfQYv/vg/qnRqYQpZvP5ydQyLjULPhF4JQ5JljMNEtRP
y1pE3FmYe8RpyKUtj70GEsKqVhBKr506e0+TO78k118TIzqWtz5AgWKSdYlIKO6eZPda0G9EQ7uT
5k+beFtTRDjp8Z21d4Po5BfL+vYGCPfINYILcCu0BcYOiegiJFIDxau4unCpo22IWXGq3yvGE/o5
5okik9O/ajRSEDi4JPnkPy6wzJLulWq0A/LPZc6dLZboDW1mGcix9it9ILkNWUGtdSflVheSL0JA
EkBNAzSASwW9fXgHNEIxVyzlaHy13qXv5bOaOqKUm4WPQFW7VulJUWggfaNQjSzjQe/CB8th+YDo
eIouPrFbjZtA5JueBx8mnOEf7enoRWiGig6waXwKVHw1KnfR2e3JHqpHQrlVG+9tNmt8OaiIMtQc
S4JAqAWCTXGBY2nw/Rke9SaRqJJWnpTNHpdIXwPaROkBSZmKkrAGVm6SlGuyPIyFbrY/vlFXaJEe
Gw8aTqr8xyjLXohS5BiwNQhJ703qEyExeihSAoptyu7KYb7AtKNBUgniifTGdtEQNgi5D4E7Cb6X
QMvO5dQT3C2oaHpTRwAVm+UWn/2PWVpy4+FPcX4h+0S+YsL56iKuTQamjWj4VbrZsavaW9FiT43D
ezMiTRoNRGL5+BEIDvWEkJ0YJNfExoO2iB1HfaQNoxn2QqpYs9wr+pe0+efyx8mOqDcNzbrHUWnu
oEdoPPfdtGHstKbBZx8nh1alNRJBXYwlM57od2cTIZTY8R2/gA3EEbB4baIuNbMnxwxugfZTxeou
52w360i41blp32wru7Utjqpisoggp53TKXPbevJmwKO4kGS6pU7E6xzmRPIk8DvEFFtceZi2Nrl3
KDOH5qJvMF52CAQRPtfPSLLNK7iSejKzcTuMpiq8+V3jrWWH+jr263iZedTCYD2UO4CCSb77DHKf
wyfBkKz9CVGYzv6UOkQeC3GMga5Le6RO7imZbGWDy6pRJNwbNsR1JX8TBUGW74j2qE3JyiVLI4WR
t+gMVEoJUkMyjrFPTKl7j0s6qCpH+hJSIglJBWt4ldjqiGACsdIr71H23p4hwsjdOtt3BCtRdYX4
ZGqU7wyPuCeOIzetKqMa7w6tGb8aRE8sRo3IuDgre6RbjA3MDPQlvKpne7bmWq0tmC5Vl8l7Ly2b
WBJkTUDfrOW6SuKTZ9H31hjMYUajBZrDjxC+9WEk9u80z2ld0XZnaFN+TJHgCEGJz2y3YHmZ7U6V
3YMloJ+2RJloKUNXbaawzPWaZX7ZECqyWECKGP9wb8nwRj4Bvo9+dh7GE4OA2D909KrdGoVVmLyg
0r5HcHZ7V+C3GSUOpmGKeQJguozIMFXh0e0r6hfyH6plUXBi0Cwtmyw8KIeIOUPjce7dl97ltuBV
LDPV2u+9G+59S//SI6oJiMsKUME+aUjJ0+yJExREUZ5q4ORhlRC6YNyDmwM9cZEPCbUGNirfpGMb
Qi3CH6UfXVsjny+aiFpphmc78ekNZ+OvtCKUxW6I9nWlSZS5HFcwMH8l5Dtu5EDwJoKvTdeN5aYq
UmqClh5B7mo2ybzN3e8rl3rR5yZjvJGQ6650BjAbQ67HZjhlLZmKdZPmm74fTvb83uVQfUwZ/M8q
5iwuai4fHHNJl2Ebsp8GeLKBx2FfYBcy+5i4v0atzFCaF3hoP2B20dWRMj9IpspOn6OhkwNjBT4s
H6WCxvxhZENx0KRj288+au1OdtKOTe4HbPzeQGAMr1tlSygMQHE6bmBBClKoi7f1GACUoEyu4qvI
TPzGgYPnZGKGXhc8YzjgIVCWm7TvbqRKXYeOJlMiafRycEepdHfWgxGlL1ruXNPUC7G60KLxCcvm
ng2Swov3ToCfuTHGL/T02x4TFO9Mv9hdQCtlTC6yHn6E5OTAy425najoKT5WEv4bdna1ybXszYlo
FDDS90fnBbyNiFBJJAOlfpmwk4QztCLBM2yxChdOl2ar0KRbLCVohPbmExGxDsmrWbQygm5JhZSN
I9xo7UaY5BvZdRi8phBEZEFl7ZEFrPvUYzW5pAOPkFMBzejT6JS7Cf0d/OOQUVuAHMTgZiWFRVgt
0Lph8E7KjZMzGQrt8A0OKLu2gclaL6v7NBImpLsLfUieNIsAuTCisWu1CavddtlV02kZK85A0+mv
GN1ox/b5C6zs8hCM+UtdFLQFadO0ApRuyOEmnAD/MY0jkNEX12GgYRkRxMWCzrsdr3WFN9CsRsLF
Q/NJ87SPhuLV5NbtUxJg7j0kygUZkYgX+PPX3jLew6b9tGV2iPF+2AP1UEZUqkUYvCviE6yfXW+9
VjYd4CrEEKFg6rmDG29nsCvEyFU55B+YzXD9cVno4/pW5XSoEtXA9SjvYWL/+nT1HI7syJTKeM9D
ICFeAnQpLpPXgQC9Jfa3Vd4JUkEp1FLobqiAuWw7ZEChS7d3sJ5Hy1sZCoQlKqhIz9NTHzVvHCET
gObiK+u8e2Aq7dAil2yIL9YL5MSQL1gyOtNmYQcuw/dwjwfIBU0Ho9br8lNhRXLtjR+tKYu1bdHE
te1q1/YZbA8Xm+ukrazCSPaD433lTQrOj50sAolc9NX36PcNO3fHHTp+Yg750I/Bt0wCzCIp/T1F
/EXVz1DfRjqL3Jq+M4Jo56H2KgvTdm+I4KUyiCI3OoKkCPTRVjDfLiVuRnL0rgkHxuwvZUo4cQaM
ro3Tq/ween9fFQifTEUfKwu6i8zqdpuzfASRIHuJg6OKKnUj9eQ2EdlumvyjtmVq2wAEEpII0FRM
+4J6bIBjGbuIe1JWuVw+JpCirRx2nR+CHM5I/+hxyC5YX6MAOO/r3OSdDz/XoO9b26YqX4Ng+o2k
wmTAwsACXZWL9H9UiVoqPPvLiTGPY6D8SRumHip9Qj1DiyRB0ISP/TMbhMAx2tPWG8krKkAkNFw3
GLqfUl3+6oncAoKgbmrZScaBOj5cbI82YloJxaUhcW6X2b65ctzhmahC1Ael+dWHRrgAevmpEBet
64JGdT32a3eCQlrX9HLrzGeEzu42+JGzLvORUJkufwFGaJHBVj0L1QWbQSsusGk4J9W3TrjNmmOe
iENXvIpKHMOY7JnBILqqMZr2mGHtUxxpBDGRsdH3OSwFJINzvcbcBiJoPOHtnvmJSvPvrXssAvfH
D9LHiQwlWZEshX8TpW9TEqhdHw0Jkz+ZiOIycIgvu1BuBZ3mlMGLZQfkhP7KCFNPh2wfqHtYF+Fe
U2pYm2mJMlB7kQk9Sx1bBUctxzayXPTPpuNuySogFoZMg5bWXzDsCg9oE546MmX6Hl1JznAOoXSw
Tb9E62SrPiJhLYqIQzTqlalbny73XlMzIngfrF0rmXVSgdszQuk3QZ+T8h2+eYaCUDYEv8qZA+oE
ls4AUbRgjMRO07jUnAisDVZTQrVkNd7Nd9ub9AKDWcibGFNjzWCUm6XwX93SuahGp18REzjh3d2c
dmvVNF/2g9e23GSimsQ0GxfveHXlSI/UhHUxmMzM9XgTTzvLtnkih+Yd5jqvwgcNFDP+q5XR7aSt
1mNJv8mq7pDeThVxq0kkr70TnpAm/VJasya0sEjzY5PTjVWCTklgdy9NSyon6oPFEKg3y6WanBKz
WabOW2l36HkYmsIXB7rJDZ2kLglgjqNbiwPwVTgvAoGHXYaKXHA+rpqlF1fEZDUC3HzegsFHI00l
HLPegYqV4Xs/vRkQEYi/QuxVJi9hfizMDDSCzoBP2sz/50jDxrX2yp6P+EJPsR7CzUVPSaSnA2CW
yjXJa/zZAdYhbZqep4pgmMHD4lxyeY6xOUM/WduR2TKkLRFcQwcnXwMzZTJu9dZ6asdum034s2po
lnzw6mkc6nuZyUNocmVrBMOizKw3RHFYGB+gTetroZWvEAOWJtIqHohsYh8Zsf/rzr7E2WzrDFcq
5R6VSn0GLeNaK2gGlQM36L7nMuFFoM0Ga2sZ+aqL4/gCQpSzKqzWRE4SU2+Nh45g4JPb4/KXUvNX
k3DQ7iOQaTgZVnU1fDdK+ltkwDlzJ48pTVbWR3vmuaFtIlECvLWT1fnBl3jZc5Oohir9nLrSW1l4
6RLN3+tOZ2+I1aOZnlUV2jw+ayyH2laEdnUcB63eTJV/wrmrrnByuFZY0FBcO2yPwB6CgvvZEB/1
gbA3Xcpj0uSPRNOTlEa+uRjVUtf6fOf06XwPP9cG/Dte3ifCw5IoazTmYQuqw+q1Zlk7RbnhWrvJ
+0SesH7RAU6Sm2jj/NzTpXO97JJEen3w8ghBltPTUynsLRi4k6bC4KBaRm2u803+DfnTsGR28UjS
tMEtJLS9eGeTckKjYoJ4Bs1wCCi4Q7b0ZWlB58yGetdZyiMAUeCabGm0meSCPIYed604jPQDkrQ2
vQdluwrEEHO1s6eUzLEOYl0c7uBtcmCW4hE0Q79DdozxorPwUefamQg2b+N6tCXSiPsP9l1IAbq9
0y10nYWJbCqekhQ5sbkuPHn1LSb8DMK3MunHazk/34ptqSIHHEQ2tV7dUSoSK8hly7S2f/6JfPCq
jR0xjuTyaG2y5KRZYqL9GmOzm2maxDIN27Q2PvoSKHtZq5/GHx4RaNrsaxxLsZ11G6MEkBilBUiC
iTkW4PKIVclmZTozJ4Y/yUQHNZlO5qZeQ7DIhkMyQh7PZbVnr1RHp/VWQQspLocGuSolyVdpKpOd
07mfygf43A2xv4kgK6k+INo4jmzybmXDydx3J2l2u8DJuZ9oGR1BILUos02aMk2xt7rk081o3yYG
5lKdKAKd8BNtxpIVhX8J7IlRZALmyCxI3u5g+AvoVnjSw30f9+m+mO9j3SzBHRvQFr760GYi4ghl
BX3iSD1i+rjOe7y5PWDG2Tu5impgi3aZ52ttdBHwAh5b5QNjNCcS8tmmfZBJDyS+aD7rFuNI72+d
VnM+HYt2BDl7nxZyhKxCM4Ydvb+6OH2OZYARO6DP1xmJOHZpjWINttemoL2UZiNTZI+iVNLi7fgb
dqS2F6t+cvm1yHoeB717IhV4h06fqhVXPktH/Ui8QVUtf0wU6TvR7PQMfLMVN1+O5r16GX3C1HQh
pQrruVPWd4+MNunBKwldHu0hgFYSCGTV0YEPEX2BKtyFcvvnKgd+jQDr2iIS0IMYPUnTv1VqzNem
jECYCgnYC4h3Qq2C1ohc5So5dX4yLoyBcZ6wph/HxdqOGT6h30jhVLTFT+hzRRzZ9DZBvReR9ipq
AdocJSGkFXJOG16vwoG89E30/53X7pqKlAhM8xa1/9JyioNHFBnNAhpiON/giolDiTVzm/aB2kWU
7qEjoVnygv1p6q+xQJ8kZfVdh/w/IEf0OeKBAj8k2SyJcWCahp6v6lxsZMJMW6cFEtTmwdPoNAf9
7I305ZELcrWYrKMU0UhUbAa01GNCEg94tHwDm7BZAxSTE1NeM2oYoROO2oBInJhaO17RXd1gYITC
YLUilTryfHobuc/jaKevJD/uSHmP9RZyCE64VaoxISDK4DZpKM/Alb469CootZydi/fOCDm5HeZi
flP7u8j5tPX5QytKMGGBf9Kz9rcT6eke6KXC40f6HZcVv756vT9eST6Ciu/rmKckfdMxjciOo3mI
cIWEmII6jWa/i/jFT9pTqtRGtdBePBSTEIbVTmnlPnAbeyM0ydOH9CzJ0XTXTrhvaO1JxoOT26qd
PUceKD2d1k7mmovJd4FecT1ZIzXb2AHhPlEv6GDARVg3alKMDdOF7wzTIQ9+t3WQvXCYbQ3SLRYy
d2btoZ7vbO6pZlrYuzRkHinhvOaxwzMr+4fOGJ7zaAoePLd74K9GJWyYAQO8+pVzP3hu6ZL7kktG
u8q9wN/iFwA1MUfQpAOzUTckG4+algAP3U+3Zc0m0ejRvho74LvFBhtCfpOlxtOOwFOT7ZuH45Xh
ekAijWCKp3ytWxiifu1D+uUJIkeucaVYTXFTreOefoFfgdORJRI4jAPUhriHGSaQPQD5yEBC0pFz
EEnQJPjUPsOWx1TviNZOLQGpGnTu1HDV0K21Mikm3cJDSWBsSThwkItwSvgRhYNd8WBEuMQ72T/G
oNsXhLM+loqLehMNR62sIbUjqMvToSarA7QVdqFd7RM/WIyExxTZYyV9QfsR8ao9Dq8yM8YtowP9
rnW6M4MtIhSJ1bR1LGAzE1MAIKXYPTTEwODX633qMlUIPUwv6L/9zX+iI+xfpvbNBrX/5wL5yMT7
15awU/QdNr/zf/tvze/4/3aG8Ud/f84JfHi8LNMgUM/WHWlYgLv/4Qzz/sIX5mLKEqYUnm5a/+QM
k39hBrCFLjzH5aSXGLb+Zzof3jC6BbT/HMTSQBOF/I+k83kkA/4f2XyGYzi67qJR5t8hBGzO7vsn
92Gr956jV4qtZ3aBYq+pj620NoK5rVfkD0SyYxj1m3Yzlla9FkiqSI4m48FGQ98ILoj1UABaNZfu
hNMB9efooRjq6YzppaSRXSKFsOgZxYZCSDmS9lQAVEsmOpZN8BWl+c5ru7WbBdwkQN0GFptq5thX
z2EAmkBjiBvON3jBmivsXeBNFjIV50AI/OtgUxzFXYIXY6IoovJZTHZ/1hSTDsiDcgdxOE+RWAA3
m5lBZvIQo43HVW5g/BUuipvOfQyy4gd6HNP1CZViV99ETiEzZNBD6onUVULn+n3baV8qpZkuGwQ0
ptyXMWxNR9oOEw+uqC7dVyvpt/ALxHVU9PzChEshweg376BpBW0QfSbzGD2KA4uWZaHRcPBaLkr+
fOvVGAotSlKHNYzj+TCcR/A3aTAYy//Etfz/UbamOTsi//VS/rf/Wn7m//2/pP/O3/nnT/29isVf
8yJmlZjE0bu6cLx/rGLNcP8ypD7/om0JD6wSS+wfBk/rLymlbkuHla7Pl8//tYxNifdT6I7LM8IB
YhvOf2QZC9OdF+r/tnjajrQEFDAhJPZOieb/3y3kctRr4vO6H/im3CqIGNpGUOqWHcftY+59tn3Q
P0VoL2k83JllVzPIqAbpuaJZ2axLbZguiS0mY8XZ8l07/ngY2yzft7YxLMMxLC6hrl/jXMQbr+0Z
wYknjC3WQennzmnRp0TwmNoKsYvdRepuGFBWU816bTVuE3IGuCQOgJYkSsEPIUGrqz5/TzuNmGJY
P0EDibWaUVrCgBzYxXay7SpXnY3WgRavMJVxSUyeR438+Ul8D1TEN1gjxjUAbwlzHSxD9pK4bn0A
sehd8WZi6065hpqxGR3w4z1WFhCFMfUTLEGUzC7G06JhONDL5AaCw5oNUURGC8nAu/Ub69C075Ls
74cusaazP9g+UXqB/6ub/37HKLxrGCHzbyXue+4sWFc6eKTQhHa6yLAFeDLmjgbxrat1OnAF7aEw
ZjgibN1a/vnzNDR++WHZ7v+85JKMizqshp3WuC731Kzct2WTXPSEBlQALqWctPESxoG580ZS6qKx
9fYBTeNkE5eCywjdikPmjdrhz4/K+aeDKXzcrnPQYV65gKI1UrBUTVYlth7UGuU4XhrLHS9649jH
gQgWUWv0a1R7SwjeidpofOunKN3GGSZdcFr6owjOVpPpsO6n0boFNECexqiF8dTC77fpUzxlWj+c
M5uY5bgxtnVb8kwJg/wybRL+8c+XJobcO/qClsGDTvYWxr9EvILEbLZFjYTHJNBRy5yT6ZpiG5X2
Wx+9C39ljlX23RhUp3+/TMtrURxAL9N0pzjpgit/CByYOE2QxLmniBDCnfZgRgxwqUe9dQBSeu1o
EWF483fR8nL3+ve7odER7lOjzm9NBVfVUVONRjvizit9wrpUq+3wrvrHP18IIDM2f78EhA7FSsWa
OMTDjAiAjPzYi33uFOh9A3KoMO5scqEZX4OZ7AvGoddwEOckFtrBF9hUE5vGcmD29TWav1AoLMw2
5Rl0BVyZIYrHA48T6XIe2Mwi742brRA7h+IXt08kXQOIYBXfHUXUfFYTrNSTQsNgNfsW3DYBBi30
SobHKcnzmyfpejWdwBpiC8YIbljzBiHH6Go+eVsSeGqnPfz9iWg51bHvVQ9ToeQGBxeTZyt57+3U
fdG6AOZ/537nWekC7pl/JmKDkMzJX0I/glbgO8E5LwD8yci4J+AykRgrdAP1SFBL0KFhl+bMcSb2
5alHDrIU8u+fePMvdzqDdy1rjVNUL1zlGc9GYT9DqRlp3tThja26fHdb52Ogv/zgRumPO3TYMeaf
2QlDNS1O+t3fb9VNg5ea+vv654tXypusxifDIiYoj3MU+Wn7y4u5WGWloBqJZPWAKxSjyArYmrWz
MpXfmOIJYNeopbXKi7fDVODsmH+npvn2KgoCLBCJQtDoE3fDrW1ESfLbzX/wKtXMEUV4CVXXf4z9
BDGNvD2ykVm3TjpYp94oX/kWpVByWkYITll8sbXYefeFZgBktsJ0VjjESJpVbt21RgK/IpIrKhn5
GZ1j3vFf/3Iy3FGlGIebFOpoasK7RMoojiNwx3Xm2f1r2/QXyMQ3JzKAnBiD/ZQE/c8YB3B7zA4l
Tpp4686Y5NV2PXcNgXDVmgHKyjwcznrZg0z68+A0nRedas6HefxMnwdREaFFXNN6jIvcKdEh+S80
pmN0ic6e7qtxqOa+jp9OocUu5DwVfvo2JPiYqnDUziPz77NDt4NrKSIWQnidXTzP8MA40VLqx7d2
ahDWRbG3s0Ozvk7lNB4nSryyCapDmjQ/+rzIK9tlv/uze/fkTu/EMO5EnyEvUWH+HGFmRsNzzUYz
2o7tGG0E1LNXryvQjFqMJ030EQbqpdOfL6ZDCLWnv+bgXWa1bR30dH1sPz4UnbVlA9mLtAQ87U31
tQI4QHiXXW1apx3OSUmTQSV/tLVDcelbBAjD6NMkxLb1BOTrbmcNsNoBcYHEj8QYhFcfNPoMZ8fb
LsIkIiOYFtOevMcHenqkB8OTX7l5FZ4btMBWJ4rrn4ePLICpYEs2AvwNbfsK9Q3ojsc8ZuoFcdVT
VbOsmULP4dDw/ppHegdHOnYWOyNbI06OIvuI03wm34iflrwdz/nOpNYtBzNyV7AFxk1ZGQzGaTut
LXfQNqovrXvpVrwhV8fIHFW3xjLYX91yfCvE+OxHE/ORtO3PYU+vOTHAolosXiFNeahVVV9tKxn3
mhG8D+VDoRvtxZq/r0MHOpV422qb+3JOSR6Gh1igoNMxHF7G+Ys9aelptMZtMzXWyxBGn3N+4Jsu
gPpISnxLG+L5HmAcwV9jih4SQp0nNT7RXbwAPJ4ovuOx+qWbZFMhEIIvZ+I6su1LNsWEUhCzYoWv
tlvEx8yHzKO5AFe0ru5ObgqgE2GOtSumPN/5TqbewVCapE+439jQ0fX/8w8CEG98d81q69lajpCi
WZkV+CovZBgWz/t8OH/pumA40TDZoOhh3hj6zja2whakV4xRfDD7z9D5aIviSLvYefMGMug6s7Zw
LPM7o7SP91aF7iKXXYr3yQwp4MB+V0ml3m2Pf0kb8dlZhB6oKLbuRgphbnBoIWuY203djR//fJl/
ia692mtl9YBgZtqIwHlz2+JWFgpfSNQ9t1nXPVeuw4npexffT8wlMRvlIdfjo2y05kmkU3NFcTJ3
JqrowCgKk3dYTrdRzUaBqHk0c4FDxPWcQ8ANcF+YubGjPvWoeYS+QxdX4uZiYFv7iC66jHZI2Et5
9qJOHHu7fA7MIlz92e/CigkIPaDtn53ZmLfnBudOe47DLH/V9KSFqGlODyTXRlu6/cJNkn34P5g6
r+W2gWWLfhGqEGcGr8xZFGVZ4QUlKyDnjK8/C9Ste84LS6JtWiKBmenuvdfGivk8xxnbmld9eC3c
wc7SzdPkTf3JI6lm8PN6x6EJeu5kkdisa+9TB4qh0zzxVZXYKhnLLax+SIk2ysQZugcj4LZgHGVE
b53NDeGgedgM0Vi+RYN+DFXhHEUaFyt6amQydtZL2KbO1mD6vTZFaUOdBPaeeX1yrHED5KJSa90P
jJumauPGlHXVWyq+WqHfbcMWjgO6Mk7L5QwxsvXgaepb4wyHdt9GxUXGkfNX5UgdyhYRglV5zU3Q
tUCwasYfnm0x9dNxxsv6YxjKjeXbzI17s9rYoJHxuBtfHU/njJwee48+sjdV8aHLRrgJQ1o/hl5J
984nN6XPj4jFCC/jCz0MxjPERLXhG6zTPNsRcDlvJ5K8rHU0TGKdthLfd8Zwxy8Qe5dS9Scu/IAV
Hq3xgA3/TCZWfohJKtoOOW8hmrw3avR5RxAkQGR+frpvFVonxCk1K7H1TI2TU9t0eNShadSdSaxz
hAc1cd1uOWXFuEsJVdxmrjtcBxfktsYB82KPrX2RIugxJ9I+i1PD2dGuQIno9Pzy9RQ9SnYEgGct
OSQNWwasgfbY0KRlJG+Trz6Jw/3QfH/AlCNn9n+zGZxunTRAFtreAbGcu/rGaTL74jpWsWkMxcKT
+w3Cnr4+TewGX/MXQxvVr3CznmhR/vUY/u9tL6kfrCiaw+b1eiWTrOHQgU6wodCKjSb6murmB7Fh
80ewtzFtqclkTAdxVmYBRfj/v5o/WAYYwfH+/H//hjEc7UqpfWUZ7S2wMfvl2VBcOPQVq57425zF
kpzJMV3HRjAtLUtvd/f9CbUHuq2IN01m+AzzIqBJ2o4FdhgDD4kBMIzJYk3yYH74PScgd8jfOWfg
lCnHzxqBze+x0iHaglC26lmLOnbtuQqNhuzHmBQarsDipADLblNGU/eHWqb7Y+oMiyGpX22snY0w
tdP9o8xUhEQQ+RTqAKAMTTDrdoJT05nBqZof/uc5UAK7ME5fA9Bu5Ltm0aFH4gyMLz9Pcx0Z2uLU
1UZMMpmL5XHgAxVmml/uD8qPMF317SJIGITf96/fTWzes8LUt/C7sImtWACXkGD8Q9R71tmrdesM
ugiI+PxtwA22LnNkbyYdZLewOZ8Erv8n9NxPZEtyL/hfMcQF77lBlVsVzXwIisNtolfpi2tTZvul
8U9XZHOYvfdRxEH40LmqXtdBQlSll3VPYxJND45Z7TiGIpw3/mjJmN5SP9v8Hhzn7yTJ66pG+ZEX
EIyctm2u7eCHp4q2cjXWolwD6lmPxDJWSVcco44QOVQ9u7wb8kckFCH2NAelp2nVl3hA1nQ/ec2f
YVY1v0/duwlpymRIE7E4Nn5irKzW8m+ksb0jm4BLwwKgNSEpm5bb7IRE52APbfU0GaJ6IiQavyFT
CY5B+U3XcUaouiREDGHXUpEa/9jIhNpLGn8K2RqUBPoqHTo8yYJ/JIa+3paJlt4C+OHLkSPocnKH
4k0m8QhZZMLK51vatpXaMelwzOhgF95Sy9p7mimeOjdlsyae3r9q6DPXkfR9pr6Qsy6JZSz1xnQ+
vURyJ8SyeUbAwdqu/cwc/teunLYtjv1NEAYDaRTZ3xykyLE1Wi7rGoQLurAiWAewMV5tVEA20VmZ
ZeGazcBF3E/QVsLYyS2MfnM/c6PmmNWYNQlWXlduJ03oh9HUvkffT5ALd9lmNGqK5rZajbKPHqKu
UYdqQOROdCUESdAjyHEGMvqinoKvDtzmgHgp2bZW2W7wNIfg/B6NGKCMhrwEiGexSjVUd+MtE92H
MKPHkMiPZUoOiHQl08gCYY8ynpSWP9W+8ayDraMFjGTT+ZG4GJl8vAR29JRG0XPheCSCmmtLQPee
pvJUuqigw5Ry3yYZ0WYgDyHAtOUxIh1ipfSY3bu6ESFnoUUlEqlYRySRNYRUAh/RgzVan6AoD3Wj
43TE2WX0ahXCyse3o94jJENupJ713LmpCt18yJHc86o/OYwHYs2nkyfp6VY9zmRZAjwqXBQeBNGv
4CdX1NARyF6YThnvzNHtcLp3ufeWEGoisumHSsImAhIZbIXe1EsFhMIavyCwBnmeeqrZxpKLtkFr
ZfldeE5wR+EHOOvYXkZ7fJcayjNBaAmRLac2YHY6FRfXDNw1iXCrZHRMrM+EbRUxeJx+MB+tQV6I
dLdYcjwmyO0mS2lHZdAHNWvoH9wCb7jrC7j0Ai1V3pQXETm4r5Syd2Y5JjusQgKbgXGjrcLV4YmX
IAmo+Y262UuoHU+1Hb+HU4AbbJz++ipkVWGs50nNP7TkaO0wUpappz+4fmE8QHf+qJ2037uFQIPf
+XvkuOwSedSeFRE4celvY/RiJ5cNBc5ieBhKQmF6bsAiq0hcjnVEH12ztj8TLYfZT3gIKvC93Yz1
xRJ/6orQqNZEiCH17HkQpEph8nHT2v2q84cE54FsR9i+KTeRU6nppMGBsc12O2iRvU8yGikVdJbI
wIQdWcNjEqHRjxp8gowWFzVaQDWZN2Xgg8066PQtqF7bmSNIM3yBluoPnVtieszR8sS0iBdhpx4T
JBkojuJsN6YOKo/plsf0KVOPOICy2juSmAVTS7CqDybj/tT5EyN03EDkRY7n2phZZ3FwSSztuSFG
jUG6XzJEn9CvrV0CnPhNjGBH74pjiJU9auPwQ43xE0VDuGYggPyjINlF2WS2eaxBRt+SuF4WwE/8
I1mfWHJwKfpWiUbXJqenLKhExvwiM+fQkSIXJR41LR5ljsPhYxIf6szN9rqOqBfwPVphWiCY0CxE
B01vbyEDcsLJySIZwTR0fB5lWkwHZfCOTMzqvdxMdonsYVQ4PNXifybRtl+O0YiXkOwqXckfy6dz
yJwn2koDnpE5BK+Fan7MZ2/Kr1Wo5zc1z+eddBv1uJpz4LariEaftP62PdGkRZWTbdW1ZL9WayGm
bF1LWn1IBHe1YR+Tvjm6GN0TvcTJxpyc1jYCsTAznoYQNqob1k+ZGb7nyLLvuWZ0njLjpYI56oIA
wFxintuueAD0dJXS/NLJA0KrfRnHpoc8go8uy9Jbxxx30zJCgsGAnBpRGOQi4GwHZrZLaWG4kBL/
ZZOcYstz9pqrtpYAm+j68L2QQC6hBn+yRdWLoTcfnKF+Un0ICoucATuQzS6T72HDUJ33xFjewnw8
6AQFv6d9zfuLf2YIKtSQNcZD4hrlodP7Vzr2CeDE7E3TZXksZq29CzfC0FEf2KU9a4kIKg8O9WRe
QLO8urOXIA5/3BpfhCvjl9HEPqhDNisDGW+JwHnwR+3HSlVEjj1TqYLG1rnzzUeH0oM+iBbm4dpI
MhfRcFCRgpOtaHYme7qxeytHql+72MInC86qj+XgZl8hlTibMCyCbdFIdNCj86BiLNt9rhC1FRUO
dCOHATCNznKYHlRtuochqJ+qopg2gfs3MMxLNVEnpKhrBkP+idv0K+psVM0Rc3OTy6CqwSwkMKG4
YWF/DAPxrwmXpqxDjos54RSB+RJM40vVgCyXmXv0LSRbVZRC37HVssrpSjclbkjbnPp1G7cTvbUO
BP6oPPrQpCGgJdvhp2hJ0Bl/cuEf6QeG61FC+rK0SzSSfTCgXzoqjP4cXA8haxYRGOVqKjGC9CSB
kFlevFugkKlU01sS1TRzPVOxrFCdwu9iAlqOryOxeMC0QhxVU4jvzIcyHFTXNInG7ZTZp64XD62O
5t1w9mYF6tVsYSvIGtt6A24fo078Rb++Zs+Dylug/GDdE8U1zLoLZ91/6TxctWp7gbQxns9SmLYM
sCidf9QdUqcm5GUba8pWbOu4kvSEfjdwBSsgM3EM0VeYqYR1wqjSbUvtoZN/+qlI1qCWn3m5lyzJ
sH9wzKE0HIx1oWOED1EknlNOzkx1e3Q4TgIZTmb/WFI+SnI9OHXlK/KlICWxoCAs7b4nu/zuJRe7
BVMiJkeGa7jZmrWZv5eTe/Io2kxS+x4ekgrjdxYnRCmUHXz65nFKGDWkVc2lr96ZsuUz5/HbJ2IG
E4SRIo90rr6ag7pC802widHbqU3+qUIzkaqXKAcHXRbPZZE7f/Wi+SYXrNlUANssCFwPOTTe2ej2
XU50cXLvVe8NF0tk/CyMMj8UUzgrosp6ycFaLUFkLmKReocyT7GGFOiRLLzbTgYAy+5Iv3Cm2Ni4
zcYT2JikQaS8ZTpfqqRJbpnfwjE+WxPizUArZw0B79kT1qGpJoXdjKEwH9tbkGOrTv0Y2WtfnUfK
P5TZD25qNZsSAiYm3PidpelLzQaRVsS3Oh+qNdg/YoQWmS8H8CYtwQdhOz0TGbwdCvHYZyAKklSj
4yoaGHydTwrfMgATljc9qViKNFdHYQ9kz6CD2RbhXoP9pKGquoXBd1SsqBzULhCgDcIqxYSn3rqA
zkEx0PBjWU44xBUd98YcbIVQaapIicjY+qGCJVtqtAcj7t29Cs2NqgJE6KFLDlfWEARajCi/ReNd
bVlvbU3UW4ZduOAEJztPj59761qEUXvICicjtq1mgIbCEZZ2hGS3XY7Cst9hmg+Q0a1PzKogRGL9
ggLP6yGn2nXkrVNmigv8sRBF0/IdnWKEJhJtIl5K0godYlEcVZOwQBwOPi64ZW2+DwOJpaal6W3j
nGjSDELTCBizI3CjcfN2zZyXBojlnuYKwskxSNWESuyn9htMhFjlQU6qV+ucgpGNV3R9T7pgcRLQ
YZEbQNeks0M1fY6E98+KaGAmJGg+khByQG1hIdAYuY/Sbidq2jJMT6DEOsx3wqJ/mybSrXIDrqtv
j/lClv6HjCRLyZRzgdbJqSOIXncS6GhFGqyTStLBQ9x0KCIMfVnlvpERAyhADCe3ghvJesjEzNkq
wLkHAcJsUUMTdElw3I8z6dLLr0SuJfBl8wfLgQeJ2WqleYQKN4rosKTNN34WfamoLq/hUGyKeFS0
CqCZEiOTLEcHDi4kupunqU/T1+N1m9FiSzjySA8j1KA1j1qg6GWmAg4UEkfCiF0w7o4zLExH4w/k
bOJGkcdcg4wT/mFaBzAs+gYxhl1ecVjmR+mO4HlNHAO6A+aSz3IL9pYMIJpyBeJMzqn2XlJTV92o
dn78DywWcmy/nrm83ioNrYtuM8LSBjyCWQZ+sxXRmzVhf46hzA+UiKkFHVxRUy48wjAP9ixcH9Po
YAY+lYsJxtipNJK4TT3aTumcYyteKt36SSJ/GVf2tUtAUpDhewlCMmdD+hNFgRusAxQhnPKJGHAQ
Ism0N7DFaByQFpYX2au9MLSfYBwwZIGD3RHOhf/NIXwU6QnQES886JWNT04fT8yRadoMnnkcLOIx
e1NrwRmwMU6OxZ7LQzb6/dF3/d1kxxAmNYCn89NDFNvY47vne0SlhfELxoWiBgGzfL0/l6utKATR
y4HDgUHTG8Iq3JmqNhpYQwiKY9bPeWUKqFv5rtAhifKi8UqrkxwyBQ9T3L7pua0Qf+J0zhX2Xb+1
9Vsq7PogygwB8PytNIfpajHiysP+io3WfBETCXn0L+hgkfLNqUt261gRa0baHwP1LGT6DOOj4JR5
8BR1dlp09Ok0Vhw7Qn6Q5H16RKjKoDXQlX9M5wlPVwzxaco8AGYGkAbU89WpcCKDbwnzjIAmGE5A
8maDBRvYqLX25ol2NeP6iwLc0f3l3AZVQTwgDBynoXuRGJX9iIGzEWB+i1R6tWOE/66GFFH1yj8b
PpDtKkQbG3rf6TyBDuZ5mm1P71hKsai4DqldLsXF4JXFG+1ujaLH6s8WTOLMt/23rEeTlLrdkdhZ
WGquE91obz6KighDOSVQm6eG9UqizzzbXYSnpWrfiqFyntwpgPfmfc/yDNFINAb9WD362g4/urFh
T/c2eKLKt2oc904u260f3Ac/LQAgZlK7YcTYzaF6HRhFSDqg5h4FTpOuoF67PwTYkvzcX6Lz5XVN
4R90CwFzPjavPs74fz0YOD0x7WcUZutiUN6s4QBql9n737ZpBup5KMjL5PAsz9H8oAiKOZZ+sSuH
Qh7NSQfmFTv2kzZrNfrQAwmHgWOcJ2Auto/EKElsJw1jdb8K7y9hJr6+MTpqIJ8L8tLnfsunB1yn
7zjTOW4lmUSRvaKrDozf6IBP8zizeBvTLY1DXvvl8f4Q+xOsVrpXyaouA5PGNK2AlU2L+jRYKCJW
Rgx7wkDKQNeFAXoeR9kuRWFyyZoBqlNpCqpJCFLJrC0YCZs7aqL9gqyMW4H2RAML+JRIz7oYYrIv
4QD2emQRD5yBUqIG/k/8HnFN8yveHzTanqvCQ90Oyxc8Lkpw/eQCIuWSiY7DuIpS0znbjdkifk8t
0sYBDQfKqJ4ioqiXv6/euFSuTm1swEkaT77n0RvQ5WSDouA6EoXrHe8/r6t7IT7/ubsEsJ3g1/l9
1+f3vd4Q2Dotg5ngoteczWddyETfUUh9OGQSEQmFDltX4pH9nJUPRR0JFADZ3JqO+b3NIlwHzi4c
x/6pzIxD4fblg3fXfsfo5psxw0Ncd6RBp33/6UZMuUddcLf6tXu0B3rCrSq7A7Gzn35LiJAz93OH
dG4Xl6PYZE5dPbaevyNB2znXiWctfn/1JCw8Ijiz+Fjo4vV+N8QN0SUN0/Sl77bGEaK1wWrJV0WA
b6Z1MQtrtQzOsf15/19sKuqzL/fZrDIqZ9ERRQ00pK66/a6Wja6f0hG7SEHy4+8DFOZFlBvRURvJ
tk3jmKOKD+BkaP38XFc0qn+/Irzr0Mpkff8M7pfL/YNAlow9PxLELusxdVxJYy6L58tR0JlyO2KM
RRaqzf0ubBxnYj82GvOBxK0fURb2Rc0PXckhSihsNrayHjXH7XcpCZxHpmN0t03rRfV2sxis1j6n
tf1t6s6wZUIQ7sBdSwZ6MXwyl2wW26KxNIVCwxKIfiirspOytOSpq0n8KqJcoHuQ6zrBg1ejnEHU
zMVBN4/p/iGifMGzgO2bOHXRMNHhPdJXQYMI3yjKAel5umWlyj4yqaBzIdxaoExJUdSP8QZpW35Q
mrb7bdxyHD01+JoW92WXgg5f/r2jq6rhO9aCFCG336wSDLhPIyahwM3ta81G40T1Y9dB/0cUB2fK
w2qH3bw9FYYA3VNG+s5IMwC+XJALV5J+BHSFYEnkbvsOxPa+bFR2aX3G/6RGA6NztGXT1OQ52aF6
RnZxQx6RfpJjRgb3PBvqvPK1N2AmCksnRvGus/jdTGq79A/Yk4dlZ5s2W01L0K6D2gycffMVeU9B
7TU7ImegQ+lGvseT7CybLvA5bM2d53Fufg9OQd6BLYLHfF8KvT1r48jaWIbjr47troUqusFedfD/
uh61GMYUJlXzrVxI3Vv2Mcsz08hv3xq0l99bHnAG3Kvoqyfx8V0XGXM3jzLld8rjmiAi7qoma55p
Yey9xkF3It9sHyWx9mLeJWQiyL40WWwcqSc30/WRt/Cd33M0jzoH6Q2Dt2cP3l+AmYPTOtzduhnA
hWliA5dCwUg0Vp3dmc+9kA/33RIZy+b+z4o0GrY6jrPlOCtY7jtmP39VpnRiYw2ASjb04EkGy3x3
BVwUZW1/3/Te4qR3XyLuN4zRozpSWgm8TMe7cV/l7g+TT0YtMXEDBPVugjOhF9vJCIznwUxvflx0
n76Tw/ejE2dOGbMxe9kaTbxJGyDq99ef3FSj5gxgS9XQpD2b5PP74WusaYI3sRi3vIn/7Jqpho60
ykgiZ99WdvW3l8E2jBkWzquvWUVX4fjs4/gxJ+D+T7Qvf39lopD7ndmOH79rmeGMezbLDLAyGzJ8
7mbXAryMoH1A/CyStzzsHsmj7D8pmzeW3Q7Pd1XRsG5UAeEwTj+rEFWBimka8Yl0456lzIWYI3By
5N6P4SfNX0dqHFRShs5Q8+c8VKoAgO4k8/VdsEafgoaz0TjAu3U6suR048GwKI4HYo3/hFa/bSic
14Y6ZAysT21DoIiXVE8aliFwkjpvV9ix9jZ2Fmz76RyxKRFyvJGYzA6agRUNxrm+ZfFnAXZ6hE5Q
zIz58goHpESRdPdGaqllG1juobFhOnoxihjwzVAXLQcVpQMYIe4Rf+epB2ax1PVtre/ptOf/7uOk
tve6leOTkBXm1FZYOdhAVFTsAKXLp8qK/tVaVT7FSZHBdLI2/ay3cvrig/An62QZ3ZOZhMyI9a56
jEfwT8gBq01KGlXZJD0psquCydRr2jfYOrhkdqR7h69J0D+NdF/O958hFoJQJBEfMyXe7oNu2yAl
z+pG5ut5+JHb9viqtxkh8ZH3cZ/UCc7oq46M3oVFH+mKXZNUQEGTISxleSEwsVoxq2De4BvOpUNq
gFhH0TNfGCj7Fxg//09DZzCIpJVl7qBv/6MSt9Cgtc3eIozKz6sB+OTUoSLU3c3kiJ7Pp8UV54MD
dOh3VaWl1oVlk4pq+SxRnj/m6/uRIFTJsLEj0hIaIuAQhsw0Zffyu1gGSHz75A8dCbpo8yk1z6Bl
3tc31ZOQ15MRc/H+8VMbh7EOuoe74jGa0TMxk55tRMfq7EbEhaOJHXDpBv6DyO1PUk78F3omhKz1
SmPvdw/YCa19aOp/e1vdyBONvsB1PxeeSP6mYJs2UsFuIe4nIZbB3elRBjzjfh/aZlNddTAg0FZe
HeZExqwJNA0T+/5oAjuz5wZYb2/uY29WE3clZQqPqzc0xBTJ5T74uz+E8/vIyx8qL/RWBoxu0bTh
wW481vxwfA6mdPrQ0d4sWg2w5YjIYUPzMbuJtv8DV7x4M4rkUkcc7FVPN96YxYNDGzMzxy+hgjB8
sr2J+WXQ+Ft6kdMxUqJeKimLa9W/3UsNxM/tFUOkfoUrk86ZAsYpNkrjlGr6Z3+X2rkpEJLRV2fk
cPJsNqY8l5KDpGixtY0tubaDbCFGDQRXUwtbHgN2TspQ0NJZF+lH2DSVAcUYQt/o/fi+hapBU+a1
nZnAOmndhG8wGUF6g3kO24kM/ta2Ye4or+kJu+2jNY+rJDP6utIITEu6b8bsml5ml86fDeeeo4MW
2Vu+TK6OfxOGS2OW2Y5HQIhBNsbTkGwcDcCfBfM0l5p8qBOWVkQ0m56G3ToFlLLxab9EYV5DtomZ
yjDK7G2HIptpOVJPuKiJINuk99wPlNHDYnAF9AbwuIKRqFacs9nP3sj96PYm/awYeLROzMnwyvlD
38TKxWvN7uPLBoMnEuEF+jpWQ5Hv7Iz+ixtckzDSSWZBwEWN+tH4AkqQbX7XbfVDqqy7hRR08gd/
BbOEbGoPXRGTg39i0ki9k3IX1R092kC9tRxf90MYH00Ahxl60QVi2WKXWR3gV0lHssEZ3hSY1SaB
zoPB2Sr0wqcyCQ6cnh9GaR46tIj6FA409D4I/bYPSKe3RqLqracnCJLpPOOsS08JRzPEf98wuSDK
MnoHFFR0azh/VfStDJP8DsO4Nu54kT21v2NrcGZCF/cnWjm7PNdPtmkOez6rt9LByWd3VUS47ezF
cbRbofmzPvsldSLt5BTGzs0a/wHpsxYR88pMZy+9FhQIrfYOBxQnzb7aV6jtaXWreZmmC1JM335S
jUsdVtaCdhUUlhKiZ0nvugjCzRjrxj6RMJpT62nExU+HCjuRt9es+rPqIn8XVQm5oxH9B4zFF3AX
sCXnmT7ww7639A1qT04F2BQ2g9TsNTqiZIPUmvsazK3DXTD2JkF5urO1EZh09GuOXTt8TGC2w5Io
OvoD9dLj6l7oajxWFRD4SPEBRwVtP9ZRuo3ImrEOJbCF2xbsRHHtpgozaIUZQp8v2om3KCD90ozK
0xi4TyKDkpq12pqqCM1SML03Ij0PPV5zAymSqYmtxcF3kOV11Lf0sUYdfELDoNGHFMLEoVcXao5g
l6YAznz7ucf8sExr/q9cEZmSW4wUVCPOrwXWSto9cwI04oEaU8LCrZyVrgm1z2AE9mSslt7OKUIm
aHb6SJlOxBJwpC7OwBBDBWe9xzMNz0gXaN+n0PkbjsVH6M1qBcasTV1/Jb44MajwUJ7HtKqBsh3C
JL26sN6GyH+Nabstkcn/oIh+bDIGh77fMuzWWAvY2DgFRf8AXLwep068RfxJoMi2tmTkrs0sHI9t
/Wg766YW466osk1kOduxE6iIIevUffvcTTpkcqQYxsR6R7I7YBQsGIvWdr57TkwYYpKbIx1/20uo
7H3avjSO/dxGJXfZvG1AcCMzS5Q7VKbLhDSex5YEyxJcGw0mC9mzIz5UVMLBcJm2GCQ+WTB5g94X
2y7/6LGEwhaj0VgqY0EgC85TkBfcAQTAGkDiICF1OsEHkiaGSqqt72swHY1tU1WAu3Pne5pm/ylz
ZRadKYBka0/jSIURgudFncCIPIGB4wIBAhLSciGty1nc5ySYajX7r12wPMV5KvmLOveDLbcIxy6g
l8q15ngD2FiE9JXurO7fIcd+KEsm7MDK0EmRD1Ha0IikA0WuqvfZWH/oOrO+bALgB0GT2IF8tP5M
9R+B+7bMSrWhM93Mytp8OU4CfpLtwolZxv96vzl7iBiOhmjObl/d8k7PDpxwp/DKGPupIICk0Mvg
xHEGYvPk/dOB8kaw95ZjD5YVWQN4A2zwq0rZJyujglY21IFemH8DaMvtNPTo0BSzAfDVpOtodfzO
aJqLPe1JBoB07KbJO8JXls46gAAxtk/hBPMxNt2rXRnfReXHG9cNr1zfMYnD+WsQoPZDqnVQkrFC
RnX31g+EMIXpD9fOuGwq+owR7hmnbUkcyRKSA6ZrbgC4nUpiO+puHVKQLZiKgnCdGpzGsUmlwgiK
URZP2qepGmGHeYbYq1Y72SHknpLyZqkGn+wIenlj7mlrBn5v/FrpiriYdElo9NPo6TkiOHirPUiT
NCIAhea9dhTZXySaco3DvV6Y4GdECTQvixq5zoJjx+vULQJOLV7DjrgNBZgfy6SRU5vZpvAwpyP5
wdPgMd1qLhHqWTyUbE2lRaBBaTm7gsAKOM+dAF3mkUgdEAwmOEnON9IzSoSIo5B/S9iX2CP1CW5E
wo+ZLfOy7ul4TdpS0lSXAwIJl3YdIrB2WUzoUIhVTl0EfAwyH6WffAyd/mH1sHU9++SUM1sLyfFe
utqh0de54zZrTek0Uw2GEFqNsDUsc1ClaUPYRx6ijBvfmAwSVVSm27pjF1bhphjK7lipninpD2nA
eKIMRv9RByFsAKbqDfGBIrNexuH0JQs/fqhhdums1wtjDMtj48J3aL1LjnE+doC/haG66Oau0Z2f
ug/69Wj38NynFC2Y+VR38jQL2nYpZWVkoSPJfDXjb0dCGJCPWxWTDpVT71jxsJQK3UgxcRSyr1NH
AFsTMXX18oDrpcHS4GnQfMrc4jJpZ10WkAA0ovVGtnRpjGsQZw02Hx3kQLXP7CHb1333afvkW0Bn
BvG3sczoO1aYhjv650vWfkCA41sG/2sa3HQ1aghssxCEVdVAZJ1CjcMT7LjmRmThH0/vX6DBADzk
Dl7Z6BXIuuZvkImK/fhPZtX9PpXELbTmE/MeGOZE9DBZgwTVQ5KGPrLQxvQVM9xXWpEHIxGHtRqC
LdpJOAmoUggtiNBcvCRGToU8a71Si5mOIdU2JTCwAcKy0cI5MtziQu+RoaSHBl1G0wb1iqkmN6NL
s8evphDymfGRO+nfKkOzPiLyqsjOVM4g92mLGNklRkHPg3GBiLq2xj3a5mAzlmcxgOYeoejIwjuh
FZ44wxrXqVbMscJuBXN2+vIwaaEAhaBqsUjXpzwiY87KBWwylEULURreRpv13dlfUn3NZRS/+BUw
X4B0K7roO2E5z9pIuwlX3HvngibTgjdDOY9ke2nLwiFjtyWJBNokN0vYsQ/zYyiJ7VFp4S5xEdlN
PpJtjk9BpH+wsFd0gZ5dy8UcMPQ3kVMHctUQGBNjCOwZPcLjTq0bY5R41B6NwWOc7D1K8rrhUC6M
sknXlpEw8Rmea1H7VyWsBxC1zeAEf7HVLBPLhN0aKnQ9TP03I/EIUZ1/teapj4yJvit/HJYQorMu
AcA8aWfMcIoVydmwKIVH3Z9OtWluUp3ozTIaPqSZMxxUgn+lITPL4wd3fEtc+yEx4VT1JuzdFFng
VoblO6sdU1ENUFIV6+9MLlowEATi+CXdkDEEEBMk6zorn1OMsMrpCGxpWdHo7ALLpF7i3aQpo1Lx
CKbvNDCjNnX7zdILtfWnifkVQC8HyT2LEmDxyiUwJiR4qsjrs6fQZwit/zDT4EhLGh5KodQsBF1b
+FlARDFY9bUR1k/32OtMV9FXcxSlvUHqB0tRamvlumQKr5fXIoEB5sRGhhK6Y3Qxw66H0jyHMbXj
aEh9mWv2pcgIs6mY+LIpTdBnCYPOvzTF550lTk0UBk3nuBaHtCOtCoXgQG6OzJcWGci2Q6pYii4C
Db91G/Tg0/OgyemwbXehZqe0fvaFjaRucmAwJthtCewh+CHv8nfQbdA/ZOws9dLZsmThubVxGdqp
tlMmvM7QBpBhz7roifBvSprdWKL+NF+GYuDS7vuFXbshJRmprUkamuswJIU9AZvtdSciyl68ODJA
+8pNCyWKUpg1j8nd1YJEZRuti/zFelBDEW1EB5MllD+D24G35k3DJyXCZfAf8s5suXLkyrK/UqZ3
yAC4Owazkh7uPHKeX2AkI4h5nvH1tXApVWWkujJbj20tk90MMiIYJC7gfvycvdfG2QVvyth0E3Ln
TC+ptdwcF6qK+p17W4O0pa8KxDcSPCApNPeBrEeBqsn0w3xTMu4kstneSw5s7mAFR21+6amTSEXE
CbYPf4RTw7jSGKpVrZNMZKVyM7rEVCJqJHOnQiJYRf3WQrmwDCC6apOzorak9BzLYdXMQTMtzkeJ
4CNsSnZoOPhAsRLac4iG9pzXYNQzMq5bCYBwOvS6U+1ds2VJZHdIWXCCrP80XPB1QLuiJjMW6cSk
HCfoycHkZ3EW6IBQQCwekpWwIdiV0sfX6H4Ng7vuB55UB1Kh5YpHXZgDPKfwQY35gwfLgRYjyCQ8
lGRvTJm/L1v3OMzUILOf+o3G9F+ghAh74ptAqQ6V/zZxYm4JHysD/kCYz0aXEuWS98JGEC+ToqLZ
oBUHA1DiYHnE/jRgYdHSIexhC+R+3tK6Sla56Vi76qnljONkxP1FsUdYPWHjyxJZMnA2WLo+fU7G
vqTC1F3/EbUM+81ptBai8NbmLKAnSbzhX7u3DXzE4xBE6wGGK2dMgsJ8/WA1VNZNXfnIDrjZLYN6
llxPjmfwkhLr2LYHRwACBYnzUrkGrccSazYqBaYzCzG6xWamLrFBK5+kDlZCP0z2qeVHC2Jf37Km
ebRTWF2Z3hMwIboXr2he7NAibclpyXHtAB5r751ptSjDGJjZy3JkLhiNJit4h+u7oDcJx4LsVFsq
Z0NYn6ObNQN/58ukcAA1SAbRvBYfhzSgxCzug/lw3mBEL01/ujHEAPJU13bm2OrHFhHr90sxmGSv
pMgqUtMEePru1Xg7OT0eM6sH44mRft0FmbOLJ+sGr8eHL4j/JTb1uurBfKbwfdcBO0BcDduuom9n
OHcuNDrarcFeNT48pUTi0IWstBy7dDxT06wzqJTskl0Xu6sxoogh89ODa+ht8nAGAAU0GJOho/ys
HEqEGk1XVdd0O+tPN0YrUNLeW9QAzZjyfHZzLV1pxYsHN52YkhyjKoRQVilI4yprmNf4K8IVqxXz
zqVR1y3tqdEjz0+jAKync0dAhBScShWw6dCbgMuK+2iUt3WUPdqjYy9SSAl2bKrNNA6PXYTxs2v0
cSXhAy0LjiVGY7W4L4KfIgvTNS2x/gq1wi2jKnLScpc+qS3ODF5GGgET/0TWPgBkXCd+Vl9n7vAR
d4m9BS1CQlDZfTIXHRwn27RtCAfRUPQQjByFTwixE8fSglFSuQ/CH4YWrBroeds0ze21le1idoZ1
XqOrETAcz4SchiOtjdFNbsMOAZguS5Tu1UPdlM61C5nP51RbuVW3xtl5ZzBAR1SwSRnoxmNDj5Dn
jJYAovHGHI7K87k3eSqw/YcoDUIkj4bkvFw8xAOROi5Z3LxV8id06XhmTfnXCSpKSrgKE26c/GzN
qd7mUTQRStJtrEae3CK8r0j/XpWF8RA0G7Imb7XoimF5SaFa3kGtfozqmwIz5U3R8p5yl6w1I4tf
lEZrSdpU18CvA5dAhiwALBOESQmEn7WFrdtgeg7bHmTgszbOWKw04T3A9sSEZ0Konok1Kbn+Jhit
LxXcN+FZ19Kf0lQrRKklPgpH0deDv+wTucxTyhYcWQQ4YO+i2m72Xu28YMlmR5lDFCxSWYy+AoG8
bSINim1jtCiNsncBEZK63yUZxcy3NWIfwJuAMLypveWcEpYk9NUlXyYzKP88lX1NCQ7uKHROZpe/
gL5AgOprqAT5wxPNULeVpOjkuOZ633gqOLhCzFbwa2S+r1LvTRMTD2hM7zKjd+7dd31mHnrB6Fss
SzWOuyEIrKVVsl667Z3nedO2UmD4jAgcGTsC7qSfkG2nysCIrfE9AfUw161E7tXhtSeWMF+3++Qw
FtZNWCRP4I3KXexmb0kbkNMp8HvGPmkNduvP4J2jTiD3lvb8Rxi0O9TwGQQ0xq4eo7gxLXG6st4R
IhVIJCPxj6nyEYH2OHfNlueBiWh1hw+UnMUw2k1DRgRJPuC/0wfo5Jpxjh3ZbTTP8RnT5JJ6hyPc
EPXuSsWTQWSz+z4wm6M0oaOqe8D6xhCrr1np18nByzv7thuAGiSogCLCy1/b4adWGAeo9gV0zRoe
pf0aDu1nLd5yRr9d2K+GlDY/m+i2L9zXxiUyM3jsDWck4AHfeepeD2yMZH5KhAtPEQGtYB13A8M3
g/3LnsarKRPvCRSTZiqTJckDCwcccjrgscsH9wY8zZlR6MJC8kueOUflie7AmKJKhA5W0RBCDPkx
ZPeELng3aA/nhi9Sj4JkkTDU1XGeTjPEDq4L0zl6Sn5xP5YPQd40WyU4e0ViOjNWzV3QnbZ6r1T8
FFXLqp8ArmcCVndEIC7fDaaGNtsVfUPkowVWuy7pHeoVZ0ou7ROHNwOrdbUoS3TAskYYF0tqF6bL
N42JV8gU4gBuctq3xHJYCrufUwBqAB1d29uy1R+mIbljDS5x6ljBxhW+fmTM+DUgGDVt5AIVI3DN
ZK0NICkv+lqz1kSRc3rO/FMr0QKn3ryhT2QAo8YnAGRttITLpqpBO+cHB9lpJw6/W9MyFwYy611e
TuQKhz7BCeCdtsHIj0NRu28kNUzi6uvUHEBymvYjXgAPEeUq8HBaExWaejy1sxj0ysQ9t/FvArIH
9mYBDZS0g2hTVtM+GmoHH8uCVtNHXXMKdphnEZgsCDXM2VtSm5uiMzeEfoTbilQqRaBerbBCgItP
diAgCUCFyrVgDjTSruHt1MrkGcnmluOLRhYaulbp1pTmWp8zSgpWOtzAhSuara7RY9TG4jbM3DOp
kz6l66M+8nN3030ZdVtJjjI2uqVIh0dzJIMQQzpWftAofUBHobO4ExHvYshpn1Hxz8rl8i1k9IH3
05Z7ZZX3pfYAm+FFk94TaAicIIp1MI/vgRgaLKnwrVIXszAuR3gA8EJR+9xKT3vPhFZDlHGuTEGW
WxZNZPqUJKHibMPMXjrs+6XYkivy3nGtNLtGBZ0Q5euRJxpcOU2GQteb3iBx9c51kVSAZRMeZif3
aWpZctuLpF5qphMt6c9uSwqppd10763fTOy9PZYaQeRcL4JHPx7fekTG3KN8puEoVmvOV/OzAl++
HIT7whz0FZd0Kqj9icp+QyO8dlxaEBW77S6LrzSfq4I4b6GH5Q/Lhfqi8uIBM+0T0yBaF7RsuSmH
JYeZrVePknObwztXIJe42EOB/52yyJX7i2OUbUijG9YOwS6O7KeaVgFtQPJJd0FvHYzGJhWv8tLD
N5JIYw9O84AYAdzCODNGJnCXl4pphIutbceWwOm8Hy0C8QB50z4/s8pHt8jiOBmgGEdLomMXJtv1
QlkQgasOIz4EjVPjvVIR28UQXwklFJtGr687yxPcaPRP857ywg9kvG86kJtEMJiPlw8lAyH6IrF2
75Mb3MLbJceUfBsj14djDR11YyvTZ83mVqrQe++ZSPLooSpPRSHfSINpCW03ujMzYLJQPWx5k1nf
TQ1ruZUVtJAcCO0KRzidFxu9pSejeci0yap2vB3q8ANZXXjTwoFcullqnwZPZ2IP+JH054MD0uH6
e3Qsi+jKo4Y6hoJtJZr6GdrfXNUi28S2a9wFErfJvG6Vl2F1o/gX4yJEy1ONOBtneY0fdk9gmZB5
T8G1CLCpsB4Va9YyeDB+uQgztanR8ZVJN77lEjylCCPm8GEE8mNK+VDEX/T20odLbZoXtQnEKnA4
Sqhup49ZtLLSSSIIpG1kpZ+mxzhAJ1bKc7Nz2TqEI3ORuLur/QWQFByMaM7vmu3lGVEe7H+47edf
afl0soeaZm8avuJY7Q+MnBAMx9O153jjm4fAa2X1X8pK1UmhQt0HLTz4cvBtGOQSp2NNp8os0bRO
TsSalBt1u/+GrlDP6itLMAwyAje8LjEfLbuIk+2kefnd2PFQVAjR3hOCehYycsabyT9086SdZrnq
ovZsOBpTvllu2hIysLQLxK/fX1vjNEkv8RQa5lvbjdaNq3fWwQuIpy4yfoDfoN9uvpFp/5G16U0e
Zk39t7+Y1v+BpKakUqRy6aZhz8DG3yIRy1zCoBDuT8OVrJCjdcgDg7Ftpo59JK19NyWvEbCuwgzE
Q4RkZ62QUwEX8SlLvlU3F7VRihce6+FwihzGZ3YtyCot8+CWJ30xQkpZOd4tfod+7ViZvQpble7/
5Af5le04I+EsxzWFpVzD0iFNzj/ob9iOjtWxOecTWjkyTFVT6VszLe+CRlsXIOvWtLDK/SzX13P/
wSlbf8aAfQ2KsnkMgb5QEHLIRPCQKcpjApTwTngJ25plXmuhdhwCX1v88bdsg7z8lWJn2VIo3dFd
idaAcIRfv+UeO7MflOSNqWSW3spUptu4JP+2Tujnx1iAXquGHMxREzjKY3+fTUZ8zvuaPulUmHhs
addsCQUakEwm3oEQsgOwMeO+tglzniUxSP5QQzrm0Z3V15eXgnhmy/MJrHA878DW113hGqArCtZz
Edv0BGBLVCT2TkQa2vF9oE/m2pXEnlxUVTJi9qK7oIYaqZ/q+eXyK6sRbwLIBewdSdMJdNiZVnS7
rJt82I4ecKuMwnmiP33DRBVXhGPLLVBt9AvSdl6yFsS9pgXXpa1Vz/MaFNRFft/U2tEDan7VWRGm
IrKO6VTU8ioO+mE3DNSyRYEeDI0tT6L5RFdbOyLYie46y2xucsqgWIjqT54Z91+eGcd2BDebFPxH
gjv89X2jYgzoemkwRdjiw7zcN8Xk34+NVZ3DYrzGaLEwA81Kt6ZWhEtRccQpdIZsF4AcmAh17xMu
hxi7xncyEXo2U5salaEFYiS4v3zYWgXuwGKGOejNHej5eK8FGsYY+qF3ZWjEy8g2na10KrYGafTr
zqXvW9bY68ohuK+r6d4a7fhchQpl68T5dZZopgNmZeEyxAvdTJ0s4nZoBvrXl+V6tIduZU1GcpQg
cBZMKsOjkoSijJ5Lx9ep0yOiDAKidfvJgZy3q5yE2zbt8AUFCQRhdF7DDsZJF3x/rEpxikpo/iO2
t/vKCsvd1DnPQ+reXnSolxfkxbfg11DtSKIevJRS0xuD9jHX0LoLSx8em8q48UrBsX1IUW1Ik57M
6MUYpDOGHTFuipMfTWoVZKp4Y5qzKjJXfTqzSq9rYZBZHTa0ztLYEnCmY5pI3PMUZh+U1PHuH5/L
fev8x0+39S8LkjuTMBWsWUppBbfi17tECywORAaQGryp7qZGYw2R8RK0TJe3k4G+ayZEO75NIILT
1+7ZFXF7L0YWo5E7TCyQuIFo7Arctw6CPzs0VnNIXdeGzW2rjcH1pF5sS9V3ZURTzvdCqq+KY09k
3Op1Q+i21JKvok++3GI6o8zUjqrlKDtUTETI3tPgukK5LQI01hcYy1Sj5OwNsY3CLln3PmFVDlai
sHLy+8tL3rYgQ1A/PZgFNcs4kHo10bldCtBl62ZeCwZRoZuaonTfK+NnmIT1q5YHKLTz5tkH8AeD
IQUzHunJE1jIcQnJU27/+MJLcMG/LqvuDBrWlXBdtjSu/a8XXoixVTirkoUNqHhZWQXBSIBv050t
1pDr3yI9nmDpBTrBhLl18goPhEZWv1cyrq4qHUVXhMAOAVfO2AatBT1O2z/Xyr7x42i4iyIjZq3m
XCsrzJ4zNZDF1T7Y3vB6EV9fXryWpnpo+B/OaOIasjrXfIQEtGEAry/1mhhADzokjYy0Qo2E2Kwn
C/5kcMqlDqYfExDZKPR09cfXxtB/f3HAlCrmCyCVDVNapO38enFqyHSFV8YwMuwg2Gqjr+8A0VBu
B8XuQpwiiBMlvNrR6rOXKtPFI+9tHbPnfNcnBYmmHr33+1SEPRIFQjymdvBOwu6fleUzXAEBZRwv
hMC2sX5ygDKgltYHMzXqRy3Tm8OASQnSmb+ParKxjTgXwCT6dJMjZaR7HL7gfAogPZntihZjejZ7
h/65zNNz2Hr0OSf64e5IEFUdkDeeZES8a9QnT5w73BXEodWgx/25S4jA8kvXIvXTQU3DFWUVNU9O
SRAe+n/qus6bVgr9KHFnEMoSBZ0SqwCy7QwsUVwYdD47QwdTzioOvus6nDB2x0nZb4z5w8vnHOY+
O60MQTxiu/BL0o0ptqZ127jg3gf5oUuCWfucRNzBUGsmTz6KhcEYj6Wl4bRzgv4wRhwLVWPJh0pU
V2FRQ9Fs7Te0KF+ZFxW3usapJo+RAl8gpRoGeKbZtMGt6QYnZXxXzD4otI8/gDOGx8tHBImEf/Jk
GWLe2X7L3eWmYSFTlFkmxH9T13+9e2CBTkTUEdGGg1FuL3jTcnaEodmclnzfDhMluz/mqmWsIfMm
e487+ennwVunVHXLuMeDxNBAOEsnImIatJJsHMO2qvT2ODSdfZiAb+4KMuoco5G3vdXEi7wq/VNQ
ipQJzKymbp2cqdrr5TM2q/xRpdCoLh+OYVRdawTQfbhxu+rjqNjUsuhP4WAYB4c7cStGVc+1C3MY
A1O1Y1kuiIZm3wZB9ln31p0s7Ct27Ol4IQl1us2+FrlQGMt+2rleB7pXg8QY51C66/bAEKr4CCWN
roAu2hNO6HwR6tM1PgvvJDv34dsHA/OaiJv5pgPUny9doARA+LJ4XPW0uA96Vmb3umV8BK0dfExQ
e8Jx2DIwHF8Y1WRrURvWjhnfKqnJ4lgFem+uE35jGbSNzgh+BLA41CTJNCWG1QSqGWNBzbn63qHD
HDVnaRvltYtSdLbl9SjClmMJbuVy51+W/57owCMHphnbMtwwp6iXU9LKzeXDbsYOI9S4FU56uih9
xSz31Vc5jMCzyAqXKyixqYVucw2adSSGy8mfXGUwyYPUiZOYc71Va+vLsbMmvWlMtBHsVbIiqokr
amroDtjmnyOa2it0id4WWiZLZ0uiHpnXRJBPdT+9JslwbYmeqHcSVA32uD+pyg0538S/3uTSZm+W
umtTq1rqd+Xd5A9GapdEttGGiGENlskq4pF6GgB5Ljx79H8ArcHg3M45VKAimaUTnOOZ5a1pGdeD
aUSP7XjdAPG7LvRol00BEBKGtLSefUts4xydRgN7ARg0EBIGuogjFXRWJhZTsLYT3Tw2UbQsJx17
oG13UGRCUudGhhWRWaubTtntY5GThjIT+RLDVeem57YTqIOi7KFgNHtnD8b3E9EEQ3PzfVqoXG3p
hz2OaV3IQ1uK4N4ykH4OWXUw+qYj/SGM0lP2ajdBcL68XDicqqFK4pHS6ZrhZdDdRZC1xfNIT32T
2txDBHIVz3FjPVgudrBAwuvrEGYstJDkjI4MOsArmIT4voqVEhr2k1kpf3npfWVTAsXi+3O+QQRp
IZDeKfh1B6Y2yUovhXuukayi0iETmS5EsLiYCdykRllVdXB4FDPXGQNsN/jMx6yzr7RwZF4EPox5
7O13e8IYu3OqvQ9SjaRoxw6KftO7rlLLXiZOGUDAQA+RG0aydUBUwjmIZuApolM7uw/bXge/JPJt
T7VNLctAo55H3izI1YFiXd4BKVkhTDMfTWH7V5WFAC6uvp2fSOdenGFIjp4HG00f9dcQlNxVN+s9
w9GAepr1brtz0pizmcWOhZ6a2Z4qt61nTsbWpHnfoXBHY3eFIFzb/XFVYEJm/80db5u6ZTKTtOS8
tOsSYM2vy3rQG+MoYw9lEQ6QxFQ7O0Z1kE93AXtOAap1V9AbpruJRXZwSF3Mo13j3wjB9NMLngKU
0xE8tdHIjnbfigcvya5cnxjzy1ZpoLcyaugMAxZTMAXg8QpqzpYe7t5qsu8EDxIz/J/5zb92NNxf
2fD8MDy1lmJ/Eq6luFjzD/ubRsDEVJU2EqkEbqghGUV78iwJRVpebCAmSZxLf4aBkdk4Qapot7Iv
MbTMhya9KBE11v3BYOSLw4ATtp+6aBIuxjV8uuF+Am6LxHB87mzYCUmA6VpYP3ArMH2OyrfvP2l1
jcaAj9RfBmCbxPAqCCSlCdmwm9YXt8E48OS0bCXhLHcKQ+MkymTOwJ1tjTZqx2OliF7R3ehUhxB4
Cw8VlxnCkPSZdj7QUbHXZB7JkzPcJyPDnCjjztEadY+dpT8bF6h2mXzh2sTP1ac5mIESBwaPOqXD
OB1Q0eRXWr/tgga4bQ67gkTB2nTj81ijDeC82azJ7jLXgaQt3ng/gthjMFz03U5z1X4C/b0cokI8
u6Dolqi5s0OfZstLfRI9+srrd4PDZPUCSSdM4hPsmnvEPBRCOY1vLka5yqRjHlW+2l0+LOCn/cmN
7fx6UrfxSAlhOI7BgFiggxJzNfybe0EFFmx8q/mRz2zMcZod8Obl2hRiJk2zvCzIptJuIo5YiOzM
s43N+k4iM15GXUeRPD/+2kgXd6auZfaADLzFqDEIzVvi+ozPIgCm3bfNtqQfuIkySglMCt4yiaoO
TbwcFzA7upuxnUWqTKUMiqs95R54Ha8VhzxGU3i5JRCP/Y8Nj/BXf9uN+BZMRxavs1BPscaZvd6v
ecCmg+mmdLT5JCR/gK66bSGUMM1yNiERmjNmHPVJhyuGepsMaX0bTcCU46mEc3wxTFvFtcVoGX5p
CRQ67AHtEBVOigAhsSN514JA0blXg1Z/PIVm+tDjfjloXc7Mc/6V31tk+LRtfjc5bDnZybRqB7yT
D/nFn46NNy2dENZHYnwFtWop6yKa8ai8XO89TKqHP17ABIEUvyxgvM+OTlFqA1Y2lOP8ri4FtWYn
Kk9+DOZTL+zu+yTD4btYsad2uzAJqut04mDRxsGTbQY7kI/jm9HBVWiim+9bog/xlkRNR+040paS
hK3nnShfS482QZqQ/NaPdvGKNBK2/G2V2sk7+pvPyXLiey3p4kMxkAUOI2Pps0h9+H4/LGPByYiT
XbHsspVGuvv58uLMGyzQ8T++ChzA/uUyOKDxDYGw2ICZZ/+uB0rLL+RoTP+yr1JUcwaVY9SZ07tK
oLF7/hvhi9MmjZLnseK9wQxGIJmJAxZOdLFDLZnDLqB00ckpXITMwt/LbAuK7yycunpVAbtTkkig
pEHxUgRsyGMajjeXFwcl6EEGE2Au78VIc0yB/EKvqb8by3+ZP5j++VmqvRrL9HOfVTG6GjBXuCfL
5aUgCef6xJLaA8O5/ApUScqEbkK0Rb9wM/n+lifKYYQHBzlDTonaB5hWELUoFqEK5+8kBo5Yrfzq
7FvuQs5jnKYLX9pBxRg/is++zNprW2h3DOvjUzZ4L91ELEjC+3smKq7dJg07O6bRenHpToWpmx/r
WPwQ5gTkxMK4jZqSXnyU77DfyufSE5DyLBxLVVVBufda9dgFEvBfFC84WnY703qm4fCjmk2ohWgK
9pAMZ3VYwVRCXXjoBOYQHnICKy99sq4Rcnt57OXYmLtkbtkx+P/+Qwo/+MFvZ1NYlN004z/wyMRL
IFyC27kjGO+qJOD459CkuzrBkVpV4DZwRddHMb9wOq+POHBUr8dHWq/m7vuEYnq5TRq1NT6GBNcS
obf59vn5VdzfXTyd00BS0SCuvDDOzl3le2dSROhDJgypv79GPNjXehpVMPGfC7Tuz+hlzsgFNZJb
eROhaAQfEC8Kt6bJPJYoovyMAqx9MOnXPqZBgLW+dXaFxKvsiqy7KXJrBOKWyENhWe3elD1zFs4v
uT4l26wN/KVW2Q9ZPua3QiTNJmc+v0tz8z4dc+1WNcSx9WVznmdU0H9j4omEzuRmEM1VbiNJnKa2
WYMilSs1wmeF8pOsmqq10X6H+YFgGQpCy/ZhbGLg1ZSmn4us1J/AU/Q71dnJp5UhIb9Mxjz9swWu
CSMxbnZpOe1MocazN41kR/bwP6XyydKs5XSQuraY/C7/bFi2MCaMT5L6+KqGbbZD7rLN/BHzUemK
5wSW+bqsS+aaFsSMkVOFMTyPo1dBWKT+EJ0WgSSkA1WK6iszuRxaBhzEF3JOkN2gL/3wp+gKDG5z
qpXebGM8uxuv9ftdraJm1406up+y3vtWPJz7EDZNYyR3AsIfeC77rpJ2v7oAW8nvHA/ftGPp6CwM
Tn/OPP3Oj0L3H7RjUyVL7KT5Q+7Bm4z7ZO337vRU09mnHQ3X0ODAhKPFSwaYYQAI7/VONreXRXBO
TPuf+q/++3/+LkHttx/+/X/NXfvlTz3kKf//z1+y2H79uv+XX+j/oWgo9sbf7Cmr9+b9P34SV9uM
V+/pz7/9hYDk9zgnzO3yuf2Pv/3l8he+U6Hsv0q2Flqm9LPnPpDDl+p/zqlv/I4u6SrS60YUy/Gc
fSnLqyb4218koVCWEMrV6TWa0jTYuf+Z7cZvmYIvZNp0InX+4r8TCmWqXzubbKmOSSYVn8cpzCHG
/d2xnaRDZJQFUeSJWR5L7DdaRPp6460qa1h198k93FE0cWtRbtMeJMeVS/8V2kXZrVpgLf6zqX/x
BJkYCLEpi/a2K9795GxXLwT5yvo+tm6xFuXhXi+XVkE9TUPDeRzlVn1m5qJx9ma0Tz7d4RipNcti
jQRsLFbBfR8Nt6xbMgx2OomQBlphA7rMo20f6NL4FpRHlDPVhiUgR3oIWBFX0TSdMGRVbOVufWzl
QSaH1luXDg33ljruDL845m+W66NmLsvoJ6PqIemWHGUN6nEyf9I3LekX0YMvXokWVy+QY2GjsuIh
+BkX6tkPl61cQAvDnQdpK53jSkW5nqJH0D3kYiavjjpqxqp/z7fhKdtOX9797Nsk4g7PWrB1qz06
2mgn3ygQNbUINtMS3f4myAG5LOt0lW/vul22qJY2Z8T8ZH159spot3p2ZfRkVC3mHDmygBbQUVZy
F25cUAJLehrvwNr2PqX0dXHUdyFhctqOk1a3LU7CXSg2Lkx06GHw6qSIKvNVpIGVZD/aw0HWq0f7
w0quzOFVNbgj7z3vpm/uQvNBqmOOcBLoS7pv2pXFgvyBoZUuRYLNj+7BAt2A4YLfZRQMPWkLCBR7
VuouCdCDsQv4sH3XAtrzmA9ORnnOpivTW7fWRqRL+AzjIan2DZEOJg63VWOiOV/0VCrtEj/eD/k1
gjL9TM/jVXLDPOTUyWt30rGqSv+nU9fZClf4LVq8nMJBqhV45Cf6HwEh31PE/Kbu17pKj//+Uvn/
5SI4D2z/93y8U/v5M/1oq9/l4xnz3/peCa2/KuovkiSpwB2knYIJ0/dKqP5qi3kl5H+U33Ni5X+v
hEr/K2UcDUX4KopFb16f/rkSEo5Jy2IeR7nMZjiw/jsrofr9MUA3JN+DEhx3HVt3aB/9euodCwUx
AH8IwDxM9kNsoWNBG9TAxwc7Uh5DM853EVqOjtxGjgk8GLmLA6VPcXl79Totwmkpg24tq4lSxZPo
g4T7SZjIc2Bw7uziKUUkWKGMqxPkXq5H2hLOA/SC9IOBC2sTGZmumXy0dn1Lv58stirDitb3NASo
BpiUVWYBlZSBRQFjt0JkODbHqm82tPFt0t/Dr0yvSPvGsRU3+dogBgJV0sBz43wYHkNJQBN7r/du
i4RzaMBAW/mQPEVYP9a2STRHRzaXlg1L5QEjbsdVlXg3dpuif0qiVZub15YcX107vAoTd28Tlx3h
yLzkc2TWQZvc7Loh3spXrA0mMMSl4fmvbU3GzpjCRyPSO8OxjEWLYxaM6XWYoXvLtTu3VTA9837l
aC4KbB8Aepea4N4yMsE86Pfw3QqaRvYPY3DJPfNpGtpTMIJckx8+HQhy13V3F2v5R9uXxPqIGE5+
1dd46MHrxDQB4CmCbc71iua5/hEI2W+rpt/HZnwLsAhuTrvsSyNFOGvJZWeHxCoHucCo28do0/0f
GGnqdRtwztL7weLYgq44HR9l3Z8Szg4gm1CRyZfEcmHYB1dgkia+zzpayeALEQsHWxrAGqjcKj/F
YfmAQRopmtE/1IP1BMUCqv7cJdPszl+D76dnzQ/aM6fZ0CaBqcFRyMuuQ2IhKsjR4TSYWIvW9G+4
gKnSoaU775Wx9n64bd4va9I3AIc8ULP/0PKBFCYdXSkaj+dQVu+jiyTCBePR+kjNnKKtlkqbwRJg
j89ZleJPLh155+iyQfnXyA3ks4XlqvbkNeZ8xKuh6cKg9Hv7MZuJDg4h2CRChxj8CX/k6MM074Ij
xVs/FeCqyxKjx2Qba6s2FjbXnOwcI34hTzbbTM30hIdW2wXUPSvPCzaVhOmFNRVI5Yx3W9WquGsZ
Ay4Q5cd+kyNVwCbUot81QQYthN5vJ1x5C79rCDmUjyXzmKUqqicxmqC9OpiP0SeJL7e22e9Ct3wk
4gm5ANkmSY1mXG/Vk9XmD3rnUQEIML29S4swvkuC7gn28BqqGcq46qEvTogQ1zL+VH1tLLtO+hvE
W6EhBRBnuLXStM5dVj87nVjYafnkmrDDgpEJpDbuQs/3UUfRBwuM7pkYV/KPQD5Is7yvDSxBY93h
fWlRJhPwnQ245o36IysQO9gE0SPS3qj5246c5N2ouhsP6u5SuOVr7RGKI04lmtdErzZeiZsYgtan
SInWacsI1gY+It+IDlyeFfa79xgZOj30YIBkh6Fx1He+kx7ahsYZk1DAU67xUc1yPCc1l/RL15qf
PSofibLncbAhagLl4DvczAyvDXVcEtCMcAedGnJmWtJVW/oIhBEGvFQmFLQaS4nKO/No9DOINzSW
EiS21Ywvfs/pxwepiaBuYdUSN9eQvAPimRZTFDwH9YB3HUTs2oVHGec6QG1IgniYo7S78dEmK63s
oDkaC6uzdajsGuvIOJ1GaZLEUzKARmq7DjUFgrGXZzK9g2sDODb4t6JblNx/iyFHGI75C0U0+YOD
4jlOEm73YFUhKprQ+gZD+qKdQx4HXNqGwVhGW3VB/4XNOFm6vYTwhsq5IbWHTEPsZQKCUeEffA8n
KsTMTTMM+7SLboaq1ZYVvnrAEP/F3nnkSM6lV3RFbPDRcxpkeB8ZkRmZEyItvffcjdaijelQggQZ
aKC5gEY3fnRV/ZUR5HufufdcgwFM2mzElK/Vqt5lVX5tDbHFbYfBFCa62xR/YzNs7DIzyU0eiyXC
B4fYgY9a1t8Z1Xxx75BZEV7zoYnwQk/3Gis+HyZoWazMpDvQn6/iiZE3ggj8NR6sOjmWZqQsvbem
Tou8NuEB5IidS7L6ojiLDgwGSHFeGugwEXbiqSsN+SWzDRstagFoJJffRKWS3u6fGrKU0WWz/YgR
dGJh3YLLcDpbvhhIH+FNeATiyN6tCTiQxfQ5RsNdCIYeBM+oztCiQs+i5BnqyBKArsDLJeicE8hb
WV63NuJyXM4n10IjHynX4RPO6va1hBKGGWnenjiUCUMmlVKL29qVRLUlIIloknJym8nCqwPHZh3j
etMZr6/KAkpu0ZAVgLV/oQzZLqj6/qSmprVTVbBBqQzzJbWoSi383xbK/7DGrRilfXKGja67E9WJ
KxAgQJpBBU/ek6xGRzbwrM6scgc2h/xF5nsuKTZOd/Ws8BLafbRDIvIu28ZbFBjYlbLahyIGKL+w
/7gKTnLO9j/CJZmiAQwzJH6k/jWO0EhbUOzP2eZlhAEUt5ZRcJ54+1ZqL7rn/UyRdW2IKrWndh2G
TMFEGz19Ij65FnA3zBxvE1YDgG9Y1MOSSSvmNigSA1pF5lrqNzYT4TKTIji2kRe93t4m2cDf20zg
wkAhCPDhA34LTq1lVWd/zO0gWSSVxIYIm7SERG6tmB7wbEl3y7jLHXP8zFt0WKIZAH0Ef7rvPwvM
olFnvPrkknAtd0fPTpeK3Rzykag6fP9MmOz6nWBLDJKy2S4jo78xGjv8f9H+r9OG+1gwgfjO2wxV
+u0XM3H2XwcR9Pv/e9F+ZLj/z//Uhb//4/f8W8muUn1TQmgyA425JNb/o2RXjH+w7Kf2JnwJORuL
ov8o2TXrH0TVC+oBBYeZoc1iqX8v2fV/aIalMO7QrLncVsX/pWQX/F3+2woDKLfFHygrBntYdhnW
/P//p1XV1A9+gVUhdNW+9/dxpEoU7RSemYSUD6PJQIRSVEJ8q2qgve1MbzBMl2U4KNCyJ5GduEwH
yxP7wwqFUzZ06kpJdcpX/Ng79oqkDUZcTbaaroTZ32xZFsugp41WpfYIvIuQU6t2S4LmXW+2Pg6K
eakoZjj4SSVjXYYIojlWT9s0yTWcMxytHNy9BhAHU5aCW9O19F5a1N2wlby63Mm6uVIkj5m9D7Qp
N603CS7uhNghNtEManJK503/MKSRqyqFzzoVbBrf09ZuJOS9McJaTmUD3OTJsxqUZJmEza3feSL7
yRPBaziA87KTY2waMX/z/r1g7uon/NUmUuMa+4qF+RUx40KQ8LbJSQlayd6JTNUnn2fnNAyPcV6F
D9L5SPthQtR042JIQABJGox0pVh1A3xXzMNsPgBqwfiCGCRL1OQa6JWk9c+KRQwxm8uCcVO7zPIO
e2f2rIP8HUTibBTtnGBOIsb4ycpb7p5dQeRa1pdO5ScTngRjFXjytIQrPzqCVASop0CDfzViaaeA
LCifMLp22Airek0jfLiB4i8mm6o+Ix+BEYV8b4syIc2RIU5XKi54ZHnBnvdHQM8bpOwPAXQGwHD8
Kq3mE4j/DwzGlgYAaJgsCIJgpznKVLxV3cVuUJrQtrod4csjmxcaxipnTm4zn7GBTnnyUDl+w2ol
oqNzQVXIFrstfNVOl8NJnAYoxTIm7FJXV/jkWKUIjGtJ6k/rmu253EZOTqDkTMIAYl83YEY7RO+w
z9powh4xNiDwhYYxHT/2JidVGvtYrS+xIceL3gTKgJZB2YwYqpBlTf7JLBDq2NamaVLFZZFtLyzL
vBizIa+Z4vdOhU2RmNZK0vJqrQPDYoyPu7mZMlIvLGbp09e8dmVTn1FsZixNA4kXSVPAyIYR8ex6
QMJyhRZ61egaChyzYhkoN4/q4GtI7VLcfTTYHTKl5g3/4Hck9xIWyClgqwUhZJiUaM+2orppXvuh
0WBNQ/QZAx4meiLk+bBn8jVyk0DJzFU4GOvKbqtn2qTPCaVlKVNieOSzOfoAqz713qaqsl15BN6W
sTxKr6XfyWzePAGhoppuJCVTA0uyo8GapliTo5PaKdecxbGJzpUW/FWJWbt3UK8mhTlc0pj5ivCN
iOoQV4eRq6hQuwMc5j+lb7FENbHLts5fqga849joD2Yg16veoNxgOAW4R99JyMm2ckvKy2RuYT6G
eNaKFSXoPYiqdJl464Aa22mnGE9nXzdulnFEWWZCNjAgln/7r6YpxgVWc3phDZxea9obJcsfTRa8
tijmgDQ5YlT/2rR4CD/8hVSMpbbDlBjDyigicpytXidoQEZvlFY2n62XfDS5v+sr2iaEU+Yytjet
MNWVGZM+VOJP45lfVDi3wZrT34BrmQrjxSbFCJ6jn7lRli6NSaemyiTDDVLjox5oCIE45rb/Kek1
hIvhMAmYPEEif7ZA8yZJww71E8FpARQCldyPSPpFZXcK4UrUhf7qsZTB5PjagkfhXxPvTKvxdxAN
thqEf/JIn2ojvhQSKXOmB40SDLsiSM7FGKwKH6pNziAJIbi3SbmaHMtKEeZEsUCUG0AjYXFfJB4G
wZofbSrig2l1Wx451DeQ8Jh8aDvbbs99rX92oefQKegCAmIRBnt9oAVt9PQekCylFsRbgKPsVVI1
AjPewrsTPcONLNQQIKrTntzwo+L715CMdC4k/JZGgYmYd0nw92/h3C3U6HuK7NZNs4Csg8wmG1Vj
yF6yOtaa7qBoUNEkBteytVLx2NCxeSCK7HdLHQivixuNqtWsl2PPmEXr/IsyxdCNUB4uC8TBDkym
iv69m3bZ7EyqjOhZG3waE52pmiK9IHec+Vf4DYM4uEv5AxVIvsVYzG+1onPSM+DFzsLZ1WF4UScG
1QD7lvCa/wZGxlgxDXvwb5Ym1mx5vzQZGmRFDnLqc2Y2KT6J0g5drSi1TW0mmzHFyaD40V1qk0Pa
p4lTaAzCewhgO99q3vIukJZxBkKhLszXYhZY1g3SYq3Mr6CasoVhSuysJQsFSX5pf/2+8N006Ql0
bVXhsG+UgC8DwxiV5l0Cvu10ZXzH0PttMplg8lZ/EG+M+wrQqBHObPxyuBcFYa9pj02DDON1oKrP
UejXtgZFF/bFtWmrh4EgC6UDgqfmXA7pTgrJlrE0qB9IYHCcBPKWhlpdaaSmOpYOQyKwkR1uGLRc
en5g3s3uoI3ydxlXG4MffmNmcQgFL2cGxQKyDfZxsGcqVzua+on2Ck5cKr/VpfZeNDIthn0z0qYj
uh0SGZxvUmTCTv+yKm2tRgy0SLrogQYzyOPy1argomOuPqf2C0d/itM8dTTZXGR9TvyekeWQFDJ7
U6iEtWdJi2cZ+ymSj5dxULMFK+ZroJAdqnpvdlabm6G4jxXDfTH/mxiZIWoAw7i2yS1bqANdm2ya
hZtZKhnKkuaUlZYe1Bx4mZr29zTq9V3ZhKuwvKhtHWyN0HBjfwaMTsgQpOkidcUp0jroeCe9CsWi
R5pLRQOLNBA+VBbOXrSsDo2RAk64j5aF5jlGXufbekQQGMCtBo/nECH8lpfhV4MZfoGo3MFK5IZN
JW01rp40sDe9r/abbk4+NIiD9o2JiBBB/l6kwGcp1NTmVlcQRFQnMQrBhC/APVaTSGWJu1SJu0bA
wDJoTH7UYjU08pcIpZ9qKg+x1V0UI/9Ribr2NULiy5FvPERmPRU32llURg1LpUnGupbBjUiMZgsP
/JLxdUTw2gUkGSUJSkfpWmWjmxKQOJIq+GjrTebBes+sJQ5dQlB9GXO2IBJRr7Bm9iansGpkXOip
q9TRYTIfEnO6RWcFf3aVT6vJyNuVMPz3AkB1Kke/k0lxaVkSS/i+vfkjAU15mI8upmLyczWhuQQd
lhcLw/uMxPU2WhSuch8DO2wcVa6UbW/rSDjQgpo6laDUR/ezXg8z3E47hGnFHNM/c+lVXGlEgJg+
2782ow2PlegnToIW6fcY7vQK4kHTGIugkvoNhkfhwJ3E5ty/ZyEGcaK4HsjWYvT7c23FJBxhVQEF
RvrBfcz4zERAjOq3QtObll928+or9PPqzCJR8fa5+GjbMptR5vkjHmyJtE/zz8jk2zQGAfxVCEkQ
Cyw98x2CL0lFwpPFQ1ATL3duH21YMGLJ3+v4bUgoePSheOmz8OyVynvOS4Kio/+dmCugNVkkrVw4
kR3+6CYe7TyxGwpdXhB05vECv/6TVVW1jfJvAoeSPbwMBLs8v9CFahK3xCIrKGLqFnlgPu4VbMbL
WGUsgMBgpXVMe2sZPpNkXj0inlxsQdxTYgIK7L2Rksn/hji7u6m8o50jHCjruzUhBdZ8JxnYhzr6
A2J1hGsPePHsrF1HvsEEo18oHdGoOIE+5VlKXdxlreNmsKA5GEM1k5LZJWojtH+LRZ3f6ntoLqsh
bqM13iIU9TKKm8rs5YU/oIv2+xCPs/ctFDXdj6rJOD2GZ9gT+4g052VsNTcqORRIHpNWlRLxJcY5
t7tfPqWpRhZkRg+vNg6MHlnByPL3qEEkRxY+1GR7+HX/FtGlcd7iFYn7EmhS9eb7M+dUis+mrW71
iEUEiVWvUvMQuhc70KSPrLA0Fs+0T1EUrSSDUVfe+rdmoGxhUEt5GbIXxhgGX7bBba6M36EGX55R
GAl+Ioahy+eNgylxy5QVdWabW7nOdE6p8R6oBH7WYX/oVTs+S5WxLNUuu+hF8NpI7bCbdIZ8RWat
TBOAScTWBLcjI8aM32YFQClnNhVl87DCf/fXwgW1x6+R5z2fkjszIFa9JqNJP8lfZYVxtSlFklu2
egONFtdWHbULIynuUaGkrl2orF2t6hHgUUAo1mF0184YvTLIssPB99UXAmI4cWeNFrLU7TBCIUd7
JPnoeyZmtaiYlIXaBmyy8GeEyYCrhGqnm+zPTn5GMWvdpmKSiJgNFmUBSIFtmUPKDvNwvXvtyuDS
G0x2LLQrCyOlZgeAzI5X3c8ymimtiX0V1L/54V9/BVjFX9nWl0W/1rUSjeT46jFMk23lOc5/zKQW
Gf8E90JVJ9dkWedapS/WbUk0dgqRTLMJnY3M0CGGzEOc9NvafJ12oacOowEW9Dn8a5/E5zqI9+qY
t+vUF0csB4xFU1nF4VsbbpYABASLQXYuyBFyisDSGZyCqn7Oe5YQak7j3mT2d2eJW1mBMO75Qhc9
UaoBoeFF5Osz9g4JuEkKRz3pmyQnVSYhcWrR5N1j1DUqZ6tCB6ZSMWctMgBECX0wc2CanWYBaiJj
rI7JFFao2BY2AkF0tTqEBwCHaup/yqOKfEpKAO7lAiEEFoUipgjyNBlNgvZomQWOrKOYdkg78O1o
GwJ+FOGXByP68+P219JLrLdojGB+0Z8E98Ywrwy/N2Pfbs0KqF3ioQu9mwTwxhVZKgQUx6xnOXOR
Q8S6Tttn7UYzL9YUaQplJyd0JEVnIvVknNDgiOI3VI9Ohch7BUkSzhEekG3ZRL8MJDhc8leP4Q76
crodEbHAZw2qV+80o54r98kt7+LPWJMqVzfWyoTm0Qs6bVUn6ZoVymOwxO8YsIgLekxnU94sZTv/
jk1g2eII7DJ0IQiGrtVVT5iSmVNH6V2C0uQmJlSUKaJCiaV70UwPwzCkBTPaeUWbhrK3IQiw31pA
HHJLdlKwem5ckUYTUDFYUu+mbXPBrtbv+qj9SVMy2UbK5IAnwDbURW2h2Lc1vgwiV5mLwxSpdLLf
4RLR1HBGlTVslwZHJIKJlGSaRuOXegnuvjupMYmjeXGwxei8smLvG+R7CcWYBBrigUAP+qvonvaE
SHI54pMkbcyIqmfjU0gKlqCxIq6Sqr3nJkwJHNKNTOQsgFAwo2kAIDcUcxoUFixTJ3Bp8F7VplEX
+kA5ji7/kkqM+PuuiIB+73F5mI5qVqkrKbGLpD0y5eDgq+oLbPPAUYoEDOWehp0dwRj94U5/iXJo
w3GvgrhEoVfEG32ICLQS2c2kV7RMgD68n5LXog0P8BIb6PmOgUQWAvsUmSWIboPuHCNe3COjsIPd
I6/xSAFHttLcg04UZAYdgyrQF8Qxn/Gd0JHjDAnhoFDAnCuJhClJzpj0YDJZiCxNl9acy8sSUjEx
spbeVa39cd1JtbXyw3E11HvG84Q9dbzS1Py/LeulTFBn5GiyE+juDmQG6v97k1E69sgX+GXqI+53
GkI/9jhp6lb1C5MafSUSPsfeG4gIY5C1YEeBuDQev0F57UbtRBANJ1+VXOJUe0Y2i2RMrdDa+TDT
Qf8J6lDd2UnBNix6MaZYXsoBW1cAg6tCp5cexwLLepauZMzuy1xm/Wogw6qn7LWJVNInNRIfU5p4
knUDpzbTloreXnaJ5q2tpANm6edUTaZ+odCHC9eZ0yJCZxOjId2CLz+mYwZBCa4moKKjWg1/pFNX
y64cDkSICAiU9l8mvj1Qn7YqfxbG9C2KiGjLJr73WNj8CTQ4IT0ZO3bemBavrD36h2LmZQeGujRz
FoUl8EwsRo9RztESEeOsyJcGd3pEgegXrIj71Nb5DINdEBOGVHvGN1Q9ygI66HYiEy/PweFXnO28
QaS0+Le21+66mT4ji/REwdkQens/8vZNab4GetgvgUzRp1na2vNY5cGEoafTzWsWU+mnHY9lU101
H6noSIdIFA08TdQblSIm0ED+H8SuHgddsI2BmZDzlEI4if2rjIVma+TSWqrIh4nFjxqy3UqYmfpJ
/yQg9KznM3s/Fq8GN/3CaIEupHH3F4fROk6NRy+3LxWZp6uRySbBgdOTwROZOzBCtmaqOfI8VbBT
G/yBYp6zXL2zMFsyN2FbNJTYoAceRfp3fqQke4aaTWCL1OL6LDEbtZTAoP1L9itwkkWD6kBQZrWc
vwi9waGPGYbcMFjXUgfSFNeUCY/JmR2jDrkA7EpFc5hGVVnXKhPBVAHvOhjhctBoWWq7hweHd6mP
jYG7tWqA5hSU2Fm+ISjm1hYe5RUvK9vgdhvysbIvwqc7V8RDxZGciPZWmtz+Q7SPm+hosTzYxbpy
lQOcYaTtgQljiOOMdb6HXaCzyPQvncewU1aYnjFIh0bCRT6ZRbmFYHDusE4kUYnjNKXdtOjE7BFV
HPW4t9dj72y00ntaMCUa8zxcJ2K69ViCmqGVrxU/PCw5uXMwVj9LDxlhxBRyuVVT5NLMxbfIfDY+
ydiOWQ85PZGmuhM2H8Y2arYXA4epx350PZlqsmX4Fi+ExC9hMry2a16GWOrfDSONz0ZgHKzItA5a
NUIbL30iULWRmnrABNUQOyqRxIKhKlCWEMoo12SmxxlUQtcrOGR00mjonAoA/YIsg4Rk7/k9RXrd
7uF/pAD852/GcvpGHCppjLZSFFxYtJF2wAtUFqN09MoGD40GpxiVBmPFTHGl4q1uaA7SsjwBdT/l
sCk45uYYS1s6tyK4F2PSuTV29SBNblKyTiVuLdFVDPH86U+JA3lV6XweSVESHJ/GZHaAngVTxs5V
GvttqBH+WwTlWgxzvEE7Xw8ixUeGU4uwE8rf/FkZq1KO7nbWkC0GApftjUTnExN+S1YF06zkFpdc
EKjS4YsiuNfaGtdx6nh2QAxDwqS5r4pbKPJbpyuw4KYnxxHqwEx+xbgeEx8c6+FGExRTQZCy5pGB
ZEIJJHI4ZyWew/5byNp3p8nZtq20P8Bf48Zoy/0kQNoNEkvPelaGxeYwHsam3Xde9tLBouJ6INsr
T0kTHMBBb1lg7UQa3ATT8SUrcIciqiTru8zx6eIR59AP7C3AOmVZ+MXCjnG7KRXPeZYNmxoaERoW
Sk1JAkMW4K2S/fdyZIRTyJzgWgV02YDo6qnmuoX+bBQ2saSI9HuyTsC5+ZDMNYSVvmFcqtw7INAC
7RvbIFFNsR+Uqw0yFF4ZpjWuTGaFjMPjkHSBGKqFYg57A/g/1mhQc5P9C4JqAl8tRetIMeuVx9xW
agNlVTWgxPNwg7eZGItRn4sQuM4Es9BK2Itat8ZTr7YUbSMxHgWDn9oc1hN0v6LlkFbtcaeGTbui
a1wqOYNPW6jIaDH3LORUNR07WCUVOGCj9iREvzCUs4GrD3SG15aXCHOiOZpurXLS602+tWZkjBzp
EuSOqHYnjf4QoOXAG83KX7SDCiEP7C2GWNqmJFn5KHGVsxgVFtR8S7kJDUEaTA01Wnbk+Wd5k7W/
sqjYmkehtqI2YL8dmAu46Em4Unx6gEZ4LKeUQnX5NI5xGoKksY2lZqOQVdKEwgZZMZpwt52J+8P8
ffcpUcRjW7+OBkMyAK0XOTcwhEb4KXWFSnGuHm168CJ8qjru6cEofptJ/R54vr24ZEXifaaK9ihq
8zZGS0/0/iJPudQZPMcowozdJPRn2SgoOBihzQkHuJqeTaq+1pkFv7CJDBc6B9yvCcZvAObUYsTj
JOnnEHzn1QvKCb05W/LXZB2i7hzHZ01D6F0wh7HebeXFb0N0dhdfuRvxTvVxRRz69BQzKTX3rbyR
jJtXnmJgNbveeMkEGUp3VhC9/gIi1gwOJqsBw7+Sb8Tv5S3o2CoJ/WZZLyNMXrt9C/KH4GMu2FTg
MEwnDeRi6LApoZPN3GJg91UyKf2yy1tuHKd2qebXDNAY2wUGIu9WgCQObVz8KvfG0QNHzlRpqXqP
ydv2WFI0rNrYSrLwVjMEnXPSTkn50VGOp+N3poECmJ5qf8+0F2sEE/nwEG9rr7r5DKs7kNGNPX0Y
Pcs84yaZ+xgIMpEgw2qyD0az9zC6VDOezjoM/o6M1imkTdnb1bPSbjJJNAaxxVNhr+IULhC4jnor
N/Rib2gwAVj+FvEjski2jg8N857iAgFcKb/l/NUUvxnDo7yMl0Z6Guu/tnnk8nXSbn7xF2mvGYxf
8MHwnU5N9hH4X43HqpUCQhpLJ56ArLN+Gg3+l0fah+r2JXt3RfnyGAF52kMRN9XLVwrDSiJk+KG7
MFzEbLVErNDwOiGHVJhOm9jiMYONN8ygOsEHy5bAllyOE4K0ekZ0IxfAh6ht1D2PtJh/Et4yyvHB
+MmkR55s9XyrWPZC0PG3+xjJLGhJkEzNYbQvXs4DfrSUByL8Es6hvyJmLdvF/YoPEz8U9niDUzsG
6Ai+xIpWZrgZwo0K2ks78TtjfWea58k6d0yIGAR0Tg2pc6o2YVniTiLJG0GixGCl7z9aOlEh+kUN
Ym0K6S9KltnSh87pLjP8x6eIhAodL+Nrej/ENMa+gSOkWESsMUDC3klLT74MvQc6/gQ4IRXwojE+
UUtQkfJIl+9DhxGQkAFBKRXg2W4k1LQM220JXB0bZ5bfC+SdDjzEhJfAGvHBTj4z5HU0XQLi6Bj+
z8uz1SSejfIkqdY4y/E5iYll/sBXtB4I9si3JP8BUGmo0EZ1GbXnKNp34akct724J/4t1XlJQyeS
vu0OXSVYp/wQDFd9uPM96yVL7ReguoQpKE+5yt2cqUQAb1BRbr69KPHZVVgRq50Xn7OrrzOgAMo0
pV+8IqTQpuWLKD6s6GWQ/9LkTyg/Mes8M/qooHX7DBsS9U9mM9mk2POuY/85Gz9k0KuCCx2d04LA
mIUIH1ycwt6V45elQdlnmxNP3nLOfTUMzJcXZMvIEFPgaxx8CohXammZdGONfkW5cb8tevk7Y4ed
I3ziNHNtxMuhitvQsul/iJGOmAaKhwm37R4qn9jalnyM7IldPgpZRl+xi5klTtGripwyw6rQgBwL
+1/0JEvCQkh0XkSDt9NAksFKXuH9nJ/ygi9pfi9rzpyGfy4JrQsE+1LvIMOwVnBqad2PN/tgHmb5
p1tPS37L62NSvhbjGWZ1lJ384U3zPis+C1zilOpvRa/sc+Z25LYuasj6lFI5wt7syuPOsM5pxZf0
XhPNkOkYqu1pUTxMdk5mNI9A5QUW/41Cv57ZAUlAnEeo/nr6WqODa9zxFH/2DWxFYmvgoFMSaDeM
uYuCaXcRgI0nv6fNvq2UVQGIVmCnTmVb91Ld10gpggl+Pu88T/2cpcQmkmILUtS8MfwMm7+EnUgC
B0gpv7pq0zAF1hEKz2ePhfdENrM5fnAdoL8rx1sTLWO6F488HpW/a8bhPkaYhfhSdJLrRWC5Os4S
Om5Y278lehDWy0Spg35gRJ8iJMsLmZgblhtczT6OTb0mjIq3CVnpQsJllAw0txmudbYp3gQnmGVQ
C/q1omsMMMfmc3oU8JeEj6+sHdJK4P1txgCRwti4A6lUPHaoRMhAq7EMweUCgOk0JqA3AODECOm1
Y+vBUpYfowIstM949BFUsu/XmpGbTXVbo1g16lucN2Rc854zbWBZBPWkcgxuVS8HYAWtt8POU6d4
DkhYifN3dCUPDU6yBZg495eoW5cRf2BFzyMB6GPkX1zTRuF2DFvCxHrHyrD/6PE6DMg/Ud99nZfY
nHNhyYJgCJHErzrcpukm1R+xhQQbCbJBUh70gMJ86am7DA8vD385pebpHQ6jT//NDjAlrCHcm+ZB
js69/qHyHufdz8gGgU7NkZCaTFRMo9asxul91IimnFalugXFsmGa5/Lw+zG8lqJFoDhL/N4xgCxy
mp6Oi1bmAC1QEw8+86b6SwkcA+8mEW5OioTd9pE5CTSj6FfnGiGJ4FZB6jVGw8UE6zQGsxrweD3g
XpUJTTfL8UlLNMxTzScy2Lf532MlTxURB2/K/PESQLm0U23TtCD5O0azFMZ5x3UCFUVSwLxdtOol
pnqNKKXsn6p9h2C2sDR+albjCokpvYU+KObRQn9q80jprAM79acoSNY0iSf6krVPKEA4LijcfB4J
7y9F3qRyNHuMkVtuB8ZzlKEQknnAQ7qYZCrXxLeDrOF1BtFcYg2wVDIvhbbCDHqVY3TU4XSVuCpY
kTDUSZyJLT5JvHM5e0BQ9dL7wymG72ilT6VHs8qNQzPCkPh1Dp+spaPOnVoji0g6Qp9Q4hoJw0hf
czXf3vkRHEwk/62hX1o74idJrUeUx9xB8zunrBpTXzcFAzAF9ZtuuLgFybtqdzkCCNknyZFwnLgg
lp2MIBJzjpKZHfI2OFWFvJNTb0M+36YTz1r5mnxEEkzdFK1Y24TyeEK+x5iF856nCGgTWoKZsrM0
/AHjRbkroIig+vd75PnyhJtsZUDUHdJ8G+jTutPiOWVv7ScUOop2tGAjWkiIs6r/6dtxLxVQPrmx
IamBdjBXcmPh43mhUz9ZYU9ijPeSW+baYz/pD9Pa7OJb3BVHJZAOuR9eSg9VfsdyuJO3Wu3dDFus
Tb0+YX44LZVCHHvmdClOh6Ym3r3DGcP6T59MB5zRZpSzpYbLQcvGg4is1TDMI7UIoV3NCgSdQZgT
FNvfIFBRtUOxnVLxCOT2WSom29L0mJFX4Zf+3iyRbmvN2gqY91rqWynkdzm2T1WtvaCLPGmZvs6T
D8IMv3QYW2Z9KottbZsLEYDzjPK9EjB4pzBN5BTVfjq9Kpp9STIZzihbEZqAoyaJi8RaNBH1Jtk1
VflRSdFfqVunrPfvieEaRXUrDfO3trjyfewyUXT0vXErBBKR0ig/AU69qhwfCWNAVGoGksX5bO+t
d4isdG+fhCqzaYfBqPI9b0ssVHn5JbNHjzsN3MdpADmed79VtPfqPWC5dI6RWE42A0vCnfGVB9fR
Blm3DidwQmxHYA3cIuUOyEnUhyp+CbXvkFSEEoB7RtCH/qx4XVINl4XP6EDfTzmxPOHaAnK5SFkX
fPgaSKDXjDDpkKVwIjG0ZaAmOWzhmKoMFAv8Q4XVyTqK3UKshfLOfMZN4eJ5wa3LfosFgjYW7qnX
O8poLx5UK8NF7naZfI7UK7tVxwjWBBmGK/YNhjOPJYK/YrgWPbeUq8ZL8IBR/cFbzUF8xIrj4l1Q
jhGXtiByZ1JPdngxlkym1n594lWCFwnotmdRjqAUzecy81E0KSSNUyqADF9gGF6o/qNWNpp5TziA
U2iLrfpQYFQxII23Ilv37RppHP8J1YOhIwIfPgohb+UV7Uj+p8ZvVYi2c5lbG2QHUwR0mVhDcOZw
64yzVR6rBdj/yimcGei/6xcyd/uR08Wy15xphECtoOSk4jthdIIYtluXAK2JfIamscxdIOeRj1LN
Dd0p/uLyAnV2ahjggelPyKRG2im6l8LeGWysFTQf4UgcOqmHDuMac9k1rvSjMPO23awuuAu+1O6a
2tkiNT9ijovwOo8MWp4KdPzD8OhJovG2tjgHS1SKxoWK3zLu1bBLg/dBedG613KiD7yn0ntovNIf
VSSJyZvRfhSU85k4VoPLD0g7s2Gzj0nkxt98FeiXND4qSFKj3bBqYdnsrfzUaLeiKBYmdpQaDIjT
uLLp0oiMwxnQcCfv++6V3xar21E/Z9bFgnhVr/Tx3Fpb2UUMyotAnZ7uYP07k7JK1jw4GakNh4Et
JaAPNftOp19JfwGhmDiPERHWb+C91uIWhH8U6729VoNr3GxG/YadB5KQ9tOPq9x+UIfjvXo3xMkw
1tJw5zCWravpkqUm/RSuBwLnFG2blZSdzfJIvgHnpoMBmD/Taey1n5PnIeN3fjcYjA+rxmVRTApG
zj4n58puQYNozxEQvrQ2G1doJ33YSRHUv1Xm+BgkHm16bNs9iTaZ80jx+qhtT1jqR0HcZ7ctwl3T
fncUaua/kHQeu41jWRh+IgLMYSsG5WhLsrwhHMrMOfPp52MPMItGTbfLCrz3nD/iNsZVkaOFM/u3
WD3KSzHIF++/a0gooa+jtF0+inXiDQiX4/dwWqdU5HBmmG66FnJPWzGXLl27hM+pxbP3NMfMLzMD
q7HiPGp5HwyH0CY7opOx1v/lPSHtl4BhsbOeUlfZfX9t2HLlETkmkiSBHXKtE6bbVwfNglBeKllW
RvloSfpkTiTZeQEprHX550sRVqKIxRbpQP/0m3UGKoFyeWVcE/qYU/EspRttMWCEaz3Das8/jnK+
KkH/5vrhN8cxfBKlunzT8pG07wjzEYC93kNw2fwpQwkhW3JNBP0WbGylrX5RlbOYfOSUNS6fGPXQ
58XKk09XazjTohfSnkwliyv7X8S6sBKxNxX8305TbcvmFLanDoXlcCjE/WTd2nKElKSHFVHjWGyy
YTsJf/Qh0Y4E2h79DsK/aJ2sU+M1MWF2yqUtfpYX+LqI8oM6ZFtDYjk2tzK/VNXWgG1fS9ratCAt
93X93lQXWkOtD9TYvcXxsm2ER+hw4Dpyf2Rf5BWfek7dpLtia3dm6VX4R7n+QHKD3m/VottncuEo
OoUpiTvrwbyTA4+f5BE0xxj0gPcLHz3BAeVtwgi04kJiLa78bSiceBfC6es/fhpOT8bR8mXK9LdG
kIdvgfLnT15/6+o1itD0owBrBbNq9xGZAs248t3IM1oG6ejia7toIWXYqZmSV/kiyp5ufvQu9deQ
80Xn3usQsDFwM+wV+i4iGEBzMjTXsboHn1bYBVGUFvq27b7ljLiwnRVcu3k/rb7EimorsBGWiWaf
QbxN2UefrH2XoxW5uddAUDlF5iZslknzRwCxU4e0s6HYEDRoV6rSZ/lEXv6w5AqcdG2rZ6w8u4ot
clB/2ZXE8EZbDe/lzQzWJbF8KuTh3kj3kn8otIeSAHBtxnw9WicN5520E9F89O7gzcU+LtZo/qX+
jC8VHOhJZRf09S4fjxZvfEEzfbOnRGQVxz/B/JPj7BHU56IcZ0FZyrrZxZ+czlht/U1nOYsclRcw
Ouqa8c7WDlhIETR7lG64s6m6ecMNjrcOO4G9vJvKnQE9iNyhPCuwu/14n0I3stZfOpg4U9va2pZr
fXImznN9/XvnsyuDLY4kq7xZBd5W1xju1JhiWEVSve7LS1M7hrQjGOl04VUHNhd661G9naPCLOG+
d2XJc7eoGNZRvTZdwSlQLAubPtg0CWVKj0rbWvUpA1K2Vsw5K9ISGYhYe+n1+ISggS3GgOtI+ftQ
7HhwCewDpeqIU6LLWrb7H4RUKywQHjW34+rbdFRI1zNjNNXyK804j92GgtSBjcp6JJaXppeYK4cM
3MxrDrjYVqKHqsOHDnIA69it4mWY6C6ScbA4iFFg8U4UxTZJAWvPowEKUlQrRXu26aXrTwoDj/Gk
oHAVY+1rPbV6tS3jLFj7GsHJ/9GQhinR7B+dBgjLRjUXuAiXVVbI2dPWEaY00+VYTN8NJqpN4Cm4
OSggQ0Gh2YS0wxsFHs1aXL6cBsleb99SLN8OHGOCnPuUjlejvLdIuxBUsUp8+7zljbIp5C8JZ7sJ
CtdpOzF6N6cbB/wwOSIPubKtzQcKxpETIz+0Eb33F9T1mUK6cPSQb1q490Uck9xtPB4ZAVmMGp3x
EuY9LUnZdjYOWnwq+dWmmNN5P3JR+BxYRKKnx4jHl0qlRfBpJ0K+irTzPL4b4U5It2H6bB/MMW5t
uXyliSA+5CHp8ttE9NT2DWIaFFCxs4l5BvRCRFCnY+EFP9/l4SbhdMKkkJ0EHhiNBwQinq4h0NN9
SO4S846cbwZlg4+EodeS13wZk8xDb9IXe3M8DdaObjVAADJdQcjtiHfW6HlATdo7xl9j3FnGIcip
M/KdAVsynMqSCwsVtOj0MAnRt5khRCZNYFWprLPpsXgiQbf0Q1OtEyhRZaPwQ3xyrdbiiKdXdGT4
HdHfZ71nIpegI7yzq3avtOeuh51BhdGwYlWuj6f1n+L/jPKzlVm8I3OHFhA66paN59bTUGNTTCui
rJKzPfIROia09JUt1bzFroLkckMMxr9c5bq2bgYvrzyqGZvI0fPYDvsvc3iKjKvKApTBnKjqjUfG
pvPFrLdzBLuSbAzxOP6NnObhVzO+CfPRiJ+TQwwIYUk89vNn0FzNEArGSxzwPHeqyNU+yhIxg8NZ
zz84LjV1tzzwuv8SO+AP/XN5oLoW/4GtIbONGxPfMUS+zsPiA3b1Tys8pMJWnG6q9tknywxZiadJ
vNCZpgVH3TxjnlKmTZrvZxt+2T+yJqyaEjK/RcLwDOyea2+VBWsQT5PbLJ/Pcc3xKhOSAopsp67s
TPWaadBJgbk5RohAVJ4FKyOhcjBI52W3MoDfWRLioGXyfQ7T0SzfRj7ssT+a48HsLkpMEs4GhKpD
f5J5LU8WyTxTW0FioWzjtVks0P7f1F8jvmGRv5GrrXathUsinkrqpXgDVd/DaBFUCVPSy+qv2pan
Uc53xlJJ36Xbpvu3QKcCHu35pyM1IB1fEEy23p1Ye1T5Xgo35Ap4lPhWOqnNBI0dabkcFLpi1Zuu
7RP9Q5XfZea0Pn+19UdF4rxAYQ4HZrsa4nMznDhwmXEVVhTZCWHmJ7ubLn5wC603EuvbyaaOio3o
QntXQXFGc2j83Yg60QifIoSpA4IL0J6f5x2BQDT1Fs0WDNouqO92yP23vOUAmqIzcY7LhCx3Hl/Q
IEXtzzvQ/cXMexu4VBkuW2OqeEjBtk33It1Xwqm0y1UnvJPk43K86MyknfDBwsuuPNmwrOgphJ1p
nQiorKtrqfyqcABUAq8mCYgP4bNsvanFSaaSIB72fvldqpdkZqJ+InHOB1dKXY3URYpize9a5Kv7
GONd9aOvSG2ot6LBgrdvNEYlXAmi8g8ocRBHxr1uRZEZ0Rr/Mu1fERDehAvaZlnDCcRVbgX/jPBX
VzcjvrN+l5YA+deIXLTkcF9Y0mPQbmrlquGoSdLzxDxEbFHUn6zwFyWA+E3iHMyTZ+UwMoAZXBJq
wybhdOZrVjQmyQNUYpMiszjrzXpkJJ3TpxrsZeG7abi6ODKLG+NDRQnqcqgYxUGu3xTxgysq1xlH
x41KFOdinubbJdyWWwbNQJNtNTZ6yIN7r+LCQRMuAmUL40kQD0P1vXjvYpDBEVKHiGF1VLZq+q+y
LsnwU2c33WRMwIjsRfoacJmj/EvJUFG7sz2w+Di9DdOLESn9okhdVfglk53fOOkqsvEzcWjIs2eE
RwxebrEkAbyNwVbW1oJ+8RnhZNBZAt1tERQVbxeMxL00sCx4eozmbQ9a1XbHrHzqFjp19Lw6HfKo
OunAo9Zefs0OYhIlgTa9Ri7aTotY4O+kunftp9l6BCfFwV5R/ob8D61SD7nIHKspv8vClqU76gWd
3F+nzXHIdqp/qqe3pPnWqo+mewzSnQ9ECXZzsg7rg6TsInJRDAIwWO7hDlQRw/pWqR55h2mJQMP2
ygpENdQqo9GLNvOMEMbyMBg7X/6iOhBTD6rRQ+0wpCk/ncv3OL6TF8FtwZmhXOWlG0iixGzFUkk7
7tD8k/sDXk8I/78h27MYdxQ9DVPiENXiVsMvdRmu0hWrZPhlu7Lnlndk9Svoj9FD5S4/RlCQYKOv
lwa96KqiOimCN4ymdsB6YoeOyH8wEtcL9qOee55Y7hNoseRrBIldfg0+Dil0U/LENON7Ll5k2A7S
VZMO1cSZxZiPHXfVgxlL8zrDIeMvohsq5RSPqphE+dZNErOdGmHWd6LzPDxpIkSKVrhhcUvQ8CzL
miJzsoadXbTqOlv9EduVcK74PGKnrn+YfDsKwkv84WH6qD3yuwBtkR5YCpDBcS1fJ/3Mms+Q7EwU
vS7fJLpgVlX0nqlHaxOXRwNwkTEYwYWOyBRSJgbWqo5MMIW/T+i3F7/z8V0AoGO/1ozLRB3gnzl7
ySuL1lNJhOE2bbLVgkJ0h0o+taYz/2WkH9CKrhx5EiR5V4tb0z9zBnAqUCsDHfzf9lUueenVjzzs
DfOtC29meRz0TU3uGVeioX7UQK0aGh5WOYFi4Fz7IJAbf+nZH/f8MIo8An0zsctVjKDBH72uS6SF
q1vIyowjgA1JvMZ+YukvTx2QpLQtgyuCZ2SyJHxkr7K56ApOIEqOg+poXQUC5bu1MIHtQ3m5dX34
74dj+BofQfYeT8cw+6mG0zIka0GEpnpAl5nYY3HXhnUCBRzmN4sLRosje5nyYck7hnUaOqdNy2xT
c8isQD2MeEUxKxnWnLO8TcKOzqnIPJFkkvabtv6UI+QsT1V2q37dWPev2c6qMydK6LZ4Da9skU4Z
bIaEONcOLyAelvR72OjaGRazoOgiAxXcJu966i3vOYRFZN4ws9ih2DO0V6tpkwdvev+v5Xfl3rBl
1GyAAKHOJUpa7/C0+GNaNPCJ3sVk20HLEGHy2ZEd0iKZ+ZDFb0b2Xl0V3YY7tEy2MHN4trfLt1mQ
9/WufwifnOZaummls9IwZCpr1NMcyeuW8lkqiYA1DQLeMs9stnP6FkovZgVp2sjRntD4vLugW4K6
vfc2q2L93VEmpACUwJUsBAbqxVFwW+W6/MUi/EE8v/hkhOLNsA7wxUSujsp1FM9ozHlHgFyWU5Yy
cz66xPg0EPS07SfX4GjsM2sbzF4I//NFlgf2jSVLbiU6PXSdE092xMWSiTdVPcflHUC5MFCWjhfM
hpFwnibwuPWUHco1cirfKczrAiFVyQdgna4cS+tYSC8pf/lHumiwkqWh4UkoI5v5M4aPlep3M3kK
1pkiUHk61tTU4uRgQqZcYohGO9OCBahIw2Nc/k4q6T3FQwEqSZvvCiunBVpr1Qd9RewgN9YntxRK
xScfux7slx0vJSSVeoHquWzOI3gbs0EI1oiWDDOhvEVXxrG6q7n0svGziTcZUIJAaE7+RQHpqsSY
07EHG7tuRadqsOnHK9c1P2y5OWtPd3vjzrKD/1el0IXNh4qVQDwvxyOVBWFxLc2ZvhXPsO6U/qH3
aSUnkTc6NuueQFqvRCKZ/JsSIrq6w4K6aCHRQZAB/pHKQJq0IM1EZh3hq+aPk+plZtRLLXTkvqjO
Wfito7Aa42MOQGME7w0Kd9X4EcRtIZx1qL0QHoVJRWyOonyLnK8RyhJ/nd1Uz4b4E9tw/ODcJ95y
J+jzNgMbmjsNZpQCkH++9hH5T727W/q2kjdt+t0GTEe7sfyeu09BQPzLRR7+h2WPDGvip+a/hRjO
F3QgkZ7LKq+ob0G1q4M3oGY7j/fsh665yFS/kICtTIKTDPjyUuTi4bbNCN0dx7clFz3bk5g2UUAd
FETqQM/zvaFe2j9VUr7Fh2pnnNRpTVAKzuqeSdcH9zCyRXLxt3AK3cg4aN3F6amLZJjFhxqxDcdc
9T2EJLqU963VXdpyJ4eobdJ3gccV0a6N/bET1m2NOvNfYi6MrkwxBs8NqRJUNNtxwNeTHy8Ex0ED
V/Lk1NOpMsPo/OjR4Fce5ihWjuX7NqmfcvmWNaci/7VoXOnY3LLkTRRfGn4+X7vyRRsR/cgBv3B+
a5NL8hbPV2PkCgfn3Ix0XZTQBMvOg4QBjVsAms9fX8qwIcAkyNY598Yf1MzQqsCbCBfLeK1K924B
ikQ00/0TZRdjwdkIb5GIk3CLB8JN82vofKc+BhEBYhYLAEd86tbiyUDxRGqUqyoBbl7L1lSZojA3
oWyUuJvwAjDElqtb+5R9uyafvB4wFBLMMR0lhbOG1zXug+K1PImFeBItIDx2zQbINJmeNcdeE5xU
f7us3MuSwDXBF5E7HyCHJDaUkJiNVr70sqrtLHgxXUvLC6AAhf2HTXsRhU/32CI2+A2p8kopz/PE
oYHEd8tekGXrnAJiwy3NQ7aMBGgTyu6sc1UV8reS/ADbG/K+yo+ZtgkxOooy0avcDb08A8JtJ+lG
Q9jKdJcwvmcueal+ED/JqrPl5oZ017UYakscORkPOhOaoW/0aVvq976GP+LtT7Kr0j4UHZOkl5Yn
U/5b3glDeVeGex581F+RTubbwBUtHFkJOakEaQvvIz8TYQ84+fgbI2xe18kvVsLQ25LB4hH8BsqG
IFZQlY85P/C+UV9hdzIMwGpAYHkwho9KpbHLY7IgM0/Q19JwMusTvkdUfMYK3xvsPlrF5FRj8m09
8s+n3SSgZijJZ8KMnmAUUqMrH6+Ehq9hfYCLnxFf5uJHYF39+g2SwdFRLpMQRmrB0TySoN10h9b4
zaKP8b2qLhjxTWpNVhgU+a+p9TWv6n680xC0/JSeGYo9hUnJkpnICPevP7P2bZzefUa4eERzwPCa
szuvq83Awb587ogLF2yvMETUnt/0z63G9mpoD9Hcq9FfYX/nlK0QuovXE5fysRK32uLXO9JOtKrp
F5JYpFPWHSM4+1TX7vuJwNfpUc9fgvLq9D9U+X6/k/1vpcQVsgL9057yfNP7x8Ln+P4H8LCiw7wh
SXGLt6jfxXRxVL8lHiMk7tygtYpIwDy2FtJ6jip1IfPunVk73M1+xqjpdQzw/t6PryjuFs7HSDzN
302uvkbvJhKpor6P2b2K/hSoYbT/Ft+QJRVrhgVJah5zlu86lIno0G5IzOxaOpDDizuJ/LoyclNP
5c57LwitMJTZ1YHNxLlmtPrMy9dyuOrtFzlfq+G6xOz7ZECKmIe7RmZuDPCr3kwNJFpctTG6WfJ4
IyTQCXUppi04hv/betwRyZ+BhXWm2swM2JL1jTmeQ/m3MqiygPY5Wj3EwdccMk1xdE1Z4fQ5D6r/
okCLfCxSrsjisgAslQmn9z3wr4wMswmPgWMKO267lWCmi34llH91+G4tDT7cqVuAZfDEt9GrnTGJ
dovjpcckmvFwdCS1BLuk3Seo6RLzyJko4mufBg3C4IceajYDjq7y1BgNwNt6pLwSSlJxWgSeWK5h
PnMc93wcyrODiYgWvQqoO6IL/gcpZsSAdsCmooLYZL6Rj+HDZvXakmSXkvaRExi0k6Srytqp+p9C
9U37OA0rgzN4cXcgBczh/o48LhTtv10G/EsjPCaPT0l/WQTafkv9drmt9EcvzeC2oa2Oz9R/Tj07
/J8lfAjpR165WoTsYjOK5M+tGZk3GF8bxEvTVlt3noD8HDEG9g0egecXh672DxUgnDlt8Ji9usVG
NeH+6rkqkCSp9VMVWwf1njZ9LHshzkSrPi97Z1V/N38JJ4gGpDWjFaqLM8WlCkE9EBLFTar2af1P
809gUQWpQPlZXa7u5a41By63xqmMG/SbVN1MRLwuJlbgB4Aqw0zBJH9kEgSloPeksUKWjsdzsfMh
WmoVJH/9jy9+mdY+VCRMbt+5fuKdYYeJOGtxADuL/AfUL57JO7uPKNKovkKmfdLkHSEnDg4W+blk
MSvnsjv6AT8RaapfPCM89HlPQjPMODW4VGYzARKrFhdYZ6eDqu9ocDBrIPU1ojgVvSxOd5BEJXvT
o7sysNrpPzBUxEb8u6NHNT6s/ivSfocK2Z/22zFjkQZjTz73F8y9ZgvsyOtpY2L5F9ZqCt3qglAy
XBEb1CNh18TV8dF2lVOCsRlwOn7foUh+w87UGoep96DpJax66M+6+aSHNz5Tc4aSYzSKrdxp2mM6
KavqlXNijXHAW9d71fRPRxFDpe2q6i41W3+H9E4yIWLTrzo7+9StTceeIS8kjaJFCjWM6NeIGKzn
y8KFxe+t8KdUXzOFiFyIhDBy3IPQJIwbU+rGoKyxxC2dhHbOly+oeFS10Q4kQNJ9I56Kd+agBFGJ
+Nb0ECvlZhBeUgiDzP6Qk+CxXFRxwcH40gunKzEO5BKY++TGnNRpxQSSEiqOsrd0w2ADrk4WVyht
mKeWT6NUrn3YcLYHrB/sTosW1kRTCeEctwd+0DpaqtrojvlMOUhWPt40hRgve9I2zfvISkudd721
tD1tFnp0MfDrzdrRYuCr8IrrA3G7K4Yz26j2gCs6vwuuGBv9KYOdumSZsGH400kqLsv3PSWnI6ve
Kz78YiDnhoegpGkPUUB3Dt6We3nRm8BdydN2+fA7/9mQghbRH5eFxLCjq89Bdqy9LLKyh3yM9PfU
TDtc1br1EueDUt4q4b0gbqbb+fmLQ0FR1nL0IO6T6GJGj8IRLSBMCnoL7LRtyYjrF9hpX2QjsOwh
AAXMXFwvOGiV8oIdz9HS/TJ1hZ1mEyYJwgCNxdM5kym2iLCHerEm8cILgm4GSHp0l7j9qATeqIHu
ipEFPC5sSnVe50mzVpsMQnYh9RC0wgHlZPkoGOsTR27lVc1VsGxZemfZ+QFjEsBYKeh7HwzVYmYa
XdrLOeCBv2FB4MygIQUJZfRN9gxKB/el9i7G6B6+qnrtM+y0IKD4sYh9R0mYtHYbkg63fG1AFAVj
+2niBpKLX126VvORyCZVY6boU2cRpaYynxEq6Mrs7HQNbNfHa6RhKsE1FaTxlr8CR3SdXWp1N4Pp
WiK3n/7D6oBayeDB7c23NvkLuBagDrRLkF5aFcwVjSpeptD4rLDoKxhSrOl7kUUNncvpzP7sFcLO
Z+TlO1kG5znbRNPbaL1NyBJDyqss9gEKDQcbuyrCvL/ZtjgR9pP0qGsCqeuf4qVUd61EGgKSpo8M
+cgDqb/cxstTBSwmmmRCJDzlce6MlzqEHfL3PZhZD0KcGwbClA6s7JL6nxqw46CB34OaGrtUQ5S6
y/mUMRbn//xUxD61kfy35TBdflHnS2xqCB2KYqUZls4CMkQZhboqg+PmLOXJVqkPsZasfFqNz9+Y
oGfQQ9nOSW9y6BOOL1PyUKXzBMu82ElC868lG0EIL1w4VKRtAuVTEnC21p+N79GtHOd0RoMtEoAj
Dm/R4ieA7jfRSIBs2RqS+AUAq6N61dqyV9K+AugwaccQZr+WnzzEm8o6dfpHjThjInY2DlCP84hM
Jr9kPPHERS5aAxQJf4LODP8d5l8QEI26YXoQfCglDpdU3DbjvuGXkOyOmfirWiA7Y68ELF21PbBK
DMwLwE+qfq2GH55kMXWwVcuCnf5Hrd0746r5+VokmoVgWbtWGUbnFBh4cHATEuKDsQuuzsjgHY6N
QZwLahU0ugQFOKHb9y4ardoB6GzXg/Ws6ZAQGm1lcds1G0PjnUw+GSKjeTOHFIwfgwwyim+HwkRD
gqljlM1PgCCbxqQV9aNEFP76buBF+db/0hYt5b4FW+btjJH5IXsRDQG85CWgLzYCXqHvbLAn2J2Q
bUuU/yZ+FKWA2SY2PYUhoLgCiJDWhhX7mPnBGUjY+oMoFhnA/EI23eyMXk8iEg85lP7s5Avmtk8m
9ntWZIkY65jpcGQ0FLqj2T1aXipxqZxGqSSxQluuNgl0cZN1XAm2xVMcl4d8RmvyI4cuenKhPsU4
QgRuznS8aZgdyqJe/fyrmwvELD/rleIA6YvHZB0TnGnJW4jwykS9oVNowGktU6TFsK9KtoCpBIe6
9acQNUTUJcN6MOWe5f8W4n1Bh6R6YrKqPauQ3U7lJuC3E0MqNMjtwqJUHKj6StrrkIvQmt4kg0QT
DvkvN15Z71JEvFbyy3IU0LZFnmNtI7WxvH7aUcfDsSBHjhieFogNj8Wij0EZuZGUFfOYG2VrcMeQ
P5qcnqpe46MBAtZjgmvSnYVG28wfVo4igQ8fSZN/C1EiL66P/CibV73YFumNAlm7k26JQcNlh/4E
0fyglHsCPW0WofCsrokoJhypPfCS2FTcTj5mHIEN86Sc/inpl0+sxm/FlbZ8DgzhNma2qfyQJN7M
jOAVR2JEL87LudEWb1Z1WN7YMlkbL75vyxWQdtdMvLbyqawHijvmbVgWW2MW3WS2iA6pefYKb+Du
Wv3NCe3rOSEAlcrQhCJwEZ2qv5M7ejEaUByk878aFZmhbZvgI1DeawTPSdshR6af7hPR2X9vHbgS
ileL5mpx2rK3KcVXhTmFBAsBZDoiSjkGWxqN59ReI0xGlPQYup2vefTKe9f/ExAITQrjEmVO5WNw
OzcBfMNLQnYWdOm5LMXVqN9UcI3SOg8AGdUzpia549xHR8IZnY2PnIc9JQtzrDGJzkjdpU2d055y
L5qdFF/D/k/BFV8ELZkSJPdIrdNuYlaN3kbLpERrENqVPOmkLxLaDQ+ptAeS1L10xtORw5bR0dQd
egKr2SO4HwWTFD0HugZIvHEJ/5BW3V/VeLq4IdHMZJnr7DC+V/mvHr4H6ceEU2EGP+qH93gk1mei
+cOx/knipzidanQKJbUyF9SCG5Nw1z81WNNgZl5/sfQob4FxJakHs8epmW5FciWYUu1Gp4MNpXfY
7hvRq3QwhdWvxnSn40jJH1wAEqVrnBnC7EHGYcvdmw41NghhUtbNZN4RqFGIn5Z59uO3tDkrEO/Y
ljG7sJ2JCLFoUsEZL6+1eCvXWwXKH5U8QtVE3Rq89A4brDV+aDKOBCiw5es1mdpOJdtMNwP+XRQX
y8bbMpPmixRSQzMR2tokIqYmz+oMBjf47zUsdPlSheOCWVk6OqhlW7jgYluV85lqCqSYi1xIkL0g
JBOG1NDrcoIZ/qeo07qCZ3KxeyDSYM0wGK50POk1R2Aa/9bjdRmIxwwAse6BHhJcwC+4WOtfad9n
nWwct2RimlEynCykD/o+gF+r1N9qvhj5g0pGdBFEnvPQ95yAOVMPFm8AUmZy2yRElRSto4ybyUR3
wcdCmjQyGbYTOQNK2qOcrOWdgTsKZqH7NZsXpL+F8X3FlAf835S9/WVy5hwJqqLI+TB9g9kaKsNv
/ayxJqjKakKupofwg1XmTJBpyxKpN38hr3hu4IAEi7z6LRlUWODQxnC5duMFWyiVXh2ODtSdaANJ
u2XgJI/BgBDWXjX07XII9hXmMsTY+o57Joi3lvyYndmTq4uP6WiJNJuqn6r8kTMa499MfpMS+BZ/
o18fe+WINZDbjWcFKSjCH7ncsgjG2aZtfmZslD3kLVmAyo+FG1mvPwfaLKKNVmxMJ6DNmy1olSPa
9ZJtPiIsmgB6/jvNRlCRsWhoUH8nAAUqLlmajTuGIem9MqmRuASuPAKNeGL9JRHwkjb/EalasdMd
we5gClzVKUkiqsGp+bEuOWTgBwnqLRLzMOusCDVDesOQgzsZXHVkJtlqyKqouRSxBCfHprkk0m4Y
DoQBk5d0Jxnn6EfXkWO1Km2DhcVkQLdwETLKFxJy1w5DGCS6BN59mBtvHO7Y+FcpbH7Y4sWFhvAi
xPmqbWRe6mX8vf8sN/TC4LUsQmxBcb5R1pqrCp5PBazgKYTkmmzTxJV4IQAekBGEqNjBPHJswZYV
pluEr4cM/Mx+wrbXRo+qfGbpB7hhTr48y67kcvHRl04rC+QPL6WCa9KZXUja6yFEF/0yXbGrtP65
k7ov5y7Y6cAe9tUPX5nyZxHpNrnyeQoI6toI3b8GEi/WPnklLuFSzgFa/M0MboAvTmh8yDT52fCK
qSs+QTE0YVOHf2Td2NThraq3kM+jitZiSI7yX9z/iojpwYAy5a3SLx2DN+8IFQTb8ZapLocaoJE3
ipui3Yj1ldg40jXfJ8CPZVa05CP5vHbSvCEa4W7U8V2RmyveNeUC+BczA6HJJZeX8GQxREEUfn3R
hYW/Rf9hewWZCkc3BS6LTsFfC0U7CyMfCkYyNA3p9JF1Xm89wvgRhn+t/iYMt9w/TCKj4Zkkf6/S
9qV86DLsl4xfZCDVQO86G2cHpyPA76huKR0irKnca8NGmNZlctHVsyzehobUoEsZ/inWAXCrqHZL
0PF3RV0sY0hIRiH/AEdLuZiZcXKXW8O8tXODq1yj8fE09TfSRUzzWRoHhZQ/CE9oJSyW86PU361x
g7pN0941QC6t3GvD1wRwX8kXI9stL5x5bMivi5SPBN9SPdUKoMKNPl0A+V8ZKpUKjtRy/ZKcBHgJ
G2e4icq1e5j5u9B+9W7tZkCmST+hpMQkxqat8j2NCGxNZmLh1OM8EjruEA/T8t0OVt2wtpIjHLWD
FxEd0ki6trNMjAmLGXDLUAJSnMd0g0aKb7kWXRY0fiYcgOFPCU9yN2G7qt0Im7y6l+WzFeEI2ClE
xIBwtjfiYwF532LQiVl+531wBPhoJvx/c3tOo1+ZmKde+LP6DULpRROdA9iYw6+fgTBrnyNwP1pA
dSRthovC1z6t/iUdNXVloZqhHzY4iqS1ImkRPpN8eUrsmaeaaZNCeG4nGKPCXaj7Dk8XEqpY+EuZ
DsBmbcP6LdyGSoZOJZ35WIrCMrugKJU5MJZYPG8KvwpoVpTtVJOQwpfcFfMDiCSSntFrmrxB8ILi
HpOGHv8MxP9YygZ3ootJjgTSf6g0Gq/cFEjFtA+wK3RhjcVsGh5zuDHGHXLNmvqIEJUHZiR8Q0US
xQ2uiyf+iUyNoWIi28bWyy+/4vk3nv/x/Dn0zwVAn3K3Aeq1Je5kr8QGxgiAj3QJbU83C+bJI5R+
itqxx1rOVgxfR5F7vK6U1A6ZroNFTCr5NvkrSBK3cvpe1RyZBbrn9Bx120I7VASw0CQ1K1d+Pelo
IJFHcxBZVxFGXRoosoH5LSFoQCL0ai/DTHCh0UUBgvdQYaq0+Msyv4eesRnzTOGSiZuZZBKs5v6I
FLPXXnnLVS0+SItaxdJGicLl7pLk9VAfCRFAqrjP18jn1W21idfQ7O3RUOpLI935usDsx8puEfFr
1ukilZdSPIvpJyQS4nOBI9tI9gPwfS38TSLTj4A1kotFQmdcme+GsCXbE0c0ZuP9oJgoo2nsIxdN
2w3JdSzsOnFUBeEzRqux+EqPKXOzb7fEOqS35QiY4mfvHxv9g+I9zcIM6aiSS4ANmDivLa8v1bup
/gJwJBw9Hd8i1C0oSm0t3bEqLA60NRS39eJfX0ekBPboeIv0WMlUS/fbBL9BwdcIQICcbiEFq5xJ
69WytbFl0S88RMfZn1pc/sfYefS2kkbp+a8Ysy9M5WCMZ8FQzFmkKG0KEiVVzrl+vZ+vZzDAGLDh
RS+6+16G4hfOec8b1D+Po9bZQZUcSWxhxKUp9EnOJQ5/62SnhUs/XzFh8fNHCsF/GjjQS6pjEF+o
qeQL+CDa1oukOySOyJpR9urGCSefYBWtJjT0DdQ3yOmQTBaMGCKVIbfauX4FaClfM4o+bYBp1rsY
QipgcDxRsvmgVXcPiBXchG9wIxea9um03Asq1+SsNr77kB84BS2WXFFhjPGegdOi/ZGhBgoYY3xZ
/Eyth1yb6SXlbMwjB9tfoEmPXWqgVaP/NsAAAvPk+kCBXjMQx0yUKSYM9EBd29696r6c7CcGlzfA
R5fJOHEOwHVuNgWdp19sxv6v1fFHhwWAx0t8wZ4roKKgsOhgM0ywg1H16Jjiyw1YpF+tenUTYm9p
X2L1W7HPZoquGDt9uwIB9girCkGvlaMvvzvVX2vP2vW47oc95jqxvOqnQ7fomF5cZfHTUtN1GBrI
2VpGgJyRwYCefAGwH5Azv1K1v/CHoZoY3ejeaaJYTG4jsgwfWMF27W6ZNO9C5+KnMPx98AHSlPcd
yNAkQYQ79gtGRvWms3YJ2ZvRNfKfXc+MwFxqWIzxrD1/3/SQU4iVRaW+9JYU/lQfETaMnFT9rjL/
kYV4HEwMwIDvbxnTZmhTXAM8c7gjB2fTryHqJdFS4ul555i1Lh+i/p0m0M6XkokBB6ggmEs+0mkk
G8t0YVNBqga10BRsybkKpfYBsj43yR5elkgad8z5OoTJMe0QVsMNZAe/4gTLlUVwgRjfNruE6ShB
RdwIgbwbxrOgOEbccUEjLeL0jzF80GzxvcfxAlw1zzYqBOcWBxd63dBBYoMlZgYVHTZNZe1ka10P
7hBlgp+MqVozbWp7ZfqkCqXzUDpwpSTpuxpeAeChxdNdolZMqXdmYXmzGwiEeCzXGr/9mgY7GZ5p
eCqkaxt8dMkxYm/U0x6Eo17365rUIO6dPFnA9OrKgzqH006gt/Zr08rkzVfTM4+sdgl+RFTx9drs
1KVZH6yWL1e6nrTj7GZEztpMVo7sPjE9nkmA8qxJcPZZ4G8CTPeVZd8/euCuvoOu4Z+El4VmHh0T
W7htjF8eRpqjly4s9SNhhmhwAg54D+Rc1MXsvRk/1fqpu84KopQgreDND9AJxwqIPFJ2o7HtKviL
Zro0eHvktMyVwUYvFV32VPqIL9d+vwX+sKQjWmNALpYcThVRjZU4dKpmXz3QYGF0WDWwiUkyPNYt
llgcXKvpwV0kih8TdDqHpChXAUOBXwovVMr5e7Thb1WL4KfIDJIEmbhCIENS40D9aRapIUSOP0LE
hOU/2Z7dOWzfk+6FZyDiAR8IkX0Gr7KWvZnUfEbNfZg0nvjBa7bU8dUFv+yey450v4qyoWD4H8/+
Ag02HsfiSl35oLcDPZifvvucNxRuUNxxqbhHC2YPUCO7c2aiW5XWYT3LQcDoiaIbRSM+pxH6RfvR
0Kf3b6ID7ruzZp0RBIqQl2ClG79Nsk3AVhQ6CtFXp0igGKZhNeKNDHChtWTeI1A4IaZtwBmHtqj5
LJHhaqsBgTx3L18jAJ5M12O3HFS+HA1XjkX9OSiW07D0xZR7xg5ckn0WiumHfiPeQ3A8uuRVlhTl
wZFl3itUs90wG+ph7pDvBj9GxkD2RzbW9E5jRafWL1pnTZkw1HeUkxzPbABIZPjXLUJpHhTMyfkZ
kVEWbblK7D2vCHdIwZASIMv+spuDowsak7cYtTMdjswEEc0VtYYABf1g77AIRGmIq+OiqrgksB8J
gXG7/IqPIA4kx7S9DZ9NsuLr69GVokGtN+znMv+QaC676ruM9mI+RXYlm2SYURikwY71JXprtT3G
pgVYxOPyfsNvsk0EBYtEYgZEl0GPSDkJ5hKE8PZs939IFCRIGtG4CuLV3bdWQk851Z8qPkIYkbbU
9zZ8b4qm2vzrtGyWWFge0AsJFQDFLqllVXZVbQ4gLITr8EMQuL7MMJ3jq506pyDe2unHQNVdFxHc
BrSAybtAHTKGxTwJI0KM6i+0Eku8vmWG+JJZDlxc5Q3wGCV/Er4TrzPrnZh7DKkCd02I2kr5qLi9
6ow2xL/oBmZOOFX5iMtFySlGYFAg9WIbIQtWO2CVa1TeVfUulXvF3k1wLjV1QVmVJp8ZFffE6k+N
a8EQKM8+mDeb5lp2KJzlRcLtRCEKyaD4ZMJvbNo1we+5swMWy6BIgaV2P1oJdGAQJMRsbFJAUkSZ
HRTHsKAFUET4cYU0lra8fZiLlqBFmzVTxu2SEJDZZH6k9lcxfGYMzmbMImrw43FhZRacEKbEZLlz
MrNpTBMtUn8QpzxHnhAL51xD40iM4ZYaBpskcn1UNxo4U7acObX+i2hTaGYGVV9Ul3D4baFJsl2x
PAqLG2f0XKsttGwOddUVmQbCv3T6E7sEFmls/xp2z/XPZcXitnH9gS9dUbH3qMzncb8Lqh11wthA
U+oA78CzhNnrKHz1lt5ConYDGE+Ui+jSY53zDnOrEDTeh0RQjPHSF7bIsDnQf8z5zwIhET9q9+Aj
UjF639zKzGnGZvtVoz1cDZBOgFXIfDdIIzR3Mgti5EqDUqGhctIchn/VhZ0cng1I4MqGerlHOAg7
Cnt5c0+idj1cRZ0Tgei8CaKn/j7gnVdna1vf6vSvsPghdWKwFy2gsxgrwKMSkifFyuCv2vyMmXxD
Znb4Ch2UfRw05REeioz0CKJ2lq8me8dYs++IsBOlriC+BdJaNGXUXiAIiBFpjXfEBsbjCeifKVe2
YlTQygulXXzUzxxDEg06uToPnKdUIZzAlkGG5WgMkCEJjLbwFJJklv85st5aHObCn0D59mzc093I
rTGqZ9q/EIiGGh7b4Sn5oLTUINCae+biHxylgpbMSkUaKY44yVo+TDIGGv6TMK0LHxERESaoW2Dc
TPOkv8uoAxRtl2IiFeEGVBTXgLUZHVBylxIylk1T7ZzSxEyqXabjytYXZXQ2wx14It7Js9615sBL
fC6mr7chu0V8azWQ5yRy9Va60CNhXLoJ/aMJYDb/ong0oG9Ybmu9RZjoABOYIJD4O1B+4IrTuKp5
ldK/yaDzTpe4vGBKMdM4uod8xchT2BeE/2iTJ7Sr+37cOJMG6QmbkUvLxI3mAhR72bXbSMQvmJzR
Z1s6y+bTY/DvnBgKEJjiDNue42yU54zom/Royszkpx3nm29AdpOFmDGi8/5nFmERHPvlkKvl9+Dc
2NAUK68+6tysNG3C1XChFEcpAqZQ0mWqY1QElIeEGWYIS+NeOdI66QkKmvYRJO6QCw5rt2BGn+wH
16ZGGk2Sgaru9fxEq4WtHRepCof3JMMOyjYYE4glpjPbZ1RZdBywRjuvrGUETkM4rBShI2QIsNVX
JA1HG+M1Gp5b4M4RgYVE2KslDCbSqyyAXs7fvrrJQHwBxMorNl++RA0T/7Dc5eLkO6fYu9fBd97V
BLO5R71DKwBAZZwzUJa4IAyBz9JO/DO8asRu6s6AjVqTAVDTs5YwwOnukfeV2t7gR0NNW6zQEo0r
aNvt8C0O1oZYh6A8ZRKqDzIrMkrEHOoa6S57NLcmrgJF+RNrjxL58cPs30sL3jamG9r04TEyM7If
zWI2rU6Lo9ooM2v8FI1qYRlupV4ceQu+Ya3iDfOOZq67hWPPqUuNYTMMH8K2LYnpEaGU2y49AKQn
Ntyjzx4eGsvUpHVTeFstcQOcEiRqXXUd9MsMM2/Tn5fUblnzqVoWxmJ8RY/D1+3lBarAgSqI3n4w
U2glGHs324zGhMgPXpS7+85yY74k7Ly0/sNQnpjzsOtIR6XvE1S09gpyPaPJ44AwcPHiq9RUGA34
qsVWsDGpGT7/QUTTWyQRxvWdYgE+Hkxrq40fsExLe4PS37BufprORh/YT/SE6ZcfvjSB7PqPAApk
Wzto8hl/p6e0vbTFrCZPIMfBQrw0OhckB3r9Fo+wx6gFxwazlhD2ytPRbxaNk2m9CZ6vk550+aPH
/4g8zBLnUmyGFVfrDsTQScqKuVFovhLOtDHUmS/fMdKFy5JutI7Su3w3fxDU67j11yEJQfTWvU8y
NvxoAszmAksCQZEo1xT5yT4UNRkABrwP7ieMwYgdKxChErU5J9UDp7rPQv3DXcSr9nVNDqe3nrKv
lIGToXX8HWAMoEMo7YTVXMHIKBZboSPddOQG5mTvfKpQDULjZUafXnkZR1i8lFctdbK86hzgFDLZ
0N+8h/SLZY/T8IzBZ7vAOpTpzcSRoAfH0uSnL97H/Ksg9S2Ch6g2xUnpHr2Yj6zF6agw3wl66LDW
HzAKakrYIOGs/o7R9XvYxXpJsxxVgglQI3WcrLuuh89PrXV8t7xkoUH04E9xo0CGvSjFrpLnBViM
5a+lH6+kgiGXzFsAxwyrvNpkEgHU/iuLHGpiSFIQ+tt1vXAARg9iDObgk9AU51z/VQYS1cgU07tV
QI/uTUwdy7fYXqlnvbs0+inPpNkrx4yq3Qgdk4q3t/MOaDer8xO73FIvZtVhmQeGcjOL7SDB+1o0
9TZtv0rs2tI053fCPBzeJKFyuRCTL2VBid0Z7R3Bh9Awb9+ZrQsNv46meZhBAWSU7OufTCaw23WE
+GrL0FXn9y+GVwkj2JNeSrYWADDgfxDfRldb+VRYb8R4ifF1FPyG/Tlxdt2qj9B3miUCGzqhWWct
wYfqeD1wykYmpf4qVC6qc9azIy2PBr0FAjMWC7A+dJZvaHtc2iBdUB0hzDMKwqPaxiOQQ9ebhB0Y
FXd4UjH2Ij0zhueBLgoaTfzZzbAf+QbS88pFObroefAEOmsmjWv1m2nPvAHflVt3lMJliMIPQhsW
ERRnFBz87i3Ks0pYhxc3ia5DlneaqqDYJ1XXecgN7v476RsUHhOZsL76+Yt0St6KRzi3UKXh+Qmq
1hyZEvGajyL9gQAHxYDUJQkvqZMPk4HFRO1b32jBxQDaa85ifuoDnAzh3klexfT2n3hfgOxapAlH
K8wKpfjb1DY++VEFl4LyQakcbcaVNR5BTEVK+7QKzFWdnDPdmWvGHm+5dgLjorRaBXSnSt24Ttcv
zAQvC/WMvA3QOwUQE9wgMTnqUp75Ga59LnnUjfCvwq0toF9u5rav+fXeJHsvJUfcLph6CrEz2mt9
Vyo3FfLpBFRYFc0yghCkskL8ZYR7EGuXFqxlD/wzIexdER9lLwqMqyTIqAXqzKYUDdKcJpoaiLFB
JKjn0guzXAjxdEBMg1NoepZNtR8fkwsG/AkeITGDzv4meHzgOWqMawktB+exEGDVzLCogGFTaFyA
0SWdXSghNNJvwhcuMVzhXWxB54SdjhMUz1fUlWAtxK4tpHJBubrM853ApUmpBF5KvG+1ZMP/DtM7
7rhMhXDSSPggZfpUyrtCX1cTIDAJSRgXd4LVFhPXDPXgXuWF7WODY7WWf+aIM4s9E90h/zVqhJwr
pia1N7le+hnLaBlp+pjSWexobRLemYSFmUiLMYPqBgwPYZMqmGE1OTevScMKfUXl4vmHgAmaGbzT
hHOWc0rgyDVY8lzVqcVI2omZ6fjOV5G/QorIeteYh3SFgVe2IR7P7SyM+FZiFgcUQ4IzI2XmzjQF
I+Y9GSsUqqDiCmWOIa1SbTM1B1Tv6ISZrxUH7LPQgJj5MhNWz1gi7CUTqo3blpgYbBP0HrJxDVAA
4XYKodSZd4NDo3stcc1gYAqUVlsbfKgQ5S/rcdfe0I3atGGJdca2fea1O9AlAxGSzVmzjqBtSb91
X6+DIp6TMwauA6McjQZSh/zKwdKqb6H5zBJ7o/IDRgzKWZzAhau22OsyMIGx0lkBFuwn1X6ESFUc
Bs9Xzu44TGeaxXmyvk/zobsGAVbM3zZu2lmtLoj0WpYqpx1xB7LJAfMc6zW4U2iTi60irkcpnr9k
+yT3BIRD817E9rOiGG5b1pi2x33OLcHuKA/djLDWJfvSddpHVNyIpMAJr5kXOHpOEXMYvG7WRXbo
HQn+KCgn5lwlRyN2zhtHvk//sLjEjaI7J0ZFoweNiENVTMYhllrCOVXd+ShiiWwnmu4SYpFqV6hx
kU6jBJEPVbTWZIsF9hPTAkq4zlQnc3jWGc5yT+baUgQhW//LNKJtACCBp0L/2RdH9Sso1thtYN/O
NUAvkmON59ZSABC2R8gz87rdBzSB73A6MzIcGZzXHI1OyLSuvozFyY7vvf0Tda9entaEA1CsFQk0
L+tq+JwDCrZMR7ld0WWnHoU58SE6igAoK/9xwXT8fh63o7RgQeAwENWacNVcNJGy9OwAZdGldan2
vDNM8EQDsqamZ/Cgdr8p9i5B9p2HHxImcNUXECnOcQbxxQVowsWa/Yz2EUe1QPkzyHB1bpE8LcLh
08D7vDlIzp/RHlRzq6IJ8B6OdtOkPxbqlF2jGNLPxkZ1e1LVJUJCDX24urB6f6MlFAGwEAnTXWA4
EmYnzfrwFXY4LCJ53ErLyC2jFY2kuFBFV8cnhw+2lLzbBHGj7tBkwdc3xLi9ecqSK0QSqrRltq+C
1Cgx5r0n6YLYt1AGRujPVN3LFkQfLDV2xdBz/DIWgqBE0gRT3g10unCef6iMJNuAaNCZzcSkwpDh
UybCvl9pWEOm4Y+iIURXrmbVMjBDBTW+DUyJptWwLleQM4o1C9Hc9Mz1w+gugLORYjRk7GnRXssT
NFodl7LGLaAGY+XbJIAdIcWl2YC83/F4nofKsZcBoQAZnQGHg5vFTZCzVBK0c9ySkGkoyym3wHqc
zbjmjBY9kJa5KKOFsWYNUkL1Wmy5E7pwDUgfT+91jZnkIdMuSXpr8RII96hvpNI1WO6Mc5bOiq5c
tEaY2VNJ1MUtpWMm3Afh3JeexXD11gXttsKiZAa0wIQCuvqA/yZNXR3dMXcZ8r8BVMSizxBKlUYF
7UsXNvk5CvvPgOunbepdOq4r8tiw/Wlszm7mJl7zndavzrwGc389TD9BQIYK6oN46RhfKSza6u0f
n7sd/MBWXECUnfbKS6g9dpAYCH4AiPwN6NVssi7bY01TZevruHgGw1WZcnbetmTxRd1e8Z9TcLCf
urORp2BvqtXSGYnEeq/xuBUDaibJHLTCLlGuYVOaR8mBWCuc3HjIvTB+EgROZlokSFFG4szpf6Wk
l1Up9U1rUp3z6xChFzGgCFymtQZxmmDZMaUFVnu4CqD+RwvTjecOFn/ORKyo1iBGhurqzHfStiIz
OydYEeSzXt/xBW2X/GRFeTYQaOGWbu1b+OcqTzSliZe7NxlbhBCG39gc4LvOO9pR7yy6F9yRBb3Z
7lZi2lIRClkZrEPu/0opgIn6WQwJv4ap6zCTjSU2JnZPwIGTy6PCi0CvNzoRhflPpWObIUG84vqa
WBKaxb4MdFLSpfULhBuYeYkF5H/Y5OjWt+DRNQRwwCcBh46bW0yx5BvajC4fi9V5rSEQ9hER4QvS
DhAwaEMIS2i6Dw3G0HDRMAz3Cfboh0eFfX+BInijPXKMx6KboYLDjWe1uCj04AWlQvw5YRkIx5e6
Ew539ZjI2aHOAafWONOdaK1Xy6E562IQIQpE++PMm2k4Ku46hrjqh8MmQzGnrMXgIOYCw/7RNh4E
QjJv3jHPo686lDZx84sSv1CBXHg6XS1NnTa+JfqO4YNMssWbX3z8c/jII2zPvc9KcoTDA+0zvxT2
gonuqhEgKAaL/ca7Vijy3Uzewbpt5UvWbkbL9Rq8Jdelx8st8AMAZdKSrWfFK6M4FvQigybDfnaB
Xyf8srJ9x/MM0AIiD6HpVhbyK8FVEA8vHL4PgrKhCIP6wIDL5705ydEaDlu5dzHeFXYvkDNhaAQF
OZHvPhWMd6lGYlbXKVSUcj3dwWfITxoWoO+cRzRyUXBq2Xp1/G31rzBadAi3amCHtyo4yOa1Lj6y
Er7USpgc9i7VWsvsqax7rPiwJCtXue3iV1UWkM5dzzsAhvTxpya01iGTZsS3mswh92cM16nHbkNi
qPetMfxQEIZuYmsjZtouFqjJsKjVipIB8Do4jPWbjVgDL3USTz2WCcYMCS4SW5+FqB9qrsElPp3B
F+BQwiCACA4kQ9D0OfR0xrnC4qbYIpIJm7daOY76w8KtAm0f7NDYW/ls2A4ob5MX22nYZuFDH5O1
qX/m6p3VqSrIq2Byig52gipUcrdbqFJwqRmmNba32JWcmD1xm4qWa0IL089JDZmN6neloOty2+Li
kNocqrdB+VLhmtTs7bBdTGY4d+yPkUIwJjRp7XnbJjho+ofiX7B/lb1toR8ScxslBzN8ONYbBLYW
j4qPSdlARg6CWwyOr1hnnx2gbVnWhXMLgFV8QFHjxaxorA5SszconfGTkL0NYuZyIkNrVNzMh3qk
j0CisC6lp0106oA60QXo0vE8qgi7Xeg0RAl0GV17DNJ5mjaS/lQhwyQgV7IESpt8DPmjoNvKd5im
xa2oL7rAXzJ+nlf3Abqw3P/wQKWWFIldBh1Jxry+IgvCDnECy98C+Y+8biwca3PbBWuvXOb6HKfq
LbaQCey+HAanKZ89TG6bjSB+eeYp7I8TRBNjleVfo7Ic7bdcpxJfcMky4bKbra3s5RtGmGr9oYVv
an6fsOJiwCKtQn2Z4D0MX3bJG1Dstj4m5R/gUFNCgF/rrXJ+6xQkeYSe73TfXsBOWE4JAR0fNrYE
5kJO3d5ElMDnLDu0fVg5gHBF/TWozgPaKZiaHUwa2kjMhs1xPxBaXWE5ArAqtQjpEVxFZ+wN/HZA
S7t0rKeSUHIdghjFFhqJHA8NG+mi/6WrfxGftUeAJ1vfQC1E5LhizxcWHn7nBIYSYOPS1japfCco
cmzOGD/XxgEYazLPZCiCwKKlwuv+H+J28Jf0bOYJM9ivfPxJaPjMlKgM+Qp9Fi5Ne8i8Zr6opSdG
SahEsvwq43OSPlrrZ2IVSFTwqaAw9nf4CWFIpaNsCUqO1Yeg1NlYq955S3I48VhmKMdMgCE9JixF
t8RifeH1JzG2SLV0Hqm/IickUh5j8AaXWvOh5+ICcOiUU5UAixz0Zis1VNoCq8t/UsQtFPqmteZw
ECOtNsSw8+7gicqjVqZn2sycuicoiAEN53cQcBk4QLv23mt25NDwa+ntSjT16tsxSPEIwO2fV4y1
PTsHSxQPr8aT8LnCEqsRk4aknNUAZEltzBuulcg4gvAMmB4p/UcaGbNEGGP4f1x/+PwMEdkk6QPr
T38KyWg4msklkZ/6hMnX8BZtJb5cv81JsGWIXRHSvqe8CsrzCJbV0OTm5o9DcdX7x38WDtBfs1N8
gHy2PHGXbwlU9MH7zfhaPRb2YsDdSA8G9yWcabuE2kJHDs7aqbNB6QAaMK+4pW41HMqMNCmXLo7j
qqW0+gfmaxctuEeKGR5GuJjt7GKmG8zqvWLD0INs1Kk4Vz18fm5CuNdx8on2K00gY6/I3PF08WOV
/l7HAyJE+y3OO59REk9PNU+Kslbp2NBJIzqp8DTg4Dio8q8AgjGGq6KnZh8522pMRPH4dT5VpJR1
/gwk4HdM2odXoiM0xPgtWFfA1c5O7542n0x5itGkJc5O4xRYc4O+2tylVGvIn+ttr3LeCcXlkWUy
xRumSxxsmIhQ0ZCWC5gzYqVJng0kRTyGHwjaMPtUcHSyOXIc0Opsq8g7Hng+PMhPgwoU8NSfEVx4
qvuD3n9Nw06piGtcUgDaMkAccQ+M+qqe1+7/yh430xUgj1fCXmRAto0pGIadgan2fhrgKVA+A20C
lDiQDNfWJmDLdbc8+TWU29At8T1xfkFerfy3zE9xeB3M3diummYP076HM1jDAZMOg/7mAIMSEFe/
6WwLNLnRnyIDAObATvVjym7ey+gXdsikfW8HZxCTLlsn1DQtoElIUlD+IsaWMXVCH8UcSNehJOIr
zWCjw8cKZiO2A+kmInQwCVw1hZO5jUgvUS7NCFzkTtkK0UErQcHBORDKlHbPIIfXty4+h9HHCHWk
jgEcpm5WGcdGghT0lkF7wNAvZ0B5E1kvwDxScy3HnTBrp+gZCCjaMvWzrIVdMRU/hf7Vkx9N+V1r
11D9kUK80iHaF7uY7svlLYPoLKHXq7rl1K19fV1abNsYt/iDl2Hbck9KGJPINMGsuw0bEs8wJuBY
FmNfO9bPgYK+wpSlXaHOQB7vzxvxQcwu2FbYWNjytcMmh8NoBJ05egWOyBuTrG5+n2HWoJlwRbJv
4w3rjGBHICJGkIAwiHfVvUfKg3wIQ7ijxJRYa0t9i6R3h+Mfq1lBN9wooHr1wKbpVyNhGvWfHhVu
xbzEHNfMOVJUhz3mQGvVexvyZSuTubOKewmznoMV/k7w4brCHUaWwbwo5tR/aImKZMPpazrfHpPJ
6G4nLkEtZrkltt5tuItDXATwYYRuCxmM6I0w/Cpxu0G435eHsF3pJt3iHjGqmV6HOkWlJah6bha4
Bd25RZ083pv01atcxJZB1ySsoZj1U21FRJCDvuYHq7uZKNjr6lvSlvYgeJqQXSo8L8zubKowaaJj
qbO0bPSeCKP2CuYAMY7LaB+RVmM9xabz4MJ3UOr1DT6atA86uQ4dBEmkINi6iKljepKkiAzG/cCE
pEUrHHb3ho8/Geg4F/hWdfcoJggVKLDGom+yVh0O2uWqG7aYcfmRG1vX1qHyob5QUJagAuzwEAsg
YyJqMQ7Y96bWSsP5oev2kvZWtN+pgWHova+30pjQnT8ZGEaoY7ifkiNE2EY7GPBrrCsxBAxIes5O
nMfTkKVGTbIjyEUfX1Wxt0GYKx7Wqh922nQohtMovSSR6v2d2C74PRn0k7zWoy+4OpaMsQkybjxc
T864yjkfM0QGGgJu51HWt3EXZs8e0AKMWgZ9Z0GZzR+ekCbGmtWSCxT+BohRgpP8+M6bgnxghBvK
tI79n50/kZO2IGDBt+ew0LcJBhk6TC+3MHklfDQoLKMj+ZkW046oP1nDZSjvef/I2DF1gbPR+C1Z
uDCiv0/CV1oscay1+M2CrdesJRVoxnrZ5tUAVoRHTssAfYZ42YJGdqEG16n9MjBuUZQ3Eg8aa5dP
O0fb6lk9hycr14s55CGiZGTI9wLyxWDesE8Y17AaMigXBL00kCSOBUa9PnBdQYNn6o9evk3Zi7g9
UeX02lrichK2ghGyHObXFWNRvhLj98x/G+O7aX2LLQsWG70LHTXxj/OSfoVhEVi7UV0rY6eoF4K/
JnFGoJGxcjcMP1qoVik3fEv3nwTgouGHqEJRHdD84nHmtzAu/jzabFwulGPnv6fjb2JGiz4EZBls
QvdOBps4Xw4YaiUpJuDnwsCi2K5u43gl2TUlwCP+5hfAT5sgh545zUBjhSoOVgieoTA3zVWC0TZ/
i40NXZ9xLT4NhU2Y7qYn1piCNPa/Hah4VKPQ3VmuNET8KJWKP4zlAXveeOiEulE9M+VI+U6twdzZ
EJESX7V3wZk3rTntNrFzL3HawkVG/amyR8GYwoJOK7/RNxaYQDJZzzcs8EJ/59Mn4Y4UdPZpOZzw
kW4QHvofKRFgHi7KTLHfHB/lOyqBi4baHPNbMUWJXnX/y2Ns+7Nl78L0LjsrQFGqTTu8puqZR2VL
BwDSwMfY45A5uFofkGNKbl5eSrBer9+10glUbwR9sqtl1nmuVF+x+G3prfIjRzHB2ODAkIWrWoxb
EDuLheMjC+QM0H44BumwfWJSw0VtYJpazlq12HXp1wQkiSTJX0899gr70HgowCktA4Yecx40cRY3
GK5pxyDGUuApmdvUzwFDaGAw9dWYNDAYWvKN8GiVmnvf7abVFG1562S4i+qLL4gHhfA6YaRXYrS/
UfVzRVhy96uMe096FNZpdPZ1sTe7C0METFHj8Ryqv0bcsAMvVX2N6qsqP4rsnPSLGJwqg9K4YI/4
AxkRf4r3MNO3nusuWEnTGpP5qnjP4462i7GWj3kvIpKGGaB2t/PraJ8LEP8ovahgkPB49e8A76cJ
DTWwPD77n920iSdIS2u6H3Q7uXyLyqPI5DVImpvA1aiqYDPjsqzAXu7wG1231t2Ax8tT5jhN0q08
nFXlSMCPH911b1o5ReGqcUSY7qmHuq6BoEVUCrwHfybAUawvQR9VrqJwmxtfSWrNvd4+qvVAZ7hV
MMfWNkb5qWFh7+jSxmpB5q1Lyey7QCzH7UfnBdeFqF5OEqa8/V8nXTHu0oPTCM0Eme+yrG5Fnyyk
xmbw3W6AWc3uB/M+yFdx57Zg4w3mX6sYwyWpaqAw/QzFT6HhC+E22i5BQTeOSLH+dIgAmf8LK1/y
kN5/dsVH24AD89WBZE8U7gZTLZhy8coJnjL+fCroMMXkcsrcKto3OG7ZbG1sRi2Txvri05WOcwYU
Az7J+kZWaC5i0FjvgqemFh+RAdTVPrG+dYOoFHiMyX4qNr15LIGiZfUZYx+C9x6OndoyMb6zmikW
6CJkKAePW8r5+GNIHoqFizpaN50qfyT7jrGJEgHJQqNXrkH/0atrZ6AXusdfuQ1Jq+HUCTCLql9G
S9EifU2IjnU4JZYwBOp35BJDZrIryDtuyEc2Ku75CuLPq8Z3NUI8tOcAKgpYf3AuOWTq6eiXlxyT
JMmgJZI+0/gTphmNSgFiAWUPFMYheYDZHAI7WAlltJSZH8llwtG17Un16teN5o7ttui/SoHdNHDx
2ismh5rTATLvufs8gOuE+q3VvjxgsAncZt70DOBpo4L4MaLJ8HZ2uq7aNekqXIpcqtxfQQZBQ4Ph
obIMlXdjpFCMry2OM9xbjJZ9+ShEihlUEWa1bDIViJ1IdFcYdHNvivPVh7MvePapsQlIpqCA0Lb0
yNfefAhVhLzGKwyfG+ahfDN/uJjDtijfcwoTqYPkM3wLak1Uu4Qpgv5zNXjw2ntAfBOCeBcIoe+7
JGwypFfk/VnAWTn8o0PePSdEUhJoastx5A03XX1Y1i2XQTN4dgqIDAcgyaMlRDlGSvqRrGJhE+Dx
tpbTQM6BhCxckggFSJ61RC7cJkrf0+mdYfVxSte+UdCKfjT6hZoK1nTN3TtNrs5pH+BeAfwTOASF
fk3VKTS3LCZBNld8VNwm1y6pZ7ZE5jj004p8cRat1ggjjRLI7a/3P6sQ6BaCfgqu7LgOAQBkOt3h
rEXjcxi2NG62fpL6Sz/+VOWXE/569CClSXaBtc0K5B23nP9PfkjnYPAs88tBXBW3mElAxaoJd35z
lJUvYDCBiRE9PVM2ufj/nrZwdJ+YsxiS27tUKdB+6DUDTDokwCJmIkysoue//I9//fd/+9fX8D/9
3/ycJ6OfZ/W//xv//sqLkQ8fNP/Hv/77IXxVeZ3/Nf/8tf/6Y//9L/37G3YDefr//CP/1xcSH+e/
Xpe3/8+Pt/hqvv7bvyyzJmzGS/tbjdffuk2afz4DX0T8yf/f//k/fv95lbex+P1f//LK26wRr+aH
efa/yTqPJUmVdUu/yrE9bo7h4OAwOJPK0JEhMiP1BEtVaA2OePr70fe2tbX1YI9K7MoIcPGvtb71
z//80v7nP/8IX/zvT+q/P6jl7/+fXzx/5vw5Prk2Lf+/P/D72Xb/+ceS/6ZtQynPdVzTdDzH/+df
w+/yK4JfsSzf811HOlKYwv3nX0XZdNF//nHkvz3b9R3fsz3PVcLz/vlXW/bLL0n/36ZpmUL5ZKkc
2+FP/Z8f/P/5Bv/vN/qvoqeaHhxA+59/AALY//yr+u+vevnRlCk9aXlCOaYjPRe5iH9f9f35GBch
v1/8LyUM0EgeXoA46C7GCIyuqTaJZx4bcdMVL5407DvLnoDOIxZY7SFjaRFpRKg52gJahJr20yU9
dyECohYaH9SiiZxp4I7EQ2hszN4Tl0LFhyyGVb8sE+IO5xg4dPOO2t8itVfT/KEQ/Yxz4IJWy0hB
QlOS4E76pQar55XpPisMGUlPEHCyPnF6dHjDW4gLLc49+V3jzEhy8Oc2dpLphdDdnzBt71O9b/k/
2EAzOpziAMuS/GPsSLPagHSqR9awok8eP/KQVnvoUyOHyltcbG1KLXjfWB3Y/tRd5T0U7ZlVeClJ
s9qtgbog0AJc5qg+4+zqgfy98snQ4JTlUB8YH0V28rmThrikoy5ZLaXUpXrDFs4s8ILy6LPX2tx7
P0s8S/QGBv2uC1h0nPZQk6Cg9y3wKS0hNd2zPxpbtCC7IQFJs4L5nqpjkpIia/D0Y2jD8aKhVVry
oMVf1e46zB9VNf7qxt/Yhv3YpwAkolPU0CFESBcSYz86GPNXqYPMQHi74JhKYTuWDpggkmQRX5pD
p3PHAVzyMyZ1itXktWhwKVjvVtgCadwH4WaCsmN7my5uwTGdNDpZKl/j/Nu3sbprdChSJVxoZ0ps
cmO41MY+hv3sAAiJOC6ZPjOL0d/PlK20SOEWOfDQj9YFi36GDDGb1jpospNlPeRy5EsYVwpyEkDY
RJq4RAnDElTJohpgM7IQ+tdtwNjmYjZpFipfm50k7JGinw9I6UvdhufeJkyTWT6vtIMpsAcZlCJL
WgMx20e/d8HMQB7heBCleLZWnfGnTvbCj8mpPUGPGu1nWzpXHfUPs33x7YrEDF7piI+qv4zNvZfo
64zQQeUnLHbQYvWlQqx2ZHqfz4SOWJpL2DFVU/7oCOzMZsLcKV+S4AFAThxummZvcJnzPsix5F58
0PiIGgzxGa/IQE+Up/1HkXTr0WTobnnbFpJglT17KQ9Nyhx7HNcm90HsnpxAkcl8apgwYhUFvTUl
Gx3IzMJeTEnh3oiBtEdXG2qqiOZ1746oCCY+iPQuDT+VjYV11W4pJj915qr2XpKakUcFNqIfox1d
OHP5MrtqXd8XFeH+dy+EqDiOmLtB7hS8r4xpRh+1PBbbzPpsZiClz3XG3zhdB46TAepSXYttrp2j
1+RbB7wJcbS45agQQZ2dmxpg4LogrGR7x7YiZjgMT0P3Y7eImsW40/GrR9GNHLOtIttTqubVYJiY
Yw7XJpd5gaXtEhef0i/uzfqpZ+CRDAxpeRqbDLgLXSLpoau+o/lLUYJjcXJG7i5i/ytDeJmyR92Q
9QDTGfBIVXzebvkcELhqsumuHiUJZTi1JqGR8OZ4M3PaZlMBUo0ci3qXFvel1O0daHFx8hIskUXR
4L6Kt3H+V7MSKZQTu+GmgSiR40arHOIUXy3H3EhnGw+70igRKOjBDvXzIIG7Rt3KtB4Sk+Aa1lA3
2oyzWM/9vJYEkyXLRdgwSZrtU9BC3Ae/IdNmHydYdY1jQ2U5firUzTHGJdXMX0nOuF3hTHBL7pxc
PMYu+tT22k1yOhs0bpYuC611p3x418LldenSHhmO0a5yGey3NqO6IWAm3jKOsn2k9bxqD7NQJ8cf
8rN03KdhrKqtCGxQnOV0bZplTsqNUmpU43n+kYu6BRto3PqO0ZzKg4GzluEN1eN1/K3jpfTKoGTI
H9XBcuhxUtZCDaC6nAG7cqBHjfiqWjegRDBt4MQ1BWTfzNkVDjZanVNXd5tSUElZ61OrAwm6AJhl
acZaWeUZ5JAYohIMQUhN6o3p9b+iZVJX5gA+KicdmS3ApXP9+JayddWx5v1Y+j5b7b6VHLF9K0dn
7aJ3VVP2Z5tc7p2S7sXE9Hcs7Tkx6LRCbnLqq+TUHen5LvQ13uVg7Pc1c86Mkti+JL6Tc7hcahT0
3OuNUbm4fx+szKANulmBKDtExZiuFJYhp8lJ08LYbSFF+0AmfdMBZ5WV5r52k992PXV8gnUV72hi
XEJxVnxXTxyOu27bOq9d8D4KGxYm4k4/ZFcZGKg8Mg24PDXwqVRjROuZCfY8jcQ8Jj/fd3rYR+RX
Iq+m44H6j2Hixi1D+eA77OBNaizT5Tgm6DL2h74yf0fBrldjEKggTQZmvOnId6xVFKIxbZxsaXGo
Fd0S/Ktc0Xh7bynYyqKB4UzN+BOZyhcs9jHKk5V1/UUESm9tatLNbNrG1gwGJSdFXU70D8UzeZfR
f07Hoj5kpCASPXxZUz6uq5kMn9AuyS0Icl3+RDyN8DBPBlc0Dc6o6vKXNrCeZzMVTMk9lNK3bkx4
A3yM9bFdMJBhTe5UhK+ClcSB0eUmMnqtl7yqVUYrPc/dVifaezZ0QY9cyPvhN8NecXOKKO89JnHW
0khtvYRKQf6nkZbyY6iqU/dd52FPdxMZYz4cJhFFcuiHlRk2yZ1ImxenJB4W1eJ1cDyPoBnx/l4A
+WgbmNKkvVuGSiEmzsjS3WpwyeF4dASwGZ4DCQ4tmBEGE3FuOi7Idc4ByR9zfAiIMp5X/jg1hLRB
YhPteUZHm0m442M/hQJn2wADXOg61ArZw4XWidsUps7OpZAdQYXtJU5gn/NM7f3MvckoIEnSmN7W
rOV5wPNjmUyDg6Qysb+baFpe5Bycyca8i6J4J6thNwZtuO9H9mN+20R/W6zvgyR8cRV05+7eaxQO
vcLtNjOu3cpLunPDb2ZH9fQm6Wy6xWYc/aIuD/x0ySZRP/5MeetgwnVK8o6RDt4CgxBV6w/3flLq
ky7rvWnhcYmnJ/o96CBgNoPX32gY8nU41juwDML6k1g0Cx28QOMSQs8GgjCwGVlw3dijKMFImvvC
xloYbscEBO8iA4Ij42gZYhgMWmT7TQYGlVblveg+52o9iKPbX9p6xilH+R4rpjOoFUPPi1yiMh+R
+HZLcOm/tn/xo23DoSHjJ4jam5ffjFhtuFFcGgxGibrk4R5yp28aWyP96wJf7qpzrpE0OS+1KSki
xFT3qtG+MWBWVbTPcAYy/gT6GQwlN3FwBWH8pxPyc8IsMYakJG2HESAzOZpoaKj+k4PD7+KPosvB
imNSwlMANY115k+IJ1VodP2hv6sEpcDvU5ZuAPqZzN2a+dga9Z3i+9VliBD2yBFaDc1rydm18+eN
4X5UNRAgZj6iPbQIJNe2Sp/cDtAmT7+Zw5xxiZm+t7p5jJLLOBNOoHQuy6EU4YhPsOhEBGD42gms
zBphsI+ufW9uXIklBzCUGuz1AqSbH8uF+aMscE/mUZpHV5RPUnQMeHz/yt13HWErS8XZmXyojO9+
BVwPvFHiBCvCkLPhH0xUVa2nc0ImLBb3GMl3My82Z59yW8G6MJ03TSh95DiRMxGjUnn2xVEXhz1n
7dHbyaq7xrjpBO9Q4c/EF05RRzM4zDWr2mkHnwsj2egrIhok+cnw4xvcK8YRPwUPlQZOZD6YIIT7
xfGlrVXjfkfpxsazNvJdZSMojfzk+YCZRwLzFO4xmDRmtFJqavDjTgwmk4ZKFHYxVxEwgALhr5Pm
GIafutmMwdWsHBId9yo7afKqnkQe87ap+9puG9AO9fgwR4/9YGCUfjZAwxSUturkJUDTCznx+3OH
XsgDly8vDPlVDFmeBfkyvtQYNUqtz22TYmdaxTlxHOXRLQTbbMxwj4Cvj3I+3kpuA6mwiSXzS0/f
GfvyKpG0qSCblYF7N9Inosp9PUVX/I7wT/lXWA7HVJfCYQa3qApir11Kquxz6FwXnDEQHoOIY/jo
yase3AW1v4/8Qz2Iex8FZKR/JG7wKJPbwmfpJoeB+m6Na6ElUNAMP26M1gLxsHnwFvQgLrgk+Egj
MMB8npUaNnHdcurFk8oclAZ2UsDBXWhWjzqdiPyctRyJJHM3jNSOMup1Yhd7k3pBo0VilxbG01Nf
9q+egbcOic04qgizMfrM2L2xewG6xpLvXhfNcerOkbeXzJWMxD1kpn0wrRMvY7IkanTDIAz+MrH3
OH8j1CDEvOe+U6qHGHZhDfzNDz/ckAPBAEor+OyRhrltahcIOlFkyyTRqZ5rxMlO15uY21dtwVmJ
eWo9ZmPZm9PoZ0nYplf2ppwulhgY8Bp/bCu6oPLtK64XqX1oCrnpzVOIVb4ZOOfO295Fm/V2sdZP
lnoaOfnYpAZ9jLE2Emif7Gha4dLgo2vKPdnAqSqe2pyydeDfGX6FuSB8oeL12FS3zpBPQSDod/+C
jny2uMGPGz9jqsDAsxiPin+qLShJBuoVdaxqSNSF6tbC3aWMJMbKoH/lmJs99KfHqUMvNagmhprS
ca6J2wAgDuxwv96NDZl8RhBBvKsE5T+J2jQuJhsniy4hlqDCy68jAeUgagGsXor8faAn0IVAY/AO
1KF1yYcEFztLuwjVesIqWxf5ccRrnm9EcgmtW+3NO8V8XaGgzsHKiYgGmM/VOO1BHdH+7dxb+8Zt
tmAVDkoZx9lFJciB8HKHzzWZl7q8sSxsDJTVYsarhoyft/mGK8qLSWpJus1DxcZsezX+nWIVMidm
ojCWEJjLVR2iwz866slp8fYzQZ9iK8SRkr75lMYR17z06UZhgGzp+AxI7PsMEKvSelDmvfBhrUz0
14mUEmslP3KPj15emshA7hc4myUTZAVkZ4LKHperEGU2kYSmfdKCaHqO8zzibslzJqYZM6EwBMbD
NHdkNKx6vuL2xcrYaML6GAUGjn9jPeKPKgsPfNb8QNz6D9G5teG9J+ZD6GNTLn9G96md3xoAUomH
W9t8doO/2eL3kZLV3mfdaO+qRG/sOi7uyr580LE8iulvrZ2NFTK04JYQOuN3lci1N5V7xvCIixEl
SNRBsm5a3thRn9ivLWyKEdgpLcCWpO2mdcbXCe+AOW6GsAWAhoLf0Aiv8AFN+WV28J/y6OHtn/GC
6uJiOVBQtNq70Ddt+RjnO3OALr087vPZ4MLUcebQdrYO5CErzNWLkBN4omJDz1Tiw+LgqOzEFWff
39F/nTLzGJq4nOXfjslRUV1Ke9jkAarUuGcYH+JA6qSFAR8zLZH/xr5nnLKqzVMwATzkuJotLN4v
swjWWRPdG9KBbO+fgxB9Q2HtXHaysV3H9qNZLzq6PFPX4OCvcJh9O5inVMbFNFTLaGrvFCfzb8MR
O7b69cAxI8zxpHQwPDB4kDvP0jvQH8LBM4Px0kxJtZTU4Lm8xVZ9UGgqWo33pcLoh8/Jb8+G9+Cy
AEqoKb/ZEgyMdyLxD2lJ81dU3ZslcFluY1VwXHimRRU9BNPVjhoWWBZX6hKc/FgWFpW73BWv9lze
KgM+9KGk24m3gleOMnmszSbbT/PlR/2TtMiGUFnaVTZHxb898BtaS8po+tKlwxMRrAJm+jEWgxh3
pWFZt7h+Zh9tktfA/+rVF3Xpyn/KLaQxFLC8EMQ99/5S3dPe06UkcCzW0WvM1KaZaRIhv2LXCy28
BFWcrcCfkbFe1dAwMQ0kiOj+zXMJ5JHa2kDtbiMIydD4r25LBfRy0ezuipDxKFllSx+a6ZaljDva
oYBs7W4nfkah0l2Fu7iMhl3unAWXO9UPONFJfAbcSHEOxQicbmkdaA1DxsJEzGSiS1k8UJSrKH7R
DKsAQuW99edhJomZgaWsqqcu82guq1fNjEYR3ky6JiLYF8mbj3d1nCkg6wfi9lhDYlDYGHvt6Sf0
ObJJsa14OeeG/1gHLXwm9F6VCV8KYqgZBhugKJy8NnMLBFQyUOZMSE5Vpw8prCmLo0ph+t9pTyIc
bazEUD05cMTMV+jt62yYvmsMpKmxtuwD18o1oIYEpatvNe6SY4GcPVJ2bI1Pbfxrmj3+HVzfZKxs
GLcOtNaRAEGOGhYi44MdL5HbTTAfcStpH3pXzrSKgK27LKsTE8Yuq7hOX9Kw2U2Ox0+C7ZSZxERr
9ONMXiAuwOpOAIfQDSH/cPUnrw2GIc+Yc6aXxF6QPc4fQdgn4XUrKVab6Ohy0TwlV9I8D86hTu6+
u46+p9xURwNQpz9sGINwNzfxLvp0xABX+C1Z+tiW2okcsb1hNsSZFWgYv71H1daYLfx4E3JX9pkA
9DBGYqc5tNQGD+na0VsXu06LSy0oLg7gwBksfLwPc/iGFibo/jJMOCHTswQSvsS/Q5CdTPMwEJmy
I8lB0k0w1JGnicxmjVSf8AO3w9EfqO0sm532Crq6QLrGeF6ZQno/Hj75CSi5prZ2wgQvwWg0yymq
+puRhKEVOYngS2oLJgZWY+ARhh/vvH5VmUToeEt7w1o3Xc9x8X3mWW6m77Tx127V7rT1GYqWd4NS
ADffqXpnuSvFXk0IMSfIYBBpfTWcrY1JPVnim3wMIx2Vs8kQriYIuxlwfidxdxqTSzx9qhijDabi
ZejrC5YLj/WGVV0D3srGlFv7oZAzBqCdcE5DsxQxHYalyhf3pXpzxvRP4i5NLjs/u3QwsdAyhri8
K8Z6PRSUkhDxmDCG8fTT88URoy6PlXuyyDf5JVswgcWpZuU8eJykq47idPlStJeAHj6LXHlXPFXO
R4WZO+PfZsbnDItgETboIwTQYOjMF1M7kGegM3KqzL4lbRsQQhSE3glkdITdVrf9u+0/hDNRvjBZ
c5XhMLPNsEwmZFMsdZ/EFJif67JaI+jMBEtG3BE9I0XUs/XkG3sIXdR42WqmwPymnUPFeDYEz1Xj
VDU+BHV2ktW/OnR40svkG3F0lSbhj939Zv5TyzWqzx+rYSJi8RnVt7n5Gvx+O6QchATtNYzVPG3v
zPHN9QnZd/Gujo91dDBDFzsn/fU2XASM3olhELYEr49nxrJonK1WLWtPp5jUUHUxwKpu4HUvxAUN
MDKcMSnwCTgnmxBzUrrHbMbDwi5A4GASn6rZ25IVmCJ2/HcDnaU1oZJ4DJ47YLOFqtZadB8lZ9Fl
3GvITc70c55JB8l174GGU98Fy7jdQSmHbRKa03ZOi5ObZsuXTyVXeouVc0hEvdfIZrSFRUvwxCW9
BwRGDxs/+syH8uRODHBwO6YbS1TIFDNgm1WMBuSN6z7EOIAMjsNrlSc/TkKE16MIwThVJOM4ydhT
vxpRk0X8YQAxyvqj7VUbBkMTR1QSYDh/toHZbOcOJlLFGqbqV+0sN3fCW2I8tro6TRhqch/1Jr9M
3vSsOgh2uFbtefGWJzsGjD0gBr86OEjZvgdDTtDsPXJOu0XpyRMEgfIYXhqJFLw7lPRV4lpUT3L8
0nUJo4+y6ZhUk4HFDnWmCY+FLO+M7m9VUcK+ZLLs+h7t809uPQSLZQEKo0scxmj9tZjeZv06qZUD
UeIt6L8VPScaYIxTbHX4XJbyRrdcc2lZs0aTtKnUzyl36tQ0rxVUcFFjGBhJr0qoW7RT4Mace+8x
nD+HnJer9I5l095rJpipka0a0QEGRYo0+cS1/afKn2aAbGJeyJFT8z6a80sWMR1z2dMdUitFu6sZ
BoUE+KzpfS5JGmDGmdhqK8vYeYOzLsevmeuiTF6m4eID4VgwsFZ+qKklAn9BLO7VTlCh3Ox9YDCn
Iv/OtPW9h1mw0+0tc8SRU/rBqwUTKtfcWN2wsjLsTskhNPEOpsCKnHujO/pe+KI58zusizJ4bbgS
9GOD25SsQJHw6Tds2uF6VAVzbuPJ4eqd4O1JaO0gW8etclXkuJ9Q4kqY472ii54Aa2cN26K4JumT
h++l9RnVDbRDBJSHLp6cAK5g4z1FBTUfptxGJi0rjL0FpSwdXe5jxAEy2g3KOw0ivXfchxmy6UgO
3+PyZzYB2G688d6T6wfrxHvP6tc+cZ9BtX/3MB/8cyHknU3ypHWPNkUWDFhXWh+q7ogvgzF1gZ3n
WcUVZQrP/hEqxaUHaGfVV8skFOsedY2NxkTeDm70H8Qi0qSSn4O5EH8cHfFWcqBjGKz/pqq9tClV
CjMwVa1fA/7vTus+DA1dEehgZk/uR9grHc0rQD1tm6wbrz023H3mJiHPv4rwuSug85FETl6W/0vC
flJTNsWMHy/dfaeDveNg00siuADMsgmjM+hmuLnne5injaa0zPI0wI94F4p3NsKd/mYlcAFd0Ms2
b2N9Gf2nWN6ijWDDFfqHndiIsOi/KFJ+jbeZKXTIHjwabKb8roPWZx1rjFuPVbcLo33nb9pnIfep
PlkANI1tMv1pMaHUi8+c+Yf7SanUd5oLahY52UWSwAaYqQ7AjIYjBi4YcD6z8CLfGhWovuk3F/Lg
kuETC0CxT16TeiRvVKxQ7hjpqofBu3YMOHL3Nuf90RiAHtSbgfW9I2aPefeuryZc9QljQQDEEwzM
utx0aDIyJygqxFpDI6ow9VgUOSF8UNMEEL5YJyjxta72KYcNdMODieBQs8NaDscoWkAb71bwYNBr
aMnwEEtEXTb4Aj59VsN4GltAotneDt6N+a9LHUY2AxPk4kxC9y3X6Xpu6ZSuEUWx1nK2SgP3PsYT
HTGTG8Dx5mPPUO86Um8bqpvhF4/SepAdCW5vlSJxtyWTT9dimvvqtUwOMnyB88a1rUdFWiGdpq2j
viwa8ZjWd4WgSfTXnN44za/zRL3aJTZW8WFCmWj7T2vQJ9YCiZhczdzc0nOXXAouAhZrlOLBm2F8
q6WUrKWCSHGNrYaPKoVYSKlK1m8FmAbtd6sw67bqq6OIxpsWxuC7loppx+LHAJYJvpqGD+GRCQTI
raHrOiXgkYl31zrGH4qmlJi+NfwJSdady/yrhAg9+PCNol+jZrPMg6sfArUdvhzj4PfOKrJeImWe
ujLYdjzbhvU7+OdoFq+cvrGXtHetEf+oPiNRCjEakdZIGGmOqN8Ru7rEkxhxnDBg3CNfkWtKIvel
UM9h/rcgpt4EeNrzt9SeLgndOxO7pEzpiMncP1Hecjd/LMnRBmaPAXTfjKTDc/LTWGrNbL6b5bdX
tWdv8LduED2VznTwCGv7ttqZ/b2nn6ckZHTALIWzHUVGbv7XKfgMDh78rIQZcJttAiJxDrtrzViN
tjyfB6+xcXdw1satspaR8YQTgxWAJZKvhescVCTH7U8lmbFKiVWfUdtNUrYqiTG4yS6CRWf1417J
4RDSJ94b0a0t77xsuOrO+LY6f12r/jDTU2K6HQSe7DBXJdlapn0IrR1h2tBby05tjCJ70k3yq6KZ
wQW2Atp+nfk3g3VUvye09Caevpgtcejq12ooquJu4CEZdXK8GHHDUerF8VC507swo4UW00VR1yfb
p+DRomxd4p8sj/zBY5VmSDL8FK/9/LRcGJDk3zuXzy6dyJr4Pc+XZugFVTjiVv+XY9Qut6rn3Afs
h3/vse8Z5QWygsr9I+Bv+H28bboWJ9KhhXAxVO1zWjCtwnyQQIeFzJyWxq8ybEho/q2sEJkoZfKE
vMSBeSmHXclxQwYJHvLWouQZDyZ5JpPOTgbvR+HgsaXZrm3KfUivZwiCoGMmUFZiix3VbIdzqfr9
EF3sn5KhL968T4Xkwcfi4tluOIFb4maH/RFHwH3dN39HKDQhxovZ3Vae3EftvKmcYRt6uGipVEEk
DqPqFOmjxXIWLiXHQjH4R5d0Bndv9+BT02M5gdNsLGzr3sEfyVYrVhrH16u4V39Eixqbz7BhWaVE
0928sf+2g25F4AlrPZXDVQJllQ0mI8QZ1Q+KbW2yGckPX4Fs0TbFcWBAiLbwCJ4cojI9FWR+fIwf
fd4/4hehgizfmhwlbLtbGY57ZzGkNizx1s3DIWHTEsb8pMjVlyluHcP8RBCgrk3RECT2Fd4h1Ekg
UQ8DVd59XF070dwrhS/LFHsKSrlRvHtDyxDfDYkUAC8nj4GrFMDKxGnapeEr5sJNx6qTug+67zfK
Gq8Gzo3gWhNXhkCIKWzUtzTy3xsv5NwLS3V4FlROzDTTuv2wjsOfqOd0wsNfCnMdc3Ws5TFHVywM
eS+s7mPMDQwozw2HzTgB4/SnZgnod4aDyhysXdS5eYIu9NMbxp4T02rKAuJlmH0sSReZLn4lkZVm
AHBHHKblSGZER44lQ9O+FMubF3GoIzs+wznDvlSU47aZ5lWJ86gA7ec2UK4wB2UgDWZtvWDyg5Hi
rcYi4/X01VWQ/C7wa6fbgatJUHYfHaGrKBErt0NqBZDUDruEAPtQvHsde1PDMDoMob0X9LSUm5GZ
Rc5JAKFk4OGA9dSBJZxauoWjUzqNZKgol5DovlyuQWRprBaBC3wpzGmcJnEpaiyyiHCh8cKiuSrT
qysW3XmA5nt25Hx0cJ3hvDjygZxFwMM9rdLUIG3TX6ACtUJvgkFBBA/XjhXuBHSqttVg4JgeoBiG
MY63rtpIweZpkf9cor5WQb9nuGq+PB7IHmfgIhUxaccWVL4V5YsxWJesWzZ3xgrx8FCRVxnwb/nK
o0IE7QErfc7NsHBhXDzUmHV7F64QbbaGY/C5Vzd89Hct/Ns5eJcSCi4HURAvsblSA4/UHN8V1hGR
4UVx+G2gMNXilJIoy3r9VAHXahyK2yRvcTmCXJH60Ujtd6vlqGQXoL6YweSmuW6gudpduq174zxO
nIrgUul03pkxPAvOSsRpzXWbWJQO8MFb3MKZX9TURVYzY416OMce6L3R3hshwxwv2qTcInFqdzDY
ypQZQvBD9dcm51KWpeGzAdOmVnRZqmp1rX0ikBFE424+UDuRYmAbW7K8pf0WJHuNvjVJoIO/FYOU
EQejX7x5YiLlgNJd/0w25a/cDqJLx/4ZTDBsfUx01pMBpWKqoJA68UNFpFHBpAI3FsOVKoN9HfZg
TriB46Pr8pPQ9p0bJXuZgm7DGyfDm+18zAVxcBgM+KJzsCVN+wUUwEqMXeXQvUKWD5l/Nh/D6tEa
P4eCoZBcJz73DpmsJj7ZQWD4stuHfvZ+Vc4ghZ2Bo2xHtCwtPsuI4krt3KIcZq8B9a9NTmVsLB1x
28mjyQtR3XYSamnbr9gc3gVNg2KgQtAoEWDcnYFQIjgJKhj6JFnLgesARhEWs2ruHsaes4vLqq8k
Rv5O3A+A2/0hpKDI838HFb03jNZLByhjbPenhsWvpwBX1ePHHLAstF9lHnKUKtITAnVqN2cWVMe5
mQbU4VZYd/PY4VHRwRsRY8BrgL7PmEN5GkJgddl07ef6VpfRyRntuxY8ZNSax8XOSCB/6AjZmN+a
eW0DJ2LOPtuR8FcVSCp8qmXeDfObDitOaqXI73Vq5WtjduQrw92r6/QxxFEz3M4EbAd3BALqy58w
Ne/pdX7XbVi+euG4Lmf1Uizw18pw6p0ZRUxvCRnJxJ22QTMtvWgkpDFShY+O4SvQOBx8eYk5I/yh
WrS6mQPKaBWtbTXcFdhBtd05H/1AeYsjQTMKvux8bhuoYJT8pGjFTBWy94KoqCqTq69pAMOqjkzP
MjdXIfO4mendiCy1xaiRZawGAWmjMbAVV6zux+uNgEOj5z8GMdYknxi1TAoev1x+lakZHZK+D1Ze
L1riyOov27C7c2CdMgHl5iMBXJvLbLWAtTLPTbhNs+o14v1NW+aADn0LFlYEP7H/uBwn5yhdm2I+
dMGLQW6U8Z/88a1zR15KRG9h9jCW45GTz3qxX1jpUgdNjKJlkox2mi8ndDw8/IU4ISWcqIvHfumH
O0vRzAhnwJA0thOLM/Nk3wav3Thu3Kjam5xnK3dfmDwxTP5Q8lHj7aMIp1ugB4rvwiF7kpRn9NZg
vuQxl8X8ZSJbIZuErOvYUYWUoFd16lt3LGHuKIfXzG2LNcLWH0YQ/mowCmwt0XWwKu6GkC/HZUUo
u0PcZ7vU7+ytXgpbnWikvzsClD7iRCROgshVEvPSSUtmNkXeGW2Ss9TWMP1uGT/iQbU5XqKpu1mz
CUnUYkmuoUObuA3EiPMRUtworpGZNAdRj1/0mTe7oWyYp416hEuVGk+CcHspKJ6KK7oERApczyns
teNeWoF3oYqKpxHnyxSeY6RbO4xWnf6embnl9KEv+35SMAli//OZrwXztPZq/MjjaTlYMSwE133w
J33nAvNpNKogtdUBByHFumCDjCmluVYOOxmoTIaxqOMrof9m3EObAkeffLbDbjd07Mxg2ObHllmX
H37V+Bw8vq3E+TRyUj7IPFmJP8JcgZROCaOU3IFspF5wQFUIeZxoqA49agPoJEgzLNTjroXr4Hzk
BaWOROID51vjyTYcfDk+5EMc9i6kdrBJ0gdUw8ZPFEnuLFb4xN0mA+0dMGpg2xTzRthcvmNARwNz
MnQ+g4G5J98K5zORaE/dmQ22qZ7y6tVjaKTNdr/4WGfS8oFEvnsoI1ghBlqPB3iKFI2D2yXWXCSX
VumdDRm6NNv7+L+4OrPlxmE2yT4RIwDuvLV2ybbkvco3jNrMfQFBEiSffg7993TP9I3CdpWrbEkE
gfwyT1KmpZ9ahnaVk8Nm/TSCHlD50SDaOgWcyBb7SvzqC6AMzY+xRtrl5qhpW+yBVkwrw9sFTMiz
ppmeZ/XFbr84QlhsDrKZ1d1gOiCf5l8DbhdOUJy6lIk+XByk51qfW2w4c7YCt82mfEFxmjkD9xSx
XZAwvPjqo9WLYt6nfXyY3IPhpB94n6N8bgNNoTWwbdj4jLabBeg8feUxXTEU+lmAsSobTg74Mh0B
dnU2LtJz+hdZdFP19/gdWPDXKrBLAb8cMJ/NTGMkClB8Vi0ugOYaq8d1gGQx4MB+rNSvpiJ4wPQC
akgrSgrryRtbI3Mv7AiZ2k88NfZwH6OcAhe2gh8REu6Q/Wh5aiaPv8Or0mB+btR+GLNtiMl2dWIG
kH7CjwVR2pOPrc4vjbOm3jNs2yiI7Y9cnxQRoj4+5wQ9EKFaeUnGf3Z8a28xc9uRm52xHybBPpIR
0kzlI5EK72JICvSc0dvl2erxbqeEE7tLEL/amEUC1vu6wCdXvlb5SHobuh2xJrNzuz+LwkZv31T6
V2WUNCBLDm+FeZijf/GItppQcwSuDrNGyB3WMTBaFrH3cNnORx/zZI3R+F+k4bauHjcu4o6TueX1
ez/6ovB8ky+InBMdI/4/kXIwNLseNNLIEV7V55zuHum+iekQczsbUn2Oc5rhLnDz6n668ziGrn2C
7RdOUPjnHJuOjYuxBt4fDkGIFXE5bSqWbnlukNzS+LB4OJTJdE4sJfC0gP0GFm4aeXU4ssDInDGm
dT9k4l9M+SdhNzv04V3cvE/mIvx9OB9EpnfrW2dhyp5zBBIK2kP7ayIJ0u2daZXjzhHKZpLIO/x9
lPpW9o+u+OJGC06JPidWSydrOJ7wbsip/1Bs7SDmQZouXhf/n4ZCUX56GD7V3yYrtgD98J/6lbu1
4jenxUjiKahTwaiXDSXh8x65QGdTeyNsG8xCH6XmVNKp8c9sgBo3tvRPcvboBAozSUSOHFxQc9ji
JLT34pIMr84pvljdc1bfPBUM+hBZ/jnC/ekvtEZ7M9SYcvDil8gjTTtgl83cdyuLtq1Ba7dVQnOd
mv+mXhW+65GTVJyoH93AmDJrGgYCg0CqYWrehCjIQXWYphAUeO69DVDJ6zwA8kPHrZmQpkLriaRd
8uyWf6J4LBmgsVRZLoFbx4d/V9TjV9XCmii5e2IP4xV8agiuO5n/ouMuPKSDv/cT/VMyWP1dqRQ6
DScFl3EWB0vQFfbAgm+lQu5S2yT7CsKgwTVzTaS6zsOb4LJ3+UGcIGMS8iQzLgbsExH/D+MKhFub
iXRIJEr8ngpxrOvnurgfohm7JwOm8CuERSluc1PAA4CDXS/njtKwHk3TUMRgvvrg2MHise7D8q9r
5U8ZTy+eaHgj6r0wWF19gk+UhMFBzrDSGH/cBsPKInjWGEkSYkopvEVZPNTTezS6j1H0aZHbWfOc
DBbXm6NDYrsLKSdOzX3n8tuk1bmY1pBwGZhbI1ZeAgfZPqOqurMJWzI/7zvOzEu8QmJVizUWDjPA
xT7UPlFQSbg9lH+RWw+uNxT3I7ilOF1uKtOn1GLLUwVrI7VfpfTzeR6NUXl74M7/0VtbXSpz9QYH
SsTCi5No/5gXFgyu9ewbi/usLh6zkfUOHxE3P0nP+1L4LyXFPSJQ3raxxHRnt+10ihQXSF9xXrGV
h3/BQD/IRXArrfw+ZszZzizOXAsgj9Ea98qZN0Cqpj3pyfewHZsHG8LcbixCAIvkmUNnQLpgNP4c
u48MsJ6zsg/IxYF+clbH1lLhKW2MDeeh969dhVZeKQMSPKN9LTvLmtZVY1Ib6tk3fqV9KBfs59ij
4a8WvyMbgwIbYuLopjxFAVFkkkhDY72meIXD4tol8MU9TmV0JMKRnqpPOY8Jh8zfsycm5Fc6MLS3
HHShGGcX5T8knNWPgy2Ty5aBCj8QzwYhH/neZJ7hPXTjlwOTG4UTgj8Qx5j7e9dhnvEHDHyZ1Zwr
xp53iqeTQ/dMJj4HXZySitU1gkSWHtuo7u8yBVcz6oJ6s+i1UDdPEDlGEG0dcvKa/LL6dj2dsFNM
xKT3nKj1LihSHBhp+UIQg8YZjBYNxs9FYU1oKm79nWyI6OYnkoHnxOXOl6TjbZ7AGQV+yRPZUl+d
R8ehrvDRU82aoWzUAR7pJWEyzb1PZtgdJgVgYYyzy/fnrhIuckTxMk80OJv1oSgtzWl9/fD7i98P
pRfMVOmZnrHk+uH3F3tlMUpxxmukoujM4cN4m+8PZ+w2NQl1Iox+kxM254hY9Q0zTS1qcR7WhymI
l/88fH/tfz79/tP/9bXvP+178/9+W1sv6Tnszo3DW5A+uj44z2OMmUXqnJIXC10jcPpbJOnoHjM2
fODjneZiKZH/14eiCvB2R6LrTyFUzmFJ2gvOw+bynz+QLK+go+2wBJHbGrJxnhjm838exnxFsIx4
g21iOt3sB+fvj9r//ug/n2Zee3Jw5Fn5WF3S4v8+OI4s4D4n8IIst7h4WK4QZr0LE7XlgDU6rmdY
KpZFvHB98HJmfc768L++FiurPFlU1bcBtQGG648iEz7iHI8MVcxoEugZLucaCh1qx96zRWgOXT78
NLEj+7s6hWc1lCG1V01c7xu7hVHLs5YOHqRNKo3p2nQyj9mrcS9W7vx/n6dTslzSj//5C9/f9f1X
h5qrJJY+yAsxWfdouP/1MCxtd/k3BAyaYuDA3w8mcjgJ/c/nDs8B89EB4cAlv3CYYvGrtzvqRrya
WE0YKAytpfeyjOFH2/f4GTiX2O6TVVfyMU7RP6y8exzh8iwy10+u02dnxragzWbyjg0OdYwt4cH0
HEC8biofEkNodbCj89JLHMpkdMCh4shyZQ64Nrd/YdDx9toVVEw4lBBmKJiX7wcCnhoVyML6MLTq
MmXV2tVusYAONcXtdOIFHbS5ha6HIoFKT5dpiFdCx421a5PkLYldxRCuGC+Q1JgS4Tvp6tA8xF1n
7VIUxrs8I+Mn2vHSDRhjlCWel5FW+CpYTlVtsBXoqTn5AXu0CKNp688kkQvkOJnqfVPTAO0vGMaE
gh2UlBTHoFTmMXjNzLz6aWi9J/i965FThb146cG2ObHhNY9PQZRh9M2tw8h8eecs0V5a07ZxcFi7
NaUhqcPZqrfsa1KQ7hNCrBg3Kz3bnHrvloLhQjj3+16JdZaRPdcRspleeigTiWI3Vulb87AEvcWm
3cCe81DpM4mnMSyRyVSnr2kJPoH/2tMx4YdYeJe6JYtgMooJZmKDlPpuET3GV98izoI15fsvzgoZ
XXLYPNU2bhen6f2DV6K1jhGKzkwoKeQ8sxtVBhrXNP1+cmPMLl1E1xVa05PBuMVuvvrZiXzYyaFS
+7RiC5o7FqRWvxa32mJzGqilOpD/obAx6BNStqDc5375KaLFPPkkIQM8bYWt56ONNy1d8q+mTLBV
S1ncmlY8jEvrfPBa2LumAiCZLowmXdkmB7a0w9b2eyxjZfFaNJPGyrl6TePkqxazd7GxCsfVCXEI
/b9o9EPuzHRnJ9O7V3XFXpfj/JmRjwlaGl2TvoAcU4XPEoWozayAWQKQ8952xoONcAT0fJNOtv/k
Rsp/CnDecjZ0KCH676+pfFWlbQ8n1TANQO4oGE1EfxsX5vfk3hsQbE1/+37QVaqwIBTPtiOov/CC
9OovsJzsNTXacGKl1o3jrEzEoWqj7n7KnGIPtgdZ2+0TQNpWckEirw6NoyeG8Sg2ATfCPr0vWz+5
Z4ctnIex8F0G01m0nlJXusacHKCDAw5cH1Qytw9N20a7oexQVdho73U/0QlpV82j6sOaBJTXHfxV
UtOdah7iWOHmDQYMMSsMOkEs37bDMN2z4c9ODrTXfn03Fgve52XE/CGHEK9i7/Rq4w/Jb6dAN0ui
QcIfDlekmc18trYexl7qe4tgOD3JghJQlwd7gCBWDkgz4YPPLeVSyiy4pZKpaYzZ76ixqEcECp+K
MqXipZPkctd/S1U25USue+vViGRUu92TbfXBDTaxHC2xNYMrTv0cTD8Czk5MUgMulzdPh5hSdUyE
hw2gnw/BLfA9/VwE8QcMzYDJFOMe/g8RgibzrNS6ZConKjSENkrqAtVpyCS2Ysa8Kn+chlRQ2vCs
Oyon8EmFjwnJ1wtFs/pSTPMCtLBZS1nF+Fg2anyc4Ob6CXluXmp3W81p/OgUKtzZ7Ai3oRzl1sK5
c6QOa0NE0X9KnOi97eeIex/HOnv07TdtzLhzKdMYWZvxopsTM5JnZyBoGgn/oYl6+zgZQ3ucykv8
RfPriBX/vvQQP/LB2aVLtfxqw/bV2ITA41zQLZRV+WvUEbBBMuFlL97YK1W7mF3EyaZ3bisdnCjK
qh5aBqi3mhFqkLyGUUZXCgZaIqmVdxgU7rnvRSr2EM2rNsfKkNrPvtLusQ8NR2BsfwNZQrKGQTev
3B1e7WEKzMVzs4Lyu2AXS5xDXkeQ0J1XsMmoeXNR3LSWRDADG5PePRcYEmQOC2V9fwWkeCzbDGeU
RxyYZkofeutee0nDt2T4AKdYtT/Nkour42HbBGYpKOCwRM/Q31fBVaUzWPr1DRWtzUOiyaetlyXZ
ke35ycBhAfIV6p1qA/9Hhpd+NU61R83Cde2ktA512OAcNrK8FmmaXP2XpJHWNWGx2svM1KDnFZ+u
XwvZWxxtm+hDFCMXS5/b5+g4wWO/PqQe6Lg0W8R/ruh5dB/Cxl5O/YCJfmoevy+4xTDGzCv+2XDs
CYJY+r612NglY5RiIYiQetzU1ldpKnnseHPeMQgjDyTG9zgv7CsHGPsKoIDdQF0hWSj/4Jdu9tjH
fYa/NMv/85HuPZTcATMksj98n5hpKTWt4TayQADPWuIUg88Ter59KkAFJGlnb6ZekAIcCalP0/hj
GpLmwWSY2UJUtMIBCUJ6JlsnLMXj1I9qm7ThwcntAsHVm279HH7pNMgPfljGIEyfR5HH+7md/0Wp
TLZSO9C6RbDxnYwG0aVE+AkKdyesbK/wIh8Zgd0cxpy4CIEFFdTO37kJNWeDIWI/NYSlwii8qJUz
7fjDD0iWY1CnX8JWOHzazHkbK1BRK512Jgfn9XF+JK+dn0sPs7IuPMJa3PojjSEBlhHdPu64nytz
nWx3G9X6hHmXjc7s3YhEPSvafXQab4y0oVULTn1tHz0vWfJawnSYwNkWCOfxJ0Xg0YsnKUCyuzLf
NGoXZfg0B6fD01il8dmn6CWdyaDVbiZYVZbr0nX7sXAKxDIa08rRe6qa9riENSc/vFvGPdZerdjC
zs2+YoRVOWsuYLI+KpoyOH8OD2I1k6iQoI7Fnt838bXmmQ6c1Swy3s9TaNMcAR0tD8Or23ImF2HW
n804E6CjLbDgDqfEqZoK1uHuhhgM2KQnhw5cwMfnt2mD8jqM9Jk6xR/wM8mlXaGvxQDmOavegV4g
wpW7lpOxH9YCb7DON0WX/LLz0tnQEcc/U8eXaLTtoxWut53l9whPUwgUSWEt6n5wzIdMcJ+1cnmQ
ynyGAaetHpibjl386yHsVke0wF17V52UYDToYrktJsJvuec915kfMWKCVFoFwYPgqtnJzLfPc+MG
60QJsaG4j6LwxbKTbTQt/+wM6R2tAbNXOiSb3GqyvVV+zD6kEswKFAUK7V6S2aGj09pp1sgnpzGP
2tX6PnEpEq+j7t2UI9YNWGS7uX2KwiW4Y73zrkmPnLfUDSo8zrFzidGUu3WPN62CC5cBB/Aze6+h
AqAzptC4uoHWKNTaIPbBJXvRz9QG2zIX3X3kUdASo6BjzLB3tRwQXGILk2X31OWl9VPo7GCH/UuZ
2te266jprvSZSl3suy1USBF5/Lgmv7Jd646ky63TIMy5lgLySQVWwnjL61Sa+iUgy3jPru19cNKn
7+3f96Yvln1BN7L9O3RguhXGZwPb1AcGEBMuIecwrEEDQXfbYZZzhlsAT7qXUVntNtz2wpwBVtU8
TNgGGVNR1ijmne2P1KL4E9U75W/Rq3c/BTwQB2DrOKACpXyKcz3ewsjZZXbbgJ6fwM9xAJ8XTqGj
8OG9zPMvkVILGYjpNxYBcv8+oLCxjbutSdUqVpNOawEMGX5ufLUDO3giNqHrOUc9/5Fz14M0qp55
wgd0faZVbmTCneaF7dwcXzgxQpoqgt9B43oXMf1dwrUEbT73jk2bYxb8lCKhg6hpvQcxeMTRKVLK
zc++tuAsqxyD2Wwf5qnh+bZdgrGm+2fBYtjOuUWdm8b0mD7R/knJBk5U8iJq3JaIVmB4xpcpoPrF
GpCW8+FGUNimG6b6kc72l3QDWlny1tlWNuJWJTDe51jC4xpn/sJsbsBdHLLibqNe4iPn7XeBAuIw
Yu6d/ENziNj1uVJQTPu7v9F8q3X5p7FL+IjkuWrJi2pVlNlUnux2Xc6gq6w6a4OFfC/sjjKKsHXu
LMTEFB6RP6l6E1CUYQdzuXfznxFD1YMZNJaAQT1ElcSYA40tqgcO/9p6bQvDkC4vfwze8J5CK01n
1FrXs1/0AriNlgXUUtGUFO909j9ZmfK+J+wd2dwGBRsDuCIl96y2PHjKGS4z4IRBggZxgb0XJdhZ
5e29Mc92Du6UPqiflqH+mXoM0UcPQ6FJGFyHaPLkKFkAoW9ssiKDnpc/0zIVd81XEljxoc6Veyco
K/Wj5J9TVD+yGRBFmBKOQsU/pgNAzTaCyjOHyZdr7GkzFsTgXUv+a3yIhMJMv2RgvdWmxgxeM6+Z
2cn4dnrvdECcIuM+QllgW9A0f139w/XNhLVc/VYRm/d45g5uye5zjtnqSO3v/KHBFYavqHXYEY8g
MI+rCBaXeuPb4X3PiLiZ03qHxZss8hLvJzk+1hSjLXRev1o+J/RBMH+p9Q8OPER1Zu6fgfMMYiPe
Pnl1/qsrIdsOCfUbNQt87JsfSbqGDofgX9JMzmHtOJY56TPBKRIeiHyW2R9KXl77wD+44/I+FwyV
lK4clAWGhCvUD4SySzn9tvdH61zk6ZtVBIwtewqnuuaXN6Q48xtsb1PoXddokYztvedOglbC7im3
PaS6XB2yTLO4hKis0YqO0PXMBEXSs90SpDfD+nNl7iloiduEJe6DKXXe3QVhzPcoF/H/dEUVnKN1
7LtQ3c1EegqBGZSi27lavefsRnfQMA5NnVxiaic6qiVNxsqQOTgJAc5ka61GzQDYa+lKZU/FnNlH
zg1mYng2GX1ZEG/URm0xj77kU3BJMA6OIe1AbL7Q3sboHtWZYO8MQ9ya31pFSL5LS+43hv8w9Bd4
D3OOLYVzSxl3f9zVzWn/6uVYEWoMPgsHUw+tId6kAnRaxIyWH62Ksx/T2L/O3DoBv/jHMBVqlwzB
oWHZ8ivORSTygddkd25d3Qo/eGiwxNYc+kV+G0KIP2HDa53XnNqqNvlbdlwkQ9AS3RD3ihQAeI7y
DG0OQ3scHGP5DJdG0A7JHU3jonIRDNr6xXQ4NiisGyTAaJn+TdLpT4XqRPsJ1nZOn5u6xnLOMoeH
VcJG1FjOZFs+LdV8roU45HWdvWZ4Rg2HMJ5JKiFrQ+tUXHF34a4Eqmd878HknVLUJS5jhrOiwsMB
WwyY+gzuBHzKBe3L2RQq305F+ebWHbDd8lOIZ0OrZFsDNPcd6J/h4Gzwla9PDM7Ebp7PY8P6E9Mr
IFQKYjVuGqYE3ZObpz/DIqKEl5sUnT/1pewMpcfZr7ku/J3jAGfx5ulJZCQW7HjE3Qxojf0ovZZ5
eWRXhQ7M/bvTQu37iSdJBe5BTP1OCDhLVkS6Lyhe6mzl3lc9qGHaPFwB1bKKXKKA/jNYUtpwc/0v
i2l2XdOERMbwKNKGMeTETT1H+tjkngyXQFx3ZDMK9afMZ3/fuQN0iPiFKQvZsOmhQBffDgOTFAVs
HcnpKSfycOzW528MYNzIiYNoGuVnERFnlf5rGnr3RW/hc5iGL1V18daXI8yU+k+xpv4cN6CNjgDx
nXDcD9vuaRKda/roWvvv0Jc3rHM9wiJsuzmly9FB2GuW/Oq0otqkibe3Ev+DH3JhQpj/KOe0ApmE
52Z2lwfAfuhloUQ15AI4LK3cBh0BVlK/lyBiDgqby3TUiCb02AE/8LecojftusMD4qNwsMCeyuRM
DzvYiNmH7OWAJt80AT6cphFoI1gSWqvEGWPwehZkT6GIfIxRO1E8KXkjdyo4cVM/la1D7VnB7Aru
wVKX9y1vp9DxzbGYBgrpkCUwxLl18EPSl8jSfBmS6Gv2GciBRMTlBj1qtt0XlDZAh6nDnZtCqWXo
DknVP5Zd8FEEDeiW+pA3vxOrfeBa/VTfiB60yZqUDYGmirdZS49TYj+U+XA/J+ZWx7bapez3mGzS
uhUT5uE3J3scMETxcFCRlhlA/ihoYLqgVyswoIHaFYuqo09icMgjowQE7fh/jG5/jTNVXkxI9w6N
i2jL1yBPzLmqTo0XEoLpPmbGq7yA/q884CW3F1dvp4Gyc4v9NaUPdc2eoHQeDTSZxUg64XAtJS1N
u/zmCCL+RNLJHV8X3b7h8am2tWb7n0pFF8VCZY7mrs7G7BPvGdCOxAV6gGx0CftpueMJeMWlHlV5
dKucdNsYUmwmbGEa2sEzhmGMJDgt7iwQ8xFRZ4+Fvuyvxnbe/YTfX7I1jtf++WUAOFhwhXNOmXEx
W9itsGAwTnuetUNqwrJAs7Tib3DvLR0rcDnU1MQHXEBwdLZL6SogyeVHNzGMhweza4L2reas2Oa0
MxalolcP8EpQZgi5DqGzQl8Wy/69EBjr3UQzawXoPqZs/hc3YaFed73PldWxFgQlExNbYcauYefn
Ez0DfkhJGSCWFNddwekIGOLswg4DGwYDPHqWKYkC3wqo6NFeyn+Gotv0GoYZZWVKY4zrUK0LtNON
7fPNeoyOyokBtlgc6YbcBgUSflTyyQQxe0QQJHciKvDudh/hSvGxx/hd6+FzUFgM/B71tWz2hdMf
Zem8aIcin6EsyDtJvnvuK8zx7nSYdD9sQN2Xvv1I7RCd3xMu435Ot8xhrm0iYxorBWaSrvwjjcNq
GiY7E5Yf3DN4Iydgti1r4s3Y+RckSrVzI/9qq+HB0e9e4UjIeuM2ymn8AtixT8bsk6gX237ZPMcI
Drs4Dx6G1e3bZFO3h3b60jdgkqLSweoZo4rPWtxrAIoxJphDlNh40yr5mS+M5J3APlUji/nQyhMX
IctKbm/i1P/bplCLPVgr7EJYrHudHJIMZGWLYlWGhJdjWqG5cVs8w95IwsHraFtxuFeHS/nM3I4Y
UEQ0yiqb16GJORE46JG0IlFanPypkAXZU0I6Yf7xqib72jjI1YKgsrsUcr+go6PytYfQRiMWeT+T
aBq7AyvsPqJCcG/hQBQDIX7LZT4dT6Z40HX1oCMmn76mZyef2Ft5GhN2mLXeMUehKhPu7GkH4LgD
GiUzkj+zk+6dohbw2JHlByaqizv8ypsCWNWTIh1HjR+7xt4hwZjY+aXKpj1nv2Jrkl+1iDG9wl5v
bOTXZgFj1xjQDlFsb8uAgWRdoM7IivHHVMGooHu3q5L3ErdCsU7X43p4ooiwTsptW+GBgzfGgP1S
xVGx0yMeVJmWr3XIqQ1DKjYlYt2AGoNlvKSSAEocwGEUfn3rC+uvqFqL3EgwbZKwfVqs5r438nNA
Rts0cUbhXiRv359BCmy2dQmPNGGmsA0YpdzpzJTHhCUzdkQP+B3jlp4JOyZlwpLu80THZm/7kHna
kpG4I/KvXhsQtHDtNI56laVfoCexutnhspIfacpexrfBbs9s7uqjH2H4yT3ibXaLpynN3GEvfJyz
or4NGXamROBXm/N8vxDHpPgdKuAow1Oy3q4ozoD/nZCRql2zb8b+UWbjGU/kabSK6ZbN05fiZMq+
wNkEdsA9U6/ldzHu7DaYLrSFNlDfTUT3KvBPScbRy7gxrW8P2C0tWJuVs9Ow3XPK/jMb+mlvQQfo
3ImK4mL8ypb6Y6SccOdYu54TApepWbYDcbjWZl9vXECVbonZg/KLOKKAL+gZP4TZ6tEmAcGyOPb/
hEjeK4hP93qpP8u2mNk39U/h5BcXv6vv4xCoOtg9DmVd9cCU7EOJxmw8OrW2pXUXO0ip7F9w6HTO
QmcMz0ZeWR9sNef7OiwYaiycQsPUYprCJdc486U0fn5jUzmVqMPzFEt2Y/V0aMfqyDb6Amqf8fki
xGbx+3TLP+Zg7iMd6h17mR4b5CANI4ZrHyTTkk2HPOMf9pxlmzsBuVtqxsYMm2VbUbDqRLzN0r5K
dmgsvEWq8ygCpJnU2/oDnA5v5nfxASR0A9DBmDRWFRgXLx81PIBXNT4T8aflukyFlbLs8nuIunuJ
e8Udrm44ImHwS9slvYmSZMpCRDzB6MRdPmNVJTpQmS7kNkf/uJWY05zBGVqmr5mJ59006HDvM3+4
CGndytxLHvDZAsnJP0yUOfsio+JGuOTHVQItiHyH0vPWdC57bAUtkOEazjGabAbiHppkzDb7rhhL
0+m+lbz5+TMY/TiPYHEUsG750Q22yZptlYPpo2vXBQO3TtFWfH9O2FAlN46E2dH11avfSIeZGBVl
E0vzMAePZZXcqhJDi8u4D4wHR1UFZmugvhOFhLoP9dnmn0L1dI5z1IsWGh9b7rhz4/12Y34PXa99
eelKTPQK+gbl5+QVz7r2yHfWw1vnkyhfaiixLRAL/EOs3CgiRYl9Lop+hVS+5ov96BfFH/z372DX
92OTf86cLTaTHV5N3EAUmUiGznXNJSdwL2hlzrMNO1FSr+zUw2s5tJu86RkUYlbfz3oZ3iZXg3Nu
5hOZmQcs+xj6h6bfFfXiU+6OvRfl+a6QMXcScIN7O4Zdwvt+kyf+xsM0bwI09iwhVq+bHOQgh6uR
0MKuXBIc68N4KBkNbhydVxyBu9WctP6NkIxlkTzLUXBrxQkarJJt2F0YV013BAdZ1Qtsk3YP7amX
X22X4XMt488qS+8XRcYAAOcf4goYS+G3iuEnMwiKeMk4KTHInSn833M5vWDoWcvl90pjabXnl5I5
Pm0MdFCeNV2cuzJG7K3LGs910zYbP5Og70pYeXocT1Uce5eEfXodZ+45ZUHBmdWTGsCKvVScl2VH
+0QC98HTsCGZzERZ/bMSiKbj3FssQeN5MSGbfcszO/uQGZrq6RcJjwpDvsjr/BCJ/BO9uIUEAce2
98a/QQtWwyfUJ4yuDlDA47sRgsZUwWGrasz2ikgRdnJ+JZR8/O8qa76CMo5geFMaEpjiXWFCNlXH
jboGnIQfZ5eNKdZqoEImjBB6+1vREBlcPCaDfoPIYiFd+y3JRpsX3ork0cgQhhuWOF4wW/CSFH5B
jLXggIH78FdGXIQz6K1MAzSnzr2K2v4YO8ycStk8FUFEYalOExTkZddp6ZOXqikKQv3czjgr2XfJ
hh0kHdDo0pTCeGz1WoKEo4c+FJMWTlNcY3aCScYK11h8Kv+WZfOmYInVtpVfBhu0AEkfXoVK4xCZ
Lj5uxjvXnX6WNd0kgVv88F3VnVyd/BJ0rAiLk/Cgd42AhdP17Xi0PfEYz9Qodt2rtJGkGR0CUEge
Bo67hIzqv22XTACxwp9OFf1qCg+0bXsVYf46pLigC0vVIJTKDXvIg3ZAbxloHYyVmMp73Fa5/rk0
1m4MwpUMPM1+9DvSQ2FBKoYu606gBgnsMG1Bt2gHsDcMQCKCQj65FJ5Eo7HY9XHEjpgSE1QbWe86
B27CdF38xlv5309WQRKrwCksXfe96xWNzV5QbtLytxX/K6lEPXSBJECASgkkkPRvJwIQjiOJlRRP
VjI2l352vjJ//NOPGA7Tdhro3Gv3TBRxRVPQA3HTt9xPJoC/EkGFkEIUxaPGnQJbbEI8pqaX8k6r
31Y20O3YRCf8PFc/6drL3LNtq53xyRqJ8fUWMm3yDxPIJZ+gzEVJ9psI0/tiZxY5JAs7e/ATNxkn
zVmdKlYOtFUXay5Tlo5UyGZci2Sz8T36ORr3n+/b3JfGkN0Vgkg5+XSXwLUZ8fcUCyhe0hUO/sX4
UNB/vWlrRkMG2zSxr2nvai7cthvRqAIqflJqplmV3qpqJbCfSi6CeCRovtC9iadnzwvhHTAfELkT
MwsYiYcvqBlwC4eJGWPlvOQxg6QKaZ/+RLpvvZAsafc5leTljSfkVkJm8fkVtGzIPubA3CIXzJn3
VUcUUfWx3Hh6uJQcHw/LHL8OYSgv/XCc4B2etd3uQUGlJ6+f/iQdnVm2igKEl3oTBSkVc4BmKscU
9yUr8xzl3UEZeS2GiAheizuzw5u78QtztkCX9f3L0PWa5STZuq4XMSbZQAG/yzEQ4WS5oSVRxxcC
0lOQvweh13wozLqsNG9RR3awt8x7ifoDjy26ur54Kv4Pe+exHDuWbudXuVFzlGA23KA1YHrvmEyS
EwTdgfdmA3h6fTgtlao7QldxZxoooqq66mSTTCJh9v7XWt8ScHcqz/nkrsws2Bgxxgw8vGqlxbDk
9xQjFvOm5rQZPSgDBWMklo4E6E4AUocPA67+PGpL7gQ1XPtMaSno1sdmzbKDuYAugrnhZp9ZwTcI
kpcSvRRBE4tWGP4unAKZ45Vr6Ikx6PJ4G3aEPGNmYUZIJ53XlT8NQ2IptR+pwFXLuIvyK6Bb1zxP
6gHHjV5xjvcjtAkiJtbIpsykFaysGMlXRCUlKvo03NNKYHw9E6u8H5ZOAiaz7lhSwFZfoNLtC4c7
bGsdFH7HJ6Nyicz5/cpM83wh096c66y0wg7jfBY24Pek+p5aPbB+EBgC01jGZEcyTwEAVzrzqHdW
1QhOJ2eDQcWz8iIHblqjBQeD+A3kB2ZuDlaLvAHxJcf0MY6rKM5/GmlvdZ+flpjGagBlxQ9i/OoL
hD8NKUsZUcoab5Mp7k4LCX8lmLNdX7U2qj9csh7eiIZp58kGXJqr2YO1h7roHRJIODpSrPZNNwZo
8w6Soon6Xt+bsLxV2ImAVwByagYmZK1xY3+1ag0NCHxJ41XdZju2GwxVDHOhsPthrEESqsd0BWNl
743jM3ea+ike6A6IuKPXoaUi8kwb45gkgm4ly0HhLmBW5qZjET4TngO/Fg7Ok9DzSyJ39gBW2wpP
akSYoxtf8+CtV/SN6HDJ6Sq75CxrufqEcQiZmrLAAuGfEWcxqV5QDCSYPkR9R6dfumg9XDexs5hO
joKsDEoWTaFu3x+C/E3lCTkTKE4898tXnelOYZETzKPhJaRSfda33FmkyOH0z8IAlH7Uf/Mu9klo
n6YQsKTREAj3vWx82E7VIg7dbj1mCklQZtqJANg8+vLNrlzqMK31kNnkshjWFp6dg7VVz5V76gIX
aFBYvwQOXFH3lgXyM4auvyxex4jVStEA5LUL66gnwSuLzmKW65W2aMUrd1ANT6Q8j41yVkCHYnZh
7FweuQh3dm+usbC3GAEtQjYuyrzMou9CI+2Mz8KfxghK2S+pZ2M9b2A50lzmSLoOPdUG5KepxgeS
2VwJKLlkD7I2JjYrlX3MXOl5y1lnSRJwXcDElPZrRkxyHbalAVxrxaYJSpZuOavSNMH5NiCKRz2j
QXBSGqn31ZLCJT3DJMiv82CjFPck6UGTQ+3VWTKxiIIyYiDKoOKs1ArGczRyJ1FtwQxQo0AYfXHo
yE4ZkqKroez3rp9c/dT8lVK4RSbF5SQPmUzOqsB1gAFBVrckE9qA8Q4rbLJ9pVWvk9Td11rT7oiW
Tht1gItM8XeOIx7qyCUeZ2W3iKwvRYDyc83yKDWNhIbfPgcG84Kiy14wwBNt8rjHjExbn6rUm6sW
MxObcSQCgESDslFpJGxq+GgfIkZfwn/w6fgsm0ynf04YHc0D2UWwC5jImxpTfZZZ8by14dryYVfl
GVECI4EjvlNL2zu96yyZ8ZCxqEg810AXglHMx9L8sHyyiURwdQKsbJYQoYaYoYRBFCrMgCP1ZQzy
30m49478ucIt+0muFWX4CYzqEQXmio3Ntac5pNA9srHizJXd4a1iQho4wNsCkzE48UHHa+cIOh3G
Va48TV/7JheSzbAkA2ruh6n1lGSesqKuxIF9asz7tDsbsV6elZacowiqTYrGaaU1nYR+d9TKJlyU
ORthKb2NYxZfPRKBMiBZRYGNKbgl9Jh0p5xgFpv3HnxApsxZv/CbarG2UQXzHsg0dHbVc91l4mzX
+hduOouDxP2ACoNFPaKmA1NU5nkWfQW9csny5BaJ7jF62AaYCX/lrp4vGhZmRWOu8V18RZUbb7Cy
UyqXn3SD3krCRPXatayF3gPxKoIPWoFseDPZ3gSjSobOc7BCklzXiDlCzR+e0ob0Sl0Cmnax8iNk
HXx1VLatUO6Ycj4DaJULX3avQ9ijAQR3FfDtrE1JZ2i3cWBQYGLyGOMUBHTDSEAybht7mxFfkgD7
wz4bF/HDi1miV5hraV/S3vRqYCKUvfN8t+3vrK/uRsVSXfGoLInqc6G02yZmA5L32XvkwFtMtTen
j2IuSQT+uAqMRWmG18545GqyHssw3mPKn7UeFWjYTmICXU0NOl+RH52hvWVVcxKxeKk1FpJdaGyx
WkMKzec9EVT27R9Epm9ahdun7nQwoma0MHI8sxpagm21bCQ19YhM0M11Zi6LkAOrtiLHWJGdKh65
Sp+9DI1ZbG3JvzAb2mqWPIUl/u/Wh4s/mt45MomP+wCViPJByNT6+NaqDloqo82+uXsuo1PLxnvs
JvFrmdNdERUlC7GlS+4vIP9dLNsKNg7xFpJlw8SUgAzcJeHeCnGwkwHiBln1UCHgkCzNk5N1KO1T
KEMvdWCTIn91BYOPYXj4JihOPQ92AGEyfp4oF3p7tmwajlpEBJOY9TzyAMU4msZOfvCJ5bbTE5Th
lwxIttf6wh2sF1pT4OZSkKukr1gey2Wn8pOYiuBexznK9SMsXrbq/lc2xEc3dWmIT4djhwVsHlYR
Q1ztE0NjutNdgi4VY3dOT1gdBiWKMbF3L7NOapi82Ddmgu4arCkE5AjzItVRTi5PRd+cx8Qqlg5L
coPnHcvLkei/Ym6MFFm3jE6ymhY3g//cGfGq6TrjaMJpsnRC2E7LM14N8MmZYbXRSoq883hd1y9J
XLzbQRNA2aKQ3OMtpXIuXPutMLjdlFg150lAe6MWFlOJobv2dO2XJ5GA9JK2Qxkx20qhIPl4xTHW
La3WvAGgfylaOExgoueZxeYqK5VFF7bvVpwyUJH9vmmSbJm1jT4fGwzJ9kKLQGA4junMXc14LTRl
3rJUm2MyvEcqU1qd+qe5QgfaU9sNEOAk7i3sn8Ru7Ix0dfododLPQ8fWKYWMt/FkxdPS4ZsqFBYe
Tf/chiPHjiHCExbOXaKb4wR0JbE8ocFskGKDWtCZeHUs7R46+OAYbatzw2b6rA8IlmATpu4gZdPA
QceGsCBY9+lTJRV69pspoCl2DrOEznlRGdWvCgvpMYeetSX3nOVWMcPRUMFFqV+K3KVfl1Ca4rfU
V050hwSHM6lY3MmDC6FVKe9mCbWEKGcrYKC0kbdNA57baqTwVLJM+8lhMeIZuFa9EOW3qdt1ZOif
vhyYbFFemZSEbgFx2GDPmRv0lzCUaxlRollMFK8hpARxtIv3srD5QLKSUozY/PGl9T46dOXklMDD
GMVcqqU8Isx4f8gR5GdJw0MgN8yvwX2LwF7ohGnmYLWmAJn+DK43mvU4hOYGHv55r6i4Y+wpsKVD
jktpPGpQBHvwaHMKHQj9BcSxnCB4tMK25jwuNzz1hrnhK5uxcq+KwYyXAIZbiRWcCeXJj+J9MfWa
oW0QpU+cOzN9PI4NjaqtpjAFlyUFJawVaBYEhAjQFMGO5WRp//Qg4enroatHI1qHJI5Ode+TjCVM
BPe/BtrJJLAxL43xbebtL5MPYtmlljPX4q/CYaBPa9EswUkRengd2Ri2M7eD2UXhluishJvS1O+b
q0ueIR7rWjyVjtazWRKWQ8oNQaHOqH7ycUvgwzaWDT6wmeJnynIwEC8NXV2pea1BmbDPY1fqK41W
XzwGxqxp+5kw0rPpv9qyPoBG2VkA9aLyrni/GCyeDT29sYENYU4wW7YScxGZ0b010fiqIvwhU/Kq
U5sEL7GlbkHTTJAqABDcblwOAXpQGBb6WlWMO9VkuZXu7JwcSxEU3F/1gs4GTue4mXin5XvWctce
8Gd1Fu45WwNuhSN99D9KHwtlPVgZgltwz9p63U43FCfdKVX77esD/GsOeh7Bo8G782R+O4XyoRWG
vezC6JcZ6cWq01WMYyIGjzGy5+bRcUir1joy5NyY5AK3GEcJIXsq63/B8Lm0CLQyIjkgnHGTdrGM
Jx7w7OBNmMprzw5iaXX5C3bPW+2qDQmxq6vV1XLU2196Txa0jGnlEBlWlIKTLZnAHPhBsP9YG8e2
mw0CysjnxA/vrz3On1SjTwBeI8KVb/QbZjDfWJsWmf/J7QuM+ITBmdKTH+PU9Sft6cF8ndIuQTQ8
Ri3ByPPWCIkoCilLLTYh5CRBBXzgY+oq3B3GCMyLfrFlnc/bybctYUtyLWBIgRKLGR0CYxufXW4k
LT7GFKa0Md3giX2O3rpq43Xnpm8lq4Kw93fDGL9pI7ckpV/mzlulsy2XHhQMI/iMFZ5DX2Vm7Yrw
Ur6ZhX/WtIdvvHPFbSVPwQQGEHxGlEF3i6XmyMJoHhXVpwVMoqbZUT4IzFLg13Z3t+sPyPTzwpkM
FbxFuMmtzF7LkqPQsh0w62oHyiEWySzFdcBDhtWpuuob3MPawsgoWT2hjSxMyoQprr2w8HivOrFw
vLPHKJMG74sJqSSjJdadXAlWjwTRejsvAWccpjcS3L3d/vINZNDONYYnSYOPdLWNFUXrVg8eZgHG
gYVqy5FhR/qW47pmGf9ktDpN9f2zX8fbLMbHWZ5bvfvWtbtG3RF3k6csjBdRzOUJdVRY10H12aMM
T4HiHNvsOAxsgf7rday0rPLX747Ur/9V2fpvXaz/x6LVv/es/vfVTz6Vmdb//q3+H2xjdakAo5D0
P2tk3VFR2/1LI+tfX/Tz8buVVfvTdgXCm25hjGVA9lcrq67+qQoN97thWvwUXL9/tbIK40/2vqpt
OyYGJqbn9h9/tbL+8/vxmurYQtUN8V9pZdVsYdK6+rdWVl1zbEs3NNfk7qEK7EO8/rdW1qYrHJEK
gbM9dX4My3b3aVUfW1Ye6MaXLhrL7zFFcnTdg8AevqXXdbj4DlhEmYAh4ilJZsVZEtKIlqoCz0wt
ayDSkwreG8yVM7b7NVWAqbBYSAq8iCC7Wi/ZlPZR6uSls/xgMrl+T1P90EFNftJrMBi+FbRPU/PS
jP4PNMEuRXBSH+yhkn0kXX9jj8MrB6hlRkWmCfNc+6TTz6QA46Yah7y2cPTo+PsfMTMgBl0x9DRl
WPaGQv9ZM6b3eqE0CskE96yynJ41CrBEzdUv6sgIF8smcYYAKUNTA3zYID4AZo7JOOwUzbsJLQhO
moNbSmnzU5M07jzK3/QuvucW7je3n1YrrsoXYUYvbdTtECxdTnPXqq+8VdpE0S52CBjmnXvStW4z
NpVYFqyfqarD8eN2YKjNvmC6Hvm8W88+JFRAQCFoOglFv/Fw5Ep/ZCEBcsIYxQ86+kJzLW3ldBhu
PIfn6mjEr3VeMd5EgGVaoTNwsxvql+idfpFKbgEcwGUbJczfdReGoSUhcWa4MWzAuZDs8654qRlz
xvCKfMvu1kxhNbJYLnBcZz8oONWiXj71JFsMM2vWw4SzT3wTVLY16XQ24ijDU6jL6YSGoNlnpqpY
G4ZqIkkpbbtw6G8fGdLwIDOqlZdCpfZYxIvJ5qcKhvijRzOSzG9GfdNtOXXZY0vVQKSLEv2uMRaW
gS8htZPLkHsXg6lXFuc0H0xb+x4XdZJevVZu6VNEzrHFHdedushFSaVkkAPODnqgr6acpw5qhF/I
FeNxFcwf20YVYLstL+RpSajNdCRpN08wK0JjhmirGglBhx5XUrnKlHBudjzrRYLq7eKQRZeMWZr4
/S0O020UZps6z89Kcsjb4lRRAu+aBXU01O5RpVEPjG1pNcrtZFvm3dEBPIFvfKvRVp+b4hTgQkyS
Z5IqqxTHfrZF9ViXTg7sa5wL/GTJWK/shga5ZI90P/d0BSrRs9d9Vlg2fdGsAIcsWus1IJOXC3a9
ubMeSgNUGshAP9obQTuvwMMBQTzIKrh2QXZwmvKkjuSmco3ZcvwweyzA8NuTSP926DOgpXTfm+42
jLiQ5QBKlHAJxa0T4Zag9Twe9Z1PmJjQyLZLJNhkLI2YwlSvv6tGujVzF2Vc34FqWKpmNi/qfg1x
Y5Mb0SrpQ1zdEVuyfDnpPrnKz4Pz0QVANSXwCZN+JqaFrroa2MQ76bB243IHS2sRhmvZovTwR6nP
nr1Vz0SeQbIjU9bFmlT6vMKEa1UMCkxgyeaSH7ougDaGRkB1nNw7YX+Z/jzVzZOmhJcBTG8x5V30
t1bHpQjQVyfuWMWC3LmxSOtimRT5NsLqh7N3XgXhh8Y4l1YFsP4pq9dhLuy5jijeUXOh431zdCpz
YPlyNa0w4SC2PtmEhfpkqZzwS5daP/NMsBXSw+o1bAyYFNMnzWQfP0G+Xk6HI8Kc3yb2mnbgRRyb
Z9iWSbFmL3mIVT6MISBx94HrahvZ3WL6YbkPdpT2wj5ftDX47/jdLCDbwWqNR/N1epeW091GGmwD
IWAGlWsxUpOghous2Sil+2Oq3NKCcOX26cEwN+WI3laSFO3tjfHZAU+OxnhrZ+kjdu1bBL4vHPxF
iSQmcloHXAEoqnsJpQW2Z1wbIIGpoG3TaO9g6Wob7J6oeH1KOwtrR1agewWMLh7glYiquU2SIAzH
eUCRokaSDTXh92Eim0PO/ZBZ3YI2AG59yJETbFkNZrGw9iWtZbzUGOHFCpu36VSejrmBQiOLsy2u
k/HYJBHPzh/GcqnWszi4aZ67MpyKdbVxirXilAkQOLVzLPIUrq63HsVJCG87KsHF3w5usMPyQbWM
2I9degYDdjFtHXdrsBqrHAS6/WQPnznrTsnGqVVWFrg4H6FSpWRbdMrCz4Z5WsOYb+DXYu4Arz39
sV0SlE2cNYinpVH6i6ZHZNGVA38Dp1tgNWAwxls9lNwsuJbrsFumhY4gPa48sJSFPz6G3phPN+Lp
v9uwBt8ChrIyIBSwuMfulnM9+iP9Wnly4IFK2fPeHXt26CTaI1x0vKzFJJkKyaWvHnTw7XQ3nitP
3vyeA4Pzu4sJ3Vvscqw9EXH2q+nGnOLv1JsSO6Hkc6uo7NXK/stBCEeHO5pSPxG9fDFoGHSZTT7Z
QXXFrdt7XA1SWVI1CJMb0v7gLVqXXlq9vSe5u/Via+/W9sbheJlWuOiozox98GU2QXCD+3TsbGn7
BZ9lfmoK1Lvecg+Kau0Ni/smBxu+YgnxVZLgd/307OX1Hp7Ds5oPBwuzuEPg2lmWvGsn/lRgbBdN
8abY/Xk8Oq3+kDkJYZTS2AOgJN4ULYBNF5+btHjzRbYCrbPOkvBajwSNB6ZO3Ou2Yl4QCVTi8TCS
Vlf77kXN6YCFTSfzKQDFKUPv14D05w7XCsyoKw78m03srFaVhTMqC0Gmtg2+lYabrDNtMxi1FzRz
fyMezcpcYPpa+SJeEmqrxTB3atZA7P889tDSXPZ6scg7PpJEXau0+kVDuCKrjKOv2MpIP1Wj3Ejc
I3HEcWSiM+nrZJ6e/LzYGXgIgeTw5CFYeap10Gtc1EXEKMHsgHOG1jKmSCWuxhmGQsfdVIOzJvN1
sEtuRIm3HUxMD62zqTVEn7WJNw37+HK6M/swpDKMYy2/Uo5hhkIFDgoeHzwgkMuIEJMPgsWKUUh2
F6MgFxMRtGTRgN2CVlExm4QvvcoWAcg14booFxi/+POAMQTN13h54OUNB8NgukugjLNAq39aGsPr
1FnlgPWmM8fZe+530SKX8inYpjZdmijz2Xaw3J/pzSROsYuQzZy3oT2p4iaDbF32wwGM/Irh4DUb
FCQvN35lTJ8QcjGiy1COaA5uTdcF3xNsJIGlW5M2dz1QLiIL9nb3ZVoKNnZKuDV3FSaM0CQKPeKI
D3LOBjQSn9OuOGEZf3jmWUmLlRTMKqPhYrfhNXbra+SYnwFchS4mlzlsjc4lDBtBmU63iHT7DgrH
aG9sL1gVmPFKjM/DVBAWqrQzlds0t5kclSfLsFiJp8iiP2mU4pd60gye8ar7ZKn+3etJVTDtdzn1
ch8qkhbts4E29oQbeTwPseFB/tuQL1m1o6QzprtNFXsu7IiG7ag5ilkVLqNT5DD1e+AVvZZoaI38
VhCJIhaBrborWItoJr0GkbkPctg4Neuavc5Qj8YhLGkJbgjjZAzNCt+OP1R7pRwPeWLuK3JdJMXO
8DX3XI04q/ttSU0rthqgJtwgRryzKPGgnwQc9mblxtmiIj3tcAGNBhJQsVYsquq1J27MEYM/Zoxb
tew3HZBwp0xeFcte21SnWeSGpeZfPeBXOeMZg3B57OyhjcB46541yyACEawGxb1mVDHJ7oSX+8eq
ejio2ecQFs90MnQJBMs+0r57RhBNfhY2Z2JQpAeFfJKvi5OukOtCDXkpQnsVYtojfvpVu+naYHJK
+eOlHOMN+zrme8NSzYO9l2U7kcmNOrrPSshBYIWvcC81FH/VjMpqwNRipzwZmeW3DEMUl1UqKFFO
yAYEBx7UZWAo126I5yIFbOH5jHbxQsvaP+uYRdqi/hJV9mkhxejllfHHm+kHdye/a4N7szImD4zD
baQzt2rvteWsEdMHbqH0ed8qE2dVPXTH6UGY1vXdm/eYak057kDi3ivQA3VvvZW19WYE6iPGuzX4
/nMh65vn+EfT2laJfsG/+2rkKeLmOxzsfVj612BUv335HBCqtlzJpeC9mIb/AvH6U7himiMuQkri
n+K2vU0v9LK9s/sospjl59av+6uXDHecLJF09nqYnNUofTWC4YZ8ciBae8ENm9TpIeqcI0frHsn0
rIn2KMbgmjn9jZH4KdN/DblyJ6k/VpfyAZXlXcJPawsutghVu0oPncolE/vP05Nrep/Tb+HSoWAq
5nZ6WzIftpb/07GzUJruuYzkhRXv1YzZSol0NX1Zprb36cvigWKoAeuuUh+GiM8Shwdhh7fEjc8+
J5HXWcRLx4chmysr5tciqW4Og79MUvpLaVdeyg21Sseqbu42OlcYYPWmWAw0Aae5crFkcwPWds4N
7VMdmpvrnfUAkrAWHINsZeftcx+OD90pj+BrEHuctxp6oBmtgTs9MEzedJYRldewkv5q2AHGXf4+
sOIMGvvJNF9hLS8URpQZmFzb7LahnXy6oj67yaL0lUtZmW9snW9ZrdxxLetGe55OCpF4dygBb9PH
CL76eez7S6WX7GLOA9Q4U4dqkfWX6S2YpFw7PTkU1UcsvDV+/FvHeJar+a477dXykBn6bBtgkZhe
Q9zjqUqgLumuTpqe7cq/GgMnVgFaKZHXsorOTf1V6NZBNtlGmPIWWNYbOZn3MYCZgF2QjuLklXwd
hJ9w3xn9QxHyDgxzxyd7tfMViJtD4NXHsFVYCDq3xKjRJLSHYgcHXzkourmAtUe1lHJvU+UWld5B
C/2X6ZdKgnJbae9B4e+lc02H6DzlFKIm3cqwvU0QYE3bFaAdfn//yj1ix7V1yC18kNOHPBLRpS7z
rHFm92N9lPYXFLHD9KNgYRxJwJxhRTyKXrmLrD1q7iPouO4lFZMqDxZ6jas6PefMQFNpHio0xyr7
52lTOt6tseqjQBXHd39V+A0wVUdH3M1ZPZvej2qXm4xJKNsq+jjqox+MZ5j4d1UBBtn026YOrkWK
dVzHvlfL/YDRkMBVYvXjooYs18O/1TWazLK7W5/ZOjhOA68Vgi3vtOI2eZ6WpsZwUr/iorrzkJDJ
0qeRRAYMM7xT3LzmGCW4yjzYR4Fymz6APvDv0CcLu7lOLpc4NbETsL3TeI+dfUShuVB3eNNbsFEB
78uwjjb3rT4YHjFXJLmkfZCw1IYHO/rqGcLHYYwWXqw+Ui5QSZrA4w5aiWOvoLM33sXPxrtkZVBq
9c1xbEq+kk0DtWw6+aYzitDisTKbF6jY1+mKagUdNgcty988I2Y1uC0YFVtgS1UumCQ56518TO+e
9scljWqMdLTT9HowOjc/1R69yI8mxtyCz6mgA7U2YT/LB60nD1eny9FPjnRY3DFnnQfMgI4Y1w04
nNTob8KontuYc0wZHo7RLNzeXJAgweUfK++DSkyvLue2kAuBZ3q6Skd9eAxqd408HxlV3WH9vza/
qsS9jEXw2iwIWJ2REpBpmrmRg5QM63fZqKvp6WD0n5rm0fw4PHRGL1q8ySJI5TX7VZ9Afe8RFXDU
s1I29+k9Bbb9JmK2okxmINDdLd27Tb/jdGa3mCQMd9hO16qZ+XRe6tustvk95Z1mPjZMZG1y5ZY5
1jHT3b1Tz8qkBPaXniNOcWi3Z4BX57JJD6LCjclQSgunc0B7TEc3wC9luulrkbf3xq3ehZQMjeLf
/83QZnxiJTx1KDxAuR60ZFwH8SvywoGHHrweyzuo/UpXvuuoXJiszcOMDbbtH504P4dgyZ7cocAG
3CD6kShFWQP6W5wYnK6L3l4bDBWpm/UqXJEsUHuk7qYT8+mOmtmUt05XQExIAdQx+CSas4O9qr9g
VV5Rsoy73LmNfrBK2fPGJXFk030WDutqfQB6+AD+ojftEQzce9ryWPAhg/G/rdMTRKI7kbqSrCPh
jI8tsAfcaekiy7aS9GwskHMMe9Njtmh0EuAwMxXqZadbZ+6T+Y/O1AmRjds53a82BedEvWk80ian
mPsGqSUUEF7g3Kg0XCgNzy2LLU4aQn7ReNs4txqWwHnfHC3S+8Rzp0+FmYh/rGPyH7SAG4WyGpOM
4m/8uVmOdsOy12Fi1AET0U8Z07Pp23H5zYkQzIUELUsqjaUn1bDKqg/UM6GtbVi8EnKcV9a8w6rh
eAWAjX5tFW+BeO5VtvUk1DnOZXkRfrBLq3ClVf7CkIyzOOtMxo3T0WomckkCjN/NQANWe09zlzyl
INiMMt14Um7y2Js5PvjOutmXjb5w6PCdvpL7lF/2+FcZd3FIA6agk8G6oFV5YHfGdmowYNCC8ZN6
OYdZuIwTsaCDeZ0NJQtPquP8o7TcFRyEtZVjWTE9NM9sG9fKIuloTom9bQ8dXI/3asLNVNn2pvLL
y8qznyc/ZEv6RaxRpSZwq6t198BJr+3zNHxPbAvHI62ccbeNGuxkcasSCErLTz2ixiwS+JWh1YQq
gJ+cSXxIGTjBskPoQs/jXGSQH+/SoiBcFPnQ5FybYEqpsb9Dz8T98mx67o82wqwz6tqaM/GbJaZ5
MYuIJq7IvbUFiqi3JHNXz7zapIlXqVemT1f4FImPCPPMSzP2Z6Vh0ugtKc5rf7WhF86zRYM1iUYx
APOFYJs75A6MtoREVSG/cyhwjIP0zxA7jp6H74Nr3fw6WufaQgncQ5IzIgK04bgWuHlDO6oF3CyJ
KFck0KUzxVnHI3tpJfPIGhKCD4TxndTRL58tgt9vRJIADD0HE4LAxgREFgr5dqDd00vVhz22r2UX
P0LVrBdm8+ZYZXqQhNNkY97ACsOH0VJlWUU2rTVKvIZnyVzVUBdjxdAQpuVJEjDM4hYeUCERB/EW
czteCFrglrjCiaMA5MwJxc58hUGCrjgEmzkajaE6OxT3OUi9WdlDRJYe/6c4j1/NMbvBi8DdpxO5
ILgKd7n/EhmlxyYa/JNexqvBq6ZOANLNRUTFPAJ0yT4QbFfFBD5VcDR2U+1vCjWhbGuFmqX+F2bP
deXqxTxloDCSEptFgk8PY9qispoPKQCAOHIlvJr9JdvQJ+1uyRxpemq9T4x+FhtYqFzTfnYLaRNh
xNBuVe7cCnJnFvJRgw256RagtLwEal8P342NyVeQ2Kuh/cx0gxlhKpJvzkrchfBSSp5fOsGxmZWM
vyptuCs9We7yLdPich6ImjoXB59dN9ULpgQ8esZ/tVQPZhcfQtPEc+2Rk/n/WioIjmZ4pjL9H398
0c3bVMP1xw/z7I//+Pn90ub7H39oLvLmf/utGPs/+fyj+fifL05i8D/+OOds+vyPpI7/RUz9/VX/
FFIV60/NQRXFOmnZwlGF9ZeSqhjanwRKDapWTEMXtopcmvENg3/8IfQ/NWFa0yuW7jqO7vylpBro
r6ivOq+YQnctx/mvKan/oqOalqHx9lRH113XQGVT1X/VUSUsk1GokNd9l2Ljtvgmfsvsh1lxrTfW
IhHuM94ixrptjRMvLy5e3pobonArUITPGQAKTIuwZR0I4IWFb+xvh/P8T0H3P7KW1TlElJpf/F91
Xt6fIMehqq5lqjbvUuPj+LvOKws/zAKQHTOFsOvSb6NqWau991QSPNGpXQVrtMQKve4qguEkc6NL
5Wv4HxBAiqLRt/ZIIjQNp0hWPwNA0M6sEomRwr3n2JkECictT2a2Gf0+2I11eioZwxwtt/ooc+ZM
XkQXaEoZ96LzIdWqOdUAala2W78MP9RB64+ZkfgvZRKBppzQKEFMHYahffgWHB+XVmBkHMM4UvC5
6Dy21KFM/2+HaDoE/1sKnw6RowkD0dbSbFNo2r9J4aU15Lap54C++LCXA3Dy3e9/JFYD4U/m7caU
REOsegKCCC95qPipqR6TJYPDisqYInR2cRStcFT1u2DAMKjFib/rW1IXYahc2Hi91mYy7OJW9y62
0jLjk8lzboFyg0y9qnufeWFReIcgy7gZOlHOgzQY9lrYzInOruy0ch6Sd4HXxrB3USLtx8jAmlEh
ECnDwbFmGCqoT6O4DlOq7T8/iezpCPzbEUIHdg1LuLqpGyYX2t9PonIY6tQPDMxs+E16GHJxgr2c
+Lm8Atnzjl2DP47pwA5KDwZNksKkg1QEDaWlpVa0/4Ov81qOXEm27BeFGVRAvKaWTMGkKL7AWMUi
tApofP0ssOfadPcdOy+wQ/KQlWQCER7ue6/dx0fPbM5Nx2EU+85Gb0ld9pOB0ZSyL8BKkrPd1Ok5
zIyPNB5gFcyfaiK6fSh6Qoahg3YzWi9ZpZYoN1PlabdhvqArnOfhpNdOHiW6tLrk5qHvMnCtfo9p
zUGhK29q0k79zB0vZzb5z0Xq5f/90PbLdV7q1tGPEutJTdJ8IlqBaWKjdswuC1La3ALDT0N6aWB6
m4YUuJjx9YeE0b6xMmoT/mL6btDK4TRG4b5ziRvo5o9+PhWFAU7lNooPoUPuSp8wYp+5401Z5UfM
vtKPmTcngfVUOj41ZYH9+Z/fPoMV8j/fPvImTAMhsW4A6XXs/7rBBa3jlMd3WFYuHFsDnshTGDpX
/ixMHoBDbgOtIE0Ix+NLbzaSZJGKaJUa72mo1WtfMn9E4Syf055MwqZx79VEkIUVjU9pbsan0iwT
CnacIu5T2nXVazkifkgKu+Dchz3ADMA4VzNwu7T6ePvPv5xr/a9fzjQ8NgYTH9v8K/7XAgciObHx
K/RoeXu6gWG/HvJwOPvWiFwi4JFCJoq+RD6HPcl8Y44aXY9uwvb/hJFL4J/ww9vPp6bOIe/Pbk08
pHzu55LZDhq7Dl6cz6w+FWb06tdtuOvixOIYkcSvoi5sYBjROrEYKFidHOjHcXG6cV8KYOJ0o8d7
W3T2oTLo1f98MVTpeDedEK8UO8DWREdm0/zIgkm72soXq8ZjXvrz4c/FoVLcFI4bEDI9iiefiMul
Txv/0/YkrUI3fAH0121zs8bVbBtr4bnRL3dEc+f31U3jRHTVzZLQh2oT0MCN14Py6hW3jMc/UsKu
zAtGbWm8rgPT2ENoxB2YpnPsxJQdJxMZrmK32mgOnTWY8xdgP8FrQDe2RUZ+a+OKBnZYrLFRyXtv
lV///BbL/89bzCJtG9y+vL+OPX/937RKKKXtSPPx7HWuxO2onFsA9uBRjEwCp/o9yB35C0mMqMMY
NlPhHP51wQUJPwEQFHDlw2DhVO3yeNqIAaMo29pNup17+rkYSeaezNQqdhliXxA1QcWU2vjoRo8R
Qox8KesU4yGnOUZqQG8TmdXerk39PZwuZesZp9YGjIdGCmCj1fi7wGlfgxQ7FZjB3xlajq+k2DfK
3DVlQedDEmm4rEqmWLV2CMVexLoiEsLDjzNqk3/APfM/F6eyV//850RE+78eGcewJVgmS3NdnhmK
o3//ew6CAY4q6Mz3wzq0rfYAARjjCKPMjuQN+pwYoLtmH5qA8XMp7+l8cfUHQxntFnd0NVq32rX8
5OP/u1R9syoHH9JRY/vEatqUDEm/LWJbf5MVjgU363FAkpERaaE8jEB1tiyehw5TQmGO60CSxud6
xXQHx+CshOmTFjtMzlm3ytNP8oBKIAjnktSQFPyXp/OICA/+HlgdyHHmF6EQ9o4SavgXvLueCd6S
RtqyrUFrVLh1qxlNrutjsHdp4kMeqhhMWJxjdV+jk00wTilKHPZD9jp3w4Ve21c6ds3FdtpDVKFW
/rlME8CAVIQfcpjl9X7NdD4xxblGeIV6GtJz6pOKbkU3glmBkzacLZioufWo7zhOGVdnvkCVgM/V
cLhHWt1shi6XlyxE/BB7ZXuD8K2tvFJkT5YiE8vHhIb6WqWfDfwBOZvrSjlz/jurP04ODM46zYuP
Phre23JQ9yEo83PoaRVCKiv/gDPxgG/Sn+pwjG8/l2Iawf1UxiFTE2Jr35HHfjRBXsfij6sV+Z9/
vusQKP7XJuTojuOx/ximazi4Mf/zpnOm1MhHWJ/LUK0G2ZV38ArlTpUkfcW84WfZGsDuvHhYNiDC
F2HWIo4LEgZzNTPpIa1BMuffSmaQGkOg5Lskct783GNrV+EXBkuxDYV1y8cbIxhvBXQSTn+pi7s1
9j3qZ7gM0eidfi6kLc1CJmZ5emh3LyXoGk6409s//8rc/XNh9O+Fk0PhTeXF6iWl4VFo/ucvXXlN
37oWcxxt3uvH4vFzScmrI2LcuPckvp6DgeFKKtFxN6G9VLab7fWIepPjaPQq6V6dhO8BlemG6NWF
NQw6GW/Dz1dt3+72qeVIzq9m+Dr4ZIbh2ZYTbPex1NMXNw6hAtTrFrzSvdPSBieDxpi/KQYYMXwI
CNhYksfpsUlq8nuwTIuIUva7sXGvqnQFOJMa+XM+4tdvhmUO0kbvhn5fTlAsO8UQK0A9GVVfMUIt
SsLqo0ie9nUYfbkJHAKRjLQCvA9fAtGsaKLSDRlN772mol22fxvhfucwsqcSqtcgbAyIyfgxmGxo
GEqWdGnILJ6YaeXB+Fn1Ee1Ps9g6NnnhgwmGdLKtrVcExhJXbrmoYCWyAbgXlxjM6cNriGweczqC
WH6aLL/GqvsVK7lLnOTTBSDsMd5gDt2RMFgBnMJEyBpuZjokAPdJueARpS8Q0Fe3qJ+QFeZhdBYZ
8vGY+WcoEM6VRfKsS+RmnUcVJf3XOIrflXjYdvXcjY61jy3ij5imfGA3SVad3b+JnLMDIkukDA0Q
0UEwKWdQ32okdVvZ8BJbs8jexi7bb41ueiZVG8nkS+iRTBrm3tkfy1viNGhBAnhdOogUqgEcKzgU
C2gOiwo0zCZTFSwi3d8qI3+D8MPkG2Lk0kwZwmiympu8U7rTvDohkMd0lyamLZOuZ4VkgzGARyMH
pICo5M6LA/xsrVfRig3+aCSSCcf9qmxtH41tvDGi0NroTebvGZUz4dtYqcCF2QE3SWWrrfXiwpmH
1Smjnx/jkiGPO0Ny2lqgft02l/uUQPEBqAQd1zkPTLqSIEJN7Iy5JQ33R6KvtCDSHXKJ0LAtiKUl
u5Pz9FJPnW5LXsYCgDOMqXIITozCj/xmzrqxUvxIBhCtqjUWAEJQMI3aBV/VdyhKFD9GEDH6SdRS
gGFTrfaIxbbtOrVw3XJn084yCC+vho7AglIeQg99UTzYV7ccMc3U5mwURi8T466Uo6E/Gcn0Oqku
R4xDWiZUBsWNCFvfZtXbSQPj3wBZz+Kwu+sGdLKAzUSUv3qN+5kVXr+KdoQjnG0Tn1nTaM12GJR6
ZJrznSr/2EsrvAy0DUZFgdHTwVrBfjljI2Q0iL7kqk/Plcx/4xzaxiEkrYklpIb74QeetRuneAPV
Dg+9fi4HD1sB1J26NbYNKoh2gvqHw/NVaNonE032ouAthak2htqus7tF8ohCnUZdg5CyLZwL3p7L
oLvQqN8wLfIYlt6vSdlbLxvFDI5BKMRGZX7EZMeHoKpF3a6ifiyXAbGG3fAXiEnxK+OF9wOcGlF0
zi07BOAhLtmI7KyH6UYrkod5lMXdSLxPO5kA9/bkOtLHgCETFBb0KTdYpS4YRCcSOnN3nI7FUCyA
nY0vMop3hAtj+PTYCM0WeFPRa8ZBUwF6UDP5KpPQOvS5IuEkqwAr+Laz7sfq5hV9vrKJNIys+HcN
3xQl4HA0gWRBIKWjOXac8pAZLrBefZgRSsm4TF+n0r5mB//QuzyBqh92WcWTBjbOWOt0LBYdsV27
KiDnM/nrkpOQEozaTU2+9vNM20qMHK6vNo3E4w5Udtyh9+zQhqqqN3C7+M/FLUswlQXWRMpz5n9g
gCWczEfY2aMwofh7pfQgbKLXxXlw5M7uHMS20Gy9yMOS6FsH6GbvvqPcEy2YJ97w7zjlddXMRxaV
IaYVMRtFI9pbP8AbsJHQa5naltC7zo49sqYbJW+C1+4IdCap1SGYQ6qDnW47Z6wWbcKPyRz/HbxE
s4/HCjEiduKSyfsq1wqNlLbmpfaBkyZGSZqawQzALP+20dnT79Fof+OzCzZRRLxugFAHYxccG93P
zqqcpo3lj28NCmEoAT1QEb9PCIbvicFUPLm6MCIIBI25qckt183sr+tG6XtGkABZetjroim75uYV
ZdcLmM27MhAEBqDl6vYWNZuqNx95YWAaLaNnB71QD7ejjONp3xnoqmWS/mWEFW2yYehXwh6Ci+8M
yaKtrb8++oY53i4ho/W5dftx5xr4u7MSISBZ6Sx9stm2xnDEvu4svBjiUTqCY8mJu1LexkghrADO
uAuXcq9gIjWAitWYmlwq66FbFQjQDoXZ5KW3eNT0fRQj906Sc1nPJuREz9dOvgNu7yARjDTGjvh6
oy/gf9U+TFkQ+ynK9lZVnYrWt5fZUGhrD9bWhkehJGvTK/iPtEudbTlov8PSVZfGD9Yxd/mDzfa1
6mZJYueYZxWJMzpZ8iY0/9YhxH8ilipbt3HytwyhmnpMx/pU1UsMKOMqjjiAMUB+cTlybTKz+GO2
AejrOH8xe+PmzwCdKQDBVSPfqTC4uc6qlOh40baueathqQtwHS3Oxr4Cp1+RyjH7C5bSalHNeUzN
nALnPmXxsRble9+TNZDX3m+tancqJl7LT5gx9kX9B0/kqaPTQa4gg9AMEtIaiBF20gjIhxv6G7RB
Pn7L2Fz1XeJB7geLUSw1YaxR847nltPz0kitfmc3AcwFqw/3ctBJd/Dv05A/EFtvde4xIJzYLHqk
bUmgLsVARtkYxb/jyb6qWCDTHlM4anYvFzK3jl5dTQCEPtPMMMBKlPGiGIwjAtbpXxd9RBzXsfmV
GBtOtqOma4h/2ovb7AQPjC5kfgwwQhxzhrRHzhVyVoZ+O7O2wkOzZpEX6yiyXhsyCDa2i7YwF3YD
CIV8uhKmK+Od1rDbrf8JaRXEb0fTJu9IMG/N7j1OsdakpkKq6SS7CL1+2/QfvhXPXYts3xXzEbcW
GPEFUzwVJ9UmStWCIcEiBRlYe8zTsH2/1/OMMzMPykltvO5owrovWD5wR2Uz7Tp8m+hdkcN3bakd
VDFJ9OQ3G/jCuvPw7TXzxmez1ztRs1aNWGe85EXHcGhRx9Nvun0IpS3WTDU6sPkSP1pneQd9IPHJ
ZSc3lnqAVJl3OKbOzqr1FA2+tq1sFA22wChvC1Lc/LK/zrItr1OHskZR3UqNHGeAMsFYP2HGpBM9
9ZsOrZ6WRgBsgo8QhkbMIDd2QtQ31EM9/8PYU8eM0oF8Q5iGA8evbr+iALl1bdEdLh79lDxwrA5w
1s0XDz8wqNQAALW77m3xbTQTUQSECCDnIV1Sd+BElwzxI0QEghTlqQEV3cAaioIDZv1ppw/NH39w
TyF119I32vdBc9V+ZCbd0jwIONGkNaCocJzQ/nYvE54VD51FTI5WaZnNJq1aNJrdgrYHL4kRyXqa
AEqUYi38mP4V/MqtDrEytpDTVxFUBuLkrE1SctR3DB7JZsrX9jcaKvCfGRw2IF9EJ4HWIj+JYO6+
lc5+JGGOFNkCYf2cGFSSwkj5hIK4hUdokIkE8T18GIMCaZ0jeZ8G4B/KFDHMdmPj6R6AuMmPyGOw
UUinzPfgNywqnW+t/S5GbygvHF+pUgl26UdgBAP3YBdYA4AxGMpJrK8xsL1FfnfqUw94m3/NssiY
46rQkNdetBWeCU4lmy6JMN6mal3UrdrJLrwUOe+b29dbl3jDRaDRKmjj7mCzS6HNtrc8GnJZZQTK
W6L66F07XMDEhR4kYWxUltVilN7HgpAcPeFuFz62zFEL/2D+vqdFCaQKkRQBKcUnZ1MWnKgaVkZG
QQsED656ksPcEfVmijkmpKP6MsMiWem8ukVyJNGgPxH19DTpRIzESeSvjKEyztOM7MhJarfZGjgF
wTjqtIrj2yrnRVLGY9ExeY4Xlp5VS8L3dFw6wy2WhP6aU30Z3ADpAo4P/NLeEqIHdaGMjtU4fWY6
0kg9aM+VdNa1V8/pqmGztmuHNR8WCMCY6WBrpbsl1uXXOLarrPNOXmbfuha/rx+7NvOROZqsBRfk
ya45tbNZqqtfyjBdizGaNsCjIR8pnU0kalc1Ke666NODUJkJO7j6qHMjokUNagm3GkQ6z7r44y/M
/Je4gp4tppCxMecCW58+U0iva2UYAIynU2QMEbS12dJT8rw14ZMKSOa2pwkigIsXPiDgcZ0FZzNS
X9GIVDezvY1mhqRsDI6Lrz1EvJpFr5m2o66/JEj9SPsbXiwWlXLImXDnfJfr0EXzbwMMtEQL7xkx
b/Fo3ruohL5shxa6nGTE+8YJ2EmQhcpc7DuPVntSn3Td+DSCbq/LzGb3g2ze5PFOs/KVw/qyU+in
Ocs2JMZUERa0ihwER/AAyZsS4S8qcKzO1ofP0GcpTfmSGBZSTMRgorIu3fDmjhzvp3e/BczAYyEY
MQIRxEhNP2Fk0B4apyQROi40G1VieQ2kMX2lQQ8qAxUEwZPXsOFl5GFwLgHpHYCs7EbtrBltyB9V
kFe4cCW/3OwENKZIET5oO3scLVs7Q4gP5wKNN17C0vrkCYtWLTZaoGKkBkgNIg/sg880KCjNe9yA
8CPA9dZl4mzS1j/I1KfUBHdBMpBYhAFA5jZ8T8p0V/b8ANFy/m4EuJCi5zkw04bQ6ekrDsp33Prx
wunbE4EFJcYzDkK2rq/qyXrO8OorofV7108fCTOzMA6PVkIyg4spdRVKMgD92UFTmI/hQc8KcSIb
8kHYBNkx78JR3lcbYm95g7qe3VX7pVfyiekuwh+f5Qp3zt+AklSlG4kNbosy/E9hDfm+qBWmTm0T
JXnzZFzdFmkqHeR6w2AD/UPbskgyMt0LwRSi6cytKEKDyAVMjVrHwTKQ12rSUEcGAS94AFzJmqdi
2AdtZK2qjiNWEbgsEyb2HCMz4dApe4fa8URR8+wXzGBGo1vXPZqyllYPcKY4YmAjq2QDXOnZn55I
rqM9MEbVsexhhScK7JWuxxeMtF9dj5qRUM6DByhumXTsKYACj9TWkLrbbzTkL9VQEaDqRlhz1TdC
3Qx/JCu5r/2qi+goMvIPAeg2dJ80Mt91IP8BGLZFKclwHew1dr0j9ysdAQGLyYjOsU/Nn0bmpznm
n6LMGTQQuek5PGeA97qJWTTDDvJxBotVybragyWWSHfJ3GiLJb/CpoH0t8pcnBlGEdwBxsarTqUv
JBYjVwpJXkhA3VK8dDbVA05jApF2YxkRED1xOwqtZte6Ugczw7Icuap85lqNgQjeCOX8P/LPdcld
iWTdtPqmNwg0tQ6Ok2H79eW08vGbRC7wNC8YHKyxL3KOf2xHOtRaQXBu5OKxattiQ5z1c+ZDcrVb
XK4RP2cqaH/bvU5FOgv5elLWOdfO9wkRv0T+7nmGYMKiPcAbsfVEaXHATkhrCmoiIRiGVB0smZxi
YN0zZXYEaJ9oQDoeHUjpwIOnaSuZ0CIAij9i2Mi+B2rpzsb/kB4TolXI+Ts0SXUxXVTPSZ5QjwTX
xpfxRir9b2p4V5Bb3G1j+6zVYUVNjaDNz9KPGsSDl5FLY9Kq471OPnBMN33ZrbQEVFhd9VtvtFY8
Cq+JFczhFx0Ij9Q8IXqEe4CubKFPEdx33eOIR7q4nPzfTG/UQs/D8FSFPlge+QzTJ7reyw5xX9mW
9zKqkVgjRRuC5pz+JhQk9QePhw2UIJFq+IOIc7NVDIuaMJk8eBRKf6B6ilpjM7MrMnoafJB/Rh5y
5hYupQVZLOoxe+pFfSgrHOtdll2mxIInrVucSzjN/nyUDEyQa4fQx9beGmYd7GCBOWT1eeUBBNpr
DngKJSep0llCjy6IXktlYssN40fgmDVSMNfgcIKyXAvJIAvZq4uKlnczggwx/g5NJBBjTtsebeFo
+dVWSCQmnVtqK4pkExGnVMkOO9U6RTQ4x9MYs/DaXAyKbyo+o562EK+rWqaDTqACFB2PmLFY2p+4
MNCzm61cGOQCZVVg3AIEmSh9qh0zsQ5ODNPBmMpm6I0Xy1ZvYDFpAHvEwZLHOYP1qORy7W+d4Xwd
rAAX/2SQFtTlm37SqhXt75d8hMZGnPIlMeXW64oNwZTTDoljU9+Upo1HlVTeuglJWBSYhrTO/rWN
6uIdXfpvG5wW3hbEv86AYjYNR3Rjxk0Lm+/U0Ki84+Ddh3yDWu2qY3A5eH0C7KrHrZkFNr6i+ivR
vysHSWYUsIiYxqvrgMh0U8Rn4GrTDRI8bu9xbWkchcoqwi3UZHi/8et7EdTORdwGB20Y3b2ska50
eByTwYBkMqkPwuHC1UnTLHr4M0bRyBTEtJy/fF17KAZf8gwI0NA64a7UbRcVPW54T7c5CY2av0gO
FdNFF1sQgxCSj7eGFM9QFykhI5wNPWcvOC7roiV52Jvo6Lg2TPbiRHZesfRd75WNlFUqTJDyxwSU
myWNQI0a26fF7wzVRYysYvlAN4nmgaT7C8hEKwZ459SCWgJhM55LHL2fsHrWn3Gvacd+PgzGjdza
g06aCo0ih/GC04bnYWrSzWS51loh1NzkCqnu0JuoBOhOmCZH+R6BSq8nTyLGNQX2KuKcVQU7J6r+
FGlNi7gm/IyaONCfzZnXZyt9DxxrU1eph7AW45wxJDudzWtRGCQZwXD7q7kYtdCl4IjiXkx6S+1j
XdqoERHP5sPwGYXdPqZRviT5Cq1PcEkJemzhcp8iK3lLgUS0XRo8a9aw7+Fb7SML2gqG+F+98Id9
8wzYsTqHq4F+2dK2RLd1e/g/rTc+hbpOsD02dO7EvxWuc96MRAMlyq7rzIqtvwwxgFVlZA4D0Rda
2vEcufUWM+y2yWCJa+qTtYx/mMH85JAImbmXUY8OsR89R1Qkg8sNJH1Wzr7hAUwV0iGlQ0fIvQJc
aDcsMsBJehcdDeWa+2qQv8T8nk/MRXcSu5dbq99sBwIpsbCw6ollXbsnVbTelmHhdyOmvyU9QEID
2k9dp0bOolhjUH4d0cscakBUqUetlM8Eek6veClBhTAWdKFOSNxCTffuNBO20PhMmAiEmmk/xRy8
4uCM7u6V1jUtjgKcRUyPrlfOJwDCaBXBfF7paUGGK+OPg0f7Ei/THEAX1NvAYDd2Q1AfMSOGKtTj
TYLLviCM9WJg8zZ0SesOHzMDi2ffa68lpKzKH7I7OB4SgtKrE+2VQykESx6YqwpyVFSkwdR/kxpP
IXGvnAAI0u3c+gZgdI6jaQwOzliNxE/AsFUuzLb6ZgIRLPyQfEw5GNfenbJFZznfWQKH2tUvMnFB
BqkSAjBeLkTpEt1PFZKjTEtrjkZhL/PfKPh97Np44nyJl7qM/rjJaG3bBF4Jkg5u0xpXvkfV2Ss0
eI2pP3q30h96XGwNKuZFrg2Ml1zO6EQqFGhXtPHqtESU2XlwZ/vAg49/Hu536K19cleXqBH9J0nh
8uRqE4TIfOqXMaHGWTB6RwQkzZPpQyQHgnWCKq+ehNuH26TnhCVe8778DvBfvOqFbE4s3CAWlD8S
FlnNKHW8/mF8JMtVnWJS0BSJsARMQxUjOy6nT1lSttNUXwdm91v0xTG3x3xvhBHtukRXJP/pcqmX
TfMnBs9ZVIQ4mbmGS1nKDZxZHasEPYEI0NlKuVp/7kF+3xEzryqqwntZQEepatxwGWjfoqcHltuM
peNiJmHX/C0uNhn3+yawuwtpJ/3FbWy1a1xq1jb+bLNGXuNYxffInORxkuG7i133/nPB15duQotD
O8SefWhH6ZNPwXznfIDsgWx64th8JtKRxCtf5OAAo3DY+vrsDHRL89qmHCX0Xx2qhgOxPNEtIdTv
JihkF0Pjt7v5i32aWQchaqYxXQeyogKn7ZagH+l1YaNvE2LaZti26Ot64yB3v3vzRdUWz2DYP2mJ
VHevGP0jv/x71mQQABPNPETEkj/7zp+g5MzMkBwqF9vZSZfCWinTqk5wq4Tdt8we/PxsOMNZm4zu
OUtfRres7pyp8bJpJirxcoqIGeZDbSLSybCibDN6zlfR8uAvtVXauznUWUs9rKT4TrxcO7lVrR5u
bjjoGDNv8/PFoKlYtYPpMZrxHf6O99YbOqbTvMp23tSZD0mKHiMMbeO7lKCkxwxQ823M2JGVYxvk
LeQswqoc1PmzY7QCb5ewnjKL2yUpl/Z7MbjFtxFh50TYCHlBkruiTcJe2XEwPHkhBuSwDq9TENcM
0J1Ps7NgdDHhWlYQPVRiubfcYsgxdPaXz4l63nQsHprPIQ0/gljrXpQZ6WgDnFvsCqDt5GSgn4IS
2Koa7yP901NIoNcB9097zCrjVMZZiUAWVJtSxsMRtnZ3gZZF9C8Qy/8qx2xjMiU+WSadckv0hyl2
H2FgEqcpJNqhlsd6UE9OzFi5Yei65BWP275Z0wFS2GKD6nmOBtD1cxuN3Vuh+wVKSpx1Eo8lWaSH
MfAAPVZGcGyom+wc9FeEcmyVyocbm0vhFByQid7YEc11J1Mbb5jwoZSFIC4SkRhnkXYAMvjT80cB
EN5nzWsm9WXlTJJ7KwCqYDOWsgqx1v3Sf5OUWwdNzgJ8+V3G1uwHKMQ9idVj7IVxMJWb0HQjY6Ux
y/BEe+UGfdNY+dqADTsajDNyWx3zPpI4xuQj3Yu0QIKVb5Uk8quQqtr2lZC30U7zCw3oDT5+7KAt
iVhJ6Rw7SG+SyOeNSxNp4c0iD6MNCGrOqnU2Nnc1/gxSDMYeblGdzCmTh6pl2Sf0HAEpiRggr46Z
x9yDmMluY0YiRKVp5SiVpw/WX3/nJA75uFHcUSvb20B42V0HordT8wyzsN/Nurf3skQiXTaDxZNA
nrluvceUC0+FglLk5RAFJs7827qurkmDQCVQ4Xdf6+7TzyUHIw/MQ+xGJIJr3/1bs1s1EwzfqXJ+
Q3SjEC6hD+Yuo1jCV06EmABdb9VT4oElN7wAHkEk18qzdx4bHmlrfbt1bW7UUjgOJHF7bwZBv+Q0
jfzFviak4+7Z6yAFckosQ1QwYyCynd/QB52GuFwJUF4E5pTj0REOVA474ixQzVJeH1dnznO8jzJn
G5SV+SfDBF/i+Mj0WntL9XE8MR9EBBFD0JWFvdLNmPTL+VJE6KRF8Ka6LL85WWDdcyMQK7d9DxCy
bDTGKIeIHI+dUdQfWuFAjcjiLwuUKSTT0b65KCoXhTc3diYatbWDrd0AzjnVSB2JZbQTQ3uCtFas
qpKEOeiW+dXW0HU5kugkLWXAz2FLfRpe8+Vd9Kkv7wm7stWncwY38UKWDqFwHJ0UDYvCKTNmhN4H
LRI+Uo6y7G8e5LsR29rFSOzyxe/FF37EjSbi8SkaOFS4CSb8iBTdlBTAwJDxWROKhFVTgh/O5aly
ocSQ1sgjOpZnWDkvZsOEr08C/ZY0NqO4SU8WwnQB7A8BrmhI+mc4wSBJk5ZedIsLc0C6izKC7LAy
mW4BWuR75w5HVcC3N+YDSqJH4Tl3rODsoEx003ZtG51cJ2bgQyI1cnp4BglRodavElaoLfDB8TYN
1j6csDYFQ014V502pxhay+CmkITmzw9mrtBBLKw6sa5pwSDRq82J3jzRDjAJWKJAbK/rEVqvzqHy
JSjn3nps4eMFj3McFK7OruwYUNSW2LlEB7+mlrYVoRF9Lhup92fdHydygypjqWsOkUCp4KFsx2Tf
F2l+/LmkfkyzIQeQhA3nanstyn83/u36L62eYXbKHMblrOeEDVUmGJYIyEef0GjSvWTTZYH3qO3a
exTVL4Mp28Wa3Puks8TnEyyzbigtNM9oGcEUyENsBk+c5jkbVlV0q2eyGzlrpn6jLybOOoSlttXN
gyh8k5G+ep2Ycm9Dl/fcdNw5iLWl61Tl2cnVoLgi71mOU/bISPCcvfc14cgtIkTLKi5+AvJLtnF5
CfRsZ9SPMBvUsU589LNa8IYVjPynMLh1mEG+XQ6iVR0At6gJdZ6kxM74P3UO4ZN7pug/e4LnlsaH
1raHnJH6yvYzmJsUWIfSDRAYa+2Wn0bujY35uoXG9+L0GogkcP/EwmUWIQspyIsYvZ+lldqVfahh
fcuHhzdQpCgnJoNE2AenodvIc0WIMsDeTaS1oOtSZ1wX1lhv+IbgiGHYgbbWOA+787eIGjLkNjJ+
DaaNZtf2wSzsv6k3brMhLO56SBoGJ7ly1Q8OEas1QQhpCw5HOXbGkC3tzj7suM599hg2giiWz6ZH
P0oF0Sf4drqAQa5OFVl45xa3ZqkHu1Fpz5kOdKSnQFqqd+VEclM6rf4gmoMF0Rf0YCesoQw9QStx
bI868MyWRi97mfjeOghoHaGqUCcnzejV+XG8nHCfEA/P6CnTUcTBAmQughsMG95UGhdvCPPF1ITm
zsqCbueXgGgrUvCuyN6Y9avm6ecjw4cyh/bSJQ4hjw9F5H9asmuRnw02vYmw3fXhVGwRB5pL+qvl
vfLK8m51X2hD84tH3XBOQ4439SRPgVFyYcwEqwaft94F3dVAaHR1E7c5uqa8BlZ71xylP3l+2j/6
+GGEmvHy80FuPpeeMC5pYDwk9fG5xDe9JCfM+0XqxZ5DDOFjWZRipKv8Wy3H7PbPCkhmPP8tgAT6
ZBn/h70zy44UWbvsiMgFGI3x6o737uoVkuKFFS19j4HBaGoyNa/a6N6/VmbeqqwawP+ideMqw0Ny
B8PsO+fsI5gRSNcmqrVGE/5k3W6pPqVABQMRFYcC90xvPlJUG2x8keqdk9HXG6xhiNQi0G2qmJLW
WXMTJfPJC0oZigjSI4+UepO3VJqzvEyM0fCsJOJLSd6UoYTlb+fOxllYNy6TlzpivNiJCwPp1bCx
x3fvS9z2fj7cOJ/UD43O7sksjbfPL4ZGDKs0dprPP5rZ9yZFqC9tf7xEsQz7se+P9Si9C6ac5NSl
SXoJfEecZrraz2X/1R15XCmaaid+flgoQGfeS7JcQyZBmKxfkp5rm4S5hoQr2QdzkRV7IZhsCrvA
rwz4oBgH90JdH26ZesTYGnlftOroi6sXcPNLflzYclAMg3+VQ/OIE5H9PK/jfAg/OBp+s0pw5gUL
nwVXKZMHugqHt0oDh6nzorprpmVkKFfrrUEd45NiQhzKQvtkSbnyRPogCYff2li/25HOviDJkN/Q
RXwexJvGWPP0+QWIQLQma+x9famToriro6G95kkSDr5RPzcDbKZ/vn7+wzTse7iuHd/3bGm7nu1Z
f7t8qtSvzXGdj2gYF1GX1ojSot59H/PF+FAenMkRGw4NRvw3WTZM5zJgcbNtplQNMRs+sGzv55rK
DXTAWyLpbGNRSR9mnwIXkQA9ptgogtrmfK/prOZognEiiTDANdZ70NcqrAaeX33Zr/DkZg8EmNF0
i0JuWeIhITdw+udf+e9ZHV+aVKnAhfUti+jeGp/88w0TN7adZONK9aGResPU5JdXGr9Ti01ta6zT
aILpmxHiEjgj+jf++R931vfzL35l4pCB5F8maBG4zt/fb7OV09C0A61uqh4Z4Xo1mCsw6GNNza3l
QozTOCx7m7O9Fdnm1a/c0Oyj9B5SdHafmrjuampZzilmvCbw+jfoHsa5bs08jNncfKh41VvGu1LR
vNPOwKFlzd+LE+8u6b6NZvR1qZrhzrI7RNCWhHFX63vBrvUtcZR5psXvDQTt2SrRUQjARBerxD6K
ZJZdGEiQao/L539+Sz7zQ395S/hAhOS9wN4tLGH+7RIkjd1PaQo+Ppqdb4WRftWecxophqaXE2Z/
bhln2AVLQaeKa0ygsfU3p5ADNDLA4//8s/yfro0VKWx6ViC5K+y/XhssgwaZfBTnyK5+6r5jZ09X
90g9C31aFy+hJcF3FnWsW/u/48v/yij/P+LLRI7+9BH9R3z5mZBKSpDgL+Hlz7/zr/Cy5f3hOeTt
pOQKIoTrkw+Yfq18aEv8QROQ6QWfH6frcJv/V3TZ+0MSlCBjZTmmBXmZn4B15jPV7P6BSRdCtOOa
jvhER/9XsvrhX5ds/7c//zkabLn+Xy8obGHCNm3LkfxwBDP+Y7GB/GJlfeWm29y38jCyUDuIwuyz
Oe4wclf0C84UNEBxRZnBVTT3joXkPHT3SJ5ERgZOcCVmopQS1y3v03PWRRHTrPySgxaakuzqDNZe
Ugy5TW3onZ2vDn5SfeugE6aFVZzwtA/bygiWg07ZEqqRViplGEdgzvCES7ZXFEoZoZOFEHWRy40x
ofnJnS+w0K/eUD+UEX4/Nn3A/4RCjk/wvjHhdi44IMlYQADegHjcOljSCJ2spKIqwXPEZFdW8GFU
FbDtMDT5HnrlU+GGqYUaWc85qdII7WQtBPVdbMfrKShqcdc1K+fBRx1Hk0c2KWg+HqpvBNSxr5jW
W9KzfcE8tYvH4Zgm7q+p6cuddsFS0je/n01IIwarRygK3LkTKh02VBAm9BC1C52utmidnQBfRW2q
2+6rBGfCkJ0Su8fAsj6WLVJjuY3tIvYtfv72ne3V3dIorLumBnbfR+6mUe0tCLonTDGAybCo4M24
75oaXrIYaAAVfBaLlR0DH9NqxARhGEggTHm3auHY8XJjGffQFOotUOsFaQ61X0+JvYXMjHmE8h4P
txNtthTg1HGGpwkcyXYS1IuYS78TBfMOT7vviEuHAHQPPnrsUGP3MTDTZw7ZvkDNn7AOU4A0TcYv
m+EBdJhf1YSQTMxEhq4LwoEyN7yc9CO5ef/S1QE8CrlsfQpSttbQ81a0yU4S8QmlNtDuACjjfKkO
K2+mN+wl9OtChERAp7CoDB8xvDzyKxZh3iKhDANGmGZAjmzEF4apaNDUs5ozGB32j2+e3jUjmTii
PavwNqNrpahSIutOiLQUt+DQcbDfbNuqPjiFu4r1/Qd2HLRpe1NrL9ll1Nth55E33+L9Q59INxFC
EaUd70MzyXOcaf9CVqHnlurQ8h2Tc3LxVpXwf9I25DlNwcwK0sqjW2GN9H/ay60Y+oCrQg/boJF3
EWor3B7/UOGifOJUPe1LRTtv7flhBoiPLWOzN/hk6vmgM++pJPXAfeBQYMRWs+FaLMLBWvywFWu2
upq/KktDXp0bTIDiC1WK98qcoG+WDoVNmnjOyCBDLXm3n7X9ZYix4Gh4jDvGTOdIAHbKdJltU8aI
rvhKlwuXlixfU4AjEgTMZqhBEY54MhoSSEfb0pT2EoHc6rY42BUrCe4nukhJULQGF7wtqw85xtAL
F82urB8PIyNW+C64W6KJ/TTUqW1WLtidbG2HGd2+nAWavW9bP7rZYuQX0IrXm8CTFnktCvdgSpQ4
y58p9xttOuSDR+AMq9dg5EYpcWradnvWuZpDCPiAsEbjDH64g4+lAMIjBu40O6GY9Dik9bt4TCNg
WRZMNJvrkYQpqTw/G4H/bueI3aJLdRmWjAMOph8Ti/xhVSww/0ItoWBiq2Y1bG005znjrmXgya+9
kqlmh/t7wrw7e/KxMXLKjQoS9eRyL2bivTtJTk60QiDtGdBOU35QEUggNmrkari8cVttwNvEvfS5
n3ljcr+sduNcnJLIC3DaLXZoDqW/0T6zJQeAU4UK7tLEiEcTiIw/w3UAdECne00IWJY/tYlZy/Hn
jhg3H2XZQJDvmpWjQklIDIMQEOfMOICru/clMJyaZYYc8yOj5bcB0D+kiEMu+x8gKt/rNPvCoYmV
pzQuhWubT3Flya1RLcelNH9kwfJSx8Hpc6ls0szl9+Z3c/rrmBKfRxzMJbzqEpUvtZKIbeZwyfIA
U4f8rkZiCcw09pM3p8c4evMoF9sXSXJskhG8VonpgEFQ736laszPTGpi2QXzcEu/i7H/GUuhMUrC
PxoMPOjsLKNza8RIksUjMSnkQJ9qsdifuZNNIiwOeKkwxYfSWSZS7CU3eSe4U198OQEygsATXKK8
fx4ioMKOOyF55j/hJunNsBCx6wDCMZXgCeRMB6/6Ua0IYQKrV8OIWMWC/EAB71vJJdRRR7HB21ed
oER8UCg0HjUtPn4+ApAqeOZNCowRpIGU4t+oOTbDwQFetY0aeMG8hj0/xT1DNatGBjQHez8NRnNX
Ghmqb5ofWkHWKfGaR5d6p6ckntOLqzSFxYH14APq8jmsUq8IZtfGxLhT1HqVCucWzWT8KhblsT38
Jsr06pe8FLuhYti3YOXDs5UfwIsd2risaH9m1WptarVyE6GwyZ1bO8jvJqPOhwQGlsrPhapN7szi
XmKbCuukbBn6fGGTcBj8INsT44FIxbgb5lN6WNKh3WSL8chdSq10B9Wvf1zIcdI4yb0fDVcgS5Bn
x+Wrl04EgHX2YTRgk0r8sXbS7WN4Ym0+ekeM/QnNpiMMPVc8O6wGofaMJxkwGK06eQdXDVR5mB8A
CM9b26m/AalY7WAuwzSPEtOobIhGpvF9TKJ7UzXx3VyQHLDw6eh8fk6KDEGP1uok4QGhyztLAGXy
PYEWIMkcxoUPiVFy+ylsKQzXR47ttbvDh2NzPVbUPufAikwcwLNZhvMU7HoLU0+6gpFnChmhp26U
AxgOUscNohPGGyLYRcMMY6LxbLRVmKG84e3zL/2ihss6RJA6mq8Kb0/hK0YxTn6AK0JIUyLzUrED
96Cn4iylApabnfkvKYaPQSQ6ND2P5zbhuw2a887xKNjTLMebqWG2l3ngNVOc5RuD5mSeS7uskQhT
Sh0xsMOWSMUP6JNsx2pKomJLHkZ7eFy8alP7/YtVNgRffbaZjcYYSMLOGOSaCuzpeqcbqTABwAf0
4hLUwQ4qGglruUAg9lqeNEFFdS9mA+kQBRE5itWQ4TRLDYwu+MA/IupXbQz3go77FKw00fp50eOW
AIQg3E8Z2dJPW8NaDcq6SyAFQJLSCzMD4Fn+LrqOUQpp1u/JnC/Z24QDldovl9VPBl/JCxFktLE5
WEJPe8fpHpCxAcSP6zCho99e958WAmqUddKzHPpip/OcEkAUslPgEakREr2uxLwWQYHLPRGE0qAW
bOUwYdMSMWj+6BzYtBT5kfMoKgdroY2qjVnN3ToxxQQI4o5URxMKA7t3XHmDv60G/2mOgifXj18o
2dKAKNNxYxC6CSmdGhgFm8wVkpOYUSSsxeAycusteQCMp/Lo97lxzGZ3PiA/Qc1PIS27DV5m4kZH
/uZaG1XxI3j61S/UcuqIEbEynnE+APjsErbmKTnBYWiZPjFsAwyWkRQiJWjG1Q8qYCX1DkzIWpJ8
LPHeBNgxp9tYE8pgfks59GD85vQDGzn40S6uhaiFFmWW6Iv+9Gh07MWRh7Otk7GnbKQ8ZFOFVmjH
AFsCn6ooeixtRVFtyX8pBiqd2zGp4eDPV1BHfehPjLU84HphwnCEat+q2zUx8LkF50vTNypcZtGG
1miDzrPU1faoc6ii6HsBJcLAPHYYMGIgIz+nAeHrBLcD23EqDn2Wc9pOg7ADnUR9dbvDrebSF8Hl
lLyjvzOqHPMvLNt3pTnDIV6eUFzam9vuooTdUgsTa2OZEJu6GUrtiHQyAZoP2/g1tpQAYs21gMmq
9oeEcgIqJKMm4y0gNb0JcoasNRB2GVOjY3eBeddxG7jBHZ0x/akfoTW0Y/A7LxeaymX31nrLPjOb
bhuIl94ASjSkBeFgcA0iq/EHrrPrfGjdB/rX2OLhOF02UJK+igmXRjk1w5ZC428FsatYakJQyxxz
DqITQcSPwJ859RiknYjd1bg+aBXCv9PYuiPjUbOhzF4Y73xRKgXhNzlPcSbvEfIJs+HwoQ4HOqOq
KblTRBgKWZ1rXm/hXHZY4v6rIvlUTZa3Lq/tIVXucaUoUKF9MbSRbPponk+WNlEL36At7ybM7xf4
7f2aqN/0ZUJaOsIf2OY4JEezPqrGYSsT49yr63kk+hMkV6Eh+7HI0Y/gBAcyXZdIsEm0EZp6j9qF
lJ444ZA2S8tbwRb8wfOTnWp97ifB6bdteO2kY6Ogg1elllvQ0qqA/ZCOMerURjzdYVyhgkwR8XRz
aO9kjzBStzwT5oomAC3I0NBEl22Tlg1MLfTPCOf6LeE2EjMoG5XJo80nvEqUx2YVVVhGjnkPjYlV
xz7bBgV0Qdxe8NqQ9enUvOtHc1sHK01hlAE12/V8HTJmjiqb6BDQWXUkAsU1i34Gd5VaajL819yY
TkbukWRMDCCD7iOudhVV9ouwPro2pUldBMWRUvqHMScdEqjWPmqLhSgfq6dkrKyzhQi9qY2fc0UH
YeninJq1dUxrrdY4AMFXLQMwG+MHKKlyg70HBtRCG6UEBbkrqPbsvbxDT67JMk0trUEr0dE0r1kR
BIhU4DIHumCsljEpfSlrOifhHKuzpyDFO9PFs9xgVT6PAWaIpgHzGzz7K7lyNu1vyYTSq4eKHlZ7
ff5VCIIW+Wh/myQR+UY8MYhztEgKe0gJ3+uLi+8FebBggKGLq0id5ziLJAk66pxFT8U0aVy8NsEy
b2vDJAnGhlp1wym2c/WQA53fuGaS7OOA06h/mF013dzZZ9/eQqRqAhQ3pUcCVaRWSHGSf2cF7sdf
0WJZB6NAhY3TQwczb4PR0bz4ZBotyTnWUk+uMvrjNI+vBhG0UzURVJrd4OLqI2+BT62faYeBH+cH
bJIhZMyBICT1QMaMH5DJFQe70nR3Yz//XBT1i3lH2a1gY+c0+GBLHX2LSloTDJMgc2d8a/tsXUmf
OAjhVq/9Cw83CvKik2d2bFKAzI2F5fMq3O1Jne4KMRFMNcBdVo78MZk/CDF0uJSTR2vsg9AVT6bI
7VNKJ+ZkBwfC/R6EAo6CkaqjHRABYikEGmiz3agAE7OF9EfmJ0+YmwCu7WblXYAf7cqczR+jpazH
EgF6+DUbeMIwgq8PdMAEl4HZLg0YGccn8ttUIgTEnIRWtzjqnly0wg2xFY5eMuUBU5GNzsos33Yd
bqM54+jussfoTH2x45hFkZ8GozSnKzli4C6m37oaCig2uXsxEs5YPea3deoTgXd9Lx2glHVe3bVd
C/45wdBJl3Uy76it/1X4ZbRPMpO8IKSck42MTGQmqmmJp2I4ou8hy8J2Zn9i2BDxaDP9UQbQ0qNf
0TD+kHjcdUe3hyJLt6MbsaXQmQPBu+q616mjhpRk+kM0+eEq8YMoZnFZY9MWYktYtVBqIlIBsfUj
V5yCs8GodjShBqHTpa8uTfZTVfzsOAHyaM/W/Ui9a8Vwnqaxp7pW3dkG8xi88ZRqBAbFqcTU8WBS
zruaHYKcxiVlkjfLxdG37H0/QMcrh3xHc8X0FKxBlonm5YviCM7c8FuV2B+WCSVIj35+sHKfK8Hr
mCNF7mPcNIB+g/RbiUdcm/ayF0kxbYs4jY8TO7KrFHD1I3ZoZZPuHLvBJmGQtWZSkmyCKWBv7mha
QAO6zwj17JTbuLuiMyYeH5N/JLODc4/tjDeEGuYIZ+iH2IOFYbSwLzSR59wyK6I4s3P/lsvobQGw
iBV0bPcYMfWBEnhucNYsY47GY9mU+4AP+toNmOFr0H0uuOI8t544rrq85nfQ9aTIjYh2tfhEh8s5
t/RbV4dug+0UoAUb+W/so4ItJhuO+k59SYPpxgbnwdEtm1rVh8oG0J2aXxpPHFXFLtCrBwcBPMKC
yUkzrb76lsnaBCUiJ8q9SeR70wILaZ2Z9aCL0Gi5BJMR052a/PvEML0NpoosdBkzLU3ssf3Ozhiv
v5g6u/k1ZqcuMbF9fnH85aE1eIBE2WDjMSZi3rPxMXkSAQEgOV/6EyAcWz8BF4EVJx9jZ7qf/fI4
y9eEaiwXczEjI4pp5i1ZsiPR3WuZGVlodDG5L+4qeqYUkw5Lrq+GU4uKqRXbQgi5U5hfUpZAg3Fq
ZdG467DzF9OT14l3OWd3mMp/ozGyskC7BrgGO/bOaeNnW3LP5sljV8TwzmT+DlHC3MZj2YR1kT6Y
Y0oo/0ISf4cnbnnwFJxiF4vBVs/114oFi3535zeHfhe39MTGxgZtEXjduW3UN9OhVDkfuGq54XjW
s0byPn+3fO/ieTbbU/en8uNvCSr2MfXUU8AtRAPrqLbSzKx173CwXGpOHFtHJ5/whhmDMODe5Izr
DzfTKZnRVP6jEovaNUkEiYHc2gS8P2mwiSVweKVuTDxztIqPGA0BpOOWolfvd6f9d2k09yOr+y2I
K1p80pc6T39MKTyYfGx+LXbfcaHNxjEfW+puzPJgUbb1UhguO2+32Y+tfHRJBq+BiCWsLFxMFdf3
xhm4KRMymA3W4E03ZN88jzNatLzOBlTm2U+fkXQpbwGrIqowGjuDZyXTQfofMPzG6qxb0w8dGF08
crJjFrwyVY1DxMaCWE+7T3TH8dJtmq0Rz4fIaD5mVV74jrEdoHCHma+YgKU62TMXmnhPYnYv8zAf
mjZ7aowMvs6y2DtREl6Z+BOxphh/jCT1iSrcWgQimzp7sUbeMEcRsKI4fimKgFTUvQDuHjZ4Fray
eaik+VEX6rsamIgJUCwEZjgMm9ayG4f+hRPQAH3BMbefY64gBRzIPp2cIiPJIGiIHcfLLq2tx7Hv
fhZFA0q9IL2HcNputJh+5sXZT1B+cZ/g4S7UPvazZdcZ5YNnl/WdxBWaIxeGfUrIP+vzN2Imrz0f
68aNQM5P+YThRBA7N4vtEnBq97EXZNTxENsTByyvW+BkoaWMl5ww7qiDq8AM/BIACDSOxjSyLAw+
8xrGnJzxhk1kBOMjg3Z46zzqwAQwjoEqaziqCf3W4VQwTftlgsbDck5G+iOJ4x9un4CrGfGZusam
qK23UjNO8heQcKUmQ+L2DC4Sr+DysrmvE4OgdOMeGw7WGxxYWzGyNUx9ze/MPZGaAHjYDryQxWM6
4A1MTWr367w4DHf7/lRJlFgLN5JqzHfHLnCrx3iKalWex1Z1OGsEM1/uzw7liuu4Q+7gCVAC8Nkp
dGeK1cHxoF1xbdB6aAA9wYJBcimnf5s+TGojxSx2Wee8mwoADUxIh1gK4xEdf2OEjfpT90dvngmv
pcwQWnrS18WVaaHBKu7Vd6ay7yfTBrZo097NJjYmTsBvBkrxpp2FDyeFNcplqxjgx27nnYw1xTyD
g5PlGMaWzbrT/yRJlV+Z54IQF+0bCOT6vzXf/z/N14bh/H9HVv/P/0GI4/uvLp//zLm217/0L9EX
wDSmJynATgeu7aHg/m/R1/zDcRwsOdL0XEu6LmDGf6u+cv0WsW36D4RLSz3f+bfo6zt/8EfB88CC
wMs3/ibx/pPkK//q7+DFyVqwQCFHOyjMwvkbrdqMXKtGK8DawWwD17R5/vzCEZv0i8mUdgdMFNSh
dbR6Znk0UASBe1cCc7jPy9zClAUGaq4dB8cfQGsVF2+kGo8NFVk3Fcl3BpwwNBmh38Z5ZluOGRLY
9Ww+LmyqtyPWnHRFW1or5DIeE7GXPhYT7U0vuQNpNeNU9uBORrArFpApYPEBJnhpZ5xa46u/LnlW
xQgTkWTPCDl4jBQWfJUlO6uMsXrlXvVS5e4ZYbjy5XCsneEWq6o5pOVonZOYXCtHZJKpUZY/APPz
cel1rNCJDk7gEYg1pwIygmWfkho4b03Hw7az3WU7Jrk4e37/7y91bIWAapITNYzkZSIzu4C1WHU8
JkmpaHwaZ4d43/pDd2EG0l18qpZCkhBEV20ZP/3p8vu3rv9nHR/N/i+uHS9w6JfGoWI7PHzAV39+
/08mO8lSxvB6oMiXme4GrGRNZzwGQiWtV00E12Fg4sn3xdP64AZVu9Xkrg+Rri/RAvhNj8lr3yzT
rZec3p6yujQfP4nLbm6gTQ2Ez2ViXaLWiRlxwZrwKp2cRwFUfE6iu0+ircx6g90booEHJQLz6rhN
TakfeNCVgrhQNDT7jsZFBtvOWTYJ4oQrFk5TjKiY9uCD79hu7gdTfMn1zMEq6r3o1HCKNCoSImOQ
XQkz1Xelv3qeDWbeU6XEY9TfZxA8H/Jp3tmlih5GXdm7lUW2m8iuMo1IqwfXUq/S6xz8mxwGGj+5
X4K8O1ZzEZOZt52vbV/cA6qerpogzyYehf2s8p1FFOJQyVrtTGcuD3bvcsruhHm1ZlArnhe7/X5i
5HlpTeqAvekV6I46R4Oojo0g28cmBFz14D9abdFsAbRXz22cfm8KJzvQi2xtwcMMB657cVaLTEJP
TBE5P7TrIb0bCOvt04mauKBk1zxP2jyLKmm3fYA32GoEyfH1jU5Mir36ddDkOXm2GyzJJyqiyLuN
WicPXX226lhdYVQxzxC0oJRyAuGdfwj8kWEacVyZzJliVShPdzfM/lkatuUMuqUDcTXhfTos6/uu
M/S9OAtKHpktMopF0qDHrjm4vTwniEiYju0yCHVPhXTjbuYCjI6vePZ5cYJq6r8UfiTuWsMerrMN
7CqAvTo4KagHd/zWKUDJsCfxexgGXj093tLCZ4jANn+kXK6xx99LaciDMnlWc34eMeLRxuMS0d3n
66djDvLXkhfijr31kcjaE6zj5mMJopFoZVU/mpUEZG1luwakw900jG1YGHgVcjnP92AAYQbV4wuw
vVuaJ4qtYbBcgeLIgYLE3LDjp7hV+mhPkELppICThBMap0n02DJjDj9f1DYtkj00Dhxya1AnM53J
P0YjZ1S/uU4TDJpIWO9tIL54Oa9lYfR99eESYD3ezl4rL45ZRDdtlXRIj1TCMu+5//ziKeaOtbWw
s1wijtqA1r+mkb8NBnphlqZ/gaRS7iMDYzHWlmQbd4V1GDkV341UmOBm9KEa0i5UcRV8cNrepg29
kbobnoCpUvQs0/Qu8WDRxSK62tP0y4uYMU5+pzANONXVrdYtytim51yj6tGv5L4JkTxDvJ8EHOXO
MCwW+Mg8+OjzaptmVJcLIykusvFQkilU4gC7q5vyanDcvgbrl7xmjgJ2l+rYNd4DtS6+cAMD4D2N
jqseTWEQjht5N20EByL6ZDX7oiZiObJNigjqLdrPdsmcsKNar1A87mdNg+HkCI+mbYdooTE9LQXT
itxWz/xK1tFOmTemTkoDblNYexEV/X3V+JpRVTpsB2RPo3NvOU7cm7/+r/aI33q66AkJGuip92wH
XOgYTOqbOcBzNn4b1EYxKO4ZeDiat533mmpuqBRIDkv2MNaLfZblcPfJ+OpW0FfU0dPs9MW3ZOUJ
S9VmPCVzCn965oqq7dv95xsCUYUWHjFdBjGN+39+YjiYaP/+yHA9Fze2yV7EdTmT/g0JL/DuxPPS
kJIh4W0Zwr8hwgBrMQgIuX5XkpU2XjNyOo9MMbPHzIveeFSSop+R7grbNRlhN/MtOfV2zfJbLO6O
ppwiTEX+G9izPOJjJabqZlM4LjILYafCZKfWCtWTc1Rd4dSopHHrYI7cvAb/tlDYZSZvUPumz/uz
ct33KXOo30arZHwt9aFLO3vnJhbJTJDQvrDtWwRx74wD0ts2OPC2s+pIfZrbAfX08ZSUBW6LmDuC
wF/yzP2UH4yMzK3pdGeM0PKc15Y868I/2RE2+WxIzKthpmrTlZnas0kAp9mSVhU/4IpWtxkt58LF
v/VIQ+0dGVN3FjOzG2BLbWNSmS/0QvRP6UT/k/tDNX3Eeoe5mscOkUPXOk2Z+AiGIAXaVfsbEzmU
hIMAP91iGOOhku+xnRcv9kzLUZLd0wVKU9oMYDVZvOwhNnBAu9Nv1J7kZvWagxuA75MfYD1RFcMi
lNJ8y7Wb3dxy+mIMbXZpI2HvTaQNunULdezB/NiyH5h8IAK5Ba+YefF3foYISi8ILyNW4NIJAVdk
yaBuM+Kj5BFMZ2ozsZAPVO+K11SNC//X5G+oEU32xbppIz9Y7gubEYWXzjC2AvXFzpqTghF1RR6B
yWbPmkeq00Ohryk8Z09X0QtBvJXbe3EoonY7iK99JWWIcpYfzLNpDuIllpNFMznTjDL3UGBHUDTR
mNATO96XFac/lE7nwSkJC0RzZlzScjbPcSzIqw8lc+26evWM/LElsOnnbfo9EuKkcxqqbe3esP/J
J8tPqQWeaYKXNOT5OXSmeI0RJFn+IlbqYjAgu8ykFDImf7kNxbwt+/jKX7NPs5ezPZDWBRXRgnEj
D1xv7XEZTJInsa1XRxO/rWulpIBMK3Qs7h9ZLgDpAtRWAaTu5q5fQDdmwxIcCKiah8FNxMugDk7r
GahjhDFThTA+ulO/o4RhuZ+bJj+z1iCsFM9dHennvoFfEzmGDstusHaIBIiPhk9yszTcOwrB/W3u
evrBlhMz9WTW53iBoWfMeBbrIjj5S8ZiQAcxCtuUhggVLjnh5ilhjHxGW7kLMPvgwmNAkkFjO+Dm
6HGcBPE9/WvANH0yHVDNTsXSSQYI21J1+s63skvpU1XoMXMYl/HNo7sTwW5RCKOY2R12Xg/tOOzT
1gVcmD1oVzMIAVbVXSd/8G9eZgS3mcPApvGmATFhxII/RpSLMoraVFVeXlaX36EmRXk3W4vcGY7J
VgqzqKhkdgfAjsd7WgXHKEJFnJyWBk6CtLtBFH0Y55oGgUy1HyVC1KEZy/6W98ieHRGksBFmfmW/
l19JK3dmG11ExT/Qe4wGqlil13jJ0+vSVu2mceAXIVTQyufSULUpo2beeZakPGFtUNDBEIVMNenx
Xs8wdoRl3TKaay+9V40n8IwvL34sxvYUzL5B/XqNLooz93HE7gAs/rwM8MAb0REb9eSbUfvi4ua4
dceu4eesl7UcGZiRLvtHO0tvLTmZTR8z1mGMiRkwYGUaEGta1TI4XJL+3ii7L0MQkOefsKrPZkdb
NBrHprLBp0StSXVvutz1Y/PbJvl77AL8VaWeu702gJ4CeqaoO8p/q5K6tXgqC+p/y8c6UsljA/sL
e1wPiuDUrRNHr83WKWWR0gZf4iSe2XFfA66DTbvMP7Khh1HZfPUczz8H8yozkmjGkzuT/powbEhv
gWm70MUOR5c3gvtqqr7Q6GZdbZidN3smG2UNqEkcVli3iv47SFR/Tw2TdVWsPNcxo7Ysx8pirlp+
uwblzBj+O93nX4lXPepZGcfPepJs0KuDIFW7lhDq5fMLjaWaB8lDFI2wnzigHyw8aLuFSNvVMsov
FuGsTaptcYtiIv7kBs3vrCEbSCVgj4Lvta/W7Y9J94B1AMlYAoamNmD/eWENjEgJ71l8Cud5KrDm
fr5ZDU5V3JTmJWB/dZlLDxSWE51LpcZLO7r3TM38ax2Mz5AhAwoutXEChjIGxXxuVrG3W7+MkRj4
pwjLOHPVXL04HY5CVtdIBQ5IDtMB/N/26IuOhPMTQKahpY98W1lESC0O+hOMeu455hvBtTKyfs8Y
ONi03Wjfq9IiMd79Ekk5HDM95zOIkE5z4Xm0uOOU3WHgxkkDHQDSlGrIasjQI3hyW3oH4+/suSGP
tF1eL/qarl+6TyJu3NxVrePsy8xHjMimryn50FvDweI2lsE7oMolMA9TYiQXhaoxcvDioMBg0s6L
Zg+aKLr0pkWzKc6+Ykr+F1fntSS3DmzZL2IELUi+lveuu9WSXhiy9A4E7dfPInXvnIl5QVTpxJGp
ZgHIzL3XNq6l5740NM3bLFfNgwksKMsBrQJBhRXeQdcc44uHgnVHxExmrmAzjIgOLO+8LCMKXCGi
/g5D59yR9nxNCu9UwVNiJDS19Z7kbirXNDSP2Yi7fj0DVfRE0cJVouGe4LWEUCfeTBBg6Qvf29mi
fmjSXKPYG4hcxQm8rktRwWaae/R6TMxI4O4zCZ0PJk1GKFCHYdgftRMo4S8jfSds5g6UJNQCemfk
92KkBd451I3TPHCPKubyEhp9MYrmarZfhOqba8VZNjZqOERVttc8zz5amq+v6grEKrGaOsp5ouZn
VWsHjtexS/eqedpn1UToISwbWeRU63BkGwbRfaq2ddkPV4UZdGMYaPL/u4UHY4QYuZzW+lQKoEZW
/lZUzUVq9Q6zaHEr3aQhBKUxX+HAERvVyUde9ncpUw0DJSq9peIYHfbLlJN66kYPDmV1m1ovOnjd
Lz3N21u098pYfKujb9kMDTZ7MGJdyHBXjITiZje3cotnHxX1lRCBbxiOGc1wnFmtn78pkkYMg8F1
TojgNNdgTEm4Bo3jj9T0KlSkYlckY8QjSw5YZIptiYFi1iA+hDdaD32/XGWN0hiuDD7XUSydk6im
9qLDbQaVObBdzglDdEwgaDHNsgDgVn1XvJWaUR90+mvr0g53ehiCT7RUc8Y9Yh9skLu2HLKrDsvq
qo/qZ1rV4z4dOmLZzMkGDonDz5KFva1hsGAUBACCTAAcl0qieOebEmuUIv1w3uAkJKtjx/bp6w4Z
N6WGyDHisAoHUPzcAle2Q0yOchtMEjH9BUlZuDIS2d6yhNTflli4rZhzb1Ciu6sWbci/jXP5zYm8
WxNhwTlXwV1aeQrRot9zS49H8vFmsaBB9CY5WgjQiA0L75opLrSG7HytuO2mcUi2F+z4K9fy31bT
9jtlqo67p4ILa7LBDyESNr/+2ciaWq+lL15wo9v8++0RxlCD58J46IzxaU9Z+aZSmEuzlAFnqRcc
KAnGyUugu815FhAJCSIKtNipgj59LWq3vxBkTq4A6qR5sSuOrNCb5uCLfCPQf+246ZEApKXqklc9
465CNHu7il+d6LWzjWZ9EzPU/7elmaaYHRQp+mLBP9FiE9hFIF9vDaDjFpPPW6YxwVCjJKE3MX50
gA3YVZ2OwHsWLSioHtheK2Oi1AhQX8NxhXigdSRjt/QPN7Q6vysjmfb8Q8KrhCcBxDgw1rK02Frm
ZXnV+V3CNMnV+OkGNgxNOiTJP2pAaG5bEHVgf0V61/TUPXqYLWj3xFeLEfkbNOD47rpcIRq+rGXi
gkAeyeYT8V3/miVZ/VVNwMHCzu9pcbyHNR+/6kL9Sd2ko9EcQU3E4nO0yugtqMz4nnYOkjT06ZVe
E9WbT9UVlrpYISS6QQop7nojizvX0nMjh5NErXwtnEY+LYQJGxWJHSoY/QEFwNiT7fyzjYruj0mF
eiJK9Vdc46f3Mn9P4tN7oQbjERJBreU2hAsTvRCcRv9qV9wXqWBPZJT1V5kpby8z8yMPuW/VOhCT
oh7MY+j8ZDRLBQUQKV5bGd/SvKxpcnXWZ5YClnRahsXdDGVz5uuGUWXiOmluv6uwS1AWSDQ4iQtn
j0ChThrpA/ThqYK092y1eDzwJOJe93LtjtWnlZiQGRjQ4SrJ4c18cKBeye+PyR4guJ7iuBGuo4OB
rKHhTWkanetongLxmW4g3HA8g8WKV9aEwsDErAJcqftr95Z7QU/TAJ9LQFKOrX0z50Uwnt+lnExM
Vf1trEFaXfzkgQkBpIIGNiSJoLXHAoIBTbkb/UUeRshSTbso70mmA/C4EiXfmAjz12W5u01Ze4vz
3DhMZqFrpwwSRRpMwTkzP9vR4pwCgD7nFH/JgqpkKssyy2rQiuAE4ujbT0DcLssSBOnDjaTkB9mW
TFD19oJduTlihbKRNQTWle/EAVnHTesV6FQDRVYEgo4WJlKPXnMnrnhlvU+MEDpgaWk7N6KI9PRO
GzeiRLKFZQrlgKNreGrU10FBZgt8M7/MF/6V0erRzg/i5FFOer5LmWKsoEAwtI4aFaxGa6y3huyT
u957f/vA0E9tY0q0S9OIGmD0Xo10j+QUVOdiSoZTMJnntnJfahjDJ02zjs5PhjcFpcc3z/ox/7Sh
jHpffL39LvhObVxERhuP8SdOb8C9RRVQThjWtbCcP2YnzA/YBdbVnB5wmAbQWjJeVyHVu4B/eMtq
zFA0871dBctyzcHNFTQhTTpOsm6//KQiYX6dL38HBBNwDSpmPmZlZlcY2hTkPq2LIHOGtaNN5nHQ
iHrVkUVFFFBvjrQurgqmY9vXNzv2YcUOY3TMcrjLTG+/t+oUOrG3A75i4wmp03NZfQZZnV9r+1rO
gVj2HI0VtcNnZYLTAC1jnRIs7TvTNt+1yQ7O2uh52yKBM0KJTDo48RUxAOSbTgf5alivQVIhUUzV
l4XxU2A9OOtAoRSJYucpFRKGQNdtReCQxcUVP5IcK1Zlx7eguKWakz4C3F6bXBM5AwPeqka5t9j/
pBjrLkFIGFamDHtd0HVddWWxr1SbfsQZRI5hhxTrGimwt1oMf3NNswWkCTqwkgjhdxV7/cuUauWw
fbkkUh6XUCnchnRtI2yDoa7ELZ4XjYsACOPoZMh6NxLbDgKYamno8EjqRLxQ61XljoZutDXLpLvE
0n/6idfjXwz7s6eVx0YzoruZADzh0UZ3IzKOUpYwhDtYDxY32R6Y3vKPwksndkHd/kl9/4eRkhwA
dWe8OEEFc2Oo6p1sS+tp2r3EngGQK8vz0+hH8gH7AOVFU0wfTtjf3TB7UzR4H5aZNjs8Zv0mjBL/
0Jn1L1uFyb12SxcOoP7R52H4cICB7UsB4YN7N6AHwuH3tF3aa1nwk3QKxHSTgY+jcM5RpIHjks0d
aADTB9m7e+oPc0fTDYFgpLCctf0sWD3VqRh+W1n8IxU5ESmVsY1CmwwhIawvFr6P3NSP3FmGlxNX
NPkMnmVOrDs49eTlcvVfWUPsM2XgfpcYRXJsLOvHlHvmh94VwdpIbR7t0SQ+gRINjmB9BTsNF4su
A8b72idNnGikobp7RuPvvRE+penYf1x0dBfdj3ZOQZnrVmH0ldkl8C5Gh8Ko9p7jp9uklrgPSqs5
Jo7aybKbiW7xtK0hE/JvS4xHPS/gVE5IhT9LBc+Qh7h8m2wj2PIN7oC5JxZi0PpRU2yelwW4LO2D
mPiUaGaWYN4jHonO4haVOCwAwZiqSaz6vAxW/i39vstRCi6H3XLsFcKkLtRB7VTtuahkehkKLCJT
qx/6QPtJlKW16/MORAghaxvmRvGFtNae7R34ailEfh86eF09mV8X2x/2QG8+OMzdH0fBKO2CyWvc
Y+Xf2GWrfUUOxp3f8qedJ6ivEWl8MdLhxlwvBftFqpHvZ3873ekudovYA1+mxSO+9olaOtPVRc7g
dXq8L6X7Vnpee+mtqr04NrJj26Ri1XqtucUQx30YWStkWeTTFIx68O2GX/Owj06EoEUvG/gVYnQh
d45Kwrvjuc3GMeE1dnRTYH5U03XUrINn1/51WWCkkkbjRufcTuSVkAz1snUkiRaMvg0e2mKvhU4P
wIBPKMrJiTDglZ9rzeeZQNKG+JexuOr2fGu8pw/zehWp1tov4KZmvr65QfY3KUsTaQeuq+UDRbKY
32l2tmcGNqc64bIpS8Ht3s0MXHoM89cN/aKNGdm1t/Z4fFZNo8/sR0prooarc8MeeXbJ0Mnm5y6v
OhAOccjOZCbdPHpEwi099QnhRd/5MMPO7rwEJei5lTFse/zQurTPkauzNc774/LKnzfJNAYX3VdA
c/W5+dL10j+BZaOJ6JC12mmtvIxiYJw21oy/5remkD9CD1/sUvXqSFQQ+XS0aYKa6SJ6MP8SGpQl
dqb+51UUi/pYi/RM0M3IcGa+p5OcHV756L4rywnO2LCyY6uhSh3saj+ltXZgviuxHtu0URPaSBcz
KXrgc41/jWLrjw6HekP/x3/TyCAL0SV+t0DfBg1HxTAI/d4OMjsAb4xJWfKza6GpM1i5V6S5l0iT
w1nRA+YiRtlAIIJ7ilMd8LFTvRkyyI5Z4b8nmSOoqLh5cICLbVpk4UswGWwqhxZfeq7STL1JOxa0
HSFDh8yL31CjgU+PNhnOoJ+9ufOakT6/7amNmZIylPDV2i4jXfj75hZAlrYywxmeDmj1OHtAs3k2
NRU+KCyPlis92fjqmEfufDowrkw/L68iYfHKKP82plXsjDmucsmsXNIrZZfcjajM93E1WCdswdYp
iKbxNLxKT2kWWtEk3UwhvR4A/0x9LdOo9/bg6hQzUNaTiPb+5NNSMYhgoKHN1WKIXO3Q2twJya3F
yRrF/pM78niofXgfdAHca9k5f7IIrvDyzqXnSlor2UiVgjmXpcXBN0fklcV0QTaeHFPPzhnEsfhu
FR3sOPrKad1ci3lRyOOEX9HLBGO01Z3ReVcpIO/Ebsotp3NyraSjX2h3vzmRw67R8UkNKv1mTgeB
7etrmfrMaPLsS+iI9JZZ3Pwjnexlm3fLL3Ehf0dH4RBeYQYAXks9uEAiQ0LuxzuXJPBTFAfBxbYr
OCWh/cKbBQ68qcLxvCxOK/FCt4aPH5uSal8k8UNoLc7MA7bv6mITnnNZXqlI3qtoivFqlNHFy9zo
srzKpijbj8L8CXQPi4VtvDOLHm7L5kMfmqDECBk5Uc7+VZO9z3FsX5Z3Br2ItauceAMc3zwp3SS3
JpKcHmWIaV0ymz7rCXnBODd5aacRMvR5vx/n9hnBYv+ziMoPIEW3V7J2vpAMGu1IGOuibS97Tm7j
w2ym8GzI3H8zh07udeqGTQ4eYd3GaIfdVuWXrMa2uwqcXBzNkcmFgBNYzIszOQN9AHKScm0eXsX2
mXwS69wTSUGfzTpGWsNf0JWkO2SKGPVEhXQu54u7lvkOiV0MNpYx6bJAmNMv6fgT7pN3XvaNZan8
nqTyVr5Ffstdj2TQYWiyLwa9lLGrTyMgi53vpqKfVU43nnJIDmm5Xz4C3xPV1mK6TcSk4YlVVYBl
HiOp0bmfjZRCuHs8Is0dFap7ScNwMMCkheQzdKH/r3u4tBDZMd2mM88c8BW9haEOV7HHJQHM0sad
M8iXhdsee3hFVFTUpX/LBp/Of0uD/pEAi+5V60zB0On3r2WxPO299QCbGW5vPCEQdKPdPTNoNSvF
GHmNvL36WQTDIa5jwi+yyto5fCffXWdcZ/QBX54dr705xCcSBN8REdJtA001K4FhEMRn6p5cH4oa
Is2vOn/izbOH5N8ih3zfGtp3XUbfbS2QP5RkDOqGwwcS3X5rmgmzf7CP+CHJpp9xEltVjfazJuF8
I6JOe3YcZ6FAzDERvPTNQaC8dpsQwqJmbfVEjLDHC9TpSEKcE6Uptgnp5ltI/4QgzpqEZUEZVl40
RmSN5RzZIXWm1ogmVCbnC43Rrfjn5luio7td0wbV+xjYzcmObdLf3B1Db+M0Y91wJPFqWfq6Wtsa
xUnggzBipwmNJrlJk9kgvgS1azRm3tMYEZ/e9y/d02GleExxK1eZ+7Jn2uHXbvzMDDveD6VECa7G
/2n+FkForKPcy9E76MVxrLLjf4dLjcLukPXTOf5YLkphVohHnZYPJ5QVEcWYdpYRkQ2r0qvFXjMs
cx/iYWDIhLuAQ0qe7ag90gsJbp27cokqRCHlSf0WF4lPgIeWHAMswLM32QSoJgrcSwyYSqfMD3Bp
mUZ3tXY3uFnEc/0HvJxxaFQwFCvwBIAlmCOJsg2qPpJy2p+KcJaTT97ApqAfh0q8s85WyTeYINVP
zFvoCLsxfiyj4aqC/F78gFNZvOVior/uvIFkI0pUn7u7Zuv9durJu6V53uL4jMen6aNsanX/2Tb9
dEocctZEw61psK7dHDoth5D7hxxxYyVcyzf/pnwieTNE15zoGVMIBBIMhz5F2zFuQTpIKzkpDDje
SOilB7cMYVHIyNKlZxvPGpJF5ZSmggm6qqrtcl9bFkCEVN0haVH8JTdeZI6KTTSgWzsGb3GupwQI
9hHRHRHMvnIMib8x1c+F/GZ389ja1+KTxsTT0WoczK1RH/OmyZ4yD34SSkGLA800Ghmf0596sqrn
phOT7B9JV9PlKsS9Vfzf5tyHSNtQXD3j878nhw9+POkl2rqV0yf5V7oO3EiHc6STmmWA7/lsc58G
veDBIAyk2qOcebk00laOFeQchKTFF7+XyaEdIPOm58OHHTZEzM3ZDika6OMwMElX5tgdpQACY6um
ubo1XePMBVQQ0+DZUmn373oFnY1EXr7rfBSDMThvzVj+HPUYMigjt32UathJ59uAaYwBoH8fJ5le
fpM9MYggWBgtR25DEDvmTBy4w32Ihhv6vvRp2O2vIU7bE72l9ImrkPYUUA3ixGC2xJr3GixVfPgV
YiUTYU9KijrWQQiAvulquGtjam70bA1RESkXUoxLOLMwLut/DVAym6ouQpthvBkeC7/707fmpxV7
4bmdG/lOViNNEkzAaUiddDrwpEzwCulOtvZDzV/75jGYRUzLEnIPOicxIr2Q+MZGxx9hM+/6pNVB
1lran22u9RupeQk+ANWfy9btzp1L/WZ3uHdjzQQhSwD91ZgXty12kVcUxzoNBxxtZn9GO/vF73oh
1h17/TaYT9plEVICpQEGnW5RAAf70pMSA4uutrFd1YBr7ZciZfFEimB7+KfZq5H/zlS18pKk/a5T
k7gJq43eGlCGyGRSzJRSr56Vhr4SoH9zgJfAlw4DGuKkGNR/L6ggMIZSzqT4Zmqazh+SQJ3zxNaH
d4/WCiIGzCVcoZentiKnyfNHMW2LlOcCUjF2tNBLoT0k/ik00qPjBMEx66lqCPRY/1ODco9vSAZj
3oJ4a8VePp3FXD3IwPQvfs13hGzv/ahyiwlw5qBERag4izQEZiecvqSprlA1unsKNfYXDekXwKus
1qCEKKv5Unzp2B2K2BifjQHBiaIu/icPm4IGMMII7KQFKghyRnnbDHj8A8mTsQtnN64py4NVjS23
yYi+mGsNW0k8yzpywZqEObNwXZojoYMY6dZlirmsqnXrosxOAxNTUdGlOFrNikJp6xHUdFJ5P2dH
8KDB6NW3TaDhszDZYs35kkQMNjk/dfRqXafdkLfXvqGFBGY/PbRyFCeYgfE5CWncNqHnXfHjpncL
UVSWY3Lzh+pbUnrapTamUxvI6g3U8rQZsgCXCRaPV2C4R9+EkKGkHV1FCsxXjhX3S6Qqt5GncGMk
vyD0+g/bNgUZsL521Ccu32rieEkMdCyqTZw9CYftSzpAk5QUB10rFftYrF69l2M807IDIlV7JfRC
vVVdg4oIGOa2maSBtIl2r0kgcFGSNoTOqJ1VlR26lHl4ntdMKojlfmtDx7uTVMw2Z3J6LiNIF9M6
1OHM+qcL9Nv3fuyNr4FN+8Jkd/QUOUqYWD6Z1akH3rKUdEWM+30WzDSTddbJ8HfAmUgMu64/ppzM
yAqVz4JUDSX8BRhfz77u2hfzyL0Tw6BQev8eTd5emNI4tJ3y6GYFpH+2eb5xBu5hVWFP22kuUlLG
BjbF8L9/CSV4fXPmbxuqyKcTderqay5I2Doptq0y8VzJtvjjmOo37ZHVMh5pYtd7NIgvWrzYVdij
TRnz/3kFVRcrG7OdPajV31ZbFpxEgXFfllTwOxOTCVlJj35PY2m8x5UlXpWh5p80Ruupcd6EaRP9
OFTeRyy4qenSOEmFgxuBefNpkJXcokL9UCWbEOT4m2ZVZ60uG2RurfvKFJ3pehjga7WQW/EXf8To
S9dwEL+PAloyw6HqQzf8Vx9k08/e1x6l7v0ecqhVy99RWi2/iVFe9MBEGD3xzIb8YF40Rg+WT98R
Jai5pcSot6JPimuXyrs9SzhbHU0o4UXrCuTnesp7c7MI1ZAuFYwdRom4wvzoChNDGMCKG9zwwzCi
BkxmKW9gtG/IRIl0GlC0l/QYqGALEkj4Uw0iOZqsG79rzHjcyI7RRXP+VzJHr6OhXfeRVIkBsc+Y
q08Lvu7R8KNuU1uJoKUORIJ6mCyTASi7ylKiYjPHBRrRu09TT4HIJfVO91Dr1R7Q397sX4oZ2skj
aG1tYWjma/Mo5j+sJAdIq90d24U6DSpBmxpGETqVoX5WZvW7ozmNDzx6s1wtm2ETTDdMK4euC03N
Q5J2rOnEHluRfzNQ9q4dXKY7JFLeEwE53jml/ahiW5yCnPLB74viXcvzv2Zj9exTNuHr3HjWQsMt
EXfCPom+8b/QIwD2nZKIKtHbOylL0nSfbsDceDSK8i2gBFknLtLdWBfYP8Yoeh+MOn5qXrAZW7e8
Fz6R2hkfPIY1ae+rHjdm6hLh6Joth2scM/0uPRM51FIT8FQiaG8zuhKR0X+NCpwOCK7bh1M3zIRq
cpRAar3pltL2y17pCLQZnhYd7RQ1gG5g8a7njAArAFUQz4GITuhyQCOWfoFGedIqqd4ard39N3r2
uUXDjkuAwCA8/Pc1LE1H7PURiR0iun6de87niHSN+J8y8i7FCBOEbOrfBZmSkEIEkqWUmCO+qce4
7cllmCedZaXdoQi5c2qse42i9nP+8hycMYi57I9/C6UHd3LrgztjqWzdtZm1W36tYkCIcMO8mpUn
7pWtrxLUBYwTMsBTzJ641Jb5BwOgad2LzP2W1F+8+jm2Dw6l6UdktVD6YsgH1ZC+jFH77rc+kUZ9
bn5Bi7yJ1ZSdsg7WUJhod88r0oOZ9ONFn5cuanDrxtYbf9ior0YicjZpTu0XJrjxaa2xo88bmkhd
YsI5e9fD4DoPx4cXNFtolsWZfTS1Q0qOLeWloKtyXRYmnRr2vPSLzzFPzli1T+ZPZsgrbZYewTbN
0Ij786L7w8lH93Sy6LPvQpMcZLpE+q0kLRkWe0keByMBvOg8EFg9yVvFLvTo9OwbgyP9hAfIeSxL
MtrXItPbg5AXQ3XdbAWnYaqy+LO1QByO8PnPoq3MfQv//+y7I9HcE9Sxgm2A6/Fs7mlzAk7SWB6X
pk5SuDlUrdY9kGclMEwNZHJ76rLkdytG8HUwNhjduUDWy1AMsPXB5rfAX2qeEVqa5+WV1uuKop1u
WpLvHanLltm5Pl6WhVOTSLYMucxSti6Ej+WVNdAfDz1FJd54NHQ7Li3XAVLllXaePoXoqGZwEC2W
/dKnmuYsCNrAbyO5EccGJ8WlHcnYcU1xj8B2WDXXLm7U11kKjhvT+pX5ajgvS0qyy79X+fyqqF36
ola3hQVtYu4F792imMpSc9dWuf9QfNEeyrCQsE1w3sm1MgkzeXQoOZ5ul4x7OdFjRjxCdmnoXPiP
yX2ZNtHssrlf6d9sMTLIgSfciWG6pLPGY1mWt3r5q+nH5lxhO1LYTGV3sezxiUndWdM2/y3k2J+7
we3PRhsNB7erDsSLTzwLFFAjVsyceDneV8YbEoMGoL4eMSAPu4S5boYXtGiaFWKT+CIIfp0HHhwh
LtkBoI7TXRGSa6oy5Z67eUHl5J4TixI0n3oJYbLWThYMTj9JzXuA4hOcjwO+X8xwIQyd+8yvqU7m
yRjYC+tmiYOyPNIn8sZEoHEXBHjfQKIOdWF/mRLlM1Q21cFxui8YDZ2DMF3nqdl0eXy2KRFvVKXS
r7mrg+1voJVJAKm2G1afhc/kV1WefSlsPCpEAyJtdkYQlg3D4WUOscx5Gls+qT+tvWhrRg4RsMWI
SdCpQXNDPuEUtEwuF18/Y815nA9wSl6W7n8cFIBMhhhzXpGgGPnfRQLPOgNQII5j0Clq5lFD76Cu
DUxuyrwx39CEaGfIHQjjREEAYBEF+2JRISgzBLtahQBOi+FUY8/Z41jRT8tSIgo8tRAGUUozVSQr
ggRbhjC2flmWAbbQBSgMilHYV6YlZ+5ccbONmRApEkDU89ussu2V6hGG+pYC5WOHDp4vHle/q8Eo
JfSJ597o0hZdXmEZQR6h7GT7/311W1Sba2a0qKjnGcaiOlqWZEz/hlVoI7bO0hcI8OlgwqNspt6n
VvfaH32GUoCm8hv6qy+hRqM4LvJVlUrxIliqO1Td/POt1Uj7V6dKMkEfLRfA/+6DESHhVO3GcTmK
Mnz1myCuMI1L+2cQAT1YhAWmJn6CGb52vZ+e2gJKlvQLgJizRcJrmWot91LAv2wBMqqOTk+YdGzk
+VblDtGIehKdwt63DmngWsijVLa2BDnhIWSQq+4FFEqDo29swPxHWiJPekrqprUi2SFCCNdBO7o3
4WAf1zyceHuUXe3vjN4xMRbqBeQapJQHEzXnA3w0pINfxuBvaQNORHoTfZihM/AdocPPCbwcOHGF
GQm9B2HqrvUx6a35c3mRxuRaFUHBJSvhQ2PWSvIzQeFrUyNOhkSFYDP0/eCssuFCy1kM1yay/dVy
q7QZSeoWXEN4R+EW8GWId8eVh0GMJ6bFZL6ODt5Vj30688b0nyLEIwNoMzZBRjRQ7r2gbG5pw5aH
0R3jjUirEOTXXLpbhj5nxdPyL4IJoBWqLxRGbX9JZtnAsuCFpJs9jKQX+U+jEN0xD3p+SIrrLb7V
WZfjU/xmnFBaxXcoRUOHjYqacv5jMhgKTIsSMk0KrX+34B2OyXpxfS3WKlthlKxoBSt8x2vP0RhG
Nrnlnp9JAi9o+eIs35lCMrsWMm6AB1Th2ZmX5VVfk0QcZnW2a8B2cGmU4VrP3fgw1b6Ofyuprkbi
4sazovFUlr8WAePA5pzAHKAzOH5PaRRAZuHK4ttlj5tA+GhAWIaQgAK7Sv1NORTNrvS6kvJ1hDVi
BN479I+P67H2nYTkDBYZgzAmz4i6XHZz1AuZ0TboKrLN7YOcldzLEpZYOFLXv1UBlcY6bWziZ3S9
u43/d4FJfe7DdkOq9C/0FSBSS/4+96BpyIeAMswWJJ27Xebaye/oXqR0Ui8pbaQj5pxDpNJsnaDE
QGtEl2pZzKgKoPCgTs4yRUtFJ3OwjfTh0daGfwX/85v+tTgsARz48LQn3urDs64r1Jn4Ya5961jX
NLTzY44G7bj0o+NLANbnatY+j6WXInqPyXwh5jNdianxaNTWGN8C29xb/TDMMnr630vzYh5YpLU3
HkK9LnYORhFmWxEcrsZaZVyZ0ALQ/I4Ntr+2BsNU6r6xdTEA/2s/YDSgiuHfDcvUOy2LTo9y+M1F
TX+TU11tkUHat7HqskMJBtDrPffCr+tXqeiPacVHzTN+DNr6wjAhuiTzF2BZgvltTCU0o5Y6JMRk
YfSl1h/6Ysq23OvmbcD5ZYXOo7J9SpQmq98rrbzVFnFPrpv4qx75AvJd6CVWRCaepCunidE9EQ8O
tmnp+ml2xLFMfkulWz/6WnOeHsLza+onl+Vdyt/srBvh38KQYtNmpHCbjrI+6jTnretbe9fCLsP8
IZ+DmBZxpUonsqRBeyPL5EMch59DdRv5Iyo514LeG+Me4+i27BVhST7IWNKBhke6tXW5HxgOvRd6
cCoS270v7+q6mb0yEvOccLfLz1KhTHuoqaPbbYx7q8ClQK4C+TuSLMcTfmIkVPPdlfyh8cgWeoiQ
j+8DWf6c0gZcxoDfdedVqIatPhoNsMIZWzP6oWD+tXE0SUWebxjLnaOMiRop0ZuHiTOcPc6ZQ+aS
7itGtuFJai64j06spsEjFQcq60n1Tk0JFLtbfD3MT+hkrNrMDp5UARhbR3UfjN4CqESMdlN08W8v
xMA5fw/yLj442QIQqUixg15bUDPEq/nV2Ebo8Y3QedOc8uW2QfDNQn3BR030xpyCsyy0ZX2sSOFH
68UHuTT3Nf9Va56NUdSWN8Lx8qL+q5VaDo0ddZnSvuemgu3qkTnWyCB/s3zza+EioRo6jAG2xHKN
R77fTt7EZLDSgL8DCrSgD9Uh4edVdJ0QN22j8s+UtOJcKit89SUUX/ir8kdTuk+CQr44UWYfUuii
r4JyliJpPiZnKRBIfrnrK265Gc+sQ93/pJZ2DoZGiIZTFGRKQYx0Kmv8qot8U1p/8U+Ibx3ex53I
OuOQWPnJbozpia35lx2q4kglM50h66QPfXbh5Tn8pBLx8mP5NdcjFJtLx6EsfMYekWNlp6FB+6+F
+qZNR5KYKhmQdBDISxm7f/RJMQ+lTQiLN2CqBNVUOVTkpqzF1WTeclUDmBZPmcPOrZvqQu1dXaZp
RDXpdwMALqYF5Uw0xI3ZXHPvLa3xXrSzWji26GVVo8XtOiy2ThDrIOX/1zxXQ8QEucjRuuX5rY9T
PV4DOx0fUUHAhtXxWCJ5TU+1a3qoqSftYBK+8f8M3b3Is8GZEwznGw2+9xi87bzVGiJIL9jzLojO
Ick0Sm6XXyc/HluNfm1Tazai5hqsNe4HXI+DdR6PGv4NQI/IsjNs7WaN3Jqfn5HjP3QcpmnzULJI
DU6GdvyDnhdI+yyIAHrFFKEAXkD3lbhPQSMjLWn5lwwVUoGcGy+UsW1obq+WAdN/wW66DZDAd2El
LaXhUiTmev9ihm3stN5/MH4s98CIQX0aPYSZfwgDb2aeL6OBeB4oRM1ModDIuMucIN3D00nwiDWK
QGvNPQDvQOlKIbSb4iI75IKDt57t97oFWtge5bBZ3rbdnNHYErseJWrEWxePOEMzRrgwMoqEtqti
2hb9H77OqzluJU2ivwgRKHjsY3vfTStRLwhZoOC9+/V7CrwzWhf7UtHkSHNJdQOo+jLzJBY7fg6j
QlmKKhA+WVQT6/N678Lxx7kAOncN5t9qWbIORYvKMxvxU5jxB5kDM2yjCgpEP6Fzwr3tq9DoZprk
LHZuC+MOGgj1W1JLKO8raa3smLz4Gp6feiZh0A+6zYaV21MO7g3eMHfXjRYb1pFkzRHwEwTnxn8L
G5kxuqeP3nGd9C3BMo/4U+BaZcq1xegQb3ovmc6W7KazG7XD2jThlUzKGxMpl0yqiiDoDvjwKdcG
ZcgZLwhS1ZNjzRyL9wM+h3EU+Yvsy/wFz7i2NrKUvVprGC9TYvYbL9bltumq31rXW8+9HusHkJE0
mBN4eQaalzwZ5jcpDHmM+uBUwGfbA4X8RTjKkXvBo6UqST1VsEEvFDD/pgZI7GzlIlmWzHkCCh6d
PN3AvUwsSGwGFyp2q/ZoadfRUZNRfrlM0HOYz6CeYSXXk/5ex/4DZ0t6LPhAPbl0ANf4mHe6IrR4
XGTHPKDkJtRQmzKeiZ9jdqh9/BaER2VzM5ZHCkYBDFnApmPwsxtaO9kKadql7oHjA3Bibqql6XtG
CTjH1+kp4573CCFbjmnz3nmotubgYThVi5Va/akiNVca7KoD2o9h7+ntQ/oMQx2j+s6NCwJdE7xp
Fili6knyOydXFtc4tn06nYdgesOz3O/9WCGwA8px2G7nayq7qPFWWZ1emQmzIP7pRN1Lwenj3Ofu
xWZ7vTbM8laqbSXGJm7c9GrvcNj+zCaJSNZW9VmQmibtZn1F8MbX2I8bMydvNjQiOEcVzzy3aQpQ
adgfi8jBeE7k6WjA07jWZHTaqqOcwSMCahg9LXQxmxkzA8oDwKPLz91QQIVupz8BTcD21pJZsOaB
z/F7ljFgCEvsHcs1TlL5wNIkxpNmNdkmc7D61DqphlIteVVygmIIDeGjMfHHqdADMWJYlDiPV21k
Wye6CZB6hd5jOAZeR+zHPjHqtk+cs8xtVoLSBCXKocmNbWx/3m/svMYpxdBwWl4JDsjHaaHejM5z
35j1DrFT37Q1BapovjrTFhz3YMeeCI3/FjUR1gp++rFwaFuLWjg4Ja4AuzEfBoiQVQCThqZsLD7L
gjZare1Yj7aM2tZxOs2XRpY9VZ+WRr01LI8NMUDj2u6ymQY20/6xxKjZsSZXmHbVydCsBycdfKw4
/fg8N+EtcGLOO2aXHjjpHWKrdZ+CYbKPTJFrdhm7vqxMeoGdN78jIWaCs3VwTunZucJdWdvrprF/
GCIs90OYVf1Kd6c3PevQtZUPk0BZef58BWvRrMyLrgTcSS2+HxMxwxK6hvxROjSkjPsyFPwc/KRs
k3HwUDZIGEHiz8A1UnA70XrvnTnBQbRITmBRxBPDvWTrOPYfVFZAu0q8860huVeeffTK8FFpQ3fL
1MNcj0jgWbXOFZr5W1Q4bn+d1+zdmsn55yjdLOvxyIA0A3M07t20sN5AiZXFKivt+KJ1xVfXdQfq
uVma2D7JGa5L6Jwrw5X3fpgtsi/okEtb698lcgBYyhqSfuBm1vnvkuKYWlUhdhzafrLrsvSE9i8R
aMg7XKzXcNBCkoGx+UQF/QPgg7NrRmxptZpF9gzDT3igHmOEQRzknfaMc5ApSIBWRwrl2i7THjXj
adSiNekvDVP7Ef9R/lxTUbnqXTpdQlJYZ5OtOYq7NR07POLLD19S1omYzBLPEw2WmfgdzT7hJITa
czFG9ipQkThBfONSYWZgaEEi/7ntE4z5TZbzqSeq5hOq2g5VUyNVu81T15qXpLWT1eg4/uFz662P
7EXaSl/zzJrPCxUkipCjpjQ6IXvx9FaPcDsn+VMYDheLbLVjkZkOncQ6KSX1JYnj9jSLzuXG0diH
wpDzfaECCKt/JoCjDXFzjU3r3Zlmcfq7tI0nTpkqKIBafNWw/+N5EMMbuLJwS+fcO+n6CQeP/hUr
7oDh3UsvEizArRZ0pKQgIZGCvDMuqhotzwt2PeLfx8RhUfc790TeMt3w8WM+q4CBCZ7eN/EtUBHm
ZXG6yTsS6V6PkZxz7JdYFLDlr/TUYvrW99V7VeWXCOfdLpUFKrvVya2Dqf1l4IzKJiWevjKDXEHw
zzZpixPebvzEW2lxKW8DbD0moftIwtZMoO0wSE0xzKhXaIeUT9SBy+1UaHt6UkgtaaVGjdzoYT8M
uwwEMLrM4hoUhY+Wlkx5dLWcTSa9Bqcg+4Auip5NHIa7MiSwpAvvYZv+wIazIIDIx5uCFKDnFDjr
YDp6O7p5alleieK1aULCBL5/5f7JoWGy20fBz3FgswhbJ4dX0Rk9pjVmrMtXeWIYVzQkUk2RdnKW
nLJaSOPjYmJjv66S4NdAIuxVxcJeIR45Ic4hLYrMk0mZ0mvfTvQSdPZ7KusHMFKu7Ly40SgdEv2y
qRrSRXk39svQOZS0Thf5o1I7XCZRRxSQ5ED1EVOtfCD6WKBpLlZLd4H1JIwnLGSZGi1oJVGVnwh3
S3jgJeQ2B4NnQpnSgXPQzVPp42UZE1rOe6g2BljuLbTIDm8lLGLAidQrmelsAh7wzS9+g5PWk7N2
/Ucoc6I64k5F0QDT7/qpiWjO9s1sJPrpvxWaVTzrVlbeKukSLyPu6es6s6wwCA99w+ewDvH4w7us
Tq2CyASGxUgkt6dDFuffnTjIvlv1cRrKZD8Y9FNw4JM8kFz/UDsWWWZG9piveKcPtTXd0kmzD11n
3oqkcWlnIrtKxoJbtpNV6WE0aPBqQM/5K5TKH73CdrN3wFKmJjtxZ4CLQifjgsfxFWIGw26AhX3S
3PaYCva6SjurBHi+yWkfXlX+/DzSosT0x1kYj8UQ3VsyB0/UZde2Ho3VxKBqFWv2TGo0zO+eWgpd
N69N9mtu8Z/mRYZXryT6DnIpe6pdyPigCNSBP4tUnU5Ofodz6HRDCRxvY92EbEvIFWNe4DkEhwt+
p0uS3WtGpg9TQrFoaIA+ltG0ZgtmbcpsNnF9yPOsTnwxdxkt8cbjkFT/TL/tEJr55P8S6hxgqsVT
wefRrxQDhF7bVhtKcGPcCS7/cjcMH6XGvP2vyWHxN3wOShsH33VbTM1IECiorhrUF1Ko8yvUL66B
1rbOmnr+LAtiVcvIg/Pt1pMtY2JG8xdggNlFavNbRunc3izhWBQ2gs3daO1eGZSal2425JnbNDxW
Q2iA08tXwEb/2DmXaMPcE0AELIiVyxKhfJ0l08m4/w6lYFwVOW+wwnjfMuXKbGc2s33sYNfNZrZW
bSR+dG3+7c/szJdMAZWWJc4m/+L65zDgKfl3qRsIuw5nowTr2mINiQYOUl5ENiPDRnuprRzcg+eL
FwYDuG74RGcORKPRwSNDXESMMPP7/LlTKtyy8DlNL00d39imOA9bCaRa5CSP0dqZtEZxx7T8XQor
8pZPdUAFU+PylEur4yIOj5b2brJPhCkm7h279VuPkd1bXM5unDO0Dotfn/kBAubiGHJ6txQSrNas
5OxQ9lTAKkjfnZDdR2RQclxQOnFxYgc7q+vsmE6z28VbvYGUyvRIFsOXIY/1z3Mu70+350P3kAak
X38qRoLu41sFgmVnDX16jlXKDp+KJLtEgYpJyBN6duptw9HxDoDi/snNDEwUjoCoID+SHrQUiCes
5UAAlW0/ITHGxGkdvnCaPk4etWm+ORI07/vpmlXarzCJ85NwoFqU7LyckA5gbr/lCTBgb/VkjUFJ
+VF2K7Qe7RA3OnsjMYSPZN+6AhpcyuwZCxrGyZG4au83sBqhv3UoqC+2PbbQDsOrJastQbn4mmjZ
cOcHGO4zAe1dq5H/WL434oP5tPMxCMLr/29+xeJFx0FTrUKVs+TTX6+WM1vCRPvG0aC51apSrid+
aVJqvkqK/kM0NpXLSi2tyL6fB1wAYy/uiYA9FBGPvAV1Uu71TFbXbnbuheUnrzz1mWlSyLRKYrb5
s19mt86s6QSMm3CnxVAbVrLL2i17gHZdV0b10mfzL0un9YBpElY7JU56o7yRXNSf6PXptnkm0u0M
75gR7ED7lT9qF1EywltsjWYZs7H1hq1Xmrxnsk/OIkx3hsSTabsu+gL+bfYlGeSfwf8yGCN4X46l
q7/HP7BFRHeoG9v1PsE5upcIG+Al49QBdMhXiTAIKbuqoCZo1tv+RmLd3HCP8qCTU2O+Ws5CVU9o
LfPicJu4AA6tLN3VEek2k7ngujOyart0jC9LWvr1xdGDn7CnzH3VyvhmpyqwSgXcPIeALW0gRT7B
/6dlobL4GPfdeN5kCTAxblX91aXqCYczJmhUxzNnSe9csDXbxgbZS9rb5LkaGvx/6tWyeIpCNZsD
DTXKTG+qxedzckiSxMWYlqd74uU8c21M6MfPb/Ym8HalXS7bIBmm47lX4yqlqtOrR0YMEtPnKwSf
aKvx9jsuUZ9Y/aXlby7L7DfWyovddH73cqTs5dfQm47+ATu4LIg4EljhysN5cFieXKmXVitjCAiG
JmPMm2Ke2zwYbstilb1+xEHwLH1K3ScKyZDfhvCyLPrI8LuHeJ4rpQ6/SHimDzA8W2qpvbo7JcYh
VKKxHzb6yXNBFq1crCMb5kfk3/pwPo+t7cKqp5XCRGXlB+knXBN4NZ3Si8Ey1NzYuPORPgLMRICG
QdwxrtyNP43R2VULaDKS+43WuHAX5avZQq80ugYztq1e4uQRSlA21g7+NnoKOJdjwTYgliE8U/L9
Ih16OUBm4WH49/+4vHJbWl0+t7HRaBz4Wy0WHYKcI6GNs98k96St2z0TD8Zcw2ilZyaa7soagmxj
qhibrZahSGBzVYykrRK3RFuOVz6Q87GHW3JLTJIuWR2BwwkrMK9mBNuhIgjrMD97Q3Zw1w6Wohd4
/MZmritaDly/237K/lmgneliX4wAkWl9x45U7wyizfz+LKKTxPv6MNk5efQzHsQYEELGDh2DuSNA
UBUod5inHCjJlzbKMFPNY/Jl6CWnZJUhztkQ2zFwgHbJFsdhdP58qI8yekwqLL4sKYGaS+QVNMfB
O9sXk3ya99j7iIxpZTefaQuYoVWFT65Wyv2SZnQVWWp5tSQctcFJDoSWDghFzskDYfy5WESWiUwF
eAH4VU1T/2fBmwBMdxavKmT4+XxbHnLL406b6zXReuckXAlNJa6bU8HVunwlFVJhDlXFGxvARE1W
FidPrkIpDs4iu6yGw+LO1m1HXV2a82cEuHHoNcPeCboqIR7mwwMUQM+UvKUlyr9jFKvWBvSarSXi
6NLbHTMaG17WCaLH6n8YIqrJ5COCsLX5q5NWBdBQP3K+9UAPj749fYmWqUTN3JHCeMfaG/CQt5UD
HnpwTfNhyth6QAKOkFAoH51c6NEogMcWawIzdzHvSt5yS6WditGkO14tvYo84QUoz3xguYOyl93A
N54uy1LX83wY2/rGfStmptXyCCzcc1ZINBOmM5vly6HqtK3OyXvlwU2/msdE8JAouqzG7V2lxUnD
CabAn+XKisv2jDuUKwXQ0smIQWqFAJewl7PCtf3Bfl4zbZwww5Aw1GQRKvRUiEhNK5vwuZGNgqQN
19CTIxysqdzNEwbHyq+SXYwU/Npb9BIkTZSdepuBPyZ6czWpqzPlmAJPXl2t3Ku7jTezbfk7419e
6TWGsnkiU/SRpQ5SmJmMZx5u43lQriXHzsWRcDTxCz3lud/cY2AH2CwyYv6EEZ8aAiJ7jIUjSlql
2FHghWo4gqRliJ/x73VYvgpd82kMSxPZNraundKYo9JszhAKN0sMrbCmf1JpcZ7fudu2eKTNb2H4
HMoSMLPPPPCQVBgXXLhlm5renH3f9KSPvRPee+e5ipkHpmnxk0d2tanK+FtCD0q7KSo0MNPj5spG
rnuuCkwZ0wvMgP6aSnN8KfqYEk9GRge9Y3aqCextRPmrhxBui9IyN9CrguyaMT9dhI5F8pjV0MSP
CUqQejFkUICbxDczue95hwBizWJD/QsW1mE1ZGIo9uAKrSPwp2OhZvqzOtqrQ8yJ6I5Owxh30Iwy
VvqbCMyopy6FFFRaTLLaLR6e1oqmi1dvQ5cT12xUzS5sjPbWtPCgYA9qu7ybxAUfTHSYvnTt2G5d
Dr13Xy2CSR2hbbpHGzd48LyMv+R1NR4KD6pOKaNd5NvzfQhU70aH+AY5OLozoWEpQZGVRkZJit/c
C2X8ruFh83ADEeHyiLr5CLubOWveSlsT/H93dkAp/bguoICmTkmIHoLxtiyt+SKt1j4L48uQoAUL
9TFYXAaL32Bsuj+RlNWR3heBY3cGDNjCc4YJ6VwT2phXrtj1xG5RQtpXSl/zZz+SgD4jnWxG056a
WMCPZy8IsM+TqFm0hSzayudCgyYiLzIZKgDcQ3WnW2h1y7Yq49TPaZg0XrQA29XSmmZ3GD1m6bMD
D4QKHXb0Fht0vqpE4x6pD8dPIwIOWhywxd2m7SnV47eir60PvPTuauC0eMPX2h7aHq+JTKnSKwrT
+dXJD+Dor7NQOXR80A9XQGJLCuw+k8pM83HTCNlgeo4qWL3xZPzE+6lTIxIW8Olm/e7XVgEJsWnW
y6QJ25/8nDmldliuqMH0duFY7+PISk/z7EscMQ43J4s8K9hnhYhbzFyuTm911syvuvrll3+QUjH8
coBCJ+rrmpk26LWVQGsrDKH6thV3Dlxpde6oGU7c9v65cQNgEe/gojCdptoLIRW/OSlI0KTLYnUT
B+5wzBG0qupgY2PeIT08gd8Yj6QQgPGFaXnETvgtQje/M8ittuzc9IOwGGvVycw+EcIJ7Tco7+tF
5wuLCqdN5e0FPY1S4l7vA79+sqfI3fSZPlIcpF9CR3RfArYjC8kuVRO45VWmxnCVC+KyRBPltNof
FkiFEdHINAQDkCS1O+Li2FVySM/LwWU5wiB92sfaSJ7SwWUSGWm095ieZq4ijQFxonPkZNqUr4AH
iHXZIqNMssUYNPZ0Rkc2rSaeYCDdhE8ZbIWH67DxZ87qsqOM7FM0z/aJQa6rrGkwzeaATDOsFTOz
p1fubWcPBMqa87L3MkVW/KQ1tO1IvgoZH5B9dF06MslPL2CkZZHuhwwlyl7Sf4ED7B2gXA8ooHwY
b052LAo1yE+sj4oKqOMi3Iec8KljaNJV6MSAb2saBVVHlQRMR72T82GnNGzGruD3yJPhkyaGcuVd
lJpk1ljFGm/GzMb0+DCyX3esXrsvCx1u/sqvq3hHetPdDKbFR9yC5gd3EWv9YEDFQHO7Lq+KpIL5
N9hrXRM8TWaXmiZbUU47GvkYpjdkouHx7TsbGm2DzKW3WXnXdf/RxgUhT4Tlz+dmXeYEZMN53jmW
Z2x1lwiWz2Tt8T4MAR6dYihP4wKeLM36Q0ket3kQ4ta3FG6Ww8qGTrZ21QCSHHbDfRXz6oJnWhZv
7AaafBF8tS76VdKUtPt83kdOdvr/+dmO93/Qs23DIv5hG4Ijg8X//l8KF2ITv+8wCX875RyIZR6m
d1L6r1kwTx2xZqx9C5J8EUtp1cB/gr+EQ4t3Yjttb32j+pXBwjn5etrytIueDcwgt1HAzBwsh8+w
g2Pe5xZ+bRrjNnWejRssL0+U6FYAsij9GcR6CYhNNSkx1BFEIxciNEbM4rwsGhD2jVvU0Xopv5ib
TMBa5oYqbkMe9NelpAN1qGEPR8PFwiJo2LYgRk3aJi9AF5iF/rVRcuIMNujkwp7cjzOu/7R2H7p1
bB1NP0F1Jmk5Sg35n1ukMVTfDU69TNQc51KRvz3xVtENWlgb3vR0m+t9dlwuCCFe/v93xf5fTHO8
Xa7J6d4StuXy/vz3d2X2ekszgERvzRKzeur2Wxz/LVo7C71i9i4MUEQBMvzzPQEZlEtnCE7LH/Gb
qLurv5WmgOqyJKQ7utHs17Rt4Jn2Y7rr1Zctt5lD3Gvi83813cG7hBltS7qKeFmTpl9h2z9LE/11
sziLwyDGaYNfCTq6+uZSZLJ8E8v8v79JNG1l2KAZzaDmguOsjSm7bJ4WXf7v95aba6vusMv3zLqv
SZ4j3S9/+O+fW763/OHle5HulJ/9QD/H/wh/F/9H74jBBfk/rgPbt31hCqaTvtA9w1DXyX+5DixD
duwPzXCvAezdJzZIo2XxKjbVka2F2+VBHo8jhhmAWZFHJtgkqrPEs/Tgi2yG4Vl9IzJD+AqeQddH
YNTgrySGO9kkG9xC80NgGYIpDMSyo6q4ddPq6kwEivMs+jmrK6DGpXAcvPGfyQz71N/zzKbhLz9s
YE6xqh0GhA3HyrEGsOTYc3bMrfQns+jp2dBls/ZIG154vyNoBv2zHwYtkEpLe45Ih0CTXM7MoQbw
vzKK07JHyJWwacoMeEukQy6qEwzVsKQM5HsqrMvFrmJ+LTKLY1jTAf/sbBq7FkYajAt/o08MlIag
HW9ZcWIEA6xmQuDCKOPR6TB9kWGU3uvOhRgKbnPLLoFWxKKoQG4hdCbAtRfWH2XKxM/JSq10dbWy
pc2Pko65ZSsG3MbdegOtz6Y05pNQS0gKHjqazR2C+pD84A1Ft699eBBONjun2IGVEiZOtyGWWsJ0
2/az7hK/JX0nNMe6C08kt57NDGXW/Z2hg+rJSo0D/9H+PhM3PHq6+DOT0NyTedOwLMvpbvBsXfIP
EoIM1Cp93GcV8ynGicO+JJCF0CpLcHh4zUqbi8PP4NxWCiTm5lKjqTejfFURibs5hZbX6f4R/PEe
K154bltq5NVQ01Ruc5mIvQfCZT9Wwbib876+Cr/eGkJMt8qtsn0e/ci1ihKRwm7u4EfiVcAo4d5E
V1p21mbcdL+hGP4081KuJPTSo2nL7g6aCMkXv2djCUi0pqgegROQVzK/TKUe7z01NwSixQiyFJW/
7hPje1EULVQXbAplBdm2TKip6GqkR9Mq9FNRtvZzWNBmiE4cQFXUrhHvF57wqriDJrvbUKGPjtlo
lw5H1yX2h5QDPtvdaMTIHmcDlR9DBN57wBQ+tQ1TWAz26CABR5RBz+f9IGrgZAkz+CaUyFt2d2zD
dnjpIuVICNx39P9d5VKbzSBmBvDOBeBzgFgqGjTfmjbskcRGV8iIugm6fVcWv+aMGaL3L0xP8ufz
0Q3SEJx0NFEckY81RjaJJIUc4hGcOKOBj4dpbE614lUty2KbIIX+4c+Ws3PGNL5Ups8VbTirQEXg
zLvgvXkM3NYpNnqvq+APcunDqZ0ZvaFkGuHwzxCN8tXxSdtquUc/eRuae49ffcV9P4OQnX4kyt+S
YQjaz8KvfjLaoSaUrd6VPlgby0IWbjElFnSQQIPG3ky9XVVaN4eD+44OKQ2vHlJxY1aX5cm5LK7T
j8cCPQMUVnD6u1TgRSLKow/L5Ct1k34vMAUbyndARQmRsZiBs+Z8KJJdx7G9TY3qDnBhpKy+nvaC
gek6wHK/xpEf7Xo15A06OMtupAKudkPRjJFJOPQWSZdTNPwaksJ4tvrXosdwDFjMuIpIvFiU9tDe
WlV8elAWQUGmG3+g/QSzxM0tgv65F9BrsOJdeYqxFOTThoweRyFiiwIM7U9b0+/zd6ki8Vbo5rRz
ekEw7t8Ltm8T/J+XE2cKSnM7e95HrBPsPvgWvbGeAfCDfBUVLUlNQaeOyjojcmJCH70U5zL81vc4
arqdgZvstCzUxmroB5wDxpKcsVQeG+m5ESdMHVG3IWxcc1vhDAvbTH3Zz5RfWcQtN6TyadW2xpEE
ajFhqKPDc6rMA1mJ6lI0hU8peFMfOiegvxvg/RRnPryL+MxdiXmz8nwgOptnxfXLodkeG/gfHELM
/tSpV5WHcYj8+kHHLMEtGCY2efUbhdxfMsvv9r0CGlkqq9+hQnIeMz6Gzn+3MlBLZcR4FididokZ
O+7BdOivnSyfzHja2pP2A3Iw9e/Ta+iH3T6kwgoBXZ5tezKPBvfvWjm0NIVwp8954HN+9gU1A3FU
Wkwj5mAjSKuBCxpbyYOOyliaIiTz0FnualUwI1xB/wNeEod4Xgpuuayni8s9AkZoc/0LCUt1C0+K
yPdztC+D4bWWFimVhsd6r2v10asNcaEjBCNhQp6H+vWvqQh+TihZWOPpG9JyM8aeziRIS72rl2TT
OqBrGXa51Z6LAh6fzg18m2uNt2rhZs7zAHCeGy9FYDWo0ty9t3Xc0rfaoYQ7h1TS4h3BIN5J1JoH
RGS88TiuNqAMB2S51CM2KO2nziJD6ljibFWg6VtBzDfMPzCFTcmaWpH3RSmurSHeLcKx3VVfyggf
zJzk9aXlH2vDsPEfCcZoJTdhhMOyuFtDJz7CQnyrcmj4DOQvLdWoRz+Z96R9NxD7o+NychzLFg52
yAWrh/4jmJkDQpCC6laTJmlFRgxn4CZC3dR6ud8sS5+074Hpl8GmKF6XPJ3mOu6uKMRPnFju0cma
PZHf6V7lmXmRqcX+VCSw4QaiBZ4koT8FI8S/ge6LCvga/C933LiM29cIYs6JPZXc2JqT7ofGmEBy
2OnZguDu0+l3H6QFrh3lbBcq2tEg1EhYJ2jQNmDGYsOMP+mFpaqQCuP0aCuj4oymT08zj+iFr8y8
a0QG9b7IHOv2kp9KXaNbEaCy2GO13n7mdrLuw6qGplykxwDxxg6b7DFNhM90A0jZMKc/qpY83sKe
8hkSVyMOPHOK7Ic3uL8a+nXzypi++bp5iwkmg63pqYMnmGr3yQOudnDI+xCUajrvGNGUh4IJ+DqG
nP1UZNF8Str8no3zeJwNIzyPaok4dxr6nF+WrLFeec+O74i9oBDxSN5t85eb2fTVT4jQxHNd4gN1
El2xZZKZ6ijPYO8frFzN4BpVjYAFxIJdMXjfHCcZL4Gaq1RGjtouNi5xUr8VV2ZY9W3GNb8pUvzy
i5k5A0R3YJ6vwO17ywcEUnZJDNwQj3KXs68040EjBAo3YzkSeinEqyQuVoumYeryV80UdBe2qOZd
RVqwtmNa/mz7qe/YGtlApne4W6O1phHL8+YivHj6tM/A8X/RTBcPtSyStybKf8GopBSIko86dwPC
Mk2+JX/GzF+ZY0qHxCR2qS8Z89GV19FubU/D0UDiJ0BA4p1tu7txRlN/mgKhbRgj72UTKUoXfVYr
j2BC5rbZk5YCCcrCESdRkRwWThUmBNiIhrEijCixlg/6zdI/CB4gBBiFjUPuFoNUUObdBi8LUYcR
0uuMvKL1Jjh2xNJ1GQg0PMbgh4Q5xs6G+0nJnuwZS6F/UPucUAHO7cLz0JLTMvypYdtZ1+zM2SHh
nUkcCOJWpRORofYjjT37XYrgOcqCY6MkV5nPc43Sal79PEwOfph/xVNr7mIKIfelOb9ABIF7H0f2
ekS+SSvm0o2C9+SOuZt8DisLpk8vPF1hembIB1kC2YXPjQUumby8vSvV3B7RDoh7rn034dtgdpwO
upPYl8ypH3ZmGwddzRMHvNUnl9CdZYh+XI3aV5MrdufX9o+l0VBvcRJKmJea6hNJVIcAjtaQU0cT
r3TRpxCt6qeZ6dKlpdoevx9NZmM12vt+0ve+PXrXuDBBwDJ32OLXXlrrGjgmg5GAQqPcaJNSL9P1
+R/wZwls2KfI7eXXpupOCGZyqyVWf+gabVzn2QxrZHR0Hmm5BPBubAq3ExyZ8RPaTbcNSiH2GU3O
3MHcq1VUvxEYOLJgOFhnNcmPrLf+xLlpXao+4Zhu9C/klBlEMW3eVkNpvnn4sSZOhxcr8/VtbHY/
5aiFawF2jacVnEyjYGpITmzXFHpxDW0emIYGbkWG/oEi55TNTYjRfQRO6gNjwgAn1xlS1Tmfhnhj
pl1+MeHGY4YEkLAsBPA2XSQsLgIEzjShPEixjmDzEPPpu2ZFEG8GfVPcTQeTUWBTRoimtm/RK55h
we96s+52FaaVreY11bYr+Q/5s5jWGZwetOmsv5SKfxubOLX1IDxSnyRBWbyR2AXVxcSY/xgs8hkW
l4j7+VDruX5iKDqf6MtK++8mVsLD4IAiq4oxfsHK1f9Gu6OUgl6iA/EN+opULN/2x7cem+tLNuDj
J7eW5fbXyHolF/gAwbFZ/A3U/BHZMWN8F6hwfV5+t3FA4EaW81VjFLqxeg/UeNDPZ8Pt8HmH5qsE
tXKle2gClpP0hzZzOkTgIN0ywMRkQkAhc/oXe2IWVQBRA/Lc/ahBuqy9GljDIKP0Ja5IRulT3q/X
qGrxtVNL0lCWF8dNgxteD1c8vLRD6vdgiMbK/hHPFj8XQ/pL3xjdfhkruz3IbUcDB2qp6ESrGjui
2JS7wJtxcurFvE1my771Convjg61GnRd7Tg/bOrSaS6NzR1XfUwWXYqmtZg8uHc33Y+qNyI+T/BD
bRUkIoBBYCIkTdiqJSRztjd1+weSNvP5kejt3FMkH04ycVcTBYQ4SAwEgyRMeEoxvE+QujceXnqo
nRmiS2znJ72hrcrOqurFcuVPg+67Q9b35sXu+rdEoz2In7HlL/k+KrTzYyh840mG+a5OcfPqIGef
ApIHdNY+bNuPd4OJWKvblElwhy5ezTn0NrI0njWFrYpbGtCa1roSQhHnNopd1du27yIoHpmSbti7
v/MP7O8aJcwiLMSbuZ3H9Wck1lW52Agn3ZhW7abjL1yYc9QXyqYsEn6bQlTcHo2D5rAR1rysufQY
ClUadFmoHpl2VRRiJVKOwmUJTeq1QnPNR1jrWxSk2RgeYUvAeNl78LQKkf5wec1VhrrMUjL65+lJ
N4Xnn6C8Y9CWRXmtPAwcvSv9LWMlenNkYgTHTDUEqHMGWXi2xY5Vfx+dVhEPNUGFLgCEk66OJsur
1H/wC5YPLc8IOhMlCLVkWOdsDBBsCd9lbOhX5FLMXWeg0VMUxzjSk3jc8vRJh5J/4HAHe6Cm0w3s
wK9KDVmXnYam+LvVPJ8tK6pOXaafKQOf7mnnA+b3jdfZJZSl5OBFGBYWrV9xaYIwVK7xXpIx10zv
Vfcwk1ZYaTa9Q+ePm8T6EUA2TlOyybOjAtVu8pG45beoGJNLYdbyi+XJ028M2O2t9CoOCzW4a89i
o2VqcjdnAdQFu/myPFNyDbowOyvv2UIYnL3mDM0yOcFTKJ+xNLnkWyl0zM99nbRXz30nXmIfo3qu
My7H8UHDND0NKSknHnDBSRh9vh4EIa+/yFOjSFr8fc7jPzk7sx23lS3b/kphv/MUgwx2QJ16UN+l
lL3TfiHcsu97fn2NoH23vV3n7nNxASMgUko5kxLJiLXmHDOUFotDax6+ixmSGE2ZprLBlkknNEna
astyXsY+8Ro0s/1YjkeojrdlgdYW5ftkDoFF1mO3JzTprmVikSkdlq5Wny7pvxPYyQUmZ3WwJKcG
r0Ai+p4Ja/CysJjrBDFgD/eZeC5SXoaGFQJlqXxbk9S7E13i3hcFCY42OZ4bJArpBmUTpTIPY3/E
DcFXUZOWsDuAziwx9tAnm+2s6onQyzz+vGY8eu4L0Zf0Y1LK+8tkADwjapK6vOsQ+OAecAvIzLW+
MbwAVS4yfoxrTW5F2xIpMKmAfP0j01bSDzB3vSnrO1+jnNaWAwe7He9dkI3bkF+MT+tDNIyfKtFO
LAqxx+Om+dg2JOzwFY5J1eNnG9vQr6OLwS9wE20btg3eOkjIpTa+2VF2LMPROUbfKNr4ZwteJ3RM
OJlQtD7HHiE6rkthqxt0/iBgJUgs5jvH6z9XZncMleolF/YKa395ihMz3QXyG9SD+jIWea5tq0wL
H1o9+VQPXEQH7kir2RHB1cLYUwGPSlw7Oss55tpm9qD/p1tu0gfG6yMA9uQT51oNekO3wocmVx48
GsG7JE2Otq+RGwIytirJ7G2zvti0NoetIpexzud6z8q/38xafOomiwDKaPzEr2LsWJtuPTmSgTKE
zZ1eFy6BzdmeBNECXFeLyVlvyaWIWrkKj7Y6X6XuNXtyLJhiLcVYqoOnBNgX0qOG7MdzXFGliJIJ
7rQOMCNubi44NGZHXXoZmfNc9JqyRORnEUthfnYIIQcOkq4iq+3+nBeSJd1hsXFIlsNHJs/zurIg
2GGt6Lfudy0ibao72MovVhNMd6YxvPleSJWmmo2tq9Jti6570ow2PRhzFx2rwD8viyBSmb94xaAd
Ra3rG3oepJYT3J1OifY+RAIGUp4jJVFG6rzdHCIoixrqZU2LOyt3yxlpauPuSea6r/ze31cJelHY
ZC+NQW0EN+e3ydWad1bRvaOiSjHEsubdrEqLvjnfCkQjRyNhLmAqeC9Gq/nkFQK/ckjvnpaot4/Q
DlyXIecTnKF7kBqRrcO4Mm9joxvgckBSpTod5UFMX2HcxCctrcwr6/I1zqDiDoyN2BYjp1qGeGAV
lENP6ZsphV7pu0mRawcNT4xHV3hdh0pbbsNhtJQ8KTGCO1fTxwOA7uKShtLcDpNEn6pQUDUqgL2r
e6+J2Q532pwfIoOZFQEwhNHXfQZfQSSPWSZZKAYhkTU6HucUB82OSqvNSvrRaYCVaeZEBsRYW08H
Ev4eAx+zJIefOKaMCvcEPhnPC/GXtlBW+RitEI9y4zw63XBdcofpdB/x/gvEcr2+Z6FA78Hgg076
7BnLH518bJJxnNtrJyyVIxkFRCXKI9HGz1Degm29o5wWIt1Tqr386nsZ+rM8K+9Tu7hzyaNRkiLi
Rw0HvpMuzI2fGKzwinh4CNzsxcUQv8tnPthRSTvrtvu4KM/QQe19ncaMCt0Bmk6SkAavmJJHezJQ
Tq69GCqCEvZvXcN71vtQ7iMoFZhEEO0ju8WR5GOeK8CdEySOcPO0QITbpURKPNZen1iBWOh5JjCr
SNCKteNJKdeB5qAWtQFMoEbmjjWgnlkGFDH1IQF58rMcszzS7ZoIJh+Ne+0QmzjQxDqk9UzSYfyY
err1NvHNiVlebvrhhx4NoDYx1xmNPCSlwDtdl8YDYT86YRknT1rHDpfFeiiYxnotTK5lqGLiSMse
8fGiazC8lLyZwKFnqsfM0WstwQdUD7t0PC2VDGsW4wGjervCHz2C8+lZ5No5LgO6NAtXFDE0ERBN
vJ9yWlBcWO/GKGtuVCWtvZTiHicgfGDXvZbm6F0dN9L4RN/rLnhjixIScnwp7yzN+KQlGFXyLPPB
TWnyiXixdQ7geYPsAq9BpQCVamGbqCVuP/rPZq9P1lqmbrmb9CG4esQM7PIcwnQXPCE2ZmJlaQ+J
hbQmC+ZXRRLcm0HCH6KEgnH8guUAWoWnJZeG+f/Om/z84voDMAbZPyQxmMo+49SYPcLj+RSrXZoV
H0rlb5FqPrE8GvuzvsgTVIsE+tfItR3bEOzJY8OM5EZ4agomc67OJNj0TxTlOco5bTqkQAM5ryRW
j36E1rzD29eksADM1hguA+feqYydrYUAtpeevu8cw6/JvfQdOnP6Wz2F2bn9c5jxeHIOpyUurARv
1HfLqJkjgdAmzaNgZ76SMmXeE75qP9ZxumrQNs5mUV/dxq+uy6NWWKuuwB3twV+sEGHJcIUYwtr5
tiwhd4yJs609CuASrBUreb/ZEzXjc1LRQPnT0jhjHyfCNbv3wAAfDALMRkNCZ4Ge3h0Lk+xJV9gI
iSZqc1E4JPsxGp4H7H+nZWgGEj8SOb7mgEp2gXIXLENoU7et0hR9itrnKfB9zNQ0jGPq2urCsVw9
hFL/elZ2dXNqymgqLPRPMoh30oe4j0udhQATvPUijV5E0hN8Jla0mHLxi1soPnoX9Y980qAKcoT1
jhJilyWbhOU48TZ+HB0Wn2alCvdI0sj5NZNiA7P3hyG3bVN3zxT1yoRT8r+HVXYXpu3HOh0aTEeV
BWI3966Thx6us4ZTq5sWX2isRKhVwjVfhGG9YCYDWYidPcAJWTY7voF1M/envHQJYF2WPv0al711
SsRF9kl2ikrflOhj6LW2EcoOQ037fg5iTGASTSn4GHpUozrm/eKOFLgNB8tw9pp0po4Pncq79JhF
Wulh8NrwUWIJoYk3uyzv2o+SjIX92JD4CXDQ2dBegcCnjPGUqLJr3b3no94Kop9vcd5WjzTPv+VN
Ivc195ETDYNtEbTYkEb+2pQEm03spTl4l9YlLIVFzganxnTyGlB5XTVA9I80mghLSE8tIpzlKb6t
JBw3IxXNLXev/iTCJt0vNpIQRzuT7eQ4MiOiykDHuIh0Ih567zQujbM01jgFRUOEkxtdCjXYXbm1
ITkeLSXcDRS6qRPE3DK9x69DrVmPJbouEyJRqCyUfoAuryD+sETb0kD7v6NKvdbjbjh/d4hlpqAC
nnBfVTEeLPL5v5vuOOoohrvc9bAUyppEuHG+d4bIPEeGfmvcyN2ALyVGTgeiXCuN1gwTY4NY1l0v
rKQFEULONp2UFE1SaGSWS+COU54BUGrH0Rj67KDaOMuKtFOXBxa33LdD3oZ633Bahjizh5M9D48V
mKdfmmBMHL01ljBUPGp+oSnFX2xSmRNF+DZkdUu2hWGtUYHMWHk1ee29bNz5yL23pQXIDNYh3RS+
ebugxIzUKFw2UguayGpIDaffSGwhnPbl3lFzwjmHMG+b1OpWpTm8Yrr1dxA0T7ZIg3tXDXDqgG8E
s37IZ0p4Kf7XDSk67i1O7GZNbxt35mg6tw6ar+lQLgCfHm6jFuXDYnd2QczS9Vzsz4Ez7BN7erSN
XF7ibLZ2/Ebhyhkxb2aa8RiwIjt7ycDgjA494XdL1MfiRLUAUpP0WXlbCyHrgbXDKnSC+EL4lLlP
Q/Npgi/fryb1AQ9q8EfENbAYsi3JDFSM6Zgtrhyhqiz1YAy0i8C9IxI4JXOsHf0UzLFi4vY0Hm5N
5Xt01J18l5uci3Q/8kfEfuEhz4Z87Yf2u96oH6DZ12QUXAz6ZefFWU6CO/yMjlRLt/DfIs0Vu7lC
COkEuNKxKvougE9QeZbqpS6DkPyueeHSXpnRjxrKLrkAVCITCcn3W0ptkCFSVrj+uIK67XYKKsKD
+wiv2zD7Yu+L4X7hrf2MkZbu9CVV3RUKZh3AN7DaVsBpsAwIZrh+jQPO3I47xZbWAs6ZlCj0xEFz
jqeCJGTNNDEumN55oJt5NkmZooe9XVKXf4odAzemxObP0dpfhPfMseyNX1DHDTlBuIHbM5gDmb4B
EaIjYyEZYg2kdJYt9GwfWVXi1x987g27UvnPAAkNFGWKw9iYRL5x1aA65uJ4JChE61J7axjIKJ2q
bO8CbDekc5CQa/eSaAqXSw1kGqqAjks0I1XlFxIjnV1WQt1Yyw4hfguvKCdZMQ0/p8hYQG9E9nUo
IuO7nC2s0LQlDablajCDg1BGB03bR2b0mDpzfxukRUFqMF4MlpSX3uaLUfhGcONr+9L61VsdSPFo
W0YOMUe3QQ/jlW/RRqzdIDL31px/mSa+rT1JuyixK7TEU6W8XHWwFxrXhsU4nXY6KXw6Z+kyEYnC
YLwEoYtxejDkZvY6rN20prdziRtpBleGRNcpMYj3IyQkPac8JIt6PvhOtCsl4v5lsNU1yqrzV9Gh
cMiaUP2RGS+bo2ZLF867NABsjn4UHpctPqSHWIIbM32I25GhSHJUStoZy0ObctKnWlfeC63zby6R
T6gUkVRTLi+JXlwzgRop62JJMWLqAqp4Cw41O5Ck+bCQZlpjIlNbL7YO6Ipr1SGUDcoYuDiU8boH
cA9NMQTGQudiVvMJiWri7FTmOaD+f1gQOKaq6I5iPP+9qlBa/0vjZhq2NE1IETo8TWH/VeOGBIxf
t67SfYkZcKAXcHCIIFp3ZC10U9ncp1L/kgf1M/PsnpzngL9jBpS0Cd2UxOqqOqN+mk5NAbu+66ko
Vz3As1RPOLFxU4SJXA8j9XZWMP6OFSaHVLIs80PsKnzVbTEezYF5l8MpurLRMGNGB0WOIGmjuTCY
qd3gTw/69JTEh0LZRRJPp+8a2iR7k697Gh3WAMpnA8ai2Xr0fEA1cln+N4fJ++0w2RAPqGBbHgAz
V3i/iy/jVgdVbbE000kgWsEC3fRKprcMmdX/eLRsMs2cyOU7cVkli1B1K5bBLoyWS1L/ELeqXt2E
5c3qpTxQ2OHqrkd4negJcIMoVbcvT+Fxy5KvI6IT+vbkM8SIaqoMynkD5ifIEY5l2lBDluJmTSOz
u5t0RGoeiRzbZYXYKAPIJRZa/L5lztRrp6aJz/SqrGc4z7hvKXPz9fUo4DFBaZfSt+b4678/cob+
u4rS1k2hW+rgGTZX89/VxJL1pWHFWb+X6FGRGE5XWw0li8XrbHPJwFag75YnCsd57zVMF23NaU7L
0Iqk/f5o2ZR/PpG6M/UNatQbgdX7e644qlIsFaSzLLvkn3njPzeXR4jNrM1YZM162VyGWb1JEx90
WuMni7wUex0FY3RehlTSPwHyyi1VeeJHBWj+OfzcJ26NgX10eUrEKcYAgfTE1JtHzgrtBsnC2QhF
fVk2IxiUDmLo9JSZIBqXfcvgtZl7HEX5AfrOyo6pl6eNxreeLp24dA1qGOpWOB9IK6i2mhcFtBUu
fgMUwaoxD5k4H5eI4WXXkjO8DHUNCdxJxLvf9ofQur/HERuCkENInug5/ty3/OjyE3NcM4+kgrxd
kMQhyvGT9FJEeB3a+lFJsJd9y7M/N7FjYdtetr8//O35ZXMZshnS8fLo+/tUQ3FM9XTNOjC+c8kA
VdWNet7o+AHWNBhplKlhMihAbZaHgaHUQSm98179zM/XGFqS/LKJK/PYW5RVg1ql1Sg+QkeL6wLY
i56urwMIVZsOl7uGqW+K+tDHSpsW83ihFjNeBDL4NTw7gHhq388nfm7G6onQMnqYkUZ6ijU3vBpp
fTWKnJtuHd5yREHc21Mmt6JlXWrJXnUJ9Op7NmmgpntaNB+Iz4yOs2Jzf88sVY+WTRYPOeBCl9Q9
+wsX+ep+omCGjpHVY+5BDUA83KA2nWLwJ2qY2pSliN+GO0CVZ5Dy8hAAwDgvTS7LY9KuCIUy3PgH
+1qhJtz6QWxuUvIP7zOV00BKJIQZJeNe9lEL629/f72wf78h2cIjk91yLOEwhbcc4683JAG/SVgZ
izeR1vcZ4KZv2m0GLPjEBDf4rhHA2uyz4uekV4qBZYDNCTgyw25O9pHhbwiV+/FM2VcYoshIjHf0
wqlpJXZ+YEGLMmHSxf3QlOIeJP98042nZcPAn383FOFWqOL2MjSqgxWoUvX/dXPAObyKTE7wKnke
XTv9GpqIAnHmKwEeXdaw9ewrAV0/hjJE6dvCAlx2wTz/sd9E1kbVl55OVto3WxH7FmsZ5SED8wdF
t4A1hXVOobJkhYXmY1brYq9KecjcZfw3dz7zX3weUiJQch1pukwRfvs8JtnGdGcsax8x2bxmrms8
BAPGwQSOSorm5mHZFQIHOudW/e7nrrjwxSEaUU4m6oca3QE8wcyfuzttyl4pFJaupc837jjOzcnI
s2Qkq5onqkyO3SaGe71qJNPFX57iDt3siGIY91Y2xNsKXBO9e+CUq1BlwXm1t/37b6RUxooCjzQJ
Ml/++YcSRPHPMQxherbpueK3I+Al3Lh0t5b7HFhnnX7RezhSy1DJNFGRidOP7WWnk4SERaDNWrms
Lnb0AEJEcXr6gsjR2aNLhx+3bEaFdgSHTiwY82ndp9mukgmLIKKVmS2ju+ywxwGzdrBTK0JE1TXJ
hcsTv7xm2fnL837m+cDvcnfbmnm0r1Cs7WXWDu/TLMH4EpovqTSss3P/bw6VOhS/HSp4ZUIK9Hu6
IRdn0S+OCd+aEuH1trXnDhkfWfmlT6AkSIjW0y9BWIsChDYHprOwsMZ5jUQipz0JX4U5PwAAbnGO
xoTXgfOKn+Yj80AmdTktWi81Mf7aJTHKY7AZR8IRODesq6sGc4otJhXx1RhZbzYjQv7WKpQISj0r
HsLInX95pXoHj0Rtiyn7LU/jlzCM7WOYDSkByuxaBoFsYfX3R8dVc+lfj45jCJ16g+F4OqmyxKv+
9dJWtuiU+8BHB97m8fbnjXm52U5sr0ONgjufWzCTV879fHlNGIYZ3Yb+vR5byM4dDL/B9IHwONQu
8dw/E0oLWTaKm8uyaSEM28iwzPbLZilqFxgGKt5lU5TTfFVvhEmxf152tcHH5c3wi/zrN0vj4dc3
AyH3482IBZuvdFUflvcZyQhW7Vq/PRr0cCM3ap4jYPn7wWM1MVZ986zrHeLASrxLKntALDFdC8uu
n5aXdo2brJK6IpVbvTSIMRJPRoAkVr1RhmULUZ/SS6tnZQ/5thqM/fc3yg3vYBtefr+81i1R54bp
KI7L5jxO5Mbrnb9ZNoXW15cQ/9P3dzI1x3iiA748p9Nz3v/9p+79fvngyuE4wpS6Y2Kl083fPnX1
3znjGFTEMeVwkV0EJ8sQK/F0o0XvW5YG1KjQHCPWTBD3kg7/WCKDvRYNtgm+TPCV7LZ46UOfpXUd
v7mEi50wv9rrXJsPHlxg2wDsjniZvPFFxLA86u2Gri4JFUaMGi/x0yf0Ev1tGWD+DDfamXKdixQC
vnqCaWd/q9XQNuXnyKk2Ea7UY6Xir2q+VtehkieP8h8IanaVRhEx+Zbx3lH7iEnK7yLNg2jiDJdE
p6MslUD052aFbHDTxWW5rpT997tfT8MSvGwK9Uhv3rdzteeIxaxBq/J16i3k0aIpN205PxHYUlz6
opJXdEesJlq/fseCsEY8RU0wHYn8qmT/DlHxXqHY31PscXcd7aF9U5Nm1ufIFh2Vduypwc1DilRu
BeQ4GshJjNDwrCKD1PnZy1sKBmB1TqT7/BjyCIH78uX4z7+4zJr//i+2PxflBKofKcFfN//7Lvpc
o8r/1v6X+rE/X/b/9arnIuPf72/0l/flv//x620+th//srHN6eJPD93Xenr82nRpu/wO2OXUK/9f
n/yPr8u7PE/l13/+8bno8la9WxAV+R8/nlJ3VUOyTPzPX9//x5PXjxk/95LUH+Mo//i/fuTrx6b9
5x9S/wfrSDQa1NjUetxg0jJ8Vc8Yxj8QcAvbdV3JaWeqmzmrvjb85x+W8Q/TsUxH1w3LNqVjcyI2
BdJg3k/+w3QtzlPe0bTpKIk//s+v9sMp+P1D+9fOwb9e5jGz8y5IIJCF2NIzTaGMnL/cBKu+pp/c
EKUUICnzNeNzVdT3lLW3tWl8/uWo/Piv/wNi8X0R5W3zzz+Ygph/XV87uBNd4SCbFWqawprrN18o
uiS6VFbUb+w8ah7IL9gareE+OBQEH9wwaA65F9PP1CeSH5p0dvaupb0uypac3ssOFUy7WnqItfmF
eGMCQRwPv1zYhPe+GlITNQd3ruNA82FVzm19Z6bazaCXeqMzxK0Jbi3CbpG9Ai72+zbe6VzxVwM5
SRdyun4MHtEYhu0wlSl147XMkQe6enzMB9JZ4kK4ZLNB/0Zu4W0ay//Yxtr7OrTje1G335wZquE8
1MnetkVwmIIIB9ugv+CmLqBKhvNadDpSosTBKGwl4Snu4nEn7fSMfFM8hxTEyTwuPaCuw3yonHlU
wrf2ME4W0WNFJR5BYeiPTrvvS25Cteyb4+IGS9L0LnCYbMxMS1d1Eg8HypjJgy7lvUgiNAl8PBv6
2dmW1Zxx31AjXaN/NTdoPMbT7KbTSaghpFp5aunpaXhhtONSZZSIY47GYINTnMeBFKwS/xD+YxCq
zqwbe8fQnpbWAeHcHniT/GXs+ghJvEWYpSyOiIbTvRiM53xM9CeA49ZGe/KEob001EGe6IhpLSzE
7IX4VZTsI95P24dQHLPwPSBk7wbui73As5rPBHE5wdzidNWfkYJVR31bdV5wEaOj063WzTU40HDt
JPhY8WYd+iKc70sDvZolaS3gRGye4+LSlkhdNR+uYYf0MB5qWFKV3r02Tf4+9tCKJJ2raNVauQK1
cxj6YXhsBtI9h7i3D7R1w0b5wAkRW0tOtKPu6G+FlUiwt3q+n0gDvVYl6AKVfDaNNBwLNQEqq9C+
FzJhmUDGepXdmsDDYIM97EaQDfI3ayDevU71c2Cj7fMKFGcEeRybVA73y0Cr89Th7bj83BX1qqXW
53Kl0u1WwsinlzIOtJXllAjAA29DgbY4UGz4TMPvYhIBf+XmfHDb9phZiYDTbtGhwrDWRCQZJC6e
wxRdtw2B9Wa1Ij6kfcepl8TULkzTuXYWZLp+dj9gJ72zypLoxkr7GlcQouBDW7jdWbxrKsy2T3Jr
wykWweyX1gUQ6V08+94BgqV9brvnYE6iy6DKBLKDTgAD5SV0/ScNN91rBOjLl6hWJbIukvKKMN0Y
02TCpi5rEGiWOA6GALDgetNDRLzGA9aSbeEMYBjG1rgjwIw0YQo6nSpv5gW2CS3QOrzP/Xjqe//e
Hqrx5OcRii2n3rnzmK0mMz5aY/qUozOlf2y/nyKyELDI7C0Xv46YAQOEFgrVCf00sbzfENQcJMjQ
VdYl7X3gUU4OM/0xow++CcZNOIoEPZblosdaiaho103s+1jfjXMdNp8qMKnbIhmedGFP0C0DbU80
4K5IphdMxeN7oRG0BZAXR2plzffMKZ4zx6x2hmFaxGtq4xMtLIy+TfyWuFCbPG0zVwG+J2Gixf5z
WPbFtUUxNmxZlGtSP+Z6O211PSseR2980EwVoRWhemPSHkNuir7y9z4swvq+t6INSTY7WsczNYMC
/z0c7V2pzO5lCtMtN6PjmIinGOjtM8gwVnFFszeTBvqR4lLVUr8YJJ03JS6RkIsj6hWMuBT4mstg
+M1FzkiXS32/VHfyTLMxATKYiOmwPo1bpGXx1qCt85Jx0Rs7+a7vw/gwetZbULjxOeHVW713nY+5
S95dRf7Q2gVYRapVWR3LoXp05YggtlO5oq1PiaNOp0fLIhCzrPotKnlAn85QPQkZ3+hZR1firSga
1N1lmByiM5vxo8Qbu897AyF4hacBZWun5FL1Jc3a1w6/+jamm4VzrurPrUPsdGWjHYoawK5hbIRg
cNqjGTbe+yQoufHNcseiuzgUTf7OtUR3GCRloaHH/eaXdCFaZqbEnSDm15MHX9ghKGCUSkFkPU9h
N+BycIx7z7FClIhGgw6La3posw8UFnmqprXLIoP4GutzylT7lSkmYuyR4r1w5uEVEmpxMGD5btI0
LLZekopjqGsfsfykz1FQtwfJSYMmSO9eDKt4TpHifXYVLxVffPFUWDVSIOKKSINRlirSvLEGZ8/1
5KLqiKT8PLZgoP1x/BaNFas7k2KWPn6uh/ED9zVQDsBWqbLP4pCJPHrSA1R0Re+uPD91X13aW+ui
TLUnLGkJeBFPu2Ii4G5KTMepbBpxhoQTrmVmvId6mLzrsVOsRs65az+K+F01kv9jwXuTudWdfTck
maUl9rNNp+LjQFBml4kP0BImPJrVJQT5sSsQQb5kY67togHM57KpFzZ5ErEdr+PJ3XZamjwsA3L9
ZDvoDpI9NwUfaCAASrquusvUMMsEYB8+b6rbgdiX+KsmEkKtcW2UJnk7si42Re2VdzaXtwxt0wdh
pAWXhcBe22L67FixcycALBiTBFefWXfLowjsxR0GWJ0LTGKq+Jqpk2QulWikC6M8DratkrkauOK4
L2lGwguAyqTde/D5dSeH9pBl62YUJhnkeviEekLcoTu8JyfnOlakrmKKIfLbq985WZh8AbF1Ipnb
fs3CYJU02tsA727rK82mRLmCMz3RD3QdGpLf3fVkNeZxlG269ZM+QiGXWzsXo9qJXhmB5Fw5waP1
ZI8hyfaEiR7FKukHjU15Kyx0L8BnNkFD4M/E0TbGEdN2uyFqpAVl0Bwt6nnhyiK8wa7s8CDHcN7z
TjNk/kY8ITtsdmUj9LNZV+2FJjRSLGh/ex8IwqbSJqy3TWJ9LY5mib2yDrJbt+R+qcGJk9fepN0V
qQzC77mcneHetSNuB1p4kc/tsRZlfbLtvnqXYo3NwfhQnBo+oF95i4DD8T20EiIXwuKsKTUliNv4
nspYvUXjlHPLSuxdF3cERDhV+mC2RUfzwf68bGUyeZjj0b+McwUwgmrVByMa7xtEiBNBKq+A6+pN
MWXVNfYSVEeVKDZwsE4ATLsnBCtApPrc+JTq+dbPSvGtk8OFkO10H7adtQf05lKfy6pnTeTBtvBC
sjmAAACZdtyT52oY6VtCKoshSB8qA/wDh8j81JTDNY5jl2lbFa1nTdrXOSAhAm0Lyn1SfX62bGgJ
0Co2xVUfANI0gxm+tuAlTralPItTMjwKF703StdNQa3sJs1cY+aWgc0n//Vi6niUtKak0RZmb11j
303MaB+prg6PJF7kSIO1lqYHoVV8R5/txnROM0KuVWyHxVNTf1qIPykMkP2Y8i0zOcI3dWBvBHSW
a9ckwmgp2S1IrbkmPpqA9v3soGmTs3MhZ5S1NDzN7aDuU0Os35FGQEdLCZuWYaIEx6zAniF4JYds
aE9a6A03wBvzQx2o6MEK1a+0klc58SXtM7Dxheh23mxrnN4Bl7TJqu9K7ldbP8/7O90LQ7JzjQIF
R/BBWK63NsIaQH5FidDLps1UePJG/xncV1ee+DAjIHl7irRM6N3aRmFiknAr2k+9a063MaCSNFve
k9E+5liwT3Ujnf1YJ2cql9M3XgJBso4+CejooFUN5zHtQ32HE38i4aCHcCSyZqPbec3p0fQnLxLT
yQ8y2lkog7ZZgJmgsayAIlWVvSuNhpTfzK93cZrBeQzbb7IXWDxQZvs0EPGXY9wsMXTccjUAUrgZ
UOVPP3eFXkpNywCwoLTB+YL+q2vwLwhOSOSymZ4ylAaqb830tU2ER/yc6VxyCppbb7lNGHkaU6Lt
Mqyg4j6h5vpmqvlQG/LpdCBwQsO8I5ANnDX5mXVb4BvLDZSwBVksBa34bVuHFuLvYEfRLt3kUoqn
skLcV07V8PUtauZPhJulD3nlhzQ842rjkir8VhZFuQ67GTYHApq9XWKlb6TOPr1JHgM+sl1UVuRb
EKq+lmPVvEIfXdOZSd8X04zYDtXIIa8PYEymmwvZ98a9hrQ8WBiHoYD2MU7w3wd1AoRj0z/W5TMT
WmIVao8LYuPo1wTax9qU5bDvmnLeBMYzlWWXENABSMtAz8XXyQxaJVUVo7zpoB7lTAX0MXmeUG2s
mimjVWyUAh+43cEU9L1zmXSfemd67tXS2edChnsPjZmhf83ScI+vafgki1SnK0V0acK3Y5dbYURs
DtFtYZ6KTVkZ88OQWuVWi2R3CxJf6ofO1aNdj9f95hjEJBQTjUMSrGEbxHV3jSd05AiAhm3dCKA0
/rhl2vawwGwyGOkgQp2L6ZOfakbyrRwSYxVNnMmLKAusobZPvfDkUT08d4Y41870hNQBxfmM+wNR
KIgsQ90vdHJnyCJ8pCwgMYmYqicFp2WGV6TNUJSdftqmTZtfo47Up6K2uEUA/F0R4ujcd5F16lrX
Pcc2edMlMFBLRRTMRMFxcfvCzYr3dLvTHGBzMjpF6p0F86pchYxFhHC5tM1yUSG5DKKjiEymOij/
9lAI02sdeP2Jlm31IkEqsLqNH1AzmpuyTCci0SZthbJ0eqmGREmi8vkonCzdyhY3my3xMhejsbHn
j4Ndz4SuWK+NI5/y2h43rNGx1qTdOZ4FOdNEta194AUrv0iddRdob71FwkEKSA9dr8HCD+JrS1do
VXwbzfqdW0HQoTguVwXBnHGHmTMvgi9a1z2whJFJUHMxKK4a5ucGHIm8axOKj3jKi/WAMBDDbuRv
hqECiBB3O6sWd1FJGKYcS7EtDflOIHMzKQHtcSSn69o2uo3DlfpAKeWl9EfnnMqbYeskKKSvRgtP
QCuFQUObSArCmdd267zYEEpXedmQ/NGKB98dLkTFY5xNsnRFaAcwJnHzuVatCgFP0uayMVws4ckV
oejM08LpfXc14WgUVXqXOdY2c+nEJdNXI498ejfAIkOs8oHeusepC8CqVgHxjvJjJAFXVLoM12Mr
6c2m+sk0Q1I7jeQ60u05BkWCnCZaQ/IlKTjT6xXAQKfo+w3EiRKaMzifgX5OPNhIRNuYG32yMUk+
OEz1p4Yo+cGb6QyKqdpMdka7MNXfyjl9iubMwIcAHMocqY04JTTB5toqBzyAt5s9qu45SVpmgAi0
DsuGAoAJKDUnbCXFtLVKmd2tM+40q5Kax0pXnwXZU2VT1rs2MRC8a6UNolcN0otKcjpr72jVW2fG
tWAkRBERa5ttG6e8jGS4TToahLR3Pg6l/eh6xnut48PEOLGDuXLBF4X9TK9PiPumbWv5/0PSeSzH
jWRR9IsQASRMAlu4siSL3mwQpCTCe4+vn4OejaJHEy22qoDMZ+4995Yu4k1MzglOBnaIamK8r45k
CKWLa7CoDRulJW7J3nXigCnqYDSGv92QfuNTxXCmda9ZOj/Yi3xx8vF51sgjNZz2eVEw92MSm8W3
ZQLtr2TqUd9z4G/maVmU1DNwJHtg3k4ZMWVHfcCUNi9HNkKz2+H0c2Vuf0jGKajmfwdiN6itYTkv
z5Bu2WHNp2aZn+a2/dqQ1FZZ9pisxDxR3F27wbjiZeJ4UC750Owx71c4ZIQmR8ozHmD03/LbbOa/
YhNvgIFciJH/liH+V/HEoI7CGqSR1eeI5DhGcTDToCADhaeVwf4HuwXBQtuMoOvqF6vmxEpslHsi
UrOLWvcLHgf9NUG9eXawzgSoEFCEYmoFrdvvEw6UwMXYuCrQdpy6D0WTghLkVFBXbJ9KqYIrtcbJ
m4f6OV9/ZKXhySywx3MX8QKvSXtYjJ2bAEBhNufAysjN7ZYIaW2PoKWoelSM7Q9rmsgDy/lbK8m+
0j+TtfLCjEJ1VQW3XYLg25tB2rjcRWgj2Ryv+rejFWigkHhCZ4TgU8W/82Kx1imTwaPU37I59pGM
aV6SM6Hpik9cXZwsSfJuq8WjzCZcAWpu7FAdzY+dxylxvvPIAQHWy87TsTStBHurpEp49cZCPkvt
j22znrd0hORVZ361Gl8zJv+JFJ0RByUjLe27gbYBitF4UVRDXMUiBTh4sk9bufpJb4Irh+wBaZcE
lt3WqRvdLWd0z6OZ6oGRG8/YT7CVpCzAYLeQbLF7NDtnSMGfGJ+TIT6MimCqLUv5opB+ZhXoXdTI
Jjbx/lg0YrzjREBMVIR6x340x4eF8PJYVHBTkJx6stOZ0HfjU6T1INjW1J2UmnQF69WcIWDUlvkv
15t/nX4rcl7AZSHjKr6AdfjbSFkySlBsV67E5WDu0ctBc8XYjo9qv8YISyw1wNjAoYFoMl8kp/60
p6MZDOPSdMQwoR1UpoHwURWcwHo/hwqGU6wILQdCuR7xBjwWC6mrRTJWPmmGPlPkmii0yF+XPRld
bcWlnDDaCjBLrINVdx+EAtECZ8l6gniWDKEOfBTS9FyVTDtnuqt7uT0DmkKkSyL7orTNl2OQu6JF
JlGVYDr5JlJXqhoybAwgTHZn+2TNFKSyOijkh7sNcQaeYVG4Yt/7GnUoFrRNlgnmA28Wsk5jONgQ
73xnR20qM0yvmUEbMdcYKMsIeWuqFrRNWEnzKYHEsQLuycs3uDlOGHX2o5KYJu6X1Qi3ZO7DVSvU
o2LuevTpDxZ/cbXX1rzh5ybA0jrxEh1TZ9bdnkzsi5MCV+lrIs93fZJN0XaujfkzIvjT6/lbe7HZ
LGFdZjYedEQDRE+T1dWz8VQnXG5moQVABLCkEJlBMG8VFLIiED7O79XVDhtb9t6o1g9TF5ZZcQbt
SNUwheNEiLymd7+DmF7yQbmPJTcLVf6/pJj/2fkweFwulsfOAh5deW7IHwLV1OH77hkCUAyHGoic
I76hUFq81d1S5gejV1Z3E99dNERX4q5XR/3nDMavZRuPpKn8ihRvvWJJ02314drJRrsScc68aFsj
P1uULbCXziK4QVysrqwpyMZHVs2n1kQfN6PyvC8ZfHm2uoAlNvc0A1IRJMXqLEowKxtQvWSkBasY
KC+WopE8wl8zAXNid01zAEpkwzpH7w4jVyAgLQ8juQTM2TVEL5x4WhzLIAY/Yjkr6VGpcyB7pnen
XGe3KpDxj8RT8ZRlTdgUVWBkxjcU0c5P6uQ7oh52i7Q/Gv3onAcHZXHDcDjJSNQi8FM5DJmYEWLO
j5PskRd3wiuZfh2tgVH2SLvXeFkuOM2XzA7Z8NY0UfKFRxFOle3BmyB0Z1M4cnITQ29XHnmoo6OW
DA9VlA+81GONeXNmSw36WA3//5txGQuw+RmnOmBHh/ID4lFIoGbv91u5EA2l9wcRKc5DaxDKuAfc
IeBgn4NeHph6f4UM40Z2V561zJEeiXFcAmJ+n+JZu7U62g4bS3ZrGu9NmREyIBhbxtrYvSs0Mg+A
y46J1Y+8/LN2NrZhvXNW9bSMcX1HDRtfREJKQNZ3D4UtGq8U/Q+bGuAv1RCSrZAHdpT8ZAWZ1Uu2
oqFM34a1uqyw3uxF7T5h4v2pi1IC4OdLZ/yFpkw4YZVjv1mTE3ZVBh59kzxaERYkVXszSQW5IjHp
Maf8aup7LtKgYzDrW6S82NMao7+zvst8PWyw+E7DAA2lTtTR7xAaj624T5kluWNK1IkJI3R38KEf
NWP2LUw4mUKpB3X/Wf3qOL4CNUNHT82Wd8AIGdgm8FQaN0ZghSBHL+fytWR5iqlaLqgUSSk1gV1i
XAzqUdRuNWQ+fSuSTiEIo0zFg17Gd4kQ6T+EFi4F1Yo1hkA4nRmvG5lEe4LJ5bLRlwKPyty/9EDD
QNZCxcD2nGZOeTGr5WiuxnxQKrU4DLRenjXKOaAkvhuiBDy2TKor4YK6C6qUkgx/YZbQtBVRU1+M
srfpb+2JGCkCgumMaFjhvp9tLLFtSQS31i6s2Rx4OWSdYZusAkvi7DCd0a/MSWLdyuWDQWp7RIxM
kJL0jV74dWxwxxPDyTkawX+cEp21jiafe9Yf3xIwCfXCqJ+BI711okhCVGLfAqrwAbMdroqh1Q6d
Lv8a/TaQ8MRXaVam+qBh0xNm2T8Tk94/6yurwpX0odN//7PW9BgIyfwpqZqaQZp7aU/9ttiP9HCh
XJXvlGUm6j/jI2cYtESMbMnjxaDo5o0l7m2L1RCWHn3S7+w9jERTZ5S1m+x82j9TxZiHt9kEvV3o
PsDv2VOECqStHEh91gK8CNVzLdbtbpasxxgds6Do7ssoJ7mwnU9W53QYU9DpgkUSVwD3ciRLD2yC
zeQV2foQGPGSvFUTpM3JVq5FSjCZjW3Q4nt0JXJA0vWUj6QgEpT9L2YDvalQYVmebrGgqTtwjSQh
lnR9w+YbFZxgp5XPib40vtC17GwbKoffwGaSuC0MY3RVwIEA16b3hgGHQ51agwMQoiMzV/uiturC
B4qwt2a5fsBP+DGa1vi0dSo1w8zCMM7Tg7IgAQXduD1M+dzc21ThLPUeq6YiHGyc6R4dmNW2CgKn
qxbkhDPYeK7z5LYsS3LT4v7DmWoZiAYMNOuwQNOX6VMm6y2lMeYY7uRZU4Sn8CKEqiR9BQDwOL8N
Y2PvfDXArcUX1qPaNdtI3pttrpxKVQ3WmesjG8ihZyGt8h5Yf7I6toIRdutL0ne9O5LziZAvIwhC
5my/1be+toD8aBBeh52oiXyfBdfZXPrCW+HB4cTBEqDfyY1c3UonlhEy+GWbQYsoIywzPeGyAkT8
7MQ4NEsLO9RWw67MCxY19pdgKe5I7dyzQyn5UZ6qMutqYgVghdZtYYqxu91tQ6Mm5hNvMqfqyjDW
SOHy19FDl0K873DNuUucnwYTmVBlK00Y1a85qktszexqFva9T6pjnirMHwDZ67tUVZF0LdUaLMNE
bs0ogmQzof5YeXbfk40WGlCLqUiJoNnq+81Zw1yTP1MMIccm3shflXDZWFvb8/gbw0VEyjFFOGBQ
GQ+LU97rNj6rTjfSA5g8zQdzhTydOcO84SXlaSWjGFe9RQfvLXWyXDe5ew36/qvGTUIeXLcn5dbo
79YOg5NGNrmJX09FD2btK7g0yx9bpYthRWFNFZvlmvbRIX8QQOXPGsmztU5fSkWSiKrY90Ts1A+j
oQbggSSkIM0dVmUO95wid3Ajp7IfGihfB6nTLpf5t9PwiLaoPoIRADyJIUxRTZqhbv+Ohb2Sn5E5
l7IaEbFGRGH2shoCgKCsO+/jrnaCrTB4tqxJP6cD6u5V2n1IIus7N1/mTj2XEkEswAHpDKdc+Wtm
SeflOMt9C9+2XK1XCQpTl5N4qDjELduJDwlKZw/F1xEvHHEv+yRxcpLlYWDUzSbKS0GThANu1Kgn
q1Ot8/eteKgZfPuzxWIBD825x+zjl4lzIm5K/MaOCEvidNLJANKoriEOSt9ZDP0GuDYs80Dd+DNd
symRkqCWUImYeq6tiTqMOPK5pcTqEMm7mCvzUKvga1JHNn6dx7e55NmJlqZ4AWLaP+obex0ZMTth
leRu6WrfW2akelnTlX6i7oAPpCJ/awZNW8FRtbK4uyJqqH3bXCHgjXpxbQjSCqYq04IsYZ1Pcsmh
ZBx54lD8EzXxRyJUegYuLT8XVu032mqwcWNJZ7Xmt4ZHU5sFeT2YLENprn2AoCnxS01SjJG/5zgt
Xzr9YSHSv/ZsoNyBaI444pWp0gYxn3XAYho3Q1rUfaLa+1NLC//7pS6FBvimmy5rOhOgUmT4yrBn
hGz47vTK0ELZJv8sXh0GP0l1lM4QLGppU4kunwX6eWFDKaiZj+KV0dZbVs+hSTsQzctINAwOiplL
OBt59Ox+n5KlxPOY0fgj4ZaGirWk3th3FmUnYqM4qSevJQMJxkJ2SBtneDTnYibNjBKN/EHV4eB1
LeRVN6VUvtpYH856g/zBqpZz/4doM3mJKe6CpES9okepfayd6gp8qGMPqOcUA4QY/PdLFYN+qdfx
q5UO6yoaXJfF+Ai6nLEDs4xTy7+4GcVAd4T+aCXv78YV8l+5m59SpxgV2osJLfDIzqdbBtK+C2U+
sElRHnBL6oE9SuSQd3x7SHHlaHITN8at1qvfSTYvRlmaH8AD19nsHi38f3hDIpWZoNYGCz6bQM1i
DWSNlV9prKjBrA0vF5+Bjh2WXcry2QxNoPd1FerKeMtiW0EnFBPwgR1425iNzDh1/0sqJQ3SCv8c
mOb8pjK/tEBVLmYEX4yB7YszAAvC9toSztGIZ+0rNdGI17X6usIBf9Mr7cCtND+JbfhSO1lcHVg6
7p6ymdeJ42cbYWKYwgE0b81XBk18sywQu/svLG06cpWnHIZTRtorJVfQrZuFuYFZGOaTgzJOVlBu
h6ppSwbS6lfHAMmvyiHz4B1xwO7tQJXXyCcw7+QFq11j/xaVKTknNfy0QtUHX4+315hvANqApV2t
ulNAGGFupgCLvayFPU6VAF6UXQKgCFVS6OCrnyPt2ZxYo0686f68c9H+S836759G9qdh6Sg/hmys
PTkjrTewW9G0Z/1xsEYkFHo9BuBtpFIuKYwE+GWTGPs1GZJ9ygYiShYhvU/6Zq9RE0BaIuEEtDgF
imk+YUK75qTlnRV7+6dLS4RAFw95KeKr2rI1NpT0FYVuEqqZRiywHdgWU9JImPofw7K9UemfdD5p
hITOQ8I7dciGd2cZhZ9mKy1KTD+ZaUxYR7QDtG4ZAoIc+6g6Zw8KFwCRt8r9oK6TO12mudY/VjM9
QWymKAAJd2CxbL1Ucbwi5HEgda/weMg48jJZtV61oOc2ugq5RZd5kvgL1kQs72R+1eoJxgeJuXiY
Y7hsUBVqmyjWYule4mhR3bF1jjhVWFsPMFKRY13h/C4XQyVgGjQ315a9El4ofLaWJHCNS+mpvVKH
9lifrCQDYFgDyxqr9aRNyedaW+WRQFH1zom1t4kyOmwkhD9lNnc7P88kSilP3ZPYDPFeknn3TGJy
XkatR2DWN4ZX/qEt++Myy39F2eiUbRaDKptQpFk5VvX8RpZycZ5SfvRc1i1QkQLGnuxP2UORbfOj
Oakd32PK9DAlMqG4yKLnHjMa6UbEjfksNZVTx1vnzlb9x0LjwzNNLcaHafqmOtQ8fTjT5WTcTX8c
GmuWUWckS1WgNwxmBpu/7ojN23cYhCERw5+Kg5cQz9xpDuhwOQCyBlRncjabAXPPubLBym4WOQEC
Jz6eCCRcZzMflwP2/3xoq3sGsy7n4UOG+Qk6+podCXNDnF09ViMeCdWQdWBn8KVEsjBq0J2a8e8E
5JrkxPu0zW/xWsShVFO+V4evTjTFwWy2XeEYxfsAI2Q3/c11dS4rluBkMXWuRWLdtk7ZYSmTX7Ph
bjIp+JNeBc1ryH/ES+UP6qvFMe+uLZdslTA+Gdivu6aGHDKrj2t2iCfywiObadGyK+8xdQcwnYaj
BhExTe2r0bV3lYGpeY7Ptk7yXd94cd51l97AP7mhT9x2kgMnNN1IlQ+Ez2vqCx/Rodo40uIk3q7T
Ul6NCtmXpZXf9R5Gzvh7xiOjXYTKGd2pc8xSbf5d+mg6DenW3WcKpKepW+7UpIfkNRkMBSLwprVJ
hV+wV4d7beRMIHEiF/MSoHhzwqFys6koghHNtKfkGSJdc/KBABO0GidPzVabISllt2owiDRg7yeI
yvU6zWi4MCa+FS33YLcnGLRirqQymkKLvX0xQfQck9eRZeoUs3TMFvYzVoLprSnkkx3V9H32/Fb0
zJlYzvRPTc0JbOosoggJu7OH4jPdVCMQth00a5UTQscn248Z9MH4por3HN/dKVU6Kn7Ec6UzP5Ug
39yslrG/6ireoURiN8uhaNTVwNe2z6EHEHVa3QXFpDQBCsTpfdGWb3JIakZqM8nafEEK75PbZfxA
tHNYi0mxcfZ8D4MBrclFttT2Mc7UWyTVBZZ1mQGL1TtvmPvnMcveLLXkbdOH6dAYseuYMWDSiB3M
5ExvcTR9mBSyPs1vz4A1R+ic4yyrRiec1nsNFSpVIRmik7IR0cGubpG/cz+Qv6zNrV9ZC+jd1gJC
NFlvxKC/K/MMw58lWsP14Efk1psGwPGGjQQpdDbk8fo901/jFjBwlrd0tQvCrcw6FKUR3+el3Gdy
MeOcNpgbg52YOdO3Gh0KR4i6j4WihzTraYAhhHT5geI6VtaQGguKoxKvLmv8jEEqOqv/fuFFNe+S
2v6nL0MZFubcnTt5Ml3Rd/n9gEW1lji4KIk0dD7Gm+zrIagKE9hbHh+iuH1AMKafUZMMp1ywbNuN
mXU2vEZWlt03Qwdqs7lvEvtoq5MISGC9KzJkMfSEoK841PpPp7KCpm+TwybQ+TjrEFh5MxwccI4e
NSwnB5dQKpiN1udUMX/TFgt2vwPERN3/HW2g1K2YGKixxY2znOMuQxrWk6qDqncsEcWBBuC0XReA
WO0K9AvfpFe0Oci+jFxbdsy5Vm8Qlwr4TYJZcpJtVLBxeYc1/n2KWCMRz8IwLUnBu5q2l1J29PWj
5SinXHY9B5P42hxjCuQ637VDRTsEEQr2RzrdSZZb6ahB4SG2t2wp2hROhnCK42cTo0zYZZuCoGo+
dGBJGLKJCKaw5prVh1YI48HW66c6q+8jNsdxNv5dCIjB14HkvCAkpSMKLlejn03jW0GV+rVyybqU
DP9MUiZqu9Qf6DZCgrLLIHPaau84DsTZ3FRs9lg8K/bPcpeBQBnYBSYBiEwFiGXl0eL3R9lj6B5A
hhH+zoqk4lmV3OlBClEA+fTsaqXQL8mz0kMPT7MwqhTFPxVRmRx5G8iLWyg7stJeb7CxzmM/p9ys
ZR+wUYIfvaYKfS6u9nwgrG2UQ82fVz8vZgzXL2PN3qiPzIXTQz+QIEUPgV5mA3rYQr4BE0QIQzr7
2CCyY5OLw9rQj7GJWyjwFKypskiARNeCUb2kJjfj86TrRTANjAtizpXOIu+l2o19RQ5pjZeV/IfV
YoaJmpoEjNMcqSzejLY+s4F72mz1kcR3LoVtYRU3JBznCAqCkaCLlDnlK5qVBzND549lRMVtXH4K
Ckpv0rDbdWaYCw33vhlQRjS+WjLNNBML14WylkwJ+kuuTmrABXJZ4tg5iUylKIiUJwOl+Jn2vA9m
E8TxqKcPCdlXvr2AfOoSrKOiQQaj7uvFuM7eNW1ofUOyDBj2/7qhPNkO/1dhJCQSQdMbhL5xUsXf
mLIxU2gqO1hImah86r8lm3ivlz3FmA0Fo6UBSXNl9gCUqVcbPZe3aaPGxx87HC70gZ10zPsS92I2
Y9dnj3QqayZI1bKzFlhjOVa7R0Xu81pn0sKixrDB1AXH+lePMIu9GWzRKkk+ZJTfLFt7nhRUpCL6
Ui1AJZE2af7cJvpLU20eldEcbnuPX6akMSER+qOoiXYYZva/ogOCpV/56JpbSlWOPi3T7vKU/hm1
ieos3Tkuav1ZbpV61HkOOWlHfyviAbk2MSDlun1Y+ky1xIQq6zkGK+qnnrmLh6TVp8SVPrf0AZgP
samEZrHvWr2tuQnogwjmmVMO4JCF+LRaSIOG0pWBUhEia5o1s965+B6sAfSlU/1RqJLVKCGpJQVE
Cx+dkQhlseRt8rGw3NIE7ZuT9x/LSpETD3H3ajl89EO3JNwzGhp8CQJiIaZe1ar6GcKxgu5w8EWb
O5jTZXyTaRds+PQPfW8AmkZiUMqyCRbGjItmN14kANhGVUTHU32BKJ4xwduMug0jO8aieu3kDMzI
YVGAmeCMaB5B5HDalCYKhJo9WfZP0wvNN1I2osVXt64Iq62ZwpHfRYSS2HTtXDuDXE7ZLN94JGxG
/gk41hbtwYic6qg4KzrBusfnmYrfTdSg7yOGKoL6NqzbnSnaIkPU4iZUEYGH62J/VEXHurk4WGvE
EJbRelZY/UHODct6+Hp9ddM8HKvPeA6A7I9JGpYEkviKCYYkMz42a+ErQmDuLsYLGTWxZ63mVXCS
YNBgw79VJ9FmCLwXSBzAfhGJsKD2uB1S0si2Wwb1xElVCp8Otfp/YCbE4odxKt+0WL5SjsYkDlGd
56vxG1fMyAsx7W4Yf9NXwmq2mtc0E98bi/Bwcza2Ok1+mJICRkZl3ulbY4bY3yo/SrtXJtSKO05N
6y12rh+lnT0vTm76aQSQidIoAYG3ZfdJ0l10VX80zb56GJX5tm31Vw0IzU0LxjHlcp4HCGgkoRFM
FUm0jwxQD8NF683nBOfSGbOPOETgeZDQseJxkgGIJnRztwZsFGgDFfWaxfhUm3CyMO8wJ6rPzP8e
NcpkzemRG4+sygsOdO5otJxbtgNJsVf1DCeviJVOwNjso0hm5YItMPNMU+99BEzmhRGJdSlgAxsG
Qb2OmQfQVICC1bDqBwCfpDq/wvSbXxqbyykmCYGZxIVIOBU/l/G+p84w+DfvSQWlxtQc0Ff/qpHm
ZzWD1IQIWUqIqcukP9jurFrPWSoN5nrdfGg77UVjjBpOA61VxcrT7vTHRSHEDw0RJFgMuN6sV/3+
ij0aw6JdYQR65kQ+Qt+tCHastL6ZkDqA4j1Wie4b6Fu8JsPQodVnyj4KHPCApW44YTqq+GkAWt13
QxlIwayJZFz92n6YGkKBdGd8YL/6M+eqCK0RXC5K6iQ0FOWn0/hDupoZAZz4LcCED0OIuUfFElYR
5I+pJkbten0Dr8hpzIjEs7XuiLNsfGywD9EOwTiII8bSEZeHMpnc31ZU8wlhEupsC9DWyh0M/sJN
qxSIajK6hRG/rl3MJM2O/5bDqc/+CJUNiJ1V39VYkP8y092tVD1GZH/kifmJmx6rlA3aJxnfFiVn
urfSooBm8BwHWy4kXMdrJNuMGapCOfSHIeH1K5F9XAeAv5ndxn7SclyOLdlB9cxmxEpuwCRYa2vZ
j4C9co1KMP2MP++jcf5Z1qXgdpEB9Os/VmrKg4bg1d0GJ/FrC/T4RoSCtA90UXeEnt1MdNZ1EzOv
cCLzDDGm5nABupXyfbR1oGRAjslRdKnBJ0/oA3nLJiVY156LiqAKW4pvJ1sCqePeoTYqFf1lXmd6
E4ZgblluFErLi65uuFiqyOHxti+jUT2hInwnzYWcGEvV4Gotg/+9Lh3zatV5QeyPzrsDbk6HE9yG
FpIti14XGQACnEYnZXFEgt1ezbYkATEZ4PB2t4nN5y4GvKGefFAX3IZiHH7VpQhIvrLL2ia3jYYE
2cH8G01vQgg1mLdL3Y5fSoJUdzTS8wz/gfqSt8OEiK1l0XFq6neLmQWhJHx26IrxB6oVHE8sKezL
rX95TR+/cXlp7Oaz9czCqwnwG53BeRUsqVjzskU8VK0MKHSuDc98iPXtTa5ruBTzuQLdu/Lhom7R
j92EgVzMaG362jnHuhYsG0iMYmkCAk77IEv5VGP+ztZeNlc/OBNujZm9Wln3FzRX6y8CHd+cBguC
zSY6GEt6YN8mjsSMnVaDdULzmMvprxjh3pfsokT8hTT2oV1XFFzkDCBaH1oUuMhvys58SzgFdCdj
n6P173JiwlGwdLFsolgRPrC2waaI1wYCsdAjZJlMddfW3pOTBsI0FvlMkAWJIWxe/LJGMzRvNIuj
dlbKn0HvICSayg/dLYPygXBY0ncvCA8Ycu0bFN2eoEQ/5Wxu/T4abtJWnvdvZEs2edn06Xn4HWFt
hjTqjC9WNLnEhNNWkwWVUT6afaodcjOHv73B70gpuqqZ7ymqHiUpZ3zKmIjyjcVbtKDhh19/V5tP
rCSX4NPaJqTtbU1OSOG4zfSHATszh9Wsj+V6gAgShXgO7me7EawN00u0MlUxcxF0eH+4yjB1ONOE
xnfyY20loJqEEZ9t1K9u9adh3FKXkfWVgTZKFMnqhN3hHbkEvOTm3TTHb/VGwe8wxFjm99KEJlvE
RiCNBOLghJ5BY2fQLmzDdePeZpMTm8Nh6JVT1XMh61myBC25WF6TJ780fkxE0NC4tg5Obe2yb7Uq
n8dBM17ZpzRudNIV0Gr4Jm/w8eqwcNqO2yYlRHNoPtfs4lL484UuYkMxl5OAmsoHu0ValrA01k3y
FxzH/KvLjtps2YOxNsiPrBPYQiPm9jV88LAa0ue6lsRPGwsXAs8oLeZPozORGh3SwVtBlgxFSYd7
eOSoNhrb8JNkw2yXGRoPagKt3EICrI8QBo16Gg/ZlNyhAayOiJjD0gI9mUqMT/FzFW320WIxG4La
ZDLDA7xOKA5aRGLjnl9Trstf2r/56GTMYHOSvTaLkqvVaTwgV3OG6fObTmyYl3baemwVXnmILF46
xvpDXaaf1WivxJMlxYnnRKM5rDqvLmumuOWdDjqUpdZou7EKFWdcNb81HPtB1ZfnweQ/F9XtFz7Y
k6wpACZ7DFiKRXdCbWI3jTmGRcmwL7MQkCxjxGKCCb+LcqjF2Jke2J6+MmX91HXFOdf09GqJGC5G
NCF6mbqD6InP4XlrGThjSkwMX+rirY8ixv6KgY6zGn8BU6TnboBUuWFVOVIL2emlVhXz0Ffz37SN
BPIF55SUA+IedQhkbvCodi8rhzIRdSNiYJT1ee4I3yxNahtpn5j3Gh6ZcvE5Wh8XVnLXKo0/7W0q
3W1u0huWSvqr+gQ7gS2go2TIZobCVa2YDKs4dAjrOKHD/GIY5zmFwfQhJ2mrEOQL9DkfEYE0bhur
J2xk/L1Bt9qMJp47lRugwt+HGvuJIQ/KtnzYwthSXqlD3SRhOKosE0pMVfm0TDTStk2awpLekS+X
XUVtvQgLFYPFiJa3o79Yaow5r9R3+Y+3oT65K7btr176ptR251Fl3RXFu+iWb2Ut9K8ktiVjC8kq
uNI03xqV2lNIxnExBWKd7e9mjbGWJfuDSve/+2r6sF1lOBP4hWCn74KOnbG7ZPkr2Qsjqhp577Ai
u5/U+LzqyN+h4T5DVntLnEEclLlszxC8weXuPi06Iwyqy6ddfLV8Eh9tBHgmkR0O7o4A7bYBzlQ8
5LFVhmlB109xmUIeXowHowvSuRUeQF/nMJdWAnCIRMZiGKHoKU0aVFI7mfBPfF2jehnICi5NgiU3
FA4kNihM2iHSKkur+PbIqNBI45r4B4oqqqWzgHAeLPFwGngzn5Az4N2BtL6MI5BbkymDZY4u6QE6
/SPmvomJQGvNXZgv6zGe6Ak0B4Oh6H90gl7VHPpwDlTGTbYu5poCHQOxLMzs7A0Fx/7hQag1VREf
Wqi9Xp7k8xUV6lOJMewyZNrR2NBo6onzOOxWPoob6dL7qafS0H6MBpw943wCl3Y7sZFqdzUrPwWx
OTnvBF9CYMGqfxia3LwjkOhlHhm+pfl8AxrY3gPG9bYcSC61xh/ihkmyJpQ54CM0MD8gKBZLbB7h
EtqM/GPIFu1friHsqIVkLZukrZfCCfFm07FYgiBftxsyKyuWBwvpDLrNByqwR3TOSqms6TKQGr/v
RAqPNWr7pdjmS0figW0xaMp57SPVySA4CGI+IuZ1+z4Nw8K7plv/DNuKKTdAr7e4zEeZ6UGPBpaJ
JaXGdh83pqAfZrMjqv6obaQzNaMWh8PW/upx96UTQ828ZvtO1Wz1o/3pcSSjdDHFnwxZlLOlWIpf
G2hWbZztvmEzXu5szi4g3PdRx/zPrKtgbKRxN36VjtGfmTfjgY6blodykgcsZYnXG/TDaRfVpwXz
VGCxEq9iSRPOv3BgwPFYQGAOzMU4y9p5d7B+pmmJjDJpL2spJ5ZcM5ui9cFhscL0n5AGZyAYWs1o
hEv7cwLrdDXsQ6Xma7gPcjry947OEyqxiIxfZdpVh1UQIz28TzFAZDk/2l4Ybec7uR67t99kyTEp
HHapseWE5QKyq1YnN27V6UxIIC5cRxvd/3F0HsvNI2kWfSJEwJstYeidJMptEDK/4JHw7unroBYT
MdUz3U2RQOZn7j0XvIHfqYsBNaglvhxL76gZnS8RNM0cRRDBgKEWjAZaMUP2K2M+UFnzTPQFxcUk
HRuN5txpQj9Dde9pa/YsURu0qFCDh5G9jxyZ+m2J1F1Yf2ZTrt/hjz3lSKA9NOjke2VenBnPeRh/
yh1D39as9no0UqFVysGW9R/YQb8OqPZlcuyN8Y0ywGaKqC1bu8vcCNHkPizn51m31/N9P8/km/a1
RiQc2rSJCdqYkumYMgTYLRoCHeH0pAsbBEmsSdE4oTx1IhmzXqxbX9Um82rSecr873/lpz6p5ZmJ
+i9PgOVqdd7xHxfPNJpoEuEmf1mmIEynYe6Bepmkl4QtgU7GtMRTp9PjYtOnW07D8wJYoHTQKVJ3
TGctk7fIXx+66OBPg+XemPL0KzkjKyhJSdwolx9Tw7s0gGTfiCz1ooitcHZgFjehSobBYlfNvlAX
yzdz6T03dP1ApYuBuuYmkonFcSt1NFi612TJ5dIvkFsJz4/Wo7m20JQRAYhQexg2oKn4IRQGnmbJ
orXfZYO8a/IBsabe/8K9AdCdWK8LEhdjiCe3lrQnhLnMVNnYEd3IvwJl5aEqxq6NunojWAr57cDU
vsHq7+FNmUhIoLbXY9SgDJto/V7w98mcdKnpK0Ia30wrvjr/S39j1ukGrRZmozTQsuy1zdIXhHnI
cwRJrDb7dGINsZxMOTmLeayAb1mjcoX9QzWNoHapaPCKlhcJmjDNcX5LpSQ92sl3yYjPK1FlenVU
qmcU/Gxo032o1j8pupkrw4+egSdNu4VkoFeyaWOphbjwEFNrwb5PmeTwXdSNq7C4RRScgFMJm7dG
kJ+SjIY7K0qIzgSNnFpHOi14KwIZ2QbhJV/s/2R30UvsKMvE8KdncBdHqNwmW/5iiwXUctUTFb08
76pIPzcCg0fV+VWOAhAS9LC1Jipnu8CVXD6YP+inqAJzO0p572ZFdcWKDgSxbh8Y1rWtKdWRbyz1
C8eLvulpQL3S+rBVVqoxzcJO0a/opcIL0p5FTKD6VSouB++qvtjEhxGh5EU8Sq42rcSUZN93nkHN
ROOHPBd08iFpcvJuxOSTL7p4IYt2RsCw+HUAanWrHRVshRssTRCvhX7spdJnIRruWkAh/ez4FH3g
lw0xe8hpEGtr4WvJFnk3WqVL+gyJo7K18C5kWdBn1WkU9AEY8VNs0Ft874w92NQzQIIKkOXCNyWA
+HZIweUAwUf5cogaHAdRUvybxhST7kxeip6U58XIPwlCKLZOXI0HlQXSvCZOr9HTfbcgfLxVJOOc
ZctCjKnaOz2MCPoysHyRa3oblHjZT6L6YGU0M979m2LUyCAYkYDgG5/oTtyhFds5SRrCr1xI6MZR
7u+A2cebg7MAOjWMNCsNS4IqMUknQ4vQGcXgAk93MZkBi4jJdl3v23Bh6K4kHYFcve5TxpOUp0+g
gVZ6OU0CI/GKDv3VHBfliNK1kKHptj1rbXZMCWkYqP/rLLIPjdCGaw3Hj0e7389ErLs5pdCtb8Y9
oc/GcQYXstHK18xWzCMFhRfnpbn7P6ORSO/ZT3pEmOkKjS8Bo7CxE1zxwx1qhHQoW00ijxipgylC
4WlraEuzpDXPHrOdsJldFf3ufiGUy1UhYQfTABMnZiR6ZBJ6m3Gx7KaZZAeix9tdW9mMLGJn2rUz
E7S1PfMHVkdu18sFsjyi7EPR/1GCL0fsqPIRl8l3pqRZ0CxIiTb5GiVuM4jy5KaRjuyb2GA7oCYg
4nyaXUX4y+T8JOFs0JgZlTt3i73VTKF4dK4lWp4FsFaKx1DRQ+PaJtbhCzN7th8wVZMAY541paq3
g4LPQmYa7FdFb6IR1qcrJkz8s3EY/dQWGUCce52dv0xFoT0lerNL1SR6m8tIPWUCz9T//xg2ir11
nEqwceD/atBqUlFlRE5x7CCzlsQ5rgYDOrU+HAnmO5BmKQ59bJ8lKUbxIOgLChFGBxFq3rAS8Rei
fqVY+4N/kQSdsdeIcg+qULxPCMeIX2u/iPVJPAaDXL6DOc/XmVS8jgHKQW1oW0hx6wKl2tZdJz8s
Np1usWiHkPw25jglvn6XiBMBF9doPaDhDCZnspQqCiiMbwSs5RaRmGBlI79PyHuLe9Mbhki+E6ld
XuU+BiyqSMepzl+yFVzb6TigeouzGhAteQvSGZOXRYd0XIa8e7Utlvms2kxWIGJEeARwtTjXxLOu
7RKE07lRDy099jyVDs1n4toEWTJgKKOLCq8wSj+7ummvsiDXtkvNR1a/JfbHDOa1sF8i5hILsxGr
pEIQGPBoFHXzHjXFabDsMyzDna4QdyA+oJjv5GFBrlMcqUe2EZLc2n4ZwxDJQ4LfzgHViZOqpR60
+DUJQGvYlKrjtiA+gag2NIWrxtrZYIx6VIgAlsn2zBhNiHroOHtlxXlRWPG1PdQAsuumNXxQw8oz
Nbi/2RFMb0o7b/q2c0ETv4bdEQSlpUZ7iSgKuUkOSn6Bbu11LFytGltkwcZi6rRjO+AoQCrAAOpU
4mETS+QV/EVqarp2/eYwAasBcCA0P9SIuCfSd8arlqJ3qi5j8m13ul+r0q4mfCZk/SmBtFLmD8lm
zETS60D1PRkzdj4RMD/ejfLCoLD5iA3exDmuyDF7KUyVBTF7iZ4WCvGcDEelh3dRNu2pImWW1gNb
xpdUm0/89p7RWf6gv8kwIeW6c3MSRoDq3VjYA7HrHoqE6lmP+Juv0muUqs999DCMcgsXyyf9PZS+
K6h7O6wHZfKmzu8ReB8rGpmP0kZI9As1u356Ko2Yh5o1oQC+3f0VWDVROYNBcOdmRFU1eeQNog4m
Omj6tuznvAbWgDEn9NoBfpcjPSwF9VZ2BnSQp1jx00+iwHGZV5uoQ9uw2C7tfYSmCu2xU/cbSVTB
wjgkt2kv+gO/sdsNALCJmkiJEwZJ47KBeAMcuBmQb0sE2HUaSoLyxjYHx/YFeW2Q4Y2nAprkD3xu
YF0plan0HOe5wj5RFUeFURp8CfZJjN5jdB9E3ZujX2tEQXq9gehbF0xBWMh2fiKuhV6cp+WTuGtU
iC7R01tgrq7M17iYgVRU+9Qi4IhZmBVSKmNMZQB2RmC5XQAyLEjQlzp30/YnZNTicA0P5XNOBEmH
LLBA7aeHWytrPlFw+LjKgngKH5U6bAdQXt24kUIaTt0MgJYtypfO6rliHpot/xJhHlWFPDDjzEZf
IguuZ+2nDphLm5j3ns8yj889GyA7Is6qWkd2bmaT1xyqvlaGpxgWGslEyMrEPjP1oIoPVXLEZbYz
Neqv6R3V+S6i+geeQa2j7QWSjcH8jurnTPnqjGXbFU9kO24y50Xt/rVG8qvxzJbpj4GRSa4OwN4M
WjSz+6rkozTm6ImaXc9XZT7T/HqgMNz8TADdXgCYgdi1UTCOsGFkt7BveOAIoC9rsAinhGcpMy2W
9+l2xNgWpb6Ex1R17n3bf+Qk/E0MCVhn7+ZxJlbxtct/UHxvcPjKLIST6ioX56ojywZ7Qayy1U8u
2QpEGHjRjc+2fCnQrAA7htR1zZtX8GE7VB8X2TjISFTD8maLaqvkM6uWcy0deEHcLDthgXAHdXKL
F510m2Vu/CERbpgrbmvu7Zw4sF25DkYnQML9+7oGj7KTxIYS9aZsnNtwyyYZyeshm7KDhRK+cLjv
WsZgfLYYs3SNxTIZkJh+IUNNku48IkEoxmBgpT0ssqtIJ9R/23JNBegRzzLrq9+IxnLzbYHMocRX
qfB77GxknynHooTRuFexrbe7FDB5Pf+s68Bu+Ki7/rXDgeSMs6cwF7V6D9/jTkIjjHjTw9AZsNz0
ungh/uUNL3KtdxuNmfnUE5GsDv7U00mVYD2afwnbCIehbORcSGDc2AII4Zh5snEkLGNTwdQjhg0L
2nlsLDLfjU3LzoLJAyNjzKCmn4+YORE+ZxfgJQervzYhL10en616T1Zhh5tWna9wefAq9BuFCnJI
/QYaktEcupxhIpnDolNd4SRBX7ARjmjH26AHoomrkgM+aAedsQXYi8wv/1EBuSbbADmWN1zvrHj4
vdsgl8khIO50A4C0RzpVhBAlAI4gWazH7qmMxT0B+8dN7Y4JSgIN+VV2JWKMb709UOa6Do6YSGsY
VdKUsFid83h/n+b0jpt5K9PcIEFAqN9APLtWCFsRk3gGeqXIYVKHETo0P0iUcTG/biK29ZCSNiK+
FwDsxyH0dWSmKdJslfoKwwT7hs5tkn/K9LKiJ1KwVizX2IAEJTC9tqH6s3yetIklU4WkNFd+5JD/
nvKtVtKgJHBKb3GNECTT1OxA8a2n4UQ7cQfqszE1iKacW2V8h2FAU+ItURjkhNMjAiH+YtXAML+Y
mdkLyN8sxnQFbooEFut39SZgDD8Lrd2TUxp0mbK3kY+MypuMS4akqCF6lqzUlZoKJ755duznIulw
a7fbp9Ucbs63puRu0KQHJAm2Ulwi9gZJ2MhVu6y6rENcGH6qx+dm3WqtMqt+3E1ofZDsjUD3RIIK
pCh2QEg2jOi3DcAuCOREuhbPUd4f6JHdVD0X2A5oifmJr9rNIA1gXd2nYBoCNhm04MZ94BifeKnn
9sDSti9aPFG5J6kClcpA3UqDRvhUTEQsW+g3WXpHrGVhhe7LbT3v85L9GOBY9v9MwF6i7tLXP2H7
o41vScP87mFN8jNitSCO2L3Qtndx6PUCM3w8f+uzwz+TMvFnDIjJeU3F0GClGl8asudlJI6C2Yf8
lPM36rypccs8/agu4lkxbuV4GFsmzkZxbLUrmrmVRuUX4a2p0rtdQmsPj/DG/UXoXhlXpyy0tpT2
hzLZVYb8npi/iam7nRvad7u9mAiSSstBvTbB+hxdW63JSuWtYcVCqiUfl2K/r3dax4CaSDMNQpx4
qN0RVeUusnNE9YzMYGzaP3p5Vsp+b0FfMfM8UPoSplJMHZBuQBk0+qWtsKAmKUTYzo943TIrvKkc
93FhXSCGfcQqdI7Mwb7y3efMoVeq6Yzo5lwwcMaKTshJkGXzvdVVYozI3ZgOzbQPmQxXGtqq8NLq
GULtP2nRXHZLx7x5V9t/OmifiPnmEEuIN95ztQwmbbzfCvxUQGEtNWMQvvp9cQiLi5EiL8ckOnON
t0+wxz1lsPaaEfmWzUAECQCnuj3G29nYyiqI/+S9bqibkB8wYOuurc5cY0IwN71FGecUerB1Owk9
5Eyz6SvEr6H1L/w6xYzYBKJrFO4xsRep7vM8/aw0eyXS9vQ/gTz/0Yofy17c1TqhB3G6oBxXU4nD
G6IfM15OI/yz5UfC5KlOtUOzvI/mS67/jiEiRQnYDtw7cG8Chqq13MvSvo9OuZlsyY9C6VeP6mOx
sFuVHmjUyS1lMlFov5KEsMsomP0gAh4ZqAFOeBBJUznYgXW2EViw6HO4I2diokjTlXHjmolyqmPp
bOr4xKdjbOmfBDaDCGFnPXGum/JJCBWn4biBCkM9TIlP3YXpL4ubq51Gx2nO3lFTUZ1C7NSp+XXr
RX+akSzOM/UOaD/kI1L6ylvhqXZ9EuihNLO5L3HE8DNH1s0kIVQ8x6L/rtvncMkYC4lnULjIQjXU
BYj1VCI1xvhk68uhNpstjkzDODVGvBfTvMf202lYIBaJd/9Eo7KdhbKTIBam1ybOg3xXyxkZ8MYJ
jqkfFRSEoR19J6l8tZgUsKLaAx/dNvp751ycuN1AMttYdPuCEsOpJO5AVjiDbQREP257/j+NbOd0
iPicetexoCS0yYujdTvdAriTfpZVKEVmMu72lbZchV6uxVtj3i1G61cqU+G1sJBa9u3i1STmPhXM
gJQgRIfBw6IREzdokDi/JVzQla6+5GX5DOrUl2n+Ch2HJY+7DNXIHECXqYdJ38vCQe/JZ0mzZGfN
O9uAiST1PpEOwPpe0mF4CYECrf2mDP21dYVsMi6HckLgQM80eQWB9nsCZa4M8ikCR28sr4OlBYa+
bDqE1V3+nq4ftbuBM2OtHEPvq4G9VZFr9A9Nxl7RWHS55nXpn1ZFiDJ8mZZ2NNbdYvQ5a3Sf/eRV
1t1Y8GrPeNXQOb+XRcpZPrs2E7zERARCu9SeK6y2YWoetISClGDv7pKDeczM2zBDqmW170hvFawM
7DUBx88ijo4ktqrdvLUsonScfC2wJqwGZVXsGbn7RDXtVOjBKefwLJ0XaXgep/IpyUL6DFDoSxno
4HLjut0Jawx6khNspthJ+NlgI7EKEudU1PMWvzXwjd8GCjCEHG8E693WyWFqQUeN2yVpAgX7j518
AKw8Rcz32mXfj6wV9VvbPjXNfcW/QBiW9JulXRYaJFQLORT2iTI5Nv10WkPGcAKx6K9l6WoKGOu2
X4Z0wACZshXYqrKIQoUtp8uro6O/6ZFk5WCNZVS6si5AEiGgSy17xwntT1QTlHEllTQpT+68kuLY
5SX8baqyL2ZlE/MOVJwNDIMCVY28MX0VirGNNMT48SMkn09SIIzc6dTdZpuab4OytaPybHVAWXHt
26eMUsWp7lhYx/6LezRdvQU4HvF2RuhQa045vs8OtU7U/2sqg0KJtWBsYvD8laUJYxcIUHp1hUF0
P/lRFpTNT4HeeSDsTMkqv63uyG/3trbuUFG1jSARNkCLNznUBIRZY3qgY/QdBrK9uCZdBawNBfzs
GQQ3JEbpRk1zU+Qd60qo9AdsLceam6xNioASByidyxbmnYIfvbKioTULIJTuzfCUrL5XebwgMQAa
YR+ovBIjhE6BJbsqvFb/MBkOy9JFwbEwRYKS0Lmx2WUlrAikWUdNko+DpVLkUacuT5Fy0CBOyWxy
yGTzGBMGXXxj8aZvmtZvwRqrseRZ/GWo11g0l0ET7kZowBHgyrl7ok1QaxOw135WzU0iz25TZS9q
dAMSkTVsWy4CTERofuLdQCYI6SKv3voJBchTL6KjyQaKVY9b1sfWxnqIqz7PgjrBC/EWah3NukUy
WRsUayGjA/KNyFpmPtMVXyBiPyf9aNLR5WW4U3H+WLW+GyPI3ow+K2F9LbR6Q1nuHPawloAixpxF
HATOqYpZGuydzrw5UNV43mInxljDizKX3N0XS/6rpGgnFYBC92hgykIJWocyiTPXNp+i9jkrcGKT
Qh1bATvItPhnSsBQfrL4Uzj7sRFXYCpeyMC/WRhQjUx5+uugcOj7lf0VKfIeuNCmAOqZt3gtPBF5
mdS7SrOu22yX4RTIpX3WnLpuZyUnhXJyACsoxITiFRgc+0woK7G5i1kSsJoKjKHxllYBMT9s694G
4+p85cn8sqhd0OO5q7KwP2flcNIlajDTaE4CiKc76gMQpV5+1ppfYxjSADLAIVThRmnjVPuOrAzB
UEHecEajvYBaIL8F8ka2jlmMQwJUgsAE55EZeg9+lnUxND2GM2EW7Y1q3A0dP7A5E4U92TFYxRa/
RK+lsletlqzCirMTPCum+6Qmt+gUYy3bTpH+nFV1sq+xRCcIMPw5LYhKz2x918bq89S04xXdZemj
5yKMlIGjluoRJyoaToQ8IzqODWlpst8WxS9chYGzvPhKasFkSGPEorFBI87qEiJXuEZ1erG19BIN
E3FuPRO6YrCZR2podEavggG66xGs7hfWTXqh2Z7jzG85f+CZsd1ru+oJisYrMik5ZCxiWOKvvSCO
6tqpf3qBjCfBda1Hc3yGgPVajpgXO7vuj1LK0Bi2614328BaaPusPLEfKVPKba8TQmOK1jNNegan
03xs5dcpMacdOBk868NQ7hKeHKN1MDc4b+wbnoYSqI+syA/G+a8ETiCFIg0CslYvEIl2xYti0o7z
c4vFxswwoX0rre67qkemb2EFJ9960CUQRE6EYsUI1E+SgYDvNpyIQzvHujxs1S7pr6ubgTRCXBiQ
1eEiEAQUdk/ZNAB7FsCDe5kzsRj1PwVR+gVovGaGsPE5+0NgEZ21zBcW+Uq6gI4dp3/ov/sD+sXY
LUOt304TBi0lV7Q7I+7vMG7unWlVPzkIZwhbe6NXiv2QU9sMacw+yYj9mTtc/AqAurvRobElS/Bm
A/MaFU0lb/ujMQAWbeeaT9WMTLnFuq4xCeozQcZvWm9O4n+KJbGYWrDTqvFS+RApnFH6p4S4Hkr+
UlC5yAHU4uAwfhUQEvVrakBNXqSS7jWF4NP0KUNatXTNJEq9r1ijeBl12nNrAPBKwsliiluRobld
wFr8iKx1dsog/UPqTX/KtoYY2fC9GlPuJLgzANfNd9mYuSAxcnE03E0j4tDREsYxiMlGVR7damG7
0Wbtvzh21sJn4FqZZr+SVcljxcP+Z06CzJb4DQknxmYESnJ5ttGyrc9FPTj6btEB1BWKQ5yRGT5G
CRaXEeUHOzZJFZVAVTOWUIzkFU24ddDx9PYJy+WlTn4s9V0hzY9amEtIas7KbE5bbcnVzYyMakDP
CZYaKGaT7XXBCJosagbygLk0w3zRnbG4zIp1zqv2QJA2px9+XFEpzA2hkG8GYo6os3SEul3WB2ml
LPjxuTen2FQYOWTE8pYY/1AijF38BQ6cA2saxUnt3gcI4qE2fudavbMTbr5ajbjZpSPaU1KRm/3C
UNFpraBftLNU11sNmIhm5Ie5X9AIQ1gzkcBqVy2uGZrei6z1sN4dRPIguvugqL2fIXqNhjxoLA1+
xXdjapAmFURNqa8g24IdYKlwDdR/BsDZRq2IwsNWSuuWXkr4Mm4sQBRyQe+wHfnU64HOwDeNnhnd
4JKeg4p7jaxE9Pdc2+KBcSRAQA4Kl4AZ1uKSXD4ZyZNInG/64wJMiSkL/Fjfk/5D+gNT1M9ynV7w
YDnpiK9mm6HTXirsC1+WfVUapKvOgYQHlhLFJir7NzPOtpCk8PXUnjW8Rcu8U1uQyeEP07SXLBS7
OrGOjUJwiD83tYuRKEjakK+WzRZM0CzDf2VqxySWt06bBQMhAaZzM7tuq6qPevnL1K8JvecIlqqi
iQyZH4cMrJV6djE8X5SPoqJ6uEiO7WvKq45pZgL3vn5NJXOWyn5tZYqy/txsDUyQ2lbuvzLmLtAY
GYOzb82IZcgGsrPS28KQQYvpLEAOpo0fc/gtmP9l7Q80BHJ0bqcJKRf9RULjlzTojrP2oOgvWQwI
BznVyNeN7Q6Hn/M0MLbJMraDiMT7ctpA2zxo6Ua1P61iW6Z70/Bzx03Cu9a8Tjaxq0Efr9jt39Je
9hUkMbJsaFbSU860SqJxSwo/omoooTfayXTLldPSX0GyuFFVutVYu7MGpL6/q7pxG7WH7ZAH9/L/
1NfawcpgFsOKuaHYXPUUdm+6Tvg04FMxMg1FB2LSeTpnxeIlUeha5rMtLmpRI4pYDnoH9SYrzyW4
+5mcOsAxEAee+13JiDGLSX0DJxprCKdLdV8j7qA1y8MRGxo7OF4DOT3TaNPyAIbnvWSIgoaMvKGY
VOjQcqtY2i8O6htkYLpm8bQjP5f2wDyus1h22GPYPBVeptOaUOIXP6n+RrQIvSCYsw7+SWCODhIJ
n5epN1p3yD5TdEq59oZbfqvRYrSIlDeNJLP60aCsAxllvjh0W8H2YpnxdRqMWSkDCpob5TQRyU6R
7Uf6qZ+ZaNjK05LZgTP2/yqa+BIxU44z4NDD7B2YJ0HhdCd2zRkCyenYFh8wFpYRRZJ9QHKBqW5V
6CGDJ44ZRWPpCoGgDvqn0zP8DvQcR2f1BaxmHR31T0p/Fag9xw44CfEuIwqvtPJsFndFfkb1ZBv4
C2LekcjTxW4Jb3FC2kPKg9wQqjiyK9qSuQLFlyHPRdj3xCQjAhcWkQIbvq0k2lJDW9NZkZi6LM8X
9gNPon6zqicVmSUQSlfSPhrwXo2G/QmBmR0iot5L5C8Cvmfz+5qyqQNURc48Y/fyN+UAnVoI0glv
FGJX+Uuiwsv7jovyU0Lv1OVcnMg3pwFnPssMByW7UC6m8lXnnwWviBxukRm5qiqIPlHcGsgHCSzS
yGc/9/lHrRiBQ/0yCZAiDIVSFVVXDXQmp+Kyf+QIrwszCTmLfda3pMQ20Ih5nQyMMNAimnQNsVCe
M1vmxxF0Ic2xjtvrssbhFc65S61LR7+0yNFJL57h/gXcM8ydQRgl+OUqGX3rY1CHX6Wub8CC4zY7
JNb00uTKNoXtRHexabrwfUhL18gmojrj30GN36x0TZthvsOXODqUVLGGnmi2+r8JHHFSkFgEliQ8
WhMg3tCqucU0ZWNOrUd20D3EYCsvt6HV/L7UPyGb37uViklFF1+syA4sxWdx/mT3OOhCxy1bFZEK
brt0YzKfH+rpNDsptc5Y/r8qGhoJPxLXoF1Rm+IjyLtHj7gR0MtbhjBHUb8GRXwPcJHzLr+UBR0i
d2oR9Stjnv1Scoi1T1V5M6voZn4p3b3BfBa2v7l0DLX4W2/lQ6smWI7tj1GaAnVZj8rsI50I++Gb
4QD/aHuGTdS0Fk/zavNlHTIAlQ+LBvFbditxcbO/Zejf0NAMsY1NSByiJPH6CMGOwzC9qhweYXMf
Ofq2B/bpyNW+btjI6Oui5ENWchTG89uYZy99K56k0drJvHWl9tVCozDUno7FPi7Tl9KD6tGgRolx
n8DdJnDeM+2FimUjb8TveGpNOL1u7hNw3YcFwttqo1g2u2XCqmNQ1tVTgz1PbVDw9/G1cGL+Hd2+
ikFF1Udp9c7hvVXT6QVN3sGperc+vYxkTzc0OfIg3UxlwS+nuZXs8xVIFrFh14KFITstDBdHURkv
4cyOaP6mMFToj70O5JDNUB2+HCtwfaE0Z8NqN5dGGohKSihYuw3PENy5eCUzViiH+B+d89xED69w
28u4WyL9HyqCEis9CjxlucaOq4V+VJ+19CC3H7lj3+Vk68xPSMCpZxPluDQmPF1llwLjF6cYLUHM
MbuInxvvWzDHD3KHPJTEx960tlLx15XKbn0phuQtrp4NHDslUKuo0DjurwhV4VsYsw/YyICieC6K
a1MHLECQsVnKzsogP3uYx80arxOcyJ67kyS9TsZq48HmxUpkcZFoAUcjSFTWWbhZyS3QANDc01cO
bxzrEpB1rDAGs0sUkNxiriVvqVxL1MJkFTyzGDZPPAKNsZFe1V+nDoAb+ARByL2rUudlzw4i0E1y
QnDCRlrdI4do/lJNfeSqAWiLob8Kd8TBCG+DJekV9srVLSV72+S2sxpAeU3BkrK17l2huz85m8DY
lveqwi+D6dbHty7XezuuXNID9rnATNWPDEG56/t8X2TIKSG9GkrkKYxKHBY/3CgMCsZqR7xf3iVe
gh99x/ehnGkV0IROjwz1vIeaNG/cMNwUN+2v/JrR418FakwAI9Ih2c/79mV6YDhdMs+mFK68+oOp
gIOceXA/onfxwuu2Ko5vzr6+gd7dYGmZMSk+ISfGk63nLxG6hZGbnN/xmsMZGAokRMNM6lvO7ATP
EttEasmZxdmkfCehYHRuDX/S4GmfI8vb2ltc54BQoH/RTwq3kIrlmaAz1/lHw+FAaEdiyuSD5QgQ
kt/ihqQO8xyNXym9wT5ntavMvl6fzWeBEcbe8rN12WGquFk3jV9hEcVZjjpgOU/IgWeg7Zvyb36H
SoBOGd8FZeiCHb70He2jWJ0rO+a+aIejDW7c0rYRv/HsUgRtqBV47vlow0IwDx+Qj4LnvF+CmhVh
fiCjrsv5TKgOMd4FYeVJ4hlPDfIAPJxjdMpl31EIeKXZGA56RDTusYiP3H7VvKcojjrmxjupOqIS
QgfTwzc6CGh1/ICQ4bk230XQnTFJqOGmtX4x+Vr/yINDMSugjI07NieMUdjvQcKrl4vCOj0619Z3
YzM5nY5mD4/Iq+Hh7FG7KsZl1h5slaP8RW6ftSow6kfD3UUzGj1Xn0LfGfapN66Z2EfZta35CBOa
dZg5/TVsuT3ODyPiTXiT06Awdh2qAMAYVG0hf6j53PO/CfVJms4FtHoTGbDyE+aB9Fd1gSoD4/Pb
aBM/cRIhkGbMhoGPYjBxUayjYmPbkv0oKBWBANn+A2VBqz9oBjom09aZwg/FSWtwYG0NqMpbtgd2
cdbR4+NBhta0uPhvdMZgSDWVbZgRiEiHGmR5gHu7Vk8GW87koYR+mu3QdOrdts4Dtd1DtRnrFw4K
Hu8QQwTPGUlBLC6YmEXfYLLDGAUPjz1pKkGpvdi926V7S9nOz2PhzstxfFMZyccoUy6G5I86iU0D
QmzP+cw4a/Ea4EHTXnhEyurIr9t2/JvP4bBtBBxLll2ctDuzOi+8LlF4NlBQb4tmz0OMCo1x+D1/
i1EnpPumWf8kjQTEt4WoO9s1trXBqRp/GfLZnI6WOLbtTpYONpGo+YFTXbHd1KP2mVdt4zqXKElj
mZ/5g+SYNu6ykJtVANnXt3X0s1iuIrgsqvtieXaFO8szZ0wvW5V4oGxfir9cO2jqAcxOCMV0udad
r4Ms+eOr4Dfknqx9O3Mnw9PMC9wWfp5uP13Q/lYokuKt7lCZgYONt8wQS/U6qrfp4spgDci3Z8zG
c1JulcWvml8m2RYEuW7fRIAh/RQUBqdQyirAHzB6o5Q7U3KykA2x9Zeuxu/F5qB9I/AjpQwFgYJY
T7CNdKvhuaWccX4pB/WWtRsrbQ9YrlNvZKqhDGfUpr5iPIyuOXzs4Yx9i4U3T0D4H0fnsSSpFQXR
LyICb7ZlKe/N9IZoi/c83NfroMWMRhMtdXUVPK7JPPndfozkf8RQsOYkZpFMX6DSUyGlsbhAoIsr
bj4xjnRYnsxVti1CdcLUlBWot4p2CDGDkRHhhQ37FN/wVan1jv/OQ2xJQT+rTOYpC9Q35kv6C3mi
jBtQERTwy6YFyLJOeCLmN+4afnRyado1c/0MbmjCJ/gstFX0MWH83hokOWeLXE+mSiE3naKfP0C/
jGbEwfIxAx7k3SXnpsILy8YKpcK96cxNwwiPw46UL6NE3XTre/pCmbabqRAAffUyCUpa6WoRCIF+
CB8LbIG11bpqdSgRHWE+klEwPzJ1zcotFFubM5gbJIFTQOwmyZWLSjkMjNJC+dhwyOjDTWeZaSx7
RvI6phs3ytdVzfGxAHwQn7vFP42ucBb7O5836532Kw5i1duk/iJBYtifwZyxTSkJTBeXka0MW6tq
yzzRKefMB4gvddS1acLXhnIQcHfvCZrlPhyQ4fYLa1yWKQ4xBhOzbj95tsYludgZcU65DJ2VE3uF
dy4JLgEtBEAcJDYLFcVUuw7/9c58cA5dSIXnIuX0SOnUFyhVGnmuFbg/F77lguQpwI8QYBGvVDHz
78zXym+F6LoH9xgFHO8sCMXS5iRdaNVeC041Fw6D7fTqfGbDXBRIZHDLnciUiqfzYG5WjPhJt3NR
q0mRGyCLd44NyGUMgcUcpFjpfxLlaBJ0pm4L2eVHy4NlrC9zWATs8n87ZcHrG2DAsar58JFJ3qTq
qJ8N7GPgUFhUEjNp8GxfVJ9xyGpiQwuFmBUXj/4meoZ6iWcmuKBGf2f5t1wu2upK1EzLl1TL7qcm
84b6ZMntxG3Bx1ZvuHiIIkk+g+OI/IxNBFl/9XTawjWRu13MRz2eoUUMOkMoUghnYi/FN5MfU8xZ
rLCOy6tN7G1ZZJj0EFz6nn3SnS1Qeea2zTK1XA5qg+AC6cXAvk9R3q4iNvjFrMEvO2NX1x85DXqG
LgJb9xW4IEtQrF17FclAszUgS0nea7BchHj6sKq135G0ghBL96n9w5cHPeA7rxZ2sx6cT9va1KDZ
dQgPlVuXBCN1Ny3bBc2eMVYkM7kEoYS0zI0RFFTWjcmb9uC46E48mVN8H6Gbn7Rnbnyn1tdQuR2O
4LpgxM3/VID+Qv4BxAUiqr3JUXRZaO9XFWycyjW9bWmvWxbc1OooNcYDdkyWnh2PhTSZ68jHsW/M
VMYZS+4hHrHYy2poDNiZ0IWPM3qBnHsFBYwxVYnquMOPxZGGPrUEvsIRifWV+lidx29KanEqjtZl
wkBuzLe2bYhVirp5MiKMhNFwlSwu+CUkMDoo6hILgNfZt6k/0P8tEvlEgSpa5j9YwmfMirPil6Ik
tL6xVvDU4c6X0gVZZ7GziYvTWIO+pWFYWSaZU2BVlh07RO8T6+1ckMlxIuqC7TmPr5hBOxnjK57b
VPSIGxvnFkcPGFDBXH1DgjM7poI78B4VzzvlgF3BZ2DSLqpkYWTbCvFC1u11sjQQchCn1jWHIjgp
/VWK0P0WnOvEiOAataiR1H2EJuU+IoMfYfb61orLjLoqp4UEwpz3O6w9xNhyX3DccdMVRy4/q6Oz
dEGHAahBJwb3au1Xh0Amo3LiSXDRWQ+urG3eZ6wCoElN5SuXVZCtKWipAMKzyfT/rTuzdhvvSY7k
4OB3xi2UMtzkqsYq7dF1W7I0WMhsTMyCOLetpTatD5kvzzU8PD4UJvJ2OX32MEWB+ijxMmchEH47
YgFegFQk/6c/8nQoz2N6GzqYs/JZKohLQFYDh5bmlhWzLM1CMpkqr98Ejrzxi3ArRuH60Gn7glBl
mlO0gUhs0Y2US5O1qtnI1ynNYzB+eWh3UYdUgVAY8SYlnKrMIi78HtposLqT1CHDSzY6YxemJJri
zqeJNphOWsnwAG1lAqUx2JIYiZKBxzgMOWFP7i7XXC6Xs1GXkFXf64J4DANHsJMtZIvQbgmNNh2C
aM8wPhfleShPQy/oMw5Z/kUgDcc7OrvgUnGy59mHVo3LbPhMsG+j9cw+ak7egfypiJQHSbFRvyCQ
UT6MugFnXazsnPe5VZYy8oJuYzAUK0AlxCLio0+oM2CvYT+KLY4VbpbyOHL66+27sRrIRPqmJj7K
KNlldcqhTwbsLAg3jItPLGA0MmnScD1WxtlOoAZxIVg9M+fEmnWCAMNxnzDxYcVbtUyyJYDo/kro
KOAWenkKBbusH97kJuYsHx+h+p1VpE74hFuXnzoEl7qI52nbMfuCxkcdx2dXM/v0z7X80lSsWF+P
LDnrBrACFozftX5gYu+1H21hzBqH0d65BzaVlG9Z+yAbC737dQyeiD5WBCJeE1THECdNt29fiV4y
7vQNYCBTTLhOuxNQoYqG8LGBLAUjH42NKEmQMmwiFPTuKpTeXLNwqxQcP7buUO/jpW8DsfJ1GgM1
4nRW7Mz1HTYuUl+n7L66jHyznjrQ5kxsBFKWHje77CykuOeYwdaH6IqkenYty7Jkc1cxoGX3+Fdn
7IaaVnWtlFPJHMFcUXugcosltlNwPrQSUkDJirKc+0pFGefZjMVQvxPIPUoRjytPohkfWI4SoD2P
jXVgJvFWgojK6r/Y9yaXnr8PbfEMobr4juGhAjEu3oBfwfBuJFz4CIEltvMmnLUSdbfp2OirVOtV
/8/guQ5IkqRfT9cOuRm7ns1n4MsdJkdaiLB+5UgpcpGykrUVWFrKWc8ajIba0usZbzVmu0zD4mFw
KhGfhI95I3L9H663lm6oXRmas0mG6lgI/buS/AtJsEvH9NZKw8AgHOl+JoPVOGjBEhAKVo9n3uBG
9/JmJ9v+PVXiaK5fKbT1EgruKJHDW1sMxgbZOQsn/TNr66sl0zTKtFU7JDvM2BulbH4bz8BMThtR
sPrKMmveDQH2BJVWU93WSfSvkH2N1csUKpjvvVZDZVPYBPn2e1WBJFD99JyZRpGPKIViqJOq81Om
0ldUMLjPSfFCv4G/x2lycF0+ahfbJOwvb7Ye2bXsF6aYtmtvDXsDx+4iOWR9fJW9LmIBHu3AbOD5
rCkaGhIG1IKBH8h0fdVa0kpIwMMUQzeZtzKwIQgabfxUC/WczokmKiBS+MPLYNJ4r6u42sWQ0zJq
V7z2rCHx6y6QOMrozwfizHRSrtq2BxLE+6iod1kPLkluveIeiqDARwDyYSfS9KrJYjepgymSS1sh
QT3ysbhXO0dmHVEqbu8HP2jSYZUDCGRECGGtIvIGZ82eDeCRbBLM1hwuYEVJR7a1dhN0B4MhW0kM
leHx7ueWydWf7qTMPKqO+DUr7n9LevfetRymOrc5qxFYcZ9RP5zz0Yi2pNRvExvpdi/4+ZKlwRg0
i8y/vjJ2DZxfyeouNRTnmd1zqmTtTiFxI0ZOHPPhCVa3GaPdcTwVLIciRVvXlfUFUBALC4E1kLpQ
OOUxdhrG+rGXfAnLe8WcurMAARcvcQXF9Q44/6CMEveNmW0gArA/zLda7a8MJdwUDiktAUhaBoP+
1RDIWMUfI8+Dp/cHMdg3fKRa01wAp5N1IYF48+gtVXp8LiN3qdHQUXq4NttNGfitxphZSxa0H6Nz
gmZ7sxXG15W+rhoesdN0LCTfoGDO2FxFsS1ztppWeqgCYx23u2po3TitT5qGk9JwHqHiHcrorU0o
yGntr6E2xvyVNqEbavdKw4bdMKFIaddaBmXRPkY2aUOLGyjGTALJp5DbCP2ZIPGRrKiccubSpikz
xwSF0LuPvuLuY4xaeOP7TPuGuwknapzVrHyhPLldQ1DSyFyLDSE+LRSpGev0tDeWBQVIWCMapRJv
sUupRU84kY2/xJtHGNLKSZbAI0UvPwu0YzXvixJKi6IP8Cyx3UlYMwJCIyYTnVbEfHyszbmQo7kn
ZXN52CqkuYU/lv+vqrE90SlzmK0kpGZQB9nK1IBMkFcr+VxwzPpxvuy7d2V/aPYH6DOixpd2cCvi
f4QeMOrp6LNQZLbpvq5DhIb6ohb+vgo5YJpkk4DX9puTOsVa6sCJvHodpcYqA0GWC2aVMklmlQkx
FjIAyQ5K67AKJqWN4FZC0VYqFGsdaA83QFPAQRm+YXLNjEctmmOu+avQ+Mgy1Mi1w+j3DwwmmTvB
Gq7hkqgTNJzaUvUKbjWE7KCxegBB9bAv+rdsOwclYbmczHEO76PR28bauFX7llgUQdpbRlfHTk7d
6p33qQCXZgWxz5uR3WlGXNiAbkMGMSf17CkBmQceccrKnnXKOiJG1sdL2AkW8V3HGAmsodCMt04t
hpGARBa9r24yJzC74UXnDzgowA5k1pImkkELCJS579RzlXo3xx84jxKmq4a8KPmvifwq0uHYejqY
HOussmhvGqzZHWOQrqbXEMjQPbHh1DwjQnL9OFgXWcZGgk4W1NRZZ7gZ2vzfmS0PWX8Oy6MBYG7m
hPLaF9g/PPlYEabNGX1WR3IoDWlXsv4wUvu3RBIkjfaVAsTDuC+rFpAvsGsHHNEE9eUuguOk8P4k
s3sRRrRTRvVmBuMWC+reQmlJ3AlUd1JaJADwlnLOYJCqOWRhu3d9+asODl7przpPOmZrp+UpnLsQ
Sy9qnx6dVFvHY3UaTUba7GwcxbkOYQX/FN53a+4DzP59D6QHkucjw7jiI80JkSlrJN0AVttY0LQz
mt7eweyf77UxBv2SHUVXoUG+OSNUiab7wurHFEPhvcXagKMwboKN1tnMlX8EU12zW7EfPqpBs5Ey
fWF4+Z/cIBsO/fvQJCuq0hM9XkMn0kjo9JnTmZb80EwFvIvu8j0ZSMl/cm0fh3CYN6UGRE12DQAl
Bqi1qFZfVVe8haiPRlfuyMMkJPjdx2iYVXUP7ZJA9Y5HpLibhkWcFcisAGU18q9qbN8siijN16Z1
rQPNDXuJ9In4MLKBhuwDhs66pSwny9a7VsxljRTVkoX72CneRfuvaYfDGJe3rB3fshoeBGlM+O9h
bcbfoj83JJz6/VOijYtKpkh4+cExpwd15AqKbhFvbu9TpafhwgqKKzwz1jh+y/6o3sO9AqJLnnwT
LxMgZLVy4X5doYY6CNwOCbehEWjfdu8xcizgxYRfclPPyrBe+X54aVSHXFqSHg2zOyWI11kj0wx1
2N7IE36oRDGgFDz2UnJrRueZyf7NYAyuMKiD9rNJFetPFnhIrZiqKgMizAgJOneBRVmGGOTcUqHd
VdBKsIShaDTHOmfRH5GFyF4+T0wg+eGhRVaceuLbCrnk4bguWPFY9BN812koBGjA6K/9JGQeb9CW
r11lPZ0qfFV2uSp87aeqUeZEef4OkAwQTr7qq+oA4ZJ8YtM5Gk51Hgx1HrKDlwu0Vda4K6clgsUz
3Kv+IYKQZcs1DOVf0NgnmjBOdHtf5fne0iedReVjwmtOtr5qsCSnienMDIG/BjHJJmB9QZhXjLug
yesndNknD691gmFD7x8woF4FsXS5SB7Svu+qo13Gj7pQ3DTvuEpRk1XKd5HMg6B341xHDNLUt8K7
ep74oUBC0dgu9enjJkUd83SPti2/oWz6GvQDosRzl5dbQ4nfKm8SmFaEhOty6tigU7ne6O3igYtt
kH/Ax7qSH6LvP3akjpSAneKWHVoU7tQpJcJAKVu0Cm1BcCsT5ZgLZR53Yt1V/TGom99BZCc9kVaZ
Wf4vpUQ6xnzUb5g9J71GmtLC9Gj/K+sTgstZm2YLDmHURv9PsepTpmQHfUC8CcdvGFCu5/+Imjup
IB1WY4x3yk731BW+qr3MsSD2ymZmKbVrO5+qDm+X+2IPHwkORDJvnD3piqucyWYncQBBZPATxa1Q
vlTsU4swnmxE3HmTvSn+SCO4QOpfjt0PCg88rB/Rrmpp11FF1MUL3DzQyGecMKnBFecjxagRDHDL
KskX4QuEdUOAWDc8BSfWcgqGnAZw1hX1qsJeIzNOTVEx1CEbKvtZMpmSsNMNWovVBoYJzBIzWfgT
vqWB0lj/EQxLqfBp98xgKcIGrwUPBvOgQQlhgLYsIGhid2QuIQFxiYeefDFkZHLgdiCWAsL7egzm
eGvcAmakqqBHyJHovsIYyQIvzvb/QRUkX3ZYp1FBkpHvivanqIZFx7S8AETWoM9qHWLnS7aBbJs0
x56PQwJBn2RI/RyfvIiqsat2YD02Xe3Tk3mw3UosJqybrQx9m74cEceUKOgUBA8WeXBxbm2k/CKw
YsXto89PElSeKgJoK31YTPUq9LFGbaCMwks6hYT0WLaHZh3xeBlw/jY6YnDWykjMPA0MMQwBbJNt
LyNPJRR+yi2FcGWHeM1oEOXsqdfWXGI5VqrNgqwKtoE9Sk57afr+KYpaVyoZoXXNlrJ36R0FWs+Y
Y2W6AzxYyDWcVDD2Gx4ji9FMfzT/wZwKad6S6rwf2H8z142Ki9XeiqLfkg+yaiqXM46+ijehZco4
SRQJFqiw+Efk2hY142G1WZolojK4ESF7DQuWp/I74M4dCbniSNSNC3IJzTHZlxjrgh0OBrKKMpd/
dOKplZtQNfe+3m7Rdav/cLat9Pxn+jbdNC7FVlIh4E9PPUwgFQyixwCXAO5ZwBwqQ5YD77D65pE4
6+o9+sZZiq25+hoQPMk+w2PjW2QUem3CBuTipVwgr9i5odYYiwPoAwiP/WZCu6rxtjW/a+nciDVf
qUUPyP9O+9IzV21/sYuUyhf+2Dj8J7DBxdGJvFy1BvR1Bc7EmbjKC3LqeMKldXggrOwQYKrAzllt
HJ9VZCmOsd0/ADghYykODI+ZLvqWsiMvGdUOEoWrLNUuWHNq2M86/6kRJ6Vbi7mYIV62OI32+H/Z
nSSf3OO6SN8DElpFv5ZhC3DdQfJl4UpYWmJujieTW9JB52kiP2ACSTHdIaDIwmEhI9mvhlfN/ola
gWXRI59o3skf6HSWQo8CSBTCWlJlmY3TqyJZhqAAyZTiRmEWapQuwBTGrwqibO0I/y6Gk6ZOiijh
LARSMtydiCrdNkEpWzwdDHah8ZZQ7WN7Zv0OsYZHSYUmKR73AQ6TESe/gOBWY7muAwU0BhcNngC4
LnypsfADezUdKMSsLjV0HqXcrW3EJcxXBaQBTT4FnsN0lK0fB1pQ4SnvLJc2nCyiin507yFSbDtv
24JmF0ywcyx+IzQFAdzHQBEqBQPlFkpzdU/no8vmpi4ZIDDurgHh2X0/l5k0CTR4Y87Wx4dqWeK+
QuY5qG4CE8ZEnaPz/TICtHL2HV0Zb21YaLYAeIEd1mcyCiprngeYcTAle9KzRBbas6S+mDBfw4EG
Ehct5yNjMEBt8WqUWYoiylUQUDg8qwPGhMhtkXOuggCYQshYEFME0V45PIMBTFaLK8WM0OXGgOUK
1gP+Q4/x/3pQ0OuQSZvjhjVTg9itayKjOiJOQhQEnfJvsJMDT4wlTeM6w1ji6dlK3TFAY01GM7Iq
WMaM/rgA9E6McAEfVz9K5NbCrNDw3QwDtD5ANV0Qb5JYWxf8CLHBbgzxEg+tCymgB1K6SrYQXgCd
LOkWk6Y0LKIdtKaV4Ux/NxE84WgV2rrDNuV0+m5y7JJ+vW0UzIg+URZ5Sm5IBwVFJjsLeSySYpiY
xNSya4MniallOYKcVtwMjatQ2gU55wsdbQP6CJfwFLzW5YwvMgZ52QQljFFpQTu5Bh96hQyyChr0
RTzpgy7cwMqeVr2R9azFbxKzM2gv1iQF5gzVzY+aGTN3fp7cayxdVTrhn+fM/xD1Dws9xf8e/gkw
mV0pVpL8W8Z0X9Z9YGwEGHCVfVcwcrjJGtIMjOxfW15AGf7vPEIdYwK6lHX6cGpRYsiR52OTge+M
/0XK2MW+I4Z16KSb+kOixwrGuy9d5BGxL09gBEu7AcOQH18y+xk3Z0P68T0gpkhgDIt8sqdI+Trg
IxK78obd3ojbVL2k9TMML13wVqtfIsOT6p/VvAvtOTKw1Vi7VhJRSuELFKQt/8vpyVs0VT0rlRT5
dyfOhjgo4bqnnnLCrwGNNvBG3cLDsZb7k++dwY5jIJ+F6KFN1IbqDNB7d0NYpSVnWdxG9Z1Ev6YO
NTyFnQej9CLo/Pp7EJAuuyKpeFAeCmGyHWwSC+lpAflBYWPb2r80bXrq+mmOFa6ZOxFXEMLYsP1t
/C2nnKuTiEccG0/hd6SkPwbVfooDuGFpZMP7sNp72EKRGcqVNqgIAADgJenaI5djYN8wICxIRx55
WMMCUDBWjHlEKw7OuSfXxZAA+jgQpbmU/NxERBxTgnXzh+xVcyyEK9lhZRuzSWTSQSct+BgcRoxq
fNHHr0khDDAcjAP3lWrMqvDZDu+2BmgHkyWlm7OwcGYtk+7knto0sqeRWZjywDBnSzsnX5nlsuz+
QvODgXJbs6id6juL6Y2NsBfRDMhspJioyxEdjqJAdyrmaU710RpIX43FZLaO4uMIuqhTlwAi7XEV
y8zbKU5SQoh4ZHhEqnYHoJq8mH3m3/vii0euZL5IcONS/0h8IBBXJfwZtZuMIl5vfw0NMrx+4+PU
xntaX9r8rxggip9se5PYi5rxi/foW38VG5iJefTWLj9IMlxEtfen+NTAATMDqJ9ZhfTOWaHV8j0K
nvnSj25285kijgFQ1GHebLoYJBTVxdaydD6oQ2G6hfI0WNw3+SWjJkkoQR3xyqkHAm2eSwPalS+b
JbaJFJsAo5lpXLgdu/pM1Cc6CpA40S0GRjLKzzyn1EbBhPvH71BzO+e8++gU9tjpzqlORn4ZUbTZ
PvwPZuF1SsmpssXFoQA2xM8nKSN3yTk2WVWXCG3Mfwbi8NxpyaVFJml8EUk/BxbRcO8mCfPI4G7X
n7wgjOGm986ktZN+lqjQKu3VOz8hKIqclUgQfjORWjTRWW+O1dQ95nshzsK6+PrG0Y5BdOb3OFj5
+TbWT2jzewkBjgQoHFmhTpeO4ZqLB028Ndmi9ILFHlVjhNQz6jcYgZjxjctaHja68E62oBVtOjdC
a2p1uCZz6TiZ/MZ601vpY/pXScS7MSjZcaOepBOlV3e7oOLUHQ5AGICkkz0RXLuCm3TE8gppSYmG
vRraWzVCm6Gb2z7e+z2xc8OHqSrrEiQEwVgr0dFqKRoxowrJicoexDPwP5lwAgUMGJgWgOqGAkIx
1te2J9gU0+3kNvLM6Aw1/wgo/NtHA+oFTLqt5hqGyoVdz6eeVOt+smThhxWNueIJWyRiEzLblBk4
2QLYm5PvwmNd6ZCXwpPVkcIR1ChG+39qpVyR6uOC6F+yr5JZMqzg/7pt/Ag1lTUlRKE8YsCZrbUu
uhLVuR06aatN4aJ+v4spqzK7XcYToL3K90MyNWscN1NeTG//y3momSGmOzHsLVGSq4Rdo4vete7f
STe9tORXd9jMahOdmOqtyfh0U8ZXifotIWTrSOOFizDN15TRcC2vw21lbjOAWV6UrsfY2HiUOCbM
SQAZ6NGtLeB7KbA3UdVsNKaWlhq4vkeKC9jBgJJPJWokZ6gNIkdrcFhKOqunbnQj27sZJk48LX2o
ai/NVKO1sD5v/IYFadZ1j7FkM+mz9SdF7NJqfEs1Ux/mxIMNCgZ3HlcAwiP2nexwJzEXh2O/7OZD
J5CKVMhsiWyiLlN+CpI4DXXqUcp33UHJUi+51rS7Kdc19ZiqJH550yR9b4pmrYQlWzgJMop25EVu
IpQyOSvDeSvDYB/zg54Wn7XcuiPY9MlxmU4Lo4mv1Rm0w4PzJSDqDURJzfyaqGLNPMfUuhYZDzwE
xlOlUVh48BppwYHqL0Cm77E3Xjqlg03118btMdZYM/aB/NdCqaPkLcBmylL6MWZcpLr9KVG6ST8m
OI+R/KgS0EevkkQ8WYkwOHb9l13u4mdqS3cDcZ6Heq2qihNeps8U20iekt5N/hWrQNYCOCWMWvnu
HUhdZsuLLkMWC8wivP5YKcpR57XD9Tl2VneuTfkcsCdsI+gixU0V41cpgjOGj8/ibYUDtSjr/mxS
SYD0NL3mDnV/33OOaSl0UTpr9j073R6uNZR9y3h0duh6zW8MLaywpVct22e9TK4GfSBKgaVpJjvD
wWJpro2ROX3eXkZTO8GV3JtatB9Y/tVwYGtBVqi8LZnyZ+G496pxnbfpFSqPSRhuSsC5LPkMa5T+
FkbB27NZmwqByV5lZpyBa09p5axMXeJGWRZ9tdSIvXCstQZjOkFEk0T2oUHLG0r+uidNl8hhIOMe
0RMQqbuctSguAw52EBtnuSEKlFx6wYOHTC1g4c2skP+UeOUw38ShPWrfmQf4KWMyJVgY5ErjRj6F
sHUX4Eaq+Ctsh82ISifSwXKG5lLLm9XUGwZAX+zxYTJlNdjm8o2MQdnLQXHWMuVlx+N8jB5mK20j
tus2ZKvBR4yvzRaxfNGszwhIGBhwcgNCXE7sQ8F0gqBwzdQ5IWKyboWj42xmAE7gN8ajhRFCFdGZ
LgAYMtNDp037uJmA+WDXXODdh2cOW2C76CCVZdAId6xREeoK08NPfTz16EcJJUKeHcA4rZ3uYnjh
BU7oEayKS8SljBipHT00rAigm5A4yABLRipWtkQZRSHRt+8ocZCGkPkXJRhogHpqVFoRaHYEz1nK
kAkeiglpsXJ5aqtuBhk04KYvbPUc8UszzbNn2OekQb0PekuNJQTsLJDfpuVffEpc2JNboHUfETl3
TRFuUjYMQuiuKhX7AZqAOqFfpWyTaLRn1jBuvNDa5+VPg5S3LgzsGsm2dhy8CFjJZfNg99reeAdn
0y+OKr9Asl1IS4Derl3sAKdEoX6WqJpzcH99YjzHQXmFsvTh98nZr8clCDnrnQ/x0ajjdSJQQJLK
ZZgM6DCWp4q/zYzqRSOpBzCLNiFyL5r+FiKYdVfzJd0Qf8sfAKkAKCNrBpcQgqXsPFqb0f70OJAy
f603VxKAc/WA9+QrJ2Gw3Nedq1TbMASYxuW417v7mHFouyBMw3iqijyOFNAE3tUvX1H0HQBSM/jV
pNM0PkQ+hsJl2AfbnBbB0c9quqmQutK+psu8voKKGon1078F9sfirmh/QxHOwuocRZ9Vf2P02r+V
7DSm/1iB9BT3+rWxXGZv9HxF+7acdapshLKR7K3UbHJQPaUzt7yDPHx0+DdZr1rZv5pxg908NfUl
KjCHFHj4RBrpB0wTx9kPhitkrz8xkQfd9HIHInf036T8bgrEZ/9UQE+5+mPrV4XLFgX6ZC1bIVsv
kWuklzECZnWvxD+qbD28k9aNu4ziCnehJf8iQWBd2tbJcpxGFigHY7yIXUJZWTz54dtwD4mOpxma
pK0u7azsalr4Lw8NiXnZOS6x1mK6qeiWcsfD5vSHV2I5VhsY8kcC5eYalPC45s7lF2psyl4oeM3b
gBYpZSdV2sPYqMcvUe+q9p/VbX0Kv5ojgsGfxAq72yXeth+OoDNKhFxsIuNDgxUWT6r61wveqvGm
Ji9Q0yNSwnBvNYe8OSqOjzU2nGn2b2jb2wQ3E/WvB4LH0w02qxPLdU6GIet50nuQpZcwUfvgCull
+ni5vHN1E/joSUFHxmixihT6/Z76Tsa4qn8bNvvul1JteGWdsxPVrgA8bYEmefrZT2N/jpCJ2+4l
M8trMiLH3rq0rwS7gTOS6OiX3gKWZtMfrM5NnZVEDj2Z2WITaFffPlLQJ1i4DQvYw7eVfyi0feAs
9PorhjCsnL3yqI9LbJtFQLIJJ/g9Lxh5N7+G/aeJe5FeyXQK8gcDe8X7SdRbQxXNepF7wGbyannX
RGKppH6mxsGnba48cH7DV64f+ubEbDgxYLbMYZBWBqbMBzfNGOHeuCviUKtQ7jH1Tuy7azcgcd96
40dg7FN7h/Aqa5iqkptzMhnb2i+6F1/5jLA0V9xxPQP2LEGgc3JAXzHnYsxz0sXnwG4+7eOljamg
AUnE2mSm9PFcT3+nfns6J3jxQDYZUgxnJz8MnPVQ3cMWPP5XWn+FkGKmh9tR4vjzng4qYpKDUMuE
yzY9JP0qMH/6/uWov5H6Z1o3weXVM3JXbfJrsGcXZG6GtMhfbQe4q1iYFSKv4qV6ewnajLkI0WHj
eJcmRTRWxuBs66Bb3MY7tc1GVMdk3Fn1pVGOtnk0q0eanK36FSHIcgxtZmE9UZx7HZ8BvkvGyYvX
/CHhYFRwZmR/ng92wH7bUEdC6MMKo3QYToB/DoH5WyZbMtplJKTyOZbOg3oH8kyLwLa6xxn34KOX
MZzAP1D4SNTiWap33T9U2KyVZIVpa6jRBR3MDuHRM/D/HO3GAMXEOCjIMcq+VKZNOoZKnZmbzI6S
qRLc3N+6Pvc+9oP8mTIo5SFgO7fBORbRRz0eNLg1yispP6YbDI+pPHnfFOCpyh8TxQ6DxWDeY4bd
fjYTyc3Xtrp6KMvV2B7ZtPWYzNVbiGnA9q5Ovk3jszMg7FlU4kUUCHhwhHE7hUWnru4sinZlo3gn
Fh8e81qBy6A/thO4ABNlIxB/92MBDgVaT+Ll5iKWfJMYZ+NJov3bt1EpI2Q4DyO2usF7BzQEvhqi
uSTaaMpdpk0ldLq2rqlkPrIs+JLi8ntI4qWg2FGG+tei0lw47TvG/TcrVGYYNsvFmtzfkQA5lvTy
uTcpj3tRP9u0Q3fvyxBHfDDjtmUvCBEhRzsl9MoxydIuImuZEtJZNulBUQtQVAqgdsVHBAtQm0+k
lGIWCEW0gHyvo9ad0GtS9xuXBSIieN2WFhjLXK8RpHvYKNiy/EH5YBsWJBPqgNx4HEgm2vxecxWL
kY/Qc8a4Oh6MSI9o5SJDWnDzpWuzyTcU+t4uYYKMXn0tifJsamIRddri/4UncRuoAKuS1WewGlME
uFYTBEw4TC60ET4eblbI4qNYVa28TYhRYbRrnmW7YB1VAJ0ZB3qrol83hj0c4bjqMsR+I2Jg3Ayo
8xMJ/Tracd4MY+GJQF0R0bzo87BZNYIDUQ1poIrR+f2Pq/NYjhvZgugXIaJQcIUt2xt6K20QFCXC
+0LBfP0ccPMi3qZHZkRK3QDqmsyTpa3lPodqVkuWuJl1UrOdgmPpt0NaQoEQPpZJN5m5h58m41xK
kRDQWPTMqy3r6lJEsSwtqQbp0snL5GBgkxHQh5Gv1t5HSXhQlSKnpCfJUjHUNW27kn3iXwMWbz3P
n7WFn6Vb2bheVU1UG/VF5Wgl65hHyPp5Q+k/KcK5ES5xXowtSePh34BhuagAyHmg5VoAuLzv6WnM
gC5ZPX/bkf31JqBlmzTk5WCaOR+gV5BoYt3MNiYYtvaXtHXno+7c706pisinv25ZrJSOxtoMRiSn
hejzfTE2qL47RuwktgGuTTu5Z9JZiTfXBtu5oEMYPHlJ7PqpHbvmyeYCZ60MLhZ31+g1Xx5sG6J8
+gtbkv5sao54l6bT1DlsAwt0L0rWTaJxRbR+8VKhCuq7jwVDUOJ49oFsRJ6atrNN0Jdu5r5uD8Qa
7eYqINRrzPYsIxWCk3Xqt57rZEQzhw8qse99+7uRTBiGoMWPyFiA76x6fMEzRmVprGfPCu/BsFQY
Fsldq8LqTpVtS0KmOUTNu14QVQYK5GhautVpII9rNsq6TWEKREKO5yyl9ElwAEP2v/YOXrEiyBCS
Jxy1xXCxu/k2X7UPwkToTZvu4Fp08GFDynvJyBvvC7sZiPREQbWJ3EV9Bg9nwpQ9pdyxLtOdukUz
4XRA7vjC1AeJf51Lld0Pw/JL9UW1X1R6EJbrbDWAQnzxTnEKq9A/JAPBVKWKSXdBy3kz1/wvfj9R
Ey0OqGVgcO5MzS7L8uGYEh25ayKBLzqIP6YSHxQwowBVTSYeTb8gpV+eJqZ2h6JhmewN1i83j+4p
vKLLVI9AWDTukTK1WGNomwkfmLMxuJ8DAARLDVpLhkFAXRWcAzKxqEHiBzhsCPP7+sJVLTZWmkPn
z1dvte8+ki+DNyAvbk3ps8vIsBEk5smusm3hsmLy/Ezu0w4Teo6UXLqYVprIxTAriHWpaZ90dNNM
o96ONjwM9LjbLmTcNbrLsHEmH7GxrD87ZyxuqppQCdfqcM+g8oecH29IbEFsZMjiqBiFKSJykZsy
4BXsnMvCOmYtbZJnQigubI3yDEW9P3Rg1dpoLxnXIZXmY3CLinUCG+Wh8dmRJWba9IRxEIOY7jrj
4aII76cBiXyvZjD5SKsAaZuTmSt0tNnykSZkdFlg0vdMVp6z0n/lSjtQsn0zeQa4uriMR834Bnzf
wYJQ3wO8+vCynvWxGqgE7L8RhBmvxpdBBs8JbdVjHvEZZ9nccwMlp0JaI1Oi+LuVGLj6ma3khAQB
9NSwcel8xaAfixILcVaO0OPCx7CE6WZFWLCYW/BwR6BYkCm9G9rgLdPJNXKsC3M3K+ApHdbNhxnd
F5BCTwMmuj6PtqO0JeD8llxR3lx/AJ/Xi/CrgO17cIfsXDssvixmE6iF4vu+5BSx5UMqzXlm9QnY
4jXjmb3xMQHFvrOrNRsBNcdXOSYMk2a0LYTI85Z12BtZpRU6f4HiTxqJv3wpR3ySUvFZ2l8jY6Rs
9omuh+xAynC3k930vd6no5lbftJCYVa3vZ86p9SBKDAQ4tKQRbdRgfcQxJzqQWEIjy7gw/vAbTtI
kDg+WEfwOLlxXMTBfeaIQ7dUbyt0HsIyWm8hpl1uEc0RG7kN03U9hd5sSZiMewubUiQazx606XDy
KHc9+TeF+4zAB0r6ys7LSvejWLriQSPFnNy7cSnOYT5/JfUgiWthvmeidZtahOQulLG3h5rKoxez
UD4HJBGdqd6p5LgUeVZFHNKvDlFnjbtmUnHH77uwxV9Hr9i0/0rDnDZOGn8/9hc2uKi4e8VGHumj
30aPswzKI0L2gBOSbMtyN/eB5mHI2tsULfy+6sFvBVtIkkvDFKZU5vf3Kape2Fy32vUAzwv9EmnY
SAm0L+S2wzVkBaMdrCArhxP0czSyfew/DNYTFu3MOm8RMN1rOq4gWOhzub8cDpmRsjDsjpGhcyeJ
ztlWJXjTBbnrnH3TkHF2XqKF7Wfk8G5a0nlOA5Fc7XGn8bXLAFdSoMkUa1y8aSwlIUn2+OXaB3fi
fZRaOzfeFL1Zi70xDg/TISEIcPARWdc1nj9v5pya8VAH3MeR4/5SYnmsLVfSG+vrLOuPlvyPbDJo
RhLcuNajCod4D2yet4yt7sweXA3BV2yH+xr87KnJRIEe9MVExdnTWJnGpFTcPJwJqHb5dKIObhh6
F6v0KUsxb8UZ/lSIN6z9FcYBounQT3F3VdZzWQEvcPvub9uvkB3TPZSzP25tysbM8pEZQTWryfrK
S+9QqG5keAN9dsKwXwQfaSBBHWGHQS77Ei4Zbl3GDBFz1m0fZi9pqcjZSpuPHt34tv9Bi3S4ie2t
qMuvGRtXPGag0xO2MKOy/w1W+CLC/CBrak4ZUBy4/iHjuQvQJfnsh+zJFVyWYYi+e/C2Wg4Z5qnn
yBrVpg1ewww4KDkv/+agjU+zBiPHenzlM0f4onJGox5bEN4kK7v383BNwQM0PwWEA7AHyTwPD4Yp
CGYNZUgOi3OtTP9p9HBXZK/Mdv8lsTmmljmR/nb0UNUo8Wy3GGYmPbI89lp8x8M/L/sOc4fB18BK
qcajna9Tg5BU0CEoPkrff0VCwZXBZ5E5OB2LuuZWzfCL58BnZUl+lgG2ZfDwgGUQ58FiWZsLB7b3
vMeUAKCZVZFJ5nNM+dsPNOSt5NNwVHc7eahVsli/esTBE0HA6AZj3VFT5EGUGW18J6wD2EGezJpC
XEBTmRsohYHlME0Ov4L1j1UjTcCS09qP7raefQ8XDZZYhcJsWxb5vRcxucxK4fCb2tqUnrxdXINm
RxDy5+aojBoO8iyjyWfdS+oNubru/A/sFBaJ2EkJt6HjREYSuW1HiktsH6j2wSs5DsnzIbtRB8JW
2+PkEOQoShdLvZrfXLd9KpoDx/5OdOO/oICrHd/pBRCL8dFhajMcZeVdvIWk8DbX25//o16/zFJn
D1E2vwVjTdekWw5vB+98ieRgisDtgxhnayM+xiX8jCXnbMtU/IY57RJWHBUtxtx57E/IX7hgPXNb
AC62Sa9RDTqHLMJGbVnyua+w0ThzRf31MFho7+J+6De2aF6ThtIubSSJpUXz0vZggmzcOc1A+KBv
ZaTzSBxQVg49IyD2sywxldU6e/FpW9Hh/Cln2u3kO/SCcd85AA8TusmebKfVgAWrpvLPftBOUKIq
tScH/NRbw3R2mwTrukHV3fnMMkNkGOl4hdCNxaAZX8TCpbBoHxzsMiJNd4GQ+Lj36tkA3RXLnuZz
oakYvyLG83GCaqnlUZBYyP1gDlc4v4b4KfKNYoKa7XtVZmjZczbTqUEEC1Aj8F91Lt7CCcdNRUZT
H5T34xpsExXDe88zin82mpdB8kG68zuiaSoc9qIAAB5GIb7ceFWw9/41F8lrljAbnOIW4XSNmR/S
Dzve0do7dJ83s0GME8XPbm69WxEO8TR2EcTZbIlbN/jyYqopRBhIkTRgzSmCfcKQYtMXcXZQGDAt
7V1i6I8MIFBXdioMb+Z8deTI6ij6BXZa80LK8kY4y2fd04ySWcNMxz+rajioaQRamA/2doASjUId
palCeYO+sYIEkFvY4qB/v9g1MZzsIjRn0Ye9ItKIF0OgLElOiIJHYWV8lHmIPT5O9hkkYNReQbgz
9Xxp+qE6l03LQ5hnxdRfQVTCV5Apfuw5KS/4UAiA7U4uF/GcMYHocvCspFMNmCi85GiW4u/kUBHH
PvaDuTqnxfivIrZyE7aSNOn8Pm+KZ1t2zjZ33tBa/dJp86Jfy3uqkpVWA3t/TpA1BSROMazcjwHS
aickQJAO7wkx1nc+JTH+/u5VtwxuC3cr+wDYdJavDGhOAWbK8O3+VF51I7tgP2fea4N+a8msv0GH
fNob6kMlUVosghO/IXKgTHlCN+Mvu2baSvg72IjOGo+99okpGRBkiZnKwiV5XVlkXpRU0wY+LaNu
i/WaE7a7WN75FTTY0Xavbj/pzTnrkhfadfCncZpcYsfdB00m4QZjI4gdtiLpHqMgxCzSw5hk1O2D
cW2cNKOndvDXZt4e0mGc8i0cmJYryBJWS5DloGLELmYLgfVD+PWwj9agxA6H4VJQczjD6+AkVw55
ESNVMAHLRrdzNUJa0ETFvArVPEYzQ6WIdYArPIn+mBpkbiHk+q6M5NEuEjhWmsSnCMzwKo7DS4qx
R596H4GrBcVE07WMdYpTx9NPi9XfN8j6LIfQAyo3hlvl30wZZr7t1Qzxv1GLPyVZS7b2sQTAP8mK
5cVW9gvwWFqGKsFSZKP58rq71oA681OM8QWOqn6CLWh5C9GxcnkcCqpqIkpZRiXh0eE6oVS2ThZB
2WKCJZxTz1Vt+meIk3e6Of4NqabD4BzVoj61LuoYyyYgOck5+8aV5lLvY5uUkznme40o2lhAcNEz
8rPU9Fzo9i6zlodViNfHE38HmoFsyJNTat23DZl5VeWds3h46ULu91YN5ZWk7E2tHLbYQYBgZprE
TdUguy3ylEojBBLpVYgaWnvin0nGVJsHR07G95CsO225j8sa76pk8ozDEOsAx3rrdD6PhAoPmyQV
IZC6p7LnxqKsJZmsQPDxLMskRdOfPKSr1gCrUT7b4yZYv1OIty0zpPlFyjr9I60MJlKpzW4Mn1rN
M0K3LiEO4j2IOYI855NUIlzP7cWNs0s5DX94xOBYyzFlMDs44oY8Iqj7iiJzreMg3gS9eeCzSAbr
PSQI3MM4zJIUEiP2SUA35To4pISPs4kuKS5QZvT3cSP38xqrUTavs6kedY/BJBUO1lX7I0oErZfi
L6PzZt+200tAmBFzbZ4uMxdLU/e/MXy2WzIwv1BevnQadu9cYXFIJdFmi6TKyRST7WIMdpZp4q3+
19T1g2OpkxdYiHdqYl+g9T0qtDarO6DfiMhFPUcmxlgEdJtj9+6mcjlriU24GkEygHWFCiFSxtDj
ow6Ko9e0GAtbKvKhXD2xE5ZsQh08FNdby4n+hC4DonCKnyznOKfyBSXFN8EXajeP8OqDnpxAFx12
QrbJjcfgxIppcaNwgs7UvA549l+W6StQMTs7wWg4X4NDJjazRicfmZtibGrKhQEzo25tT+Q3EycG
9CRnKmPiB84qsBdlAJ1DIN9qGzlvqiH8lcyaSiyFeVsItY93DknBiAcpJRpiVJwZGOoICouJMKkb
GXQBN/syju/eSG3/GU3WISdbjYKM3lvfe7Pj+JGp1i2hwZcydTmvecYwZN5qMEqTw7HkDe13Z+SG
6fPv3isJiOAJb7PxLjpYXWsPiVobpccnTQjDbvc8VoT1YcBJb3xlTnODTKjvWY/YPs9gKtR1hrgB
8ABpUoGdjFD8bIQVQR4kCYrgNrwFdDNFkd0nljueu2Jl35jN4s1/rKz68JgTKdc7KYVccMH7alCj
MzS132Q6/MlF8OanyQZ+4ITmiRtQtUB9UjTV5DuY9S2WgDPgR38KYnPxFk9X5EZbZqqfBTKHHsGT
xuIo3ZzY2TaklKZyWYa42kaKx7Bo/OfRWu49QgRooEFS++tZ5xwo5AxMk9TdV2hyeo84hI7YAVD4
50hnvyWNP1JWm4Cpke1U6Eu1U4SFmRKJaxnlJSln6b9J5q9B73+riHuQrr2vMPRX9eswKKzmVN/S
AJ4ZNFyItgjJ0lhfSDOBX1GtO1G8f2z3IY3aPgYOTx7spih3YeO84IfFk4AurFpgHuDdyiRBTuno
nDM+6f3kg5NMsCiqbGUVkqw4p5jftAdPc9XIkOb2PS04zRA/hAtsdhEha2tCUe/JNV0Hz0rupPie
yuHNj8qnimR5aeQjKOLszhmJPbEC+K71DBI175YnJ4mY98Tr9B3+bHJeZo4owLLhti2jd3cq36MM
IekcMQJcQXtlnEPJTLqPlkCnIgD+gduZx68V9vgqqDCzDMnHMmWfAN+daPi9LEWHzp99DMmwK4UM
VI1D2PO94aYkY+Q9Wz+3UEVkukBGdM5lX+lXh/2MV0MFN7pGxNqQ/NMyR9q5XT5vw4b9SeVS8zQe
TPduqLv1L/hnnv33nlAPXF8xmx+cFsRcd4c8AKntLAsb4vyX1zIUDFTwYOoGjYUVy21iH80AubMM
6/iu7VV/QxUuj7WDXivPcNNXyJLRTyK8JpcsPRoCxvgouT4jp3VOfcWIckZhDXuT/aQ/K0CXLhZ6
5K9wkEgknilVrepG5DCqiml2kLaeDYJfhpZolzOsigxOeWu7rVGgwmsjw5uo0R0bs5wTPd23Ndvl
0IQQ7CQ7YafkjzsulArSSCYB06MlIhdtvLD3GCSnpBigR81/GwSfVT3/kWs212iB9lv8Z+6Vv2b2
BUreQm4L1qQl4YHHrJlfaon7cphQqIUFzLnKDZiANEwgj63iK7h1lezQCC3dv1GJswdw1Y5ZntgB
UO8MaI1VqfkcQFIKZK73Uak/Ir8sdoXLAqGyCJBfuEC7pP4Fo+Cjrg2YqoE5Ae9KYyUUsEO8euke
FBEFTNiwRpUdKJdO4n5e2DdsSkJ9Y08dQ+MApFQACwfvyekLf+8GLEctoO8FZ+jGLvDXibuxc+x9
o4jg8akw/a57Q8RPEI1+sXKcDO1yZIT8qwh8cGH4zYKpgQdnsxK1q79RNJ4dr7IoKtmIm2W462kR
xpzWUVsTuX4BCKgCpgqkDMwg6ZaQuXaTWQMGSi3XzbIhmfvRHfz3NmYGZluA7aLZJwPYbs+dmU6D
DwoYvmu1nb7LOA02iPojCjob0xYrRuvVahZ925OJjVV0OvSOdWQw92DNut90zBCx3ZMPSGTZxrWA
djuYzrkT7Z0MxqcgdKB0ReiBg9neO+miz06JdLJmtbVXq2ijGnCLLC5zCy/r2OkpksxBDgcIv1YA
plP08JowQfWGpNEurMm39FvBhHuyth3r44utGe3UqBLa9tzPJGYWk1nbW+7OEt1Hmo3UD15JWPUI
CSMkaqpsa6YQULMcmyXKFNwVwsEk75IBHifipay4TRuKyCJQBots/tjVkfvo6+nGi8kf9XOU0sxC
CcsJUPwS3EUiKd0M+70KXpIf+LumzKut00X5bizwLIyAXCxHmgcPx/mcPoyzJ4+eJGXRY8jILMkX
R5uYYmrdENWm9qzHzG6OCgraiFX9nMzVm61Lcyr8+upHgGccyyOpx3aIqpjEjgANwkZm1lpxa30y
yfvuS6iFym/+WEkIRqqNXhXQGSYCvNl5Rxau5lJIpxlmqQwgtad/Bxe8SyL8LxMIwq/RdTYjRhok
BnMQAawf0nnnZctxpBEmrEmOmwoDQhoKFNTwRp3V6FOAuUX0jeWDR/UWSbNFQF7hyg868t9Ntkxg
OtGnLy1bnnIkWvaznzgn5IeLCI64LWZsNIhqWj5yD2hd4n1O2XWaOSadZLyH48t6IL4feheGayhw
kJkYsJVhr7l8eHMbEAvVvhHA7G9Q5T3VbvE4WmTJiMT+3fvNI7lVTCl4wziymceyo42YOEAeAhYc
5uuSO1rfnqX5k3rzU9IjXddu9TRP7rM3L4bxFyya0bdfB684UcCztzY4KluUxXzbLLqlM4ewj26E
gBRcXctjO4TPnXm3yLT0/eVKMom8YXQH0wLA2aCY7upgMceSZWviEeHZ+dhPGoiR0p7PTJpitvTk
BjNdpBsli2fwSRKJmYqthrpJAqFYJiTDzcEs8PTkjWbb5kSGE5PIbbJyh2k+1ADSMuTb5D7zgQCE
6TBIFOOp56ZcQDLa5a+E5VFU/IvD7lQN2V3Lo7j/zkPO72Bg1mHYTXXWWZpBM3gr4Ep19TZnWX6g
auspk1Bs1NZO5N5jmpa/ozJ+ZwsI98Ow2w3ROkX7mIbeqIV9GVMy5GEx38K/jYjQq8OH0JI8P7HU
OXLno9PsqFOn6rrUr1ODF1LAnO7q1370XVTKcFRDokkcoqMjRWwJa3Lt1L8LvDs1NZCnR/SK020G
c79ErmSjPIqZw+QAWivJfxU44qy98crPLn0oBsOADjMrBpiBmp2c1m2K5YdMPea2X7Z2jkTWJ9zg
yICWASJ0mtgbuT6YWsXsEgUQX3+p5y3DlhsBin+dBTqQz3uaupHWtKOzjlN3g4nV2aWMisswBDXA
QrhJjxWxtjB5GZX7A20lYyt2UOy+YaKiJHRHSJHUhe4fEmI2hlWgoIHG7LRta3vjonUp843XsiVq
luRLe4yBq/AwLctwMxeM8shpMBtqmocxw/aVk1hOBQhrMiFEFrFCYbUe+U0eADJr9dwfujDk0PaP
rfXRYJLtTYDFI903hJIVgO3ygQa9ye/WRPYQoewkaJ5UcR7wyfFsu9KwaD7j+DZGfmCqTxG8eExH
izUzVZUEE6Wcc+ikBY4R+19cCXjHqn1XenAoX+pw7zs1dlF4npGx6a8jVDJhnO/WXNU13M/H9SsA
t8wWIl14wBkDTKABJZ19YWZcM9WV2TPO6vaqvN8I0EpP+aTCoo2MebRlBJE4PX74MCeaGjfv+sjG
5wD0AZnk3H/Yjf4lIx6LuRfcS+181FkINd+mMwJu0kgpNonDaLVoUnbdVvE6uM7et6qtrvSzFvQw
zgwW0I1W5fzBk6AmsRG25OOG2yarvVdJGJrs+uSXW2MS9QeQCCxzrae+RLYzFWa5Lh5KYeP7A6ol
V59LMkTBvcDjIe2bFjLkGDaO9Rlng3lxDKCZfqTHmd45bMQwv/pLFj/+vKAMny+GSi4KrNeimJI7
EYzYaJD238cKnKUppytbkvay2NCYgiqqrvXIrmtWJn9gexze9EEsDsrqPGIHoHAsAe5llb25TTc+
WVo5W+PMwSk2hiTPybtLvUahRmoaAh74FBjGFOemQfvDjXLG/TP/DgOp+Gid8RzEQ/26/jphFaOD
GNePVr9wkv+N5kVc2fabU0DMp5Op+sPtkyerd9zHWpdY3Pi/f355yX2fpJNW7VIzsP3STUvjmSXH
0kNQ3jM+eF1RKX1Vkg/pDME5Ftwhjr/kH75bk7fUBnduZ8179t31e7JUT44dqAe2Xe3rCM/z55eZ
2DDnb3D9VH3QbhyZqF8/c/1siqrjWGPQnQIK9H5CII8pPISvutZjc+Xt6KvhWRlL7hvUTc91DV+8
dwLNlb9LpsT9K6eGYa3S6ikNEZlUExM23afxfaABqo+D092IcOyuekHu0xEW95qOubdRODGeA43i
wO/t32PvZneM2wgpcGf/n2RGpx9E6IlHlXfhfdZ3D54EkcZ3fu9SYNciUvqq8Wt1xUijFnfzR9os
X42XtA9M/8xTW873ISeuG7CeXuJDDxcEctfsXBdLwRqzh6eC/KutsryPpkXwW1ZY45amyw/KQa/j
oF6gEbL6C3SZmxQExXFGVP5skZUYwCNL7KY+9VJPXDtwj+pcN4fMj5/XBccxcJPwdk6GX4Gj+0uL
tRUe03QG0pZ4Mb+jpXU38CTPGS7eznmhibecznNfSFRRKQ6h0vpdLCM/8zkzYIOhnomL+y6EL9cN
RLEMwBPu8xJQeU/9S7ICwO+flzJAIrTkpTrQ+976gkteRHK8+JlZ9vGiQONzBT1MrvyKgbV9Tkj+
gAS6d05GcCFTVJZ0QeTcpXisJu5W5lG92flRU3CdSPdaNw0yEF/slSCosOjaX1NEZoCcoKIvMEBn
zqqkBszbpRNhAELCLxmXPSAMeMb2+Me3D25FdXizpMF+YcW9E66vD6Ph45yCEHxadkjmETNUqj/d
dOD2V/l8SXwYyPBRss0C1U3c+E3Xnxw4b8G6bE8YYS1xfRfa6NQptYHhWFACOnble9tdE7slpSoz
o2MTJoiEBpMGKNnQuY7CRiCzyG5HXf6kxyq+nXyw2KqgBC67+cyp4Z+DHABbEuj5Fyo//HJNCvm7
lyGIseVTaNm9VA0mpF4D/PVVwchRyM3IrPo6z5zj9ajbiwM3UpXRQlkoaFWkhUCsBlvBeXZqJ0nD
NduXAM4a3qj7kB8bJRHY+Tm8JZKbdB2oMxCJ6p3hGFVArn8NYOgR6DKPBuppdcnTPMB+6oeg3iXs
LVkJC73JhA25HJlvM5X2s3QQDsZcD19CVveFl22tGbm061njbQZthTUsYu1+tibGWS0iGpqcPV82
O7fu3ml8/0p7jwnXksGu5eM4FW560mrsP6QDe0NgsvB4QsAQ8opbtQJq/NXaDrugCuinY6OpT7y0
PTJUQWbiiOzgz5k6tpPLttaIrrmbE/BJNpAzcB8dm92fF9wUEKGWCuXdb/Y1CPvZTd9jgeJILWYI
Y7pAsrW+9JqNurWgLEf5os7ODNCaEL/bukDSmQ7mws6MPrLJOoIdjbh1Rfo4NKN7zIIhv4X1qW+S
tqv3Pz91rTy/vVlciFAON8nNAnBy1WkysNBMB6tAElto9S9YCNsH5WH7s1WBf4yr9SFw7QeiuvEv
Bbq76PVFtAUkKCGPaVt6Z6Xs6IQEJfsLKQArV1fMTxLNwWHsnb9aeF95V7aXMPQ1RpJQkLJT5dQk
/Smhkt0CI9IvhLyPB9lozZIPSrdb+/Gtj1Lhpvct+z6UDrypgjCUIczmu3KSYC7Uvp889a+KEI3m
crZ2XQgFNdYRyVWLs+zlG2qmlCH4l6SNHK3ev/iyrO/GgX42nBxq7REXF8AN76phY6Ydzc5go5PL
p4r5VNgTQuyL13BcpYE+FOmaRvvc+emwS5Ma846FHLGyEANawPmGLrzUXuy+NeQ5mYorsIpm6DAZ
Po0lYrqVSOBVw4gztu6QNcW9eByiVTNC2K2w9rVfMmHyMhttHOlQiZ1fNE6oS96G+6GKxvWxdlOJ
wGdj7eaX2DL5RZiCr1vS9kjkPm+TR8zOUtr1kcvpj4YFczdJpqt+X4LYzzn4lFsTPh8Op7xWw3PY
2M1D5CsawYQ6Po/PNAHJxS9YNNWHuOnFXUNb9lw2FX+U8CpUi/ONGgN50TKaLsoiSU5D9Pp5YYVA
qgrTWsU4/hozi22AZJyhcQK4JuXL/pCTjh71YF88NzPPK/RoSJwBhZcTHXV2GXjI3jbMStgPmupZ
taSZVOn4wAP3smCevLXdVuK2Y5JDLlcR+v5liSxwUusL/x50Kkk1b4mXdjiEMlo5HjJymzos3+pW
ONdyfdFp9jrjSzoMIokG+NL82s/vZmMJsCuLHunyqtXh+sLADWg/NIC7n5efX//5kZbL73mg+v6/
X//5qSPWECI5ELAddhGL37bNSHqktC/zWd31EGhxt2bHWtq7yYwG1jBPgLqioSF5V2JBkSgoIm4f
pZqHxY+x9C9RcjdVFnL0JbeLnSrWBIVeJHc23MG7nx/xBoQXu+/B//DwyCjBLp0TijN7YY95eoqq
r2MftTeuBcUuMXeWYGTm9evd8wN3Wl9YKy97FeORSE013BbMY9uYsqcbOgiqVRbeL/kQ3lceiuks
DHhGyvbFxcV2jM1759vj2ery8czcXIB8KrxfRiiqwCGMYHpkwW1QRB++zfs8NkKDm0geUY1RCq+f
4M+P9PrTnx91klEO2xpQhfw7m9UOWQ/xSchmAVXNS5Hn+IYX/Hop+ovYy1u+jhb3Py8gQ/HY9u5l
FuLkxFFzxDjqAfmP9RnSYFN4zrVbX7K26w5CstryvOo7zNzp1HtNBjJHfrtZoy//e2lwuR5VZpPi
3CkjVsYpUjvoAwSf8FijjWGNPPThVyh6ciw4ULCJfk9pLN8CBmQcAut+MSStNsTsmjT4N5JeDUhy
QjxCdmu9pgu2yzQBdFyO3fOqsBloZCcrGi5mFt7tzwvrlXTnLi1UlSUu/8Ar9glLGNhiSwiHFUG6
nEtbVCUzZrKZaQcyiXrx9XdBz9X1GIJ8FVX7ANXEGRWMurK8PauS/ld29X3TmbsMMwH3NE/TfML3
NI8zQxrvHpUxPDYLdYVbJNHzjIpzIzXTAaegHheWV6y3j3rJw4pVECmIkDs+W+arT7EPiqh0e5BE
A0casA2rJiRkwdV6x7yEUC/hQTy1nI/FzOrSFUWIAp5ODYcl+LPIJ3UtiJv3TDgN9w11TgfBsESC
sGdtf9YKvv2EJdyiydraFbTfAITXloggWkVH2SdxJ8KavF43Fy9jjsLDMGiK5t8tapgNvo70zgeR
cUk78cQffM+Mmk9yhqQfschBkbIrghLyU89YqoPUuotgZu6q/spulNDuhKFHA7OyTH1AioHAcZHY
T0xKtnYT/M3Clp7GhM7DlJPbFOV9QehG7BHG5zBtSZzwMauJeiinjrZKOLfMPskAWi8KyD4VG9AY
E6nhI4ts+eVmDJRGdriZmaKjM7XytirUc5Y+p/+ixbV2YaWnPZim9E3w19hViyCdm7y0XaOzkCeH
h44pOtfeXxGqNTVvNb1VyUucyw/jVWy3C/lSK+hTCdGo52mNDfZlfdYD5qJSivsgpWtzK3JEqOqS
Q5bTMpQLBtyZlZpEwrIzfQvQQ5ERmYVud6tCBNl9qgTkrIFmuDQvQuKiFx15iQAkKyxgjEMS17fv
orKQd61ElLdE0T5bH0mSoV2IIhxRK8YgPESwl2T1+z/Gzmy5cSTbsr+SFs+NunDAHUPbrXqQOI8S
NUQoXmBShALzPONv+rEf+ivqx3qByr6ZGXkts82qaKSkUFIk4X78nL3XTgIzwCnmOovOaocjWpSc
mhQ96RRscAfoyz7Qiu0AAkgLzTkwoRm/JJq+0rRSPPheN9Ohcg4qOJJPCAvvQWKmm1y0kGFaP3zs
OxslRhlues+h3d0lzaoXdvhkihfd6oyHrMqjJzDA+xLq8E3RkHKNoHN8DEaJFN3vf0wm1H5Ua8aO
SRwSGxd8P+88VV7rtWu3DcaFmcA2c92c3kUYmI8Tp2mATYyFil43HtMAlWhW0qpWOfN17UdfHGVg
1Ocm0fDOJfNiQnW2DkM9ujh9TuMy0BNsIlBiULgPuyBshzUyrIhugOs/Gx7sByDP/qru7fPAeOMC
7eLFE1r3zdDnQy3ndTW3CybP+OzWLe1Q6sBloyVq1aHBARtPTKpbaDmu/Y50l254J0C0+9hbr1to
oWGn63u8t4lj5ec6i2sSEjxteX2YjklxTj8LkIBLn2g8Kj9B11K7I1siA+Wg/C8ZaUPO5OEFba11
LdN6WzjYuPFeEVBABcIBA4ah4TvRSZ9v0ISMK1Fx1MPCCHRXQueomD5eolRTl9y+d5C50fsecGTI
kkmJURobNyWhEEIkIhTUkAjK6vxer6bnpNf6R9atd30AA9KpwN9kuuk/2NrNRNg0V77M3t3iyTbx
dfWyMXfxoFH4zUXnMHMo3ZtJg98FUVq783IfleSAe9IOxOc095joZs2dXcKOyjNd22g5ypTK1NED
p2g4RVOIdeeN99HY2gfH+RL4SJeNkewfu47JOLUGIlQ4ENMXJMfHHN/KqH9Fh2g/TF26cmG9roQt
vVVSB/FnlvQ9WYbqbagIE7EVYIqRaQk6lhLhF9LAz7llp7ioCSj2+2y8+Fq9RTqeLUKOkOuKnMHH
oELJ5fd9vcLRzOo81Vit+oHzWXjz6ujAHyUM5hMtXmatoU0IZxDiSBKdvmkshbEuJPoVKig6BOx5
DuRTre6xF4NsuLVbffwCpigczeqQRUENYg7BZRlFaFhCmLZAcQ0AJob7Ta8buXWqoV7aiVMuNR8c
yQysP7op/p80/ErW2NqVwBCwAXFGhy0eyuiIcJZc6sEYFip/zpHswQ0hwqGsawhCjtkvba1zN77F
qWMa8WsNVlxxnUNbktyhGSe/fK/7Mv2GALSgTRTS6nfzO53PwNZ1ZlthZV30ArkC+sx6E2iBcRxS
qPuWH8gzmhFjoZREqNJETxx9NWBxsjxqOVe7USkCj+o8OPRu9C1LGegPBThcOr9ghGoOpLaTPPAC
5ydb1uXy0y//8a///I9vw//03/M7Dom4EOp//SePv/HaV6EfND89/Nf6PT+9pu/19V/910/98d/8
6zFP+d9f/sgx/Fbldf6j+fmn5mfzX7+X//qvz27x2rz+4cEyo/kx3rfv1Xh5r9ukuT4H/o75J/9/
v/nL+/W3PI7F+z8/fSOhoJl/mx/m2adfv7X9/s9PhjSuL9TH6zT//l+/Ob8S//z0UOTRe/bv//1L
XP37fyV5Vzfdv//Pn/79+2vd/POT+AfLNbh/18B0ZxlMTD/90r/P39Gcf1imTlktLNswLdNwxKdf
spyIlH9+svR/ONKxbV1IwadZWfyrOm/nb0n3H9hZbMulo0kphGv30/97If7whv72Bv+StekdjsCm
5unYn34pPt73+Q9Fo64MS9rKETw3B2mSzve/vV5orM0//T90WCUW+akkz7T5D3i9HcOb5l6a8dJg
qqQa+2CAhQVof70ZaJ5tikqlp8xoemLxgp4+ca5mgvCb6U3t+nev669P9/dPz1DWn56f5TgmL5tt
C8M0Td6Y3z+/OKazlHnI34ICfzMSj+w2NZnJ04zEHY8KCscGDJH54fUmNzA2lJn2pewRyodhpd1V
gq5LWUBKLUpwqkaVmU+GRLngNkVBxNhULCI9nr6iH72n2F+nWkdclKunj5wJC+DxbrZt5ta7Gr75
fa1vcwSXu8jitBCkJnPoBhcc3SFss6Xq11TU4RuB27QdsjoHiCjfOOtD8SWNoaMDavgsO6kBUobx
ZLD1Jb2/mg392XAJKZ3X4AQ7mLW2R5hXQ2sNDBaLeES4F+/zqcdyGjPJU/Toz2UIP9khOyWOrPAt
KpCcZKVt7tkji1vXRwwm/fAhdZKFJmS3D62MszD45+fUHUJiznp7UZDFsDJLtD/srDTB5tWcIbdC
JWaS0vDxt1UMhm3Vuxgjk/arWcrhzrK+AIv2d7KtxnXRzravDjDv0Lkrtwy1t9ncosqqfadU+6HL
pn1yBHClqW+2gW0yl3LEnW8jBPJjAuCC0kwfU92PH8elS8f6NhgRwSlTY2/l1LqdrCpl8/EveZn1
vAn+JXCbcSMCMElWYz0mTse4ViJNzmDjHIy8yFZ5nzmEOWHycv1g3dI/umtSbQDCZTFwKfNzas4K
lSIUj6ZWJTsGsRolCw9jy0/PBFG4Z6OzjCeIjt7ZqrSPR62uAejQ4YKO/i4aixl6lxPP6Q+ttiaA
yhYU7oing31sZOSaxgtKoekpqoEzS5mVi7zfM66eTvHk1+frTTYRGgNT+DjUPnMeXHPmrmjyYpO2
9nC0WuLxxqSnJp0agjuKeD5/JqiPhP0oh76+z+UI4SxiLKCYjebT4JDTmNTnsab4yENNbTW/eG+E
wxS8SWDj2XGKBQjk+XdRpFsOwg4WxJjwJS9Z1KNrIwSXxD7J+FzsrtvuqAP85u2ZdlpvbjRigdKS
pFvu9JnNHSQUWgf4tUNwz1tGI2lPjMdj6yA5qOwbWkJ9ad1nMhq/jdzRon560UD5yY5NEbEDRynJ
UhJK1cGDQejhh0Me046c97s4tO8LuvFWXDJWbex7K42SY6GyI3qJ5s4gYgHIcx4Ihm+EkPrGRQ1T
vb++d+j7v1vh06Sn3kGf38yML0RuzMbc1ienKOy9mVlH6gb90M43bgZEi0QMuTBFStAyrKl1mAFq
zNEOQzutkteoK7iSq/JRH6J95PiQIDRdfxoaDqcIwqNXesF3fpIGb3+9GEr2g5/WapZBE22pFKZp
Oz+v1W1paYVZD9VtU9TrwAPmSM/aOUxVV23bkLStqZfVQRYA/ioAbLpuaAtUux1VIUArGBCgizs9
/oJT+sVSQKpAJL5YYSw/R4wHIgSWTyC1hrNVyxuXKZoIDUBkavhqZA35DW6dUeygpuhi2rWFZa20
Gi9/bLVvrcgdwDVNumVdujcMfzr4ppFBK7BevMI6q84JNhnk/d1fvyTGvPz/YfuyBX4fqQvTNXXc
9T9tX0E1uV5okBrJ2eVFDkFBPFDn7H0L7pauUtKwYh/uZbbuOmKdyhhpru/SVdQKnOI0s+xtP+yN
NlTPqP8rbIW5feYJtwvIRRxi++Rg+m62p0UV7f/mqf95Z7PduQAwheLdZAD9x53Ni1HPjTbsgkYg
3B6jPj/4AQITzbSPCM9jmyG4Zxjqye+IAjbh1TrF5yJk2CjugVi651K6zhmmLMKHlFjIKCK7atSm
5NtoE2PRMLN2Eq+EARpvPc7myzLvB7pq6c1f/yGW86f3QNdNQ1E+8B903esW/rsSInJkR+Qy2Vwq
6cCwVqHzBT9feD8I9UKi+VezJ1epN80Mh1mXX6ICdmg+NHdVF+XIfMikyXEMb0yZLa0mSw9OrUMq
swGweJDbLqzI1sIa4U55LmchJiWo2edLFUotYyLhvWlOKg6tDV0vkeM+Um70MJSk2wFmG0RmXoLB
rA82FszaIbOWUwrdHcOqL6OrP9Y45KwQwLRb2y+WoxNL3NbVGWsrm74sLoOh6+swxYBZYftnCKwT
zBfr6qExMw/caVmgpWnQFOBD+3Y9ol1v7ATk58Age1kLQ9vUk1L7kRyJl3AgHT5q+zWG2GBP9SVu
x8TR4R4N/eqv3xjh/jdvjGPqJBZwNeu6+ql2CpGG0ikp0luVeoiTJ0c+0UYCE9R/6yo6hlSm1ZND
RgNIya+9HoSrJCT/urA787MH4VojuTYvlI+ls+0exqg0N8om6s7gxPjXT1X9aWmzoQ9ZgnqWa0LZ
Yr5YfvcZ8iwIjRnt6lsRVHei5y2+lmn+JApy1HkoHTdf98R6gLwPxQGh5ndVyzmEsRiZbXDT0OUB
1GQ/mcrVdlDIkEfEJdZCVdekQ/ozcRVqdl5X0V3fhQ7uaLh1dqYdyZmw19MU/7g+cjThMqUZGw6p
tFBgQrgnUAnivvfFFqAy5ALOqjqSNhX18mzlOXmsxJOhAyf8oRpoD8ei726r+WUsctbgJCGf/foQ
EdRTCD35qEOR3OIZ/Diw/eG89od6+U+Liq0rxk66cB2sOo7701ueaXmQchJNbkvTZyfuG21fEY/d
TgHFIxv9bZyhLrm185kTPcG3nvrxKy/MbZLeB2ECcgAhN/XmBCtz0NULc00WP0Ztym4DBODsoIGi
i508/Hqxq1MlvQm5tHz564+E8d/8KdJxlGmg3NCl8fOfYtRdYRoaPKAxkYKieJL+oibanGuJhJHc
IMbbJ5Wlqzz6Mv1QXCIbm5RLl2OtZfUjvTPttsqc/mi75aZOpbaNpesfI7WX13VqwphtGra8RD3b
AHJzLmLNt+VdloN6RO9sbv7mL5pX9D9uVrbrOtfjDBejbv70IS80imuzYDgYZ2SMFK2eM95dm2Um
T+1cErd1sSQn9jr9MOZtIAjH2a89rzsZh9BN7aoXz67NrZcFdK/d2s+2OuEYfBrJDiSi6q+fsPjz
6fD60gsOomgmLKnLP16WVWNqelTzcco7W5L3y/YpDYQ813uG3zATC6dTU1b659DrdbS+IXrVuKhP
eF+QXEdxuK+pWU7lfDOajcHp0jZuLxFN/Occ2feFY9RmrOJTVLJbC8chEq0qx7tST160wihQ/iTW
rZ8xIhXEn7WNPqta42ymgmSr69emRqDVNh16eiBXbsKAoN0eqANPgYkQsBSUsYambwCUlUPvvTdW
eQqKwqHhpyPIGaYL0pqdJoPm8+gyH81dJ9sVbded/DDpTqje722VmkDkeHT9emebIDaYG9wWCTZU
XcTOzu2z7NHu+g0zvUpsw06NVGFh+bmrqts+cgnDLUpGp9ig9oWSJZy1nHOZr/CFJMgoCXYg0ef6
KSRTzWx6lI/Ko1NGiTdrofsDOqXzAMceeA/aHMvWCiI3aE67aXTXiUE91MBIFs2QhevrVkN3fP74
x5pQy85HFIaSLj+VDS92v3N0pHViclgk6D4AM5jH3X7qUkWTqlqtRqPWN3pH4FU0LxF2lnxpdX0u
LCMuxhSdEfabrDsraO1xqwUXPcyDSxKNf1PhmT/vDBYlgmkpoVNd2LTmfrpoMivKhrQfMMcn7Vnr
+vLFDwIIw1PonWzjuRD+sKtEbZMITB6T9NWdUXRy5aHYRb1o2E+27z2PUU3MrYGvGeyePOmVYe2l
t+tlDZpyXtMSP77MjxIIAEGXFS8Tc9WrQCSOmTpI1cIzhRiwFI0d3v7dZTZfRr9fGPgbTcOULDY0
YyzbmSus3+1+up0QpRCCAB7ywsIGj+zBV/i5VANAI+7SN65O4J9tgapfa7MlUvgdKVfZXT7pjkNa
BUK3ygho0ioAb5HtEw2t9x3ZLZlOhptXmp+ZLINb1S+kt7TrTDj2BR0jCyV8t9INHtJyCB5Unc2b
m6zWLnKXjwZAkJThuso7Dz6G9PaTVP0GcA9uHsKDWtF7h0oU+qM7p03IkXbrYBCEVvY9pFC1hw9K
wcaZ/7r0DimZ9Bxumg1zsvRORJDhzIiD703BVWQgfT2mrcFgJonLF0TYRCYXOdr7Ln8NAz1bgIoY
bkoTWjom5rdk6MMTzasKyCf4wro9Y57pLzH9nKVuh4yiynw6k09B/z25d7TpIZVRvO3LIHvMednW
mDSgQBKtNVBSPCjSVRYmpuwN+Q+PNh6oc+ASN4kWJL33JHNKJiUYSnBBlCs/BMzolXa8CgMVfSkm
fxvllfOaCN1YYVoHgr8YRO69d7lGblOVfQXm9eRJYCpFfXYRvoiWIIrrZy9s7WCrF9K9ZRBNrTZf
12lbXiqXN9pJaMiNKA7/plBwft5d54+cZbq2cFndpSF+KhT8fCQZwy6hiLjJY6vyl9Ijg7iGHXdm
BE5ADKUpr6C/cg0pf2TDsNORse7dkjGMAcD6ltZqfc47P9t1/uCsGDzUj2DNAdy620kIEo4q8mZY
bMS9VsM9TyByHUoZWYvOtl+tAUajAcx5jYI1uEMIgF+lVvajF+QKkXvJtNwgsTGXIt2Uotp7gz/u
r58ireg5ZGQu1FwWevzwjB9cUKUCfu7gtOp5ECPDa0P8SMoGnRhon2d8ZDSRVAnoqRHaMxZgAtQS
ls4pIM86iuCiV6jznERMr6k++z36+KlSoX6DdhAchGjHaovx0DyyuRG1qtAVd7nj3Uda7N23VaMv
dfRB6DxRoNMNfMojPiBuNZTH61LMTb3rrzciBzeZdt1jEmnB3XCHPl7tqxkclgQgsMf5YeTJcfvX
i8yfTsq84Y6SqCmoDC3zTxW2W/W+r6QeYy6qmmNphPXar/VoGQ+NvG/b+nsDXnBpolJ8nN1ioBq0
rQkHCz9+nntrnVPcIvfadOubPEMrNr4yyY3XvpwqtKXZK3AC+87AsTUn4mZ/0wcW6qcV0hZ0wul7
MX1yDDrfP31cR7+pDLKRJOPTo1945q5EUoLXEzNSD9NvTTeIU5ZZnTTseoue1fNogFTZTRNamqkj
BTtBGx9k7uGvX1ZBI/4PSzdnK84TNi1811bK+vmMFVtF5KKwweMeh+2mpVzOgJN9VnYFs04f850/
eLZzY6XtTrIxf1TNUe3dKoyUeIg5ny3+5inNr8XvdxOekoNoxtUVrQWa5j/tmKz2lg3kiI6OkeSA
V1p5AnsB38CLF4k99Y96X3/Thb2Lk+puYJ04mnpo3k4Jbt2/firS0H9uDiD4U7Z0pWUxyWCh+Wlr
6zwv8MehJGKXSXSsV8Op433o23zVzGd44k67XeX7J5yj9Z46cA6dwYjnJoG8dxLamTrQGQwMkGdC
3VuGrVsfS0DH15XKSK16a0jxFd8ImCbCQpYqV/X5YxmT8W1NeRNnPrCd0DT34I3MJ3tiMn19mGji
GSlhCi2JSTdqOXHWJ+GvpEckMg7rz0ZcUi9pYwBHzsbFNPdUy64k94z8XDwiWX/jIGlATaB3az3B
meELEE61zcFi/tmuYkaiEcy9rHuSsyrUYUtJ7qzPiv9GLCHN1t4kDiBx01UOHnsZqXbuGqTjEid7
sIDYX1MJztOFQdDUBTHinvX5Jm1jkyNb/lmp8h533L0BfC0gpIbX9aOo8w3nwSLMYB52lA0CBGcm
thUohCTyFJTdM2FRUouSPBRsdAKz7H4S+xlToiazOcAiQdRmtRcpK3Eax1w8Mp/gXDmme9QwRIig
oFwEuqOvlMcemnrs7V6vxqWmz4DUfIK5MPelJ5HBSyC6+CFUctMkFQ4+/CEtoBCRC6JU29g9RHEk
NoVe4bgxG3ZfpR0d1GbnqgZk3iBDC1mIIa33iWajMwYjBHVtXwXSXAMhQDHXvCdVJLeeIWDfm1a4
o7fDZy7AZRGjoCKKqYFbJ82+Pk7AZKPGzw61U2QHwul/vRcgrA8Ok8nw4GbyiAYCu+kfPKuYjkNe
M0g3w7OqWrXl8skv0hfZZXW95WCaX9yYNnsfYfNpsqjf2MGQrgu3+ToWYXGW3agt2kDJD40MfJRy
Z2D5lajBrGk41uaoNqD95mRsV61I1TGA6FCoal5RrRw3c7bm6ADxqmWy1sYe4EmofICnTreudCbZ
VTP5S70g0YqOUzyXT33UXgo/mS5UQfjCSnLB5r7Jx0U339PkeD8Spbe5fklozUKDK/s8uNGXqQC+
Vbgdvfhcv0aj5Ee3yZDa1qC5k7A0lqqcw3nQetMqESAIwgCsbT6q5q6cb/oUzvV1iuV5IbGCfdwf
BycFFAjNGsyoikd/YUYlNG4XLBJwJXM8TaM9LKyUHSQu3D02NsG4h5sRMdkit8oYSo/Usa9w00rS
GtJ+vLs+0plybiAhIQ5jSjLLrxrN9k7Xe+wc1jb39Adw+zRrPPcRgCN8bYwmG6QaL8as1g+rhxGc
0r6zU3up6+TX6XFp7vsMZ0hHytVRM0G4GnYu3iz6JfGiQ+aW52Z8l2Ztc6lNHL5yANfv1AR1dUkV
br0jmy3U+y53oU42HWORNMl4CdMQh0C8Lt3RPhqO1WCmHBHI5wLHnywbqg1CyImnFPjd3EkNd8ro
dCaE7HdTn/pnr/tqQz/Zhcoed9aQwUm8Pta5+G8wv3wfrUQcMN1yUjZjdaxyUEWJ7NSJ/RU1fuIP
a8uGCFVL/c4PUftfx5Odtvo4YKjSs0npSJrLqL4Iv0ruM1M+fXzPj8OvPh2xc5YO04ymHhdJ2ruo
NsiFnrMCr/+uGmR6P4x3ydxvsdMsITuO/OrrQ9w1JEqImCw5eChLzBzNMcmHV1nb4rGrVPJQZu+j
SlmY9FTeN8P3ygtHjBM5act1rX3zsuJHM0LVLGjjnGA/lStvYDQTkQL/iP1iPJiFfBfg8moS5uBQ
bjgclqQGjdV9bqMq0shGG8fLb1/VMAodC5bi8i2wXAkTz1qJqBbbrHAZp1w1eDIo1oWtpxszH9xb
Wk4vLu/8F3fmhtAn+0r9GVhx+xArfGEMyYeLPg7hEjciKCAdn3+FMZXNbG5U1k2+NDI08pkErAl9
0LyZ2sHZkcnZeyvLc9uP684bUM+YxRCum6rMj3mHo9PPS/fm45jeuKAdA0dDqmyzTZXYJXqPrNLr
oV/2YKyUoxVkYaXDsYJ3k6+F4oUcxvZrBkvhFvTrPO7ixv6ve640JatMxxzTz4wjuRH+uh1jCIa5
aZJz3VSkXQ9hjMWjePCAgm4GLbpLub4hz3CDrPSuNIAKRRXIL5ed/LFwNaanzGQYPNNTTh0S8kjo
irXgRw9Rcegc527UrB8o/7qD5+f9gbZNS2KIAUlkfnj9Rk0KikMrHQuqwM88S94PDo5LvBLasZnc
6jZIKXHgJ9DA6HsnWGvkaCWj5ENQBO1TjTTvthBmff7Y/zI56oAhfvujyhiPSJehYLAooI8Di854
c71rtM9mxlxpisyDnij/Oczd7w7Eo+3HQbsZwTU4lvbkt4V4m+/osQkByFM5qGCaqb7VPjVVy1lU
FeuWQJbriKcvFaHxpgKXh8GYyizzJyb9KfMIvcjf8omYKoc0L47DEbEz+Y9Kfg962h/YscQmqrh4
usk1N8VUsWS5xrHL3OkRC5YkLCIq4hURMBPZLTmZVg3ZfHAC5W7UK3Ks58IraKNhMeAwA5sYb8LW
S0DM68kiHpWzT2Xr0B8Yn4BSLyDZZTuLqzy++d3d0SW0tNTtLx+TtOtQrU+l2vlU/6zUdd2C4plX
M9itQIRrxyUuUFXrkSMKbl3O/13kpHcY5MezLF7LKBXPuVFNUBvZ0Yd9jczsTgm32TJuhLipJM0P
kRskaSldTphfAIbqHQjt5JSPnx0rWNWyrMDbUR9d5ecxU5tVF4dQfK2xBZ5DyxCPuRpvtaIKHtBd
gNdBUnuwrqU4hbzYp9j4rcJFSlqjxi/8fpfMwtKgH6Cn6iXVpAiDY2bDtf/tprFfPOfz2MUO/Sd4
j6XOUn59CJ6LY24sISxOidDwL9fJ2oIrsqL5QLxhorKdL+L3q9vrN9/XFS6uh8lz3BniIOwqvkA5
W12LuXo044vFo9odzuOos8Ja3XBfkpK7Leo5NGh+GFb2cO8K3OkFkw5BvvaXUug/wiG0Vh8fD2Gy
AiE/xKBUJVp3Eg5xAdaDqQrb25ezXYhMq0CEldpVha1uZ5i1BzeTVmI+fkVYyobrCsrb3lkRP6qT
xFgzNE+D+ONhL/tqExrgxwltLB7GvHtzB6BaglF0Sh23u97E870x7MgaCcwjo2Ry0zz/vQzM8YvP
BsqnuDXWqijGORnpFOmhcbn+VFJUb0SvBFEeHksRL1MFOQMvTRxhJi+RtXpsXLkr5Na1e7XS6Sw/
+WPzFEx2c8uMoyBq1i/PUdlvc8ZjUFPS+JlDL7yX1r1vMJduJtg86yIPwkePyTWLgXWoGHSefOEG
Rz8O7ssEz11FIBCNJUHsXSNwQSj9eH2I8n6OLilfafxl5ywkx7oMC6pleIVQ33l4/YZW35dFqVVL
vLubsQcOZvpj+g2SWy1S420ahveqzg9ZEIoX2snPDkcnFKtDeaJAI8VwNuX9ug6ZgijC2jLPCKur
DdqoHGK8RS53UGNgaMZpWYK+3QriGp60U55Z2YoqDo1RNQsrgY3XU27suFA/zk9UBTU2xVHceoAp
T3Ri5NqzCWvx6rzb+n1Og9r3e2JEimad+3p/pK5q1oE22KtYDN8mrrIjZfF0GzdG9Zq7wVlwRT0R
Ti22gEfUEi/ADcOP6DEowMWmaLA2pmrMJ5la6aLNdB7Oxdn1u6qppw0qIG3VMrNYMtvt5soezYjy
xDNRqN+zAF2Y8CrjWbgesYgE4lT50IJH66wb8r7E3plPOPSn0K3UpMPOj65ftwesyDfm/CPqt7tO
OMVERc0/1eivvoU/xhobZ9H5zXjjgizaX2/s+V4epXCfr3dDXf38+6+/o3Trd63v+zXS0+yE1iI/
FbHmETIgiZvtonRb4lFB7fZrp3WEbFtbjnVO8WHeiZRz6SxJgzMPbajxl05oV/fEKFWc/4bslqPX
TZrm5SUKom8wG4M3Lyf5OWnN5WhPyUpv7Hrvp8WvN9eHlI49UCp0rxDWzFNlJPccNrWttLQKTnuh
7YVr+0slym7N7mw+xTkbiUyJENbc9EhZluN9svrbyHSBgUJfJqSqVUvLkbBYpDl+jbGgce2MTyot
NgwicQyzCT8EPBE4zJ713YGcDBW6+axCbQkEqNwM0tFvOe6qB6WnT7Feunsvdu8LEH+HKpMVOJdw
7RZQ2g0hxlMV+dMJVeV4kmnjbNvSvZv/nyXWnRWbwy73SfptRf2Mw007O3llHys/ffWUvixy0/ou
ZfSjiuPgKUbfu2pKS+zMbgWDfniyuzspw+Iz1ObqFHQh+ZfRUqfr+17UHBcCGvSTY5wt8otXHlkO
W1uVBB7Her3V7d59VG3SL+HldqtrV80EOLqB8gJ/1B42BKSph6AsODD5FVn0RQqmaYbv9kbxBfl5
tG7MFjZbDR3JjgOHPF7mS5PNHjX2hHzEc7lrpgOy62z0V6Bs29twUOm3BhJxJJzgqdHUtyKoPgdJ
zKHIJSvccXufDlRaPvhogy5sCPS+yx5QgOOEX0sQg7MT5/plZwJMTvlL/ay6J+x+X3r4defQzOTT
hzZL0GfC/qQjuM7DS1bjVXK19XUSyYhoIRKvvrNTS+7iTquo5FAQhFboXazAzZ9p3ZMbqIG1M8Is
eOGyABI62TnreeNierTdBf7v+JDoc2awG9evuKMJ1Sr1Z72hVWBQftz6RfHDV5p+zqFuAXTink/m
ymrydPKoleRrBQHiRYxKyRMxK2vpx681EGLOAfZ3I3H8Gwn+dA3wkfS4XDsKMw/OZjSkj5ZN7KsF
Ab9zWwrMGtR43PLLnNTXbiqQxRt1dQ83JXYAVuTEN4M1A55+0yoRgdJHn6euDgygsJ2MDg2hKGuZ
F4C0KtQ+IuhoNSSraGh2s0zjOU4xqzQDge0sz8EzQZkFHQeLjJr5u0Wjv/W5yg4++FpnLte9+cYf
BFnfZJ+wFHI+coOhWcf8aroKoViG80dEA4XjjeHDOKVgTixSC5kSzW9zxtBzHZhFtyZSixc5a0Bu
gkNfj45qN5kQxtNAt05w5HtDNcaoMxvTs66PR1xqajWN07TN854Qm4KiDRfQKsM5hEJeFsfCHuQS
O6n+4LmBg8lB+xLFWNWc+fOQzJ8Hbf48MMfrHgbALUPaLF1HchKc5X1GbBMBPxyyMWxwvmv1gKSU
f2O56ea36u5a4mVGse+umsN6JgCV0cD8t/fD7NZoSTcDxRntw66TF8PTmD7k8aPtCEBKoVutUahS
nSZZbpDrqHLc2M1rVbvVo+sC1cQ75a455W8Aq2fn1k2ph0RWvAPmHWB8VxrkGCMFxiWLOlsNOdAb
QM7Jd/JjHECuUSjT1xrDPahyNz1MaeGe4sLhnXHj9POvG7buHN0WbKk1Zhzuy9luEcbWQzaZ3oPv
iseU7frY4t49QkPHFeAcCL0ZPmtZlR4sKyhuS6/Sn0UiFo1on68SUVxn4Ghwso4mxvcxaC5trZxH
GwhgmNoJeCXBClCLS1C292qe/CUpWFzPHJcl8vvHjnRix+3yPZA4jh4cWxwCFDSC0TMj2fuSzr6m
IqgiVtDchrHeXK4UCV1zN3nVr/sGhzytIvpcpXhsFNSpLMqK1fUh1CuiGkh7WLzlVjEcXSP2kZ2b
1gF9PuAoNIt8VieiCg2jPA5l0y5YWyECzDMw3pN+rc3U3ymjE6YQWK8YGBQvXRx/s9E0qogwo2g0
uTKRHt4gi7hxpnb8UML+X7LObLltJGyyT4QI7AXccl8lUqvlG4RtubHvQBWAp58DsOfvWW4YJKV2
SxSJqsov8yRlRN+5JyXiGYiSyujkcYqbt6F/Sqq6B4XqEArmuh0Oen3iQbQ8C60tTCv3HUEgAT4A
iSkEJ3TF+ll9gPV40zKuGy4MRhBeoQGqs3U+Dd+aN62gx2h8YsKSTJda5vqmN1Njk8Hf3xViEzhr
YmV4sSfT+mSsBp6wENoucZuj2Ul+W0NBVKMY73uk5iuuScD3iF7LDZ8CfcOVs9wF/ShffPKffcAs
1d0uS4J0q+LeNjr+bVvbxDYr+TjAklhVgn9d1e2fBrvyjnxpd8B5MzAtk8dWehAdAAdr0sJ7x86Q
5Db7nuWmlDTadmPvbpeHAW0OA2RniLJq3I4cwV6HwQxvpPF2PS6hV8P5d4jZEm3lyICMWepJ88SI
ISssdZ0aSJawcfyNKqLhGru5c3p4kx0l0yuh4BoYTxQca99JXkgcUTu2/FjpLM7USQm8xmti+mOY
PJE2p0O8qfABhWCxV5zYUqTN+ZOdj3l6oahg0pXNHAjnF1tTxXR8Jh4sdxfQQWakilJmLrfQoaxD
GOfmY7bOpbbfVCNu7OPdQNeDzTUB6rbMRtt2gd/cdaftrwWNzP1sK19u/MTQtg4//Pq/5zrXHwHG
EzbTkVAR1xkCyCqhJyqekUL52Owc1lUahfSOjU1Sn2EWNBuU8t8VRLDL4uGXNo2HTB2INNh69FoY
vdowFa73pUfX4XxashLSrbTO1hvLiooLOChYqPNJf7Aa41LZ0T/MQQJ2FQG8rskI3uxWM/t1OhJ2
WLwEk0l6UYvCktw41oIOcO0BN3uwcqOg2Vk9sahK9Ljjm6o5dSF9VNUMCq5UQkQ0AWYrmlD+5lS9
nVLT/YHRoN118xisiBwWwxlqomaoyX83LUy9nCTvZWr1P1lnB3/15I+Kh5eWFerUN+mm4qJ8jmE2
ArxClccfwkqOjWBHEJj1GXr6Ad9jdG/jfpN1mfPqpY792rW4JQB+TccUr5ueavq1oQE2mMXU5SYP
7bvezsbTbHxPW37kh7zppnZ8WzaZvfPDyYh1dk7TPSszX7H6hWdv3usLeCy0a82P/71bkcRP3ZH+
Qq+8ttNIepV06CoFHXCKQQesYmxLmDtCwDvMrFEXNaz/Rd3ujbJxT23LqW854tYjrFyltPTCsOs1
oo+HD/aFnGf7jK2PMdAk7X8YP6jVCHjxMvR1fEmb4LdXNJxI+3bcNsKwV+kBW7/5t/Y98oj69I6P
dV/q/d/lz9eyPXrxTF69WXGd39d3v+IqG22sgXDvqtLcs/Db7reB3xvEdpJ9Zlls8kYR6UkRd9gk
gtHLPHVI8evfsIOdZWtyOJgoE/XJZG8nr5NAfD1YFtSYWq1XwmxFCiZiwCBG47fN3CG4tAVWGofC
pq8Jo8U6ry37HMR0SHc+50s3bO96FUSXXIafBr/HB9t1hrp4OZZH+rQehjL/yAK9P8Nyv2de9ify
/OQ7yPSLOaZ0T1sUmwNG7Fal5tDU1a9dt43f6mSSb6q2f8dioFCjoU8hxeZ6nupo2ntGFzxRLSy3
9ujIlyIDseYFk/xIdBRNsrtMM2ix3eZjWZ+FwBg57wOX9axx3mtgP+8GzQVa7s+7hpjDrLxiNSOC
Mn4PHf4VQ9VEgusQJb6mnby1i31D2vpiZx1zMOHPGY2B+gs5KaxA85PLl0PD8S4l0sfKnjq8gv8T
yVruQVTdCa9vD0PtaNl3lZxyrdJOymTB5kQx32KYQHOZn3VV5O2mtv9IzaCmN0fHpDCwqJA9gkg9
P1y+MOomGLoWcNu1rR3/VIKIXL7637eQ7XUPzaC9w8oLbmOjk/gsgPcXca3dluc8C4oTf8Y9dlzS
TTp9qokeVntRTf1FWVV/We7l3RfTn440hc+goPS8/tJmWGm0EW6Zrav8SNO4gFjtWu8Z7V7HNkKG
rwbtm/lKQK65ggbHKWVVOG501nwzv/x3g2Go2fMd34vgGOaQjDXXSDe1Oo+lZZ6VcK21M7p9+mlG
Vv+s2DZsgMwEu+Vq4lDGd2lK8U+tD/1RtqDJM8gxT1GUfC/mkqJNaIBKFQUmulatRrxi+2Ud6glF
X1RmmnjKrz0wqa1r9dErGtmxUGl+aeqGD/bYDbgrTEVVF1cF393o7WcXDd5BmqfOJuftcFH/GjT7
Vg7FxC/xyTXlFArFWJbzymvsc6EGyEzjPTH6sHS6Q1oG5lH0kp4aU6wbTg6nNtX6beQzotBnTrDV
ds2XF2afbO1dqnBnJ702VXePhtHFIYW7CvygSrKDGJKrMvzmF+5pPgu1gYeWtffmaLzmmbKCo0XO
bbtYbSdOPyvLZYLxr/bLGX7bW8z5YngHKEcDmNWgbs+Jj2WmD1RwDlsKaypLPRtjYO99MQKqmtfT
RQA3lVduJ6v8o0nNP0OZOvcJAzYUVOfMdPl31sJLWB5VJN02VWjXz0b8iwKQ4Tamvr/G4XLS5xk4
jWXVtmRsvB56hgIGlb+/tZJfsVblX9Ttf/qor9+5Nia72sEUhPzfXzV7W9PAEpv6tIU+zKhuchF5
cQOw+5nX0bGLmAdHf6rxmcD1UdQ224RWL6FgdzH6lnpSs5KxLE2KSuPeImUQOkW/kWXNG0Dj8GGM
9rCGwvo+DKrfP4bdfSbjc2md+rxxP2Dp98dyanyiizQncvo6Ei9mBo46dubKhrqep3gMzPK66CZB
yQI95gjY6bwkLs8lzh/WSXq/nDx6avGlrNUo3XeCxXMIpt42/LO7MHGct1ltPjYwB6iM4mE8BunV
SdjzWe0OZjBHK8XknyMbQFMUT/tFmZF8nr/qiSw8Wy17FGbvxmsp5MHv/PiH39bmkXKrfsMIwjzF
GM02DtmQ1BUpxCSV7+06r44MJ907EbUJGBKWTTe0IaRndAZIBSaw8bQUaLR8VlIDz9dbn9rsR/Tn
m+We9OhxyLAGXxjifWDdmO4tSOZb7cBh1cgUfoEbL7ZF5lwChKNrYQRz3ZwhvnzcfWula5CKpB+/
66SYsDAZp8Xm8PAn6sIcDyxrFlu3ZLzJSLsx7dE+zGb8GvI0eG8CugAgDKxMV46/fZcPD+jgfw96
sU87038b6kVz1Ip42Ndp8k6t35xcazV1LNzhPsZPXgPNnXGv2tH7x4ZiHv4t96Rb/+w9BleLXDcJ
I3xy9fPgamCN6uqLyQqE3mhasS1wLlU6HGEXQpGd86gRxuhIGPQ6GLpx7ObZM/qwuI5T8d67gllu
Xf4koxfSv2xM+8WCnohOXGMDFKtXFBhlB72rKR8Y5hoW+Kh5Gt56qg35EHC9DLW6DCiumepLXOhn
GP24TBxRDYcmAdFaQBi8EM0+l1VnHlyZB6eWg3g9Mw2Wr+VYli5V3T5VQUOZniyCiSuCjkMKU8vJ
a2sqdr0erJlmG2cWzjc4YlS5L6p/7Fl0Xj5mZQKLeQlMe6t58kcSGVwRvd/amL30SuhHvFxHso8U
grdjvc+Bh1hY7HfYI6BDV+P4pNcddoQkpQ0dx6ENbI+s60gUWmp5dPKLlDRKyW600QzzmOokeJbT
qfAmtX+8VdrFrVJQy4m2wHFnzIZ2Z01WuOmSSqxtZkOMSU0+oT2Dcy3jhfVDKvesIX2ZH1kwOm6P
36tHv7i7oX5vB914diL6xZcMJyL8sF8Snoqk6rYx9Wgmhs3OTR1lyGrExh6IGQQB+xMG+fEFgyQR
j3m6ElRvGhT4z9RvW0wOMXBKVVkAXELtGPTJG/2t2ofTql3YGdZ5GapTeMGmB3/ysarStyJrfo6h
Zz8bWYIEUunlTWNcyNGxbQ8Fyv3ZrdwZQ2jdtcKMfgBl42jPaYG6Pu+FM+pmsWEFjR+vq65r93FU
/65M5FObkyAok/QV1lN59NlT7a08wBWFOLoHt26+6xk568Uw3AE+YaBfTZP+zM+xsXlz/FCxenl8
eQpc3ime2hYVRA5rEu1RS6ZHhr0T2kcaq2AfdVB7SVC4rel+Z+8WTh0orUG2rw2Xq19liwP52xqg
RzttKYrzP9Qg32rSol5n3vrJaG8lvNPZwGPNrAbQWNp2wqMRrLAl+I/zuKucCFoeigzNFuDHUz08
GEX6QWuO9oTcA+K9nIKtZoOiUACxV4pSLk2jLE6a2LA8zE5P6Bgfetbmt8rTbl6hxhOiDmYRVdVf
po0fbbmh4VFsO8NFBvHh1CCLPUwPeLKIc7L3AW4Y0GxRUw8mCEW9KJ8JUcBskmRmgH7ReKVxtbU9
K0D51Lrm0UEAPD5SsRRKOWG5hy5ln3RHPy3TB0eXDczobRrinV3GGjKXA63M3rhPMWZATAY73wyD
vbNLHEFWHG1VGLg7j4H6Q4qhHMI8Ro146jD//AjEmJGAkZvHh0iGhySxo93A/uAzKlFkK81zARCb
46se6Xu7maxTB9trs4wi9DY7xiUN5r5CvNRy51NpefIdZThRJDlnUTEnBL0fXgPspsCSpxBCfdee
SWe24MxgbYY1uwindbvLchPp+k+TkQhbcgyvXFzT7hhbWO/igP7CkmhRJhnijzkp88U+qSfuaGyS
hkufwQGlniM+zljtmL5lfNpyG4YPLd2s6vfloxW0NitjoZ7bYAN5JXoRPfW0jzfkXyh16jss2vkf
09Q9RqSB16jZm8d7LKQvjM6FudYnh8PZz5JEaObZgVKzdl1zuV51GuOCyaqsQ9wQQFHDVO0bzmRH
Rxftna4EZr/zQ6Oi7ColuHiJoFFd4g7HO6kjKGTK/cAbcESMRwWux83iZm45h1AAxQEN/Qoc+fza
VA2/U5r3e16atvGfhZEzRF9ciZkrX/ra9/+Ph/wBtEdIReVlhkjEXldlNhACSY3vBLt2eYeWWK+Y
alDyBuulWk9NqHbMKnBhl/e68ZjpK6sLjsmob7PZq7OYkdG8+kMev7AAEPzmOszE2kLo8zDpeyb1
I/4Q+Tetav8gyuxViK9F+JE4J1X/23QDnOrzrkmFfIyzTMDPzLXyksgsfGG4Sheg9U0jaX9MbOt/
G9fS1L70MQPNojEZNVPNAd0fxzncTovgUhLjNLfpTT5pDeUPUmZvVYEgS5zbOQ5uIXd5YPSfcsi3
jBzTt6gtslevAIpX4H4APIj4sSTXoE2dH58MzNbTGzTc4GJ5WjRDWgXa+bJBLdEb6kyzjpYCDmHM
FtbGiMJVWA0JWn32qoIu+q2FNXX00qrX9uDJU2w5PfAp80M0bM4opAKTIKyByCTb3f9uFjvD8rBQ
9rvW+PneCGv9zJQsXhEBD9/6doz3cS1Z8e3e3UUmy6xIXJ+kyWjdJtjxbQtcIZ4RZ36HJwQ63sCg
A2XEzQrzicYYcwvq5keHwnBIekpbpEk6dr4k+VHurIs4oWuAKLm10hpaGBnUCXyfVb1xY+o1Vu48
VOZaca7SoNy3tOV8pfVbE5TlriyHjGFL/ErFmPbXitJty0mbIkYbYwVGK7T8WaTSAivRmEAmmAhs
ER81GXqbMbT41Mw2BFq1Nl5lsGxUEugk6dAD6JVib2a29i4lgLbOptfaLajoQuT0CJyGJFFFYe85
Rjz3ssb2LW1SlsZI34kTyXLvu5H9VgdfVSv1v6GrfQ/80Z+olCjYubaAQwnJvS/34KxQ9K1huD46
JkCqcB6hwONdjY09UsPsSujSXCKcLL3xVtUwRDKkhaD+A5qgeVgSYJGZ3zE5jMeHj6zGZcEnPjxP
UwNvaoZ9TykWU32g8Nyoe/HUuwWtMNQWtyB3gdToR98U2iYtk69I9jA8Aq/+4YnGu4iOdnh3nC69
C+E/YT9CFQeaoS0mcVB6bdA3xgfSdhBeMLBXN39eGwLODUI2JowXIyPTh0srLHnHyqTbLp4treT5
5V5oiWynGJ7SlTH9XHBuNWi6fRClzdpIIkaisnkNKvxmY0u8BzVEnJrANvdjZrkwPxlUaEFp3Ms8
Me6p+aGlXOysoDP3bR2rdctqcYx9yCvLBSgexK++cZst0xD3Jfftq5jKP3rMhTzRzBrDL7UmRYHp
O7UFYNLefu0oNDxnkaTN3uMf1DMfCnra/Cltxt1h562jVEQvsZYZewb0ZxNXIaD+puaEF99MGO9w
TrLvBRYoXfsX8UvnMHCMxQSYjTuNffGqi9P8Tyq9g5sb6Q8Kj7HcDE15quDZrFrHga83CwOdM/3q
dVD5lMBDfBwGYtR1BHYfeNfjQj564psmuOZGVugqbWm+Z9Sbb0DXgkG3hvw8ZTkVfhRyeGsUUkbh
GEA2k+U7APCb8RUFepemuKqo6w0uysm6Wwydaq0Dr9jiTLHetRgoTh798FBvxlJVT8vZngs8hyj1
qhV/1ewmyo35RxM5Om0vkJQtDXZ9+BpmbfqWZTofzLYzVo9Ln9ub74skXtMot7YDHBWLJA4Kht4F
tTf0uoeG0XkfbjpucYiPP8FsgaBjInTUeuuP5gBQLMmj39zQa6Dh2s2ZTVT0ZvNCxIF5g7iafuZZ
/FHlyfA1dU1CswvYdtujzUZCQQtkfxLSsQEHWD8dnCmI0F30xBUzeuoDCiiKwKXLUgd0jY2/x8UN
xzBKMTgIGf8YekxfNMAlG92fnlgnXmrIjDSYVtY9Dz3cwULIfW858WumbzVODlfTjMf16GcMlQoN
Gje2+odOMFYVENBaYg3u83znjcMTgmK+wwEOlKX3iBMkbe88TUO9HvxO3FwYGetspK+izjsIYrj/
r9Bv7HvWTN/L36L8n+cVo7q9rGMmAACYOd0m+R/8iGc6eUi1GupiucEvuyO9nAWe9aSbOeW8Rkv7
mYOJsXAlCh/vjg27TnytZehK5F38KsTFLWaFgMj7HwkMoXWSy/LVhjS6HWKfq0NkfmqRwQgnbtzo
op87bxh/OBPDeFmqgwTxvq9MM3jK8Z099ShBSZU/1UPcbRUln+txXiysHKkUXzZAXDrUj4M0f0UZ
8X+z5uOJM7D44QPIBQXxaTidfREYw1fK6YoPehqsTY58RXKnKF8M7MurlNrLkyyJ9VkA3C5JkN+T
oG3onajri+hz6gUx4m60mpb3lGL2k8XBez3EAVgRxHNg2LbYVn6Lv8F1gRp6zQWxpL0MZpXtmM4D
5PH/LskVa46v5AQSwTeXwRlGS9Dk+h72erYtHYtcdGJ94IGt7npWNysT6J0DPesQhPgOFx3kP1kE
2NSu0jV6KSr0ycHaZ0ZtoEciGGmS6K7N78ccI8OpPgNTaRxHm522gFatd06tJGo9m9PaKDDHlfkE
AI8dX0hbd5OQ3Q45DsCTMy5Z2dg0Jwxq7ZXusCsnYEbtrGyakduvTa8ktRNnNy0S0VfUbW1F6+ZK
owVxuZMWW+LT4Ueidf1z1OkY4fSe0x+mNwhBKwMBCcxh90WdDSqIj2UzDBLv8tiV43YN7kUhylVc
2xasZEftXMYYuyEqs1cg81vfCuFSAyiDX1KBYJ3Yqc4PjW6guI7p9kYcbaTgovyw52jmEJgYIuGp
9HuIHM0bc3yGn7ld/rW0FyqgfaqS5vPA41pkx1znEjoTLjLL801F/fmbFZRvImXUgLXkp/AiNnUp
Kk1dY5qg0+N1eWmwwG0x5B25drZ3iSZ3sezsg+md9T5Z2Dl82fOG0+LZR9P1ey5WeJ6HOHpr+ets
BZ2VO0Ai9rEDR3GJIYvZPgSAJTLBkSQ4pBPl4qkV4y1OaDHUReG8UnF8zFo5PGuE719dVwjmz7Q8
Z21BXyXhhVtZ2HhsUId15vnHEYD3jW09kXLp+ESVOnuTs97thfCY9LtVeGhUP94fo7PA87NNWDbD
tcsQv3A9NHv2Hu6Offe4XUIWdVv++7Dvpv59uuEZElcjwzmXTMwfotgX1yQs0i3zMbJCOT4IMmzo
GoDULuAJcjLbxKrCClat4gvrfPH1Ym2q114csxmdlV7MVtYqJmh3Tix7VQDWoU8gIRSGHPiklvST
blLOgEOUtlhT4MahGAe/sYCOYSc/LS+6OnK0vll0r3acbWxRWhc6K9t7UMudaibvyWrIHBbFeJIV
+dRRMLz3e+wLGqWl2F24OoKfzh+n6hDnkUfCnf9hebJVlNx18jcY7HW5LXIb4xPDp4/HvQT70nJ5
p4mZDuSwxDwJvfUlZcNPwSzH7eXnyECRbNC4Jhnzt6sN5ZyZrTVHkJ1vZQnPFq8qXC132nC1i7+r
SSYru5bqJKAMIXr6XDBk+cOEdLDNOwa7i0rNDnLzeH16z273y8pjJCG2IVaT02AEu8ao248JI+gD
shkVjrmOFS2SiVlvXfq1/ja1+VLp4i2sxvrN9rNvZJv0F5GobzXUO1K+6ktz8xOrG9Cpsa53jBqZ
yQ9Rso5oi+5VkN2lFTmvwUiN69AN+r4oXee19/Tfy9kzSIfsWeIGPDX4kZimheUO/s8/Sg8YnkSN
ffBbX20hNN/MYcLIzwn7oZrpYdHzZo/tldAD+RlyGsce+UKxCMZyr79VlpetInfKPjhO88oVRUMr
ndEczKQ7U3DVbDQ23q+1HzSnEM7Sqp4tfMtzofwryn5rEGD+oO7A3jHp+wiJnJHIq61P3wSNppta
cjH6jGNlnebYQOPK2sGf7zfOPBQi4T8eHtcWl9D+VeLGefE4f+8Hkm5hSU/dvFj/Ueor6EM2diPU
0HrNCWXaJ6pC9MlNiVJrpObrIFDvU6p2N2mHCB/T0LgDrEAhCLEWsExI1dPMIqp199nDq3KWVRtt
9VKZP2Ui6DzNyj2nYZz2s0FDuG6+HqBrH6xlmSBOZpWh9TLmpT7XlaXHkPD1rGEGYewwxaIUiwiS
2Dd0dJ5UPMIH9/hdKbzv73ajmCHZgIMzKKZBBatmRXvEeHrcDRgWb5HrSP5Ha7uJm2/caFD56mLf
ASagWYtZ7fxJ1M2xJzbyJPpKp2vTLPYKyM7l8QIqgalfJBgvS3zCj2SQA8CucS17W803DZ1TP1Xk
bHTr4KPEHP8fA35q6sX24XOcovEp11Js8745bv+bJXVMPAzHYZIzR6XyfuheBjapmP0Z3PXtS24l
nJwq2rQy30NjWpYNMAmrpSVpyd20FBdt7EiXG28RrzOaS4Bs2AcVZWIVNoN1se0sPKTMMh/3loMQ
aZeWHXHV3iMvMs4mm0tAQCAxlmubX2DRiqJxli2rEyuSfA30wj2GIY1biZHjtqglUq4buuspCkLA
LVNOTah0fgcY+XxW03dZqR9tRi8kzTBi+991RwZmu6kH8XtyiIpIp3derDLL1l5astbZ9OckOvV8
LhOk0iK0YGATok+iBocwVS9WbtmX0MgFCYhRA9XoW98g9GjKCtNuk+RtvKcmDw8PkasL6Nqeczbg
gNg0gjX/uPbUEg1mb80pH3HhrJVu/ne+U7QOkbG0O7MmFcsz//eXNNU8vmf5ZvQuxr440UoDemgy
Fe4tjDIUTabiW2ycLZeHxNlbpTZcyLZgzUKE+uItReyXgqJn30vEM5pYxUxDaF8jNuTqHkDrvv53
IypZXhOx9cpnT1PaJkFmfHZmsANojvZiQZh4xw1Ip0UmIypouoD+jvInpHf9vNwksRkwXuj2Y8DF
VkYV4a06sI8kYdAiO3buDZaF91TQMt25XOspisyuy8NU6D9ocQ2abQP4deOPVfFlJwH+LOyTI7XM
RwrM4wsJTYrmEoq2bKWsS2Vi9kgaW8F5dpO1Pzv+21x+ZH3uv9AK0GxAD3sHIfvPZKK0KTU80P6x
rr/AnFllBqI5ZUhuYxCy4+U88YZMqQlsoleqLukEnKxt3yXueVGThUjMbU9mnPdj3D5BkLFyQSv5
YFfreJQM401pQ8/3gp+jJT3kgiy31jXixl421T8+Cbmfo6aIbGsCtW6GpfYuHcwtvQJH3GpiYwxx
/YXv6p8g42dRmXrRG3glkSLkQQwTnhHxsZpSrmF+oEmeXr4hVE7yuPfft+pVPzxboJ03xK3qT8LE
mwWJ43emu82aITv2VdYg36lNaKDjkhRQq3Z2qhsWk9XYDdxNXkiu0P/f455W+Nc2N833Pn3Werq9
hdVZt0aMMAui6U85Ui2EtVy/ibRsT1o05rvEwKQDh6E5DDoVxMDqYi7APRg5A1m6r6gEiKYTf4lw
W/Zsco1pSj71WtQriFrjlRKe5DOKIw75jII8s6vxxpanmq6+zyooOBs1Ni0Z83cFdfG7D7xiX6mc
iZLfFGtjXkCWmy4I3yreOecwlf8+VVndSxcx0s/8iVNmZId3khjpZfl+ypOLp0c2rIt4OxpInq+Z
E6/x1dDnZ06Y+1P15LqOxKgDeyn3mEqy70k39vwcG8KfqslaVgVYtQXRXubjyHYpog8jTnyHqm7U
Wrqkjjrgda9li4fHdFo+KkOzW6wfy003p848i8RgQsfKruh/PSaOCpjxaqw677tytjZK8l8I4xR7
xpF6q/HgrpRuxgdtwF/izzeAUJ3N5ITIMSSn0oItQzUaz3FuiaOJJnnKQrwcqpfiZzpBNzSi/KMx
hwFBVxrbnDT2Sa9hZGFdmz1yIhH4/lz3HKcpqlGn/PXykOheSxfmaP5xCr/ZlUk2nYcMURD3cckQ
w23BZPUTfwbK+uL4XnqJuvlJwZQ7Romxg42TalyJGrMglAkFb9letjbto0kUDlR3mOqy3IuWhy5L
gynzO+q582K42k87zPad/9LWusUhhhtpUaji1vRi0OFeWyVnm4U1R2L6npJ33TdRqLB+lcbXKG/m
RGdQ4kxMXtx710jrKpjuE6Ah+LNSDQz+5UktaqL9qGHqTav6A9Js/LtukokOvazYmbQfrFTXQlK3
RyLJmc9p377GlTQ2+PeZ6thWGYNBIimmBkZFNENiAvtKNU8cSpPAWVzRKBZkvT1tJVH+2uaS2eW5
S2ht0KjSqa1TGwTj1TUb0oKJNX1MTfDLtDXtb0uBaCsQfqEM/TFRQceyIFpM4v7TLwFOqNx/HnoX
7ynzk/QS+rA/BnHsiOuujJktNQgDePOs2SS0YSyTlLGpOC0z5n/SLMoCNAnLyhQVh0uVtKdR6IiA
Qo5rV3bZKW4FFCKVbVOEilfLbgvqlkDrcFr7bcQpeYQega3LR+s0VXb7rzJUmXRRzpTQnJ494m+A
E7v5oaYw3oqstPZdSNmYacr6HEDjX5VUwx+IkMJJa+m+aEuDsswYrTpw7eLWZ2G8rVo33tipbH7F
hXN0FHm/ngnWviyqYj+qcDjizXJv+tjGa2m49XcCw7kpcJb5mX8pyxjA0hCXR7J73l4vRof255c5
IP+rGfVgM+EZOEMYt46jSQOCwJqlp4zn4DXGfUW8TAzdqxlS7l1Ywxer1Nh4+JrnQzPGwuZElpAs
vRdCRrVMfvH5XifsP7kE9TS5lzkI+AHD6Rz1kXcH9OC8I1GFJYklkmQNmlxgrjPGt/eil8UuNNz4
mhrmeDThcqyIw457o6ercRlF44+yLgojzQPiFHKWVENYPlPoW8bRy4AP9oU5GbtvCn01yt8IHcjw
bbnRMcySvHxdHgiScGR4DHsX1vN0Ma+tjSgp7Q0pKls9uMZI34wUcJFu/8+0rcl5redQDWbP+nKb
2PpsKvq8NObarMQ8tBDh16nj62cI1he4WAJnLdZZ1kboT/Ux1EZkGQpqZ5vwgkCudQriR8jMD4Nh
L+dIIXHllTtnYpco7DjWwbmYi5VmTJ4xhR+0jtnPg5zotxNdRuuCCNbL9F5LhXMWCY6U5SUzXWiA
FIJufHuAQwZTnpR6fWnG56WXhPyOdS2H+rw84mAU7x4qy2NfK6zGBmHJf0VVNlMbOy3pJSIE40pM
uYA1v3LN/LlMJaNZqMo0whdJmBGUrCx73xc9auy8KmfECt0sp9lZO7WTDpLVL+DF5f5TP9o+DVtJ
chgpRT8WhlZvalMyqkZFqusq/JSubpxje2LuVGjeS6br2yXxFFvhrpdddW2z+KZNgzgkml7RSN12
G9ucGFZFhssi4Jb/PB7CeJkH7uDTitJ/msjPfpS9hS0z6p39Y0tTGvJ1EbqnXHhrAILyIXRPk8sv
MsWo7Kg6ymryJyZB+8SO7xU5Gc7F/JLIhM0NG/hSHaFpc6P0ctdD/71QYR1dmKx7e/rZP6QfMLkQ
Cclh3w5p/8JK1BqKc2eRPndmy1kja8IzMht5LGvSNtAZ1pkHT5PqkxG6mW1C/sgt1CQ0bS+JtOcG
Djm9oVq/b8XcipwWtxjY/aqiKJPum+nd9ebBtNZF8L4AIRoYkRvCaDS4Weuxzyp7ZXUQJXAHzBPq
fgrA1jNiZuqVt97nwww2xlG2jeqB0m4VHpcZgNHhKiS5hYHImEpjW2gZdkJlX+cjgFbq1Z/Y02iY
6oJfRvDBQeaKrSf5dszuF/ng5D0TcbhnsBRvHkuaP+VYkajpXbUcVP/wobpFpDQ/+HdP3aTKtaxF
856NCk6D3rh/bRKTgjzdxHxzU7AWkuHqxua83Egl/r0Hp/QViXHal5wTnKsXxe3FLx2Ecz+eCYNz
AqRS8qPnDXJYjrtOWtm7NHIZtsfOP2QOjJtd9gnZL0+cR9f6TMzQudgmyAF7Mmv8Riq4A5CjiR7O
QiHYgj5eFlwOyPlG6T8vNxh9AtobI7XKh+Df55YvjCIjNIsxY91H6idXHvzroi7OaTGET8thtwQi
fzEcQrYq3iyzo8FMqRDPCBzP5vA6Ux9tZNj4qH1kRd+1zss9vXfeRjgszRbSm/e/CDvT5UiRrNs+
EWaAg+P8JeZBoTGVUv7BcmSeZ57+W6Ay676qa51t1liEVFWZCoH78XP2XvuSFJGzwVdrfDXT8Her
FcFvTq8bHCXb3J5H3ItYk2IbRSPK/WGbrGxDP7KTzfpnig4KYZOCAeJP33U945M8J+Z0cnPlfbR2
ugmKX5hm34rFFctZAHsNeTeXKhthW4QZoJE5u+AvsonhXV6ykjH50s/5yILUw4qhF9NcV3lYpfKJ
cxER8BCVs43rJKR/i3ByNgy4MHc1427kKGN5ljGE9+ulMcNLg5f/woAxBEXatoQlJzTbT53Q+E2l
bYIODPKfsx90vb85Ydeea2emr171t2n5Uhjizw9YNbftLKYNw0JP1+prFfUEny6XvkuXi914VaHL
3WhPNbsdA4bcsr9bhlZ4hc5uG0S+OOqgJS9FM7PpaDxUyRKgHOn5S8qx7sHMrP7CCI5Z79LQiRIC
i/QabVZCO+MZZo4XIRkFlOQHV2QS3wOgfvv13X++rhnjA51rx0OigxuuVMtxaxKEvpaJQu/L0EGj
b/5zjAktKGvnZ8+LMOYrOMpttrLM0ZlvmVn2pDnB4yoMqv2+AfVNJYM2IQP1V7/pSI9oG/8cAZVs
FF3ym57PQG142kVvFaaHxK8kqz1AhrP81toYli64vgCES2bfS5kyNF1GoiYqyU3TFyD1F2uNFic2
Q7RNNw2QI/OBE2UlwufQEROKDeNrgUbIK2WJyRf/1y4fCbFm2y32QceBY40sq5jXXQaXY6Br5Nsx
E8WdMajmKTYYbHL/n2jb2rspNxj/L7K2wmWt8wly3mkdCx7EF+2WO/0dYwT/deTsuye+YESyH+1X
jbia6qcgpcmyCgzlkJ/y9Mh8f3xrSE7eGnbxK1BadU5W00WV0NKbSGuzlSq2rqFld1LTriUDiufK
Cb9XhqE+3hk6ggyFNZ0mGd9Mwmi8Q9r1ur5bLz0SOXuGer2+czJjN0Fs96QdwdUiqfyxHKs/Bq3r
OCaNnDYIRF0ajXpGv7t33LtQQxBWUfF/ox7elIaKnjJt4AKCETmCZniVjxZ9QyAbCP6cviVx4gxb
0uhkGTOcbcfu9ia0M3M+UJWl3Ne2damc90FghtnGLn9Qaw+SvuTCX4uZP7BgMdnLchRduv04z0o/
WZb7FWtpij2uQeuq+8Ndq7I3dOvqjP8q2wvmrd449sFBNiQ4qyqrH+Z2rB+6Xjfv/zcjD3XvJ16f
beNqcCyigBSpW/9Ccc4R4CAqyRp9E4KarIvRWms0gyNuc8bW4lDZBcfjJe5VxLbcDw5W7aqH/AHo
wb0hASGJR/bxl4DkS89KaK6Ejf+QiCm4qzPYvn7bGjvDRV7FcCc+YbFWxxp8JTHMRrcdIhD56yuD
ep3czm3bae6BhDnzC+s3g4YkMPZODDZliUGk1oc1q0fPH3OfWn1LAbU6S+dnveiadC+iYpwagrq6
sxCIPA7a9JM5qvlGFCLDpfh9xVkYZaO2oiy1k13I+G2Mvtcdm0FLWNl9DwveY6blvnZFp22E0Vqs
4Tk8TrvCKF+jiBxKA+RBlFVX+Lk/1rO9k+vZqbE4C1rGa030bGdK+2s6NPOW9rq6wyNPcx3d/kiq
zMbMbFo5pk1bqC0S4JbhOVK+c+xXJ2HNig7GLyTPcRVW9Z3W3PnJfo5jPIUMuTyelOxeqeRQl6Z1
0pAOXNsMjQbRGRnHC7ZFJEnuBqaYRPbbTWceQGOZxTn/FCZhv9MQM+ed+WOKcCet4r6cY+xuMgKx
yxlpPQzLK40KB3FMkN5VFpTaQKngWMTMtKqB4WVoYGuE2ZA8hF3mnJ1cObia8vKmNwavWG9FBZ03
cwUIG6YkYhl0Jum9riX1a+sw6ZOR9iScOd58jH+Qt4BaE8YL+ZHEevjBcBzwfbyUqe/uzdXFS2Ks
5jvWg7KtEspw127n+G/0SPszFpmHwnRMl7aYBGVvWcv3/wuLnLumlkuDyiPo7cHrtHzY9rOMrsXQ
/g4wLBwLpKCEZvCK7LhyW1cdLWuJ/EkDCfWOYGbvMD1hN0qZks0zqEWfpLeVpNDZ4XNXUM2j+TrZ
PJfXYOqDu95NDyubY5WzmpWqtoYZoxM2JvOaDXPp2QsP0gX7ee5F/S4w58HDrcctT5W8YbJvt0gB
ghMZjs+QQuy3MOMz1O3m5BAF92qR+lpG0zerNpKDLR8+6swSzeD+P1m86yuUpXzGYfAXJKf5mae9
fKiubbus6i4G38+BWrqswMnrBUkLK/x79VDrvm5ffGeG8CStH5Wju9ewEtlLXmtfhT1B29R8TrqK
icTZhgBIiMyFQkNtSr5yZ3U8V9PUFw8pvJDHHL+zF5XB3xZK8a91ksMVxGIiTxwgtrb+KTBl5K9O
hmmAGiFtaes04Xs+VPupHNAHzr44RK2pb2DKIxjA3ZUOqbjokwJ8WM1yP+Eau+odE0eh20cnMhXi
LYAviZ0KcB3SfQT5u+xkQ/6TiCSgOUW5IeWouiJAYgRaWMdxtOu7KBn7HdUIIuZZgS+k6XM1c3Eu
bZr4gat1J2ghdFOMxMAyrqFPDqX6C3TWlP9K9pA4aCx2DdOCrGqoTx8FMkM2uRj+GUlJmmgvq6UR
nVW5I/+LGTUPxq2ri3eVIDhrs4aHXQk6c+70AG+BCPBlUL7syMf1rTKr6YIIc9y6gWF4iviw0+rr
H2vERzi0Noy2tFfpw4yvCw0hxvLWL8u9ZZmvOF+t61BExSafS3fr+xbnF6a5BCVG4N4KSW8E0PR/
LIscmb9nJAo7Jh67D8+UzKwn4B3W7QMARCRYVgO8Wgz+vjH97oxF1m45qElr4XjljEAfS0x4nSa0
x3rrWzelfVgi2lr7JTp/Oq67EbhS4CiDS3Zo7//+IC0ZqGlOmhQYh5ZLro2Q0UkFgyzQ4crMByTm
YVF8xVNF7/A5wy38h9aeN8nG+FWW8rFouh2C5PR9tLAHFN1kXOdwJDuU1NETAk+FUCnKL5meGl4O
GucpsyKvUoP7NBvntbtRKlh+DN6d7dooiuMu3fcauc+BEUYXTpWSQaBGk341kzAKC65ILoGlDqH1
mk5QbVNnTB+zNDT3Vubkm3ImEjxyxEPcBP3L5DT9C1B+L8IGdq/33REQQXpMpQFMpgVWiyKy3q4E
DTNCSO/qsfER2W2MMzAD3CZ6MWlIDvEqi6G6unI6IXIIHsf2T4F+ZGevTY0sBOD68Xd0sppfserL
h0INsTd1tv4+hWGGQhYGBwUgZp1i+LWWpGQUoRZcp5Vy+x+MWlyWP/2QTAlNoHtWY9YTWT6RFl2p
9mwgPdwtBcFD3/lvIpledTuu6RSH9xlm+ne63Lfe7q9aW97XAG9fIptfwZCgIy2bBtGfPbzhLX7U
g1Q+d3nzzQidHPVt5m8/PBPr+75R90rqLX3RpWmj7FHbrSukUVpPWQlOXOIEfXSmZrsGoTM79S/r
K+oA4IZzjUzRZSqlFGmubkKiBTYf7KYNqN4xwaNaBxPqEnjD6Vj1rJ8RTMdW6UctdUs6+RnMEp9j
XJXUX22OKroW/I6JfDAr/5FRnn6vaU5yXxc4kroRF976IXbcx6eJVqXHrBLs7gildcXHdmE07CQt
bg4Ads7tVCCi04Mm9ay2hfqXEAGgF+Wpsk36xFayL9xCx7gLQdVLIvRlwvKTSxxYjPjKWjurNnA3
mkGTBvFr+RAuqRpzFL0SivykFQCIA6UPr3lTpTxLJIOfDQILL7WfO4+MNdQun3xCMZa3slLysU+6
aqNFWbYxDQTgRhGT25MkxhVDrbuTuRHvdeaBO99OxjsUWyzP2hfj3e9niNp5Diwp/ksUg/Wv3VHq
7DLLfk+2pg028f8tOYIg7Pk/aBXiXUdQsyhMtU7dZpfYp5oyMyZo6bR2SHx60luTqMOdIcps5zS0
nlYOXl1Z4IH9NSkFeS0lt2fQoyvGDCM1/+VVWOwLnXCqxbUH8fwUNXr3CLH7aC4Dg6jy82Ortag7
IvmNGVl4ahLdEp6TDvt+btClL/O9+jEeEYPTPUt3uFmdu1VOxcA4+duH8jkrwOZDgb/O6UShCnPk
pzqsSarWN2sq5qacxw0JGM1lXi7R7IKUxPi9NLtHP+xPhlsMnjDhXDRuaJ4MaePLb0Zo7YwusIcz
8E6jR0v2Z5u45C/r9/kMj0PWnqk41UEmPSHH7MaO3TysXp0oa5GIHBKN6S+Q2NRiGlNrtw5tCwnz
jS/Ch1rX/btyLnZVi+x11alGvnywYz17ZdYebmMhbm2G2lqORobkGp8/OrrkL4h98f/ZlR1qE3up
WqlSPpdWBg0PUyyfU+iYyJVCEzN4txRVVKH0intSVgLOLWjeb7R/S/bejmTHIR0fsJ7tSHWRNAyy
4rJS7yJZSxSpQp0qkySdRVDZ98afUcXymLLQoIBrXIRGC7A8L+NLqnXyZlWc6jqLRzVQWXgsFoNM
1nyZl2YO1nQOsuEuzcp5v/oG0gRcUtGR06yXtfe/j7XmZzA+N42jBBx6i7uGqNpPN02f2zHmWtIx
7V6ChkZvefUB561w4vUiLOanXaV97VX5S1c+kZFCTZe1hvzIPFLuwVexZ6sAIWc3Cq92fbS5sITv
AhHdhUPpnwaZNddeG9u/1MlQ6j8fy6XuugZlpuUKAnc/Rw4YqWnxO1hOuzWqWKhP0WW9VEPzz6v/
fM3uGY73Jaq2Y+jScm5tDgTY/29rM74xAmtf94R7ZDEU/DBiqVjzdkx+q+c+JrtpcYkL8UvKqn5a
3/Sqm5ne+iAdlu/JSdZnUdPJJNeWZPN14mrDtA+wuh9Rnhj3Kh2KbW2W6n6mZLyW4XhzVBNcszbS
fM/yIZva6h0TWXRci4Q8bH1EfggcQ0F+z5iwJJ8T3JW06bvXVBsIqCbbqAnh3GWp/NIgrHjrHDlv
lvbIo9DACA2tC0evrqI9gCtYyWOwGQJTnPvJeJtXJ6QazWOvdfW1He+rjgyPnO3uoLnW97XyIWpE
e4xOa1EkKuRCtMgQ0i3dMmvIfkyYZS5yMHdZjWh4FWmtl4Das/LQ6j5WI5ZX4LTdHrRfumtEl71A
uLzBFj5oZmS5xy4BW9CXdbmx8ezhuHUNMIUtMFFNS+WWCfpBg0j0ofZSobUJTVJa9RmQ3yEL2fIJ
mmeOuTTqsmERW+idu9GXhbonhOhU28xt13Vb6vQQEZ0gtEC2pAGDeCy4GzZ+VDVvFdxwQcTu0ewW
CWBMtNc5g5x+t16GofX3YwYxtKmKZvQQzkIp81lMjY7SfE6tn6IY5mxD96Hf5LHs9iQ4bwA71tCQ
+lByF2U0KtV4+rAOWzivr6jYgY5b+oW6Hye3qMJ9MGMiqOMuObppw8PvCLXN4A56utCaJxMOmz+Q
T5+h1v/LgiA+R3jYUi6h1bZtOVAKxecFgbGV7CBoZxt6z/alLMlqs/BS2QuEzC5TLu5jPaL20Uin
2/VE+ELOXQMYanI8Rhg468puLcuJFaKqqq0q2PZVqdNRRFzCrn6ZO+OLGmf11FcSeC6Yu7LQsdyM
IFQZ1h3KMk6fCt3fky2z+8iVMyzo6IZh7iMMOBejt6e/ZBuan/M4+MEdY0l3ckxh46z8nMeh5UnS
DDnKxTXdq8lBCDP7W1Ldgt9rM8Itp+G+mLuLXoz4iSC579DHYFOgNz/FeX4J5uJbr+iTVzngxi6w
t0Y2OeDizPKw7v2rdrqT5p//vYpb/14EaRSwEtuWpWz+9+nvPiAXwClJDxTv6PfJask3SIZq1+v7
lkbfOZx0e4suXW2TxF+k+HTtkADlR3TT5JRGeFd9spiOSa+3ewd63R2WiZf1Boh9ZXMTD6AyAgzF
6ysTLPcBJduI+C0mfXiceqiSMn2ysBU+oih81QYcmXUTyq8qyDhgM+QkiOJ1gqn7T4IfnVt9rhLi
pwZCFSI3+2M2c3afj2+TlOWOrbu5oLIi/WJ5ZTJ92f/vz2zNV/nv/BVbcnsbQOoIX6F6+1xD9tYQ
yclMsMBkACfJhvTns7D0rwnUp6MuSUAqakQG66sAgvw+zkx/b6TTzl8UCoJC/OYEDgnN/fBHoZjO
2xGzC0X5DX2SuXNLKs/VpJoi1LDAR71IUceYoPt2r2X4ZgxREwPSxb+qhqFWKUJrb+I88Vgm8XrJ
rL4ri3w/iLhzvckXyd/6E//e+126SzqWHdp3ZLd9vmuC0gnsvk84++eGVySw7HoN3U2IATAuQArO
jDD3GKHEktJj3RkubTdUsrR8R1BIUxS/rU3KPnSsu7agEAqHpDvYUXJD2BhfIMT/c0m0KL5ok//6
v3+HpvXvrEaDaCxqOIamuv2vdF467kNAnbmAD1RHS9dKrmttKl+B/6df+ym/dGN11NosPGSj+11L
I+uW9zmSLyg3m35xYw9O/MzR3YtoTqNHSNMHjqKF56JXvWB0kvtV5F3mVoA2CSy5nxv5g58a49Yg
t3WzqrUnZzqXicjvZHwUVZazO8E24FMyGEv20Yl6udmsu57o2uFhZBi/VL1Tk137qaoPI4AEswZa
wMzEvhtNPPVu1vrku8zNHcokbypYSPBjygtkv+wF7d0Wu9oN7yYETtDJABznebOi+uAFX4fIEDfM
kMljF/j7vtHsl3a5uAks5yh+1eL6x7SoBBuZAlGow+KgCkrwLOZvth4U7BD+zqjg9qVTRMWK651x
dXrIsPUzFLuskuVx0S3b6YIFQzSxmQdnPq6Ii9UPkpu+2oZIwNQiEFgdNQgQtH2OtXMzCHg0rB6H
+lePlxZrV47ywxGcQfvq6BdacseCZu7KIS9esqGYvRAI5w/F+SEehsSb2+qq+QDofLoNHxdcxNpR
m7KryGWxbSurfijLoTk4VlQQ1qXrxHZN5f08CVKI/NI9hf18tCorvY/i4LV1c2RGR2EP7H0Ayt8m
OMrbyIbBFiYpQ8Yi3lZBmL/rQDtA2zoBav0uf69q6ylS832UIkjA8lttklr9XgcdxUS6VN3TfzPq
6givCvTK/GFzsYvYfV7l/co35WuHzYVAgam4Dft24Sq1+QQbQw384YyijusZNKws+0gE2WOadOGF
jNvt2FcJuD/cA4ZMbShR7atOEL03VkhaV70Qx6Bpq/yEvczVgnRXz7a4BeS7XaK690JXFCcjWoyO
hBu7ptrmlbytRcY/lQagC2A+gbKesCb0txaFnBdF41sat+m1Bbh7iaXxUqTMLLVY4cANu+qYjxLp
3SLeL5YWYKBmYjkh/G9oVLYny25/oEYt7osMw3uBg2OraF4e1xukywe4c4VXGV2+X9UiWhANj8Jm
KuYOj3nBeHrXQoUac58yTEzxi9ZR+vZoINcJcCeKCux782TzaewavNBiF6ko//DlkBVUnUn7/bOq
5ZVj0OvRR5t+dApVnA7PZXYRcqowsM6s6dpzGmIcd93prUBU979XL0OXn4stqSxpLWuwa3MCcz8f
RXWDD0rrLHqmbvAtcswM5+8UPzbLRVl4vwd9hFJrZvGjaNz4sZ4itIuGcb/+E+uXsLdzlqSL46US
mOoo4nyTj3F3AE2QP/ATipM7OD/XdxMkgolE64OLMJ4o5VrcKusZAGPQTuJB1G/DEpa3ClImt1Bn
+96u78s5J5yU9Xtdzj8t7IRQRxj6LOzhuqpfgF5tnRxuj6kdIq3rLw6xJJi3w4wRIPGv+NKQdY0J
t2SrOa80S3/F6G3+xDBsI18DDOV2G3SZ9r5JE/mKWIrFmo2If6Y5mjIXB7tQcpt2D/VA4wID0PeV
WMAATzxkDYlHGQenU15hdtJ7OEjTzCa8LuwBkzbLjPMX1+h8D5bIkn84z9gYsAwFM9kzGuiOxzgS
25XInHNHXfgmDWU/IGS7s+BrMODOTKSrCbCC3Iz/oH57CDju/syb5CGnXP+oHYMp8rIm8Z+EjoLT
BWIOMggF1dI89GW9ccK8u4RGDdhkUMyHZwyXmgt+wbJRDMcubKoyJrCM3tcb0w+bqby+gUsTvJio
PDyL2dQuA6F5YrqS7AilJKmlQ9jCfOTdVsnwMEwtEtIu2dVtfdWMAIylOmTcipc00eUFKrTxHOrO
b723HinhNvUy4k8QWxwiF6TtSIF+RC5TntrSTk6VZh+YZvuY56JmN8vZ/To4y2G1Z7Hre5u2bxtn
93FIIKU+BoQFNzY7cjGS3pDK4k7DHO/lmtN9McsGkHyq4k0rw0fK6fE0kB3GQFNPvkg3Dq5mBiAa
im5CEtrv1jRsghCMmJbi6A/nVhr/XITe6aeyID91gaA2FK7H2iERbH1LEg4btBnDpMtMsa20ZDv0
dX3PDMY4OH06bn2NWUhfDowTI3x+NH8QF9aId9r6pibMDuurXEd+boRJv1u/CxuivtUyz/ftEkJa
6fIu8S3rLS4gTPS6SG7BJIyj5k7MBpDp7pslGinSJMZ8oqS+1hi8PKaU9utsuA9KI/ceZx58nK7z
7/weKA6aNSfurq7oyh/S6YNNFbndfd/F8gpePNu22Vj8QAHqGQ5Z2AEpcFvXDucLB2jyUBhovoII
ot9Y//IXoJ9MgpdAC5OnxiLeZEBclwX0BabSjW7zoD11ZXWQdar2vo/hySicGe5OcW372nmpKz9+
kZhfnozErp9SPuvjWNMnWt/6LgusEQP6xVdSHZEdA/WbnzqVGHgAucR1+qpAr9yt71zVz9BUJXzB
qnrufBKR9CAbN5GOcNVqy+GGHJFiZrlMFYjEuTQBnSxoJ0R384GqpHrpx+oc0QHIyyzItyuU8uNl
ZzKCddgDnLAsT0WlnWIBV4L15ote2/qpglnBgzCw5hfjNtFKSCjLSt9ms34px3yqPKXZXP3YZVQ4
k6ISzjjhEVjfQqHrexiAlEJJpO7Wiz/exrhCyqPS74uSBTJ19Yci/UGHF/qO+QghBHMoPxqPGpPB
bVbCgJxJ+7p18zjfpAcjNt4brdnv+iXl1qpkca3NDr9IH6FZZ0SERnV6XoMk5CBrr8SBcilSN7q6
IbtenZJWX1uyBZcZTDhpa4jAaUdrYjEKAdS1d7GFOF2U0DBn57uF+njrdgmGjJZQ1nnEU2bxSJoh
T2iihV8mDOvC0B6MWSNsOjjRn43f7XLjxn66zfzkvhuc7jwmCs9x6u4KbSamztU3uTnrKK57Zutl
tKBl8K4FlY+LskQT4zDrFyHS9IjfnKv8J6RQbPSvbGf41TtxjgMJ+mu0HVa6+tin+nMZdT91Nz7G
rWqOrpCTJ4oSgbFqI/y32YIK+D4Hya5CebfNcCaZsCR27nzKpvy7mKMBlWqAQlZYzOQ2zDbvcrSw
h8Aev9uTYdJCw2InCOT0mAhZh9yugUSZ87Qp6q1KO9bpqiRppS9+U9/AdS0TOIqq+uqS0bnrGrSC
ZKDpKQ0gFGqXnnBd0Jok2JY4KlOeqLEGUBY46cFfJ+zleIkm7YExI7d/Vfxqx1E/I4XCGZeIZjd1
1JCtIIHLqty7oHKxUApynN07MWPcUzjDd7E2JZBkOmOL/o2e3pMzMMZ3GlCxBlE6O18bjE1ZiPKW
ssZ7vavrntStL7qLosjViTAamBpszWaXGL55JJiMAWqb0kgbL6PVf88q1DXSsb/KqTIZGlmPcdj+
5hn8YffHzrofBAMgMe0ZoSZIdOnro2kkuwsNPtsFQ36arq6Vp6B3rGQHgGPalIQUbIXyz2ELYSao
4rsCvII3Tc5rBMDKzqmoazbEbWP3d122ZPZMsr9Soqc6LUBhl/s2b3ZGmF7Kmh5fU2pMwgZb22ij
vQjyLq30n51oVqd+Zn+cfstmxBDV731bRThQ6z9GQBXJuerqJ7G/9R2NDcRCAOgzCZnd9l6FQnh9
K14HiDpb3eoe+eDZ2gxyGxJKTbRmFyM0sb849PZM7HuuwRTY4e7YViUwvBFvn9ViJhID2g/41d/a
JthVbjGj4CKmSAvv/ciPL1P+BfDmdE6lubiTzRhjz8zPhkR4MGp8pIObAZl3v7ntH+Xg4C1S/SlX
cbRJY/m97dTS8gsh0zonsWhZoqOULeNJL0C6iZp1pN9S/I4qwrS1GaEVcBxjg+KB5UcZ0SavWyY2
DQ5a9FS/AbS9FEH+HcXsFmv2n9oV83H2H1THsaKN8mMamMWZ/vGJHumbCHprE0tzT/bZsl7Ab4Pu
e2yluHXhUwxG2rPKjn+8hXPd9z+QnembmWexs7vpQPPwEC9BKVNbB/uApvu+TVGcdAUT+NqB1ZU2
oj8V+ZtSE2N/hxUzt6fhORkTL8w67Rj45pZfqdz6c54z0yI2MlN70bf3vZ/8gW46cLaCV4OJ8CSn
BOEqpcPG6RjPT0X1UKTmkQqIuwyJ6M40c/5yFePKSdwpJwQXoM/noc7RgDTOQJ6peFC1cVqOsuy3
OwIb9V3rqLeQzgeIf+dckelo4jfzADH2+7EfDrClp30mXZ/YNL/aTElFXpIBGdzXz1ZVfpvjA6BF
c2cAM9kb5nPicuzorO6Ihvet1JdKz8gFNa9+CRjvsmjWRGOTJ5RId9y5jf/FzOYt+C19G2G4ZoE5
V1NaATPoEwSdkALRjHV+tsdv6NHWPAiiIBJslartgElxHnfoB3gioN519D+xtqdDDoaeT5PYV3lE
lL0F+scsZwlmiwWJaO4AAhBihFmZ9c5P3hqLZk+Cs2HrNxcrx25QOPjukgFrhXAbeewF48O6vmFz
BmIh/GnDMbi+DJN5DnVOTzUecTxajMDjqaPFBBGqCipAkKF0vaas/kC1dQ8dR6RNPqlfYzX0d0Yl
T1Uc7qfYeA78LPGEyP8kQYwHA4Y0hiI9X4CHpVo4BMfAUq8kvbIPhe6wSULy7vy5bTdtkD47/iwX
na3cZWb1HTBLukmiYYGpwZRXOHiyhkZ3mWK/a2y92sDr3Tdm8xoZdC7tXtuOwwTJZEqCQzoCy4zD
4rGraD6Y6hBksqIOi37PYMC9sTawyWYBmWHaAOCA8Msivo8bqAlhh6opTvapa77mHanG+B4RcBbU
FBq6kGQA5VZlotqPGoDWesGKDO6Z2m08xEXwI5rSO0SZj8TDPEB6eaCGeHHg+u+0wf5iswZ2LWR0
2QTnIWfs2w3BV0JnvhswoTauwIYXL5yOY6/8r2XDzzhEzhfk+4RPsfEg5HJ5JIH5GrbEuqgk6MLw
V1S1kKGh55lMxdsKYKNy/XMuiUIKaNyq0UHOH5gssyyDEXkGQfUkC/GMPgA2oR9fEZSiSOjMwsJf
UeMgZEGbmvaxc1owCH+aqDxLq5vuWO/tJ9ky78kISxpMQDqSwEVs6fZmdKKvuqgOUxDnJ7c8ZD2c
NYesipoE2AFNqtEeKNVMSUZDUxCRVaUgAvFvbrLM+Baa7Kb+uItQ5m/aPqj5WbN4kw1N61kVCPyo
Qm6hR7+pL4k404p7gob27cxfGzia41Cddl1TPaA2JKUFBVq9kJQDe/phMtnvkm48SqBRm0mrQGlj
mNyHHAX59lTh3TLT6ciCdajm8Gs1K2ujNWQlxYW9L0jJIiWVCAuEY/iPF5s94Uxtxc5jooLcgnyS
5mvdpO/O6DbeMGIPjXXsC3HzTsZN69kdQFQjYR9VYhOIgQ7M0LFczAQpw5e3wFZuBQ6CcnRH4NCT
uRT8746Fj4ph5c5RE72BzKAVavg0XlB+lU2w8WlvlF1GFPXU9B5BLyyMRfCnb5MnHQvfbM64aGpr
xxot6JYwatDTfNqPqbxRjQqYjsGVoyc8jgZvUiQ9JH3pZhg4eMCz3Xe5rVE0sH0J2zxWBqOsMTI5
ADETXD+XsGOdFWPfXJj1/pmL4BuPbLhrbGB3UY2RzA0A/sTM5JRwwF0hnrWOfiQrVM6s+Ek+AcUX
FyP6LexLEznVRqr67HaUrIE/i4Mv5a4r6fIyygzPAw5x5kGdF0v+5dDs8103u2jfJtooij1HL36G
yEXByzm955CJpemwWRiImXr/u4aRrcxA7SbaV70f74JKWhurst/IeiVIUR+/zj5uPM10olOZxJsU
ONSzDb+kV0axYaSSbfB6wVMkND2sAI4bpLfs4MpvrIQzejCU3TZzNGPrxMyT+FeEa2LF3+nDjBHZ
IC2+60kjy2ZnHyPsCBCJIzdvGsb25SlvMpvsueKnjzwtaLhHjVSEnh7PZB9lxnHGfcCplronTNo/
nWbknpzJmKyYAVjqpS3zAJ6gdDwpvzVD4AkU1tCe6IpWeFSfYT/pqL4I61vfFsvX/IolLD8VkR4+
ZrY0X0ZJUIsa5F9E+M5n3Y90Hd00HQb0yjIQ83yaWGg1wl+fmQtP9BI23pdqkwhiP+ip5+e1bZ32
dfLUZTso+OGubNr4msT5dETIx0/HSJ6EkQjvnRruNEeSWWbcTJp0e9bA4jltIIN0Wunv/NEVexXa
zbkW/OCry2Z9W/kj0TRBsHQjr36aYDPUxpey0NxbOKPOI8oy8j5Ud53sMi8fHINnwysWEmg9mdtU
qODZXgi/rV4m59XLgsvzEXC8s9FSPT5pZSsfEjYf1UFqw/QM/2ZhqdzCKdF3YzpMb1NtvX+4phDj
wYrtQusEy8Y+QDA0j6WtvdM+HW9dV76HlW1fK2t4czCx/Tf7Igcy0P4fe2eW3DySZemtpMU7ojA6
gLbKfAA4i6QkUvMLTCPmeXJgDb2JWkv1wvpDRGRVRrZ1WfV7m6Vl/kpRFEUC7n7vPec7htj91z1N
+587mrbp6OgxTNs0VTThzqIO/gcxeCw1Hd4Dnhq0qsVdGVUI/cFrN+Ct7zL7MV7QU4ggmxt9yPyk
SF9iDuc3qP7FqcgDw8s1d/dbF5JhQ3BfcSbeTb0w6L7TmeyVjFquOZcBIzQWW+X3f5WmNHcLLnx0
luAaSQf49yAbLAGzR++yXPUSWeZvOU7mqCRbXRnuut8g3VkwriqEA/QOq4+hzAH4TZKZIPp+9EHw
WpPlvyY9sU+2k9oHNPT/gF1nVRm2VoLyVrEwGNlOkmBxhBLbE40J1abCSKvowD9CaF/ASWhSduR7
tzbxB4l5x8E2XeO3Nn9PeU5lIDyKqmJdgcpt0di+6qKu2KCD6YFbd9WNubFGnKZuO9qAv31y//Ip
/0f4XXLcncKyaP/2r3z9WVZTA/St+6cv//ZQ5vznX5ef+Y/H/Pkn/naKP5uyLX+6//JR2+/y/J5/
t//8oD89M7/9j1e3eu/e//TFGsZ8N90T0DZdvts+6357FfwdyyP/u9/8y/dvz/IwVd9//eWzpBhf
no2QsuKXP761//rrL7rNTPFf/vH5//jm8gf89Zf/9T+/m+Lf/+0v5KK9/x8/9v3edjyD+qvhaHBQ
taWXby4KpfF7+Ybm/Gpaiz5RtVVWK5P5K7GBXfTXX0zjV8tUhe2itBD8Q+c2akuYrHxL+9UxIcW5
dOYZ6dtC/PL3F/enD/E/P9S/FH1+V0KvbfmViBf+JJCydc0xDNPVcAXzSuzfRer/cEcG3TBmSzYT
DeTkqqCwqGR6oxbDqlKfByh6ui1OmmLvAKA8gd7ZOVF172YAz3OYPk7BZKU61UbcekJXbyvLpSis
VezCJvAqtXhUaSJawig8kIO70IlIT+4fnZT0B9ru5Dsp8bODg6Y3lc4Ly+Sx67Fhjl1UEcRWnGeF
fkQ9M4TQhoJyWwNF6Kq9B0n7pswr7KnGfjlol2j1KAsBDues+f2grkYrvROFvB/a/Nt1qctG2or+
iCcinYk4yGO4h6J8z8IshfBvEsuXH2xJ7oflopiKnfK1aF/JSL+A6kjQArHMkrV4QK8wsrM5r/Ba
382mvUmH5kUMxbXNdkmcvxIQ9FDqbucTvFJjtefw6eTJ8Ipds/Em0NtUN/ExEWUK4jWLbrI4fw67
IgA4FhD9gnT9Vovk4pnu2lMX2NUuqIorMsOA3eohitM3pSkeaxcqeNq8hi6tul4h4cwceTMF2Pe5
fjCnmLMr8ziPGKLQaxPt3pz0x0lWmic78jKGtk1us3AEXWoQF+ACxyfPeR3lsscYQ9hWXwKd1gfn
dercatO7wUVDM+rNxpMhPmxB5rhtZnTO6QFKoiD4YMwUDNVy6IbYzaM0sBnkmLYbZFu4TWcV6bFR
EriQbTTpKBBLg4tF6zHuwJlZ7SlyZOTRIdoUVBIeMY1yE1vFivMW0q6ARKj5WcS5Ci74LiZHYOWM
FNJdKr8MQDUQ2tCLZta2FYuvMIYNN7SaC9/sNmmESl7f96xoOd3+4Fm23Qkc2oapAswHpiOmMb+4
gvxuE2LilD0Di/V40nJfhmm4j8wfS0vdA2isgiRp4UcoN0JQYeQXu+80ZE6IIIEAYvBsQRerovuC
8nDrLqJWZnPM7YKvAaWGl2D78uFgPNbUltAzBm/IqhCDevEyt6QxR/KhTNNlQnNOZf3ctMXOUXOG
LPPJlcG7kRl0vnHcm9XJTbT6YCQMN+ji7hLQWX2hINWddELXDWZSzR7ZO/4w0COB0D6HGU+DVrwq
AnpQRmITM/NxE7bhqelQcNXZi6PTnwQO+m6KU+2y8eat2a3C1l66eXQ0eDFDNl+rKDmYfEDwdeoI
5TZUrUm8qZF+16S8m7EJob6rnI+R63/d9fozbVp+mCwAl3ZZuhmn4EtqLmNbUjXSmI58Ucpvx1QZ
eD3OtXMMapQlLhD3qOxxdPnEkoC4jjcu947M9Wd6SeSxBa+NrvyEy5MgyfNklG2HdnxMkOqjCVtZ
ydgxoqvxqgqBTKYE6k+HDl6i+EqnT8C6tR937VVBHuFMwzXFwgqp5F0beKsmeTU7iijW4oOZUcXE
z7x5Xa7hZySNscwQRwNOw2mxzoriHQXFvFEa/b2NwmzlVoPmj03j66P9UJEeqI1c1anLNR7lGpar
kr8O/a+0n0UJeKM85QxztNpXdeVgqZhWBvq9dnGwrWBtc0ghpGQnGfs5bnhGTVTimyFiaZdlS6AR
guGZrrRN1KtBTgo4PItGOx+fp4D5RSyFB4HTjbsKCb0ZqztdTKs2CR+BMwB1Ho4tXSETML+uyP0Q
FPvBxi7+FDjBJpfdkdt6x3DjIGdrtfykNpprB2KEPVgrq4koA5PtiNJOaPfA13yTMW+n3GpM6YxX
05x2adFsbXx8/H4TNU1SvUiVI3ik3qG1p7G+ZSjTeNYYk6FtrqJiXhUx4WQBeVl4c9VhbzoIYpOJ
rgWN30FsKCd3ZsX6BuWjS6P18p5QsIFOB4pApVjJ7tyPuGTxuqOqB0LhHmzXWId9QXVIlulsoD1N
zNu+bW56xTpm80RsOUDWPD+5ww/N2FokqzC9W7ik5hReuM1XiUUUsF7up7IEQmvvM+QNJYuZPRwi
q+AaYK6YjOsmZQOpyCymcbi8W8Gi4Kw1dM+8t0r03pfjWQnXXfsywNkPJUSkMHxUU9PPSTchRGgr
aVlLOsdhL7ZO8jxic0trum28rwlEPdlN0FUL6NEjLUB0gy0BtQhw3AZnf9Ss9ei2BFcSDPauKqtb
0ZFEi5PkplY7z5mqT0C6zL/S8o7i5BwV+CXJxW2Smt7P1yzBwAan2gIqOikZ4ogXFbpK1DSnmpVI
Z4N0rGqm3u8fSyN7McbxEd7B2/I1/LqXTEx3QF9uAwAWVDpXPhXfQtDadPkJt8edKdO7VA0vXZvf
NVl947bMcwAJOeIc9tHDDIypdYsd6pZHSDDnCuGxa4QsMtldM6iHnK53FCGulsPjRDZByiKaGXJV
duRsQtvXYx43D4/M0hhQRccQV0nLVHkOE1YZ9LQ98JFYe1a1AJnaRyO4xDrCsuP2rZuyDzfoVpLs
9FAL7yUpBclLgZaZIATbHi7w6G4UQpMnQ14MnoMAqivyLRzXytn6jCfYrT3xj3LyNU090M5bVQxZ
8PxxnrkH9MWcrfB7MARmOtGjUnf1PG6M0D2KbDxN+cEEv6e3/WUw4tqHxbxpjLVqZlvHAZha4YCs
XNiPw2UOIV664ZMbFmvRMdEKk02gqWvoOTd5M9JoANUUEY1Q3apz8a2+OlV6Aax+Bm64F/X0bprj
JevOcdW9o7Z41k3x2rRp5Y2xeperL1G16iAvEnBzssE8otIoT2E1HdiqL7ktnycnobiyjkJrV6I0
vwMuuzwsbyJVYzIoQTDPN6kPR/3adRw4hEYPXf/IavmDDHkVkJ5bVTOpFNFz6mbgv/q3zNQIUPHc
UDmOyOKYbQNfsYx18BtEBbYHF3c0Tlu7nWAiEFdfM9Ic2nMyqy/liO7uXe+23Xxicu6lNEYE2TU5
jcF6XNe8Kd0E57maTmj+6bU722xJIrAUGl4YM2q7OPU2lzWcmFtp9k82yfF+NsifNAve6uzDITu+
0Xy6ehIEq8oEajL7a6sk96E6v1QzfgU9URGT23vFzuB87oD6+31jfCCd3+Lcf+gihb+Jew4FGifj
ZISHaexms7/ETGuS2gGTGCqzH8K7NhtOA6QJdh6msI+6elwAWFpZHIQYb1nGZ/pQusWxw9bXMU33
EMlR2FYgLCn2qpZw3Asp1QYQ9FWk949aE1/iPiXHcWnW4iyNePcid4+N/GZOjZvUbc6K5pynOb0b
S7FXuivbGFGl8jGqHapPPm7Fg8Z5ZQN8zFrlsRTDoym5KQrymsqfNlKuo6atpkzZNZF9dBP7kQXk
moWctm25ByntCz24JrNzRTj/rDvJXa/DgIjmPVr/LwOorxxZO6hr0yk8ZyMtsAJ89bqqPilW1H1c
6+9Eyzue1VXgTeuMI0e61doHPbAJyyGv2ysXgDnO0WwJzUid+8acmHf09hG29ant78d+l5bRV4Rc
YI00EpQEYgUQyCYdVrbhtrY2nYQgkMgJw0qw11r7BNSNd2reW5k4BWqzK0LrXg14VFmKjJTueTM7
1UVaDVSJSEcPoGGFikA2Aq73OHOjwWlgrrjxvGMuqR8ml7OOIuODsBsuUhtif81sNrJharY9YsDG
YaLb0TFS6qMcMoCdolEArjT2hqBDb7BqWjPpeCRmkuF/JRknVoa2UrmUwCzihiiOQWAdNQhkq3Jk
HDdbt1VYv/ZWeAFNZcBh6QJPbx7lhLSEEhQkJJMBm3gsXBSko1vjYyuKE1hqZwsB5Fyg8WSfgUtu
RQlsAuDVOQTSsp1WIEdxfwxUWUZ8liShbxwzyxfl4k2hYV2l8FoPNhsy8B8mdLEFnVgb3gNRb2Ls
uS22b1/tgK5gLkNc7vR+Bdi91NW1WrSfLeNAYzBx9ifFuVvsntHQvzYzbNdZb2aiVWao9rCVUaHi
SlTrd3fE9ZGAS5W943gMCqK8NdaSTT2ri2in2uVG2oPjxz0GzZm7LftgfKCvyfXVNkNfcTP6g14/
JYHxow3RN+Z5QExCYXbjomVgW45yy76b7VRlvj5nm9+SSNMuhMbVMIgbHWxZaGrnFTomRgjdT2xi
j26ier4dXaYV/CXgDgdb21YVARu2HZZ8vuPatMeWtCghd40s0KnmdL3BUmFm0DDnE2bEdgtV089r
U2xaq/cNgzW0kZV+ayIsrRoLm2KQc56xcYXOtIhRWLi/O5sg5j1kg0jx9hjxqinrtQov/BhrF1HV
6WPZJpyfhRx2xDCY6zLRCK3Op3QzKQbQUoS/iNl6DLDFpPqs2p2fux9KxaVoGOI7aPsbaMLtwWlF
7im54XCpYw8XJtciVAextjgOeBmoOB/e+H1pZ2BUUXh4UAflSh0ZBI/png8h2KikH69jbhvNTrNj
FQfj2ijTr3B00xUqZgDYc7dPJwftULpY51Lgc9q9m6tkTjpxugpdl3pJo9BLw8d5oJtgDArCGQCz
tB8pHpfxjtPBjHTB76oi7HwqQnzVQKnwScW7zjLbfdDsU33hmLEAwX9M0aax4EJZd0QBL81mPuu0
fp8nOuSw4r0fygN0hdGjuQntnAnaqh6qE+fKH0COWD0qvE3x8Ez6yZOojO8Bcs27icnbCdASB430
O9njfwkoUMlfDcFalBbhGvG0RbvzzZo63fJpFJQ+7ob4EwYjzqGZBNE3TfvHv7Cc93sNHpHWOjEf
v5ptfuOkTmbrdf2o4yoiw2UgL8Bz0YbcIHy5M4zI4CKRuW8sfZUAd+yTVTQbxpA6FwlYmAiF3DXJ
7kTu6DQoa2z5RvmBXtq62u7ZUgNGv7DnhEg/ldIpgaJLL9SbW2QS8jBIwhVCLCQXurdopfJQvU1d
UtlqRBNetcS/09Gadw7Dk3gymmMbIZWeevUznHN67HA5ulLPd3mJKCiPEvdmQvAIxN/cLIOwkyDa
/ULFdZjwW+yxLM8bt6hfpGvmuySsCafpq3tH/57tWbnnqVEQsmbsOjnWNH2obISxTN+LSxQ9j3qF
bNqOPgtYlq+WpT0ZiG6+a8ZX7TA/CSPZTzD5hIhCn1lCRIXCYLNOdyoYy5gcKE4CeOXL9k2wOZSx
wikdUFr2FlX5N2cdBIb5W5tnT5UZH7i9NyC6tqXeodpytfvRNLddA1GwhfI8DKcpahKGg4AsCmVt
VwTxoioWeYi3wH1olcn1URVsclrznI0cyD0jogC9tGhG8gSECSGtDKkYSNKdiq1VKcx0lEMsqoub
tN+MeHEfmCW/m0l+lfcjqyCGsIAkas8bcBsSqUhyZMuRs18P+XS0XO6amSUFXBwTo9ndibd6dDaw
MH8Ut3xzkLa28wkAaJ0NX24WfzVV88LGsTYhieIv39dNds3kbphgPgd1AjoVL2BO30GZIH70evgQ
zPJWCYpjNGfHMEF9a5XjA1pHcsCh03nZpHoDua65zD+wEmx1a17HpbusKltBquaJZtQ6KAJkUuoz
0euZkvw0jnE27QbsqnZQiv6rN5OTylCYCRlj3SC8sJrslCR7CxOpkl4MhB8nluc20Q90ERTelXEf
28HD8r9GoDMtCi9Zdg+A6EOgYvA495yaIGUkU2uqV3CPIxMQ58DOjq3VclpCzeIZZGHl1J6WSq+z
+qgqHoXU+SWPV47WPI5qcex6+4FGzHUhC4yauW069+RYt9gRa25WsG95E/4EDlVzknyWpPZkoqgJ
Cp+frKnjzo65esrsLSu7nY46QIuYmSKo6tb4Mz702cKATiEcBulbCMW6dPQzcJgYwizjeOQBpAPn
+1yFdOOqj1lNY2cunHU7854UOVKtphgeFBWnrqpXuNTjKFoNLQA2ORHZOzfgd2u4HbbtB6rGqdjM
rnPv7gcYUhGagYno+brpOdTwYWCdYqaffRhZQCiFubXd4i6NmytD8pcxa3ZK6H5pk3jN+fDJx1MO
vY3aLqbRqTsPEt/zwFvVgw72HMJG7JLWXjl8aJFygxFyl2jDPWTXWeeaIw1NIOkQpF17iDWOtAg+
3ZI/aaqgBI7WOtOnH5tHDOMyToa7FbfRHq7Lb/92UEQQq+Xbt5MMN/V0KIg/VJ2chUfQk+uQx8SW
tYPySCXnvK+cdjzNDlp0FfBwxUmxTy4j2TCWSwqd6E9Fb9wHljh3BRxbUmkaRnuxGjPM5rUW+FkT
BUNYnd6nDgP+Dj90/kBWEONH4n7NEkSZsi7M4DAY/OYRlXJn8aoD+h3k3QzQJcKHxGK1HE8MuBUP
At4+iWXFbhLtogLDhk0/2M3FHneiSlu7pliHvJE+d11+DcyMdre8nZv6JVS5ygolv5alcZ+WJofZ
bun1O+61D3lzAk3J/E5F54t62ZMEKNLjZdSmEchbJEDVeH2VFPtUUIOV1UFx5Icdc37ogL8RzYNE
gBA4fzA/Q2FvAL0s7VyvnhwMtQXk/BGVS1P7MDvOHeB4MBedx2W6myKdrpDEcV11L1Ob/ghy+9YI
fJ6kmt3ST9tiBXDIo9DSH92GeqYMp5o3nsC3H6NDLQX9baUGyb5reMlTzzqjWLtabcyV5n4bfcwI
oC7uCPT5aD/yUmWyoVAwuodIiT9C6ZxjI1ub3fyk4fonBxpp8Kua2BskMBiA8OMr7qHui7c41O/J
bFyHdOpqi+t0EulH27K6Yls63ZQdi8AYG4csaeDjKXBmlg/Umi60G3zysI/DIAgZK66NbmLnKK9u
iFKnJ9kEk1Uxs6ap5bvDdL3hmsYJC9W/q18CtY+3ap9+QG9hL58pCkzlADtnmapvMlUpUH3w3oet
jj1ESE+r+sSb+1fbeaqftcLd5yUlx4hdasVxBe1OGn9lvdwOiCelQ7BQEN40U/UCGf/JJM5V4hhp
A+p06diUKUZ5Z1BJinh8smkooD73ljejoxEq0WAiYGcekDQVZzkLRfV8ndviavbGLi4h/Jfc4kWw
LkvlcyC912OOejTq0e8lAHI7PuEROMQwAJjNxh90eXODesU2xqch+hR9k27slsXYGMVDkI/Y3Nr9
YLClCejrYBIZ6Rrsa5Y2HJWHaTLP5VhesVRv6lZZQ+DYvockwJE+sqtpRTjp/FSW2doIxH65ZEs9
/MD0gLeC7VJag+9Mo1/V9rkyxL4KnYe4MbfL9h0HHWlCFrA0/Z41nvOAw4qpDPsc7D/ZuneQH9Bk
8lRxWNxNkbGdnO4kxjzyzIZ1XobTM8dh7kmBeKdvXyRJpIUaMk6ruXrrbjUU9gXN8d1A3DXNSQQq
srA2RdczQlsFkiugqK0d+oXWtwhk4TC6ZPfSR/RM+jt0siiwADr2xa0Sqim28vTYJHhLkxD42hzY
HJ4ikq+ywg+XeClTtvmuTcCYlUGLFHkXhy246Qq0uTID/e5TY9W6dHUG7s11ko3RatQLfc2p7Pv/
T5j/exNmZCz/9wnztflo0/LPs2V+4I/ZsvHrMj1eCBcacBdDR0/xH8NlR3Ow3GqWbUN9WbB7f58u
i18xxeqmy7HbxB6jQkD5+3RZ/1U3GNS6DiZ/vv3/Nl1GDbgobv7TRb1MlzUwwY6mMZZVeS3/pMjp
uWznirmOb7un3tQ73+x1ybAVwZxT1quOEWhvI5DU87RaVR1wjITqNC+2pMDOK71UCMskhsLL9WIl
cuShxMx/hVMNNzsm9zjTcibQLmV0ydE4ijGUTwmjSPLHdsLRbtMRnT8NMZEqOK6P8ItJOBnkPq52
RRdS7LsGmrQG+bnSiKubZK7vQGFFajL6czcrftuRmWKy/kbp27xwZvE/VGjHpK+Qk2V1yaOlDv06
Cqhf7GbkrCfLVRE4p5zENMpsdQsU8ByA5fAabfoae86pdYWgUqrNxcUN7vcdun2iM1bKKB1WkvSB
qcK8FiFgFegdFdtBwapKwLbD3gecIVva8SDJYvvGFAZDqZ2CCGiDZoC5uC0Q5C6QLfJvI5YLVC1p
2K+VCD2ipq3T2d3GreKurVxrqPO/ER7dNopt7yY9bv0ZNvbaKaK3wEpIvOtF7BO9LFd9lWl+MRoc
1tDxtSKgrSjGnomeEiOnrb+blFOw5va7uBsyQgEOoh0x6CTPrnyCIkzmT3LjToDDeKBXZ+l7oOBu
G1PASDXkWRQ6y2aUHWZa0AwS9Z98CDj6ArKQXbewv4MzKVqaF/IB5eBc/Gw23rBfjpbTc3IiaNGs
yETVRLCDcY8khiA10tLrDdTej3pC794Qij0mqPDkYmttUXvlCULzhvhPQlDwAJZrPQ/eA0bvXXHt
egoEo0VOKOKFmxec+lHbYgFZZEWninGRpu5I/XnqB5MDmpXsSdXyEMFjxSs4mtPQWbfK/A7xFwqI
S1xhkO7JEOCAO56rPM+95efCLKF0mF+hgYD40ShFhkI7jzECWHFUFfNN6ZQvjNA7xMqIqtsa0xy4
8qlBEkg29NM+tZDbpkh5fPp0OLdbzpuGdQoU54QCjjyolQhd3r6+rz27Fu+E1D9NAAl92bJrJSO2
Slc5O/F4FEV4X1jO2dacF4sjLeU9+c7ExrajeY2ahuQEg0hqGx8a5o+fQov2EimyU80uFRF/spn3
lwYRJLz7baN1Z2HY10YjQUP/6cL8gxTX2yKzHkMZHKsBeqnyLsS0HcNx8g0rehbReD/Jg7UoMK32
YmvVZxMG25CWc59kJxOXj4wIOarXvHnYJupLV8dQ+o45FjuPcCr+WHK7V/QZEQBrD6HgcBoAJovI
u/QqoLV1EyIlZt75aovqA58dt4YTo1/slE/DiV/ClkFhpTKwvoHMQUtxCN4cuq+e0rWE/twwpRtW
HQzasi8jn4PLe9ka+44AszjR9vD7CWgEGSSad4VJsmUOrzS8MBJRL1UsSa4l7jAW711l3pEoaDCT
PIiQixGr4jHKlftmHGYSRG0kpOkTyn+/ERC/I1Je0SmgOyt1+ZrXYiVDzn2Z3pu+I9OPHR1ADp1t
9xIn2TMuKmpTWIpCVqtyMK9xJgAv97S04ghu3XjfaASlGzrFmnR1qDc6VSeXIWwV+UwP/TyoRYHu
OQQHibIsi40PRiDk7THu6KL0oRawI0WZfM3RSu+STySIe8U0T24O7GJAKKNazl1cNyu1WeSkUXTp
55HnIf3YTR0YWiz8emc/FGXxHI8oVKQcb02fsVKntbz9gqOXZTtvxjxwsmmZ4BUOww5tmzRJSyEY
nmIzPyCYuBlV/qjMIlIm6IxTQE3lCm3f9v2X0ZQGqdM0xNIJwTi2sNqvwgBJ7UTnRVXge8JWRqLy
RGTdRyyihuk2uSgq/QrKhnvpfITL/4kg/6V1OXXrxvOEbsSz+PWqAdJHdtaRGLBtv7wGJ5ZEeXLb
dqjGp067H5z6xgpja82KSoSlzC41mZRiQDVshW9I/SeWY89GJO0LoulRNhgOiY0NJ9XPaUasn9ej
9KhXQ9+an4cKkQ1FDNHmWPH8NqnJrrJ77mAmKVR8Yaw/1qby1szPrnIC3v0VhOJkphgAaAxh+tnb
dY9CpxDvcc75OWgxdXbzS+lQPmUzGoQhQawR+3EZo8ua3kdz0vBf4ExlYdaloniMTFl0Sko0abjP
UUrvX7YwEgzEFm14U9nOgzXR7y+T4iuNIrKuCDXwmAUc0XezMndil9bos0jipWIxaMr0pPFSSMZ0
8kdwh8Cq+9l9wXD1g+Uf+Hsp/CJQCb/LsfqX9zUWHa4N42mwptsuaDkOW7RjhF3cB4nyNAiIZMLt
7TUggjtIshH5Cjr+dTKcOwucVBzGr3VnKtToTrcqwy9H2SNoYsigx92qn4p77t51goEczTN7G86X
XWa1S+OMU7fGAqHn8tFm7qdjF4vaAYiVqWDUHBglAWGYEVzvEy75jQI1P1kKcZKkl5SglMCG+kAW
2+Q7Sf0StxXJMq79pmv1VRuyR0nzH8oDjptBdyDz0jOkE9MnTDRVg6UeaR6lCFSNgF3QjGtE6nWC
biN0blTCgLbSgDYfxoVvxwxrBlzPtNx0orSYIVcBqw87p2+GdKbd+diinGZ5U0grJIVIaptpAPtQ
jYh1IofgSXEecqX2Uqn/2K1khFI9S6pJPWRiE2TiiF79UuCMXunxZ+bQEKpbFU/pTMhNh/DUVYIP
VWEWwlO7K4uTgc08aWfgc2MDJaYupTXrNDWxWZ26MtLm0oYg0Oepx7mVDFCTAulHrvZeShd9y7SL
qplTQZguoK9lxwzoExLYZzbdsyJhQU/0X/0ykVShRrZV1AJNeqQbvgHq3Euw/AxFD3QEjISf9Ool
IcYencIL5yEAoHWkrYshO2gacG+nkbjlZoZIjAsjHBAeOx6TF8hdWN6Qx7ns40D9kG4ZxJBA+7Dp
4bsZDesy7D6LsJh9S1+6JpKxaPBptsE32/5eOtq610gdS2eI4jHz63rOD1zFHuE2O1Oq8YaimT2n
duGNBTaxIU2j3OCOXuNaMHak2WEXyNNV0LGIwZ/3Ubifq2gAfDh9RPRGFQjmy2+j272vgDZwIBj2
zI8upOFusEKQcxSqOqVeuOIMedMsBoSatjph2M2V/N5gNWTNK1NCO4swUcV0h9CyhflnGFm3C/y3
dOWDtVxcgG9af7KiN5vJ/WAbG0UuKomyuedUva9gtvuTtL4Ssk/Krrpr84ihq0bjrHIVf9kJi4SP
RVMh2AKDAXSKPK5QCCqysCwXTo4VyIC0C3vn0420pyiGJVRZj1z5Ke6jBj9pVd3XTvZQ5Tgwxzhe
ICDNqcvydwxfSLZoogNzD/wBrOriFgPgGA8PsJvuKKC4/OoSJyaNECk+GyuCgBo264Hd9JCY2rrN
k/kUxeN7pfKam7E7u21t7JBClSs9VR5kPV/miaZANE/U9vWAHNTKAVNUp87Oso1u1RN+PYa3Q7NL
OBhqPY5xJe3e7IDlks0XHRS5f26jswIwc2CAxrabhyDR5wTfZzMxzQqwUXi6Cd+XxM7NUKAhA0aq
M43H6Yeum0SSBG3XmFjEo+OJ07AjRuksF7ZHtW1l+ZnMOPF6bS/IXA1SZ6VOHAA6hQt+oh/XVHa+
oQFW7FpcgrQwEXGGWI78ghm4r45msiUTdl5NLhpf5q3sIWmx0pOm2E3hawI5fu0YIQoPhYWjxeW3
a/Vp1XHQhhIWPASc4ze51ipY8OIbK21zVEWO5SUFJgStzPaubA7xBPxBAClimeXIHBEzi69po4R0
HIRWfEsyR6rRAE69ZHVG6qclUexp6GFZnO0LNSgOvvyolrOy6XOaJ1W5c0dt0wvgPkRHkMluUium
OumLRkQNafU/WmxxtFF0hLyl9EWdms9i9JlB0rQSWBmxz8gVR6XWN2wj3StrqxrW1sTXSrn8gbSk
tJ6d3mTka/DGFSX+YWM7g1Xxh7z67nCCpNOgkMQ0vQaxbvoZGSEDGUnUq7O6NojSmxrb2mlFganI
JEy9WlsgRD2ah7sR9a1fJYXtu1hkXWWx2yXqubStV1WMztoqiiuqnbeqwZ2PqZsDyJhcp1Z7mBlz
eKKdkDyTsm7YL+q4eML1ZlozRtgOuhYd9BZOepOu9WTG9RkhkUsu6ZiUV5qU94KQ1oOtFiPCGJyp
I3rgpiBhRW9G5DLlHVIDlgbZfbWuibM6soH0wSjTkXpL9lgsYUWH/ZWJv0hw0GCCpO5BTRSUjnO0
bZryXNICKaV8Vdt58MVk2ps8RC0aLNWHBtMlAjhDx7JwYKf1uzoKm90cGQmnTO0myRXEYgjuDqNj
3jZ9eQ0k6lC7LEHITNdJLUk1TAxubnqs+LXKG50xOwa+GL2xrN/7RU7XDcqFNkSCtIn6dSb+SLOS
Yx25lHrBD4wZ+1BO41Pk4A+0KnoRqs2FOQ5wknCVlVuTrHAvN3leFAFMqBzWZPx6e6zrax2F1B5S
8EFwdflQDUr27RXKdLLTLV1nmQq571mYBDI1P0sNjRAB63+zdybLjStblv2VHFYOkIa+mbIBG5EU
RYnqJjBJEYG+hwNwfH0tj/es7OYgzarmNXr3SSGRAgF3P+fsvba+guaaBJ9I6VGij3W1Zdo9MAIV
jty2+sQkm0dtPQ4M2mYVEB3hSaltlA/EDGM5zG+AxkLO+PamNcKuTf2dUVqA2rVCW/s+CnjCRMCq
QCcnJpPsUqs4wgrnTBnDNrE1nd49NudK7L2c1SV3+pcKYw0ZQW6D6qn+IwXq29EMsrXWaaGdomQQ
Dhom3bD2eHaWtRGAFGsT7TU2Q+AG3SrRObfI1G9XQ8HyLNqHyUfYJ4ocWQ5aTTq8yGYMih9qWsEM
miUp8uSvavF4FuARWki2NsWY9itf7xh8zkyGeh8rdVXW72QJcdAmxG9bewaNhPFeaIOyxRacPElQ
95IMLRHvy1MpSY6JyomSeu24hrkOa8uuN5Sx2srx3Pdupg3Nz5oJZtwgAfDAbglVgCujL4B8CrDn
YDdxFGmIKVNaBhnYOBIsa9DGHDrxBj/NufF7EkgVGjkz4SbPJ6KdilYdP0NsmexC3QNI46uJr7bz
3su5+aO3PB5lVcttYxImhxS1p5sULm5mID1wP1ATI4p3jmX76gYjjgJCFDuUUfR66kvWzMUeCyA3
X2PWABTQyBfJF8eyusJwlps0GPIm+skYmDbFdI9sCACiIOUZgeXVZozztykxEIVUtGm1bZlvU+po
+0o0z7OwlD9yWyLjwqoAWXhxUYMXs73GkVSsUgMNBOth6DbmcRmyJ7OrfxNs5en1nqXWXjsOWS5w
AuOtwB07CnJQaXIFDZrYYvJpD3jMK4f+1UrxmlqFyDfudEyC/HcC/pOyQ6PU1Un47BOaFMmCXTaI
v3T/hHOScKG3IcgSdqXgbuTDjzSMZL3w/K/aGI1e0n/2wo/JAmHywvyRpKmVTnYEy3bKTUY8tOMi
EyJbiSyyJ/ZeHnkjehNmSYFq/OjoP33oi2vos7/yANmvpXFTcIhnTSM8wuCZxnCdI5LYuwnLF/MM
dFRo0myNn/Ich60gY60SdfUhAmc3lk5OSnDnr+GHfAZtvZlc8+YztLVa+8PKn4bFfuOQjsMl7n5N
WXeHF9kzfUjvKgDSYqBLk/M3sOx3jzPhKrcySpj2ORHuY6lnfwZT/55yvL3qldOk+jFlsq+qIrQQ
YkC7j1EL5tODNTg/dmxyUtJfoNndRBozROcon1XRvm51gCCuvsocaBvkNuyYeTz7Vvamdz7OF/Xv
ZFl9d7bxrrO+rzzfD8F8s6IJhgyZiPfzxCHGBAdM8WPviapN1rVW0I0tkAJYWYPSzT7Q7lwNxKkw
EcuxA43ZsO4ybodZLlsiR5tEmCefZgos6CVlmY9iNlZvCqtsqDkvAvpC2jTW7WubDrt6GVrwG4jf
Um54zoZk5sbLRyp9qoXRQS3/1kagKWP7rwzoKTdz0sZ1EbZLi7Al/tYH97NxrMcJTEnTi55ifuo3
Ousd0icY7hnZ3A4hszRYEc30P3pl8nRh7l5pTv6TUlrI2H9eJuM5qFHyjSP1ruanmwhOw3oWTrfB
sLjR9cV/8LMtzL4fTDaf8P8nUrMR/CURFXwh0qNBVt2qkgnHOCc+kkQbI4X57l1ah7PZDFvIEDQH
rFNHhyXuLfKz2foxi8DumLoDbKNLX+90upPLtDDqMcJGfd/R9O8o6kJTipdmQLqvVzu/9TDvz8ot
RRplPWY9TfhlwykIC2pk/5n4HBz2+mDCpQ+tjIFXeU96+14OnYMNI+YLaf+uKWRMU+PW6Kb6o/Oz
D09+LcP0LpwtcZw8SUzxYf4lNK/pQE+J+1Lrma68zMdZc+kImgP9spit09bDNK/Ix607nvIk+FPg
OWn78RjTroiWmh0q4cOQiNGgqH23CWEUpsESPMLqMBayKS0kvAYIiyAW+2hqKU4HBrWk0z4VoGFt
lLqFzlIgfKxoBvETnjWYm7oitIkZ72L1lGnB5OAhKT8GOw79iBrbyizQm5yVpYZQJdabx6EbzkYp
rA160nxw0m3F9r72ymE95raz0vChoAA5EQcvQ1ckv2SQvmIrYN49+B6yVNw4lPAJgVg6FLQGWanR
P4C7w2Ze+LSRBStOXXcAq3nghhmjZ6bj/ODAoanGBfwOerkDUu3CfUKsBD8tsrbTsnAELbBjSzQu
2UzTqHFNXFAdbJO60T/t2r17tcAaDu+JR4Ql3gT8RvIkZw4/fSzgyUDGPOsRXhHUtQg78/kCk4Pc
vMh4KX111Ksh2o58/EskLnLOIR8uzE/6NxcB/5zTZzHRwKy55jwBjE1bwmtqFGwcl4CN+JyhqBZ2
Og6RkBRRW2ra3u+1mJPRRffiFoh21obcUBtm2su6MCS2LsJH0kpg9soJak1FGWoOe3DvEU8nHNQS
sqq3KOneCnxfRWR/FQHJPDYLFh677GMw8q/YQpgwL9p9cJiHNBZ4j8j34BAsE2e4JNuKufqoS/1p
7skaJ5wcszzAFM7VyBEt65V2Revb4rgIh/CLzG7ghKiYU31cp6DrdqJOOZ066XPV2N/wpoO1g/AP
UYCY6O/gw0+XCnVc5ygIewACx/ltxREwkb7AU1NSK/qJtzZNWe2zGd1NM3J07mGew7+qNxLdWlgZ
OOZrZy7DMW7Jrte7TU7OxzqKWmK6NZAb8a4yK86lA10AOIUQlCZ3E/jFdQiG75TJWstQi5xNyvCk
QkBc1kgPhFtuR12+ydztwmLoV4kzIUEt8PLHkrk4sqO1YzRHsyzNTd5+pKk45xPSoygqfU7lxgrp
JJfdKeDeuPWvSPvq8msatmOLIcRGu2mQ21x45gaOrMlAyUZQ46bmqoOzGFrn3qcFFizRr2XxLkiO
xgOgu6Ft4eukM53ugNLK6rB1T8mpoktPeamnK5Pw4RUpQVvDtQyAFu3M+mF8lowFmWuzfKZJvRZN
/pJpwRXC1X2a4IQPupqxleC9UnudVi6B9Hk2I3Dd5alVHllXZjmsA9vbziYZzJbVcCJss5/IgX4Q
ffTMCPQuuVtOQDOss/7M0fBtROSWRcBLrXqJVknMiq/7CoGMl3att8HJdoHqALh+sznqcnSwn6aW
P0pTtzdyWLSC+EtajeLKTSIwUT2tkmzwDk3bIeqnR2gH7gyaJA0NVOu+xSQrkkhX2rZmKNr02zIh
wZSDeG9QQPgEByLRPVapEW/irlnBoKiOpkb4uQiC7dj9wCD/8Ocm22iNhx48oxubwRAEFppiOJ8O
Yw0fyvTKC0vzH7PJNdQyn7LigI52jE1F4LlGNNcMIKEk2vY47r+WZqS2KMVL3ia/82Xaz3n1EXhg
JDgwQ1Gw6a7MmBFwUkWnXDyRlfPRtARXyE56OMiUpiDOVk1iGEcX12S5rAH0j3BJvFMWp595JWLK
lpwL5Q7azik4ZPlBSkwkT6HhlSZ1QzmHFIrb2h7zDVpYwxpOovSeYYBVLNqdztWqJkRynMrbTcNh
SpJ1umpkSstOfnQevi1Z5T3DzYD91jQf7Gh6yZcEb3CKgp/c03XT8NB1LkMcp/S/M5u5Rz/pxNDb
0zZ3eXHkENeyQb22LPZ+0bKviF0tjET5Z1F6LXMxaOj08Ec9PcZDa7UY3WR38WTyI3pK4Rqo7XqE
j++59UzCY8yOiTdPtDH5PRMK92V6BEF2aiolpKISplthStrj5i3IGWfMreOixwBI0v+4WgDkObii
9qbJU+cnkzEXUKAd6XeaLhWvxCWbtxjP8+K+xq1mrCOqd4SlOiART6w8xxZruI4ZQwb0N30fbUUO
PtF0B3qAiotk+p+Rmb+1YkwJ3+5es0Tfk63prv0U+wonjY/cMX6jK76QE9mzE7O/ebSwyV6fNpLt
l4qsPTpL8ii8kmgDAiOqhCpMlKjn6FmNpk6HXS9hmVWq3WlvB6tL10GePfhF3+0jH39cbmH+ARDM
g9AWv0rf/xT4Hypah2bMEHuxTqibsfbkMD2yYvxE8t6PdOkGu/6N8HTVzjGNZXyv1pPnuRN30thB
JkfDJyTxX9EMhj/5ri10sIwgwsCzf5LKOiS+c7aDMLL6cWNqBqfTVE0YMX7171ln8yx5BWBFOll9
C9wt7gqO/LoDpEnYRahn8aOLbsYkruMCE3I7c0wkXpaelznLckvyEKpQuyEwI5C31gh2CWrCY203
oWvoFUx7qJADj6+/mGELDs+086daBS4hT5bwH2vdOTmLvJG4WO6oV8nspgwzvx0W/BAKFT4n2XDx
JJV0r3FumdysCMUw/EpJVD4azuQfJS4XJ229VVpgk5D9fLJT0olGzW2PxCcNuzGqL3O0XGIdvnxZ
jMMmiBz6kzPYrKPdx99+hcwUDs3HRL4i6cbJxnH6FlZb9ukyAWxd4ImzlmzLOWNOMxZM9uWEk4Qy
eIu54OgO/SmuKh8kFEo7Z4L9hF0NKUS9UflFZP+BwEQDFmMoqkz3bqAUD7o+vTWKmUoAdFE/I7tC
kNQwWuxmTM0Y5FYijn0a5ud/BYD6idFs4wKj6+hgxss6q9lMGZC1GHCiGTnWHtwdNpGabqwQnvZQ
z+ZTno6k/opiZoaHuYE/C8/dEIDEmTnQTwZqrso8p82kX8dJOKydOXB1V9wp8xfWgJOFMpTGFav5
0jg7HX88CAEaHVySfvHN0GSytRFW9VVodh+Ww8aN7BQzoZtsY+u18F2cpp148Egz3GXYD9KJ7cwv
6QK77nLI6+y1MiGqxYKyCOkz6MXCmzZm4H82rj+d2OBXEFUQiAgQ40PReud8SD9d0yGXWCe8auxc
rLntZ1UiUMx1DjqOk+/Q+x+6ZKlWC+FvxzjDHU6o+tEqXLKluzD2LED0iXcYi4HBR4mZxScMnPgf
QhJNR+4sIMprr7DWYKvzXYCxfaUaYnG8Nod23CXLQjll93/gw7HTELMiCJVn8lvejQCqlGwHSvmB
RBSz7ApUGnwIxoz4x2wJSbM68d7AAq8SfXn2/BrqVJa/Bi0iSVNvLliYr6x778ik2CF9BoLu1NBM
a4+t4Tw3PR+FtbR/iHwq107l7Sd9+hog/1RLi78zQAwS1/K3w+8EnI8VyNDUoNfTG6T/xSvieTwg
mOmBTjHLbfVHu2tfc86/G6vw9ppYdBo6/slMuR0rpyereeEv6mm/hWAH912HK7UlFHirOYVPE5Xt
bPReK58VV4uw2OmIIEdDg5y5QS3Qn+a8K5BwB8UhGo79MFucQKLsufSMk+5qj1jifvuylIcxwK5g
Od17Wkw/kautnTQqjjhNx5KyJdJ3RUKztZ+nY+QOuCP6Y2NSNs1YSA7D5O5KD9ORDgtyI4ntXbdt
e8hqMGCzxs7paYWig1VP45zGsKKMiecED4SR90hKe3eT1CZODtaRoWjOHLt+Oa9GNA3HCCuA33Rv
gDiLFUkBNCvy4CJdFoPAJt2eudQZa9qXCYQLY5C2F8EkNtWcfjdD8Cv3yz+pgzuya5fnWrPCwpnf
RDkzAuepwkbPSJrlZjPpOIaYf2npgjkphSzJsr0Z7ZEJoH0l2dR+yK3pOs2MP8Xg0Gotlu+EOtWv
abSA07q2U8Y+lBvdRhsYWUsAkTy0EQ9tkq9Nny/lc0XIH+eulW4v6Wm0yp+oHfCiGmO8cTsfuaz/
ReLDF0GX4FeF4jS+oeSSq2YXxW1zmDsukZpWijjf8zyrYWZyjDqG6PtlIoi4tZgNpwUtpwnPrhLL
wjan2HQvpc7GY1bkOwV6OAJpoj2GasU3jC+ORgzfF0lbYj+bkuGrZLbveclHxwrYUosyts1GxrYE
rWBuJVpN3wxd8G7Uf90262rMaGj2CnokN14+7nudmiSPoWYJppanxZotus3dS1s7BN8yI1+bM8HS
6ELtvRPdBKK6uJs3s9BrtGBiOZs1eQM+yvtaXMbYRsLjPnu1vp+66b2eKjY8M/hF3PmebRqq6IJA
z0k3cyTJcTT+6JwS/Sh7HC2Gv3GbPhVdfW9TtL1WR1VPhP15Go1hz8KEt+PELjnS2IXMDzefhn+T
vjoJ6WdGPm+Z5TPjv2Sx+CXhXzHM4l80ARjFEgXzutCALtKeaRmdGPk4r1IhlbbZbI/aq44J/uDV
wzFz8ppBbSkB8FqvWWf89hRLXZrtk9t4GqcjWEzNOG+zeTiWk2rlkny3BlEFCzMDxEXBc7IU90YG
UM8F1TFmdZTBdGLDItY6oChlvvVsygqlSkqkAKMDyyC3QFAwqMziH9fMPhtdgtIsKpx0EYa1mEYU
yZnVEcDFqz6LfmuOaXtzMvzzVfHbCqry2y6Xm1cJ/ZdTi4NXVB89e/RTwVmSk/NUnfD4zPEMvrSP
iSlx6j30UNYQ4VGA9k3zOqTWwdb9V7Pk9pWaO4c69LQultlXqxVPc0XB7jbCo1zt67CdcW3TsWOm
v1yH4loFevxAQO83UrWNWfjOkTEE+5tMfgOEOYCl7S5KXhZZn1G+jCuyLFlnxfjlN/Nb5Rk53PLJ
X+WspvBcch2fv32PXUmx0dDZ6Ree37Qh/p0V+Q2ClhYGmXgxcgJARhbvQ8QTOEd9/qgwMNlAe62T
HY2XBfYoLRFc/cY2DnKT3iHEjjoWX0ZEPcus1w/mnS5aOGMJ2UK2NvDMlbBQhNCOUd+3mExwgzfM
aQ/woC3oIWN1LVyiRGg3ke6V0rHTzPyrByG/SuzoV4q1VJjtq1rJgB9J5Tw1lAd1iotvJADKmTop
jyoN7TBXrtVpkatY+ViRIkzK15picPWV01ViefWU9zXVlQuWYkEqXyyZyCC1scoiIQaZoNyzJjba
DjstLYmfCnttjc22V35bRhignXHg+jQVcEFGDwHmXIlJF7GSmukyxRPKwdtj5S2VpxepDhcCly+Z
ZU1IWN+lxwC8KCdwqzzBNeZgpvqsE9k+Va5h7AVIlDASF8pR3LnVmbiUu43VGB0iNznmYzhZwWr6
60fu7rbyJ3fKqTxgWa6xLkvnsVJOZl15mjlvngQm55Yz2ILpGV+SAWUFH3SpHNGN8kYLZZLGoboo
17Sv/NOTclKnWKp9rNWR8lhrbG0bN6ENmysHdkYD18GSnShv9oxJu1VubR/b9qD827NyctMQ5iaF
16I83kXrUEF0o4Te2t3aHMGLoL3j62S1YucmQ2fYF5p3tido8nT79N4795jK2V3kQ4+BvMNuXinf
eYoB3XRxolfKk46OGX0ENnWifTvxVGBdL2k5ajpaIGjqTzkfM5EyJzyda9Ey2yCUmTo6fpnzHRxR
WreF4LdoWN+BFH4hBDUOg/2TNUOHXBRTa4a9HnoWbT9xN7HdB9jv1ZuM3DJ0vfxaNMYb4bDPiqsh
UZGy4R6I1Xyq4+QlGYL7aPsnV8ZwddgbquSlsP8EUuztJbnZqbzPRvKKxeteAguYNZwI81sMQqAA
JVCAFIiGZ9oNhxnQQARwIAM8IAEQLIAIlI1Ei5lKeNQTnbtPABboaksxeaMTJAOr/OogwoM38Oks
aF2DmyHYJ+APNIVMpoMnwSLIcuUASaD6J0mCvlpzj7z821QsBVSAkHAsi0kLz1/aUrImoBcAOdxq
aw8kqEcfzJ75l4zSg2vgmP1igW8YwDiAioWnscfhx9/KeVfRHmgAHaj830mTeppt8bywLakFgYEk
1CIPZERDsCwACfaUP64iSkygJVwQEwhEGDoAndCK+sGmg50rGoXFE9KCp5jBVPTgKhqwFZXCV8iD
A8xC0V0ECrk5gEVADMP35DxosfWuNYK0pXg7NslWsxd0astunod14iPyA55hshwniqaBh+zsK7wG
AWu2cS2AbmCXPxLj/VbjgAmAcowYy3MgHZ5nfneuce6xeThAPDhaA/RoAHvEOj8J6ENxZhzAH45S
agICmQGCFIBBJgAhWo1v7qzZGxd0CHD3cw9KJCbbTH8fwYu0ijNiAByJAI8kAEjy4WLhHkIw81VS
7+VgSjxwJcsHztPfFQgTkYQzQJMCsInFReER3PoATxzAJz4AlBoQCjT5rQSMkjbBsQSU4gFMWQCn
tEo5g7F6iBpkt/2tNlIsO4d2EOel8U7uMBLKJPexOR2i2Voj3FqjUthGPWHQbGOzxxGzQ2eyQN6k
x1B2OwD9m+JLr4MLO+FWH7G+YmBozOQLexq3j+FudQf7bGe8KRJNHQ100pdnEl+3eWHsWwhTmWFe
+1a7ay5tNyYffP/Nd2BqU4RpfIyKbBPIayBbEE/Wm8EDqR5AtGqPAjC/awKHjsab6cm3KgeEA2tD
fT9ALBUdxYBBzGw/nEdhx09BVV0rmd3GbHrt8/Qy5vXBDAQZPv0aA+Qh8L1TZ/TP6PFuQJfuxRA9
SQUPsy8ECWxmhL+VLu5arr+BuLJx1umxTnAFAvlCjWncU0EIrkx483K8oOO6pEyyLNGHYwf5x0pu
SRdcSIv6UMuIP7oMM4yVevezWBODAH0quamVJPAxKsE+gUbuvk8NKTn56+SUxxhknL/u5+He/1kC
RCbEQ/FocA4upousr72B4a/c+v3Vqe4UMecJemdH1wmswYJkh5ZDF86pPOlg6YY8u85YNFtNHv+K
+rL0Fbv7NTHEpRX+R0fPzG/6g2HzTDGCTK7aY7GEkBc3vpA3tcypf8ps64UJ0N0ax3uLNKSYnDPu
kVsL0IjBzc3V05uLYiwe41f80FM6kXjOyjikb0yQr2L0LuQlvxKHcrZb/HbionhGoyevlaX9/cP6
PrlZmn0H3euW2kW9n0Bdz5E+JaeyagIvWB2tkTHTVEBteS6i5GRlX4nsjoOELdunr1YWX8qeNZqX
cvgLMojGdXNZluysyEzOLC5QaZ7VB6B+f2n1Z23cuVZ8Q0n0gA7tPlnzW5umoEgkomrC+2T8Orto
jdn1PlPXxS8/Pas7yhiJOvF+FKGJovk2lDZoCmzWKOyDsuQUON4o/ik+UB1x86U43jP61F40Y5oU
N93ntYR7Ud+Drb5vu69OVGiX01eZLm9FvTypP2qx0yvlW2+2O0suT4wcXwjjfUah+/F309G9D9Oc
OMIyGE5eFZop9byPNk1uTrd1LHGVov4GBX/0gNF0k7lL/HELBy+g+6c4WrrWfiaLQJsMkmYMy6Dg
5J68qLdQ5gWJB6fRiD7UE8W1uhjCeBvH6aUQu2zMLqYhQec99db4PHU23lfMfsb4zGwArmG2F5EO
VKO+/r1t9PGu7t7YmfEAI1+gg+vb2kPQDM9oekjYHW+Zpr8hqfmoHU6vXnltC/sDuQYJgU7InckG
AbtMQvyvS3hN4q72yckuAfpOlKh0xLLpCZLnixjSmxP/HlmSbSt+tTXn6OvYi/gxBp9/t9eK1B+h
D5epK89GDYEsjXeEd3zbVv7ZvflL9xSFURbdu/KPjMZHDrrPCv6TRP0lnXh1R9wZHl6UuI/BVt9I
5Nlgo/zxWTezdyCiV812T518FAFQrm6+Ue7WDNqS+e8xRL2tvx9jgBq0x5JkoSxDWcvr840gev37
Pl3zqI0v8aL/Str4RgOBc96n+ivcoXpnBX6yXSJjYkyerGUxrmg7fzcT/a3kpuhmF7W3uA8iwjCy
PExIZoJN0fd32zMfO9atVg0Ycxk8z8T8lEmIwH3vd/wEkJaV5aIaqUKdb3v13Y6Tu9q8TFNVWVur
q76Hpv8xwGOP1E8uFRXDo/jVKp1QsILGlnbr5yrs0ZrV3oqrxfm235X1cvYCAAaafm6hLThBvM/A
vmWcST0q9swRp9zTXhBWHEqvfmD8cXIMQBfYsFNs+4QKPKmdvQvKPWyHn0Q06zr1dpMbvxoaoimS
WR4jp1vHTXm2POVkGerrVL1PmfFLFBrnJJNlsXmZ7erb6ebX0vJ+99P4WBaPsxbcMNFCSbHwE48v
mclqm/unhiB3uzZWAUMLI745kBlIWNtErrf3gEYKWe+Xdj5IfzqmKCtJ34kRnOM/M4JmTyiFN9Py
EnA/EBehY9lFA5laJT+A1MmrJPRQc72RyCvTSLI22OsqEKelqK4WLEXocCcvM85xPZxkdug8oPSL
86gzyJuLMLmySaQXGqj7IiKV0XVPwH62A43qQX9Igd5FCYmS06+GYAE9HW+EH/LUp49EXNuch3u0
Kb4bn+y4fYC9jBAahp/e7nRTHhLEMjptScCeKLJe4zg9TXW5plN3UfK/yDeZzUcvRsQA2SxRS+Fd
LDZd+5sZKsdLZzPFHGHQeup6fWxTEIroLQjnWZNuEarrrE6UyBL1ID6haz/WCi87BiwH8uiMhIRx
5vCd7yzob65IbyKTT5gNkLw2JMWxpjEIH5vHosqvPiJE/GEMcxZUnQnvJGaUgE5ibbsIicafmLvI
zFiRxHivh/HZ0pBFZkDqgl4Jmk26HiDNCpYbXi5/L6VW8mHg49LSXTPLM4kKYJJQiD16H2nsoZ5u
HlpaW7Mb/Lb76ujQm3AdYydpoNUYkoLgl3dSB9c4ixlA+zuT5WzUf2e9f1LqysHbZcHZdJDmuMlh
mPN1wZASnQathAhuQRKafb3V1Lvk660oobqWqzYDekKwzjg+iTJfD968ZxK8NoCLqjcT4xPJzXsF
H2WgcVCi0dWo9b2Szlg8hfzWtRvmoxkqr3cqYSku/tHSqn1iLOeR5m3U+wdMUrNcg1Ddmh58SYkl
KKczEyU9WezFpn9ssnHrp+RvRJJomOohitSDq62b2T8CAejWtolBh8CaUn/EIHZcpvJgtcmuly0J
IxJGXHEYjBqwZAjBZIXCdJsTR8ipZcNoyF6ysDPx5Vg4lYiU0n/51OAOD9DInxQN7Ny/LCSuKAW4
T5G6Arb0JVids7oC/Jc6L6tPoYxtmv/dZpDLhpHeDds+8YpEnAb6OYCcUm9nPTimixPSVSCEsEhv
I/g6zap2VP0fVaJKNSD9uf2RRbcMKdNY20cPluv8GHnzFWX/R0TDnCqrGXV0NqGnPzg8+ksNbK+f
X9CSnWAkX0fUBQ3E1Lx5K9rikGX9Tt0FMArOrDcZFqGfyaVV45jocmz5hECeITUlj5qMuso6IqFt
eIeAI2deB0e14Q1oMGMZbePZO3SklcWTFk5Rt+u4C5Pu5ucNE52sPINyfLUnKKJ9egHKDm5v/on0
gMGyPBq8a5zztuUxYi6p0J1Nh7XFoFwNxnyPwwPP7WMbTc8MTK5GrrEE6menmRCp2oQzoWZldbJw
7KijaRvT4FhC3MbnySG8g2+zo4Og9Q+eYFvD/lJ6rKZQfCQODDnZOAgpFPj/aQkeFNyjX03hONhb
goEbWztTkayy0xRtSxnT5Ugus7vs0FFvu2YOIxns2YG2sK62+KSUSwj38Lboiw2B0Rv1ZWB5B82L
djyaF2bpI4uBkpy78ltpKiRCRnzBO7URwrZ+kmN5lb0N7dUJ5yB50Oj3JU90BAhLeFRM+rpGwt/7
l5KovcxoCMK1Hk2/2+lRsMuS54YJrkXObRzioNsONKyIn58iInSpBp1mJ7Vl5y7tR2PFTw3bHgz+
PHFOCDzpoMEHB3pRafGu41t9A52zWruELWkuS2uK53LsNjinNiPCUCvrNr3W7aJ53Fqle3IZjE8l
DLOc8CaN4DgdBeucnDIuQTDhmZZ7dyLUvB9em4wPjgNeikReVXNULIDjvGdG+m9EOx4FrGPzW91U
fgvdA0E0sBZ/Bu2cpDsbOUom3d9ZcZh0hnOzCa+u2RuzFf6tDu3hOaaUyQvrvW3IDEyTnWYAB08O
9gSn36GPZ54kt0pFkejjcHbGr9LRQBQyAeqKM4iffXvQc+vqmDiQCfC1NFYYMYb8YLmfBkxrLDsA
35Sa6eCVwa5s/YO6TMOf7FJoW3IztwzaAryGfy85r9XbyyZiKEdvcSMyTgrmRr1J4K4qQXVHx2HF
vfIp+JqVJ7sZSyUN6jAiB7EaOQTwv1lK1MsEkrj+KKwodGv/MGvxk2lbj71uk30xPhHgeiKT7kyH
bM3aygTBBu1ss8fdtQUlRiI3c1LvUcmshLLkCZ1WQhOqhXkUI8mNEMFYVPP24e9arfOhB/qupLtH
5l9Ia34rEjS08O24GjIDTa7Szt3k5DTcwWO6I6HjMMQT9BwUSqkI7VF/KAbvklfFMTfHe8MYLl/g
QJnikFMqY9JnuzYfkshGMRzsSMrGsgV0q51DWTmXgtE4WsVTn44Q0ZZfQ9fx70o6MumbupNzQLx4
bB6XpjhPjfbkBpy1bIS0KFf6LjktIzcdaAxm13sUYysjbh7M/t2cGFWN/a4ymk2ZfHvUdZAHClDV
mf9QNVWIfnpHJ2mjPujWQ7qRlnvpVMfiCdDhLi9e4gaYtWM/6pqlwB5Hr/N3MHYuEHOOsAb2ndR3
UYpXjTxt2AAPbds9Iu1+jIpzV9fXNK3ABJXHMp6fm5yiB5jvnAaHzi4O6GVPpZZuMotXQmSz4Oss
kFbofAwgzTfm4u9lxciUI7e/nAYJC3nB+N0XqLbs1v5VmJm1Q2FUZ02LVAWWlHPtMuIDijG6W6aG
br+x+vAhmv0EjFTDgJjspClCU///8SH/N/gQyB8mVI3/GSBy/qr+43/V/UDD8z//iRH59w/+CySi
2f9l6b7r67rjOabjWvb/IYnwLVR3gYH2xXR82zR90ij+jRJx7P8i0wKCiB9YXkBKDj/1b5QI39Jt
aK0+P6QTlmQb/y9BFf+dI+KQeAE+xLMsoB2mo/Nb4Yz8I6Wis4SG3FY9Nyrc1XnzCe2NseQ4FEL/
uDjXf7FJ/hmJoS7eP5Alf1/K0G3kMhaXwtUt8jr++VLCxOfh9bzUpBUPMOVWwK7RFAT2NZb1zkz/
N3dnstw2vu/3V1FllSzgi3lY5FaZFEXNEyXZ8oYFiTTmgRgJ3EpVXiPrrLK4u7zBeZM8ST6gzG6B
UtvtJnLbOafqdJUt+U/wj//wG75DdOYl/hSK4Km1JmVdqbMQGzQUkCZtqJ1J+N124H5rJS4D0gw3
aD61qnC8UlqCluDMSP3rVPDJR5MrXRBuv//wqti383h5epQsZeQ+NGC9emeR9Gqi2jSq1x6Hy8hc
4W9uCtJVSXCIihxCdK41RRMMQcvmHHCt5z+rKxC3iQkxiVJL693WKIan4SdYX+dCnV36gXtkflFL
avtzzzlRoEKAUBZw2DOBmhronxngLOqG5gflhvQWkT7cpMSOSs2+j6jAZXoGvKCJm7FOi8xx3C91
jCGagPPxoZFiUi95R0ZjYe3pX68a+JuxjnCgjBCae9tE1plTmWew/tBNouJvpLBwpRXKbAGyX2kN
cqEIs9NGwUks5G4jvqbtjed0ESpLl1gWtr97ZlD0sujf5qpx1qCcllG9RCkYQzfa5IeIBI+pz1JD
tAwbpF5GCtz58XC6hwiiGNKaFLQ5Ar91GojCVFCcR52OeebyKCiXnaWBcT3vLHGxVvOBy1oOhaXO
2ETSYYK4+WlVzW9qodOEUZ3RGjp+ZEIimoNIMORzQfGvXde/kWLh2MIkNZBd5JBDIrrkKm4IMxKT
9p5GKAxkDP63O7UyKDYxit/53A4ApxBwTCJU1KlmI3UwlydIU1YiaGOT9WcmaBcbh27h3yJxgz4L
wqjOelK76jQCno6lAvip9tIPwSJpwh38EbAvxXUrry651A/TMJi2Yc3T6Ger1pnUqW6ba3y5nYTa
J5wD6SRWwCfJ3nUa8I2K2iHxTpzbubU6cujLeK5HNOHBM1rJX/DMOg9I0moVx6t1B2pLQPrQ8bxY
1Y81qiUkI4A4wRRIfklDy8G3y4XElUQBWOySXKJSpU9ErLQ2dJygQKk8aa47I/m/DdSackvU8caq
kGaiiZQByMu5oq0hXbFgOV6cI5nYGtPk9dQsYBm40C5hPcpI3OTFVCNeooCTE337KTaSAco8HWaN
yzBJwBC3CHQFXZuS2FD3k6NsXgjjdlU8NjleidrC8duvWWoB/qdWK6DUqLafaEsS9jiIslar5lEv
zGNgTvXI80WAT10xQEfNpmxDPI7ZoZaH58pqJVGO8qF9CGvlXA7jT0WsnVkF4OcK3o7lpJdRQegL
ytpaXaKgMBV9FsQayqhY0OQ3E+Cm+pe5Y+HD3rG8y7VOjmUCPOzwbUlwltbzz4nLTIh1+llXV8ei
bN0lvOkiQmZFhDuVyGzz2DRnOUXsbO4D3MBAoJkKbf6IyxYWAtFV2fio1NbQ8apJIwEDidJLLThO
UiQZxXisBZq9ToOHzLVuTNd7cCSEyMrVseYitG/mny2EYSNIl+Mo5POK+XEkCjdzdf4Vr8CvQMsn
Jsx8XOwfmta81WhUGr5mozNMTFWcz0cIrqIhFZh20eUUlnHWKqotoErQEPnlkrnM6tXxOtVscvm6
xV7dlc/9iA5jkS6AOY1TQ76ZR9mx5IiE3gaqxniiaOGnVXoTavpxWAUPAsYaY7MIrpDWKMN0ZlrS
SdYUU6dViRXLC7nFA2eO4Aj7r63g5oONo5uKTDEcOHhDJ1YeXgXBCtuk/LpEtaIuYDOXrDtBdpEY
oqdKn6rIvXs1iQ6RdJk2NRJJtXBt1MVnDnYbCSOY+mPsRkjusmNTyk/jILjO2wZSU3CtUmnW9exE
0AngUBmnKJVfRpF/ht7WFFgfynXtF4nCUTPPjtdzgcjSua8Sh0YIJIIVJ1bq3pCJf8qfQgX/I6SJ
Mxo1xUUolQSYwdRRtGUM0ilG+nOEKTJaeQFkjM5IExUtr6Wo2q5rSNH6TUYmQcaWXmar9HI+189S
jExKHTncdWrYjSye/3yo9+eMxu72cCzrzMd+szn7NczIJDRsiHz+ONabLavOj+zfDy7sYLlIYg8N
Pt6SVzSdl9m3f/67dBy+ZIqlqIqsS4aECtyLdByGZaqu6gYWY0AYDM3gI7fScfIHBYgkqnIWsZ1m
Kb/He6r4wdRFiUjQUHWMowztZ+I9Sd5YAfal4yxV0kUiMBUbNOBi/UimhFlSgaBGtQC740p3KPXV
hQ4dEXpJVxnMrgFhkKD516Jqnmlpdt8I5hS/KRTBfNDyFLq0BNadUHQ02qS8KgX3iyZfYnB1r6GA
Uxl0IGpBODWc+SWt3yMDQbBmvT5E6xEVFEn/bLarc0yhCiqM1HjrjrZHsWsOTnaeHwUuWWBroT1A
PS8JfOgXWByJejspDQAZoYXsm5gUJ53/Cwyqu9qXg4k4lxK0IhBBc+S0PhTa6KFY04XUOL1Hgo9S
R4S9yRyWhNL4HWYlQNQMTGBKrDqi9Q+eeG3dGY0EYAz+6iq9EDX5a2oZN5gzrU+j9bmXIJsAdAIg
Gk62iJ9ARMdmW6UbOXLxWOcQwpaClJDmBCa8Y+Ox7qyzAb/HIwj2UANnKL4BjljPHz1E7lFZqTuO
cwvvd1SnoAlq1wK//wylA76mvr7wPKDPaIOt1tjGixl0KIEQuJCBhuDuLGX5VSBQIIc5HCOON3Iy
81rR8FhL4EoaaMIHRXuBtta1jzoZ1rAp56RH1aNrPfgxrUNFKb9gs2qLNYW+ed1CNkV5LoCUI6Eg
OldXtAUp41fBVSh8kQrrQeNScUP+43mfEKh+WnnOuejWiPrHtxG+n7iHxTMN216tvUBogbAsc66q
vAR4I5zLKMRHfvhVTbWzWnEvK8lwqDDQsyNHutNWsoUhx7M2rx48g/6/1snICWvUeJCCwuOPi7kj
YPA2RTW/jkAAuKr6IMTxTV2ENwVm7yOtAcQD+tjQV0h7gaKVKJiiRg2xiRwuR7Y3uocCONMN0nOa
QKOC/tG6vkZ+HFeBVDwvxRY8ybqYgUIYC0HXXijhcBdEgm6EvndtztDfOAasG5TU+NsASFeB+kdN
0EV24J9FIv46sljN4sSbRp70hTBOH6e4mSaJBh/SBQ1szaSWxlk8BxzpRRCAnBSUbFV/IiP6BCeB
8B1IpqJP5zkEK8hBpSchoRWfIyxzbFSPuQMvOtAdW3CVk7bDCfuy+RTH0n1kYFeFAcKIxswdQllA
JMWauhi6cQ6g/6xgKTnA1p2WmDeOr3IXgzp9pT4LGHGNiioGoIFqHyHj2MvT6wQ+HF5295ufaoWA
xhdRgZyTFCi4wB/OFWVarqNToYaMV8bigjbdyDXnZy4WhWjn1Kcp+P9UDp+wyH0UzeoroPYnj+0P
VA+QPBqpdW1kJ3JyGuvAw9QgwlE3x0zXXF9pnYjBqW/MiYa5JbPiiOwa2VadL6GWcH6UgN2GQuRR
Q3zRWM0EYcPz2m8nslbfqEZ+oSnukUSa4tbiaYqPi9ZJIDwkrcEaloPzdaPiZOTQijFP1BCqcV53
0r2o+CHnrqzTcdT5mcUVoiAyqrcj0/EE0K/qGJLT4bxWPlVBim4DH05mz9cn1Gq73Z0W4mSO2FOo
Ip+QhYTIaye/ktedPJVloXKAbyHeSRC4phZNQZhnkGlwwZ2sLC0ftaAFUo1kCYlYpDyE9XVbZbe+
4eqjTCQtC4vTJHRBZJbiA0VelKv5dlgPCpACLvOSSmfrh1ihYJgKUeXehIU098Kv8hpaOopwzSjP
15NIl8cBJtOk0EjjAv0/Nlr11Nf9r+qKeCeQVoADab8WERw9lFAgBkvCOEOouMibJdVSqphKdos3
E/lMVKFG0bZag0mSfxXLBS5tVQznN15P9DxGbzQVp0EbmGMQEZ/iNP3SAiomm8TTqa21aUB6zBTN
6fg8QmDiMVePyGwuQcNao2yGHlXMQwOlzOHGqjn6C0VyBWT8MjZBnXJYnVWOhkLU2l+CRIfllKYo
BPO7gsIGkzzxwffx52lleqOQDse1b900K0qn4MflyVo/hukno6NH8tgk4lOjfsFaEiqK2PhjMnKI
HpUA5B6SAuZW3CRhOYIJWpT4EOo12nWxsL4krefkj8XlXA3u0b6aGW21aEzvBE9vMIo1SE5uPMj3
fBfJ4Gwx8bqPWl060mjdgsi9D/lP1ylLxoInoq/j3VppDk2cnAq3K/5fn6q6i7ehxXqfJ8SeUTau
SgReeGV3pjaXaJD7j9LqRuQGGKeWh8iH8dmPoB4nUTFazRGwRGMNKLtCzK1SUlQw1so16YrLj06X
BWrSUp7yMkTiZw16CC1StOwDYaRW80uMGs4VkxWT69oEbP95NqfxWIi24KyeS/eUYv7SWF2B6P7c
kreXbTCpTeiFqrr6ImkFb0WLPhllfafJwVmuPxZa+5Cl0aNkdSqzoTdn+5njFXpcgZDepfNwIQNR
BUIIhNmQM1Qz1h6y9Nl5p/G3kqJzIUNywym4QOsqPUFb5t4AesZZz4x4+RpKXXlc5UAFEyNf6OsV
LNFEPNQU/FNxbUTySoZESjfEoUpFwzq+rHTUFFuJC9uwgNWFAqYrqWlTrb73qcCQUxd3ulphDgZI
e62ql6mTB+iAoSJdhepF2UTE8OCYD/0cUthKOgtbfD2UqNBPKB4vIN6ipT1KvPBMA60aaTLRfq5Q
j7EgWIph2eBvALgyS8AtSFkx4bS7QqYREgVyIEzf+kuhi7isE7m0d2gK8LYEFyCoclEJV05r3ThQ
ZkYSFM9RWa0frEhexqSYY8uMbrElueC4m1JUW+cYW+bag5JId1QWT2uI1oKDdJ9G7ube0Y3yoIBI
U0vISRvVe/8TiWkB/hNyda1nOnWhgNaNcWqukUotTCDHgQnFXPSLK6xxWMLwtQ2YMgiayQXmm9aY
lXqB8vUnlbbs1AhQY5FRNCNxOqvz8jSfqyerKDuxpHZqYhPuyJ83QRmm51XuUu9qIVPG4lGSRkeh
b5wnYbaIFFBvYqphkOMezeP1c26Gs5WYfgZtszABaVGxhxH0tci11bhakxpLaXZVtA2aoJ6HaZ12
oUS5Neq0Hy09/Or7vHHHRLICQeLxeuWDxZhXc4glkgYdbXVugFFZlQExJCxHqjYVpywQfqK8z1kd
05YW4HjGENiEzMs4G7jLnJlXOte1qF2EKXjiAv/ZsVNRDUKjKDbVR0H1r6TC+crNN/LpuY5bOX2a
W9Jd3aRXXZgYefpJrel364SzZ62BFSlQPdHB2444pJ/8hIucXGEURMBH+H6TJlzfi66DmgTsIoz5
WlJP9NdaV18UXvSpUuEWFlzMidsuweRwfPnOJHbNL7JyVIf0/5JbISPETTvB27kB7zYptdu2UjFG
d+OxGcJHmSM8bHCxS/Gp3+kRAzQ7zjuFYgGp4nWnWezqqBfDToL/gqBxUqNsnLYx4kzEvuhBUxSS
IfDDRp8/Cj5MKi+jxV+5yNSolOZkZSEZdYYzI0rKYWtNDXBMvlwdr0O9mJREcwYZPf1KxaCugIZO
FSMf5uSoNKcox7ci2tLaWRBG0milApgRUUlpOoXnjKqTAV72cFU3qD+HQBqdOrhz1iABcCY5rDqt
6NThZLfW6W3HAIA6gdgOeJaFsEY1QkJsGlOgadypT+OmeWFt9KgNlKk9JKp1IhEMBP17x50vDUSs
MYpNx0oKnd6SHqOWlRbUK/pvJRcpEQquNT6FFMcat5E601MPy5hOMTvpKvF+epzJaGkjCj6dnxud
wrYi34huUo3pll1V4NOOzZLIAt3yT5XDWY7lIHuN4ihSTchZUspD/TFZ6EaejUstOqTK34UxYCTw
oGmB/4dTlIHKYyk4lT1qqJHCOaw12IMo/grWM1aaXXhaUpgZK+0FXCICILpLatdmErqG01RU6vxI
3ZSj6UflXWMq0a596mUweFfQwqbrzJSxMpUWeYl/BCIbiHfQ5cLq/RyI+U3Axm5wpzHMFkiT5tbT
MtceNeznsTphzxYoOKQqNW2klkRorfK93HITCGV9GkW3DcTPoOiYNV2hWS3Vz5hP39C3u/EgQ4w8
Oq0q1Co3zL4UMIwPWVYEHfkMmecZVlyjFhOasbrivcCgpA7EgcplSf9dgfZoJcE4oKY0aTNgMpII
7MnReV4TNjQsMQtrhSDVxqt5I6Ag26wnnkLtPPNhK1iYHVdYxdLaBN4u6OdKiT5Dic9t4okwsTg1
A0m9qMP4YV6GOKmVZxoqZmybDEcVOOReuDoJak7uSkCsNVWEe8VDnT3IeJUqYqwsajcEGq0A2DdL
jE4qEc445Y1pg6gBGKxlS6mWNqfXQtaeE1tWtUcxLiBDgbs+Ny7c2ocIqq3TEzwUJ1YnMrYS6TmI
RaYeKVKFvXNlXUEwOosL3z8raG6oUeJSupWKiafqE4+FBqQMw1SsX0dJkaEIFXv3sf45RfDgsG2i
KzdWnYnqKc5VRtIUY3V2Bipf1auJSwg/jWKylLSTBw+iSjqEdXSz9kl+8452sWqohOI2kR+us+Be
qhPsJXIklJFi8KdmTKriSLl/uflP68toW0k+lAL8o4N5J3tRNC53MpYfcVR/VkDYQfkV8UKLP60c
H/U9XyIPEuoxRGeutsii6FxKOMeGkXyhhiinR8lFJbOjUuMSi+wTEDc4UVfnslKED7lSP/FqMyi5
6/QIyApK9s3qwixWG+0c/0ic60dOhY8FFuVkWlYLPKdpbpzSyaDsX8QKhepM81eL+eoGXdz0Xq5X
l77XWOdGoS1Rm2gpZHowLO4Dx7/zRC7oTJkr4yqVADkKy9Uqv/Mpw6LxDitAKlf1Yemx6WqFdEoU
YS0D/iqLEk0kQrpSjtEYcj7luoOtJnJVMFHK23Xjocuu3fuh9FnRk9tCBGhkoTxZrZybfBUtlNiD
zmLcRqDaCzoIaz+/KedWdYPD6JGMbd6RIyUzzZHvE45eSmHHgUhOq2BEjkQghlmyMHVMxFcKyF4y
nXvHbG6yAjiBgbrFhB11mCtY+xC84aBUgVJ3daxVm3wiRMJ6gpbhbbzyMpaIL479UD+OTcKkrEQ/
R8Tp3J8nCgJ62oVX4VWt+Gghi2v589rl/HaUVUyM59tmUCun8Y3cINNjispXQcOgKUahkDTWcInD
J9gQUvJ2wrDjdcSIJFRHlZFdKmJzYcjalUciuJKVU1YeWEUOQi15VI2UWz5ssqPadJ6C4iRcZbBT
ZesZXfwvsgEUvFGfG2H1KFUI8alx+dURTiBN3EOYJZ9RbKTZ0JsB8tBy1wQUfeWa6CPtTkPc0k/y
pl7WUpgfk5yAY71KKk5+E/3dSKDj4yd34DbOlTZeVKQ4GPJ1TsVrIlLRe3RaUNhWflj5rkS6GreT
mMIA0QAqwGD34ipJIDEj2YBACyrpvk6WOT8SyistRt4hcQhG68A46oB/ePdA16YJZBznWQAFce5T
5HEpIHVsdamYrUNxhrqrP1qBmx9npnGGpHh7aKyQUJfgEs8LK4Yw3OSHiR+tjudz415D6vxIrtHf
MhduNVGB2ChIr1KGaRIf84GcMMlQXSQzXE8+iiDhJx6lST0x1BOsn+w5RvSnkaieg1YG1cX8j9Oi
WVSB0J6hfIAuZwVZwbHuvFb8tIYYlMe6AjM1rEaRvrIdPfvaysY1+kZH0rwFqBJwZueqhwh4Oe9s
ewDC4DNWHhb0Xn2NTAofYXJpehjNoaAVE/6qcI3nBJ9btFpHcwqZUI4pOXl1ept18gWaBJASkuE8
ru700vgi5ShLJdi/oAdSEv6J6kmQzYJ8ld4GMCqRs2sP2wKnv8Di/Gm0TJuiKIp8gb4wWiuFZp49
VCoQNQWbzMDUUcxMkMqAwj1C0IimVKMdGZX8PG+Qe4Ycf+e56y8VUhJHUqF0QojzbLI21p9Dxy8n
P98p+Jt6AF37wFkmh3ZhTzYV+Bukc5rbJblpQTfh959eJ15c3CV/7Ze+P9C32v9dky7/6396Tsq4
6J7A8ZL4dVtA3vWf2TzR5nG/N0Bo01coF4ysiR+Ad8DcJPgTycdESvUh3dtvP1Y/6MiWAN8wTYgn
kqnwY1oYryboj6bg+9/uZS6//zvf+wK/N0ZMzHF6TZWfnQFV/6DLimHqlqzLuqUpTOmrGZA/gCfR
wMHokmYBY5FePu8XmoFvT7SzKn9iDajGB800RGAnusZJTz+0NwOS+kFSgQkZiqXLqigrv94MGC/L
8q9PgYZ5km6JuqXTrAKipNFRe7UItA+6xBzI9LMMDfVfCRjVr7UNZBk00b77oGM9a4CPQDkquiH3
psDEXUoSZYOenqTS3QMT9otNQYeX2msGNP0DL9iUdKy1XnqkvRmwPij4bBuSodNdVRUOhV9tBujb
7jcDqvWBXS4r3V4XpTdrQNI+KFwCIi9fVTfN4l9tBqx9bwNN+kADXDZFA+F4RD46VOSrg0ASPygm
sBrcNAF06+IvuAbAPO61C3T1gwYUQNGBjBodZLM3AbL+QQYqSrzA78iq3EEPfq2TUJLE/WeA70/M
I7PPTfgk/SkQJPMDM2OhdqHoMuvEepnyXykkMPZeBTKXvgQ0gVds7kyA9QGwCFtDkkyZ+8L69mG/
0PeX946LdRnktKl2L58AWNE6CMvrc0D/YKiKyD0pq6rOfviJ2/BPzNNvSQY+J+Fik154Swogb7OQ
P/qFbWj99uffwuoOVMQhb4i/QX02v9rlGy+f/hJid3/+1+eELAgBh2IT+L/6QZcKvfpj8ry04x/8
Ti+Vyd/88rfJef0sr/9q0qVj26l49ztu//LYW8I9B9y4+SfNt299aUckPR+/Zt6z/TqPYplv/7jN
uL595VdnyXeHjAs+rdgZVtItzsffZ6jL5H5y3NzrPagsyXuOOCmzJF1un2qDLRO1Lprb5zEvE7Ad
Bx+j5e7EgsQ39xz7YwkBwg535sEQzT0nYpaU7z+zQjmR7f7H8/HeivwtKX674/rJ7s///NuTdK/q
ZTq3a/z1LunvxN4ue7PJvvO7f9OOHNuxvegtdOXN2y1fl0B+C3G+tymn2XIZh3a82L7MbgotEqX+
q/35gS+Wa++5Z+wr6W9WzM8PO7MpJx1cc3JlywMe++DCW5VLrp3tE2+WQFei2fcL3MdesVwczAq7
WObb4Tajd2bD+44+ZgB27LvnAfv2zVH7aqZ4mD/1ascAL5+euG62T9s9PJUqBSYT8d8ffoOX8f/G
Dbz5/vtu4NfP/+3Gfv1Xk0FuydEyRH1zO5cvi2P7p+0l+erN/dkXB53NPrjduSi1AVbdJDyY2WFl
L5Js+5jdQ3d1jD9cDn/yoacl+ySyw94J9fZq//nZOE7iRZnZvS0oDbHBL5ngzEYCcfvlN/vju1vv
T87FNUd11B/W+uEUv7c6/2NuTBUh7d/pi3/1xnz9/P/vNpztZtwAvTdGHrfv4kXmNyt7K6yrbu47
6tRube6PzEu3Y72cwD9cCi9F2u9d2yfZzrHeJV/7Pu9JntnLcDvO5lmlASaXZ131Bu0yz32f9TTJ
FjtT0FFd9x32rKxtr9iOs5mCrp+z77Dnyycb0+ftQC/jDrDCrqKdOdAHuCRu6On1rge40dsn/+uX
2swuF97Bx8x+2slSREpH+87vrMl2RpUH2GTfIsDumQ8mkZe9CQTlAWb70zIvDkZ2HGxnoVscclc0
3XdSHpfRsrfk4EHtP+o0IVs4OF56jlv0TkxVFoc4NO/K+OngJO9Skt7wXPmSZHRFpH3n5eNTeXBR
5vZ2pM1ufBl9gEXzb7eT2eT2YXL43w66Vwtf7eDN6jS6Rppi6BrIya5fxv+2D/NHG+z17Tr5Frv+
x0QH0qb0sW84/uvl0x9DzuT+qTHASf8xJrbOemuL9sjeS7ar7/SftWtp7zss6YvjldF2oM3JM8AG
Q2KKid1k58fLrF06SeXFvSnpOiYDPDzCmb0z4m3dr/zpgsgIgiCJc+9xlQEe93AZI+rcO+WHOI5P
suVu9UYfYMFN8gJ6bW8SKIPv/c7G7fLZ3Rl2gLk98t6UsH58ov44yD6y8Xp97y56W679+XV2RAT/
vNxOabf1OpjOvpti6j1RVdqJ36wB3tyUxkqcL5vtI3YP/OOc9sdzPF1mxLD9YYeYB8qa/dm1BtgV
4ywBFdbbFVKn1bPvWzsuY86c3iSAN9t/3JPnN4fDpvW77/OeFHbYf9qOt7/vqKfLbGeBSR1iZ+9h
CVcv7KYfCm969vuOfG4X1c5qUAfYaude4Za7ockGTLTvA8/CpMInob+A1QHm+NzjXC+WMfHuTnFG
HeB4Py/Xy+gpKTNnuxo2Ibv6w6D5x8fPRRIumJPeuNoAWcBFEts73Q9tgC1y0Z3tvYfVB3h7l8vC
XWZvM64OMrjvkqPrWdv9s2KIqxmls52eFWbQ+z/tNT3a0rH7NbAhumG3WD3vxFOyOMBZ0e3o5e7A
0gALeLY5NTMv7rXw5CGyjlm6U8GVh6gyziqbhC5bbBfBJpmRh5jiernoXx4b6My+G2NWe0X7suv6
jzzAhr4PuiJ5L7iU38IXyp/Ojb4VxM682Fkk/bTxLTjk54d/ILh6Zt2NEfTpzYk2wJxwInNBLZ2s
v6CHyGpmy2y3qGkMcBhRBFseJF8JXnpVvK2wZVcEav6oXPTjm+8FjnJhP2+ElPqXyosO074r/CzJ
k6o32wgrqfpbTMruSvn7al0dxumfsdLlADrqveIBUqyPscMl/HqfDpCxQFTNa7qnr4ft8LP7rsUR
l2RvF3Wg5b0HLTFuWXjbgbobp1MM23fYsWv3brEhTu7bZVo+hd5zd54Q7B2M4S/1tuYQWcBm0IP/
fHg7/i/bWejmZBC4DKBE5Jl6r1AdYF0gm5mgOvX6cbUBYobf0D0bFGV8sJ3+3ucMkBmN7XR58LDM
Fr27XhsgMTr0PTKuore49QHiygmKR8XradAHeNjJCvBJwhEXHqAtGi97x4c+wDKZZF6R9Ycd4oaf
FK6XpP2T2Rgg1rljh0/taCcoMQdI56b2U38TmgO8vqm7c+L/OET4cXzzdiEAfdsuvL8eNo3/8b+L
5cHi//z3/3FSJV7W23fSEDfV2TJueuv3HTTzbsD049k49552QwBpiJD9fJknaIBs5/WlLjPAOuN5
d2ahU2zf92a9AEDr2Dmwr+1YLw88wAlBhTEpiv5yGCRtAVFX905hSRtgfikk7Qw6wD6+4Cp93q16
DTK3Jefvbv1EGuI6ukja7pwEQtxbEUO00C49ou7eqEMc7ZtR+zcGGrbbj/nr59rLcSmgy5bb5Xa4
ze54i/P/+ePnlpi+j12XxQFSkG/0hDdUFXmI5smsqxb0S4Fyx5vb9xCaddh1++B8mexUaKQBbv4Z
dcZdGsgQ0MBZuYO227Aa952Ku6SfhMjKABHm7B//MzlAFeMf/2uDQLjO/vHv8bPXp/PIygBzDVLJ
26UedcT/vWfFjtvdw04egutx77zZhUP0q1AgC8B3HBzZeS8QgP27/2TARvN24lh5ECQ8ZQYIe71L
UNYH2N5f3sTd8hA9mi9e9GQ/1b1rSh4C7flyhr7d30M0f1B4O7gjfOn1U7QfA2r/vgLgho34T1gB
fJd6qf2YRfH3vYkNi/Of8E18dch2PQg+vVrWANfRR7pJT7bn9wce4Aj+mIEj7oecAyQLQJ6d0F4s
c3d7SXTR5hCAj4vG7qB2vWGHeGC33H1pA1z26OXFy94t1Dly7RtCjLmEkkX/nQ1x1c8y7+AcrHqv
QDFEHQHSUb/oP0TsAHPMOTjr/jP7eLud1E1OM0TycQLSN17uBIASRKq93x4j918dErL7j3pqp/2j
QRqCI3HWZE6DhdTO0MoAkdRLh/Is2Sm8orG2/2S8RD3vjD3Alj6D9hW4b6dkgH19bvd7FdIQ/SZ6
wHbyZotoA8wyPXd6hDtreYjonfLVwquW+XYhbDa1PsBdx8B2s7unh2hRXC7Tfi1B6nyH9j3nr+2M
Bn74HkZZ6hyH9h8/eBOqIPA1wMCItnhpSq+m9w5lcYBVNwOeYqccG9vH3AQWnR7dvtNx59reLu5M
lgfY13e2772dabxIB3hm26P4th3nJcYa4olJ+ruwcPeYQxht+1l/vRh53z4t35mOIQCfD96ygJy9
fcbNfAxx1J0UgAHSbxvx9eiSJosDzPdZGdu5Sz79Qo3rfQKOZAPEB7MUgmPYvHeWKFJHEN97+1x4
iwWQpomdF9vBuvl/oZ//8eicEH9K72LmekFCIPLOFKExZKDXt/3Uv74yN/eDfXBGQyKkB5gHdtMp
NSyc3mGDgAUWwwO0ae484AkCTbZ+Z8nAok4Rh3jnS2L5oNy+83859OykIc3xDm5Atti9cp6FVZ48
RAvjMAkWycG/UBkKyP68vlACFjeIyQ7wps7s0su8Ht9KEiGRGp3+4b4XwbUthJ7wDJVJyPNyO163
mL99xgDvHgSu887IA5wl53ZauDvRyMvU/PDs/vvqQb8J1+xbE3r9FbqD4Hfvy/EbJbneZ01+o93+
uN/+MSuf7N7b2/7hr589H/l81Eo2XY2RnT3RktkOurnGtn/Y5xOc0gv7oL4h4qbuadGc6YV6QzCG
OpzLyHbRWukNPURee2lXNq3Qd+6SIdLPsd3AB9geu9sX93IZbv/011/jeGftDQEYOEwiuiV9RcAh
oo7tuO9j5IZI6VA42xVOG4IqcsSwz66A7NEC+bGy318comd+jBBJrzCIVMD+a+OUzbLzGqUhZCy+
TceFnXVdtV08xRCYyg7An3et817wKA2hlHENubVIOsWtXsQji0O0o4uDM68o8s2xfbnE33L7EjeH
9hC5wYsm3nn53K+0oEq7/ai/fpbcQQHyFvZi8/h3yZO907Efgsl/Ry75Mj9j1maSv3cu4sq8/5eZ
FQcPHqxrFATphG+A0C+nw5s6xBBoM+zdCi93+cgMm9d3v9QQ++J+9t1PGGAJjyAz7kAd5SEk48bI
ulF63L7XzX4YIsGY2f3YSzYGCPlfNtkEIQ5wA2V/Ew8BwHoZn0gJeH64jJrXs6INgjsqYBJlcKBe
j4yr8xDVTTbWy8nfG1syfukG80Yetxfhd8fkO8rO5e9Euf8PdGLf1QL+MSX0dVr0e6bz3t++0tju
zd72X/2pn39Lwbs9/6Il3Bvqn+NFZA43zU5fc4g62oieyo7wwBDad6PMbvtQnSHgeF1S3SuODVEX
GydhsktvGKKKO3kmnO9row4hWvwSHHfclB2iwxAgqyM7DLqmxHsBhjFA0DQtwVP0Kg3UuLbn/F8P
LGeUUCnE95aGNISwTtcTo0zSu0AlU9v/ia+XWb/UNwT35T4rdx9WHmKHPIBebhHG7r04+ceUufcO
/D+hM/feP3t1D3yrsT2HSzv71/8LAAD//w==</cx:binary>
              </cx:geoCache>
            </cx:geography>
          </cx:layoutPr>
        </cx:series>
      </cx:plotAreaRegion>
    </cx:plotArea>
    <cx:legend pos="l" align="ctr" overlay="1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cs-CZ" sz="900" b="0" i="0" u="none" strike="noStrike" baseline="0">
            <a:solidFill>
              <a:sysClr val="window" lastClr="FFFFFF">
                <a:lumMod val="95000"/>
              </a:sysClr>
            </a:solidFill>
            <a:latin typeface="Technika Book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_xlchart.v5.13</cx:f>
        <cx:nf>_xlchart.v5.12</cx:nf>
      </cx:strDim>
      <cx:numDim type="colorVal">
        <cx:f>_xlchart.v5.15</cx:f>
        <cx:nf>_xlchart.v5.14</cx:nf>
      </cx:numDim>
    </cx:data>
  </cx:chartData>
  <cx:chart>
    <cx:plotArea>
      <cx:plotAreaRegion>
        <cx:series layoutId="regionMap" uniqueId="{7A37B892-5831-449E-8B0E-F9DD47346D69}">
          <cx:dataId val="0"/>
          <cx:layoutPr>
            <cx:geography cultureLanguage="cs-CZ" cultureRegion="CZ" attribution="Používá technologii Bing.">
              <cx:geoCache provider="{E9337A44-BEBE-4D9F-B70C-5C5E7DAFC167}">
                <cx:binary>1HrZkuQ2suWvlNXzsISNANjWumbNNdbMyLUq64WWlZUiQYIEF3D9rfmE+bHxyJLUlSmNpLbb18b6
hRFBBkjAHe5+znH+/Wn+25N+fuzezZWu+789zT++z61t/vbDD/1T/lw99h8q9dSZ3vxkPzyZ6gfz
00/q6fmHr93jpOrsB4Iw++Epf+zs8/z+v/4Od8uezcE8PVpl6qvhuVuun/tB2/4Prv3upXePXytV
h6q3nXqy+Mf3F8PzaN4dnv/P/67fv3uurbLL7dI8//j+1R/fv/vh7e1+8+h3GmZnh68wlrgfXEFc
z3U9TjFlQrx/p02d/XzZ8bwPHpeewMQljGGG+C/PvnisYPxfnNTLlB6/fu2e+x4W9vL5ZvCrVcC1
w/t3T2ao7dmAGdjyx/fH51k9mffvVG+Cb1cCc17D8dPLon94bfv/+vubE2CGN2e+c89bm/3Zpbdz
u6uVff767sY+2uf+FxN9c8+rVfyL7qHeBxdR18VMUuwy4v3WPQhLioiHBZOIce+XZ39zz1+e1u87
6M3wVyv58f2bq2/dcnfz/8Etr3YRBM1Wa1Ub9cYlr/71L7qEoQ+YQCRg7lGMXULZ64iR3gfwFicS
rkhOicSvXfJXZvT73vjnyFfzh0X+Nlb+E3xz8Ty9ezBd+Yt9/vvZjJEPHvUIxRJymitd741vhPuB
E4SYdAnxmEfwm3D5KzP6fd/8c+Qb31w8/CaP/Sf4JnjU6ifT1erx3+cdKj4Ql3FBwQMY0poHkfF9
rcHY+8CxIMJDLhGUUfnLs78ls782p9/3z/dj33go+Md/pIdun+fHf2Nao/gD41R4RCLkIUrJa98A
DqBwEooMwxR9i6xvGOSbb/50Nr/vlp+HvfHILRT0/8Ba849Orab+dwYM+0A8SqjnetRF53z22ikY
4w+cM449xlzwm3gTMH9hQr/vll8HvnHMPz7/Rzjmzd75BTd+j5lf/eVfRACEQpXBHOq7K6HQU+S+
cQsigNoEB995zKUAnV/nsT+fz+975Zdxr+b+Pw2L/9+Q+VdaET7ax+iFj3yHmv/46ssCgSi9GfqK
1rxa5i8W3H798T3mQEJ+ZTnnW/w87lsqOpupBJrwzd2/Dnh+7O2P7x3JPwiCKecSABphLxBgen65
hLH8QIULOJq7WLouA7Bdm87mP76n5IPAXLiAKyQ61yYAFr0Zzpcw++BSCsgbgAUQKAIM6pfVnYxe
MlP/aoqff7+rh+pkVG37H9+76P275tvfzjOFbQPxTjlCnGNGCJLwoObp8RqoJvwb/6+OjljVdd4e
TdXQKJtYOCJtr6thttdlT33aiVMu2HxkQi3fDvzXb5SubeDazAmmdUyW8qIYV/WUO3wJCPeGy1VT
tPNo1sbIIn0/sfQu0yYqrRw8vyeKHF0s8r0lyvhT1dkb6dbTqWJuODfC8ys9ooien5Y2XbdZdTsG
61Be6LJnz4Wet2O9NJ+F6ne8bvdI5F0VuovIk0FMuZ95a3/JR9TEZlZ1oM4/82G+/s7Xv2NAjABF
vLYgOO5MZDmEp0c5hc3yvQXVpHRe2mY8KK7WIVy0aS9rp8vDIZ/lxpK+OrZp0/sTFa1Pka1OaVmu
F1WlpD9mxRDOncrLHeeZ28fyK0nzLznK61O6kOrksWrclUwmZZbjQ8PVEnpobgN1/qnYYPxGFPV+
YaPYlwrpYEhb+hG1ygmsWH3bGf3JUZfTIpqHmtRq266yi6qqbaLCrXBCrCt9URJ8NY7OtNHWVb7J
83Zv26I59GbJ/bW3m4G4zmGt1HJacjqfkAdKQjqTNSLOFBSLGX2HluVVZpc5kaUZdzlt6iOF8ZGa
vH02EHR02DyH9dBN1y/fVEOn63pJxiqVgW05ubealT4hmfc0ZXkkPC0yn6oq6sg67VJHiqDRhXsp
UBWvhbPu634xcTau+6IU1e3LYRrwtqOFd2nYUPp2FH2iwPj7fi1sODRq+Txm2bZo75y0kc9MDoHp
ZqX8PO38gUz4p1X3J7k49lHbqffbccH3o1JuMPN5Cv945/w29CQF2iCRKxBwu99sHAJE3OJJ4wNd
G4KCrkqtP7Q0vxm5LS7tquPUDsXkp8RTe8ek6AudnT7QWTXsPD67/lCN4y2mGT6NBUlefjEPtyEr
xjnM8pr3Pholv9MjecBIFIuP9DL7TI9V55tKtfsxalXBn8emMb7TYXJr10ukRhV0U0PvKO/GLU09
HIxsJHdFK8ft1Lo4mGw0EeOPudph3HrSb7gQe+U2T5OgWASrA7eopDAhZ/USpMuKDqms8AGL+z82
ongbfR5IScCuQJRwOSaYv8lfJdWMNNRtfo4+nHL3usZTFrZpyo6rRs2R5JUJrWHkmBdWzYml6RpP
SqDrwZm9QClcJSKt8PXLOfFl7pW9thpyWLHWl6jNwENEHEWHuyuXTOaESwqhusj80RvLaktGTu5K
NxcBK0wb1nUxQjaz7m3H0CdFFw1JwFNRzhzvNLFAKtFdpecD0KE1wHaFm9Vy8XytAqvK6mldS8io
uLgeqUJ7QwyL9DQWJ1TK3h9bPp/mee22ZCm7kIqs+TgU2g3zRZFNWfNgohTdd/XqD65SXxxWD+Hq
ZtUB0PamRNl41I5Ztk5hn7NznvHOeeblm5HjsyHZsjVTc/xjP7E3fsIgGUnA8RRYGOZwfJMlsVkw
c2aC9ynu2v3SLQ9sstVPQhS+dPryazHliy9l5d44ls8+yazwS+Y1MXi/+ahxo4MiVcteF9J8tJ2z
JW1ARne8nPqM36zrhEPbGxG7zFyqBSMUtDbfV8KpL6xkNy6mZutyH3Sv9KHNjPRT1S4XlDfzLs9Y
FTR4w6WbXnA8rZcvh1ya4uAhvBGjgFPlwDd/YhOAy99XDoyoxCAbSCmgDp+/vK4ctcrTWcOz9kp/
rQeqjjxDY6B7toatNDzorJvFE83dm8mMKppH3MUTc50Im9UkkD3onWvyj3nXVyeIwMX39NAc9Uro
Ry6isqi/Wk/OG6fX5qiMm82+bEZzlMPEtivh653mbhN7o9vvsKnak4E9F1S85E+L9yCyVn9xuVOE
Tq+yxOmQ8RXypqM2EDS0NsuXaiD+3GbV56bhJOq6adxR13hXjmMbf+rd+Qup1jvqiD/JnAzI4VvD
CdhCHAnknpWvM6j5DrTUq3F4XSx2j5nRl3NKIBn2s67DTFv8ZdGt9HvqOKFp5/ymK9kYQOqvfEyd
/nohNA0EM1nSzp299gT7OHllHVLatRdLqZpwEpN3Vykmfbn0U7C6fIJEQs2GtSXz5Vw2finpelu1
Sx7nTpkdOiiZkTu4RaxnVEZtZk3g1XY+eBWCOtkVh/LslHGQfm6z8Y4vdvEz1tNoZUsWDoSnX/54
bxH6GxN5LvNAEAR0B8ThbV6salaPfT21ey7rMm6snK6l4AdjCucjmbTZWqtJSCY++e1cVaFnoLSU
65A+qR1lqPzazUMTpB1SJ57lDeT5bI4bru846RPZ0Uz7HSvNbgE0sgYmK1D8xytgv7MCqI0Y0roH
+qcngYx+72S6NBqASFPtJQLcV1kRoXlsr21FyF26epHDivZau3bHmWcvtCdvy3VaPsvMy0I90CXs
OGznrpjXqxZN2sd6XB9ZJoyPbVdfebXWByFFE65tGeCh9r2KthdEZYEiZX365wEgiwwq3Igox24F
2T+kHXIuvgFK0d/h3ku33pK34VLmNilFSi9yoZ3YrarVd9uGXWR2uPtj89Dz8r8D7tgFDgAFT4KC
AhwC6MBr87RpxmXGyLyrpwlvZmfur+hC80QTPfsj94IekkaIV+4GrutMx36gTZhnfbeVyFl8aztx
35WqCwZT2FunTuvQOK4M16mvLku32Bhd0K+E8JtCt8ujM9UAzqocfaqVFr7ytE1ql04RTiHOuoJ9
WsWwxPCkajs3prrCnkoGIg7Yy+hdXUHROv8iOQLvSV76f2yOM8d9bQ7GmJDQM4KEAKZh5+vfpQSH
M029pW933MHFnEBpzS4WFlaT4143+eT3csmxz/OyjI2cpI9FZy7WtfuJCCz9CWkaaDV3yQCdrGtd
D0CB+hIqjBMIKZuPxlD+tVoXEoxD/lQsjZT+4Cx3o2b1n2x8DLTv7VK4AGoHhB4ADeFvspuDFvAS
rZtdOkz4qlGPE6Lrw1x3l7QfVNLNnXuTqdnZs9rmftla1y+zKguaeaqHYJWk2XJIV35fiSNfUleE
Qw1I948NjjE59+JeTRQ4LUhCHjQlIMQQflnIdzbvVTOnxmnGxE21r2caFq53N3EfMPWJLHiT2+Ng
bqRq4lbhTSdw2K11kKrOZ6W+GAnf5cu8a7GKLTJhZptjIbINldovVnvT0Saqz3WE7GHowRJ8kc/D
hepSv+mHzyand5c57h9L1l6SLN3mxB6LSR4rDBnVHki3+rz1+cPUDJEp+YUmpZ+2WVzU8pNlGKCW
StYqS+yYJnnqE5se6hYfcXvpQjnpHLor7RQ3womVNREZp10u7mhZBQuDnIHH25W0sPMrMDaExtKo
DTAxf+Vr2FFxqcc6KSmNyi4Lp/LZKx4K+VAtd1SFIvUHutfp1m022Ry1czDfiDIonpbSr3iIqou0
XwDnXeqTgcXmBdTd2879aZKTnwNQz9MkgyqT91edczmze8dLsJd03hfk3KRd4Q9yT8ddYauwzzcA
I0o31GzT86BoQuEmcjJ+Oo++yLyYShv2gTLLppjBWTmQqpnE8+p8HNtyi1gRohJtGwZP6Pc5mTbV
iq44apNG6cg19Drl5nZ06REvVdIw7Xtsm5Vio5Yhmgo1+lDyNmosEiT6q16vO7L2wFPZ1ihxy1Tu
j2vqr00JzG7ydd/Hzbjvcxu44nPmOKec1LGoPjUpPWq8Jl4xXGUVC5uCRb2AlD5oeYNmvxnnjUvJ
pitp4CJWAaIkF4OisSqVn649gLvFd80nzzTBvNVs9jP8Gcqbv6Lcd8hpXj0fZ5XfZKe+uy9J7ede
71uW+SKHm6npU7aUkVwvdZFv2JAe8lOaZffZSg9Zrpg/ldNPegClw+NfVDZuM8l8J/MiLW1AonlI
HZ8ZAU9bQ96lAAqG/bLAdsn26X2ffZSV9qm7m9md21zOYwAwgtyxLKDssXLyUNEscJavw2Jgd4jY
y4xfFm5UKh0Y/GmoFWgiNyNtA09Lf3EiCvye3druoZzvCm/TZJ97fhrt7UhDeT9lOu4tVKYr5eTx
onbWghAQ5d7O8brA5heE7LP2jq3ALNIqnDybELFvNQsKb7um8aB2AoypgeakD/zBZDtGTxo/QL3o
Kt98HsugN8nUx7ZufY29wO07wE0m95m7nOeSVja0Ig+Uo7ZU15ArslDla9iUHty8Cke38zvURKjr
fW77k6NI0kz3qEwvxFAG8plQm8wl2pTuEhfECV6oWOpFhfX8jKpNad0dfMISh3Cs6ygfihDMsBCT
1MxGoGlF/Qr/UhEorQFyWOjqYQtgKQAdJylHllgAkhOatxS2f5mCXFVcmbbd1e2YQJ8pKHgdzf0Y
8BaUJW/YOhpFYvRCJ3P8siv2okD+go+ANrZ90VzIGp94yrctGfy8Gw+9JbsxQzGz7CabTbJULDmT
9qmC2q1RcA7tzKlDp8gCXmt/nQ6YxQN2AWpHstxq57LKr7ohypqgMTuTb1qarEOyttuiT1bkd9mh
QX6W7whExXrIvc9TNwd6uSflk8J4x+3g110TeblOXOqEI2NnDe84L22Yp20XdIBwlmoUUQNBt5+1
BGN3xX0l5Bj2OE0fardKFDYkpNPSH9lin/U8O7cAY3EMaUZPLo1IWwHyzvlVpdDgk9L6UKLKxKvG
Ml6by0Kmc9xpwCuTo9m2HfEQumv3pTSLPinMpxtvnrZtARSsyF3IDyNLt9hzVIhktaOoY9dNuXC/
T9F2VqvYOrU0ES1ytBFrDhqmp+60YMNlK7wt9USCR9R+qmQ7x31alElnvHLbdL0MqTM+gBSFQbO7
9BAaYrb0TaCkk+Stm5DR6z5ZwMpbDysv7HTXf0J8dP2lFdURVTW5127mv/ytkaPYLU4hATbAqGyu
UFCpHlQW64DUJ2YoMMu+ILn9ONUdOVQGsKYopns68+rKzO0YAnjztjNh4ycGqHrqJ343y3U9molh
X5do+jR5swxnMpgtaHoXM8Lzdd9n8ZLbLlyHcY6pgl3Rj9nPB1qMMp6r4vhy3qyeU/ooy3LYWD0R
iVxcwEP9nKCl2bKRNbsiKxaITlcF7q936tzSbwkBi/Xl5xQtKJJOisNUggjUDQWKeFY+GjL//MyX
gS+Hl3P//PkyrX+eW7hMqgwC3DJjtJ8rBGpyxZsgc1JnjaiW9S5zzySjqoBvTKY0ayA6ei6TtQxf
Lqnz9ZdDXlcwk5evtT3zE9PzKZiHoQgKSWtQELWTEEUvuFMn7YBiPdjI6DQyjG6L7orDzat82o3c
AbmP+9jNfYvnGDA2sI8sWlMblt0cjU0R8Q5iP7MXE6FQWPuwqNtgIEtQGxozM21RTbYOeRgQYCJ8
nIRIBgdfVCkgkMH15ZAMC0nS/HNBQIiwLB61jglGsduymOXLrWnpdqrABTX2166BxOld92bdmT5P
2jpP6AgJwyMhWrrE9OXOsLNG2yVgzE3fAhbok3O6MkxELSJhhUefNyIoVHkknYl6ttcyPyxExSMt
IlNwSIJ97FiWCKdI+lGHGejvdbEeEajC0OQIQYCKTM4TBvGrl8nvysFfazfBrEyqAidOypKm8aIl
WFm5zRr+uXHtvppU7A1t2Iw2wEVxXFdna1oH6qoT5oqfGlZc8pldLrzzZ28OAPteLt6wG227q5z6
yBC9GdfusQXa1XUf9QB1Kl3vM7F+cfXdIGwC6Pwg+j4ZJcyD4MvcsUejmpPiwzYzF3OrEyv0i/OG
UYYOJL6xIhuncA5TD1Wjh3JDvGARIibL7TjruHL7EHoFkVtNcWVJtIwkwlkaecQNmsYJ0rHcdHLd
QexfZoBVvLz85BXLjantBtd9glCSZ27ieVCRoeMwVbF+LpHdCYjZcmZJ3o+JSlFcDvQgOhLnOkvQ
HOTS7kBc3Crd7AQkNLdsokW2ACZl7PT1bspd2Km+43qJrpuoclBkPeXX1WFFAIdoGxHyYNrCL9w1
Bl4fsqELjcQ+oigaxjEZjONny86paegSJ1wWGUq09cywI1me8HRMRIViz9KdayA3f5qwPLW88Ufw
cIZM4kAsaDrHaCpuMExwQhBCto8LU0GUJWRWsVOUe7HIA3Z0LHJoVTSQGrBJQGzyz8se5jWq5T0C
hIFNEXlDHQnGodZjaEmokFvHH89oVU4xlv2e03lvuBPWZRtUYt50w2mVTVwXXmg9yA+Av91+CIku
I5WTIF1Z3ADnmxzgvUBnvcyJ0xG2ddGBkJF0VRaJdQLrlVtehuDSBAF+8VqUOGQ5eHMLWBNdt0Tt
u9YcRqVDXkNqV15iANwDQt2yz2WbbvjaHNds8VtIlMLFd8CMtryy+xTheJAqgjwdrRParfMcc3LV
LN1uaubIkjFsh8+eED4Q5HDheeyl4mJB+Q0wik/I2MvG5HcVvIw4NZc8rZORdRDt5s7kXQhi0wYx
c8xGmPJIEjHdmFZtBlqHXFdJ5ThJB92yTC0bwgxAeBwvFrR8C2nV9acuDYpRBOO6Qs/pykGQpnp3
W51rbI4So/XO7UjQDlM0LuVO0uza2Obg2o/Oyg7FdNGTKj73e9gq4iqDvUZdAD5yh4dit44LgB4e
eIhtoNgnS7EcQHq6bdma1GuzG809n+vtWKzX2To/ad5tvUHtK689gYdGUcVD6oamptvGTbcUWkjg
zX3eiasuj9JkKvEpL7OElDO4tUsYLY+K8LBas2jERYQ8UC7qL2ecT0izAcU3JGxI0tLZrCCvIxW3
kH8zz4kdCRmmGSNHsajCOqkAIFVzPDZ11MkeXoeDzSyuoBUQ4dZ5bL104616z510S1gfcw3xb8CP
kJsX3QcotsPqa537RLPd7Nu0fYS2yUPbsZ0ZluOQku2S1lBLdpqvAZSXaK6Cni976UyQEftEdMhf
59R39CcKG6Sqg74X4TQVcSeWnZnoZb1c5qv7PE03rC5OwFZ91tfXS+5uldzOnCb9empZeWgWtO3Y
FK/KDQX6gjq+Wfp560EHxtAqAgEhcq2btKaMkOxDR46Qm665yC7LethVzbSFPnPo8uHaFY2/kEPB
gBRsFIHOA4POQZxCyyTtJsDEccfGTZNmSVbBBoYGiWTN5y6NC0Ui8HqgeQN0G8fzZMIupf7o5AFH
VVLXIqLGDURqj603Q2uqAara6qM35weL0I4wepi9PGDQ/AD5++M45nflTG9yBmAlpc2GTdCRuVgA
eDDQG3jhbNqquAU8eMVadl0yEOn14BvvGnrely7SfjVfZOlOTlAPY2I/o4xGvDnwKfKcAGY8l5ey
u/O+pNNVATQUu0lX3KZkb3QiUX9EisclVwekzJ0jquseN0EtNPTQ1j0k5K1Ccsds9Ulj8XUU2QOb
obCiYpd3eay1OZzr39wOu7PWoM0SNJ7dCA6TydkRu+K6Hqb93N80kDmcqM7qqDFOgFcdjKMGLuJu
+hvm9FvD3XB1loStdutO+lp0FnSNaTvkInJkfsv7B1ysoTMuW2LNFqEFFBAbq74MV2Gj1B13bmO3
VRWhFLhl3gdLqi5tXt8vZLwAbT12Rug3EJl06bqbq6usHzfV/GCod8Cr2Tip3rgk22Ck41zwqNR6
0wLYFPRe33Yr1Ha3DCXZ1/oMXYrKzzJztzJ+OU/FvnHVcfYGv5JuUk7lZkzVscDyooRHd+t8gYHk
qEpFo7sBMBmOOZRPDQpJTTYg01zAWwrX0ILddvl43TjzqbH5TqJ8I67XNGB1eXRSkfstRTFq0giE
312NALAtCnaelzRtdeRlCfTcuXWc9Jg7eNOsdiOzeuPK2p/S9NbB8h7eqzlBj+fazvxSteUFowUI
yNwfVR0Vjr2qKu9Y0XyzUrszDQ8dnG1kUSTawafmzJc7FKfuetLEblqxXGS4vlvS9aos1gOtfO3Y
kyjYLbwDcNAuYDhNt2wCFtRCgIFQJft48Ph2Etn1MC1HJc1BEne7dgc58t3syAQbvEFpe+dV9l6m
Tzqb/KwHNSDrLzEPx3lKKjTvdZ1tejHvW9gF04wCNroBHkuo+8tHuqabUls/reqHpnA/dvlyVaH0
rsfmupeAvc6ZUqFjBZxxMegBMuW9B6jObdOwcsqQQyPBS/sHvqanLBu22JoNUH1i+l3Zmitk8V7m
P+l6elTwFsjaDKe+NokaAVfkzRGTImraDZrqcMyGTeblNwO0P1vDdmVWQCJgO9yKa3hPBu7S3Vth
LsjAIujF+7rYWsY3U4viociuZCXDctEXnePteoWvuqIP0tmNCrMcoF3na1RfZ3X+uc7FjgPUP29x
VGSfNR+35TBEeBLXQ8v2M906I3QO1nnPvWmvtT5Jwfc9kMJ5vkNQGoe6jWu4A6iET2ud7ZoWtAiS
Bs4cuIMNMYSX1+KYijRWpDsMBdlCv0sP9w0RW8my68ntN0Mq9qAg95M6QAkAlN5OkGZI4RuHhp54
6CSN7dIcoIe9GxnZD4sGdd4afyn8Uecfx159Yv+Xju9ollRnovxFRGAEgi2mfNWta9puFP3aCCRA
CBAgfv0c6Dffi1nMRgEqLnULo8w8JmXwTjk9OrNIwRa9dPSjjsMrNdVdxf55COobKJ77FNKbS9iF
Jc6J2aN1h4wuTmZiN3e94xRERetFRaKXI/25KP9g56AYaZRNQhS9XF8Md58CrzHHW7oG0EcEd16C
bmVt2qnuWEfDGXzVu3HplbfhIYzZXTp+UbX2wKMvKqKXrlyOyYgS/4tH1itb9NFFBu/H9aV214vj
d48+WV4NClnUeJkQwOsicU3s8ghirNriWLlIWlegH9V6BRv32cH7Nps5dzTHe4UU0PGR54znaKzB
KngXeWtne6BhdAKG09ZZgBBahQdvZoUdNd6a8oza16Hek45zpiuDsGLu3tC+NBKP8MCvFmIQFQS/
pna8grp5k4ApBknTgPmZqtznkLgvNAg+1bWHdXr+PS0UC2wCHU59MrIIl8+1S851s76AMbubagIO
x7pUl/qUNHUxN+rVWeNPlNI3UIJPb3YO1pNvNdj9KTg19WNZeDqN8uKIGYU70ObGO0123JDMG2nn
QnYkpQ1y7YFconC5Ts365iXiBbX4o+bljZjl7PY/lqq8TYx8s439CI3/k47+KSL2NE/sJltyCiZz
UYBlp8pcZxtehPfFMVMWN1jE8AO6ALyHgYBLDFipxuu5S7orJc2V+h34jjinjj4SQxHW2puoERNc
8NLLV9h8Xpe4/ba2ztfK8KfDeAFs1R6hLSgAdy0L8q2l6P6YcMk7+0IBukHdWGgkExrLXmWRAxFx
HP0ItZt5JJGfQ6eWM+2chqk8qOC30/wZiM6Z677UyNwGPHqRlocKdRCgDoceF66PCxsOnm9ONGYF
c+PjgCTYc/yrfNVE/dAlP8eOwlOYQJvk5qr6jHfwigXq6ZvhVCnvrZpR/Mj44doWxeMDMi/gkc7B
Y2FBW+/E+XLyF2BILUJRhBRjnW4i8U6h92PR7IXK5s7G4SZnJCt2RU2Gor4HgNIG5tA4S5Q5vMR/
FpLc8BdnCoCK/g9a2dGQJDTAK/bJfX/HSfbdfdihm/92zdDVuVePS0pbCKT+H7hH/w/42c8hk5x1
bDpRF6jx7JeAAoYSKAS1jYdEE0yAGqoWsAKGjqkhddpmyoWj/53bt9oGBPnfAytJgENWPAakPkG8
Iu3aXjR3Ypkar0XFEi8XJOH6MlalvmgDPMkdeoRmj+JBhRjn4i39v0MnaA1Wdt8HZrAlVv/3cwaK
HqLE5bRPkaTqLoZ2OPq/Q/bJ/Y//Pc9/p1iHxaT9UA/5fg128Ge/TM1sg7RpBVbk7TIpOn4J2qQ6
uE7gXfZBqIClBBEyo14D8EmwBvyq1/zdqqHww6WzOgXS/8VsF23cLtW+ZbZL4Uy8O9cMqeaGsO23
bP8q2066ADP3qyZMgDmvFyAok69ygAy4tvsJWn+7on/PtZ06DsVPRoHPl1zjlukug0AuOffbN65h
2Pz92n1rn9NwqQBfWkGFiRqVBE6xn+y/Y/c5AfGE/fs1+ydiEBSlm3wfJC7/OOP2MLJd67Hv+oNj
IdebnCRdhX1M3XDsrD4Y2x0ocCPmj8d5DIA4VOn8Z0Sd1FhdJNOUOSZEfeAdyaCLJmwK4S1HM5vC
HZdMLvZD2+Qfp7szr/CmOOUvvbCHOaryZvoDpdcz8AdUZXOhgIm7G64g7cP+GRkYwHU9u2a4NsIc
YCrMQwoESF48Xud0EoXtwisosPPa0FevVy9gZ4/BuQIRWg0ebkz7VKt/7dzyGqr2XvduUY7t0Qky
L8imAUm1jc6lSQ6to07c8AsfWCG2ECTlQ13njp9qB09lsgVFNzfUvzKxPCTVH4BT/oTOYWbqOi0Q
E5hevUNCcDEd7pvpDlUQnvpjLap8nEQmK5uVk0kdXI+6UkcQ8de+X28KyYPbiJM/JBfifGNT9BqU
yGCnX9tlWFlURI3M8URCzQCMbtUFG/1cuvEB4rzjHBskxr8Htz+W4gp87STIegh0WRhzCydkjW6V
1w5LWVjngcczF8mJHRqUXfzUhU7WIfWQEGF2Wubj2oDiKH55jj7IFTWAWm8mkHm5xvnMkcnZ+Kg9
ivdeHMkoC+ijUpIEaTypQwcoc6T2yOcyj/sPhupKiuGgkMKU+IrJCc82jl5EAG6+ewvo8uE264nI
6mMkE6D6OrcratvSexW6um2V41gHuEi45BPJ5NBWqe+Ob7w0qadYQZctgQR1soLSImMeTfOJqD4d
kxoRwztKQGndsGlvwlwgA5IgWl3tZCttM5eTrAZCKdv2UOLnTUpnm3ASlM0pcr4MrpO2ARAzwzNZ
fnjxm4caZWqTfA6SolymvLmLM1Dk1G38tI79zNoaq+ipct7ITFLUDHnV/KrCr1H9JxiDzI+RuC99
zmg+yPYQjd1hcv1TF4yZU5u8gs6NaYDP3YRkXRfu3BRVoK46mnNoiHKqX5WpoW2e040+jVaOullk
i9LpSiFYtSyN8ctcI3PFu6vvB2e6RIVuUCFKk7dhVMzsAZawpEAy5fhsmf5WtclxwJcJNhVVQgsi
wx+rAvmxKcJjnQrmp5TJ3F1lXiGkcEB6Zv2hATdRcF8RRAiekwZjDDVtd+DiAxiCU1a5TMBcRiCg
eZI6MwGIUANn7nOeLKkh4MWdEELTBgjjmnpmzJplgWDVXmhJ/0HxBimac9S8+0wrWpiYX8IJLEHn
Q99ZZ8noZA4Waw86QMcsm1QW6PGYaerngoe5PIpfVpSgC+4+j4uarUVXGpCU97iUhXBxs8IemBzU
PyFkAOpWcZnPzEeIno+tTQ5rxJ7g44pgxOsTI7GZ8SPEDYrMU+zwY5kAp4QwU0L9OqJCMtNP2GZT
2/OiBAIadP0lSJJLKdxMxk1Gx+GYgGahU5hbA+CKrTnksFIUVOhD0vunxZZZo/s8nPG0QSYhV0hy
wVAMc3iYLcuAy+VTo4EQ/HbNP41n0hhfPeGymfrckAtfqtyzAgSIm9dAQkfenSohMyrNaa3Gc98h
D6Em4+yP7UnaeC6QszCtWtxT2AogeFhfVtuclBwzRmRBwSgvXnlLpC0GYMUkRBqF9VgAL6rrP4Z1
bwvIx1iPpxL1hGHDZRqQcAdXv4YABTBm2dSXrk0enH4NljJXxMFb1Z0Y+xw2HQh8euhA6pVQ5NYI
GeEUpWwG5+mQQwzNiqLtkVAnd7BUDgmBzt1PE2eCeaA5MxQvuk6OqLAv3Kpj3P1sZqjdgyQ1Zti0
PSk0pkYXdgZw0lzH0P0o3RC4t3vROj4QUKlm4RdvGJHrvjARvnoUbITu3odIWsBSw3XWQWpjkMXX
BuiVXJMjZ7qQK6SE1WflhgcnGYtOAPvG4skSefKMzqYOinT9JEufdc2QTVUD6t5mXlJnfjIXAGmw
5qosxv8erUhSGqeIwvhqoynrUVl6AASpGY4NFt66DPAMxMcVatgKlM88u5lVPG/pi0EdqnmUBZV4
1Vjpq6gEbODmkx8/tAiKZE0AgRKUAd2phvInGWhGrcqiFZrxAWiMz4Fgeq9OFR5L45+Xkf0ph3Np
34NuWrOBbgRUeDFl8DkMxqKZ+JngSlf1UsQwMjT+nQf87GEFcXr7tTPVp2VsnwFRX7kqvwdjfxG0
Pbcy/gp6NlMNVkQX1cdWEUeSA60LoPr3UokfRvyHKsGlIaRHY3idIHbqvOe6OGevNfeqefeT6S4q
+14m0ze/Cn+tPaogFX7qOQrxrgKAuoa30nffBieCz6LJKrJkPaq74FV69YMYgcQGCdO0oMJzstCy
Y6e8O0+qd+aFLz3j35TjfMQeYktrPoZW3ExFT35lDgwPAgsPDbU5HQ0AKp6FWEMtBAhQXr6vh5D5
z3mprlqtOQCgQrUqDyp5YHopUHLmDIC56hEuRXmM2a2LEbqJk/cK4K6XXK1wL9tl8O25dIFXzPgY
N7/yBWhn6MX713gNzhM9c4MMgZeQPHS30iJYTOIOi94dy+H22h+akmB5eAIHywJQKnyxJ8fQlxBE
JK8k1FnOWfrjRSuAJtEdWOen3vdvbUKvbedd5rlKjYgfomTX3gUd1ok8Meyo1+8LSy5WiXPlm3Mc
A1zkiHZBXPSAw2cA31IkyCRvwvk+B266wFtQj2XOImQXqHqMHNKW/IQbKJ2CIeXdTxO/W/Wk3ucG
GXpbQ6JWuARKpP5r5H1467OBLtGk0N3YNa8BsIgro69q+rOSpz455dOY3w3qL9SaKZkEjv0I5uPg
nxIfz/1rSz8HDiRNZ/vZYykCZv/hV1kdnt3fTcZe1NdqgdYoHyB5drPkH/Ij+YI1pck8iNce3SPM
9Jmkywc0AUgyNG4biPZ3g6WSpGN8MOA+0tJk859pSgPg5xLxCUV0JHrEu3l8SjqtINokua5xzB/K
MV0OUbz3YeT8Xs09WG23xRqjxjdAxfoSLg2kqJE3pBX3IzA5kNvhi/w0siVPK0sNzBZwg3i6bE9j
WZtsN4fUlbCnvsU/RWr3xo2hvwblvocNXx4OnfRPXRpkXiygc2GXvk2Jp5zLEsUTXoaxmMPOueqZ
35tkNiOiqT/mxAmRpLYVPQiJ1Fb2sgUpEZfsIKdAZcvm+2kXEOrELs+QEqeY2lofBZctVj1HfE5W
/1a7wNzmtYyLeBqrNMGa9klauxZYoL1bUsKqpNymScXmXCr/Nzg2OvmNh5qFWajUo0TlVbhSJFud
uu9zsm2GEzNrf/SiVd+cEgYTpX373ZfdeVgbPEiL96Fg/H/ddTXoXfGxT0mvy+3YMrxGIKrdSKus
N656VNDFIhI6Vx/Y5WMfSCkr4FKQCnm3qOPqBp+effSCrw/f8+xjpQwoiibf9ymwwqhjm+oxKRu8
rA4A3O1G7XcL9SRqV4mXn6/2oDcbjYvcNIcNjJ+W0VnehfUgzQSfVsXgXPa/3IdO/Kg8P3hlMhxS
Y93k4Om4vzFaD7d9K3T6W7TUDx1J77KfGSIUoAye6YvI7X47wg3fzajBBqpyzBvkjXdSIc3e7HtO
KJd7OcGX4+PmTkaxC0lWep1hQjg4nRKvneuwrJtBs9Og46mIkcFNSYOj+7iGYcgdK7C4a7P+kOUP
Elnnm3bX9eC2CTmJbmafoHa41ktTlE3TvblBz+49Cfq09pfgS9OAIJ+r31CzpFzKukpXbKm5vwOR
jwiQquTVXbzwhPJheEeRVaZCrM3POWZvxA+RxMWekw9kujh9E9zEBMxewxjzlAHeLGcAwzNsu4lt
z93kkiejIivDcXjUwH5SZIUybwixX8tgBm496/lGTSm+OPX3pJf+ve3rCbqYOjo3pp4zPvO54IqK
KyyFnmeiX0aHPhhfBunnOje4Jj1pz9KryvsYvdo1lDfuOk93HLrUd6bu6lEhHorNQ74MS1WMswv1
TLU8IcwP/gSGpgQ0zK+ltMC4HbxblXAunqu6JqdDJI48dP6ASLnzUAe/1CzvyoUUtjcAtZoTHcvy
Hrd9eV+1m3ZNDcIfzqMmF0a+OH0SHquxmq9hpGleD331T9e9rKj1QPL7stgfEx0dkkXU78RMeMuX
pE+lbcs7AAZ+l64fHqo3YP6qSCDcvvVA42+y7GWhdPk9Ir05B7SXc5rMM8RoANGkqvH1cSJAzHvi
GS1YydgUfJrn2r5vjPcQNOa4kA6ELuCoiCjyp/T8I6Ak+iMaNUtb2wT5Cuwg359sfhIihrx68INP
wMjnZn7jgSqatfbfFXDipWLh5x4GtQdPEp4yOoefSzThOC/TBCaaaO+4ekGMYN2C5iY9fC3Gmz54
y8IXXwHdTMr5YwQDlHq27TIt1ukDGeYTGqPwkVhn+oABec4CRTkAATnlUbWwK3+TWEDKtBPtnfJy
/rF4Pkx1jdGfghYsWt8uCED1hKhICGIMxxM8uCd3NeKX2p7IwbjzMxogMAs7JTPmtwLiAsk/iAvt
sFym6BdBtQDku/yn7xGmmqFlSA1lDPZurgDkevXF4W11bxedFOvgDu9rg1/hQ6Ax0hCeSxUOL7Bx
hHe4ZWGKMcOL4nJ8MQ2r0rFW65lE7VIkULwBa+3nMusVhVpms64aayHAgMLYkBbcSe00z8jjMZg7
66ZiM0Xsg8u9Lh2i0WY2hjAs6CdgJ7hPIhHqnW9vz0rjVNiagjCsOXJmqJtj3ZR3uNBgPGSie+VQ
uvDO1DexfzP1J5Ir11ffmwSiCn8O4cLR4CvmGM9jYPl9nheIdFcLp2kyqMcwllMa+23wMYZQfrQJ
DIbbQNy2TR2I0g9NlXgp2yyKVozidV79L2qZ+WkVw1BMGxfqGpB31QJfoD8go9j9HDDSyrwfUVZj
Nf+q55B8IZSrvKuo9xLyYT7F9eHvCuCPDD7JNYTZYyrVFWAPtAuGPMS6LrnfA8LcjVe1x1cUHc0h
3rxX+9Q+TLF3qhvXvdGQyUtLzM9Bl8i2QdAi06wubYt1EMjJNYCOv0+BOrKrdVAEssCYbIrraUzp
uqgcDAuyEn+RELNW+lJGrL72q4JdRrTjl7riUCk14pcw5Ntkoh9/fcaN7/CsJ1H5HjvRckdLqGcU
mPJ9H7CQ8wwmR+c0Qm54KqOozWwtn+izAs2piEEIROHwBrDq2FhJHkFdQkkoPHFQvlUdrKUJIPto
JUVUTShzmI2SU0LEDSZ4LHBJNIM0262YnsW10nFrH/vgzQFgoBC+s87+O7UYD4aqGXk4Mr6C1rb/
HpJuzachau41JKA3fG+UwyOTgIRl3gk6UkdM372+M0fwOPo4c2W/QyWkIR41xHUKPGJ+ewmZhZ+n
H48CipqwX+q7C3b/zue2vu+7+xbYEwdKS//035SB1SSHyYdsDgLvthDj3sxI/h2cQKl0KWl7cAi1
JqXDpn9dPG0vgxR5T+P21m2D5wzxMXTi130qgjPi7/y+9e+cf4wT2VxqTyBOtjWHKCbOmyDUdyiU
Bgjfw0mDmsb+6Ci4W2oGYViv81H3w4tcwQ/vQ5JgaZ9UDwTp/07tR9BtXuH4fT7o2+E8Kw5RPmun
9w7mf1mF8+u+tzUNyZWi02E2dfUWR/80ja9fYlSQNlBQMG0Doh/Jkt7x/s7J7QiGIybYynP4stSp
7pBydH6D/G6u6bfKB6AD9UL7jKY2etFJ3aXV9gE3k5c1U/M76h1yNKWrb5PtoclbyvqF0/4GYQ49
9T7gLg+p5NsgPfdt3hLquBuny7rNBaVqN6c7l6AmOeAzCONQJq3AP6NQ17dAzvey9YInGbz4DLkk
WgZMkJnzxS/4sLLXMUDuaGIxnWkJNmufK+O6u3WJve8ZrPS0d5N9gJfYtb9gtTYJHAbcdw5t1C13
4YvPcBKQgyasQH4PTASy93xeSDxkhHyelmX4mNeRg5caPXhTpSwSYCNXWvXOM3SnJfUYMf9UYn3t
uTt+SlbSnMhPX4b9KZpq/6W3tAXw3ZMvroi/UsSgSzz0Kidj1x6sQS0KRVLwKWHV/3arnKiledAm
SMdGTY/d55Z4SRF6PPhrmHWr9rfwgGavK4OVqmw+/BpcXRpL62C58U0mVoMlHoU01NSxhBze91OU
04BOkOx85mRGveT65XGCDg8ZbMPOFs/FptcZ7rT21QGQ2QAkEwlDHbTrp2ZKfbj40jlsk59jIjIU
h+RPFQYvkszLN+in1yxRK5LU2YBlNmK61J1p74wk+Eoj3mQTqS8qAAwZ1y27VtuuHNgRnQchH2Zr
n4br6H/y12fbzevHbtnGTkn8zwGt2WvdMCgc20adNPQ7nysr7vWGBDFl6KWqXPEG6eOQLgEqclDX
0D7E76CgaRvYvydL2NN2XnxEZacP5dKGhd+23cPRfX2aq4jB3tGAcHZdeYJXvnvUUKcXQ5JUb2sL
4LQ0K/BplTj3uOvenSn2n4ETzp+6Xqb7b5Mqvo++9c/GIJ/tl7b7MurWOa6z1IUTDfi58juktv5B
WsCu1HWRuEet9F+89Q4NVpXpBHwO9Rv10GPcPvYtzldQOAkkjmKc0F/AN1B/+n17Eoh3p2RMliv0
dD40g0Zfddf6ueaQJLuJRIeIba5Puq5LxQTDUS/e1cD19b8hhqXg766nDZw2TQMJ63ZIZ/oqRZFB
DnPjzerYCS8o3AYemXZmaFOgKv8Ql/F83aMCV8580UN/U1ugcPXY+aljvZd54c0pZGF41d4M3kcB
+RwIPLZ0m/O6Hj4Vl8gPyt53W/3Y9l62xN78YM3iXaVzscjETn4YtUcTyviLoSs456H8JyaFo12W
A5NVR69vg0+dPzWFmnHk/ujUoIGz0oG0OnIBW64E0Ima/h2iuGbXsG8KAtbAGTM6QOM3dNxC1cA7
DcuLAVwfjkkLXB7A2udEjY746Hy3OYcraeF+qsRjCsJDC/fM6+qJ4VW7pHqM/8/UmvRn2uGJmCL1
IOvMXoUj2WtAV34iC6+zfW4fcOE//BW5l9OSuqi24kluAy31dHYl1CZOa4NnyFb3qhP3XrfBfK8s
dIB9/JhBxN5RHCx/p62EZtwYaA0F8B0bKdYX3O2WI2zIiPVqhfHVVCE8lXM7n1Z3nAoYSvQ7mLu3
OAax5MWAdtS2PvYJEOy5I+V9GejvutT1F7BQTS5V1TydYLNfUFYBHKx+r9CpnAj1q1f0xoCryqvU
jy75cCUMSEsiX4Y5aT6YY1DBIsxCoBa0r/6mdPRmch+69vS3e0NHB0i+nQCNVpo6uUK6p8B0yaBL
lxBEULlpZd3NsIrisL8ygrfPIJehgx/9GsBUohNA+886JlcPJlKg2au+gL2pvtIJ0Gir1w+sxzNE
ZO6foZXiK/4O1mKHh+QU1aXIlzJ4wxmikxs1ISJSBKkhG9rfJfSCOp2xvl6jKHidRggj9j0kP81x
raMfezOYBtqVZwBXzbEaSJWVW/eGfU5T+Obavnrz+De3581bWZrpXZhyzt1ljQ/77pq0MWRC5Suq
gQSdSb50mtsjCOwJgv6Af5M1eSUjNW9RGesXEQZtWtN4vMJvMYAlQR8dIgDj7xdyH6yd2jwhsU3l
AAB6LwEZ+oHAhObEYEHGmgOd3YrlJADU5C8L/RIu7MyXsjvZ/QMgSOgOUyp4CyRbn/uW0J37XMoK
c5p/LSMVnSiqq4vSsBepsib3uK9+Q07+MdST/a5lVObr6OGVYw3KFPRHyGPVTg8au0m6W8IRBCrw
59rpC9W9RaPnPodKoDp1h9u+t4QetG6G0yyYZq9AdyL0Dwmm9unDNA73DPzfejX9KbZTn0FLhUAe
Mn7z5djfwrjPmtmnz5CU8XPp6ZHYbrjvU/uAPiTQinfoosNYG956vX4CugwLUmnlrVxVeeHTHJ8W
oec7jfvmULruDJBcIlLLRnw2bbJBEyznSGlfejUMr6QBUdA2XgJDs2V5z4fyoUjDitDtwtc6CXg+
aOZ8CggQVS+Z/e8toCFhI/p79qdMLOil49mufAsFtOFdI//wadOuqPn7PPle6ket+RTVyAzZMCGw
xeEMm4J/4ih/L8J07XEZJ4JceW6PCubAv1vrNldun/IlJPf/73FKZYOzeifYTYIvXr++AXFrX20P
so13sPpzSSoU+N0K5/la5bzz1nfVmH+3yv/N7Z/+d5yKhvCiIjg390PW7QR/t+wk3shkYQcs/wx0
QvB2fXcqbA+UveuVfJsDhqWi0uPBtORHpUl43RvCgDUIb6AP32evAx0OzVJuaiTaCl6f077kdAEE
pYbFARRdUfcOT9iq+v6ehIBA0Von+LTv0m133BoXQO6AlFVWSz4x+CZKVDBfHYNfKXqI5GZEzK88
fO9NHJ71ZtRzkETIfJnUfHUW7pqceRrytr0T0z4sQLN7QHuqcupLu1Z/diwRFmFN5QCtI3BJGdnN
BhTWBRoJHP5CerUPDjBox3uPDkXf0YEmgdxVBO/NMqxFGTfB3WmMQSOYmULKFptHrWY4fs3sfnTa
uKmrYvajhzSXsfIdlI36NHrw1XZVyN57r0feqUCWmliG18FVkGdhXXwvl9KHD3ScPvs2+ly/OE3I
vzljqy4rWlnl++6s8aunfvQeC3yY72i7egd+XR4WVcnTaMV6mLzJHjvZ62+ezwrEdPtptlF76xOg
8rxJum9NXyapiMwKQijxcu2WMLnWYXRb6LIeVs+TKRmn6LYCLJ1S4sKj4PLuEIzo8hNug0bDsHRU
EhaBbqD3unPMwdR+Vx5I3Q0vXC5gBUN11ibCwoaVGnL0zlXI+uHY+Ato9jRKuQ9QOZhqaDk2UJow
eF7a3kFc3xDr0HJUq4kEB17W9jh7YBT+RfYIuj4tAVi+Kkyw4m5w37wGrJgGC2V15o+Dn6t51Ff0
etFX/IwkzvbNXpHy6A+Or+F89yv4GIAgoyIabtDsfGpn4x73qX34D1n2g9IcoA/maYd8W6dVIN2r
mCns4Gx0r9OvIBHmCvBo0uk+sx+wD1AW29RfJWjCtSG3AAQbCMag8hCIRzQJqxvHpFGzWaWbbTOJ
4+C2788cdUUDNfcam/CUuMljRNaPt3Su/TtWuTgFSB8WXAbVZvogaNBD+3c5fGYlM2XGhdc+sfcX
xApLve/JpRlebdyMh1lVJHfsBOAFHdr+IvFoD9AcehHLw7CVRaYECr9/2rsx+lttn/7d9cExJDWf
jsnWpwl+q4zSsXtptrPvU4PTZaQW3cu+t3ff2I4S/gJlbb++KiLFo/TAis3clN8k03UO6pWgYkjM
12bJ0dNkeC7S/6f+P0Sd2VLkSrJFv0hmmhXxKuVMkswk8CJjKs1jaP76u0T3tX7BqDp1qoBURrhv
33t5ZDq4g/WBsbWmMxrvsiO1b7mZzVl/tZuBRJocDd5B639F+PY9AgUEQsdTWmrJW7i49GSaeAbb
V92B7EY5//t9l/8JRx/CdbT9zw9JU1W+/fv13xcsZsPD2o+O0OjE+dNI+/8/+PdrpSdbUH8apavu
nv8+OFH438/+93utFW90iEu7BdMbtgIbf09rUzgaxJvUR9MXOyOagymZTPQYxdtlRmKomF/pnhmT
pkb8lOVeN9CTSz3xSQK/ymzZi8Sot1ovF79cjlNL+R3Zsd93IxYNRbNsuCu3DkgU+u9Oad/Ul0w/
O9gvYXtT2emuUMseU5LaLq1x32t94tstMSg5KRG4orn0tfWQ1yL1nbg8W33kkHdsrnDssJ6Fh1VQ
x2JDi4fHSWrWHVc/iVOqdw5hI68/iVaps26aDJUa86VPgbdpdc8QsUIowb4rw5DhdfwA4DbDeDUw
oSJCo2PCrWSBczP7JCnzyCB5Z4ZLxRCyJg2YrvoHznc8t5Mcz4VJLrIQ5aMjsbpEiXPr4Cnk5WI+
k1Qd/VY6HEIXHSZGpS/Eiw6+i3ebeIqL6RynqBbhKFNf4Q9OOGr8tpHvYdUek854Wc+SvR7KTdFV
V3eC5TRk5YPD4+dYdlBkX6qM7qeo/1pf0tSyqCIrwuE6riImgJH/1rm8n0cXLWNevEs6amQ/evM8
C8mQlQBsRmRPpuHrMhjPeSnvmLERG8kmCkQ3/jKb4Y3zrPQNbXogG13tC8vY9MyvG9v8tWL3R6ve
qmie/aLpySg2j22YkrdSAfLez1j1P42Wn+uWxlIuJCJE1+34l3ZuhJyiZUc1pDxMebTLUJ78llLb
Nx3T2liMuG3sjdlKw9BIsqnWPY15GqyR55B5eN4uez0bMTy3ale4+WO1WE9h6V7QzNLARbtqGoJf
3ZQ8N615TeQUbQ17Pg0eNupufbi9wr03S81vorzYWSAJ07HfJaN+J9LpTkrrLq8UrqqxCQRa7Uy6
ALMOWQvxygROzN2nGuRvbTsORhyS5qS+DE/3gthifEp4oY+sL6GRhYzKXWPNGunkzMWHVwvfDNuZ
IrA7NFN1h2T06cS4KnFXcs0ZkR9N+U9kgjtquugefazHddNs43R4qx1xNaWGwubkN4ySMz8W6dGo
u5PGybpNixkfEy3btPrR6lD6dd9HmxotoKrxUIt6HzVutPEiLspFN24q/a6p82Zrz/leTgUckUkS
b0mKfYzR3h+c6oF645yE6Hxt1xFWyBblq9a5JRMZMXLusXFtKEW71bsymEia9X1n5M/SSYztrKBL
ILEFTmWLm2gZIRm5pDvdjFSPwatWmviqXKh/Ds961WDnm6Lf2tmF2KY33B41ClnBycZMBKbXifdy
zeFB06KaR10kza7OKup7SVpXDsFYENrGGUPsPU9BH3gJymh+5kvj+FkngBmGzLqLsOi38Yms+kPa
et95opJNsshbY+JvLpHUyuVH4mHDYUEiOYaGoBDUdz1eYd9tt1ZGSzmTZDSJME/GYXYIm02NbgQz
VvemuAvryAoqT121uP0VDFxXzMOIn7EcqjJYDO1Xc7W3EhNKFeGJctvTjFjWt6d+cm8qpzyCS8k3
VRcxvSw0129L+93JOA1zc/6KRGgRTNQdn4xBszViWnPPtnAj6hrf3MKFK6N9gnZF9YswuWTD3ko1
jBhux6E6q6cm764UT78EDx+9OPyh8t2LSufGJxhvT2ZHE9TKjftFPuox69IXjTRXO/xDvqTH0hwD
qwnBkjTeWBVWG1PDsRRFRH+zlJmyVa3jDvXRt322G2teFL0x/TYx+AbjhZRi9mUX6nOWEEIIVTu9
hlHJqD8I4/IsDDluEds4AvXcV+2P4xVGUBbJQ2jHu47T13NxdGaxmHem22wsu+vOjK4+ew9MrYhv
ymbOd3OG1XAon4cl+4nqjum1q65WZvVIBNYvYAgnKAnkTjNpSdkeomUxbodieooHRZAYKsxoHWSm
Cn8OXWubeimMINACutdyYxM9hXenBXk4lX4SxjcywwYIv8Jy4TWWzq82zVec7OilBn9CALdrVCz8
ZQjvirI/Lj3FasQ4fcDPoY3LNkR4yuxNfpGVeO8tqCoM++4oOU+W5+AyhNjgI/w9GyF/ZyUNYKN5
GOigCURq/hgGpqyYsLu5yuVNOr2EFa6lMWI+XqakOCIcnuC8OmlagWBvhe8MLbXu4n077oSppu1e
NBlvRdsJP7e7m1n0z70bqIxJ4mTVL005R0Sj0r3hdfOWjTC6b7GNRbjS2WqxDxlmCOxQHrze/BEK
v67gACKiPAUzvCaf+/tVE91da4h/URHafl8WkJ0ca4DYYhmERIf7IR//jQjlwubYjPPijVLjlaen
35lW+zDj9zMWXSej3v+aqJhBbYyk7bI6EHqOFTPHyce06YSh/nZMwkuJ9zJvcZoa1UlzBzhv7bwh
FP5r5prajFXB9a/tYuqNvCR8FVqAoKgH7sZom0xAipqmpClTHzZTeT/rjVfIg0VQ8cbwp67/0tXC
UDWcz+2Y3kU9gWFP1C3WPaigu14CVMSr1V6MciHXWiL65+6jp8X9pezDcjujwPpg3cgiE5mFADXh
hxeYgB3QXdQ9uHWwfYAQiWDqLnl5MV2C6mk2Lch2/fOAIeKIWWtcbL4GWd7WqiAJ3iITxAnmMmeR
Vx5PGKPWwTRNL+hqpKU00a9Zn6Qb7JiMYeuRvkGfyefFC/ZqMBGdGftlKWK/88IJ57wSz6g1m9Ex
44uXN9/ximQuNYn3TS2X9A/QvH5gmLPsMWR0fpq16gJNSVDzXvSp/B7V1D5HzgU0lZ4CuTl0HaJF
WmjfgK6KqOoR3xaIQhWXedJY9Li6pI3q4pTOIdsZS/1TyrS+NzujJdNQYa2BKKCqcsNAPmGGzA9v
SLDEgt9y4/5TTjaTmtZlSLlNunG8mA1PqOXOHLi1vMF0BAaDQzXLqQOVTE8qtO4Lj/NY1Pkhw+id
WMVO1U6+d504hSuDnb8Pu8cWdwsBrCrbEf0N/anKv3JObtMBn1S648GxPX2vt8uXiptfMRMAMemK
/VoaKyOJ9GcWmwjvcddg3st5nIFqqdibbyIu57gbP2nnCH6HEOI65bzYonO3tZljkEVfHyPtuUlF
jhreUAP0PzkWBz/Wb9s8BrrmqPdJaT8tpvGotsrAFhDFvDS5G46J1Li9J0Ff06Enj8N0TRPBBSDN
eWMNyX2nrH/Q1HJveM/kqgqqZSezxMQn2HLLj9iVh8RFb+eAsCHhsCHiUNLZhHPh7pSgUM/1XVEn
T1Gj7UUEiaKaphYCmhckOtnBYSiX04wZHFcRIMZKtwOjYQqyRHiTeNYB1vEd42wP5LAwQ1zEN2gv
sV20roJGh4m21kOxVVP8oSXj6r7eTOHie9o4XIp0ucx1rbaahgGBYqO2TXdX1/zdQJw/Bf/fsEz6
Kfeq+6kmtVw2D0tl/uhUaN3ifTq18ePa+l1NFolI9K6eqIKdmba61c5Y5lbFOMKUUdoxnO4Tg5xD
jHyxqdICc09UDtsiHsRBhuLVGxctoFy7tzpK08Wtf+IZgduULWwSdI54J0R/kj3YJKMIP51CW/xR
+zcnS7jVVXcHuLtagwtUpGFaBc3gDS82MdQxna8lsgkgZRjHffNZx/GwCYdbO3bK3dT5Ft6PvaFh
THYmxPAswq2j83BbJpMDE6Hftxs0OrOed5ob3tmqZaDAW8vX1iGnW1HPOwDu4upB1t10o2fF2Ygj
rmAxXOEl7ObIhbmUAbZqnVyAQ8DPWU6voyznlfOxICMYmCFdo/BdO73GTnN2bNva2nnrALFqJtIT
BH0N/u1KUfE61tEdazifNbhzXQblpMKgp10Mmly8JuwRQI8gGRHh87hxYv7Jumck0ds5QTYPgPJg
oJF6LTkPR+lya9rcc3CNyOi6CxnNBHhFpkhUDEenwqFcORyyHJHkASBBdZbJGIic+DDQloHnXlM8
2Gm9GchHUybnSrfaQFnDrk7dGwKuxamo+I61RKWn1Q0ZVQs6Ecf1VkQvTBNBy2akSkVVH6bY8ePI
VjfY0mj3TLpfLyu3epN69NDQjPW+2YW1bYH50e/SJbldPNM7lF4x+uh0u7Yn0I2WiR1xoBMeKPs9
vamPJnk2v3MQ6/AmnEes6qjct+5YYZNnE1pbyGQzc649cFfj0IU9ElrUqpFCPGTuO/pDQyjYQ7M+
ipkn2enwjssYZhvOUC9o7wcdIiHdbsVckmaPR69/4MTBnqJOojUx3JpUV0V3gGMBprkPPwAATqbz
ZaAQBXo3tffLAp/XdeHKu5X5ToMCzD0nz1s14Q6XkOb3fUu735WfSl+m7ZxR+PcFyqFlH83ckQTR
YEkpyQQqT5v7yal/7BGAVC19PZ5IvxRMdjQ8X7nrGltQsDwWGqr51E2132kmCSdADNpan5Vjl290
uIyGcD9tDrDdENk32ZQHhtNme11zL1atNScLI+9o8n9BVHL5igYOVuBCmacfEvy81Nmun/aeHkAL
2RsFwYHRiN4iBjmbrhBos3pxBRH97A32xelphuDQoPM6exe10ZcZSOFcViTHdOOa5xPZCAcDnkwn
eoa1KoJexZIEvMRWhCKJMV7Dis6V/sps8alJRLmFz0LCYMG9rCyc1dG/dPZuQ4iucSctGhQb4Yi6
DvJsTTjNwL8NaS9Z1K1mFf/ElBIQLihy0RzecKLf4cpqt5Spnm96nJm8Iwk0ZDHBpCjmHD6EOg9M
Ndi/cDeOc8sIoZ47ZhW8hYcBZssAE6nibb/tWsv0HT0aA31i6IbwzNjGBFDm5A8OaQo1ORgIPfGT
m1yUkXenahuUmzhWkSRrVeMwnDziUstdaYtHr8zPZNVKAMx4jrwYrpR45bS3XSZTqeoZR1o8lYYt
b0OsGWF26aV5FaPuMjBNzowQj9ncEGhUNpYw81uE3nfiQbGMtZvEs+FCigYbfXmRA+kahBneTBjW
iXHA3bf7oAzDLw9PGkA6ONOj8Vuv/1xEqtvvkvw90yE76oojtGd8T+1gfApvJosd/nOMQfI8jcfU
pS8dOnCOtPEszuqexnbeKxxxDFUp0uk19rZyX1VhUEP0Nu8J8ICSxLKweu1g2m6FBkFGUHgftVdk
QSvno+dNEO0LIsnSTjC+TG9FjMrkFRVT1g5+dlmbtyJPGI6oPKSM/hdpxWE2rOLx70PKPGEf4TgM
/n6p6LTI6giMvLNsjhSX+0KAEoozQnVgQaJdVAzGaeFrPDUz6JnUmfG8cpISnl85OxN8gTw+xUV2
1+hFd+yG+K6KC3mAYvdcr+bSTPvG606rxB2BRs5EIkwP+VIvQddNkibQGvEUyGKjE00HEbdspKVf
a6/WLuXMhZvo0VmfCe9pOsF0CfVrmJ1sqwwyWZFkxG9E7Zmcsu5D8u2Pg+O9u/UZJM2bXS7hRtSF
P6EqHZmkPOdJ8T0hSA3d9ATXvT7AMW6p9MfYH8vkSaLCbiVMqmWs91BKuMsmihEE5vfCLp5yq7lx
lEkmHtx2HzMVqLziTvO6ixiXt8ETezdPL7YEAJO2ZCctQZgwK7HJUP9yTjVvSV7dA+La2PkrSzPL
24Xou6VZsT/jsOTmkViy2lOugMkmzC7yCTSY50FyEYOnNkZMXGEga9R7VtBCZ1xESYXdFyfsBxeh
lTTDerQNefEbRVglLFfQFFqd6cHKya8uQ/Q0JPgRm9NdU1UftZl9aq1zo2GP2qllAuLPV4JhNqqj
PbOyEIKvbW300cMmkg6B5Q1l0FXi2piEG00LzG+FKRT2Ilpc8VRg1b/xJg+MBo833AOvufHapdut
31TvFc7ORDALjeKhMNOQgX361bJsApN63kImHZO3qQR1YxjUsuAXbbL6FlG3hE6G9RQMd8az0InT
pp3NacmCCKx0ucKZ5JQJE/D4I7LMLUfAKS2KFVRXxZtIg4nYm5xJJiGRru5sooQxuUMdqPhQIzhK
e/gYiCFntcI5ZriffRh90hw/Jaq/zar+osYyqKyWpGEJYnoxhquI84+eBQh+XaIhjG10NJ3oaYjU
MbXn74UVPJtmNC8RlylH6WAGHkwydncMInq2wEPqpfZcONwm2pp+HK3HNLtjgUDstyEtcib7s1UB
Vo7vSLDeqMTZJmHJuN/6wnEP2QLtbDswgssypCHD/OSpBwMqh5Nq8iN2pykAun6Zk33k9dEOtbze
JIJEp+rMnyaJd7AVT4whUEZzNtguNAKNZWwhkv3OKYKE3tIRRLzQfdE6vl24iqCbfYNd/EmmzoZc
CpqJPTyMTfuFh/KEnVT3h7KSBxPdrwzVraGTJF+zrAKbPo5tjuFmlK+MBnbRqL5VTaWetM2Z5wdN
PjprLXNV1Rnv8RLmpOWkL3hS2/5imMNRLAkJvpSfdmuMmIUJoOpjApyXm3nonC+9nt8aMR1GK8e2
3l6L+ZQD+kRNnvFkR7chJ4sbu0+OY752OiDXXr1GbvhZ/8yz9TSF7oZy6myH4B95j/DuteC/esN5
iZP7ObXzHeCf50YUEKsV0YFmfoO6CkWMXCcUBTTdqHuwF+Pc88Nq7G3zG8bRA2i3+77iPCjX9tBm
aCG4cqaW2ymE4MAEbBPXOBXX2Ezk2M+Vs/Bj6MSyddYHJCUoOTXGW0rDvfF64wHoi+fPSQvSvNH4
QVivEMc/7Pe2dXfJFOOOpXzzzWp4dxqQahmJUOOmC7l/JPLtyoujSSXOXkb9czIa1ym79vEP1IsH
x8xC/z5t7b2KJmiOcnoBj3wsF3RhYkS+wlxi1zNdJ+cBBtiUplDrXh2dWyxO5q8YT9nOYX66Nebx
vMxwSWeHSAC6G8ZAqqPW/qytlv0rXh0spFN5f083fea81qQjcXDe0nMOft+Wl1BT/zA17dI5+3RN
UAGy/xD3KpaHzprudAT/Rmi8ayN671locHMqcCtz/znMyQ9qpgPXsP5ZZMEzQ26NpMkhsuaPiYN2
v/AzNumJp+WHGbFHH4EQWVrNYbDW/lsxvs0KKItlmJ/j5Cdjt9NG0yA922HLMMcGTeQiZpYIvGbJ
dph5DjW/1guwnjukeB6brvSd3KIAzb1kG1aSH501Vru5HMEzNd9GTaUac87Eszzk4/IVawPJJSfZ
qYgusCgvDYo5zsnvqRYno8T0ijIA2xo0ZcWri4QEQXKmWyZYlrygLVyUt4eTm8kR476AqqZmE6UJ
XUAKtBMdixy5vf7NSWEKAk1sVcZNCNcRCWJvw/rYDjlcwH4+hkNvcWMQ1ZaK2WGvXfUi/ik4FQJ2
1b15lU09rwA8VoR7oyGRAdnAALpSjdJ4sLr+zhgIuqOXebRgUb43tk1jEt5siRs339FqNS3R8ch7
4e6uOJHj0iTYkZ5sMb3lJmAAtAF7ZcyMNadgVGO0O6YxoiQZvIL4wJxQ6VE/N3VsbSExcpxTynWm
PPHCElG4Veu6sLbfO3GCMGudSocd2ZrQeAr+zpb0hithCio8y77napbvyUfQzm/9kIYAJRiEjM6D
1PVhE4XDo95X5a4v5Etojy/YRsmTlCNWovjGMp27xGAioOOXo3Tp/Myxz6y1uTW8cENKlGT7Quke
4qzZF8ljo+nPllXH+O3lezRQpEB3uF3S4jZBQfS9xHlQmfkkel8pVQYFmf0dK1vI3bG2oIqlDRZy
+WDTVgBblYe1+0bVfifo8DDGKI1GQdZt1txvWf1gOXsrEeBohfm9UNvZalkrVmAnesXyoJYgo4yd
U9nx45LFS1vhHUlzeWcRk9aK+kif86bLQvkVJVIwOC1teT4eLAfhX+rpHu0AQ6nTbYRjAvvMGKZg
1TSoCIMEi9ImNY1HgLgyMCHMj115dFMwGpLFVGWpf0K0gvPsrU5xjig3RzANjeUhYeVQQKkLQUaA
LHTaXyYRcDky61+fxKSwQL3E8Jy6lplwrc1y6xJBoL4CCjB72CPxjKW4oMJtMXdPvKEgkMTWlx2r
d5Ne8KYB+VEumG2EtiN3xsGFj05rOIRtwqwMnogbaE8e60/weewsdVMl3VuVMmGOpjDoMufqNP1t
O0VcQiTV/Hgqbp3RvvQGJuWwbgCjeHRpYaNe9OmUutMHk6/9oBjHIZnnJAjlnPzL7QRhK65HFpkU
FwZS52gan0coJhQGK10phX+nm58tIobWkftNPCiJZN2DpiQ7bqc3TLISv6UUFl3J7KEOXxrbYxcO
qFGjZbra2hog/aH+0K3qhLj2OLcpx0jzDgod7vgQ3a8k2oUMHqO+eZNO8DZI4EnzFBbqVys81q44
t+GY8j2LQHciWKUF848wRn0ta3rOhkxMDOTQtSY/rbJjPzmfjNBEK28To8kDN2sawBdDE3hx9GWK
8oXmhrtXIwYcD3sMc2PgFfIuBc+0F+P45aGgu1F6H01TffT6e2YpS7CsIy2HsCGSwbg1p/EldODJ
utVabuXqpt0iav16UArpslnV5eYciMxnOHgWhpWAK82Gx8dtrlGcsmbLsR9GJBcC75+mmDZS9kEu
humyOGXn6+b07UbG4rPlni05bvlKWfaaUca4ko5AEv/F/O2OJCixO4deeVsId9dgIMNNgSkj9haU
l/ILSfySWy/EZqJAMKX36fH+DXZ7Noti3/UV+Fmz8zZxg7Uzw6GwpP2do1X7Kk3ObkqOtZx5ubvs
Fv3pp+YO8pH1yUZcy2UQx76AuKjrBVaSiJWByM8tUlRQ6dqhThE+leDgiBmBS6AeI9QsNC/3Zsix
JIz9B1dygku59U2u02XE+qPs9hm93Tk4jsLCl/Xn8CdcRvFQIGe63TO9tUvc8JGdRCt0EQZMwR1Y
Po3pWBAMJN48sIzZLw00bHB7C+/DMYHFZIFrAU0gIw/YSgbHf1BXW8NXlBPoR5rNkzNvq56g3Mbm
oRFquPWKZscVZO5oyDarhGQrxkZVNNwsMV5OYU2o3Lp8VLF+TJ0+P7SyfzHNhneVST1AD/qLH/9Z
LBgQ3D6CPZJyS3QRDppc8Ex0CDDDFWQ15YDL2zSG/E6ujNUc+EVAPR3budvTbmKumrYtBSaFbHxl
PZbr6y7Fr43ns4Mb6JdJNtBduYBQ4/R9kHGJhaCM1gn8h+hJ16DCW7K7d3nRl7y+0vmysGcZTmMq
fqNZH/2OJRgF5B0/r6qnWZ4NNbssOMHILGR+GMgSJDM/xskTyUc6aJPPKdUHWUNZ2Y3lDpmtCtmr
MR3sxAbp0qNVRJeh986cVRyc2cDSEO3GmPPXtM4QRuorlVl/zPXxTR9xj5Eo97Kbtkb0c8IeYY+0
bgjIsM17+Npg1pIk2XmQJH1jzNYtNNQciUCCW0r6H79rtKMj5d5cRmebRyuWta8f+rA4t6XOxi5U
LHgydMRYHYYu4xthHynDWrWgxnm/lWCHUl266Tbu+4dOKP4y2iy8Pblh9Zt6wSfsIO7v2ZP2BCoY
mkyiYZPAdlTo1eOCbTEY7OJZH5LjGFnooOBUmuXXbkCcpvlLV2TffWK+d4I3m8i1l1ghyy7d9GFH
zoc0AbemowvtYMY5pqrRt5z88G23GqBtrd3ktQmZnO17xYzeifpOe01FT0smjUXtdNpT+vh3VKJD
po+vyES+V/O+ifLnZGk/5k+9HRHZtE3q7vXKM5i5qyNlvsdCLtRDEFfYvAUBxQYzG7wJRsxbLyKw
ByJkN4IAqeYHPERXIzK/q7l/XhbUytLJX1uZPndKkZoVPj1DMaWnkWt61r3L0uTveo4JyTFyIHsT
KPK6fiEowBDA3ouusPcO21YWJm29m3h7Zx5v7MTaGkRg9kAvz5qlfUduObE7gT1mTCE5J0Zyk6vy
SZwUB/VIv7zpW0DvAqD+GIKODTtISAbFP2ReDCN5sWH0ed8l9bZt3M/S8o6mbP41eXURypt8VTBu
kkeDpjqomxT+XOZC0WLMWrO6p4mmI7nMe4preN9syNH1+o5yBh5Uhy6Daxnxjlt5ZKmZrcDkycJi
yruckwLQadpcppn3EgEzVNYE1kL0JrEV+6mB5i7B9FM5s8wKNPV+4EZjnA22rCNrH1r2d61lP5lr
/8wg7ZKOdI+L1Nxdx4nMg5eaD52GRrMuClD4uH02bjCXN5ZNMWHodrt5kw+uFXSquFKZwLHCZoio
2QMbz1nVWq5fMFucvInc+SJfIHBQs8QLHKDCCR+wiySqIqXliXNrxzBL9oltNEEzsawgIqrIuluD
s3cw8LWkn5ZQ7KtJbEhX7bgxy37bDiXr3RaiDhqYa8AxhBWZylDqb4xuvjf7EmKXNX4sWfWcsFfk
i3BefGARG6oNy1o5ctlRCsh2KTkHPXBDts5LwsLNW2JDUTDm8lzl09XSrUuvu+9Vrm+80PyXsfaY
CGvvBSoKevwwG8Md5GcIJnqtmwwIR6q8kU38QkiLUD33Qx5/62Y20tW/YQ3/MS3EBcw4n0U+X6eR
GlLFXBvCiFhfUAPLAw5W5HTdrY0pEHMDyN3XsTEeXVvT6ctjaI10XWFUgeoyJp3DqjEC+DS8DZC8
gip0rID9oK/6DHvOZjRvdmQIcBOHTIW6lmOky5qXoSXIYnDPNUw+Bv2zbOdjtEi1da3lbuoYG+ox
+2yxclQQ18qdYpXYxk2x5idYueF2vS5xXu/0Zuo3uvT6Hdnu73zgRtJs5p4anVYCYHQxAJfGwzP2
qY3e8ReGqf5g8w3A/LGSo5BIxybVjH0Im1knWrG81RNcq8hEN6cE+QHrxPFA3zEZFmaiYdNjGQmW
AYeCHn02OWK/3oivxaCZBXL3MDRUub1zO0zwt6puGZCemAORBLE/FqTksEzgtLjI7UlmUk90V7cw
W+5JBuGsiCJsZGcaGOJi5yg1bZRLY5QpwHmIeo6e2uz4oY2fZ5bqmuMKUEGbDlpww0Ft9t+95oWX
1v6oFCq6a3o5Zcnyy2nS3TK72qkJmDrybqL96/mPvM49OdOIIfQQGZZvxx6NZb0zSgwKAtjJvE4P
pDL085xQiebiIS7lfLDskm54Huut0+Wgy41xTyyt3TWam/H7ojh03M9bEWYfgxmxDKQI0VgBc9ow
nB6rbA9ie0rMxQ9DQIsiuS869dM1ekVgG+z07M2vcoKYPtlobKkNRC4i4tub8erXqbsDI1pAEeCc
dYqwDPd1gPtpaeNrYeH3tgY9ZlmIfqZ5n4gipqiROaf/nKUMH+VZ01LDl4N87zwgZvkw/evEjBjL
Q6WRS9BrtEroowHcFqDgnXWYGruhJ7CTnYHRn2fbWC9acg4p+LyyzSokgv5Mt2XEVYX5abVNRORK
6q4/u1CiTAb125p9PLt2bE6pst9zwB4I8e2tbedH9qS+aCmjGtPasfBzFTjByjmm4Qaxkd7VHQBt
EzEkwj23X6Bl+OS2OJCi3bQOYfCZMmFqO3Kp3tV2qbD1kbZRuOYBTVx/mHVGqBgtj07WhQ8m2RfM
7JDJ3BJAu2ycTWngI5xm5DUie+xE48xM+cFUSx2fyVwz/QZW4ccZVyWP0GKEfDN66fjFyCTMQ3Uw
awmqKZ+eS0P/qUw93BuC9RnA0GbuS352fUURubDDC/QRG3S1lHG28gYWl9ABKI3q7cbkkcyStNza
am5OrQ359O/D3y/duq3XvXiPAh0Z3rTF0NtZV+z851OSWy0u9Qobz0CAgJgdrtR2mPm4RIK8ZujQ
vKuuwp6ozhjktF0amaRZ19/6+4B1nJbNdm7cHtu/va7L+d+HeF2Mk/5tx2H/8oHYa9Cv6FAS0IBB
/z5bEaH/+2W1gq4sOM3cgFNxqnmHZv/5VF9po/P6ISxCpt8EL+lSQaP+fdCS///s75diBaeyRrQD
YnfUKu6bugAeSPHMp38fWAbBfg+7urdXdm227uZJudx8REt2+q6z1L8PXVi2//msEHIwtn+/SchO
YeRd/1BumA1f0PxRrG+6NnZHWOTTfz/YdkJTPZ6tItYI+pjfMgdw6PEV0mYYgYcoRoEggUaGmt7y
RbgDL1U+sW2KyYhdVKitCtNjODLEal2QVOa4sDhg/cn8fcN/n1Hq8EPo0jtdc8AaEAldohwo3Ckj
tn3C0bpznemmWF/dwX5pFaaxOMKJN7uBZ1U1DP/MAgsQ2YxpWI4IHf9m1Pip6wmbL/73yvy9Wn8f
1Pq6hR0rHTAfscLn/+g6s+VGla3rPhER9M2t1feS5bZuiLKriibp24Sn/wdon13nOxH/DSGQbMsS
JJlrzTnmj/k8iAbTW7Wa+SOu0eFnB+W3GVCLkHxItnYfkLIu07ykP8da3NB+URD9TXadgtcco2vD
bxmVtt6Dn8LXVU7U5/h/PheT9hmputv5s3o8TX+bm5blMQksG0kvfoL0VqoFP25+2Asd0G2Z9jXR
ifb341iHTufxdDs/DEo738+bPp3Yz6WNsGCmCUdO4wousumEnU5TSx8dIt7Eu16z8HycTP97Xs0n
ly9Sfw3B7sg90i8/5lOy6TSQtznEF03GMYKrcBcgcNjMH6k7E3jnD1v+e2k8ro9/d7M6RaqKCMPm
a01BBeznR3kwUrar6DMijKAkWtbV/rFRvX8ezZ8Y3QTavRUd/LBsxn3CxGk/SIGOadoIS2mQCDIl
ydDFsOIGStiVZXRrpg1thXbhQshZm47PunEwiSIsM+6T4JrCmzfEfLl6GdPIpqwblZRGTDk6WCk9
+0oPyTr20bBvUsNYtF7YoGYC91LNG+r7Ie3o89/Xa+jUnvQmrnfzj89P6KFLPERGmWD+qfmJYoia
bTySOK1FmnGwDO/qq4F3LR2dNi2F4TTjEEloqGocoK+Gk3aX+RWhX3lX02h/IAOfIpT+85NpCys8
KBitBz1ZFpSdb5biBje77NUVJaHmcazXZHBT3IyYlzLX0XqzO2+Iw5UHA/7M/FPzz2M9qi8DN4n2
31c9XorHKCvS9hym0dVVc/sQl615JdkSYwK2aNbJsXkNp2MDPuhVStN7OZpJCBuHmTgDYfU5v+Tv
6+zoAAFSucy/qB9ZHHMCjCs0H+h35TUqLP3xR+YX4MIxSUkcWcDhk2QU5M+pVuFulCQgPBXBJLqA
EE28mvvU2iN7lajkVT0llrCuptLuy9E3jsP0s4zv1lUhA2CRYsbdzMfmDbdfiykOhYC/x7QhTo7T
fHCISn8nS/mHWmR0KxwxXItiJal73VyImzbyuzM4W/1q28M9Fmp2aJrQuM6H2oGuoENK1FJB6jEf
mp+MUa7vbJ3FwHxs3njGUPNl//cRpWTNF7CkMnXicf6+NOtr6E6FpIc/vWR+IrbIomps8/3vX5+P
wzR6EpVDiMm/78pj8kVJmr78/IphevNp01Tr1lbAAxVOeYW6nLmWfymmTeXCqzVJnutGDEBu0FtX
LXesq8qIvMjtoUR6yDHwT9YVxrmcSKV0wqZj88aDFHGYssFBR/w9vWLFSs626dFwO/QUpp5E2Tor
ZQRSWnakQyKXf5V2HB8k6nm6wogHWof+sGQmCtu7vzbl3QzHe9UwXx8ducT097NuhHItp01WyXAd
6n44lc796/yEmpO3rDvIdix0tDgaZCJOUna7+SWPY5V/KFnzXx97saLdyLk49Lqpb4hLD7eFQtAG
duPxjCzgacyJn5k6XVHeH4PK+skd662uidjyWWbFMkJ5X9NOF2cLLcaTVLRo6dU9Me/Vaoy0l7jT
vae8pBcrNfe10P1tDTC19nnDjBpPVmU/2Q5Kkto79fiTBpxujQx+FR6sxqhwomWd208lGTt16nvr
KGl++X27izUMY2XkV0+tLqonL0++pSBkFFdvpsvfdpmogMB3QWZQ9bI70tX94qfpacbWCCKiPxBv
c0WfGKqt/chkveDXnFI5fgUKeaRc+4cBDUeJSZeH88ZuXJX5Xe8oi/mhOe3Pz1hJDloI8nMjLmMt
GTbmF3hJ7P/z2nm/0BINqCk/Vf37yM/GYT+mv8gnIW5sfvJ/Xvt4Zv4JN64Jj0/VXakoUNf/vvrx
R1so1Khppt/Nf/OWFI2/nn/uv375/OzjjY2AG5wmJq54eksUNo2natDN5eD6/3nb86v/69c+fjA2
mmJZFRHep+kn/75f7e///viTf/9jL4wrLLve999D//WP/e8nZamDuzVJC0OrzXfw92ckdLAF5jtA
moO8l5YVb0C5W4Upb3lRdM9KJL1tMPjOE2kEE2PXRLIKzy3eGbHWPZtqX9w6qjHTznwkdiq5KdyQ
PPkIIyW96p2TdOgSakaQ09C1w6HI+6sxbFrCOt6krVRnxPQEAsfSeTaTjiLE5JM9WGM10AUSg0Uz
NKJqarAMHyoP6RGvXyrm2D3Pj4IM/S7d5/iAvr2iyu61a9VQ6mebFR7lLcAzLDQ0ll2Z3d09VKRT
vHeVaNiwCqKMNbf3FiNS0s38U/NGSbOlqM2dW0JItYm/O+om3RnPsfaW6MTR4lp+KjWXJBjLor6d
oQcLTQKFOk+OuxLoxLxHesJIAwGtSVZjVAuAD1wiGN3rbMgwOU+PlDyIdz39Ip/enuvRXmqfE8K6
7uA9NSKfJlyh2mLKw4LBrXP4Ufj9Z5jyz7sZC3xVRS5aWLV/QBJCFKBeOW9p5mxwr5JWF0nCnXrj
RMs1WEDXcT5dgz4xfeD0bApbuSmZ99HTWfgsC/ec6smb7/rDDzNGBkR74+6xLDgkll5QaSy8M/oH
jEq58kZJ17mV41Be+GF8KglFHNYDlNms8UMPUmxAfmm8O4xAg2JGz56SkYidtRPUVgPt4E5+a4Vm
7ClPiLojQKakfNII4JXtwZrPgSSidc9pSDERy/vFYla6LSjrAfUJ1/O7hIizGHWdaJx23CpSoY5P
yQu1bI2lI1P9lwJUwdSk608BwaR7e1CDhZlqv4SVDVdqvvKxKQWVOSLTN72s/0DDqgz06tLZOiol
mIzQbH8cWsDluC8cZdiUqqSP7zgx+N66wZ+AEEhBb+8RLXX+u1Gm3aqvr2meLNoJY9YALMGNEtFa
mHarRjU5ozx5BYJJUaF4TdLA/IPb6RUmRf1BExR+e1Y0az8iESG3N1AanHoRShcTOWG0Rx37/lMz
0KYluAfbvcZK7ODbhn9outZ/PBLmV5z1yjEUQ2EsS2RsRBxpxbM1oeiQeb9WvuLdSnosXEJI+pTW
huxZSg2bQ8zc0vddC2oNgtoudtO9nvr9iQJEjZfOX6MZaHYohYp3PjC41wQp6ib3zUKYMNeQf/dK
Ut5qo/h2BxG+Q1WUS2TR8aX1EdpZBW0wo5DfERoHIgkArIS2vjb7oqR4DnC1D6kk6jX9AVPDDBPV
1EEG0XqX3mCdJUambeq0Ox8De7L3ipKojLEffkTcN8y6+ew9APcJE7y1YEbFmBKGVM0qgpIwofUE
D13/a5NUl8At3IPpUZtMpQnRdhpGyogrLBvVa2LHxakrg2ciBAiGVGlzHQYDqLhBGuyFYGRnT5M4
WndQnd6UKL+JCDEytEcf1FD7oZma/d6aRbYsSt24VI1F+EAgYDvogGgLvz1WsWQVTAtoTawzsdFG
aN3dMA9OOHbw3Ay7zAs/DT+ZLD3JQDOnNOV8rFWNk9bAmFgz53RvgYLY2MKALPE2HD2DupVpufo+
cIkFTybETej/pu/inhuTKQqIpJCZkOM08Mco1ptKY919q6pWLlL8NWs751iE0Tda73yPCQ80ixJy
QYNG/OlKHzkmpY+bUaG4ZVEf/FB7gA65b1CotNNDWHBXVG31Jwm+OL+UsLl15r0YXU5bMxGITZy6
Z3XHt4ZlBNOvZu9iQzTToMi8tuleNeEPTPzd74F0DSJNtRZxDVevnZMozy1L7OYreuj0aov5rHuS
E1dTT+EVpPBoc3r1yyGaJnBqV93ciTeQpx1l0s5HjzTt4vywzqwKLl7iO6dICYpXhmnuMR2TWCdQ
d4CgeZ+Zda9Hx7wbfvmHoKLMFNqxnrgGlgUrWyu67FROu860G6qRXGCwIJYot6MzmCRMXZFIv61s
I5qh+homNGqI3q7UbO8T9fd5JtdCql4oQGLvCh8+JSqVIa3N8j/oVybxH0L8p8iKqSFgWTv6Xhut
w67W7t4oDOKCg3bh15LwsYkWWEgjolDv5Zym7EZoDg8qWWxgzLm8FW2hqdXCtayJGKk60cZX5S/D
tTFeVjV9XtOeUmC5a0PkSIiU701xsj+5pZXVSuUtLDSnys9AJuTaiRAcw6+XfXePGpAuheoBA2cv
rGl/KgH+557TKKrE/TG+x8DYdzDWAkCedvNZWsXJMQUUekH/N8s6/mvO/AXXI1rbeQRO563XEz3R
Uxl9jIaYNlBrJ8ZtHOh/GISqrWqsjrfAcI4lFtU3csqwVqU4cuddnD3KE+pKqFgxV+48DJYmkM7E
03dxlLtnEnXTbTiEKd6K7ogXTf0El+HxV0z7MiYWvQCjtgRqytF6yfA80LOeyr2T+8HW/3mkBINc
YP4DwTohpFyYSdvKpj0RDwVN+vkgaVXvkRpuBOl6vVW3a00NmfVKqS3CAIt1mDnZqjba9CVDJgwd
2P7Vu+QCaUGhrVBUNNcCvRJKFP113lNLjx7yWpGa+tqnVXq0LSqS+YRxaRR8PL2O+7lHCngZ7WGB
5mv4aCqUmoiki11kquE9Vh0CWId4HUt1Y3Y1MvD5jqqwZO1y6hPzMbMuAAv2Q3XrROitq4FMEAVM
YV+m31pnv+Rmn+xNoinWmYqRpqxsCJa2bVznDeQYokQoNqGa4lgoMTK4ZDXPkzLVNJytroXVYohb
nPIauXhhlxCZgTF7Jae33Ns5EsOEiRT+Ru1qBJjuOWfsX/YAirILvhvxmrSACXLNDb9agwhUbYzy
Z32U1h7iC97A+Y7p03cg0c2rbtBLvfX8n827mgpDtHE8EKWISlXWkHcjNN4tE3dPBnt5owCpvTma
S8EJvfIi4lJ5IQu4aXr7HlVW98If/aU3lX/sFaKWIxG53XMvIjJRArc+FR4utKxQnBdPJ+qhibLy
Qpgtml6nfc4yr7/orMpfNbN+7qxBXuYvuPH751wbq0OZlFeQtdG1DQRTnc5Jvv2QyqiZaZ+6HeJv
86LsEKi8olIA0BI2DvKppZGgMJqRjde1h8BItK/GYe0eKm6HpMPOPvwCjrx0c7FVqjr7qLnrOyYz
A+Gl6s1JtGfT8NMPbiLeJi2TtWGjCouQOBJoV69yk2E2yorDaOXrXvEJXsy7785GF9R0cK6yrCcl
rQzMs4r9kZoMPsSorJ8HNfvheRT4EDNAg/RzcYZh/EbpQ3sBXBm+gF5Sph0b79UFohF84OSA2rC5
d2XWXtD4xOgQrn1VJb/L5OZjOvqt82uYbuvuKxTTpW32k2UpKt6DSCVcJPXoOE27NbMA8BENPa8S
G6zVlKDCSk8cbWck9jDB5/kYdiLTs+ndwMovNPK5i5i1yLw7b2Z+PvmXmC/dygb1CRa6qaRzUgrP
3Y/MEgPE6rAspmNkg3J34UZ76iodr5IQCtSkivxIPOhLd4CE+6Qod7gszgX/K3tGO7wmppMcHEoL
1xbnx17Txi9KmXhpigo+9XSrm+93NANTSIIFDhRufEUV1wejDF5VNWuPaT8pdKdbk/5/d/8+q4Qn
5jh/OhnL53p0q5020uEp0NRRTYeuN5+GjlRp9Mca4b5R5BxtZSTJLNLPekHbKp9v6XVYcKu0h3xl
mNTA0mqI3/yYdGiYH3HjIAlV65A6HBKIzorzszEWOvPXVmdOSt37SeRgnR7oOjVHcl+5akflgHFK
o9H2IbqhW6K0VXfGtNsF1pbs7vE5ExfihZxLZrEKYX04fKS9uHLrK+jNSutu6sa7RIyGgy/4jUK/
RBAKlqyOqhxJMtSTaqaWNQIORU2vsBuc4jNSBXwTo3u3LN3dpyFN81Rm5Uo6TcfkN1dOlM83QB6q
mx0TeF9n64AEt3NUOhCo7LFmTsHCED0qunUT8KeWB9rJUemoK1kQv4QMUwTyuGsQo+pC1oR50Q5h
v44LdWFD+bopKefd/MHmbYhIltSJhY1FdhnklTw5CtElVJi+EA6gJ3Z+KLH/+98HiiK/Sqs0j/Nv
GjT1PVNlfpjHrxr1FbbfRD0JYQY47vFMEazRwCYo+h/olBmFnwVYxyVKbABebsW4HlcvVSFeWKgT
4Tsd6h1KZaVl4DWZnpR10cKjwUY6Pxu77k+SFJJ1ESBTFRMBMVURW/Sa5xxHmCSvpHmt5uPWNMhD
svYeu0FgvauUDag8t2RIIjidX+WOZr7KAWVS1mzKdRVZxDp35kcAZPVXOrLs16YbMMldVWYh18Dc
vY3s1PrOW/Edp5r4pGNN7bCvwmUSD+ZOxhX6kcDDhd5250Tno6AztDbJncfVBkDdk6331ZFXGpvO
Xbih+9313ipVnAwpHGhkX4/b354CBCNurA+SHAoCwxC0UtZgQtwHm8ZWYqyMbX+c4E/QomhcJ2gT
QAeVxH3AuwGZBmiRjbMEIhuwjvSLl/5djwwKb45bXzylRQtfmS4Vx7w+5QW4jVArXRJoHX09EeUS
UJSh0LQXz+4/yZDXTgOJIC8DxIMFa3Z/qzrFeuTchuaL28qWnJ6ilvabKhSW4WZ89wUGo3QU6O0t
k+WtZRC/NL+EHPIzLc4ATWOt75NShnfcxkxB7eE274Edwb/iUs3syKqZD5mlF95N+SeYXuQKdbzW
o44g+j/LU/4F0K2aBvx3Wq2OyJ/XhYWiOBEFuVSGzSQr9+2fFFDpSkyMP9Vx7ZVS2Tgcp92hRA/k
wkIVaSY+Qyd/acmBCJ4C4DRM8P54efCBP+Q4+p48piIXr3KusCR6XTHfam08/EB9HxdW0rknWRIo
xyjsf9TtVxi12jtTQRbefMWeKKOvplUuXZo1r75uqNuyaF/6zsZRV2ZoFsdEvWRpqC4aaSxFk1h3
CAEW3whvJ1Clwiom1Rcj+XdXvFMQ/zntwLGs3aDBEQZm4addfscliwCAYNq64JaHQ11Eb2bYL5RG
O43M3FEJEmuD8N84uQa9CYJ0yS9ClgBrLZyQCmSYjESeRV2QIVoOYGipQbTtUkThcEIdonQKefJz
Mq+atvDWiVScc6G41HJ0/bWobGwAJmO94kyap7Rqr7ifEBw6Ae1fnP30A1A6iVLfMO+VV4W5+lV6
ndjKjNQetTDMlR+4TDastuP2rmxxvk0kv7Fr1K0cu+/CtllIB6MOMnr+S+TJrUw/INUiavxwa3C6
gYvCKy/9kOBoI8s/4J/knYFQum7WKUMBp6iVn7WmN+gYN3dVK5odFDBr7eaxvacyZCKOq+tbp06M
C2uygY53fK31CgqZAoPGqp8fG4DvmGp1cEC9WVbrPF6aEbETXRM1z/NGJgUBkqIZN2GWfAUirZ4D
kUBdMorfYKIeD6YjgYBYOuqRj5w+H9YsEvOtipP0Pe+3ueux/nLhcwQFzQmt4pHknMrL5lJXTn7p
RNpA4fLVr57/Y0tWKqFqcXCcwbMEaEAXs/URwkEbnUGHnMjrC6ekPQpSCh8VSO9Ku0TIy+zOV86P
6mlTqMkSjgtaiA4aGevWsF+jltsQCTWBrY2auqLM8Wj0we7xVeB9HlZRAHukEUxd3FQ7ct4mu57Z
CNRDZr9Be6VWMNzqNMufp/8M50XQq/b39CB3B+c7ED31NEiFsu1ebFud6o+NuTEKx3sLjWGn1tmv
boyNq6Y16ab2IAEldeouHrRMJeD+42TFpaxRMszQTqPwoIal1iH8RlwpzygBUfpPfvHH6ZOpyamM
FIVUgeLchpog57MVByjA3iEKcBnOaTSFD86xTbzwADkeHUeG/kb0HUAQLSdLU1aCkE1/GK7q76Rk
RkC7inzaUtW282kwDMAUEBiFK0Q21D2ojMwbDe4NWm6cXUYGT5j+zjowpHg2prm7H1T4hBvubbql
EyA1LIMJmqmnlbuJoCqtE0JPTqD6kGaj7faSMuTv8tFIRCl0QW6hsPzfTf8HY1b4K1OQYRU1MqxH
hkiMbrfCEZwuWxHnW1KPblLj2b9vzkgp3hPw+hgGIAeq6qKPqDmJuqsPICZZ11tR9OVqB0NBmVcJ
OKCNGj3jwdWe6ZEvPatPz64rX9q0615CI+peBNFD8JfvvmdU+zxnNUQIRcIM1NDrl0rlzqfZGFSi
sEUjOV1GtMs1OmLAm8x6Eoab+y6XRAGWGA3aOmWoUJH3Bm6rnh//mNEa4QZ3o4Pay5ObEpnLJvEQ
/MUC00ae2O7GnKbuVENKEsBT89QQ4IPcLrfFSe23lQMVFeSftdUTS3lvJaYpli67oZzox20CCOb/
PCly76cxqu55xshWTD9OJYrhGXCZ9FRRUSQdna6pFjlYL5BICVrOQU3IIwj06/xNxyBYG1WENN0q
fTiEednvtZjFqYz63/OVkxn0mOI429WB651KM3Yh0LgCQVb70aS5siVyC6+5r1xb0ACfCYMSrtrQ
u+LB0jemYlyLNhyXxrTML1WiPj2fNrA+EbRLiq4zVJ5JLOSVeeiCZEqigePta4WKsSctvFBZO5Y7
yuNZ3U5MBioWXT/hRDgSiFuYOpyxGMuXimMOBxkEOA8FrnMK8uNPl0rVUzuiWlfcBONxoysHsynG
levp5RWoJV8hfosISw5A4jzXGA9d8fvvA7EKfZ1Ooyg+Yl8Eq8IcMY576i+ZRcMqRiawo35fMsSl
7ZYSUf08r97jKVRp1GsIRC11NIiWyLWArD8lGDS+9CBae0Zv/uEc23t2km9sIHkry0uHE76r4KnW
Evcnk20ib/AdHUK3MLfMKHK60R4tRu54moku02vazWP8AQVIsEFqtW8OyZ6xKsYfvk0kgikFVVVf
+jTtVfz4pmVQBPSIi8h0DE6Gd28qzBP9VEig/tqiphx2xVQcISFjWZVgIEQ1Ap7UOY+dKL3Ng30Z
Bbe81qwzoV2TJbhKv2P5W1XV+meBjnwJF3rRSX+AWMhMqtc4fwviYUAk1cv52gJI1jz3CSmpmhO1
CG/Q4U2gY5Yb+jLp45G8Q4XgSILQTSuimjCoIc11+FiOpa3nkcKZxrJ+HDG4I799hMWMUv5RGRdv
piq/ywT2N1DAfuGHwwbMP/MdJU/eW++tS91xCy8D8qfuy32uY2trskE/ATzAfaj0r6k9au+IjbSl
6QblGcJmC82qPLVolvCNgM/DsV5WwK8CfyF7e8Telr/YIOL/VNoX9TprDc80X0kQuCeK6ktrSl2S
xZCejA6NaU9q0bypB8c7UPkl09dagCiILrWVfj8+5bDUT/N8oDbQr/YNgAgqQL+YlyuLvJUTi7zT
joOdkJ4XEDgCF30f6dyDpjlmR9/9VCOLV1UAMkWhqNeOPIW96MyDPXRUr/Mi6u9w8C2Uqml1SrGX
PhGhM1wdFRRgSuB27iTOLzc0EGcVEjJ66kOwCIq7T8oh7iiQkgNaKhRdMHm1qlvgvg6I3IF0o2Or
2cgMk+vYJwQbZjiEXQzz7dCo+yaUMHpBNWG1k4yYZbOZR9U4gBSmW+PJi2oNPI6D+Dsw4Oy4o3cf
CVxBk97fFduLNvNZVJmt3AunRw5JB/j8uK/mjJQnKWhCAJbyzqNS/PKYlzNZ7sFFZjXl+9TaOwRo
3UWu3+fsHyvH65h44lZ5yS02aNaETu1dH7+wiqiOBFG11ogmXUY21TOKG8bKsiuKsk1MA6f4EUfB
wQ20dpc5ZnCicmWg0mWygknsSdhxfWldWz41rY9JiDwg5+J640ix9K1oSxIJxtx2liA86KNNkym3
Z/xiBkMqoJ0CJfHDQqOK62ALLsv3sMsJsImiYQnqRP1krfodm/RS8wRSFFa/Z9evPRZtkIiTNtpL
zeoRe+G1y8uoxbvGo9jo/nkU/vtoRGwi1dx8/f+/tgdFj3cMl1bFgCTHHFrAFG5AF0nBGky9eQ41
oJQME9G915mxkW2q7/Dy52vdVMVnRIgYPt7uK2t1xPWdqZxK1yB/pAbBRl3G8DXxo0nELpasTNGN
3zIjCT5sBz1viD/wRB6ev6ZQePIxru8Qz9E7TdvxbDXQx0UdNy9mmE9CEHBWg0LUKQWEdTZppeZ5
/7wBvEi7hOooNJZvv8z5ZhOSfqwY9oOpgBxGt8LitsbvMpgqqV6TDidUk35FTbVaCbKDCINmU45F
v7NLwy03YWyVwJ3htKfTGjNt4UM11YjrPi3gwUYUWAadIhF9YP0pZC0JJBXXkAaydp+kGY4urChv
3YD6GetKsJl3YUAhZOJ7j1i9EqLlQ4x2aBurxhB9iYDpr6v8esQWYIKqtk6u95T98RAOGJUOVu/6
h8Kfmv5o1Ge+meoa+Wl+NG98iqSEm5MZFpZmtNINoHjGaKp7HUvs/C/OmyF9o22Wf8TaeHCm+5aB
oDmDY/xlgpEaAkAO60zvzaXaGdxB/WSnElyGtz7QD920mY/X6T8pcllo2GsiikcKrjRuOYMkiw9O
qzmgbZ6++0X7IWuCny04GpYwkyvuLQuccYt7TQQ4EHS4ESFdtNz30Ofkdr7NKBYfZYmOXChYDcBs
kbsw3WjmwUKG3tvjnRoVMU/kBLoQGxDntlV8GKyU+6WkCl4lOoQuNrjrtENdFOoqAaMPdFdYNwUL
Hv115S0MCAcF3g2BfNrFS+kvaWdbK+nrEgNXZGCLG1GmbR9dHyD5uwhdOYCVGhaQM/esCK6KiEtO
ASY1sD5zqgN/FRwmtwTe6I9ZiKCDz8ZQAjQrlEV6k6ZARjEw7SQ7OxZO+qK4VrgMhwSFekPCW+SZ
9TKr3ZvSJ/L7/z4ImDqNSugfTTItaPhivJyLU7qO+2BSdJ8dm05AoKaHrrInBb8Gy8xScZYoc1+9
DetoYwTV8FHhLTg8BslSTx6nlaMa6L9ilfMj80P5OOuysZeLpsKeJdPkIMsifc34oFjxmg7RBe6N
CI+pfkG32inLeBsUWCbC0GTxQVToU4QHc525srjMNUolj7SzltO0E/XORNOxmoUlTPJWRuUqbz5L
6F0M2H0BOi+HVKVRZqce6O/AK7GOKjN7GTvOuzYyp5+7OAaT8WtU27DevF6urGlXhOperXNrn4xG
vXK/MweasDFNnxxP0Z9j4vDKzNiNCoeHUKvutAu3Mi6Md6/Ohn1IZRH11DehJf5Br6eAPrKOeIjf
EBxzRFWDJEkqSElOpkSL2m9WepSTWYLLm1h6FyRRprrB2s6i5uQX1Klr6knBNE8CfdjulJJWIosQ
ICX6hFbVQ1z/ILX2dP/ysxrh36DD21POjXRicJVhTY2RAn3mrpSeFi2mU0plj/wzI2IYVOjnFGNm
XHQ8Scy3pnFk6js/1uVhkTq4N+LsJWiFXDetyhKoNFIidrJgibqe76ipaesPqhFupe0drbJmPkIo
ZDElpVicWycGjUNWxzmEZiPy8R/DrzHAd0Gk6IY1obf667xbhY6+SsAY+FVZ+AvAHseMvvwWZWG5
yepaPVEd/OcRJ/k/j7KTNKBReoqgr6uiOsEq8WlaCr7FaZN5JYSpZJJoRWV2JNakuCSleFFVMaHZ
mgH3e+j3q366Y2LLBRunko77+IRKXrRwNPQRQFeUpemF4THrA5PVSB5VvM9YnMxpkjff7pOQ2ntR
YO9tAaQIU2vvOIDzSbkVc1k8W5q7ocYmpk/n8RFloXk0u/7QFcnHEA/KJXGV+k1Yu7ndg3qsPeuH
0a9/aW3kYxtASEQHP9cWeFWXJFlC+FByFcZEGv10U3G3u7VTaOGXVbH4RzyeHnopjBuO5A36cbpR
TNpVwzwXYHtZfkSjQXFLiBdFp7tmpQ3+t9bp8o2jGeaOPG0fb2ZkL5pppVC2mbut/RTP5Tzjo91/
gkJRbhpLZ3LRxcprWzQL7JZUd8eKhpNn80lzX7RlaO5RRiAXk1RWYJP1JW5UoX5NZKswWAWOrn7F
bfY5qzgaozfuRCu4lnJ6LAZzr6cg72fK0cMW6+GUrSEdeV1oPHue3WyZi8db1nUZhR8aQJ1CsKXf
yqWWLeauNcmO6XV+lEHIc7VVM9rMtwX3laJiiU35zzoHUfGKo95601UTfFFqos/yqIqDNGgZxtcd
WVOvgav9Rqe6CwzuBUl1hShKDc/IOLvmVW3rRs0+SOJ61TDr2GGMKbEbis0sFdGoui6oY2+YXyTP
GpEDi8hOhs94FM+NE1ALjgfmFKJd0Xr3dqgYxEbqGHFjjx6n10/rAYo86/k6mS+bedd1Ka4PZra2
ZKZc8G2Gl7YPkaJALYJSSjlyWtpVU8vbzf1k8+iPVwNmwcC8+Fmpb+fSe+9Ic42JSazmXTcsnX0D
hIN4c+4N7fCL/CYisifdnBfHKLqDyLzEvl7fVNX7LBKEumml/OQOcOgrmprTg2F0hyshC2IxqqY/
9cAJN5kW/fNGLEHibmN02F9B5b7a2aC9ycrWV+T32QdhFP2pyUYd6ylkdKOgVaVojrdUdCU6+Vaf
HYE5Pacq7nBBFfpFIRmQokZGdrBf7GQdTtV1VBAVmh/CJio0Xj2FTCEcks3irr7peodQQ6dYCb6L
Ciy/ZQMiON03jXmbb8IiR6lTG43GAhU7ZpbnHRB9LuhaqQ9os5OLSYsN+rblLfUpNzwizuWMEhN+
/ViGK67MbGeGFRIvlctWhW990WryyFSpNu9DRkVTV49lp7g7y8wdUhAn2Sn6D4pCakuqlBkeXKMM
z/N9ckyRRmFWea8lVNb5grJKCI819oa3wDFIGcLqGo7ANMV8eU4XajWVUx4DIOX/6NnSW23DclIu
5u/Albq3zCZJ3wgUcEU0YIbIyNZfEbFbRybkF60hrVm60jj1FlNkbAvqGy1NjzPMMxFnT7sja99A
Q3jFvxUR5Ny0SzLlRiqHDlXqadWuM+xvKqPF6T3V2RrTeB9UM9wlk8ZPq6p07xptvRQ6Q2bpKOOF
NNbkEqucf/PFMz8BVBsm6ABBUqd5cmoUaBGj6VHy4WTo+th5bRRuGGkKX8SteLNOYFLtnzQYBMQd
tBaiYei2GPcdZHTGZLEoECu2GCxPLdNimmPpziOX9MnVqpK4bRoGyP6G6/9j7LyW28a6Pf8qXb4e
fAc5TJ0+VSNRzKQoKtm+Qcm2GjlnvM1cznOcF5vf3lRbtrunv6lyobADIJNEWHutf7A6NGhmJ8XZ
QkfGDqgBowIl489sppwSedF9CrxERRl8UE6tYwkMB+DVUXnSlOIsv4O8sK37DoH52I+rzWT7qIPD
cd34quntAwdkbRtrzbkrSY9E5FQ/NrH1jHmCwGl1DjLhNslkc6rcA7Aeu66QIhEP1XqEXECYmp4g
BxrrPpqMtarV4XEMi5sh7tQrKyREMrDfW4l8IGpKZfBsGF6z4LUdbdS4Nxd4yMQ3NT7WRyWAN+a5
w+YSsaJnCUksTb5NndFCB4dxa2hDePu+8Uoq2pPSfXvvgmS1rKK+2rsp0qkyVCsGyphqigpqQDiz
yN2oX0WSyyv2Ark35VRS4hguG5fHUNRISnQNynlDd1eSkYYwbfYPGul0T9Odc+M2ySbq3Xqh2PB4
Bxf4NAbgB8dCXVi08CDDwKOHbNfVB4Tz5pfGgpTtIDW3zZMa7/lcebawxz34UIuurcEp+aSjvgBO
AWUBpuVu6AiI4K5rD+bguSgL1NiYKe5Vyer3esTI8eoSvzgk/lHT+uOCs5oGLbpJtD9tYAd9dDe9
0awNUV3KCfzXiFsX6NnT1CwqhxVpHxZS5cSqic30fW82Z578nbqOWw+EkaN9JALEmwerEGRbjThe
xUCgP06pDc1CDb80ZFdA6LkLo/W6Z83Wnlr08V4BY12P6YSPqZaD13apjRnwow/kaMpnl+TjTPLr
0XZIrFuWV0GPUFYXEE8b6HdBHawzrtZD2vLsEei6Smz8ybDxRelX8tGVWLq60H2McuKwBr5RQxhx
PZEeCOA8U9wD+wXOkdqLeexFK8Lg8pTqSD7gv0UpRzTlQBB7V/j9Djdhgu2Y/G+4lKqXsqmJLLJQ
9CBLGt9mtRDJEKshlKvSQ9bqn2XL4vnKAhr8Uk76eqkEc3/7vqfEIq+ON+6ibGIUAkvHhzM1fyzI
B56DPnye2ja+5r6rgOKxR+6Z17jYi0SfMoxvo1HPR8uH8jJX9ssZcm4eoVKdjM5rQ+pibblzcqN5
qflsxCY5xBSV2aGwTxLZEA8W4M/paTCQpdew/l7KwKnCr3apUo1IE3cWHlEI5YoEp+9Nt52C4aPj
RMVGTm2briJp3iXcUxgW+nof7qKpTHaOjvxFqrAamlgAPPZtoSwyuMJHRDx472XoyoRq88WKmuZ5
NHgAC7z+1Auj8NJMNhiIRrgCz/dei+Bl1ofpKaynfu9WOXY+qpM91YW2VcAdW2pbnUszbp4oUTmp
pzymkRHcu6RDZG/QI8XrTt2jren1Uzok8x7IS3814QX+OJvHgBTEspgFOtvunbPm8gTFTs79gubD
YxNH6SPiNcoKVSdlJZtjGz/KCa0nIFWW4+DJw+HyREM1zIDshRhb734ZXfhmgVsHS88NgQtqmr9X
xhJYCn4rL5HnncY5ah/ysGi2YwuMskS89AVsAQIuQfjRg4K4dhTYlnj6VU9WSDYqBrPUDp8M1O03
2JZSFhZNJWkfsFJpz3k7dscOT0kUL+kP/WZCraHK9hP51UctI0kGdJfEa3CoRPW3m3Vls4V1S0Rc
UvXSQWtsujzq1jWCZHvTzlZpofPdgMRbyMfj2BEP1gqOiSbwItZ27XlKLUSGNDX51mMRoqvtK9+t
UALo2wc7GnEbCov2eoxVpKpa8htp5/lLbwvwk7JKF9TtPYKE6j7PCNUubSWA8+CjI15246NSlaTy
if5Pajg5rDSUep8nvrLhw1prnADswzQTjFVjsJOxRVrU8Skg8SJbMMhgf7W9s8O/FNwIQfqgw1Ww
i6k+N06trbny3dUw8wQrWTeuCMecVeP27kY3zfw4FmhepYOiPeXG+LVDkeOPGEsXFu+vE5iWKzRI
wnQIHwezB2Rf8fLR+Z13tTNilZGnODIXvItms1NfvU+jas43fVIpe6IAYtlOre86Hsf7HPesRW0Y
9UumaZsBC5CnCALamjwqGtGoXABJDVjcc1louAULgFDkWsBy9JKXaJuGnyjO44zFdq9GMaUyCx+x
BgIIYMb4AR6jMKUyw2/osqK3HjW4kRiPgUXC06qglCBvOl6ZLRW+iLpGC16sQydmR2W/QXuEJqmA
ceEDctvg1NWC3cDYtvPRd4PUM65tEWtpFjmuyga2I8MO2VdNT66HokNYWOlSU934PIzqvDHhnmI9
TBFZ9tVV9bmMUnB+OXz4nkJKeIP6hkbRizY6owLSJjD7XV5+lKyiTm/DjTsoayXU4D7VmYCD6cIx
hyCmQ8ituG7LdFdV9nTEiEihOuVVW2R7INx12VPZqyihx5WxdFCS/2QgGlQ05XhbxJ4ALROcJZVr
riQiGB24G2Rr/EfbFt4LDtXdAOH6osnvMidR7uxK7/ZAS861EMWRm86s4Y6n/nFEduqJC+iQUxz+
krssWaMgLaHZms4utBSkSHIv2yvZhOXLUHhXOsAo4UWqno0wLmBZop1XJdqZIrJ2ThJQR4B64eB5
1efkXkaoxM94Vh/S81wG81LPEuM5N1Bi9BNXxSGrbVftGFL7gKo5rTCHDDVgOKW7x6MYBFCWY50c
RwIxuMYdsdpzKVEPaWul2QLWfiQGAa44ldMxaYn5gtF11iZcilOc6EgfBrxah0JPt3jVF8egND6G
feRf9UbiPMkDwB86T6zE/CtKcO6VUY7mbShUhII4+2qQw7p2eqO9dZOWHGsTLus5sPeINKs31M2y
a9vzHjsnHg9YO/cPrXJfo1b5GBP5bYso7/dpYN4ZpVvv+O/AgEEjqV/UoCoWmbTupjJ6TTQ63FX6
S2b46F2NgbKV8Y+JWEdrgUyOdF5ICf5nCycNTfQ33JU+GGBDHbVZaYF/jmqic93FKTEuAAzNvfDi
NgYkKEE4LrQxqj51JUIKfq9nt6l4kwaJdigzYBZ3VZQK/EnaD7C5wFZaQ/mSRLaxtxr8PjBiDNf9
YKO6WTiPCbH0umhwJZN7ETkQ2AxOtephta1CWC+fAbQU3XDtzWaI+qb6NtQpPC1qAH5EifL5hmBe
gtKX0Z36Igi3iq7pyIVNyQOKcGGytfJzps/TbaqkOaiKEdnmWf3sgCc+mEAk17NnnTHOzNYu+OEr
YDTaY2FXr0GVdK+WToXKaowvc075EmP28i5Bn3HtEI00WGqtuKfLO7UAca3ivv1NnxdFYdjfRgVY
mx5MLgBb8OgJClsFesw3KvKlL/UrIlHlC5aCwVKfh2Gjd0J6uffzbWSgi+mUWf7Smagoi4JAEZtL
0JifKTJP58zssVpDjgYzGG/6GIKSLJpBedAtwJT2ND+Br232caMBvBcphLImduZV1R08lNJw87JY
CzpgLh1og8toQM74GsuZR1cb1uTZ1KOqe+6hnJBsgIAUfalS0KuFetfqnXGfV110A93PXHeiNKX3
7dHk4XU2XZDgWWbf8doMr6E+Flu5ek8VcpWQyRKTgLc34BMl1pBACyGRKdhZGRAMWABoYeWYTSOO
Oz8pwRDgMVirT3kAslApXvjOwQrbM+4kBijwXoNjXXpWfNYskdXS7+w55bFq1P42HUkUVBGBZO6S
Yk31a/LiQrfQTj+yjgt2iV8+eWpq7QEGEA+LOmHeYLQcA6bARSR4rMiyHWofJ2tEHxam6uxlRsBD
8YxkY30sx7o9lzOPNXvWhwXROjH96PH0JfuAfIQ1kcwpZ3WdZz5Q11HzxKvUv3xfNbe6Ahjw7AV2
eaeVxn2heOpdPCRnW294+mIasYy6CCZD6ryqYxacaje3zr7vH+BBfgoyERVXkLhYfnxKKtICSWIZ
p446/1WlAybJgBbB5GPZWUa4laDI66GtKxal6EjAys6VXZPedUNt3LadC/aIX/URSB0y965pfulS
h3RlnX+WmUJkK++0sMF7A5enW7/2jVUfZeEuS4FdD1ParDp/Ck+mjuD+2ONMVCGittTjMXsgriAx
GcCBlE1SavxXDVRjbIT85EpON5j73lRF06ybDJUd01t1c6sgNO9jFQvJ70ZeTBFZYtKrHnJYrba5
fOmaTrw3F5OykkSdZoa3FmD5KLk7Ne+SMihQoReuXqXwcXF6FetoxepglohOFVY8pYQSD0nR1BU7
viU1fKiN0n/LFKHiibe6vpVLMbMckn2Dg1uJWcJJqeJHvljlCfcbfdv7+OJVFryioMNx0k37L2S7
oInMan3flo16bOd0bxKFlte9jidZY6v5ljRwfR8QS231GnVIFWd5HeT0sSJP4KA4FWVorSfT+tLG
IwxgDFZV16WFrU/cAUfXEfMwl3WO3g4iJcbW5yVrwr4CylGmN0qhmPd66SrHABMtD1FRuQC8bBKF
paCTfbIVRxS2WBjK9aNbjP4y82A6ziM6CpgupcsIWljUtWiNdZ7ngLgiuZc4GMoaUeR+ojC4dqII
FX6BItQd7mqvdyA+9jdhThWfJyiZAwcr0CZt7E2YqvVCPkKCgixDGkblrhFPFK1Xef7G+RmIJ7le
vwLTFNvd2jUbfyGT9aNDUW3AiXrTe854clrjWxFO153dWM9UbN11DIJ7ecmE8OYIq9Dd+c2cg1gA
U4wHkLmWkPcoe5i4pBcoslhPlYlbSG572kY2GyoxyPiJzI4e2U91aN3UarcrrTHaaoTpB52H4ggI
9aaseR9ELUZUZsSjwuUCB0mrmAX0jDpPtzL/5U2gV1AL3cmWJrJhLvrGCx+WKmKK5laGP3KDqO22
L8v6KFsYx7XbmVURMvRpy9uTUCnWjIJErareFpk/4glfV5uq0ZRNXRv3pioKngK+N+QNd5frPyd+
kwEUqBCoErWZKlZQfKY+fGejsralMgHvTDTlBniWiR0ggnHmhGGwp1Pnk7dS2kyHGP/v4+U2Gzz+
sm3nl0E5o6Og71AbOcpWkLC4mDocFaKZmqyq51DrxhDbjYFFUU1tsrsBYrfzR8oUevV28ckrsIDm
RD12zkFg/Jm9wAsXIgnGHYkKyc3Kcu86bN3gnOItsndKxCcB6J5lV9A33YryFD+9mCEHTCVXQTjN
xUr2yQ3oiJMJcRaV2zJF/FNvvXWGGN5Y6VQwESdbzHAzDazUMv+IJ1i+4/LbKhCnWLK52If0uM0M
FHgeERqHKIe422OuQkWRBbR+Mg8y1y0QZvoU1zsLPWEYg9WL5emI2woKCeirdBHVsb/tx7B7znl/
dBV+CVHuniXwP8uHnV9TPOBW6h+82iKMNIz2Bk3Fe6dHcJiYF0gg6jQFajMgr5Fn3ma+Pa8ruwYy
TxobtUqxifvuba9BNG2DID/ESX9V+/oAXJw3sSRLe1h2bGdreIqarFq7uItcVcUwHi7VU0GWl3t6
lZ3VgCqVRUB46YpSTGZnFms3rVnpR/G/QhXXP+VSichq/ZNa9jet7kVH2S83iqJFrECJYEvNRxAk
ogShapFHcl9/CpNC2VCoVL8oxdivME8HZhiP6Se5h11Fdtm79Ok8eUnUXKl53dxZEVnuhmBvCXMr
+ggVeVMZWr2mxKOCdexXypR3n+bI8wUUetrnet0fDMftFonZqAsrqUAu+PNnI4dhIR/ofQwGBu1u
1nTpXVQC4Rycbab57nboLOPQiY3cg8STHexydWmMsXlAHggjogiImy7Zs5FZephxwLKU2bx6Sj47
9VAcLLdoV2hz9ze4AVKemTVrQeKvpF5vqE+T7TlXftFau3h0lX1W1hqpBUwkprR7muPB2BhRwxNC
JJXC3CK/Y4CyL0j0+6AS171NdStsQh8WwZe6d0nkQ6GBTxN4GzO65cFcPlsA3j2qJxeavp3ad/Oc
Bueh7pbY4Wm7gVCtWuoTb4VGfWElgFWIxwIpQT3gSmsdwMNiY7KA3skmYqZcZaOD5oWo14558jmI
zWTpeRWodR16KLKzmBaLk6tUC3dd3w2bngrPe5fhYcooF8JqZUOwE2EfMHNjM0RkBGXgJ/uGxMUj
FeEKwDj4jUEY6oLC2GRRGR/7FMtUMkcqwn62ufUtyPIjbtpXlwKdbPPgIlOr8lPlYWitNc+Y95YT
xCRzqWk4Ke+cbBqarVmkw9FCKbu+afw2uQ4s0IdVO5zQAEsPAJ1P7pQaB7M3r38IcKkyxsv5VI84
rYWRh4aKqEHJBK/cy11jgiYB6kYXmwnn6oWlegL7VQr0T1YFLGL8yLmHQ6s/uo5gJ1revZWrxuNc
vrUKUVIy1X7c28U3KlcoLzhOcNSCOUeYiCZRym02ac5ZFUu4rLB2sAH8e6Oogm2SAyzMfSEYWcXu
ClxKfZ3Ug37jpzMUkl4XBmhqZC21VIFIYRcagV4GJ83s7Le2S9yytEqrv9a6xD25GQu+TPG7xUhO
8yT70PscNiqpFGzBRF8RjMT0iEeqcQFmnVcmX+nZnCsozaYarBPFe9sbBuXVpUCxphrULEgJep9C
itFajoEBgUN/G8TlrhzM4mXKHJf3ZTTfR+6MPszU9UsFqCx5iF69BfAKVKDSQa+a6D2nnn1KsgQ0
JlhvTJTs2MI0qAKV3cVL4IPo2/QlbkjAS3ae2Mim3MxRgzr+7J8QtR32Xuv36Eqzh2smyk2lMe78
HLoq3aE6DnvFdwCVSO0MBROMpMFIW63A9Bd+gyfK902bGMohQhht31JtwkwStUghf5eXI8LzwJkR
/NYWlyevHRb7mVzbJeCCGsQ7VoUmJkOuFv/c9SQAhcT32jUIMnsrITSVRkCgsZozMfa7a/Cnk91J
n7NaY5XhddPLVLEuUZxCuyu5vq4L14VEaI3qnRywhVKeWbXO5r1vtOeT6QYdmUqM3AAY6dfF6NS3
Bsp0V1Gs+VsQEM11UmCpiL+c8Rz6VJiTbHjgZdSe7Aw3W9Fd44YMywdGOMDqpcHb9BkF3o2ORMCX
1iJhNBlucCKGcoD75M4C9E/ypWlAD/EKDWMQUCO6MK4QF3FZ3a6qonO3tS0e865IUOL+eq8YFU9T
e3JfzDbAUhdWmE2x0s2wRgqHkeK2ZVJ6TjAOHyuWgIEJC9yokpPmiEKQkSvI8BDZNzBgvxXJQ9i2
+isFRjCeWViDDi7tG7slCY1yTrmvWKLd4PA1PFLdFBxCT3+d+0+IpwTfdM2FtlI2H/2MVXdKJROa
UzLfGZgW34Qmy9mR6sqKu8jb+7Otr1uUGLdUZ8ct4izKGjPREZCyXa1iH6MHlmIuxY8xvXN6Vndh
M4m3mXZH9RqBz7BRP9WGTlU7aV+9GO9MJHLCKxOhePB0+muWVk/YAbif1MgnI0Yl+CFyW32R+154
InsGSoLgde+goLeFcK2vnf6QF4q/U2IggdNUmnu5Rxhu7ANMg1Zy770v+rkvSCx7SzITH9wx3/Rk
sNZWbI/HaXSws5m17DGkwg0YwE++Ir5OoWREBXJGXCZIRu0Li97xSlfG4rYy7NsYPt4CTFl/a8QU
xA0HNgs3jbclXx6skRdx8ZBGJH4KvfC2gnA8WTDi3aYdt6S6EBh2iFMHwC1c/ypsIZhGbekFZ7Xi
0kWdIbvU/Vj1DEqk3H347T/+6z+/jv8zeC1ORTqxyvwt77ITObq2+f2DZXz4rbx0b77RtNCRhCbs
OqZl6hihmCbjX1/OEerPv3/Q/oeFQHJt9/CwTKdFFkBJxzsUPLEuwGb8s2GbB4/U/B+6jj9Qpzdf
bRejDc8KygdrYHHilphPhdXQLrI+pxk5+UNfhygRWVnzlaLAohurdBF2QXmwKUBjZtWR5UhV57ZQ
ZiHG3TYvTQV1sykqXrAmZCgyUsO1IRZ4KPa0L0Who6Ya+K/AEk9jFMeUhoNmBniGzLYLf/5CIY+B
74HV/rOJQL2xG4HoXEYtp4G8KRnLWTGgQy8QWhKm1UdI9oO0u5Lf63/89MU28ov+iv0JaHFSFT83
/2tx/78efvujqH873C8f/lMc+n3qLzNXr8XxJXtt/nHSQ5Hx79cpP52W/8Hb/3Dx0r781MDwNmqn
u+61ns6vTZe2f14kYub/7+Bvr/IsD1P5+vsH+Ml5K84WREX+4W1IXFRcED9chOL8b4PiM/7+4b4s
4tf8v//Pb0373/+7nf5y5CvShr9/UGz7Xx6wUo8EDbRu17E+/Da8ihHN0f8F7sTxbMfSPd2zvQ+/
5ejIh79/cLR/GRhkG7ahu5rOEU3RiX7N/Rd6QpbmCdQAPG7d+fDnx3+7Ry6/3d/fM4Ymbor3m8ZE
EVfTVc/WDN2xPcPV3Z9vGmiaNdL3ifVaGcTPIhbiKtcXZTh7KxkoURvSF2DkyIGJUdVVtMuoXucU
t8UoVj9vo393rDyVnPx3x2reSxQIs0IRIsiNm7KavHpvy5BBBg+/9MWBCNsunUqzt6nsrQOhEfe+
SUvvx2ZkZspOwNMqz3gOyjTbG7ZHflQ0qylXb4YhdFa6XZnPGIp+S/J2uA1GUMcgFAunjpeJUFGy
ygqhEs3DZGSkpBe3LXr8sJoW8Eb93SRAtHLPLj1/l/uBXQuBHX8n24mvGVvgeVdYEwc35JowWakN
FHCRDNd2o1wfaCKQl+3Q7m4l4aJEohstEDPfxzMBC/FksQ8RUSOeLAmTfx6QTbmxYa7tkzJRiPPF
brn2ApJvciwdcREOwhGQbDD1y9GY3SOssH5JwtM9hmIPutJ4VXtWweJyVTQG5XK1AjCUoiSfKMJ4
oeyLYy82voC0+g74VaukTtrCfe0A5ma4IJVV4K2MtiWKbmfKPeTStCISosp+sKwFQC0MQM8FZfMI
A40XEHpSPWWrmPo2MGPBKe7UtD3zOfp1jlXLDzxjca9cecAINnIe+eTg/E8HyROlVr82oPRtCFNg
OloRmomDm/y4kX2l7gCq+T4g+xA/f3z7zV3jOMX92tRA1tVGFN6jQmmtGtMGTycUj0akrK/6AdZ1
rA/tqsLFcqdperctnQFXU62Kjmi12Te5OyOfM7oG9FdU3KBTwLKH+r0rc/g15PYomQxN/CT30u97
FCyiS9/7nmPo+jpOQxunE6pYGmTplYewPPUE0R7y3lpBlQ3WvUaFqZ8BZCvNEN47Y5Kv57qv1sGo
uueyAT8oi0LhONy0UEGB+U/aIjQBM1qt7u8DIzEp7UN1KToTRXpUDAB4qyq+aPAnl2WqF8cLypsk
6nESm8oZqKR5KCjJgdoFlM59wwiSZYDYqvKr05EK8dPPl1VR6VXKVjQvalWFM1OF64rP3J58oO9N
KQ/SzBvNmDPB1xByGuCZd3GeQodqk6K9MYYZjz3ReRmnsvPFpta2xpc1uing7Vx3PVrPK0v5qrTk
YxJywMdM5NViJ52f0HJKMZuIArSyEBXAxs0q0WcViDuZMpKb3ES8xIt+7KHwyTqJOEni8sZ0vB5N
fVqlThDdoeRGbUuAnKMhAJffjc+Y0B2dvFpJSL7cSES+JZ4jspnJh8l7mx/w1p9R5ACQAE8WH/hD
WMNY4HUzfwx8FRME3f4WsowzZyt6zlyygqrlx/tixmeA2tfbVDzT9jGK8c8/vAz/JiKDBP3L28VT
iak8y0bCh8QvYOSf3y6OlkVdaIfua2JHKcW2BEF18lflVimRTSc6pi13f23/OvWH9l92fz22AdiB
rMNo3piwjx87BAUrIfSURREgHNiWWZMRvWGbl4qfWW4gCZs8wzKhTNRe+jMdLQdSl0xxxRGjUvs3
ct77Yd+PeO9HeQvgozzi3/8N5C3I/Q35/eTCHG56is6RXtd73w7jhWW3lDeTfhuMRvCUUXbYkGJH
5bR2y5d+16LH89JkRbNs0dJYQ3dsnhQlgxeZXA1zez+Sszgpdmuds7A7BJPTfZwQbVnPtm3eaE7b
fcz7KrvK6ia8zawmWNeBg2Jdjf+UV0/h517AgDJVHfcUAicMjquTI/obdwxv1Gz2NwDQ8+eZSF/2
d16Mh3ULqRrcffhZa28HFiEffbDba5T2ka8Q3UFvbtq4jB4Dz213rQlsCUWe6LOhx4t/c/W5+q9X
n+MYPPFMwzWIcLgUf776IPy7lIfs6FusJYbA+iinWBCPTQinMJ51YobSN87d7PIqL6bPOEohDRi0
CH00k3EOA+V54oZdagPyFXCXkn1tqIlIHL7tyT7oYKckn0Ed/twv5yKFMkJSEce+D8d2daoNcIp/
dzrZpzbxqgy7O4fU1s3YoW6jtpkFLx4BkKyYg48tNTZH3NyWb50q21Sf5VQ9NN+m9rP+w1TJk6Uy
eorLTHu2fdSjNLgXkGLaAIdAxQTcgYoeqUNuyeUQQ6LFFSVeosmXgEvvwre9n0d/naeQGxgRg7kc
+z5auI1GZQ7HGzf31L0yzT9uvFLbxIZdb37pf59LwVndy6ZtkdIZM38dJVgxXb1PeT9W9llFfqtD
LVvLQ+Wg7P/1sMxTz0pCDXosMFKZwV3x8sRSE0T1R3vC2ypq3eFLULaHGVIlnAfcOKMIZMoVWVEQ
UV591iASXCtW/qjBCL2IyX1vUXYyKG1Uj3qfxbcSDSrGZEuK0H2fKYGj31v/j+MAm/1wlve/F/AX
ZOvnvyBbYuznvy5nWgiwbRKw24imROHBhXh9PVp6scgEPVj2yb33TSIHAnT/bW18m/d3k8MRnZV/
vpMd5+cbmbWTYZgu6xNbQ/CcRc/PN/IYRpBe4TF+i2L1vp1r984liXRoEr+/lnc0IcHXDgDTHaFP
dKi+97v0Q/J96+9n7N1l3lLMH53I+2G+7DcC52vqv0S1d/baVJDRhFSL//2qveyJPgRwqhtQhOaV
R0qIieKilsNyI682uScn8nYE7GCYnFF2Xk7uan5+Xc1CGUIUmCtY4Fd57+U7WarPCphQIZj3hWyq
QGfugFdeWpKoZfhUNaMRHf/I+oxr3jXa0hbqo21zO+hAa6QaamWF1zHU0c8IF8Y4Q/05w7a++da2
6V17A7+ARI0mtJ3f2/AE//lXtOy//opisavrloC/GL/+ioDiC4dnkPsNQyoNNQhLq/QbuTAstFXa
6eBvxJIySdaDVSoPZWQX99H00mcOxec4ONh2Ta78e7OUyq0xOiJy1BM6s6gMCIf5tTWT/TbMNFg3
qHntLbFniD65J/veR4vSB6X7fZ7cG6LhrOVztAd1wRrE1OETVjXcuTl428iBovNGFoV/9skpMy9Z
1A8YwIoErm0tjgM4/3YaOVtO9JLJu+RqfkrV/JgDs/96pzgsDk1kIoXgMGv6n++UwMI6Uh1D45uV
t8E1tgWYs3/f2JhKoRYj2pCGiA6BbBht1MAZ+7MLWxbqTVFvkKmzzCNWaeYxwa4IzYHmYE6dedTF
RvZHKIBhqqOZ178MyFHwPKxs9eim7Tyl3RRobKVHXLTjRaRnH6sxAmAi2IjN2DW3htgT/YUJO+Iy
N6HOdWsiONSbPQwfvfBOQMh3EstnJJN7EmOV0Fz8Pia1gk1zeCiKdLopdKXaNEMZ7+RePExve5Sj
3vbeR9/3AmhAu0RHyOyfr3/N+OsN4CKjZtqWq3qkg0z15x8ndEIfVTy1/pbAFGvMG3gYSzKMyiF1
q1OpYHkhW5cuRyPjV+dC28hw0X27tMVsOR4neOIMTr2ZyA9jEBZa/Wryih9OIwfk3MjGJAH4UYtp
c035u5iVT5aenwsqoMEVCZIJRh+i9egj6Xn1GSX24Dptc/VeDefxRmSnD1WpxhsdKdWNa4fGAf66
fqMNcX0PFjTG4isMPoszhomjijMiO5acXSOsEdgpDUxcka41VXWFuRVCpj1egrPioOST2v5Jzkhr
TN3TOEaTQF6u4vJEhkIlUS6u2aGiPooMYrrsvo+8Tyx0vCcNhI2u88Fo7ryxAJAAl1PK5AFr1KGf
ukA5RN/3Ge1YJeAw/XMl5CURLs+Xuu/j3SGasi8CtrCsPGI/R644g+9tsH71nZwo+xQohgvkhJo7
OfB+riwXMss5QDetUdqtCcmuat382AUj62Gx5+hZcSyt3NppFYDhn/vlDDkojpRT3w+yxJG1OPL7
aeUM2S+noVpwOa3s+uXwn0/beMW/eWe7f7nYLd020bZ2bcvmkW/88s5usRyOpyT3vyYTeFfNQacT
GSJW6CrLdFtzs51sVpavwYOMQXzOrAmv5PAvE2M3dJzry3Q5CTD424nep8tTyqY8pVtatymOm0uE
dxAiMI1Sv2r9tDuWO9kzDwboZNntlDHVkAEwWcpLXafQxhFynKxtd+U4abKatWg6XobfzqKRRbqC
CmjdFIgu1S6I/l7p6j0aklRh5a7cNErq77LgRjbUAYGGHya/T5vESKi63k5JUd4oOZ3suuz6aDQt
W8fwl36TFocmzydkDPGucci9HWSf3FBuj8YruesOiMqrU72xQ+RsLn3vE0OvfTuD7EO5zdv+m8ed
+cvi31EtDz1puf7nCWW4vzzuApgulle2ypcE6x1w4CyLldqtFhrSQAv5jnh/l7j4ehzdz7IDoWNJ
HeQ9M2VGtUhm5FjlfPmekXtzNI9HJJAvZxVvqcu5fj7/5Y9GsfMHLp9HKTiD+x3kWeccqmZ1usQM
InBgCf7eE4BkOJUQWTqIaPwud1Jz0lP6YNGYhbmS6pP5bONcUulANIUi5UUElwNMn+eA7CLjygHD
fJU2Tb6SsY3iJd2Ce6ZYy2aQVUBaUg1BQxH5hP6fozLz/j4qM+9yVBWTfzlWw97qsUAnYzOX4x++
4I9LeUO5QRn+21wmGnpVggEqBjtQlZtYr//IhFNBqoK2hjhu8EmyIu8QPA0WvdDRh3WcXE/6ZN1i
0Nrt4DxgO9r4wecGQ6HaD42P8+wvgqAqVv7YhfA86vC+r4zwXkOZwAta5VZ2CZ0pAtkyXAzUzTZ1
ByICYbAcdewIaBxyWLcVBtC3jtgDkhkgdDenm/eBMfHMQ6XM13Lae788SYeD0g8D5ArnK0NVCDYi
35yRCKnIbiREc3FZnFTF/tpOzvgR0li+dDQLZYGynD76XXFrd+5wTsLw3zwIHWo4P1ZYHLJiqmmq
pqUh/cUS5pccWDf4bq1W8/gF1DOL+6t8VDC0QdwEqSDjrrAyHzpDi2RNH3o78Pn9PWnbZg1PEHMu
0ZSbvnyw87k6y4Yecd2YDlAR2Qy13DoEsXUnW52f9/fwKf5I0qrbUZcvj+RWzUuea8LgtAAHspM5
rEuuKnU9TLn6NLl+n2fILBZSuTcI9ENF2MogDHFvZZWUOCLLuAvo0o9Nb/IyXAwQ0Hd062Ckxb1M
7stNmSBqgCjT/6XsvJbjRppu+0SIgDe37S1N04jUDWLk4L3H0/+rqjVqiTNnvjg3CJRBiyIbQFXm
zrXvZMvnT7BODYfyWpkNiGv7Nr/QJmPZs0A9mDG8V3mW2aP7XE31SdKwZD8mguYBaYj73Lrlx35j
UFkOxfB1Bk0N/P+1krNEVowlIxlokRVE1KLZjmkbqu1RjGcS3/xzJedWetNOjV18aabBJbfv1/sW
O754nCCmjHk4niU+Wp4VSd7s7bq5Yz/XUP8hJovmtdjEMy6pmjpnr4iyXel54YGq8OzsxLO9dpAG
PvFm8ZAzRtlfTjYeE5yrWWAhSHH6RP/mTBNmDqp1pxMTBCoGATdW3Ym8EiuSSspxgDbkDxgcLDxn
3naZD9wJU9voOyDndpVjw7CcxavndrBDvFpdcbj19XkpLKfRfuuetvZY3rWXorf3uV8j+BwN6kTD
YoV4wdpbqWJ8am335OteeenSabjErX/kEZgg8b53BP2dHyU5yTN5cKUTVdxj9tOk2k721R5ISnL1
6va6bSbx9EzJm4/u8O+Nttyb35pyYy333b/myi45w1bKtW/17b4pgwlq0t+HWRQvZ0jdMspxd4YR
lNXiNnptOyEJK9tHbxcP5v1sD6sONdnZEC3Z1fLWOarteJYtnjE/+/sC1vUUq8Py1ienkMP5rHVT
sx2I8dZfYgMa0dCO9h7WKduvcgLkbeTGktjldCymLP+k1fG1v/D9Yj+FMbblRKTeDUp/FpmtebAd
cvtRM9sXIHDhOywbspXeCAsYljZJpCmcB6TgQjvVgyB5yo0iemmBnoVwL81Gkw0ZMQJaFYoR2UjF
tKD/bRpkyCrGY/q/Vwvgrf9xS/FspMDXQeKmWrYtbrnf1BvURiE0yWfjSxZyvzim6p7kQYEev6mm
tF3c+sywpRhXJxB+nZOnqXrizrN+XSXnfmjK+Ri1gdHI+C85VfsUKvN0iHuPwKg4TBaWOSYrkVuX
HSG3mCo931V6gVulmAYdLNnYauMuZZ9BhTcCRq/aALDEDXxssr02Vt5zZSs4hhlltZHNcjbrXULZ
LNsORmMYfUcMONqFbHaupd33qnmWLaxFi2c4FbIhD5nd7/w4dh4CL/oaq1l+pJwn2HXmCFRB7Fkm
sQH50Cfl08mf8259CprixTXX9uG6znCnozVg5jErwXuHug9RU6+sNT3klTIF/tme1X6Fnaf6rs4B
SJLO/vbn1MTh7WOKqVbV9ysAP8PWhQZD5qUP71xxqFTCuSrgzBDs1Z1tVZmKPpcB2R7cEfsk1dwr
tZ6qC9nn9VZ4h988NtzhlK9/u65SdGcriESnKgzTe2NuP8+Op77GNss0E/32UjbrcjC3ThLma9ls
9DRaG+7gA3EWk1M/XOppXx9lM1CqNwdJ3L0d1Bpi6mbpGtb3zsc2GEGw9TRZVXQube1NvsVkF7m5
I/vb6N7By+4UJObFnArynHJDpuHMuCg1Ykm3ndptWyZH9Yq40Yf9GsUSxR7VmAva0Ofp03ZTfKgi
cx+OaraIdTzHhV7YEIcgK5ujbM5FUvC080Aj/90lz+Q0OUM25UEVomPf15otWfdoEQcd5Yy+Y6yL
IorebABMAnE2n5Mh8F+p5w+dPnpTfQu0vJ/nS9nUvcxcObaaIThnFDzBsc81/wJC891v7L8SbXJW
gQ3N1AuL7KUN06PkA8j+SPTrVF78Wz/AdP0QKca8kOnQ0fZw8hRNmROV2VA5cEub3vqogdpRSbZX
GtU4+2pYbHj5qSS9ad4O3q+mr1rZAiIjckHRFxD7mK6za2rDAMXv/bIyzrEXV+tgNPO1MRvQ7dmG
L4JhqN4JHMzLKLT9Y09k8qXs/Gutp0l15jbW03bTzGr5XunmOeLN/uSaoXe9fBZ64g+XZ3C8ZD9L
JXNtoRuMEHr+Jn8wCux34swxDlL+wEpAu29mjb8DoglIL+3SmlklupjZ3DvdSzT66HrZlWNQRrJx
NUZosHuBzJd9lo3rve68eF3xx7TceksGdj6LsMSxxpwuP+vGvFxZgYOLNrJcRfUqXwzK6ha/t+//
+w2hWSJi8PuiS2cLj0TKVjXDsi2yyn++IZxMwbYaiTVoQRP3S9ZfAEgiDAKMSON4Pbfxizz2DvYe
OsLHpSWHrhPk0PVQW+U2HiKcr5uQetgsT6+B6FI0Xb6ba7nlonilpKCwSddyQ2b3xc/RuM+KRzhE
G6lfkHoGedY13UvtdGBqhK5B9t+kEMPfg7JfaiJu0zykrfHcXAr053OeRC8U/6ydPsPuUUu5p6JM
IcQF09AbZmSLxHjvEm+4TlNmRKTZKGyCRaaC1YWKAxR1IbcsxG0l9CGjcZv8YTn1oXn7ZN5TuKqI
f+j2ofrYn1ojdu+9sb2TeUmE64+akgyfzBobPjNO2xMleN4JfkO4pvI2e2uM+i5qCPB3MkCcY9Zw
8XmXLjAdqO5Ni7XvoAP6FP9pA+bwrplq8gWiKaeB6B5OpQYVq/CnirD2mOGQ/Pd3OZiyl74c1cP1
y2xQUrYzcBnHAJsp8tCKs9AuXrqhUA+3/ttc+ZnXm0axiuvn4UEAVX7GQktWThCJRmoNqmctayjk
Qc+iz3MG61u2/EFzYa+9yYa8JnQwjjZaXDRvfR8+h0IP9X8ssSyhGvxwAxm6R1QGkREuc//YtSQj
DkZ+WJSf21DPDsTlwnMq0FsIlYBwsflYWY2VNyvZ+W/DcqAtrfcGeetRbjRb6hLtoL/IRlLX1BXA
OqeolU2oMnYa9Rzj5brJTRIV5auDK1jtwmDSQLn642gNq9jrgpVRlYUgDNtUaXafIrY+6yIKEfDM
s3dvmZDLiR8an9zcjA+yzxbhAjiE5OL8aitb82TCj5HuDQM+QZepKBqTigzPfHTDeS1/KOrT8o2a
2OFa7pZR8YaPpKqXmB0OT3JGjVH6ssjTYi+blWNToiQCPbKpGSn03iQatqk55yccVFctq6U7u5yI
GlYtcUYtVIc1ANZ2Cb8LlqccahT1s1e65m7ygnmJo064w2mnXwXjqF2gOfermeAOHhjCf0mcxaKv
8F39fC15cBLN4x0ZkUpPwwcr1EmbiENTkV+S/Wz6HmQLutJa2jS4duI8zEr/Lh8dTQHroS+VbEuh
rsCexFSR5v5jm45U6wrJWqvnyT704Ebbwr9UHpTMfwRD15xl6zZDSt7kVb8+Q86IgnHCEQxlz+25
KB92utaE59b/9qFbNp1eD8+EqmTj9siUz0c55nffbg9LeVaZQJldPMHEy6p04+QEhBz8M507SlAG
agcLxDJAvYj3hRG/VCt+7UKzp6SvKv6qsvbBS03/h91+6fPJRgWhlesCBeG3ptU+U8iavweJHVDS
GhqHUmdDrSsGDst67JxjBzpHZDXFPofX4EJNmCFy0ycHcvfJDlkD9qpCPYw9UgKVUyi6vYXmxjzd
FF5/5lvw6Aah+fXXSRrE1x5YF7ehFsMy7EiSo62m7lkJG8B7Q01osbOUmq0InZ6GgnNVtX65yQcn
eoxiyzqUVCmBRBQVxw1lXStFTbyNXBzw9KkfY4FzwJ4D/drp9vxz+G1sWO9ly+ujr28uLQXaa0dD
ZjlESfrM/DfNN7svXWRnix50xQV1fnNw1NJYVzU5JAenCjmj6DBXb+sayHzXOXe2b5bLpHL0veIW
vHRdjwIqdq7HWhxk83aoK3U7GGkoOBrWdbCzk2ELzz+aX7WaIlUC3muCbyGFrVQEj4KUh1M13nnj
7IDAEJS8wo37TVjZGICJYVNMjICbsPMISGRW8daNgP0YveFtMYubD9hi5Kc0abVNp9V8eag0oB7Y
dz5VjvV1nK38e4kVqOMh46MabtopVT1+SfCVXugdFdaQAtF/iYr0QkGQr+v2Y9q41VMRw31QuyTZ
yEEjap17vIExaWFQdgUamMuWgOReNhWA3keL6rgFVmttSZwmfUljA45xJTxu4Wk0m6rB6SnKSIeE
KckV1bSFUbY4lZ3ykIjh65mqW3jO5SRfbnNkk8etvXXNUTkkfqiDtjfr6BBG8dv4y1JEmotUVL4u
1aSc1nJgSIoR4oWgY2Szs0x8KPMdpKw3XSdzNjqfyl73j8FYNssc4A5GuDFwjVxV+eLq8UUeAlis
fuU/KASdLy1coKM21Z9v40ZtuuuhhHQn+3Q8HKith/ewcIZp3KZTRKYkKP9qrcxeebZenLCAce5w
v6L2Qugr/2VGGYAmHUrzzWB7dgmIfxoiDiJbMTyRW0uMsdIwrmOFpqxvLTFG3VDyPSOIewSyEj90
aOau91uVEvQfiYRel+tSeJw3/dHHo5ubNLubwMm/Wm6zrOu5f/aVpr+oWr5P00J5NakJO1VGqi0G
MSsuB2cbV2G5lqMpVUjUJZWoi0skBPKj9SJNH7S2+21z0A/QccG3//wJ4sDIti1F5YsmcY3TOOuX
LnOgvOZTlK57m1SvBBHKA/nSu5GqftCwzb0lhSt1Q4YsjHDd8cTi79qJSzKeHzqpVB/+zmq2FfZm
v4jK3qwM+DbvZc+t+zY11CyY62J+mmmjmKo6QMT7ktqIHUx5fU2MvFmgLk2/N4jLtAI8YIb3gGa3
7YuVekj2tW4+jVDSjg6Ve92SRaKyuop50gjvkrl/UQOnPvSB+1u/ORrxuZiLL1mQGRdePtjPGt6z
jLTAaVt6lL1dZCv2HYgKwENkSycIuuy7qjjIZh+03opEXLqVzciw2y2oFUqwxafZUz0dHF1xFhaO
B5teK2JCmh65Yr+2TqpJZqV2NHsx+G34hXvvsdeS4MU0eIGVegZmOyqq8yTyZuymt02tRN+c1AA3
nqTdE7hUZduF07RDhdRf0hl6k5wSJ0RbUIF8hpnCX6QPEa/pWf8/YuDmvywmHdVxqK0zeWEY2ofd
mIGuM9C8Mv0cRcnC7qvuQRN49KTVk0PZJBgICcqL7CudRuOhn3Zb2ZQDs+F8vGpUtN1UePCaLLtf
5BQgjtTLLUAE/DpBW5E9Ug2pw5lRkAQ4RtsA/OfgZ1a1KSz1r1mBdpsHDiWduqM3R1Uc5BTZNPOW
6+Tp7eLfrpGfM071+//YvUpxR/FbykCHxwAA1kUHja/zP35fTa024ZAZwzsc32yTBfijGWI9oYmD
PCvDlNd6pLaXOnLiveyLxKJioH5+XpAHaLbYgsQL2dlhe3vOdGyYk95hC1QEbEZt7f7DWa+n+rVv
/HX2/z9v0OtNawXzVuYpLQTBi9AksCa3xbIZmHFylIlJ2UzMMf6tKUdvk2/XtkXvYt35x+RbE0QP
/1CqCASx5pzcoiigMia7TDpYiAPxemOZeYaxJQCLyfTs5fe2YyxNXa2+1MmkYKSYt4/Uaei7MmET
Gbpmwr7AAHI89va3BD4uf+1vdtIpC3Cq8aHUeCTbZQMvZEzzt2Dika+Eo7aVzXx0npXCyXEnIhmH
Ou/O8IzsLUqLZhcqHaUGshnP88Ie/Ok8xP30auTf42zOARLlgoCB65H8LCoNolXhqs1Bjk44XXhh
XiMYVUe2E/wE8sPULAo28ie4Nk3vuaBg8LHz8urSAAPPAsoXLSuO9h3COkhmjkVKo/Qp8BUaWWGv
yM0B+a8wngw1NvZ2pIWbxorrz67zRWkdbJz/vNDHn/G/v/+6LbL9v3//CVHZuoMWxNJV3XSlOOq3
+P6MjQsAOjt7tUfWIq+m5pqbJoztaUOhPtQCKmCFV2XYV49hEJhb2ZL9ZNYwJ7i1qaYh8j6Uxm4Y
zAw0MbYowOmLbOmAi144/tzsDUC6Fzh+5UNhd8ugTqeL7MrhYGx6JW9XsikHTN17susOwaC4yKE4
59SE84tsycPoayXFXURVeiS/61inbsmZG2cLsxNT5xipJItMbN5UkNcWYoRPY4TWwc2mF5R0wb6C
A7oM+95qhRxqXuqm467kTXy95eWtHLXF1jTrYwDSZ2HxWtrGHiaL0uNRHighhZGYWulvA6GYIq9w
xBVyXl7aXzSwdcsSHmS56IOO5JSXVMf211ktR2SbRK8rMF/O17EEsCAnKiOYJdV++BAHkM1bXzQt
ZlRsJ9kjMfu3kEEL9oosm28uQjcPD1SAAHSK/c8mz/572era+9Qs3JdM97NH1QnvSTsprzoevEdV
8JtqwYCiSCna2oRamwF16oUCnPzCszp+bPiDhIlqPSkxhyocioVXxtVR9mWlty3abNr6cdkfFV/p
jkox9Ucv1d1ycWvLs9scV8yWTbZ9dyFBZr3Xxt11ExcSvIBnAnVfyCikcEKemWFXCYYHSvOpZLMX
EEq+zbMKKsCAA8wsDzTzXossa2nXrKAM0ZQHtQ2s+9wsH4Wi9zDVVkTVOFzEc937iw/T4qoFcSGr
49TZN49JU4dYDnLIsVm8g14vG0QDCTsTWX6lQnne422S4fEkpjmRSD6ZGmFb0fT4Mh3dNj7zxIkv
Y+MsUiqKH2SrtJOM/EUknkbxRR6ylBTXTH0Vy4u/+8wyZC1fusss6TG4rqdvjd+j4bVLV7ZK4fQV
K/NvLXJu15ZEmCWJ/9tYT1EUXAY1WwWlPR+sMFYP8qwdxvl6JvuowzQW6pAi0O/S6gCKtTwYheaT
bnM6fDmv55pJnWIG6WvhkPPeu9UEtCTr0pPu+tTjKZN/1w3ZvFZIdV6KrIxWJkZML7klyAYDeYux
j77H7Ce/Wrmw2hmpbo+jGA+yiE1HU9cLJwmygPIOENKV4n6xw+aHb8NCzz0gC2apZS8FVWIr36UY
6b8fqP+o3MWE1lXZPPJQ5WHK8Ad5VWL7YT5UjfMStqD25Kt3KLtqiTtdepDh61GhUrVU1fQgX71y
NIuan6P4OvwcvV0rR3ULTp9elI//dr38OHlBiAXT0qqFLWNeQbDO2zBffKgIsDsk92yGe31xDWK5
sQdhTY+aJfvl4aWsfbzXPHt4Mdm0d4hdFUW/N4UJ5exG82F0CpGRpUmkUF27gTHxkKRpBw5S+qqt
znOrFZ8sq1hWU5VuO6v11kEb2jtqf6qt1ev2SzdbF7kRnFrM+FwEz08wrK1dE8DCDFpA/EpvXCJK
pXaBFZo7Y6wOQBDyd0tBmg9eQDubRq4fQ0+31l5h969ZY7/KKPevqVmT/5zq9L52nYrH5qdiKBVI
u7pzhuthzistpXYqLrpj64Ws6bopcM86Kdiz0Q7uFz2bLzY35RfVqL474Wi/G2XWLTw8mj5RtRYu
8fjtX0aHIozM07unNM4xVOsIUqhKC4ihCs37PFd6LAPgrvl1icVdZ7YnG/b+DsqDd/BcJzsY0KD2
zjCoR7eqit1kUwzoCURGN5bOXRkDBbXdaX7QkQWTAhy6Sx4XKfaCbvvc1Dp7eVDIrzy4sEXORu0t
cpQU1cSgfHbm+Y3/Sf2VBcDZmSvnuzVkG7PDli0gabOrBv47vYlZwlRM1WNeVl/G2NDetcBUV02g
VYcEA61PWjosZH82thgxoG3bSCe5MLB2YeqGz0N3P3Jz72dvinclpdJUSmH2SlIr+WoCCQ4rqKNT
5eJuY3flS+SnMEItxThiKB2c3cDK1piEB5+SwX4dvLn7riQxWBO8GuwixmKEPQ0Im6S7ZIVvbIxO
7Y8OalYeiEG56cCCPeGvyuMSo+IvVjVvtLJuj0kRpUsnKd0jiX/nepBNm2wcaxAcsOSA5mgDEDkx
R81iTuWk66knLjfaOT8m0W8fIydj1zIsHbVI97qCHcI4qPWdr0ZYvti5vglQLT4jeIRTpJj5dwO2
8xzOX3P2icuxztVHHRzcTolNd2cq2KsqocutVznVlyaol/Ka3HV/dDr0qjIDMdXx1TtaBpXZigYj
RtPCkXB0rfJajEGDleNTJFcf4mAIcwDZX3fzE8rPn123frKST7I14KuFyyh0NPkZ/88++SHyXxj7
9C0zkAnYwKtXFAsFz11fNXdt5j7o2Os+yy7bag8NyeR7VXS5Xp1RQBmpWzkYC8g0uHdzIZuePhGP
swGFqHGzbMZ+TXkd9nVze2+3SvvUhtFR2ljpWp9iQwB7phdRLUqn40WvexDNDKPDJiT4bVo3obTM
vE+wi6ddSZguwwuhXeiVW59GC+2aPMgmsCT+fpaVrwgfGQ8+DKeHODpQmku8UnYpg/XZUL32Z9+M
3cwKGUC1lqOsMsrjf79PiDP8uUB3KRhxUXmSWuXm1DT1gwCnAhY5F3EOGqsNScZgtzyVh2HGhoO4
G0xiXuSz520p2/zZEmO3lhiTM6X76/jHzH9eJ2c24jN//Qu/rosSpd4OdT4DR/ZJp/jdQHrFO6lN
j2bShc0te+RhQiy1xSIBFMGfA42dsguQgWLXzdSVV+eHENdn3CDAn3GDF3dW7e9kSx7MJrK2PCjq
pWaFQ4IC0e2WPS7akKC05YxuiRrAzrt3psgHMBw/RoLJKbvkmQLKatUFs8Ib4+8Bols15LFguoux
8jCzWX8IxKp1yqpyZSdKhewkt55CLVaPrB+SxZTpX2rivM+R5n4HJxS+1BoU6Cn3tYPmJ9adaRoh
iuGg2ZfF4K2JRlG91VoXYMflU1Lm2wQbhk92PsQnqyM2KJsjekWeWla7qQXCbMJMfaloB7souzto
ztmKmJSO/r7A4xPfbZDc9XrWGiSjjaLsWUq06z6jCHY7zfNfll5g6p70Lc6VkYuNln4xSLZ+zXpS
KGNBSQjSIHuXGmTS/2UG0c1i1fqavqWQR9vMZUtSQ8+yM3vgcp2VavbKu+wbhSL+d11/79queUip
LDZ3vlMHbJ1Ki+hNaj0MKV4OMZGSNUUX1ptaKptwxJlWU9KfM/jp1YMoOls7NumrpjSbZZglLMGF
5JeQerdMa/bKeonIBc1ppLigIqVEDv/Y4BRN42lUgwqiD1mUVmmoB8XkBnLHoP8INBMHN7BZNbW9
ix4p7CcIQvmSRWnyPPXgxXz+Mw9p5LWbHOn4Gc++aTe2SFmmqA+BdmJjX7iFeybcmG7iGiQAfzGg
DAYJ5asPJGvw+WxUE7UROiC+QDjpJUA5nXL0iJn79Xmk/mAh+034rJhYj0wDuv82VuNv09Skshat
eIJBbeTTWuvnNLiDrNy9H7zak08mv0IgCvV7AO4Abzs3PLVxVd+lWuIvAwr0vmiQRwI86SMV+8O5
TTyUUViONW0dbUpbrz4l4AMzO7G/Zmn6PVeG+tmpqvJ/LX0/kJ5MHlUepm4AyDVXtUzK3f5UgrRj
ojlpV0wvqHW8S22+YsfEgxdcxsHqPSoG0gQ2XxTDvVfa7r4fKuNx1DXQGvQneJv0Ew661GEsjXLE
MyvT9RfZjBphofWrKUftoj1WUfnozW568rVo2IRACC9pndTLkWjHu5HNj5HU5XruvrSc6kdjl38Z
+Id9UijxXGaDlu1J/vxo20Y9KmpD8qYrYUw6OZgoT3+qRX+IGH8VmMb0uT9VsV8AeSX0Lnf0RTKr
m2GG5C33+zIuQIJrPEd6ae2F0V67tQo1X1SWEW+vtlySiTi5OXB3GUx3Bm0lQXoO7ggskARO78bb
w1y8Iysxxh8H5BS7tLlEgvkw9hmB7I8vrWk/SCWh1B5S5Z7C2rMfpFVZWDopiAl3WFFUqZ5dp63W
jio2Q6paggCJxm9tROWqHlg/HLe6xL6rvAEUsCCr19rD7EDQHiBakL78+/IIMOX1cn5z18shaeFl
HfWX2cCorDP9YedEY37fUFawKAI7f6vrqN24DnYkSt3kb6Fjv3e+OTxE1Rw9eZTNyu7Jg8IKPAHE
j7gon9j9mXqN/2iI7VlU7EzDz968orSPZInrpWyOyvRE/c19LIBAee3fOdjrPgdDC6BYM/qV7A/y
4B5RXfVstBO2ZbOGpVS5MduWJTgr+RPi8d8Ptz7VaYe1WeDEJqfcBmQTpeiwpmbJWeUDcLpRz9JH
r8q9NcsNlRel9KrKqlNQTcU+YVl4yFAuHA1u0J0Rdx2MkEzbqEHvIl+es/WUxeMlFR4EpZs3L9iO
432oad0blMhkgQWn8ZfuixxwWXyvy2YzJT6UvtnaAt/zooWBTV2XBBFUPtzpHd9pv+JG/WT0cx7/
6BFT7GXGbGzIC/hd8qiKbFrhRgef59ujHCOjcx0zwLfcxmQW7p/XeUClV/2Q69fqAc+EAO0XXriT
CkxqY41DUYYUZwm0UAtndIP3XYnUlW9k9+SpwZ5lfPCDSsV96BfRO7EQjQfFmNylXmocVNA2myzW
nSe3JosdgWb5HttL7n7nW61VEFB12IWuBgm5ZTFwGANwSUHFehOP2ekdEOgxwpbt3KiJgRs88QEC
n8EPJKdZbho/lLJ9L0guf3K6pFxVbjeDji2n3Wzo5d7wO3OTKJjAQkqJNmnYaEej1qIzfkXpGtFX
8skY0lc4AN33eeo2XWKGf00J3I7SnsIHCiN40lR5uAvq3nh0gJqzLdatL87wmSUzZqppbgznSJYp
2GM5HEV+chD1CnIARdDPM1ObcAO3inmhTpb90A/te1164xtExGnjAAzdmkKI1WpYKneK9zylQ3Wi
rilaXm1gihi5Gl+PnWx6c33ummC41H7bPmIr+yTdYbzCSHdZOwGlaTGLIXhH5FMJv+bW0N2RT+BX
UVKMdBNJzdHkkGmOiOWLVZw8gCZdKSCn7mXLyZ1oV6fhllyBcUyTkYKLwPG2JoaM942aKqtG67rn
xB7thVr3w+c2KB9jvh3BolTWWKUU4SKHgjoZffClnTUK+3GOfFHnu+vCQEm+8qB+laZGZavNuy7L
w7Vseh7gakXhTruO8t8a8sC+++91uv2hqs6l7MQgQKyj4Nc89R8V3towUyJtV8rz4OUa2ibDWE4V
jmHqkCWHZqj9DeWSxbMP8JHHWOZ8K9EFBi038W3uRF3jfkruWBYwPSrz57IKMeAUnhu/pmdYcV8/
OqXA9XCdKz7aEtUkkHuBk8qi7lz4NqVpemyFexsWUIexK5LPbQPAN2rj/MFMan1XsO/YBYWGyRJV
o0tbKYLPGXXYACyvF/WDkxAFRaeB+/NCF0+C0sqiZwjCC11k50OAV8/JQPJXPEHk2K/WlMwfx8R1
qFyc/4GVQTL3caNExYkBw0C1saUCrfKh+IfwjW8iJ3SeDVK7qwRz8vJTavkLJGbJFqFYc3TVgdpM
eVp3pCNbcbiO5OaEE5Zsw4PH4mlyl0FmoSS157PUuUg5jDz7oIn50BwGa4Ie0QLjp1gKNlDX9yzA
e/fJ0XQWnW7fHTWlck5tYvfrBrTGC6iSAHdyfuFZeQLGYH2TF2VKxEVO3GHszJ5fXtQkAbdl6Bov
Tlqy1E/vMYcPv3XDsHZxkwiBJxdLe0IMQ3XfX05rz2+ehok9tSzWRZ0SymKxrDm3mILsqD9U94ma
hGcLucDGxHTy4IXma+gTUEsR2ZwI0XlH9KG432Xz8IzvB/VGlOl/95E3tyZfEPR46D36+GVIPAv/
vfrnRQTCo+tFbFurXxdNUilQg+rCKj26XhSLf0lsm67/kq8rw7Pq26RIEABte9PDQQVhZ/QKbf8v
bKm002Ak8WHGOJjFLlHGxmct24xjsJMxyMrAFtGqJu8agwQvtRD7zZcytVaDin4TNrv9VvY/GuGD
13btuKmJp+wwi3NEd2Xg1YTn51sm8PiVQ61u0+ifwBj6d7JLHmTTy7DbNKr49KHfbHR92WGOs8YM
MOmM6RgKACIZEIqJxdntIPuSoC93SX7iCeX27NvUJ+mhKu1TNVGC6tjoaXU3t0/SV1WOTp1qnWrv
KajHZi+topLZ25Cks5/U0Qkf63B4SkURGFhib6dlib1SZt1YKx08oKKs891A/H0l71rNnfKdN4GJ
l005mtnl3temrVW2PyyxNRsR6m8I49h00VRi7Vyh/7z4xTdjcpTTDfodapvIUavzdc17hcNDiwDk
qrcsZxLoboMaQ09rQtTVLNXYZQYrcAXhqYzD7Mma49/7Z3Z9Y25lT2K+1WXeOw7v6YTCH7vp/CXp
wrUpf6Iow8vL0t3VYPTqzp4t/gBZOC+ytnXPbRIWL0oLflfMBZNf7jPiw8sh0bunaQzLbeka8UYm
Cv0kMxYZBrgnCW7O44dS1aZX1GfP13U7Wi9jNRuKumFtDC/f75Sz2+Px62Ou82a1yYN0WOrj8mBn
ufU+JGOMUNyL7isf/3JPaZptFHjmJc1TfeGiVfnW6hszaX7k1Dq858WFYHBBEeHfJ4rysef3oRz1
AobEv83JQVi/qxT3yZQD2heRI3IIt4qvU96QMsJzItjI0Z4yyaqYvrjOIp/Yq/v8OZf4/rR3aeQk
p84qIthrGNF2GWz4tNW+gt9XF54GzTllkYQQ0HY3aTR4L1nbP8sZdRaxYcVxsS1xWe/cPNpraVdd
OhF8kzMcwBMQ1adzyTNt1QreCG5fDRssimnUMNNWrhZiCy990QfHNpYp7mEv2RjdGXpaPciXT0GL
C8oH+b0VY7dWawS/tX5d5/t8Ef/77e+pzj/f/0JuQ+ZHI1H3TxaSYSmNEqjj9Dx7h1rRhm4fZWiS
PM/s8TuM7aMsjJBnQeezATKpcVrFja+gJetxhczB/lCcQh0+sYljZcIozEP1OXESb23zqNpOZhtv
bD8nKiykxVJkHAvGTVvAJ6ooWIuAGh1tnqyvjum95m6i4/BLSw3GhZHHz0lE1Eazc//Ac7teBblj
vVNx/Q3cYvZYeo1yl8z9uMioMLubcBkkBjE+hm3fUPzXfbMg1b7XRNbQLvTTp9jocOvGMBinheGu
iKlCj1y3uKs9Rzi5DM2+ZneasYdcT13VP426Op/SqPuszXr/NFW5vsTuPNj8H21n1tw4jmzhX8QI
7surqF2WbdmuclW9MGpr7vvOX38/Qm7TrZme2xM37guDQCYAeREJZOY5x3TIKhS86345Zo2yDNVG
sRJJ+9JrfozoMj2lelrw+/C1da841XeFb3umFtarPureDjhwtjPLor0EJrp5lPJ+TVJtLfJKcgMv
0djnwaMVoXMsBdFhGEIT7nqwKOLC65MKxbyEbm3GCc24qu6PXuV9S4YmLJ0vQe5BtKnJ1cm2xuaB
lBivUkSsNpoxlNsq9vSHiqeT23ulvbWRF7BWoLZhbWpj68lG9FKjDA7h8Lpa5UWerTyrKDjwwMkv
26+BkXU/bDvMV2Vf1ZtoaqOdWcmKyxOgf3VMM1xVetD99IHDV37ZB6tWe+ky3fnD6KQLh+I9GpD2
erRALIyI8zaN0qz6NLB3sFo7p3yoh71pS6hJ59lGGUGxJ3W3kqmufp2ydth21MVtUSjgBJ41D2pB
/V5N0eGPNu4fEae2fpNyImaDRKjvBfYWuqDmmFAWI9B+OPwJC8zGqQO2kNwNfhBdxKUsZeUkxZTw
zV2xJFUIu9vGpjBy5dxbI/iDvvgy2MVjaWbFC1W5L0rlIHBmK/KnHHnO3FesezUq6vNoVI8AASjp
T6OII9zvSG4zZDH9Jwdc98G30lAHiJ1D0E4A2tlMgZl+7U2ixgWCnFvRlEbzwS44Hppq16Nai/CT
L2XZV12KkMiS2+CkOu2ZMk2b+uf0jVkscLgr4WyKC3QHkMh46xfwmpggJuGa2UW0YRv7hqZAtu68
8ROZkewBcblP7E5qKN8jvklTrxz7vu4+yzZPakrD0x1Bkl+8d/tLanfaeRisvZHoQehCqEVAT6cE
fTbKo9dfusGyjsUU/yDHiEcPQ8LBCeElu7ZDGHFXI6jJlTdk3aYgsvyZbUy7ofSe19rcNDXTcWVH
aQ8Z/Mzb0ClGt29qJK1a9KhO11tLbzkmseOy3X7ujX1eULYquUF/j4ync8zq8bEcI+PBTpsdp88N
5O+/8l5hhxc1P3rd6B6nJkVvMberbRV+nSoKfSNOOmMboVKqP/e21X+q48C5K70J7HCZAKuIW0Ak
EY90KPy8vdyjC1bwdX5MpbZ4zOY7S1ce0aguT6JLGLu8Tnd9r/muaFLclN5LSvUjJiWc15bxUsVy
d+hrs3JF0wr96Tza8fdIyswXuIX7p7RF+GNuFTmITTQ02s0gD9LdNF+oJnu7S2Kt23WB+X3pWtwW
XwdEMakNVn8faZn1iSreP0qvsI9DWUcHu/UcIKFDug91xT/3YVjvgkqL70kljlut0MqHya6sjZNC
7dH3/qPDm3mfp3l6go+4OQZ8/fctxKJ3GkypW3WUp4ehbPKNR/HHUzvFUE/rvfxSJBck4qg6sKf0
Aq91tO/0qjpEvtM8jMjwEfdKqq+ql53lkm96nFBboGT1t6hqUTS2tPRRI+2KKCxyf12BAmWJMOhG
IYp6UExm6w1pfmX0pWtbmvLd5GChypX52y7SZ4U9hFsTVHzsNWkDuUjxhw6oLOBZ+NXv+IR9EOeP
hhAmHpt7m6/SLlbtfjcY1MrIlk1sAeHZV9mof6hmGv2RmWeqNCFY4Mv8aJJ7/moFiHqWHUL30L20
2zJpcpSgq5MTkRP0fKl+BGE061WRCSjzwQ3yKvktBxyznIw9iWnr2RZ4YX6aJs04q9SRrAOnV77o
/XgmBmKTqHQUHtnbWjbL72FgTJvelssjYUrrKav732AreFCStedEXJuXtG6jkxb6MPml3XifOvPx
xTB+RErhA8toxr0SNO3O9NkiQVl0aanS/elQJrdSsnR8GlO9p8K8kpG661DL8k0SJHiEZkOBaZmn
F7Wvc+oA6r1s+cnBmhzzoExRfsffMt6NcmM+OHrprMN+pqsaImc/qiGyIAXl+ANiUC+GrtePVjUc
Y5CpvdavtJJ0rz80CdJUpbojg9xsRHEXoqH52uzD8iBKv1qIzakUsRtIrSj9qlt71cJp+iLLXfYk
ezkhU5SbjFmpXdO7/tC2ir9BBiH7ChDjN1mX4bF0gHbkWvArnJ+5Ruysik4q0GolDjs6snnowm7c
DV2cPflqjzBM3iID4VSQebbKb4mURSmH1qdylltWlPirPVbFOp/Vt1BLch4B2CMUGPGP6pmSKq0I
BCnrqbKKTeBVzqNwdBxT36H95qyWPpjdwLcYPFjmWYRbYgzmo32d+zpZYio7n6qGDinwESXrjZ0X
2VnyCQCCGWT/3GnJnRM531BBdc6hxvk6qJ8nTUPqcFIhrHVAuaPeaTk2MrIAVNwJfm1KTyDFd5Ja
PWRdMj4U8yXcZyMKvhyOw33BSQFlz1Z9he70u1YNwx/k5yYqldmocNqupCRd1Y2TbxCBrXhcJv50
lBIe1LpkXAaeI3t5lKJ1UprKJxM1970XSxkkjRnfVyX5Qs1Msp7smg2XXIx3k0f1SKoZ1jYytQE+
oDjf2vJo3eVliygwKblnI7fQkJ37lotS23+61LZKXM2i/IvdCIyESNvYdY+wvaWHnztI3dddippn
7CCNRT1STT03YjMTEAGty6jvgQiyV5G1RkL9jIInR0AiVM8peaYVoOzhIPqUVDNX3dQAKpbsx0gL
rd/kolBBcBvPt598jV1yqMrfZUkaj1SeTkddAmmy8uBODsc5NFFKPRvB+ItUh8nXXg4oWKccaC5c
tgmAB0eq0jsI0DTTjQe72pjU0BsBItSJn4Z3Mjpfh3DK+D4UsrQuEcYkted4T6PVP/mmfwYb7QeQ
A0kEWOJ25ylVfiGeBiRZKrOVpKD7OZnsmoDUVp/MfIzOA3ENQiFN9SkucvveifUX/n/MlwmF2hkO
/idC3JrZYhYoGGoi2brsSAALgLgwRGXt3TfFT9Ewg0De5FYfry2rmh5jqLFWmtIMIBO06fHaB9vH
Tk1sai9mF2HgtABHigQHDD1FH8WubGRsgGcCtcGxyru2Td7uEq2IN9BGGisp7FFSET7XW55E/F8h
pLqFMh9eRAPKSUkG2p0qjncWF/4NnEML0gpR3elsVCYvgDS6NKUU8/XnscgO1roo0wA5Cr+Zg1EZ
1kX0NXZ+VON62ueRrUIwBbKrTUyy8ANscHIGp0o53pN10h7lcTRczQv8S8Cn3o3WmOwljpal6k+g
0cY5hPBABeu6M2SEyaClOjmFChYn0r92gPrOQfdr1HISrS3CjI5N4BbhWetYezV7sflOiaHPuXaK
trg01j1Z3nHbtWGzIWxKiqIACdlLyVcvDuJviAnMjChS85nnveI2kec/U4sSbvSo8h5MmX+KMP7O
4YoEfFtRvN8avFrmprj0jkpVreEQHQDXhkkdLPOY9WupT9RHrX4K9Rpgo2xCveLxC4YSAeZk2amS
g2cig5dNihSiiUQ8QI8NNBonSbuISxkACWS31W4VX37rq5q2JWGjlochqfSrX68o6MoTiopzw9kW
0Vwnbin6sQmJtDhwWL8ogVk/9XW/QuY3f9GtbuPEsnSZN+peWyuvGhWrdwQI0Hicm0aRpm409tE2
VYuogmsXBQxEaKUdFEwJudj8p+1FCD1mfX/kuxZyYtaHiwGThjs6CCIZaFie4kr6jMp6/NSDkNTb
qn7xx7FC78Z+LLRGuS98qXpxtN5wOziqecLSRIXF2ykdoRmv8e6NnKIqoFvefRaZv5Rpil5RJa4O
oRyQEXL8+NUELbPR+zrcCyuICLg7A72gegUrMhOw3MbSs2zr8hPvD8pY6B6sDtxikJsrk4PmyZIm
CgY7lAsNrU7WsIiYIKbiGsImqsfAgZufUkIJ6FfY8pq4PtZRVnZFzutdii2DEEsAfydlohsxVnU6
f1coRbu5jm0pOuNtT5xvdmaHVyMAR2W8sMYdsT99nMprkzItXlgjAorCOesT8puDDp3hvC4a2dmm
agmMXccOg7e2SGjvhLPWIZ9VBbZ3tSZm3cJvgbbmdWyIrGDZkRISP0I8BZJLhjXeIcazNyyne+ig
vt+m4VTc2fGJ6pPwRardTpH7F0mxupe0Gj6DonLOuZ4N+7IDvClpQ//QNlDQhZ0DdkgKzWtfo3wv
J/jUrl0dZAX3OslmTy7guY04MVNoHhzt3u4fxBxZhTgp5+dwZ2eDm1pZzxYvtNaUTycn3wf4Dert
Z0Zw6ntRBMhB5JrxgOZ1tA8H+9g0E2R9RvyplWP/FTyyekTCAsZrZ/Bfq7hptsTax62wUjxQI4Ob
OEdhzfXqOUXH69EPbe1ziy5VikZbkMvrojcqGEPMal2DW93VEUlONC2gQXIK1EE2kWH9eZvMt7qS
lqr7weHDrZ4qxTYeCR/46GsDwvxs8uM9OzplvIPjf9b4b7t4SX4ULcno9YfIH59EK5oyKFCz/qdo
VfzQwLfDknRrGXyeKriD7IEcnZg1aiZt61GZso5MSXsYPfntoksHS+r9h6WbDX9xTDz/k3Ba+hO9
VTbBSKb4xpD7EbJbHmiBxVm4EI/grAOPWf++nDcLSRuVonwCD78N+2b8ak+mt54aippHJZPPskq4
i9rptQ3XC/j3KnDDMcjvxQVdpbe7RDNsvt7IvE8WPCHCqrzfJXnqbIYOQMmNQTgLa99K/gcrYB/k
V8y+JipB7PU6a13bq6SeKNxrARUTYBmn7Ahd2NslYquACB4XcbcYFr/FcOP3D1yW6ScK4uOVmH8Z
J5qLz7LSP3C5mWoZ+7ef8m9XWz7B4nIzfe3PhXk35puVlmmWD3MzzeLy3/0+/naa/7ySGCY+pdKN
5bYNwqflRxD9S/Nvl/hbl8Vw84v476dafoybqZZf2H+12s0n+K/G/uffy99O9Z8/KfQOFbtDDbX5
cWRrF85fQ3H5D+0PJlJRjMoS+23Utd3qcX6d5dq+Dvgw7N+uIDrFVB9H/f0nWlZdfGTyztNmsXyc
6f+6PocZjt69HrE7X1a8znpdZ1n3Y+//dd3rih9/ErF6AwbCKPtuu6y6fKqbvqV5+0H/dogwfPjo
yxTCksx/8ps+YfgHff/A5b+fipr6dj2i8LPSo7G+b4fA2lRUxLuiGXQzZYCe1VTuYKVGy3Dl0vbW
kl3n6i6pEfWrK4cd5WwWjsPoUxNH8codIPXqqOZoNq2F2e82up44Z2p+QdCJrm5yklPpsAss1ELd
qaNmrXWSSi64P5c0A6WXBKdPVzE3oesmlNvA7EHpKW6NYYold9FzU623gUvXIgXneVoEy3GdfPfC
WjronmO4WYp8Kzkp4lFymj9RlbnXy6y5h2wpe5KIvtwZTvMobMKr5Ju7dcxqWAMLz56EmxojJRYQ
bDkKF9WT2SJlbE2ZVTgkRU4Nlx5RLDgvIgz/cHXV7h4tQ/UIov6blZ0R5iXV++FnGhG4WYh+ohJr
XJlwf5xFG7HJALFu5828GPR3F1OXcMkHXGZRezFsuQg/530Wo4yDba4D3lUKEC1aFZEFELfiQpQQ
ktKl/cEptu0z1Zfj7sMYKk//dP/QC7liYruDJvfQ9MHhj8qbed8poXUv7hK0K7oua883/WyIwjX7
U/6HbgYMTXDXxT5sDX/OITzEpeB4CwuU2e2WPnEXJFa3Bwb5+6ZfTFLU9qkqJvMojKLLSvptKo/9
oaTenppJ8oQIORn8iiw3Myvn2i+Mol/cLZd2zvOK5iQI8MStTTLFq6K3sWJYrYfeOtSqBs2zdNhS
AtC5YTSpzgp+vfpxVSoESRA1QjuaYi/gDvAsbyMnbx57X24eK6WwjlZnv4iupR/6rRcjbWzOGriK
S0o58tbU/c4d55Gi77qGmGnpFOvYlj9e1xEGuZi+pHlV7wRMV9zBA3V5w+veQHch4XOK1dV2vReY
XYHehRaWaodm7cDLGZDDPcqNpiXwmpdpfZRKyeTek+TqL/eNolWyK9y9puqGU6Oo5sqvu3RdR9ob
djqWWscmugGMerloRQ1ZJ9F80fXB5RZ5Lex+ZAPH/uCqSV4vhgsgtlBXh+cf4TRi1roGULpObPMU
zEURKETK39IcdqBZSWPxCExFgTS4T131cFP0E6cUn29FpzWrhYJ/NQiArPP32iA4jU6Z6ZM5miOA
fFOeQrKoEFf+SZAHIXuKrlzTXUnzCsEnPfs1ZMOufpRa9BtYT2qo44r6MjMUbMOmitYBVO9IX1hx
RjlIGq17z6kuRT9WF9GnzH0toG4kh4jRbkVbmG/mGeTooW49/9CZdX/XyUZ35/RkiFeiHcFCf7LV
+7zNh2x9NRB8oh5gsNofAeI2JO7VDv5lv1gvM7RZ9DbXTV8wz+ep9zfdphxKO0kdLu27GOiH98qb
imjlTS4xBOXDG+b62iEFeLr6iPaHkdeXTO+FsutT9OSC8IMfVyJjmibhaw8ubJfNonLikrzfjUJU
bmkLc9fH1xE3/aLJCbrbUfn/pe5be1oR+AQ15QBiTvVQOi+XzKvfmrrfrFrKRO6EUfRfx3agcVyE
yafNMoyourfuilJxr2y3OoBDYFA9ZIC6FoYUASvlRrLqr9rYpv6xyaz+LosyDqZhXR6iKSkPsZbY
8lNvEDuQBztzhU81O8YCqjA6VEa3ZN2IQ96LLjtQc5fNaA89SK3IqeuoJnzFgzXtec0pD4BZ1Qdx
l6IDqk5he176VaTb7lLVgLsIV0emqHalDIWxs/jYQPzoXC6E9fhJqPpeh5IzZwZmc6g7UFW+ryb6
6nnJIZdIybDa8gGCKqvvulq/rvahP0tKqmPQxesn9TAlYbkjTi0/O20KUaXkmb9U5DyCNu1/2E3W
uxWg/kfv3TfUrOnGt7e+VCyTlPAp+wopgLaGHC1xasJJGRpY8DX1V3NphkQkqXR468sBVuVDicLO
POI6WMzTB3NQrwzsVT1bKnjMlLWY0RyCvXC5HTLPDbQ2hPWdEcKaG+U6US1rMB+oWc8QjYdomD+d
+csMwIkocfk9MCN4PYw6QVo+RvsXMcOtAc7lRfgKupa/+srdZJCmofRBUitpZSm8kgRmoEb1ADBM
THMuI5Y1eNWEVaANhNWyKXQQVjE2b8lDyo6mO5XrMY+rkydfVbO6FPF6IvAl9VNLU1hLKEiu1jRH
VabSKWiqFVh+nXale0n9AFEJCJ75bjEsfcFspYJDgeECtILwE5ceNuarAezGr4kM39T3JFGXAWKJ
m5nEEiNsJzBCM7FwXtZO5g9F9VV9Lilr0iy92Jgj5XihOURfwUEhByN/9fkFkCwMoRruW+VraSgU
WRXj85j34POkOCET7itfrUy2SH7K3tlPJhkBRP5h5+Fi1qzJqsNAvPefzeoNKtwYkoS+D5vHg9Hb
xk7xOpDZ1Get4A/r7kI19F+DYjr4JdH+xo6ml7zM3WEmRgM/l9+rLbJR/uwFaJG9s4nGjLA6sVry
ozClsIopQeX1d8Ia6vKHKbMxI1HMHHaT/yKlkJBhcHIq6K32SYZw/NDagblF7Mr8LE3hvXgPLx4J
hZ+HIrSMbVAbkC7rsFP1q2oyyp3YJ09RqJ10K3Nv9sqAKtmBT7KsnYzozfrWJyxhXX2wjAOvn9V1
q07CZ6/l9XM8yzdqSQKLjl4fG7mX+vv3JklR/ywuU2YdAEcXZ1NCz46J8n2t2OGTuDgUeBQxtXii
BbeFei715qR1OgIw6ZgOu7TtOx6yDJj4/j9ZadK4s/7WLoeKDpGYRj4WTWudhcuoev29aU+7ZYBq
TvGeJyioejHAk3PDbaBPv/pc153ihyLPg+skGvSOD8FI4lN8CosyfGTbPWMlfMWFqulkTW1Tv9Xn
6SfJLtwBVYRnKVnLEcIpeVv3z6NfqW7YI3wr+gYqbu+oivrlzHyvoqvMdaiCUvlszV091enbuDLZ
Rc7NgkPfk2Z8ETbhrkfgSJ0UyE4je/pxTL2vcIf0J8f3+9PoDVShi1tx4fEuSehavDvcepXvFuEj
ml7e+OVKtKE6CzeqMXXXORefNI9Gz11Gi3mNanz7HNcpRLtIrRe5r/zdjYtZy7xRfedTYFQoqbSO
frQ7KaR2cJK5FZelLezCU5gtqLLePEXbXDyvJuFKQmJ0FR+eEeEk5hB3y5JoE0ia+29XE56cUQNY
B6lMlNV6eLAgGFxHgxJvRLNzAvo6bXjo7Mla9XBQbG8MXp/8Csi3HG778+EYFKlyqrIqMZFTYZLB
flbHor/3Vb+hOCm1tg4nywuk9tXKq6b+IJriErf2k6x30Z1olVGkXFpjWGcICD3kc8vRff8CMHMZ
UsLCcW5bY++N9RS6TtvAMuCk3xXg36ELx8vEV0SF7E8Mnxce9KDf1mFKnVJZuZT39JfKkoNngADU
VXrP4qJFZkMFkeEdk7nPrilUnSYJcZe5Sba+fch89VjqztsAtaOEwUBIUHQBRUs31tRBGzv7U3ub
3XW59cfiDzSQ8i4TdbvZoezK0fW7YNyL5tQULcVoZuiKpmQn2lNWfE7j5G01WJFKwpemddCSJqbq
JtcI2tizbhlcohE/WeSvoVjPz6IvzA2KiJe2ftAAysHVj4M3DxJeoikuWmhG1NHk/vrGsDTRbtG3
gWFSI/hZU2x0ckbNRyrFJtk0JLlrUPi4bvp62pKFD549OwwucmivorFI/8UqxupI8gjfRLP9ZzEe
cP/teOERQE579VhWeF9fGJc5KAqGyzeqHxyo/rdGAIdXXCGhtzIB75xtqdmAzPAhEjD6n1UT+cdo
rrFeCe/WDC13DLThUVwaWFPPhVdDa9+Mj5kJq3waeelOfCYoppFkMKq7a8smjVZLxrCKxa/j3So+
XfpvrAkhsQ9j23lsP//qMjk29uSqfRBOCdCbuKiOlAvCLUUB7NMQuEk4J/znnlyOnKM5ZH8I09Wp
8tpNUtrhZhnj93myGjv/bR5hgMz4/3GeZe3hf/88bTfJrmbAUFYmhnaX1+qui1Tj0Hga+62k67S7
sWQatl6JdpeYWnQcgAAjC6ndia5eWK8+wr0ElLNRGgcsyTxEeIq5RVMaUI9Ylz6ET01cjhvRKczX
FYX7AAhpA/iqWoV2GL89pYuROp9VoWvjHk2MDep3oe4S1NCPYZkalG7zzG98XnlITNB2xPNd2Inl
jPamKJtm/7av8YbwQJRPuucL4j/YbWJvh7zR4Dr+s0+eDejfgcyp1Gt/BvMOYsmzCwrmXzrVKA5i
vOgSAxT+fdb8p0CLMo8Xhr5L7TtTHaVtlA7gOfrijlqJ8m5SjOLu3zWFQbiMsFqb1QS09n/3FTMl
of/dMmFEq8znQtIkV9zpFK1c77K5r0gk41nc/QM/9GAlqoIJZtrJ5oYbSzRVynilLKRgdt7HiS5x
qYLO/yDDnVBakHgatG2pf1Ysv3gFa7zS9ZQa50HXKGCOnrW520vb+DhylnZF0yiB3sORJFHAPOWv
qkIQnigQhKOzMzv66xwTe5rHyIJOE7DSK5eYr63OPgaFCzNF722XF9ZT7Zkoly1NwCGHzofQZCfV
ztXqQ1Z2iUzduIMifHicoEkxRq09QYI2Pno6lzqUYMEuQ3VtdQUPryEy47vJfhsgRomLrSXXoaIl
xg9GHG0sSmnWhV0mxDrbcZcroXYpAFpt2oI4mW4YSOrNfZ6kN26Rm/XVRRhGJljBzJYdC3X83fqG
ciQ0rF0gNT3KUSCflbaxQzd/HcGKXZrZNLaNdFbMYd9olhMipJ2Ox1hS/7h66oC1qE7Xc1esuXyY
xIfrO6IspqCG/ST6k8Zp3BKJj911quXDCLP4gJGVXD/IMl3+qjixdcgi1YcwgYOdNp8n7VDq9pT6
g9uSONKvlk5lnKi7FedF4U7NN56Q1l99likWw9K3TIPaT7Sa+J6idT98JoT2CqBSemny0djlrV7s
m7RKXmDy+6FS+Pjzrw5DiOBF5ROWmZk0hlEGJ6NB5CXIAOXA1NZmmX5s6nNTOAurcF6awnozNjcp
T2+osXb71tDOaUw90ODZX6hvVbyjr0CXDogHlq+qkEbCNJF+JrarnYV3PTTruNL6U978keSGfgyg
eDqBJOVPVUroVIIMzStIxOhFx3w4ERIS1nF2EXfiUtWApK6W27YZNtrR7H4iaWaCi579xHSiTRCp
BQpdHqPRh67dj7sUGDQXbVICaT+UBOwn3iNuZ5SZ/UeS6OmJauCC0GeYpqeaiig3tjzFFYNqO3E2
YduG7K0yS9LPaDWDWu9HEIAy8dW5CWvU+OAEXosIufNmNeSuukxIA5wB4L1y6sy/tGk0rZQ89F7b
lnIkpcvHV68MjZXT1NmrZyE7mOe+g4pCLa0kA8xuq4FoIm3gHBXUaa84bT2KvGtTEVQPsNV8aC5W
gav7p2OTxA9dq+dI3jgjz6+W8hitChX2Co51NvWcPnuuYh/JGZ56v9yIvoGSy2l9Nc9D0i5XNtU8
gw6ga+MoarWxK6nYQ59ib2Jgu1/VOPpcAzG4yF2pPvRpmaxEf5Z2+jqVKSN35qJe4M9szZQv3lQ2
R34BNUolafwVdFu9qn3Hu6cWcHoqpOYi+n01LbeJpxsExlgkrJttq1NO1MCz+Rp+04Jo+NVPPnIF
PNYuXdFMe9RPyr2sp/4Tx0Fq6M3M/BV+Uxv4T4Qn9GbjxYyghXnbWcM3CfIJTcc1FBYJGKh3+XnR
CdQg2YyjlZypxrMeslKSXMk3eJu93/kZoVLRF77fLdbrXTTk5zaDHCv0zUvA7vXA/6J2Ly6A2PV7
I/JQbUQ5cHVjEM0x8i5FkdoH4bt4wPNOJMyg5rRL/CfI/bJnpUqijSdT9p/XAMciqShco7OSn80Q
uZM+Dt981MU2UxV/9KjnFMl/9BA8UUkUumkYjN90XwLwkUG1uYPdJuVbJMnBgyd0lgPHWhsynGBX
EeVAHE6sRXPZB98ghcbJgTO0XTuzQVidxOZLk1TnUSoqQCHzmebDsHlucsDDqa7OzSy1q3YEfLXS
KZ5GChMPvS2p22EqpM9EsK4eGqCfVTpCPGRGQKIy8sPKzLeOCvh3Us/KCWbd5gkexfEe7vO9lvGx
XTkf860xqv1a+IqLJiffobBTTqJVtuEEprLbw+deP3K4dLupIi3pIeYmhHKbmjhcrhEdmepm/GSp
2VpAoKFH5TiMnMpaoJxt1VJWtmnKZwCKbhIonfQceuO4gXU/N0HKQIsrLoEpy0fJmC/Umqc8Rbil
tlZXgRS0P1KejWQKZotwnzHtf3eb+YhAVsBhwb2W43AJ5+c1ZF8GOZzE4FgPcCH7PXlNtl0kPSfq
blH3K9EKHK296L9V/RQuWaQNp2QM9NUEC8daOArDMpW48+N6F71PdeMW2w+So6R1uINyRY3WTWqs
m8bMHo0i4aCpx9GuUptkXashJ005ATjfyuiM6tWPvkidrdrJE1IE6FML7WrR1zjd5A7SUF+E4W/7
5HksCD+gqYuPGJJUde+246CsReJxIYi+pi0/5DED1Iu2Xt9/ElnLq/nKHf2v99f0pq4hSXflnG7z
1tx2efvJDteQX64MdUjO/dh1wSaWgHpa2b804xllnPVE6JKu2YnWu2szY5Gr+fLeL2YULdEvPN79
Rb8+CyS9+4slhavzzSwhYCogx+SUzCUvPHNTd9W0WvrE3cyfeVZzBxpb4WPY8BKC138b19g9oCDh
2cclUlp9bG3yMv7os8zYQLy2Ixv1C70E81iWxv319yGasF4Bi+YXsPxEZNmubqLLziyyAO9Dr01h
uekj4vvd86typai9vKkbnmyCXaCotV8U1HcPPqXF1LAqK8FBUPtleqfr8IQKLzHI8jvYF2Yq838d
1NTx+S1VooQKSt96BtytiEc0pHykIuPCHM6i7SOPs+1GUomiT5p9PjqCut7wtLKuo4WZmLBCZpH4
G7XXGsRD0W+dzNtBykbtUVymprPWVl/7m6WvAl5HClH2V2km6xyLkWrvZ+EwcSFaDd9qRcw7GzwY
HGfhsMCMNcSovwmHD91tp2yhs01d0bfMQUyOuqfasq5zCIOZKc5Z9dlqzku17+tRBZRsp0nvbw3s
OX6Seu0Oy+Slw9eg0Fv++Rx1D4MSlDCzkCukhtVFU3Nw1pb+UGcIvCIOWV1mB9ElHMQlsj52Cdd5
IMXKxnXgX+dapv/rXGPefHHCSDnaarCyTKN+EpdIyVG8V7z2TdemySFFUidHP7Ry0jx1Xeo8dmkw
x6jQkul99FU9Ge9rm8AVufhMefO2gOM85hxlbr2X9cQIeZ5f9I364DwOzC9abaG8hmnwOsShdRl6
tntlrAUH0RTQHWeyTqDQ6rPA8KSR418i5SQawimAmR4so/4Szrgf0Y+3t4s7qqYqAzCY2yKdt1Zq
vjlihPABgfy21DLVvJRFEBfZbT6M0uTBxavA+c1zyCCv7nqWSZ05syV72dafieMT6vQfg7S7r6Zk
PIkucSlgddohiq1C5ogbkUe45CP8ZIPigViyymM56JGFkjCy23txlIjFK07cigscjt66URRlJY4p
ok8cS8Td0reMuOkTE+hk/VaynbebAAAoJUPwhX0gDQMsah0qOTld6cSAu74RhuVjtTEMFYrMDnHB
rQR+cgvDJ5yxcZFugRnE23LOpi7W0Vd/DgoVNKT0QheckrW5KZMXTWEtSDlerUuZvCinJ0sbXMfe
GK5TzdZ44j8ZbUOiW6CI0DT6PBUwdXkKjP52pxifvVb95sG69CCMbaOuIMlTX8q0cp5GNdiJ7iBF
iE/rweEOamh+HnK5PmRyEa+F1fBraeM7EXm0eQEP7ePrAtcpB+tmAZKJHxYI7dreQmVK1Sswl+bO
CGKXJmEX0UwNCvpGRXWTuDtC4Gnftd4YrmsjDH+UADkmFf5ThOD0ba/mJqQWefxpkKqLcKCA0oLs
wtcelpHIAwY/SoVDsOPpX5IpNf6HtS9rjhtXmv1FjCDB/bX3XUtrsfXCsGc8BPcFJEHw199EUVbL
Hp9z4kZ8LwyiqoCW5RYJVGVlbiDugq+VC9b6fCzAD6MxK4MGu9wuZCuhuQJ623J7s4dJKzcNgJLI
c0Ec7LepNDQITKnnok8XelEfC6vHNMGXye3jtl70Wp+CLl7VI1FFt20KCFanLzc32dQU89UkkQgi
x+9LzOvULQrFyEKvbNZ6p9tF9oM4DDWgSx/2GGikkz2CaG/18xYth8MkPsVUXTJusy78PsRjdQFX
Mju3xoYGoIaGzLOH7fhsb4ot2clCd52eIzPBztjb3MwxBCXBaYci6y+LflrvZv9l0RiCWEMpksBf
MnRO6TMFHUDcKPC245i9kel2+e38gUbhLxD9Ap5WzwS+jG2SdES2WA9vsb5ereHJ23wCIu98nhka
uQKgKTimdtEgpVO2V5Gjgc80JjSjFI0PHuHGf1IeOtNBWPMPJOyCZwvPT+TwrOg0pW17ZDaAkNAv
sq/4ncsFNzrzb6O7I50vPcdt2PucyDKik4gTSHNnlVpbUi1VUeFUjIz2W4fn82IAictdKwbQeZgx
Tl+8mN6ED+4H8EWqZS7A5ehLVa1QUUnvAD0e916gjC3zRfUQWGGDkw/6sOwQdMuaPEwl8n4cBPvy
2ySraw2wrTrVQ9eC9yBQzN87MlQFVCewgUR/UOtvMre0X7J2vOQqyP/K7AydlNi9PYJfs0WPKSK4
YdovrRwulD/7U8THGv8xAk1swbJEF/Aq6LNn8FIU9wR06NcmqlsvrhItGsD4EwEqKm56hxEcWzPM
oahtQD2hhrGxR7BX9eDb3dZ2OSyryoHatkZCpGUyL0rzuxUtqoCWpEUJQ4HGTn9etLdUv04hWgJo
MbYppi/vY7MpT9A2wAkE4mTzkETqiTfWggm5EzCs6O0O2bWpTc3yREt8rEMmCHou/dSw8GsGfb8H
0CMar0DyEZ8mj2V3Qgvp9ZyXf/UciKkuDN/UZEarHAetOcLtzGHBAdIJgbTbeCJFA9VHPhV0AOKu
qnMLDsjIKcqf3owueLAhc2ng6EKzUbRpFgycD/qFHHurapyQXlNFcVfU4BIlXfO+SUcAqv7taD0D
ZwntiJFRm2dkQ4hvsXbEae2cmA0e4vOIVFVRCVNc3/M70vaLzYgCNendraJBmd+67BVKocVfyPSZ
yyRU08UCvumEBnZQhL0HlEOybnMDeD4jDbaq6zeu2flHT0Wuv0K6JNuUIFIEygga8+RODOYfE/x7
QD8EvcocrXf7nKGJnf5lgFmvbaD/X/sRTB83O7hx1k6e8dc/xHvazpKwArJRgIusAr1HnrX4K9U5
SRqbQdwuUDZ2IWiH3EVYW+PC8YoOkrGN/SpQeWk7JCGRHLjwtq8XxLIJnhVQWhngO6Sh4zn/fVJj
OQDnleqMJFUF+lt9McBTCXgh9DO66adNO1LIlEERRgL2ZHprBXbj2gqaUyqUeuD6Uo7uWtQV2N31
iC4A/DuJwKZTW8KiN+961IppBEpH8HEA2QdJ5Ph4M6VjWxzlYH4lE128Pqz2gcm6eaZIWr4vW/cH
JHr6I7g/IWPUj9kAcdCqX4II3UWNSdbIt2sjeSiS7uZwGjtx8aPMTRN4mWw84chkrZtpkAvCWloS
3TfYl8NDY4qhO7qAJQ28BdnpZgZ9LwCcdd+/T2gFJLabybzLmA8pI6MLfTyTDYbfXN9Ga9XEwSrN
bPUkBo48qhs+MBNYLj7WYA/1LONIzkmaJhoqIbRO3gD0TzuIVkdL8gZ41Zw95X9DZ7F6csEFfYUc
QNW2bb+sWuOukeAWo8jKRXd2o0pzT+uwFn86wpVqTV4menmw0O8KNkz8RMBxpPcpqw+0LEUACQnC
PqN5pFFSgogSR87mRKshZ9WDxL5RoNHyoDfqQA/PtQYcwybOniM0s6LgkYAmCkqkO4kv8t4Gje4Z
Xdl4NLdx/dSAHGNhSiizVfilRUj4xJALEiszTsddH5cAXOicKo7T1jJJeANWPAwLVnF7ATRDdsZL
CXwttYNmG8PxV2mXWss8Kn4J5D5EAKKm2JhlAxVgXYIzdAku0qW5HDmgcBi7C5nI6QkQ2JihIzcU
QQ6vB5ETzSfbbRHL7YHRLfoL2U1hSEjSQDML/frWqe2bclfz6CGaDAfUX0RpFRcMRFYWOFKnKP2r
wLsc5Craw0WIW2jBZBsP2sELMoK7GeF0O4eCurJc9z3KUpCnXoXhK686dXdLASjDQVtAlBg7ShyQ
IxHOCCFs0a7wgLXvyZEzgZp3Zb2CICM/+FVV4sEXsq1T9OGl7qBrULgJBBWiaVqarZ++djKoFv5U
RN+aoLlIiYT8Ypzeahz48FutOnSQDM2PzCleXJmVb72B/1r0L6tnnAeKFS9z8dAPFRICjmudAz5O
OxX7/aExQwlVXvavT65G5/Mnu/qTDV5falUhz1Llbyjaf/7koc9e0rowl2npDHdTUm5AYgY27skx
tk6ljG+2xPc87DMGMuw2WIPiPzyh5384oI5ubW2ZmvcZCM2WvmjqL67oXzVoG/P/AbURKp1T9s2w
DPM1HvxsxfBHfx/nkbFF/3Z6SLJUnMcundZuOFVPPo9AGM0d6zuENN5/DAs/hhHF8ffeRhLwtx9D
TeG/fozECapffowWG5uzjX3ysh/x99xIyFegCFE8gQq2erA7PFb0yAlNXIDlK31VXsiE3ZZYhcLu
tzSk6XwCVomGnT3O09HX7YulnorGAPSYgxTZn5xkNdjcvUaVVTzgqAVgQudeoSfgXodYJ2EggnQk
WxvHGvWrua5AcnwFwqh48KL36ZAEQz0xcZFNcHrz1HfO+0Xouwzwd88YgC7VIy8ZJuRWchuJU+0B
OQ9Ueyxzb4KlckW6Do6F7AJKINMJbLDQ1DP/IjPURSEVo6NIp4aiykmpU92YD9i3RMukrsGHqaTT
ngbNskIX1g0D9scgg05A/7i/OSCNgGjzI1qN7brqoh3kOvuljfzZnop3eQbuKzBMBCBDBc6avOC8
DvdU+CvYBDneoFygRz5az8CBSXK+iCIZbKvEau0V6b1b2ghNhWBLwu4kFk935GVgcVt02tt0wM70
soPqOkjC7iZuP7HBY880Up75RBS2H6ObT0eaH5G/zoPA8LxKbbc2GskAC4ukq9ZZBw4l2gLOu0Ey
jkkNnRC9WaRSOV3maKez0eWL0vztEipDrVWN3a/k3i51DBsghUS9Adi1qvMwe1VJW6PVD3bips2S
EEwWTT7bA6UZxoJIvWn7Ld5izg9s3ySeYci9jJqxnS5dxtAtIvsE6TbYbt5YxxV+NwHsQKfFMi/4
Jbbw4uo6iU4L5Y9fwjCKV6NdsANVd/zqfpqUeP0tSvqpri0ecpzgHwz8p/W2h8JFkPjOKig5Cpxa
k1XaYnxoFP5LqawxMJzZqLw22ob/kDumfQXLztrA+waaKW5/MnKc10iphuUWtnOMo4lI69hA9qUE
NJ2LI3m73D0o0FY8xjF3aA0yD5AWPfECa9CSNvJgwCNlxaLgVQYFq55fa9U0oN8BUKmxE36tQNwP
spZgOY1gn1029gBNwyjyN43jvXszHKtpKpn+NF9HkNNHg93ahSYNegdav6v1P0XMBOZ+5TQn/FPE
zFluurw9kXfSlXHyojqOYA5+85uX/ppoyH32ee6fgulvDU+17CSPZeKPy9ILjScjVv+6UyN7t8mP
u9/ijBRa7qNox60oM/vIxwCkO/pLCxzEo6pHdXWHzj7WvcqhaogvZwu6bxunl092+jJHP+NlCi7Q
aaikZ65rz0eCCCQmx0lwdlSs81aQhLcXZLs5/jRELoE1C5p3c9vl5K06DoXs3xyWXj/HG3fVBTYk
vgyL39GlqPIn9K/6QDz+NNEdeN3CJTjl83VFeplkrFMB2hQvAAXar9EJB9g9977fzLaKk9snFH71
/gm+C+yWZo0Llyzm+Zpm3II9o7jGstgbBlg20b2ULppiTDcdVD6hJRewfTeZzcXUlV6DF+HR7AEx
0JVevGnFo0DOCTILDXRbdQQ5CuHsLfSQzZPQXtyvBMTNlDVFF8iRdgsjD+uvXY1ypMsKfiyioX6F
HtlsbxVUiiBI5KybrG2+1tirWlZVPdplBLaiQgFprO2Dno4OqPg2vYHk6jX2+heIXFQraO9lV2ki
3UJ3ZJPaprSN7v5v4owK6YXSBNf0OHJrGdoT6Pb1E83dToPqvjiMq6MygVkma5YX1nKUeKLU3IZ+
xbqfQIIdQoTHAEHephWptSWhi8m3L65VmY9ZMWb3iWB/k5migiQwt6XjqC86ygz9rV0AD1MZzhV7
zfJouXgIoB7vXslWcb4a0eT4YLu2e00h1LzygbreUgRNcBTSnVoA9ko2PWHwwN465wECFicA8WVr
sHbzV8Cl2300tGzNderLh93t3M/2CseiNx3/J7uccqjPNtGCj7y/ZKUMNhkbqnVV8uIZNIb2DrqU
4ZJHXfEseYumZT/2F0aIYTpFSErUoMekYMsGn89QyAs5szqdHjOQkMXYOknobK2KuGJPrJfJg/Q7
uRsyLzCRhvO6Q42XZb6QVhztHXtruUIMf5PDqEB3dSzY2B3mcMj2QW8GIlRATzVgYZnq8eIkVf/a
rbzRka+mIToITo35goZx3WuGSQMysNoLVdIa4gpoZaFhMULBLHblFZXp8CHovTOZ8dsFQ1EMkHud
tVgygApaASGYHXl9S71Fjuo2WY7z3e11i+xIrhYJMiTQAvj0Gqa37e3lG43rBE29nwLIx0mBBc4J
Mi/zu5omMuSgE5AhnRywu+MMacnNoKtsRT92j8kUbbqex3dk6s0Aese8/Zt8ZLpNutl+ndSNU3O0
evk3xf//Tkp6oMXA9oAfrRcB8qT+eBemMaAetZB281218dFIsdu8llFXPZVZ9I+ld12N3yaLAJvJ
M+gE7Xno/Tok7y0YGStxvg1lho4zK4+bVWjsI0d3Fo92MN1jFFOf8fDHke2X5ULmXvMISAhbugVn
DwGz1Aay0u0JRHDDQQqI5YR+IO6QX7ZXBgATz1MDIQ1VNe33oOF7YQFvu6gA5wY/AYRCC/s7lHf4
F4/5bJmh3DYvORia9tEv35eUEwBLvXTfl0RL+SnGdzfphPxiVGwANSPuFHrwFtA5kF9Kgc+kO6lt
f4yr7Ak0sSEIS5djV/ANaYNFSKucPR8UFw2Ik9c0bPsWQuFQ5CSlMNIMqwvmnz/sJC3mIYGBl3GW
Yi94DkrIBi9w40R4/ywg1THffHb9lxgTgJ/DMCX2Ju7tfsUnP9onYai++JCz7mVVvwirSs85GKIX
I3Q9vlBYkmTGHhzB6gsEbxY1G8JdmrFoy9GsuEJjsrNOZI3/6zqf+pVd5dD9oLHqnB60Io6zHiEq
BF1Qb1rbpr8FlunvyFXxnnjrAbrq7ujuw34zkX1yrTmeKO7J5GrAyAg73qrxnuxkIuf/tP+2Pr7j
n36eX9ennzMkRMfH2pK5mxBdbRvL8Bx8IX9eBhDZKtbf9WUG3vdGBihdlOn31vajbA1sO/I/bQ+S
ET1hjrGnFEIvqQ9VmBRP6X8vdbN8LDdPT0Hp640FFMI9NKI4lau/RaJehlaQb8hG2gk9mE8vMjcX
9sDAi41Xqe3E1h6lUXPGjckgdxauCPqzD5b556Sx31/Aaf0eNsPIdFjYVf0ZrCHec/YzbOrGf632
axhNr6IY/8Uevv32hIMxFJjuutqFJr3d+A+JSJwHoD0l+ofxRa/MU96B2YIihWN3O8+zA3AlMhxK
dHw7JaA65C24bilGGa63aAXQdAw1ljlGfwLYl91Pn2Cu5vBcRtMJtBH3FE3LjiGeW/ZcHDLFeBh9
oFacyCh2OXQwX8waJYnIj+IzDUH1t22LLrkaUKS7FspeKd3jmuU2Q9eTqBY0nCbL3oGM2Zy9+cgB
hBnLckdeWpJDcONMQ72kysHJR0uWoNfJ+7g7u3EEWhQjRLKCLxnlTfRFtAVg4pCDO1EupY/rCZp4
SbyhoZVxeWQmNIuGhpdPMepGVyefUykU0DagfL5NF6Ixl6Hfr63OhkphnIYPY4NWNabVQms5gHbC
7wA07gewP/w7QgbdsR3xqv8tAsgppMV1yeMPa/g4v6/GxIY+PPYsBVsDiYOUimc7uE6adn9IjQ0R
6c+22Q9SfZDsNy1YYN3SsLZu46AqwcBqijpYc/JpiJLJPCSEDWFquHRn0w1T8zGJ0DoU9WGiEYV+
TGRoRzjxGK3UKavu+jw7Qn7QvwIa7F99xl7QxtWeQRLrQ7K8CdbIb49rcna+EZ4VUladdpKpLPNL
5ecMrLSYnSVuukZLfbuh6YEpLJxE2+/zbD0JUhpbwPuTezKZwYBNFYift/QTjEPQHzn0gBfkpTUY
anClyYYHMsnaQAeR9LMd/QhQ124OLvNMAEB+/kQg/YHql/FIls4soPo0fY/SZNhTAk6AIHc7NX09
J/BkYncXvGgfyElfMlRjIfqe8gf6gvGsQ9vHr9NFUdcr7jHQN5dZsE/wHgB2N9h3YVM8uSwtnwrs
k+wxG+/ixsZ33GXO0mVc7MgJhPS0s0GUsKQJH9PxvCpA4qr8deBV6cW2rwSaYHgJrQDpncC+A777
rEFRuZVj8h00uN+8Hvo+IBoJ9wWHGqOf59YbJpKfJqraCFZuCtBMuTLMlO1dDcG3jEbtUBa3NPRC
PKAu7C6ius03AVgLJGSQvvRZYoPtNEcFI9dKUlrKRduBrGWf7L/Go2Z4ZmHL+z1al0dAWDMgFXTm
77ccYO0n9dJOUNC4OT4lC1vKBPoSrJplgmf4MFTg0pDRA1S8ogfPQpUF2+NwO0DG9gEcAcj5e2j9
kkF4oggWpdb92H+blOumyzzknqYP/xH50kuXrmYHbvWSFEtr0JJu00KzT39CMzAkb3uod0cDmt70
yQ7PJQ8yfnG3p2HLzBUHK+xzgpMHti3/DqNXxeBCQTssuj+GNXo1AjJ/hOlzzLwa2elDjd4Rtw+l
1foBjMpDJgGcgDDZtpuy7AhdsPxYWIazVUAh3HFZAcZeWcG1j5C6bphbfWUJ/5pwWf9oUujdZf7I
F/YICHTLqx992HxVBi+/Fk2ZQhon86+K4Y+5Nnh+B4GK909prPHzp3hOkq5RB2tBf/zW2OY7awyU
puURmC3iiPlkhjbkTCvzJxtN0hQcQWxBYiMM1jlyb1eIxFQHFyUbCPO4zpVssfjSSWd4lBZeB6EL
2eF2AhfWLR7SV4A0ChO71NZqH+bL69BNEC2tnHtXjd7B1ptVD9iNjZWpFGXsSdyh2D4C7fqrcRaP
J6OtI9O1cxhFEPxdZebJBMvJ7cb3rNkS/rz5JaZKQ/WSdM0b7ZFpt0wbZTVAbF5E5p7sMgzuuB0A
+5BPX/sYsgO39C6lgbXdYRA7d7x4Q50HSr7UMZQqIBVhrRLUGSE5l04XOxLmkgLc8CXrGmfJSzSr
tyLOl2Iy482UuM7FAOJ2vlgh46dQOOuhiJDeIgeFSMgtLUv8kW3INqD/b2W6SQxhul7cDRJ0IZ2b
jZuqFPj9NZWBBKRQB2wa1Rew5/qQqHSNQ6+HjG2acPRfa5DXHN0A6n1ca0dbxeQvewEK/8k3SjBh
1T9qZRtv+ibI6vcbC/y4mYAgiGuhulhaufXSBF234r1w7qQFbYGsTYoDCgZgdIimcF0zqCKkVlQu
8xrkO7GWpyv1XR8A7Q0gD8amhaJfOprW+j/HUCBd0hRsJ1xH3xajO158K8suxHHLPtGRc6j4dM+M
6UQyZFnK1L320QmTfC3Dt0UfTj98/20e+FDAcj86by1kGRYgPuJXbkfBRgXA2EjQGJ5ZGibrvhHW
S2X034pqhJp5Ah487Or+At2zvRj1JIP9nATw7XhGQ08KZk3DfJnGcZ4EWdV5UlshoQW4iREN2TFp
XGOZTzJdIueUHeNoBEk7ebooVe+35JoyEwkUt5gO9ogCWqnbKisDjeCJBeF1aIElpzACg4ZRiPbR
cNJ6WdWCv6lC3vkuer0Wg/w2iKD7gZapf3jgBi9+boOHORidu8w3M+g+CX7Ab7Y+Z8pma+EE/pWl
4jWJ4u2k60d0kZUKga3h6BuncW6jXJy548GiCtSnmA83D7g60KgzoTjfqXDaEiSoGqFTPrTI6M0I
IQ0fAiXLn23CAwMFiVJTMMWNH3MJdUTrUdx/XM9tsUcPsu4E/g20p5i+sbplWAbHfAJLOjA3OklT
OgAFVq4HqjKNjtYXmhRB22l9s01peLGMtwbH7kMShDVOyaYx4ncYr+bhKAvvTskiReduEiJdAOKk
RF/IASa7aGG7Jd9+isZuedWqfDjfgl1fE3tn9fVTGITck/XoFi24wF9BEBOeRVW79qJDPmAf2tFr
zVh0UQLnlhXg9xvPBgPZHIKeq2mRJpGBp4sqVsATQdTg9nwaWV6DzHpND6aO7I7qnUuZd8VK6mDy
RDkqcAtTACCYijn4t4cfrV4w2wLZItrSNduhp+kRY1aiL5NuTSI+vLnIKK3UAaoP2Aw9hTTwPsXx
war4igLdxEJ7kF379p45crbNK9iq3rWQaXP4oqgLyE1YlnOfZFOzc5Mu35e2q+4mCEFCIy5tvo6Q
e/SN2PgRyGbnVcx/6/xiXNKkwkubncwtMI+EvbqzseQ8qTC9Mz0RnLLbIUfkzZMi4Nruw1StGRT6
FoXuVPB0pwJd6rFZImkVnm1HWsDV6KM9uDY46K/QegBCxvc4nJrAXCLqBnhzpHwWH5PNKpFb6KNB
3hjlnDtghse7IpPNmXlQqBes8CC+AwoUM2nVoQrNBxp52kR34C3Jd72n2xP0VFqEHKURZxuzBvzO
j9ryfZUwz7sV65FJTawgStalg4PmmDEQEt4+CrUl/DRA0OxotVGluyhNxUWAVGEdBDJZ019Upf+s
zKS8QsmNnWjURmF3LpsevH/w0SVsTLn2gLhYp1X4bkPn6kNUGcH8t4iu2vJcT/YdxdOfIsjjxTrm
slnfFpKRuLchW3ymdZAcBv2G8lMkmUCpUmv+KytL/hEy9e/dAeLdIgJrPdmF5/pLq7XYsY3L8Zml
fNupwPqaSwtK1mWrthSWoYSeWzjYt9PADv9p2YkZ9cKToOGiZYtIlgebYIGt0ds7dA1G68Kdug2x
kNEwRW7905DrIVGWmW0TrW/eSCIpYZb/xHgtPA/QFDqIDP9KGjoc2fLKC9CIoL2pqzkieQ1coh6a
KbCHQtP00xAlg+Sc1V02D2MlzXNcGz/mlVDxuKRx+Y1GsXDdy9CZL/40Tc9dKbo7Azpi5OOWze/b
PLyQbwRy8b5VNjgD8Ilg1GgesMHaRSBYeU6MyQCmSG3IVwzMevRAGEjzerdvr6pLluSrpzh58op/
anzztjIF1r2PyuEqizIDLVc+HD1N7gTYsL1LmVNDSwd8UXMIumka23UfaJSWOQMGMLE2NBwsYLjL
LLzQiCaV2KAvkCAYjjSkJf2gf/Cz9Elp2pN8aLNHQ2dty5o7W2wwBsjd8Ho/onf/QiEoyvALNCj2
twldIcwtGgGAoNCL0KUvEjEvEhfNsLcBXV6AYSJEKbv2FmkTAs1cO46xYIbLIbIlwpXTT9F9nVfR
Pbol810CeaOFSTENQ5tdWfcX8tKFgtWhDGPvfg7KWjxcWnwH5nWzEExJppvFu9uk22eV+mOsFBS2
YVa6KzRcAUMSxiY7uvjlfOwFCpkArU3jT2//MVH5uveRBK87c5v2+bDz0C10jbn7N0+n4q/SDFE5
8KvnAnRpfwrIWv85VFU9B+DFO+xqhUOXXiHHYenRB4/MIvGgaV9acX32c8N+ZWIzRUXyWjdjcxmT
GDhtbe5LybcZgOMbFKPs19uk9yF26ykyWdNUHec348hC/I0kvEJ7H+SRPl36CIA3Piio/MLR6ncr
3UHm3b/gwJPYY7giS8gY9jlZVW2jvIQanuuEkHXNxdoVLH0WBbaCSRd3f1fIVRnMcf4RKGPVvkq/
uh2SGjnw2Thp9zgeYvt9sOoWzXZ6egSxm3n6FJjtM0oewzrNsdtvNRbC0/gI0Tp4Xfr9hUa+CTaF
qcvE0lIW8B3a2wfy3RvHaJdv3AqIKT31Y34YjOXGDMFgmoDCGrkANMIPukclt0Grgj+QK+r2Abii
cBYYfGa+9fKJ/BG43VbMDqcjTcz1xI6aW6bxqckTdfB1W0XTBeXF1Xc0jL0If6fRcLImaG2DhQP8
jE0lTxRGEZMRV9uuB1nsHuCjfhm4RYOKpzLm3oAoT6tFYpny3hqC+gLsiwE0K0qnnqwrfD9rLU76
c4YdZ+EDCAHBYZ47f/kiEEd6OfVtEl4gg7btON70y5bFwwZMeu3qttXTEzyZd0cySdD0bczABkga
6VGReuNblNd7EO8YPyzXOkG4dPoqwCyw9NHvfwfeLGPn9uawQ3spUJt6ku+ibzE1m/008upuipxy
kamSn3PdlZolgEdLSALNow+7K9xSrApZHEobXIo3khnAQqHrY/Q+2FXN8kCOHF+vdZU7qPGzCEqu
vanODRjSXvt/amn1rzEbY3DkghUtbEL7VYD/a5NactxQEFhb3+cwr3Ferb+cON/Jpkwe+sbmV1bY
AMbnJuir2jS55qJqT3jifCXnxHl9BkX1uRy9/GSrLF9BGRcCi3oY9ngDLuiWLpGR4hGmPWrM4PEh
3KmFerw1GQf3OyBx+YOj/OaSAz+66IbQ/MLb0VhVDSv3NMxQsYA6pnzOLH0EA852wcEM8yVKmxHY
CjPY+zxIj+g69ZbYDi36TIiXqYj52TRUCAJdwAAgJNutjCqID5Ue6jChw8y44WfkK6GJFrcohgGF
tQKVDT/Q8CPM0qsBLAZuNAIVTO13dHaAYauuvoUecuo6Y56arQTSqg8uY1hWJ3TEeauPCJQk0AKQ
Srn0dETUgVKeIqBJVH2Lm/c1KMKA4hy4iMCRjAeS+dihmLaeGvSAjFVjPaKV3nrMRbhpkaW8o4gi
SW0gDsJxgewUeHb91JsWeNqoPQU7NnqyhWqBucJUmtHqNZGObNdOJadiWXvGZhzcrwyaWvsMdEyL
TjPDuFNUH2kIkRr72e3F+zAeVbJJ0Kq8Ghvh7eoSgmF0Vvfwr96JSiYrOsiTl4Z0Wr8FO52Mjkjq
pAuqanVOB6rgtBw2SRsYACkX/UE4dnA0gdqaq2NZBEquERVWmkB2Kp21aky2ChigeaXbhN/XRKYI
qoSrjGPbw3IA3XgxZPdhhjfaOPkPTVTCBAzBcWTB2800pB4kEZxCLuMu79OlzwuxSo0u28zjOp40
Z3li7+exFeHl21TlhZaoCi+7V2OP86GeDLzdvH6OFluQ1I2HPDkWscxO2O28X6YgBdjn9zGv6uFY
tEey04wuCm3QqJpENWNffA02n4YIgsE+eintyGALsrnagf/+alkCFLW+0YDQHdLoKKMCaceT4jq5
yn0aBWAyKrnrheE+kcU2pj3oI/p7oU2DbTaLtO79I0WUqEisWgEltNZoPeyo0CopGnBI0VQOKdkD
mrHCBQ3REmtd/scn+XbT3yeAuLSowod97qJTemqKY6cvyWhj3CteADM0FUe6I3fl9CPIie0RvI0f
c2IKJz9F1lMNPp/fb8lvtEOzhpRWsnXyOFuRbvi+0N1hNb4nK9aa8twDgH928zxb5Sazj6NX/RBR
1p8s2b9f4tTpT2TzAvDruU5+JOekI3qwNSCP9hFCnhEddKB0Bq9aYTzcylTT4POjqZqv4qOz3EGZ
gUxUpqKL0YGiUkfRiEJp4sS7eeJc0fq51m35X9ci+8cn3tZiPz+RVmZlaR/Ri43HJx5GTYbOW0Lw
Bh9DHHfYc9rhsXLzYjvxeUheFMR5ztqz4xryPDIR7fFqO3QsBWKHbPNtAIDKPrWsA9noUno1+pn1
BW0GICl95R1OEODtEr56NgC/D1Ljte6a6ntpB68BvgjfQQU93wBPOt/84jKj0X+BVMZBu0s9838s
8X8eAwkwdHmBv3vt9q57akbPWRDRQ8FzvmmhUzuzQ9g+lF3q2nQvHf7JLyx4SiZmv/5pUhSwdmaH
+PekMa3t19h2kpMs0XzZF8Z4T5cu8XNoZS5vlgmJuHsv0RvyjGvRV1OzWZa1tbUSnFE9aalPU/N+
aURNFc1LDha4OsxRJyX0J+ic3n0TcWubRSCCJZuDCuWi7fwS1KBlvR7QU7+PfJG/KGPalg0DqFXb
TTsLb3YZV+92H4xt+wb4uhe3whnyw36L/9VeNehfo+rVXPjS1StQXkKTWc3Fsga0tac+bJ9u9bN8
YM12cINxeaufSZQwkYVNgs2tKNY78dc8dsYjmWY7X1YROsqo5jYZUXbidv10++geD5xt03C1vC3T
RsPnpcmhrHxemhYyQeV833tsOVnoEBTehMRgDkjKJa89b2m0okAfwBhdZg+eUGqPvpbnQtsormUR
FBSBINnSCvNcWuBjFQl2HzQ06UU/LtiezivdTLc1myTb4n3jH8kJHNhj6ub9aUAb/2osfOy49UZm
3nngxVcrB6VZbQrAM72rcgWqLj2k7Ypbxqi1ySg7ks0LQHAAUPgdOecwva6HUvjmZivZP7dlDRV8
XpYmhQaSWakUGc5R2AbRsgMYrclJl+5j2UjgqKBq7KrGznD3dYedHe1nghg4CBrSfoaGXjBINCKh
NHEbkhe9bPh7yU5BjFPPgA7ibTRO38IOR6LYN4cTCMWxx6Oxr410R5ckKv8fZd+1JDeubPsrO/bz
ZVzQACBP3HMeyvvuaqM2Lwy1WqIHLei+/i5m9Uy1NNozcRQKBpFIoEwXSSAz11qQiE2qNQ31wbKO
x8Y0hNrXGfwcBP92W939Yr/M/OlFhtSLZtJV3Qohjnbby+Declr2KiHE6vk8+pbpuJ1XfeyeIPjb
HEDjATjhkHtfzfJIDhyqxPNcglO+7IviqKAjsqAOsbahMfUGZedyIcouOnphkJ3CEbUHSG1F34T1
0Bbm+NUGKH0BHVs1LZv9NVLEiD3UEO7EM3d4zZhTz6LEDm6VEs6JOrAFALZi6jAAsbt0FAb4l30L
OIq+3EkzBLUin0qg+rq7I1vXcFTZDe1wVyIyuLIDo7vx09C6MSt2rqdFbYxUErW6xghXBhjzoQgM
kcdASmuHqMqWQC1XoAs1oe7MdyA/v3SSP9npMCC1tOOR2Pxqn6YFO7Sxy81m88l/stMLJKMR7gHI
uXT+MhzoXeSPWXd5e1e8DbmhJFLtxyJdX6e1UFN/jN1uXhp1fxQCCZ0eNfk3rY/HNYBm0V2deCj7
zaHY0FeempuOWTzJugKMr6vSV9dFFUDXqW9eAvIkJfQP7ahFkmQS+qF3SAbF2KWk9bzwbP8HUmco
406Ttz56B0avfHS0HpYhbo2Hkql8byK7uhpdB4tKkA/MgsxtvtlWMDfGNPsBDu4vmg/Ok2f0CO4j
8n4SBmPb3AF0X2JPdo6V2867hpmvg9NuO2GmP5gcd3rwylcUbUKgC+yHUtezsGvHe2apeO07ZbIr
ZZ3cOG4YLEyv7V5RSb8eiiT9zobwWafx8KXt+gG7T1MdPFM7B1zZ+VK2Mn+SGuHAydVuxm0k3XBf
VhGfF0GsQYHN633kmuN9U5v34Ongr9BohpqT7zQH6IcVd6BpeyM7PgyiMm3ZHRVo685VHaKQOnIX
hgdwHQgwg5ORqehYmiE2+7bdvlV8KeJIfUNxDWSyJgerFsMaGMpwGVuJugX4Rd3mPgBeCDgUiNfz
7NaE9po7KzK84zG9IRMwXAYy051nh7PeyDeB0cSrbir6wJ/aOFtuGs0QNu529vTcu3T4QAuMfn5L
rVD4+TGzwuN1UJrjqT+EEUg8/5xIIWG8wMUUrwwqEcGC+mNi8pGhWc8yt/pGZG/jxMdZJHrYN9lM
8Yny7UL8djmSDx0+tYs+GPc1al216e4gYTPjAiweeWqfLjULI6QxEByIV1TjECirPgKg8YU6ySRC
82jZ7Yd/jQp3pMkCvjcql8+JjsLJq+c8csw7C0Gzw2/sbak+22OreeZp/eFfogBoTuwV+N08e35s
3fUB0FSXSJby2/qD3xVJkIMU4AalmgSCqmXgX2iqBtwTvnOLLyZ/bCHJtGkA4V41g20+j7jxBlqG
b3iEgT6lTozDoPl4A5VqF0QZACRPI5HTzR/7aWSdIzAUiOIykhy4DxAYjbRRUXGjY4iOyz9G0msy
iRJFGslDlz3XKD4iB6z0gL0IlllQOXeoEI9X+GN4hy6JwDcM8eqNXdsF8gKhDbVwzaBHbYNe1baS
b5AuWg2FHANgEsMlOLrMb7EDZCEqZuMvfGTdwrM66ybvAmPdjm2zE2UzHJBnh/i4zMu7Erd5wPNa
9YJlxIOfoLh3Ft6NugJjWCGLSVXEeakNpua/e2+jtv/y3oKCfXpvkWFAZHfCfhF0K+zrbF7bYbO7
gLOmJqrmmx3BvmrLuAOOpN4WXZJ0M0RWQSFH4Tq3kuXSjsAYcDEKpG2Xbh8aM6SxFXatjVz1EDOb
h72Pb52MdR7hGR3wwzipePXTQWkmV3UAsXNZ9Gu7l2pnoCTk2AndH+mMDjrOwVDmC7G4dpSl/xbV
zJ9llexXdhzYW1cW4Z07TJC2AVS/qDw5AOJZPJHH4NgW8pv2I9A/3Rx67MGux63Evqb1P8X4L6fk
NMKJUgAyjviq60Ns+8FGNyC4y6ULDIqfLsuprLi262ZmNqgMbFEW9CA4SqSdZHwmN5+B5pQXBSJw
LfYaUdQ0p2ZyawNg+abhv3PrceWvFUoRIWMl9WOVZWtAuZHXw5W3sng4rrOp2aXFPIZuyFOiSrZL
LAHZcWNkL4z334fYc2+RaO5vwKYNxPrkb5uemNdaInM1TZtptSb/IZYf0+aIG2/GDMh2UGuDYXfl
omZsjuxitKWtLTULFsfby8Z36gViI/rURCwz2sYlQya6BLrUpcLVIOLtzDRbvvSUxw6cql3xkGjF
CvCM249XhDrNPmgQp0lHqzkAZAJ6iQxE1QcIdPrWKigAKs9l362onw6GjL7GorDWvbI0MCw4RCpo
j3ld5oDypxwMMq7oZ2SM8vrDxxZaz4u6RvZ38qYOLYMe/JdQWkgKJG+hta6PuvNRTAh9qXmTQ6Kx
S1DNj9Q9TrHyalZgfGtmLkKT/YyM1dRDZy4qZbZ5KW+u9sK0QP1x6dX2wixQaNhjZcDxGN/XdKHh
EgqPTeLgmqPT0L0v7DSGwhni5nRAjirtENL9o92AX0iB158sn0ZSe0wiE5rlc5rrOgZCQgjFTwcr
k/bS6VORnkAP1qwYuMBPhenbR6Yfzanciw5kprMx7Oy5iAe1jLBSkdiD+O5hDLI5uSRkGzxVQb8n
dJbXGaqIPWJ3EoKmz9VqZkCVbOdNBzoLEt4oMCkIGLGf85ZkbcbKQfnu5MWlA6XzetiQD5kcnv8x
mqa8tsmHmnmecWd+7RGmzBemgKBk1SFh1Kno4xAjGlkBL4922rslCIeC7xdbSj3kziuZr9rM+EER
yE9ByiSKoPITgjy9QTX7AXvHz9HMX4KbNNjlwaMRGV9QBW0fLQP8gJ0dDlCKH+JjOaQK3EvaOAOE
Zs3LJrQQ40mDGRgj1XsfJEsUKSrUfkQQruF++F3H5VseiOa5GpC3N0TI7rDgccE9WTP8HfNki4dW
CxacCmh+mSwFHq64HrjCdxF3w+Fyatja2JkV1lQqKYEkmnroIDpUZg2gxeuxG2wiC6A90GG8oPDy
DLHO6t4dC+8AsGA1J7uhQb6YV2F5k/j2eOvxHuuXaUAIrgBkjHK+d4AvfnBzyOl2TD0G+VjNejDy
HegwdEZ2YNPhaqOm7nQ956m1ykcUhHeqPtYiyB89VMHe1a4/Z1YVoq5lUQmVPvK+yR8ReUV5Y6Hv
yDHI0xOqpNwbalVx9d6rcrhMAr060KqmIa7Dac582tDiRtRtqZmOfFygFshZU7NxC6QHEeBeUXOI
/Bq7scpd2NOLgis02iK7Yc+pF5l4Y1fmoLegXle00bFpsEKlXtZb1Q1CBmfqxNI1mhV8YJvMMOwR
bMtJBUBGtWuwOEAoKUv8I35b/pHOjK54Bl92t7HMnI8zq/RbBOAHMMGbGTaGGZSZpzM6BFAF2PkR
Dtfm7/yuw2gEudCwa/N/P9X1JX+Z6pd3cH2NX/yoQ9ad3rbmvR9CZNmASkg+o9PrAcQffJHbRT+D
UEK6v3bICJT0ZZ79MYTa1253mvHapLNfXyBtkJE0JVgO/36asPzzjdGr0Du5GK+vSkZRlU4+E455
HnWEvdv0Jq5DqHlxoVMaUhTxE5Q3y61hR/ltA2lIjlTQQU2MnXQoBo4qEMMv5oNlf9g6OouTlQFR
o+MwXQGojdb1qtIJsBJ/jqUReYxquV5ax6t9ZMBujynuRPSq144B9Dqd6JKTckOszHXYimVSRN78
8op/TowoFYDb4PDu6LVTrbBLLs14cZmKBof6JZVdeHOZKtVmsQwjo7y4eIZ3skFCtAbDhN4JzfTu
cibT9uPsNzZy6V1HpriwMY4O6s+zq01M01xnpY6rrQRL6Dx2cMWD3s27K1oJbqoQTOrU9Hni3WkL
EtpdYt2Ek0cJebVN2PB2Tp2l43p3OeItWdmx42VQp6EUCBAPIl8oEVW6VjeubZ9Ak1K+FyM/GYIV
746Wp1DiRMHi+nF9kFEKbiaP+VtZ9Y9UkE5l6MFUi45IwMV+NZEH2bNyvAHKfMYGbAhSHt+CQM85
x1EsT7ghLalFB2MEm3NqN+/tECTI9DWoyCu8sp67wgeLgcyCfZU6036+FC/Nn2dJbH7Y6KxNHfES
hkM6Y3kmXy69wZqZ3n2idXLmnCdn8F6LQ92MezJBHCI5NyjEv/FxL4NqXh/Mya1tzyHImG7Jiw5N
VW8SO++O1OqjODlXKn/KpQKTxjQzmfoanBXCsILt1dbmdjV3Y5asyYU6Up0BdJEDxEM2mjMsISca
NE6yuL5qILW9TnowUF/nC+zU2kqzR72W6eINx/no7h3RnGkYfSTURZRQKi0+zW6WoOGNL2/h+hES
7Cg7sH+driblV7e9J8PD9Z1p6UczEzSJwKTiCyPfWlT+zDCE/PSpSstHGakFuipyoYM3ggOkNmvz
8qloUtl6EN3LMj2/vixrlLsxStStXz9pW7XGjrnd8/WLQ4AUvP863V7fXa+4d5MHLzTX5W/o9cUU
dR1uLs2xcHZg2OgmME23lRZEEow867/GdfNgpVnyEEOycScZQ4XuZIeenW3kzWnEOhzFn269akBl
tHWzwnnUILojJyYsc94IVh0jmxsLg+fZTEOA777tzS9dM6hjN7VE4Y0r1IqAObn0zPtK9NWtC9Kr
xk3MezK1Jqi9giyI9mTr26DYZFHO5pcB3Arue3Pla22CiRMlelhXt/GWJgcnbrJDVMScUZMGePix
GMLsz2RqR4QS076t1jQ50CbZIbbVd+qkt2tE5h4p3ODm8uqN3aHaLBJLmsyVSXdiTnEifzp4cfw1
T6R5oFaP5eHal1YLOhF8oNHogzMqVRbUSaYcEpkzp/L7HTWTsbA3MkKwjlzoLXRAxrHxngyGhMaL
V45sQ28AtB5sF+geW0nsqbroiUV2ex4dqW+LsXv3O897hrT7sIQi4LAJejRDbSxAuoUazdjzDkWV
QYEPCOpn8BQ6oMTNmn3RRihds84XcwsFPl2W4AtBjGb+seMGhdrmUqd3rc1PkPrYt6qYfSrUs+Ma
YuKmfWfgbReB/0T564CpN13r/KFAkm2ja0j8IErrPUwOlNrGGvDNqV8NBDnfYo4CyKRzfiR2etOk
g/Wi42aAHqilzsKO2rVbWv3OL0WCOEXCwBro9A/JAGVcBYHOb9NwaJQ6PyIMlxmCwfiJ+ivfTvHT
SBkgCROOPHINMFuYCcBnadh/gUYFuJxhv7p1E/o89STSiAioXdwEsPfkBnTEx2zD5HadLYq/+UR0
AMnjATTfgHcYs2x4z2SI6lLPeoLscImiRDPb1H2TfClb5yALM3wDniedFyiPPmlpsWNuDkit2UP0
9ufILoUYBY3MRYCybdtmCyOOkSAKVPqFzlQgkstZ9xvb7/wCZjLcN4v0U57NEPawBzPY5lNW75Jj
48O9wUexpfTapVciS7bkRgmYyZ85OnKmWdKy3pC9j9OZGpHYPRVtUawF6AeerKy48FmJ1DWXie1W
W1QhQZw3zS98VlhLwx43INC2POPL5O8iTgaUGsoU+JCDR9kqOms51c7PQ+GBB7sMk//Q7uaxnvmR
9vdeAtkRlMok+SkbORIuZregDuQJ81MEDUF7EY/9AjVU/v7q5g88XA1BKue9AzRnh0KNvc7a9iHs
LLUES1m/ujRHELE5osJbsmT7oDtzBIFreqBOOnQShGEAdZ2pRbP1ifkxm2N2H7MFthGsWq0aRLxc
K5kRZxbkhw6da1YnatUsrTexl1VzatIBQV4Qcwb1ySk9FGxOHjUIxObOJCVCtt/McfGYBvw8x+9e
xS6h/Vq04J4MB6e4NxJzT9wMPtRJNwmwVst+uiig0RdNsejupoRo973TjXsG8dclbo5yH9ZBOG/c
0TnUSW5/YaBLv9DWaZXvwEJZLAJUzT2Tm5+WzsFkwdq18hagevFGV0xdQ7iiRMzi3DDW7JugdRcs
SKI3nR3z0vZe2wS0q2MzRjuWpep+Gkj9VZJDQ8dCuZAdJWKbpJhH1JZ4DxDwCcOme0O2tJu3jhfe
Jq5pQsx1BMuonY8QUU4+fDkUWTTkGNXCRPK0BUMvuD8ctujpzMZWtVPaRbgAZ5fe6cwOv/Kmh4q7
C5jQdAAppg7WNQp617xxkJTVuBM1WEaA31+Oaw/3mXMpkVqf+NIuf4ywGRa1QNCV/pZp2MZnKMtN
Gly33GP8NQXXLsQUu1dr7NlcJ3EHLb2g2zSiNTYMmc6bDpDwOfJy40vZ9wfi0PYU2DujvHtlZQo5
SOAvjC7OHhSg94Bu4yyoCsiG4pb8YMT6w3btpTPFWL3sVAVmIAc3SkA0sh29ZV+k6UGU1dfLO54+
iihA9kUeWag3UCyIH72sOOS54T3EIHza4Y4yXYXd8DrZU4anhRWGzk5IUKX8bB+RyJjlZl1ucPvr
j1jw98eRiw760E6+TqwimpWsj4cZ9cgwGmdNycN13g3QNTOgg+B6U1Bral5tMkmHDWrbqnM7HWoQ
6yN7ARs1qeNqy2tZr0rfaudU5Ub1btgDn6Uj/C3Vt13thozHNUPt8CwlmtarspVnV2fk1uql0rh7
BIZp3aiEG8toOgvE8HFGtt/1orAU9DmolVzH+PXsXKQOVvUoi8eqUu82oozvUVmvEIjrXs3MTxao
nxpO2nUR2TPzeqVSKeaWGo2Z72bmwSVGBAoUU5sjIod1TrAjEx3kFEWmM6QpoOVajBCiRfHqKpYa
aOUJcEdFXGQDAQD0b2xxRCAnP3nT7Vdp68UaG7aJHY5bcmH0ydZhBp4SZQIN9LYOHIjpmPG7j6vC
tQT/WnhhvDA5z05ewtx9OOb1stdKA+sNvDjUPN+dOvsx5G3z4IZRs/b9PNsGGYdS2jQZeYw2FNej
mn9FaD9e+HJUC8ncYQMKQapRp4OnVLn0JbeW1OwA3rsTHw6Ozdciy1AuPjT3o/IB7U+ibIucBgCG
UHg4Qxnkw1bKo+HHWxWK5e80K3wbj9qpc5xS8VKFbIGSxc64R3QN30IXBcWCsP8JUlcb5HotPMKg
8gQixeocIhhzsVGTOlDd3mzsuSFBgNA6rfUIGHi7c6xi4qZ2ET6sIA1xbQoQKOJ7tY+xHaBC2hXe
PJkYxiHV+kXUVXAveZMe2iHx58ToLf6w69xOD7k9yTMhAr8El28KUcJihsvWfAPfhkbNv5XeSi0G
cL3gD5HyqL1nbgXCoelWO4Qfvm0IRmPb0uFdaIK8WvtIZGFvOL46DMo8vR6eIBfzYadCDHBkXuzk
P6rYXwbGCIxB0yQbp4vCFZIcyOu5I+6LyJWD3QagkCRNN2aSNc/kETaRs44hzjfDYiubX6jnG4P1
69+2iXge+TKgZLjrbSwBarhQ1FA/o69UV5+b1IuIf7el77+Mur/0/jL26txOU5WuoddjMO66AUlX
SKGX+x4RgJWqTPteoSQMMsdqfM/9m6Lv/O/2WP6wues+6tTEzjLo/QOqwKvLGJ0VxlINQCrR9cYG
p1rHRpgj9jStgfS04OmmQ+qN9pyxr1fM9BVXXYBMYpuVEPdxgLzuRFZDoHjQH0jsqx80GbA2b7NH
h9UMv9OuAjdNZq9SjuLiKCmLI0Dwaomyp/JLJc1vBG00xDfctpL36xgWjeHC8PmLFvhjEmoNFcbl
6tr06r5cQR45XKUyCA58APSK909U/Z7nLaTpQn84uY7bHSyNjUxU+ubXOrk42P09680ZsgUlKkRw
SeRYYSIs7BQHkqHJpiafmtRrt8B2Ui/2itYj9f5ubCJCZC4yBQJVQ52wTMC6EgK0Vtm7+1IzLDUn
e1cJEAYMzUup3dz+oRPp3kGPdgGG2yA7h8EEYNDRAUzd3PmmgCFegFbDuTEKqP4NhkwegzSvllCS
Go+AfKU7USRiPRa5fWvHBZ+3XIQvraXusjR3fgDYj/pGT7+H5R/DZahRvtEmFoj88awAP4KHUIyX
HXjT+qge6L/Q5U92y1FiLYvqoj7kDVZ2C2z3XikII10FibIibNZchyDDHSFIdO0wCweCH8YtGGzA
RFWgah/BlVnJo25PzWbIP5oEPcTT4XPv8HOTemMGeNh/HJuPqNEpVbYAte2B11JtvWmBhWpEKLK5
ZRYeqU2HycXPR7WNExkdTCw+ic8g1t13n+fhreh6546NyYnIEGzV2WuUjcYr8hqy8TtQesEt1rYX
LzJbgw2vPoXXtHL9cy7wV1y8VF2IlXZre4kIJQqE+4o9RTa44XBd+2cV1uDjxs3/CIwMclB+GyLo
0tnHEaXiEEes7bsmr5t5bqr+Ofbsr60nk+9W2WD4lIfiaYmtEkvehQeh1T7gDIJsAa7poAY3Sjcg
TdKa0dE3ja+p4TuXBWWbmNkhj8OvtEyjDYILlOvMtdtkR4s1z8FvEGD4YklsXsTrpXs/PRoVHhUT
8xfZm14D2jHZnc6dX13JDpnOFA8Gr5yBsHdcAzSTPUnIiyvTDd8yHzBoCS62U5yG3ckFgBqlBk34
FkMagDNwb1gy8tc/j0zMaLxVmf2ksLI5goJJHbHqVUfsQOIN740vrh1FezuOVoGVlfdpGre3IpEo
aOmgDNoj5jKvfMY21Gu0vDkEgft66WWDeK8B/thjcYRdi3AMSF4iQka+dABx3Yp3yrihVlR6YvHv
f/3f//l/3/r/Cr7ntygjDXL1L6Wz2zxSTf3f/xbs3/8qLubt+3//2/Fc2+XcAYcF98A+IoSL/m9f
75AEh7f5f8IGfGNQI7LunTqv7xtrAQGC7D1WfgBsWlAidOs5G9ubWBWApL9rkgEwXK3lO1LnSJ+r
b62xuOxjgy5M9kCsrBNaYXWctxuUmvH0JMYwW7vEKwe5VGcWDmW0vqgMJlHzUxs44lOIQpjrMiNO
eLxANiaDQAiYiegQJP5nGzmXWbpg+I3vIE+M6tnpwFXWH+3p0MdNtcpx0wMj0x+9aaWfQaafbXjL
sGLnmahQj+S2FxcaS840AdQU2Ozvv3rH+utXL4Qj8MviHDlo4fz81YMeLze6Wor7pouGDZLAAaqm
zHGZOUb5UiVImkzLiW4EDrp0neqWPAQwT4BqM5SJ/d6rUr6xy0L30zwdm2g27F5DrNjYcV6HL2lU
WYvYTrqjhCTmvizAkzEgN/VlBOkzvl7xPrmCfxo13pMr86E0EqTDgS4zsxpudBjbO8excM8FpEH+
w+/Ss3/9chyGqC++HQelIYIL/vOX07lJ6aJ0Xt1fFumi4MDl584XZCjyMxRl2zOg+o90O4xqZazo
lkfNyQvlWuo8FNAqtkLvK2LAeil4psCahhtTqGqINXDePFu6OsppjYiH4p2KWf7EjQKSQUUH1yF3
9rW8DY28ukWh/QoJe36fT2z6JbhtQXeQ+HuygTIsWTcF+B+plwZUUb/iEy8/omZQra0iB7g9O5sj
OBVvR6nA2u8rQB57H5wZdpdU89oHijBs7qFdz+9/8XXM21pYWxfKHb8s7UlhztLc202dJD83tgHQ
SR2CHlj+soPpRN+rzssemumASGFR8RgEYGhkkWhnLaCHu8wr1IOlzWplmGO+pF4a3XXpZXQO8t6b
S7zRKSy2tJwm+UQu3zZyuiubzYo6SouF//CLcLyffhGcMdfEfw7FbAkYsrSny+nTnQp3FmsAlUxw
z/GIgnwc60+dCXplwhlG5RfTq62vtAhzjLY/BNzvT0boYYlmVJCCjJMjqcpeVGJJPPYiD0unlVcU
xayZ1N4iFAFCe6eMIS6TlHsaRB3U/I+2y2QBS/x1XbuoshlsN93IbjT3zHHNPZ05fWKXMxUNqLZC
oohtHDfeXrv/4nMxOJVe/8O95+fb/vRlggBKOEy4ngUiOk/8/GUmYcXMNGP+nezrAanYzJuZwC/c
WpHhoeg7M5dt6qmXnPElrXXJo6pCoPQ6pwPDLYhnkUYsXGCP22JTI88w3Wer6e766QCQ0bHVEG+D
A5mh8YGgkxkinBaMal4lJuhdLZadTS+JZhRsoQ6WGR8dyM5EiBKA1t1wtJrHRQEuG99LzwJ1Ln//
rXjyLz8x25GMS9MC5S5z7F++FayonEA1qbhjkMs92pNgBqhNEpSwTSq3xIkaiDhe9MU5EmO6+ES9
nEPQgOiSyQb+PABjXVDJE7WyLwfUwfWiWdRVbICLO6vnVAqYc9BzQAo52POpYjAO1lIX8unqVQtU
p0kG6cZuCg0VfgxSjMgINtTUk61zgVAKB/svNvIrplDTxXnyI9tQu1hqO8ZLNdF7z2QwOve4DUNX
xApiMHWJcks9UQmNLb+CDBf1fvL2nLqGQK7jHUJtTT+B4RU/p2IVW/W4URyFKpOd5b3APQJBRbCm
YMcPwn4XxfjcnbW1199bE4CkABAZqVvslKbW1NcNUFBKG4TlIBEWBgr0zp3pbyHuXZx0E4Fmfmz8
vZvJ51Tp5o5MOR5dixQ5jBU1qcNMAaFi5te//41Y/C+Xjge9Dc+EuIDHHezCp/5P96HBY3jcDXZ5
F4bmFHVWT3FdRW+qQ9Gh3wt2i8xPhPI8FACDXy98K8CIgfy+/1IgrbSCbipYMqSIHn4e6VUtwwZm
OHiZEQHjCi4W0cUVYlKgq6WmG43LsNDjfRtKsIoEahVNinhFbuRH0MSi1HRqYofRbFw5sdxMzawC
+Wjp8n5DTQCNPqakJqSQlxFKzZaujV85IYIi36qX0SiaT9BroMWxMqqqC3AIgapxmzqAul2g1zwD
kQSUwMwL9Bpqc/mNb/NP0Osi6Oul7jJ9eQl6nQHAHNR9W4l8sSypz8LygpukBf61B4jnxdYWlMIZ
yw6oUJAPZlBu/bAwX8Aq0qxwT/XX5BbH4D8vkOvqGhf1Ti12EGQXTvP1Oq0djIgAT8Np2kLnAULx
xaHWzoi6UUg3DmUbPoBz3UF9DqJ1lay3Q42MAGAFcg72i+gdyyc1y8bSf0za0Vr4Rp/eKNSGbnTe
WluaiTfIAF5n6lgW3HlFD3AydLJav59bEI1DcBrYZHc6kJ1XzbCsua3nphg/bNRBfj1G2YzZlznc
aA0Rq/rGDRBBUY7OXkEAvyNlyCZu9rwfvRcUMYp5LIcQ+AnIp8qmMjd9hIC9adk23oGbvbpRvat9
9QgwQ3LDcDs8D9gYQfMCAtc8bx+Q5wogZxfkD3k21pAJKNo1NUWZ6m3donCcmhBhtm/rmq1ibedn
RNjNRc5SeWeVeXrDSrk2h17ekamP/GbhW/64sieb5ZQ1lDsu7n6XqpNVqC0FayEaBHbDVGwpYBRS
hmyyNb1EbXTLAAjHYskFdduLocxzVHEE9fJ6a/tV+aO1kq92PLrAvNb+HNt057Y07XrtpLWBeqAR
dA1Aca6KSOd3v5snTbZ9VpRrBCzaZdlCEk9FxV0xoVFQBgmV5AmIoowcoo11qnBJwUYHDuEA8hUj
7lJuVCIn3w/Pbp4vxiEfHuMEAA23FCZyLdixY3XrAKCR40E6kRvytFgAWNTvuqqpkIHr2i451nFe
zmuTeWfwk4Zr2y0iKM7kwyGxEJ1HSaK8FxYSBSIP3TdgqpZpFjg/Au3t2wYZGRqOcgDv7ARhtEZB
07j6+zuh/evTEqsGh9kMDwZhmibuKT/fCBGGKhurN1oIxpsIsXY+0ksEGQDd1K0XanMDqjBERMjW
QjsqbNqHsRElBG/Aki9kYZ7jVmE90JXZtxy/ShSXOU9XD9TwB0hU+9FGThQrxLOiQbKK/U/rLYlU
RU8CtnQGCUcI486Dus4u6wgb1cdz7QzJSYeNdUsdDBmQ27//Gsxf16XT18AZ1g3TPyFoh/3peSD7
HnXeLtOnj5p26U1IUlzyDMrHIPFCGMC2RvBlXi/6NLAXTm+Xv94MaESRosifrv6wAJ8dMmXx/O/f
smP+ss6Rpmu6Lv5yLm4ezl92nkCamhAajOLTZUE/+rICE3oQvSImnE5BebDtJOvS89n6DzM94ysT
pVR/NQfgbbyYma2jV0htXL3ruJELHpUKHE1LCnNm0oseLQ4ulzxdDmEN4mCkPBYqMcM7Iyg/ziCE
4Cw6DZiHCkxnMUxnVz8Fibx/2I7T/uEaCeF4pmMb7GBjYQvPYWj//HPuhrGPqpEnm8EH1IvPbYiy
tCOktiUWmgggybtu7CCoOwFOOp3couit+nL18A1nRH7I6mdd4EO10QKUIep7SDmFIJhO8cwBCjQP
7znLyl039VKTDgESwYPog0PoMGhV/TledTwBTtg031i3//vfgDVFF37+uLh4XQmWEMeSEpisnz8u
oBbZgExWsLlguOxifonIILbvHa1AIXEJDpVqOiRjUIMHHPZ2UMC0gaB6lgiwOAa6BTEfkwhbB5a9
HsDlHGK/AOjup/a1nzBhbvUPv2b8kewpGvDpw3Bm4ZN4nm0hwuO47q9RLAZV31xGYb1OdeLsNOTC
56gUQgVbx4PnKPNAgYfCc1dWQEo6fTQjOyqA5ApcjEhARyp89lieQuyIi5OJnMNjhrwouamcq30Q
IuxCzZyDlrqOOwZSxwir5b4pdsiYvaHYKv6RFScsGvFEUoGNjJTvvkxUw3NEBvWd46fNKmNleWjS
Vu6QRO7WTeWMt8BmBwvcyq2naZ628aMf/5+y81hyG9nS8BMhAt5sSZCgZ/lSaYOQ1BK893j6+ZCs
bmp0O27MbBBICxRZRCbO+c08f86jSig9miQTy/KiBCELCAqS/QWg/dkOkuKg8utWlvBQhwJV0J1n
6bVGd+MieolqUZy6at7Bfv4m6kWVaBSHqa98V2Hbv75dQVQ2y5SNMvarLs8DT9T9djHbar1uipvj
b3VZn2enVq5cY6jwmxRDxKUMyF+emtbZ73Wij2TUxeKB1hOw+M+7xoqad0Jbdjx2WtU+kFFBTGGO
4eKowM+009yF7acap7hUCdcnio9MXif1R1Eu7CJYt4ESsbudNqnfmLiqzcm0RkCZFcVss2erC63z
rPtXUw8pLVVd6iurppUNvEKMjPxNoB8lPft17zEY8i9EsC0e7XrCfpGRJOKsfWthsyzmcJaJEE5H
tKAzzqKHnlbJjtg4AeilUdRpib4hdBU+3K6UOdM2m6bZvc0RseON5/hq1V7UJCjFLePUxs43iqNY
m9sMhV89avhb3ie1lDlyIXqWnphVn0v/EqXBwTZko1hDB8SRovSnXSrfrtMGvn7CuuVddBfzjKT1
Vy1CmgdR9ENbX1g74DqXWxCHKkBPIzXVkxgV2IG0q0u+E3FXok5ToSOQ676I/pEeIc7hK6ErPptp
9L9qRROdbLTheMb0WzXU9SeEHvUnbUYKCz8JZ9OaRpivRylZ4diSPYouYAw0KGy4kUaqWmzUWG89
p0dNuEm/pUOabsdZj/a6pJZv6eyzAbHSbyAgG9dsC/WI6+j4JPX9d6Xyk2/gothK5K1ysQMnubI7
NVeiITfHX31lSY+RXySnuWlTV1yAyPjRXuCMRT9dkOpDxn7kqxAXSf2XonQ01FfH1EvLwfEaXSq/
YL29nuTa36ppA7XUIY0jtcchrsg9dAQD1zxd4r2SWDIcaz4yIo/yqhwjuVr7PMR8JcgfRatiRr1r
8ubviWIoOeCZMF69TVXzP1wRo7nYTic/Y4gRbX2VQJ4oVnktX6E07m592xF+NlYBxdZvtB9iNqu0
JA+TXWPNW7jyrEqj/pRpR9F2q8lhQmQg3m63akttfuCdBauV5c61lPcrRESgDTUsmsRjP+95iYnG
JOs8cR9dIesnTc8/73kw7Stw4vx2z8u/wxZtg2IjrpoaINhnyyKTvlxgOYj7Jt483O7rv92zGDQ2
0n/cc5DUCPaTd7u2+bgdpMTwutrZl+Tm4KB1JcAOqWdrIU6ntKuBrZITKSPL2DmixZYK2Ip5iq3b
rWcLqSM27ADXtgUXsswxgKje+pH9nmghRtKiTkZeNDyJ01tt2avyCqidn0uJG0YsAFryHDcVfI4a
lTe2IOkzvMv0ucpwpBycR9EB0IC2kaFSbUSxlBP1icGioxiCA5jtDuGQb0VdY5Ms7qI1VqjTvujT
9ecw5m3CFlxOV6G7rfbpsxwY7XVSTO/eI6umjj+zK3Zirm5unTOfSN6vq7I8in5iaB2M2LHJY7MX
dfkoD6dJjz/mau72tlalLpHd2NPb0TjISZ6dg7Fmpz66fl7u7aTA3krOs1UaltPPcN6mudX8mtL5
B2/Q6ptdkFyIaz8HE47w3dzovFiqbfA4+ujI5L2afVUVm1wxgwDM8qbTqt9iQ0OIv52zJ3HlcSqM
QxyP5h5pQK+0TeSF1Nk6tnH4UxvUijSphLilaRvniFVjq5eBApsOy+wpqZy17IN5kJpNpSPMkYKy
+GYH8gUJ7SX9SdTGHvmQY4ACYaQWf0ld8KPC2fWLOcrJWh8m/7lBn9LFhkGG9jF/XhsWf3n447pR
F9iP8CGgzYXh8AZKGIKzAqLgf10Pi274fEVTbp2pRMEc9fNtjQaI66dY6OS9woZ76pVvEPNWfq82
H04D1T5ENW4nE8t4c3TzUGXLrLWjrO0ZoyNt7JVrHiXkcsRIYpF+WE3PvqOUBwsz6Y0YkOXerMb2
V6glKQY5Q7MHpm+/zI75INpnMyamq1TDJSwJz8NuxO98uVLmBAh96dYLP7t2P8phsq3U2v/q19vb
QM3uN2o3FwdFJsKFyd+X242Aml1JOR9cwgvBWSV/sy6WCQEuHYqoy99mO5x2KlTwbdZ23UdSTivR
QdLg5+Hdlx0RX6qeHBvzKXGpxoC83bBreAjAQJxMFDBd0SAZzdbhqfne2Zru2UiVemEySu+Fzje/
XBOJu8qdQzslhQviB4/k6vZxFRirr8C7BE+mhEONv5gIixF1DOKHQNJHO5uBN85lvcOFZHqbC3xW
lg86ydBVQAAzO5uz5ADBi9XVzJL0SrLqtZpw8IjAE+yKIME27Jb4JvttoJ1APMskdbkIwYgGJbCe
pRFzzmU1raXYeCqXg52yt6u0WNqI5TNyehrsH6E5NrcFtcyi2SvQ/VmLQaJXD3p3Yjt5FiVz7Bxc
NwaW4aJQPba5ygEG1coCFfOa6pL0mATlUfH74H20Cj4cyJ63WGRdK8Cc5GzciFYzC1JXInW3F8FH
kKS/0tKWL6K0zKiConjNlxmRp0NYnfilUXHdv8niaYjfJKSQE9hT+9QZPbvTvhrV3WB1V3VpgOsG
iey3Zmksdzz0zf1cxnjYgcuyT76h/n06hSYuO/P4V6B8HfQAse+uzwiCOVqyDq2wXduskV6lyXqy
xo7RU3tbuzTwTZ7mWg7PWiZfPzvnEgm/scvcW1klXghDs2pxulkma3J8SOX4MY2c9InUOAH/0PnZ
mSltamdnG7Vt+DcTF2r04kdXtsoGJLq8Ae+socRlxu9pIJmbTHIKjG0oVgOS7H6YlCdRHDV1BwaN
XVThG8/5XG6KKU/eg7Amk7GYerGRTt5xS7C9WvY/W+N0TFwUm6a9aO1l65tehPVVDJWCzazJMBbS
qnwg+PIqrpPlenUQN5Ut80MZ//ebEq0Z0UdxUxIKn2wWksrzp1k+CZTnDe+5FHMS4CufN5mbWIDo
cpMR+A0ZGkg+AfalkyXEBO4T3TqJOaOlk5Fls1u1wYZX+jWwpPgZHMj8qoF2T1rYwaIkDwVbNNTY
RclWtL02y8mtlJbTSQuK4UG0+a1zRa/LvoqSGsjPFdKStxKoyvdutJSLaMuD7LsSGtFNNVzGYZ7c
iD6cb5eQ63TFb8M/CW1wBFbrVe5MAEKWm/O7As0CJbWPojVnnV8pmU6eRrTi/85vKgVp2wXyq2k5
6TqTz61ZJ3tSY8XLbFqxl0iy4opikMrt2a79L5ZsRvwX41MaTKiNiUa55VKF1jiHvJGKlzHpi20e
E6IXrYOvZadm4ol2G9uik2KnL6JrliNVTqCejfty0bAb+g2ODynZdyZyUGA4gP5P66G5pBrWAmmS
KS759eZiVPj8AsrhNA7BWEw4NmxvlVXo0FQ1ykOc9fqe0MOEJdwyhwwQJNOyL/UQ7scZjDriiPmz
4gzZpYrCiywpUgFYdOaFTdGwE1pajahpj/4E4szPquJZ1GF09dXIVIBYS1XkDJjGLy9Ck5hgUmAt
qEXD05fxowJ0yg8xdxRFMUItt2HSy0+iRgnZ601GmmxFWzglwwNhkFt30WMYMbzuSiJJomgT9kS4
v3+arfErUjntSVS3ErBG/kH7gygGTaXDNIIuIIriMNTqi9am6VlcyZmhV0SsXlCWuFFxkA0X7w2X
f5T0YdBHeaPJXb/hSVNt87awXDGwLxTpafh5+2ubypndCbI5sDxmmWNNvSZp7KnhlD+L7kZOYlaV
Z/Xz9u1A5x3IeHcS/KbW8EXh4wdrnJ1Q9rY07SGxFmS2ZB/uVeIsGa0tSL7xLEq3Kgw3SBuOoweh
9nM4Ov8a0PGpX6N0sA/L0dqkOjyHCRTsQx/b2e3gN/ZiuOAfnK5AZiZrkLsbx/yzn+Z0w7azMPZz
wjJyhyRQzuSz2zNIwMxNxjT84e9FmPneLuv9f20X41maM17+0mJLlstyK1JEx66Fmy/c0e9FIaJz
L0IdQn5m6QxNkc5sv1/vrWJsAyzTrR153NtksK6NpvwSKWHTDpFoq2vTEylhdm3nCSOCp5ZdqOjl
x9brNKBXHGSDs715KKnKa99F7aOjO9VjqqVvAglTxoG9tcrS2XYsnaRkV5MJrRKSceHddbZSqc5O
Ia8tSRKFJSigv7sIja1kDCsXKZxxMw1FMq0sJ39A9zDeC4DUrU7ApMyxbdybuRue3wBEyhEFdFO2
+dAQUg5nHchuDnEG3T/tVbRiMYbBMb4OaTIE2zEgTldKA2qailrI5zBxNgrZsQdtOUyoXzwEWfl9
UuvkIEqi3u7Uz6GiThxkUxrdiZe2q6GhdRwhTn2crKZ/MZKu2bRV2GyHpahLirU34yBai9ZCj51r
VesH0Siqyr53HU1WHkUJvxzkeaesOOLB/vtssrKNgtp8xCm7fZKSc6fmw6Oy2J8PGSl0x2/llWgT
dWYgYWMVDQSElv6izknObd2ppz7OLveB5jTKK1H8Y6CWG6TFGQQfbCBMMX9eSQyIs9zfFaptp5ec
fQKiCwohrMDaSVKuHnN/MP/jjB3+VrF80F8t0SMiaUQpFhYC8ICh6o2TKHWjZBwxxvgmSuIA5H9a
xzide1o2INTd28FTTzx1GSym8aNWWn7dkds3Carby4xtaBinYZDCJzMEJJXmeEDOb6r4k2JkrV09
NG0kUPn4xCGu62OqadJZlKYBHu04KG+iVFtDf6oLe/ZSMmenKAhxlFwOyT9nRuR0XptUH6JHqlSf
PURxStO1oZcxtoR6iwQtJKAZy9qVg1r2ZahS5yovDdnSUOiAWRGEhaZfDM4VsvHnCNiuv+ZSha5j
pPt+gShoyqw/6qhfzmrzlC0wBYtH+64pCaOIDqJuWMSAJLCwt0FNIemPlrPNrbNpjGszUSPA0rl+
EYfBGbFhw0N322OoxAs9DaG9AJ2npUWHvzhqhNREP9EKuPClx5VtJ5S1csfEEsW0j0JYy1HQ2F+J
BlFeWiU/+AHmE/59iJdQ7gzq8/0skKbQLZc6KaBVT5zfW+/9xsI4YXbzPRyG6oPgLOkQvv4LeVf1
qSIbKeprPOgJmzXlTh6j6iPkNSkbS/Ot79jwIMHJK/dSfx+e41JzrIFmP7QqijUzPk7vvEgggL6c
1UudOBN1olX0G/o6/LPVdobPsUXt12tnCFVPmjVIcm2ISBJK/AcAKBtRda8XZ4XZBufO1hvPMZL5
RU/9s4RJx1/LCZDJQZxgCn+rsWqcfG9W5D7fRBd34UGqlYfU5x0iEt+cOG2cGbMeexoIkPCdmstB
NGizGh6cv0fY/KWXGxXIwrgFjIc2u2oxtt5gV8oLX6XkDWmQu6KYNiCNDcI2K1FsxoTXNHYKQR2p
3VqT1O0wxDHYIYY6IBxXFb+8o9RqyouYuI4rAqtLMTSZ2MmJtftEeNEJnuwHBMY2ZaiOF2chByUj
FqGyEbg9rCdS2X6ra+8ohiFpmGTlWnFS/V0yc6K1Ul7Bc6u097psPiZDSx8C4p8v/zJIUibZzQvV
POfYaktSnLBXcoMA1CW/GDcSJ8PssmKZO1MzjW0mqbk3gfEmPs7iK4pao/NmtSy+otjip7qes7B6
nKZUP6ipI62RgZq+yIgmrfvOyE6EXPp3MGm5jmeC6BWWugTdzBm/ODaivQg+ZSetl0QvMfjfemkS
XJBcMUOiIUn/rktnMUPZdp+XFcU/LkuvJh2KbSUNikv+MLvcD7GGHlwpn+81mcI6vgKTta5rozyJ
BtxF8gvk9+4kI+z7Jc/4LbPOvOISZu6yqTK2CZnPL33duOmCWYotTAyCsrVPMUqw17HH8vwGZmKk
X8fJa1q1nyMVP7uNFB3Sf0ZWaqbdRgq0ExaTj1PR7iK8Kr41uTciWPWrxolyVZW9+Wqg0rEp+iE6
15WUHGtpVLeOYRbPRFrIbVm9/qObu5UYlRTTRxfO0XtLMN4FVRZeQp3UqmIQv4MEmzzFjR+ugyyt
vkeDjcoDmbPEZ0WVyubLHDkVmi1NeEUust/bdfHBpj9zq1EnFoXxEnpPk/2VDSeY2i76tRidJLDe
PvJMsdZ+YUQPSuurO9tOzF2hKSSJwN9j0zuMH7pZYGPD2qpI/kfHgtAphnPxK6V46aEQrEs8QnaK
UxQvMqkq6J7OvC71sHwZpkG+trgl8rsrXkQPY7R3wTylD6LKrJ1mHdt2uBf956A3vCpTUle0EsRv
L8ijPYpLiSo7HF2sdrpHUWpDzYFvhI+JmDuKamlr4qmMNCw3YwZaAQi2/Cr6jkVWX7LIgPEdSRpm
OlH2Qujq0qd58VWLwEjrSPocatsGWztD6miU4uvkT6h5djr/FHh5fCnl76K7pIBNGm029qKILoNV
tMNHoXXVDme9Ziuq8TF1Wz3O4FJk6r5Qw2ojJu0l41DwY3wx8xZKnqbvwZAlT0mh49ujA+5urB5/
qqL3WQor1mqiyU9lC8oonHpIXvmQrM2g7naoeEkkSJfy/3Hwbarlav86gRLgAhq3Beori2JDC7Mf
PYvXWEGMrFNKYyXqc2Wc3TIYtFu3Oh9/69ba6e/dTDZLe5l98nmKhCU4ScS/oqR1Vo2l4JfQzvq7
jPNujh70myw74dU0q3A1Lw9R9ge958DN2IiiWRnk4QkUnETR1177wGzfQq3WL2MWJKQxmaw3DcjE
HRKHcb8yyfn/gM3uympOcAJg0zFWHOerruEmh3Wi/IRYS78dk1Y6+k7VHSF321stKqXHeELwLYTj
/dXou4sqxs8JMlBDVP9V5lhUjFY7oNCK93DpO/nFKqduj4z1tIv9pr1mk4SqMFYkbySIfmZxH/4K
5J2hatxHpaivdmqPuNHw25MWklkcV4oHM6A7tOGMW2ufG5sI7c8XeXlQ8PY+fpfMBi1rYmL4Rfa7
RJP93STVgds2qvaaR629KyuCEKI4ASnbJVIS34qYnGo71WmSW3EI+JVmWJ+5chHrr6k8ki3X8pz1
lWJrxCNFs7h1tkhX7yqMFG+tZh20O4uI0G1sWFjs89IQq8FlbGmSPWkmBfvH5a6g92TYxkn9rTUz
IJJ2towK5dLqOGW0CxRpurWmji95Qa/It9Y5jX2PFDtkjGXm2iIRgiW4dms1FJyeDRXBcTFVGMma
J7foqIoia5vizV2DbMEyNh+H2VMNH9OU5bpKr44e9m1QtaZm39hlu/On/BXvoXFcwbJszuLA1/t5
FmtXq5nH0589RLcQyuuKRF7qiWJTYjKchwamSYt9ZKar9tmZW3BGpX9l8dUsxFHMaFsFiJ+KStFP
HIIi/m5FIEtFSTSaEvqTXTZs42X8vWucEotKY3Jh9zpx1qryi5pjaXqfu8GZ9WiHxqGJfFY80c2P
4dxWaOW4YmIl4+GzimCPZ7Csj/eL+QX2I5VUPCS8kP92fSgcDSJHebwRfe8Xs9Rkb9hNebrXd4GU
HdCufhNXvs8d5aq9JjCm3Oawnn1LgSq62K2IgxThtBI6uGRPC6vs7+o0DY12JcoqVhn/nBqk0tBv
QXJAkzJXBmBxup2Krm2ZSquwxY9PtPyX6do08lQ/ILWwXHJa5jGDjrciUdYnyUZixFE3SmyzN0MH
1xkUZ18F/JeLomkkFu9NYXGWDSd4q/FwE/XKaGv7qpbZxgK++qI0UMHMBrgzKGf9NSMaIOqTzBn3
czhCDhSTY8tDjgRcITEQNrQKqQBxKNvYOdXLQRTb1qi2sg9RXNQNVUWSmhx/uZJVWScyFVvn2Gqt
c5I2budo85FFWCc2tjSYvtVvCHyxriQ5+2zRUbQoEbaNS+9wGXuvF2eOr3wOE8Xb2DowDnqB5ur3
Km28aVKlE5CG1NazszhMeoRg1XIQZ6IuImHkgoOu1380IDUOAXEZKzrHUu9Nclkc/qgXPcRQ0uT+
tma7fLviv11MjFVq5zsBxCUyR+g3HfxpKy/2iNNyANf1eSiFgWIKrWRvBvKmFsV7n0EL5LXsSIOn
Nla8MhQjwlC6DvZWmaXeEAbpW+Qnj4JSMjd+zL9F+3sPBzD6f+/hS1XrTnOLPKyDgqjTtQSv2iA/
qbK10TW8du9VVhojjnAv30fUatLttKI6Q4/JTqL+1tmaZMvtMxztjK5rH9Cah9mi49gxEjtxSPfV
1g5bqmJVTUb7cKss88YD0LcIuVJXLIemTqMN79iyK6a5NSgW/jEJatqzvNg4Ld5OozTJ6zT1u/W9
LrZDy7qVC+HddG9SFORUV2KkqPytXZSbBi2MP6b7147jcgeiRRzEjKZif9bdi/zqWNhFHzuvcITZ
JhDQXIeMy7gqg6k8j7gxktkpKvlYwU2RtZCiaOn8Ru3coK3hVvItb0WlWZuLKcikxW5So32qDc1T
Fck8S9TI2ttOQrhkqJNH1f4i2kQNiNN4ZxF5XN/rTAMfjyiHTackRv0UghV4Kp5Ed3FINYdtu2xb
t2uIOj2UY0RDwmanFvawUzIZDEyWpWeCcem5IfaxC1GBqPxCGfjftTmKFtEHLGcLHrtHx3npLRrg
TirboteQDMtS9VAYSd+8+BmGv0aFFZ5jB8+ZEY0fSgZmvTayljx0hSldGgCQyJvpMFWQ6tk4Bg8I
aWLQKMHATHh1Xg2ZPv0F0X4NCWUIVmk3gDXSHDBLOoICadS9SD5JvF6rke6wkN6W0yTeS8u+C+5S
sdHGaXwpG8DkkYmyvmIn+9tMGJ0SXPERfOz4+aVZfvHnDBHVtjxqhkoe15rSkuzQ32VxJg5N1BQ7
vdEQewqCs/nPgdAa3PeRx1oW2aon282HaLzX/9F3Hqtwwbb96xz3oWFi9wc8+TZi7nu9OLvXzaUd
nSJks5c7+ONK9zpxM8mM9LKNC+E/Xe1cj7zKzBHaCozmjDAsRvVWoG1HO2s2dTyD388eHQsip1S0
9kuZqw8l9ktXmUTqS9Mp82q22vTYD5nzMvtd4xJ3sfgMaNWbwdxqbP836lJ0Fi/dWQKCI2aK+1rB
Nyb8JhoNpIKefH4u7LlPdWKU2LAF/NTxXufoL3K2ZKDAMoiyOEUmfTiAaF14H6Pzmvn4fKfjcBEl
qJzPWS4P11sp1Als2ePDrWRau2wu5EdRchIiJCa6AblmvYM/hzY8tPNVHFSAsJvc12QgCtTllf7Z
UIOoxHLFtjetbHQmDP+lBVGVVcATanefoUIn4BoHoZenEWb0/8wMOd7Z5BroSwcTTuhOmb5Be8x8
aAHdPOiFFe8m3YJZ1pdAS5aDRlTknGE9r/q8jbArpa7TAk+r55HtKSXRN450dVWbEXR17H0eOkyT
Ymk8ydE0uBmRre+o8FSK+b1Gac+Vk0w9aVJpXaaetJpoqGCb49spf/SDAYdzbn9CyLK9qWmLQ4ZZ
AyKA99MYePaBtG4zr+NALQ6tYuLdNUr+HksHYs4QKk2jLl/CHhg4K3y9J7hXvmRscLwaK2xXtGaQ
C8/1kL0RjE7bdTfMK7uLmqdySaqiMjOvDAsXxz5wMAWAIYWtSJfLh0bx59shyYffi9+l2cwQ+pWC
I1EheCnLmT8X4W9F0fBHXbr0K+0cC1oxRJnbDc8WY1cDBxrDkIzHlIUbK5RrWLFR/KgYNUyYqqm+
N7354oyy9pJ0o75LLN3fpmXvv0vQCEagNN+rGcnRvJ/aSyxn2nkk27mu6jG/jlEoN14QwETLQXmh
hzH4e6VJ8IpsVP9BXQ68NVWXYSGyxYT7N2Bg2aQ3A64xNIpuLNE/CV/HBzGHOIRmBAg82EJLBZcW
6jPe5kgZ6tr0VStLlDZJpOMK1cVe1IMI93sjvMToOFyKKkTztfFNIhEU7w3hUsz0FuiThgnTvUEy
jeosAdy0qhzl3LyxvmiBj9ZyWFtHE2Lx+9B9N5dqHw+ofbcEB8kSVCsQzMFOgeuKAtYg4Y5qSifI
w/pmCDISP0uDqBOthsJrLmLt9AEOW63RIFxJ2WxdnRaEuG3p0Xd5Sp+aqpJeSqBdu2bW1W1a5dKX
3JDWosOEw7bbVYl+EiP9HKiOsF7BZuQpU2Tyu59WEK2Rstol2jU2DfVKRHLYBpmEg8g/deKsjsNq
vYQztpMz9XAIeTPqp9HmH5Ox4mDUqXpxihdR0AoeEKsM0N9+LKy/rHrqkg377nSjw+Bz76OqZXyg
lf2qmXzLEw3iVnywD1j4BIjML67YFlR8qWvCtwnP92tfKsGKhD4B53qePKtqrI3oZvukCEzdYd1d
Wv/fo4w+ql47zJckTe0fECfqH2AjIPWh4ZNMJul0r++inETxPNu8DtJNNCSpLJ8Ise7FIFHP34vo
QzssIS5Lu5LtJsI+2Oa7bMhfhKhO7HjoDlg/paBBvl+xyzerkUy3d8DXaUHY7hsco3Ygs7SrUTaf
o/lEv4Ae/qUF3U+mC843nT+hAGgt0jShgYtT5GPoeZcGFA1tP17zNJFdNVUAAzf2eVJQVROKVHGv
eoEc2WdREvVLlejlzKHv3RK/al4A+NPN8LmcVP9Ryp4ACUN5WQ4zlkxuXI3RVhSBiy42ytXkVfGM
sKXdnRqlna7GnCFkSdZ9DaVq3ovGyBqnLS7M+Ua04nc7HrMcHx7RWmcoek3guESjqIJpAdRWn66i
ZPjEGPzm5PN6k6vu4jedLnYaPYBSNwWQvhbFu1/1zehGlMelT1NJ7Vp4WsuWPcKNVqZn20a2U5Uw
MmXLOz9LsHp4mRhfp6UkqmRVfUMmNj2L/g3/sh428aw6Sw8bGNFjH+oE8JnMgUyByAZIMRUbHTW6
YI/FFnDk6VOmj5NssnvUozN5KdnlhoZHZO1UNrYrnpuPY92XgCvVZD1lE357Uo9LQPclaA3nITmY
PGweLbjd6TSRbU0zy9OJrm9tyzG3epF+KeNSAqRvSuuQ9OSOdOweIeDo0fF5uCtwFL/aBLr1FoVm
RdU1NC708SLOJAO4UVUi4KiafK2xNGTYt5eL6LGzJv7EKk0olsgZS/Ig+7gdN77u2oVKFDdZkOQ7
a3ycnGVH5CDtG3B9JDCm4qCp9bx+VSNY3shnHPj9jytgbD8KJPaeSlkL9oGdfTh98C2MA8fzI8XZ
Jb5EbIvXYVbJiP+i+dWIptQzFzSD3Yz7uC75W9HPsSNsinVjNSEn9VDCRNyGyB4kPujzSnnpNOWr
o6j2SgYR5uqdT7RTsla1RoJIngD+DEG37gd+PUQJcjynWmy70AyRHxxHRv6cPOFKnUMIQCQiNoCe
LYin5di4ZDo2w9CxLstpfByBLa7Coj13hOMDIvZ/JUaOxGyltZugUKpt2UrZatABmKppv0ZXEqBT
9KGY3fytrToP/8J9MxtXrazlo9OAbWVx6jdOVOcrJZp++d23Okd9mXffn0hh81k0H6gMerGTv/cZ
YBK17KDiFk8qaLXVUGMur0rvQZ6sjbpiWala7MdC/Vuaf0H3a6vxyeQOpnmj1fyU2Sa4hv4GG6A6
ADnm7QSzl5Ue94QMJGlYq3OeArAyvqqROgP4Zk/pREW4psMHZNJNmbPAThlmU1WZXCITZPUckLcz
EjwKxqLzQIt+k4Y8f+n8XxUSuh4ktFeJ6Cj7hPlSjgSQsmgRnBpTFo/ZcmVFvYDH5C+ZK1SZCC8A
kRx+pnFQX5RJwwwtfen6XnnVrEMPgnIt+eGLAi/ELVA2cEeeAUQ89T324hd9Hg9FKOPElWSXocXz
SYEis5kTvgwSvb0XgSc9RMHeqdqNpWKe6Bc1Fjn68NgpUc3ms628yER0sO+7B6Afrl5PAyhk/aAU
trSSoygDadc9W3NBwnIqZrfz8/oQxsO+7sDmIrVEahb4utTJu2GAY1boOcBXcF3I1pPtjywsVErS
RG2HW1yPK0PkmxfbAuaMa07YVabXdhHamZG8NkFAhkgv7OYZHoOOBdBK8XPlwGu5vR46ia27X++J
Ya/0qp1AcciH2Anhh1dVpG6qqWoOXYJw+lWcVvDe0tVvbbMqU5EXZu81crcvSgJdoCMZJWZRRPNt
ggCPoNhXV9k4Dx5kjxy2s16vsHof0dGYm0PoROrW6OSrrJbVASD5zC8ssrFL4f3YbSZAJp06/WSt
MqHJzM5jEy5q8uwMVqx+wcFUEVfIg7VfWnhQpfZfT/g5fcQ2L3CTVUWrXP2umtZz6HcrlZzePoCr
urHi/kfZ8PWEzvxQ6iYCviXazWTgi3wRye6da50mEfrBGK+a4UsezdUm7QAi193PzEKzBKCuhWxq
WW5mKbKvfe3vs9mWnn0Efv0pOipa95obbbFFueSjzVNpY/kNXx7Cjqj/9GfZDHtS+CSqlaZ4bqL+
a1DrLUqGkeklJgmVcui2fl/na+43OWbZ6DkRH0hWotmiZkZ/rgo+LCUNX7KBvL5a8erih14SZ9uZ
gPLODJtTlhVI+yTF61DK63DxhsGnEpsoPNPIaCbbtvBP/8PWeS05qnRZ+ImIwJtbkJdK5au7zw3R
7pB4SBL79PNB/TM1MTE3hDJBKpUk0qy9jGxwlci5GXVjeGpi43tqekA1nbzq7DeifhmGPcpF56KZ
mgCzz+1zITC5kKr9Vxh1HZJJbenyX1x6snCyM6LJu4LA1ORZVZZxwqFXJr2zwwG59rpXvRAfra2n
YWBNbH398p56bnKQ1oi/cAI3VQbl2TRYJOR+/l3JYAn73J8jr7s1qgh9d3ZDEVQEvpeNf6gp99x7
KIsy6dS9cnrQXOxIMFNDh6WEjidl17+D6WehGJzvVp2gyAJyehR6cBoLPE/87lJr89/Aw//KCX44
Y0n8pzWeKypPYSooFzM5T9HsQOerzcCPgKGnEzuvguoabjZF2V6zUTEG+5N9IDzDDPs16dMqjA8E
3RPcVXmzZz/YZc1AdkaOOFWM2XU7DMLJrlRHr0UpXaTDbgmNd3j1cwQWIEth6Wphr+S/meV8OOP8
W5qKGlhq3yBjXxtUiN4Mjmi7frvDB+FbR9jo3quKN2zFnfvEdB8qWchTk3TlUznDw9PS/ln0S2j3
ZbEvWdTtTIRZmGJlJHwZI1za0o16g2Tl1hQWhkB+fpKln9yIpYlx+7HS6xKUzjlmpXYRaW5cstFC
oZlWy7XO8vFUYYJ8gxpuHQ0h5ochLRMWs8haoce0h2EkGJFak7Fvstx7KlWS7hP50PbIemzhUkwl
ABLvDJbEVUvOYYr5b7SyICOV69TNbSjxjhDOm2sFxAUuon3vutOgueQNVJn/rijaR9Jzetz2UzyG
e2hA1kwkExb5+relZedktEP9XWupiQa5ms6NYzs7JK9dqBguv08OSp8UXct3ZMUKcjLcB3iqpP71
wvrOBEayIlKt75Pb92T4Cp1sTYf8DHCR7wmGKCHD+vgdPJ0NW94O340gHsISltT3wMEKyVl8+T2p
GSLwMWy/IyGbMNXG4i3RrAuBg+Yd/8kAQMKLd1szE4t5rzRURFP6fVF5E6FLsuF0J+rQ2hOTrG1f
Upc9cZzYw11h4nrv+F+vky8PEM7YKzMB7ZqgRGpZeM4Da20QpeBJW6T2pnI+stGOBpd3icVQjpX3
NOKRjClMn1grCoqbD9QoaL8JCXruZBuRC2X8oOtaR3BK99MfCkrMeIOg8a9fqenMhwE/kR1MITci
DcsKB8MqHltn9MJZ5NY+BwIOLWc4mnUekEmejYeluQ95O5/6LovvC/+Llrk3OIvvRRqLJ4DUPsST
iilLavojVug4+lXLk2vPTNi1nCOABNh1OHdTmGInqw9ZHyFmUAdrDUHtqyxCEZ8/umNfn4OFpFWs
HclgaZZ/6r4mZ6Reji2pfPu5CT4gB+96OWYIX7j/4wXG79z6gn/FhRtC4LBaYGt77j7O0ySMC4DW
TuKDI3h4yDIkQyLG48sYiydXy+/mOnQnBcCVW/Zy1+MdquHDxsQtED4ACODFGjtRH5ReqJc1hUim
B5XF7svYBIDqTnnoeqsJxxpQow4Sf5cTABd2VJb3Xdq4u9mXwwWjDvchE0bGj26Bt9ABlxk2A2rF
EvrRq7NbZbWQdK3bjDXdfnDm7Iq2oz2y8Hd4Z4/4prUnA8cMoXXxVXGrYg7V/La9pSeITTinASua
NM2AkGfP2CsV18c6EUVkZ++da7RPyTyZIYjaP4zeVJhHMV8qJxzmoQnTLtEe3abr75M7aWFFuf6h
E6OI8GzmH9eDS0r0RlUD8+RKPoF2Q27oIf7UEgfKyiFA2zMMnOnxvAwxpfV1I78jbzzwk5juqqPa
SIxicElin8TU0n/AyP04JFoRDr7+aAPo7C13nkNDaRcV1O9CuN6tUtpfOfFFTY5hPdhNW+27Of/T
WfB3JKbiJOc81b3MbsUwTqGWzV44kTKgmPdxhWBa0d3yQpB3vJ9j0oPEgFK6j2NC17DuEJ72157s
8WrH0LemJo3SfnKiTvA76RuzvGhiQAJqAYzOU33254FkEL9ub3iO3XXJlsqCKmIRiWgSuQFZlhWZ
KN2rnAISXSYWT4YcuiMi2306aUjWWrGcSqfooFY2b6qrnzUdwhsG293R67ofhijMyJKGzR1WcPMF
9uPST6jkluTsJ6QWrZhoP6T5HjtoVvCJMe90dh9NkIoLGiWd6tXyT9dZcOVYFuy4KdBQkLMeLdNE
+lAf/Cjiyg6VN4B1YNM0FXhDd+4jpdLpPkEyxLOoOxR+8uFhVrOfApM0U1Hslylx2QwPfEDDIA5u
Eut74RUfBAJNuxbIbI/lqr4vUtiEtZZgtGI2t2rCD6uLmaJK17ZCD0u4g5YNXqTKTEUiTo9gcMUl
x3rX1U33yhr/RtilwsY8e7IMQzs23EhhPD8VEDjGMhPPHfvZxKHQbPnUTQS6EtV27Fh1abLSZ2fX
WMl0LBvX2GUQbELhYyebPSZicljedENUwpDcOV7+nAbi6jq+3Csscqlbl/phQI53Wjw9QPGLyQlj
OFKaIS8PPcbvS+/W2HllZDHgp36IZ33feb4MkSsXhzhwGElikexxefph4Luzb/tufDVKYKES9U1r
mkR9BQGZpRbGX22cTTvCH1/5qnwwFv8n8GdxEBpJF7O18wo4MgmgHGx9T5JoIjG0M+MSms8kPlLw
GXSukQY3EFK7ktHAkuLQOjiYtzhBwA6v1UtbIOGyKAQG1PzlBIO+mOw51FlJ2z3RYIw/v7BZGK8i
K561uF2iQTfiB9FZP1ybOvwyNJesz8W5mhmubQ06V001o/GuHrtMpKdXsnd3Bil0UdsaOCLVMdK5
GJ5S3l2UWUHymgo8HZM2jDFYPeoae5ahdeTnwVlgQdh1STSS6zzHQb4c0GgShpEjSO0XjZ36VGYQ
AYL2TORlf5lGMVy2R1+HxLX7S5lBnUJTw0ztAbfDbz/OVeEf+XKbi1XozcUF7zqopb7PmP1esERa
LlnJpi1AlxRtr+YrigF9MR1bCozY0FxBL/wQqP8ujEBe8rb6kH4JgFLZozwtackWOUDV7BcztsT9
fBmtHi9zryML1zXKMnQc3FnMyj4P2hqI1xyneakuzCIVm6Ap3jt9/eGmsALUkNS8PlBLR85uadeR
ltYpeyk/vmwHlq+sQ9P87gC7H2JNl5ell/hljc5RMhxepJ7DXUxZloatrN+yXP3uVNV/flbbo+1j
ShcH7/M5XnycX3pxjNc0ym2fsT3y1+Yazcf3vZNNNfGmObhTPF7c5B1RU8NAtzew+md3QVU28LIP
q0oqI+r0Nj8rtVBwX3bGmD8bWpCRZs8/RvHNwYYSJwhW8F0XxxGD1PoG2seh7u65xnCBhW6U5nNc
hqkex8elaE9j12KsUJGKmKXnUaFL1FisQYOdrMv2DjDzoC7sLe+U7RryKix/ibaHnZE2bH9jK0wV
JEqsQpB/v9VVwNZqtMFrCKS6QHQwLwKNedR46NjaX/5S/AJ38flkYzzkBtPx2R3TJgOLGNRUnLfv
qjGn+iLXw9bcDjZmHvzM16/y/zsdE0T/v64evaA7zKMAXKyORjNGhC3/YHPSR52NK9ze1WwMRqr8
NLRlQFGHC5KG/O/azzBLn0MZSPiZwmuh3HEYYPwd5j+CTAkqgJOhqVtc9Om50Ers3B97YgIPfTo8
V3FzyxkHLrhkk5DWlD+xk0sAyjtkWj0Zs4v52OENDxyu+Xsvl1oIMZpyQpItL3FbVozdS3kwxuTZ
oyoWl6/krr9L3beOwwoT6I5TXqYEm0gpzetsEG1zRIjgvfaSezgYfPiSZf0WbDJI4geqBCHlMJ61
2s25dfz5LmYM2RxP61g1gTMGmDe0Q3GJdYEvt9JYViHGuvLRnPGC0ZxwoeocahMkLd8ywzxI7Fcc
j6qmyS9BvfzhyyafBtLq2R4rsjXNTO1SSmTmqIL7KBbrCKjcoBqLMrYQO0d29aNeImoc2EZFomiy
sC+S+tHJqDhjZIVpf3VEaL/sqMIEXIXhszXhbEvGjekv+XdY//IaV5kdEYlc7TptaW85xhmWUWsf
DcPswZukfy7IJXomO5OatLOo31Mujt6iyJ5X9qvnifrILVCdYnD0j7qKcUzItJ99bDcR9rQDjFFR
3DWdfU8XDPumSMXPpEnfQZIiErjtH0MinjFE9f6WAjyNecGsNPexiFm+VEnWhlInts3u3F8g8z5Y
AGOUp6v+BFjyQmkQjUvfIrQCLdnVSZefTRznd15pLydcTJfjQulgB0vT2i2a6vYsH3d1M2ZHvV3x
jgBEqgJpVaJ37xD9iSsUw0uFnsTK6vRHrDUuSnCKCeZr3uj1Kl5J97rlLi/dqP9QnfG9GlWLOzmC
Sar91GHIasn8LMAHaKx2eC7nzyLLS8St+cwgtVdzWVzbshmvzorezVB9R0u2p2CQ2jvR13sRWECq
KPZ2cV/spyRL3mEK/hIETT3Y0tTeLN3RiM/Qx73flzAbnTo9FHLyf0jwaxn4cOu7eL4CfCa7wsZO
aaCCfMKRf+fj5P6zC0Yr8nLPeGQHYJ1lk3bHDu3Za2orVO9Uwv9K7IOdIPsjCSRmPW1Yz0FdNGv2
iH0KrEE8W20MtKGJ6nfR/MVWIKVGmjbhIt3gFbZxfEhSD8Fwu5CxteTLIxDDn9lU52UW6nXslP/c
Y2yRVvCZCZqWR5zAGY62+nfBm71sNe+cWloRfrU/T29Xbp1beztsl389+6vv/32J7bS7xNs4j1mZ
dk5APlF/rKHGnw/rkbjjrb092uabIdW5aGv/r4df578u3/q2w//p215n65sNVe0svZlC9nYF3m9V
1TCprg91jyUMcOp/91qDzYJgPV9oUHb35LH9p/351M+jmCkDao52SHLRXrZDs06zo11jPra17W7+
7zbu1awih+xWz2by4hg6t4NfWhEkouRl62tKl9E9s8fj1rcddLTpejrGt8+u0s2fEoaxrycpkhvP
Nm7+n33biapbJPWd1et4ffHPvkzrQsMY9PNXHzvOCDN767G2C2Of+k1ydBqsxmutde56Y+v3uAxS
pr5J/ZS+8VFCRH41dW26LLEo9y4BRM/1vLB9SuYQi7f6Rwrj4pgRAHmiMIJqGXUiIXs7wwyG3SAL
sJS4enDrobvZWXH0mWOvJHmyRFry4oxy7Jiz5b9WWLYeMXd5r2Th3ZEf6nuNbRfDSuI+jGrKWOHr
D/mkLpihlFfSewWROhC5YVEteyswXEJPSvzj6uWn8LCd5IMOXgH0Hyol9R/4rVU7MbrVXl+MJ8rN
PVvMHpvGOp+iDnfDoy1rKj06hkyGiVCOpfcuHwb9vfVGCKMqX9UUIEkF+VBEUCXW96z5Y3V9x04Z
QmOfOB/LaDe7Eu3cS5FiUtBM9S+w/Pm6dcnE7O9BUZ631nZAKJwcOqTfu+36rU/15nvgDPK2tYa0
XqgwTQ9KzQE8NSV2dZmPL5WIK2Sw6bjXknF82frSmsUu5Kj71gpI5bymbfkXG5r/XLBMWFWDSsJB
WV9jO5Tmv+noiOftZYJmSc860YXh1wVDT9yDrcnivPW13Lc3pcX3oKOGP9c7/BKTJ2MpdUI88/ng
+ckKTzBsb32Jkz6XFRXUrcupB1i3Rf17G9e3rnRc5khvDPO4NbO5q19mUPHPV6iIwDYhKm2c143k
Ch30KWsy75R1jK9Ytvw36fbzkm5hfW7E3776/+91QPwVdEjLPGyv93XhYKSvE9U4djblGOHgVD9g
GWifrWn1z2nTKdz6tsNQ6/WDWg9JpkHnNOdl9XxCmvM/J74uNvLFOzWm/vTVtT2ai7h++Orzs/Kv
HkhWPzINQl922UNtUjIWhPV+PvrqczUFiUAGl+0KjQrT52VV0hYnzYQMo0xcx7PGJgxFL9V7AhC0
j1kzHLamIeqSNIQe3bXndO8ijleSz4oVrhenoyhPmRCQqtfmKPqGxGB4Jlg1sfcS7rsVFPDbahuE
eW3aFNVPZgdzX429+z5VcjwJjRXbdraYuvykZDPvEhut/KBc7xJLFiVuDjqna4bAJK1w37yhYgsW
iI+t5ZRG/rrWCbZW6sfum2U7uCSp8nnrqvuE1UTZLLetCWPKjshw/NHi87AzpzZ4c9JBwxIs1fZO
EPhvBkujk16xqNuaNVYv+K+xyNkuthgunlAwXLeTMYyOt28mP+shGmeL+6ppnvT1RXPFclcFQXXb
LiSWmDXd3JOMRHBhuPWNzDx70eFCFbC/D9JmQETDlDdtE9s2N/mmFwN3rmUcNSAXiSzXXE5e0R2E
NxRwP5P0WOEW8paMz00jy0OgEQxdjKvv5ei+AhI4FH+Nfl/DynrX8gF0qtC/9UnO7D5X5btjTDPr
fEY5QmMK1uKWd11S5M74iBbvgzZRbAniD+ygieCYMH8Oevu4tdpmlG+edWZ0TPcuWZYerKCLZ5oB
8q0cK+oqFu/dBJJVtJSkkNGYJ6NKvEhQE1hRPi8aYLrs08LuD8BYKzbms5wvX+feqiLbLJNTYO4w
H/Wf3DUPZjuYxcmytUerkt96UyOKx2/nR940Nhz1BF5dsHfRLGSRGcXjKHEbpIYmHoK4ZtU/VTU8
xXGrv5FkuDFuQmkH8WsJrpW3rNV1reXzmQ3YRetheyTWNYZb2w9JlRSfXcYUpxfNGl6yrvjduL51
6oixuAsHf7iZJe61bMvvrL27374t7sNUGn+J2TjkQeewWXrs5iVkQV5Rw1YKuoSThwHmyt+SlX8t
KhkmZGO821l3TiHy/jZKjOG0p4IYkxfTra8481aH2gCnrbSs2vtj1lD0Tr+x6GuPg4+QQahA4E+f
qyd7qCVAgJv+luKnnizuMeiMlZ1f+btZByOsMlETnO0D2uowY93FfF6ysXob+2xVFxbisjWLFr9R
SBM3lPfuU9zP1KH6sUWrYU1PqbRXfVnWHWAFZ6euxSPE0aoTcU+EOBSuPAH6yb29ysrZmVsvLP35
8ws1SAoUO0hQ+0yj0E9RqwgzU6WAN25om8+kDr4kCyOQxVB7SGKzJu27gvWlGc276Sk8a8vq2WG3
9j4svvGsOvOwncP6NLj2ZGiHk/unZ3B+t4UXvJYN9vxEZLwPjjWTok0I83puwggOrJlU07Wl47f4
0g4g92troFj8UpHEu7XwA25euiA/iLhx3lXdErZblcftXB84+rMXy9Nnq7HbZzUuZ1vPdWwtzFPe
Fsu9XA9KH69LpkzgGlpN3w2HwddcvIxM9z6Zhseedy5DEB08A7ZOaz2TOcwx81xeS1O6d300OBvP
atnbaTpgWLu2t1PbgQImMU/DfWt8vlTZdg5F1RoYtRzFaRxKYMlOEJjmO1IgGMI5bGvW6x+gCODy
7JX2TNUCOhHNSZlcvfj6cu7F/PbZ3M4YshkuqZPfy2L4btdZfS5BvO7D0P7ngAOmtydXro3+z4lR
D6YHk7fyda2yPMMKu8loQwjkWIusr5IqwKDJzDAMsOPk0cr96SAGxJRGoSeP3EmIBNxhmW9rhtHW
t13nEw30uDX91n5CcQfKsD7/q39pO+yLpKvhy5hIlnKxsRNzLFCccqgyVUEwRmI5Fg1F5LUvtRk9
MQJKoHO46q10qvcmbsV9awXBHK/UShLJ15OjyrSjNroZG+mqf9Pdynxwyf2AMaIgvXBFCy2VzfHr
1hCSGhN+9cttaxoKKgdivOK4NZu5ys7xGMAcXp+JjWf5uIzp5x/eulxnjlJZJC9byylHINYRT5St
mZL9vnftFYheny5cp7mgxXDDrVmYnvMkkeBure39qcQ8FW4pn7b3Xq48r8nJNPI01/e9Eotm02j2
W7MhXJ6fZkXazfbe3BIbpAwjqLW1vVoaD09FA8RLYZnSmmNUeqS1nby4FAsAkueWsdquu5PuUhlK
CP9896Z6DrMk8X5CIL5KHpFJx/3UOcu/4BYfM0joj6ZHLkJRXryS881Uz9IwJKOzucPgKE5N7cYX
ZS3iGsdaeqIOWZ1qTDwfzTL7KLBn+6Nm78WeyWv3/OZPVdYukcv5dDEaQo39DPYN2E/650whvgPB
Z2NgJH52L6Yqg4mTJFdKpMdsWt7cpbJC7DihbzSF+6CWvl7CsjX4eXOnDkX5uB001y0eQUOxyI5/
ejg8RkOOAt0fW+ppSTtAuIJ6joZOx2OzR8USqOkKWX45y679RWymdnaMcn5z+paf3fRkkAf/Qe7a
72rxIwr0OHc38UG44m/bl/ljmqX41haedkCmr380TmawaFUHwzfdd+EeKYkV36xlGQ+WlmZ7Xyuu
iRb8ZrmuX2yZ/rXT+lc/CZvyTuudDBijVNl8grMwGptkVuDAhPghEFb+z0iRqJgdHypSS7HS48bO
2ynYmYLyUgsR4KWujyDyGSU/Qs9VlRH+gjsxVQLjW7skwckJqHxCfC/2rcAe0/YgK41w4btuiG/O
Pz6q7/tYGS+W3l0QorchVajkoNcgYg52lwAvE3ivztpcetbjNP1jknhiPdfK9U9z2WN/OEFQlhE4
o3YyNOpqaJraA9p5E3uQ2Lr8huqh3wsQsB3+Su6ucqs1R3Y5Mz1isekmP9rSl6+LyaRNl/noUbiH
3O0JEFMOmj2J2xRkv+eK0MVpxDuXqMV/F2QwjTID0gCTLnIGoZ4p3hpHp3XEJXEqUPm08XdJpVsf
MD9/jU7W/Gvjgkkt6G/a9y3ibwFYXzeYQ4yqD3VM6s4k940vem2kTy0sla21HVpHGQeE84Bj6xXb
IW5MmC5TcI0Rq7xgo2JA+8tOcCP2GVkMj4Nh668zpdV9YFLr3poORor3MsMLfj05wC58HS3E2JM7
3LYuC/XB0Uvddtf5ufEaDJaC5QmBaG1tXYblYPimivyyPWGdfc4WMzNrl/RUG/Hq9tn0r3MMpdVO
m+etRSZVsi/8mAid9eTEzoZ6tbpsrcA0+tdUK2AIeFjSb30mGSHnIahcVDQ8YTuwKDlwaxAvuj4h
8bV5n7e5DhuBK1hVZ0+9SfVhPamth2kE+NMQDZy3K4C6x0tc4wL19ZKJX1wwX80/33OZjnWUBvPr
nAF3zI5hvnYx0WiVFJeiFMx0tcr+dZWLrzRrpxdPuC/F+KchE/cNTDOaLWcimqSy3pqp+S1yjCa2
c0C0eoQ5ZXCCMWq/uQZ5htoQjPvt2soyk0tLTE20nR11Kj3ErzvH2H5ivm8gw8i5vASCFQRStPRl
O2COUu/bPK73+f/0mXNahkkbYN7tmunLnEywvOIA72/7WIjUevXr3nrNF41BH07LeWtmWtCfjQV6
yHaJMbrWKxPY7JXp5/VVRxl5wqX15K5PbxN5gO4eY4iOtq3Veu9lO+RZx2jXjdPZSzLvReGNfp8y
DZm5CQGtthPU0STSHLeLQQTFM15y7GliVUWwfrs9H9C0h9j8n9eT/b91qcV7lP0Qo4hNeUFLZxJx
1/Wfza1P2XInDeazrUWIaX1cWgh2n00z5llLeYwhbjxuXZO1UM7rM51YjzZ53frmJb4YFTfG1pJK
G07KkTVX8Ee3w+DOjw3kkIfPLlSQJFqNQWh5Vfrk+dzmCu8sdzbtkNoulWJrTF62Q6CLo15by31r
TbHf3VPpH2uzSPNo6VYUWLZeuJ2tU2b5wjGBzro8O3z1WUH+N9B1Jr2h6Z6NFFXZX49s0anTX7YD
vyMcPAaq1V99sT2+y1Sfbjj66C9DEmc3abjfvy7I2afgvNF1x68+n7gyNX2+aDeMGFZgIxQ5kzvf
zDR7UlNQ3pkDyzsl9MuACOKytQjKdPVwexgU4sVQtjr/r77taU5X/5IqTnZG05aQfCrveTv4EpTQ
QxCAQp2+Rtcg6VKLkeMuR6P6KrO4eY3zBngtyNLj1lemFVhlBsVcVHUTzW2sh/z24/N2sW2R0Vrj
UmzZ0H8anTisgmF2n/SpfJVL86IACh/we5WvdY7JrS20ONKRg5L1MF693h74ADgpoE/tKKTClDJc
+arPMnvsMv+8ndy6yBkzAO+74GzMY3Of7enqSjHwfY7We2ePzSWYZA8raE7KB5k0+6rZa/rY7LrO
kzvDSRaIR3F3sDXLexhyJBrZEOdr/NieHLdvnRXX6OGHW9wMD86Q4NguqEmhS/gV99nBERge5A47
nZoVQNAY7WlK3T+LX8Fgk2d9SFBOaAJOtz6YO8UaJOpYfVQB+UJmGS6whKMp1RCSxszmW7UPfgzq
ehsOuq6NFxgT74b00mPChADArUNJh6Q8DOZVX/CaU4ZmUVxAneRrx2IyP9h3MdjAXtg1ln4v++JM
GLV2a/sGeeww+udyQABnWe9ZN2Zs/3z2ybA9y0H4r0vpGJeZijZ4hwJMtOqwrGaFZirUJ5J0cSem
fDuTBhA0Qx6qhTmSzfCDPjwbogueVhO+GRGDO7c2usfEutldph80glHCOv1YluWNitAuVUZzqF3l
X4eSNBiAAB5+HeYRB3jXaq+Yln2DYTGRQqeGQ+MJclxNM74P1R9eRlywW7FCfJ/HyLMtKre1ZtxK
1qqlM+nPVsErj225XB0MZxMBSaTUiFzMTTR5c37qjFFeZB/LPfGR467zvORW+HLZ6cr8lkzkB8CY
6vfJgkRDX5pnB/rHc2va71qWtqcSt8YbNonwSphT9kXnqVtT16Ak5oh+a4mjpJ2HG0SCUy8xZFQy
jyrZHINyCs6VNbe7gnUDWytbhBZpWpEc+pPTrozApDf29ujmBwjCv7Bq+rmGiZ5squQRn9YQQYfr
I9zZQPD43bidBl0vV+pqcMQnAboWXhLs2HuL2d5yUdvov9rcnNHV2fI6QjQ4ayvgYXXP24raWJfV
LFH4GfXUQQqBMUuVYxmRjkp/N8ufg6vdiwKdL+YoUZE9w17+d/Gt9kL9TWcmzCWea/plrlvjxUbh
YfOzp9zryjGHf+O1kVWJ9NZXbXJJJlYYpcH9OwtyeYq+wW5vXH+9TQlk5Q14UnjpO0G9LDBzMFS3
lfIo3PmXb+v+bfJzFQEFKgEU+kl2IFuN2pLrnZNBkAiRIKYxKkLLarkiJd8QAlTRmKV/urIhJTu1
T8zlQw5jBXsreeAD/VcWRMRMwPBUHwjlUK3zBDBihhnssl2cda+B36Ex8zvS33SrPgvJOJhpdrSM
Qxc1PZiArJ7wNNVvQ5oaN7UePJvASg8RZlGFwkzivd3D1BOGyQ5F83rGXqfbJ3nuR5CyDmmd/NGo
PODEkOIoBJTxe3DG5kNha86kfeorYuw8H02TmVAD0SfkqQHL44ekg8izPLMjURF1z7ax78SalyFp
AO9Fpgv+vOesFOrdjLj4cQoA2KXZz1SFkxeMVZg+VQtDKdZ7ePh2dptgXobEZrGqYFPY5zoaHlsB
Xi9FcnCD1X22Hf4kflxiUGZBb/TNAhKDXUE8jI9iIarRRDAf9gZSJvV3RDSYQvvddwF0Pul6oM5e
aFdKjzCarvd63cNQ7jUCWAxdwz4Sv5gkiSksNP7r3M4vk3C7G1BjGS39jClaqR5RL7+ANHehg5/8
OZhNWKBm7Jw9179o8RBctDz2L87K02mz/mfnB7cmZZi1O41hrGjb04LDEhGq/4wQUY9t3/9D9oGF
JthN9lqTzw8jWUU3D/C4XgXESWG+Fp5/hf8ws8qeYj7B8Z+JXTvoRgJ9Kcv2ptXHYVcjoiizFqBC
JTZVt8Y5tX5bh07uqiPU9RpSXOBAumEyOCBmvngVRSmzxnML69jXxul9UJ7a2OVZdmxmZR8H2Qbf
i+ANLVOvq/j34sodmnfm0mClyGi/U2uIKqdMLuaUkI/Y6t2OnXpwGiCeHR14oPBOKElpMZu3HsG9
59SAHrq9Y834EEzO+FSMeBR5tDCTyffKTt6qUnOvX4d2rL3PpsvK/+xKJGLEfN2dmLVjMDrwGP0S
omcbBIc4iYNIBLivGQx9EVvm0NQTbsXYtq6LzCibsvr4U1Tmvkry+aIv2DdhFPVsZMlfZ02IQqpz
w7d4+zGyO2MiXg+reY5dTcZNt6V6Hgc131W2jty0giZRzzJlqdvK4tgkni6iwuNrhBN21hT7j34o
WHk46UdemPgc2vWTY03uYapS9t/rIf4vxs5rSU5kbddXRATenJY3bdWtljkhNJoR3nuu/n/4Smvo
1XtmxzrJSAdUQZKkeY17P3sdPLRWi/dN95w6TXIJmR5cUt+JdkYBAQA2dnS1bPNZDwzYG95Ii8Lu
cQBxxfpevB+U+nnGoJKFPSZn3SJwpmUnwYDZy440VGFgiaa1eF2BwPw7UDr2i3q0TQsPuwwjRFLL
L0FqjJnXssyCX4OD7PmyEaDM+l73sXXFcAuOBGagHhzroAeNNQXDxIzT51iWRu4QlD7TUItrY05P
ajiPUDt8ezeiSrOdliQyBdO2N3lYZuoCNHPCFF5Jh/TkrIEu8sziCiLjNEwwUoArPXRm96y0+D/l
ZpzsdEw0561g5sKFwG+BP9s7w5TDKZjdhzHVNIaCXfbosTV3iZvqbQZu9BmvDdCGxY9wiNLPao5L
jNf+6RY+jVtWCZxlqaCedWY6KQ3K8VztXoKJTxgAK0/Z+VIbDXDs1UoJFcCePkiBqc7Ni5wG18rX
qA7ycxaXdNlj5+ww7AYewpYCILhi3hYopkVOYfNe2FuTLu9+0KD01gAF8F8bDknD9ZAc8e9jFlhP
yRy+hUjBIT56mLCW2znOCMF9wRsB0N4lGk8X/d9U2aZ9/Yt5TXtth+xYjzWfSVCBiYOltZpAEmrh
cdb12Qm/FXlpfEFCHkXO8ZOeBNYpHZRPM4sAC71VPVbmYjwQf1c74xR7Y8hu/c6LZ+8cRtZDzFba
NtWRVWrVHOE/A8S4fXVNfbrT0vh1VJmlhlWAjGIIZXgxaap8dG2ShusBBXq7KUAEWd0dbDa8wXKV
9k04Ip1+dYOjvQDbdZHGViYmAib9tLbg6vO0b3ZFantPsACcR3V6nUHwPRmAEew8aA5VnHwpGRgg
XxkBrSzZTJXknOoZY74yA6CpKMekc0PGT0YK/MXa5UFnbKuy6E+wI4rXzqyb0whbZCtJPXEa8Ma1
hV+o0twzXOb/tJ2908vgz8lWpmMRp/MV4Y+nfgbsbbp28hgg5fIYNFrNzjBSmE7vpHurtqtjCQ3c
CGBnKAkScxk/b2FquANSwU7IJmMRbJx5zPbMoh8N1jnoxXdZ9tiFgMV+5PYrpmXtOVswM+WCqwtB
WJxN5zFacKO1MalngBHhgiSVYNKjN0Ux/H38d5bkS/Vsee3qSxlwX70WOt0mK1JCAXo2Oshpra6C
nX+YcIQ8WeFr3IAU8F/GJkgPAXReuzXgFg3jC0LlqBvieXfT1RCMkOCGMpMJgxs7KHkvghtS0Pkp
JMnxj8ltggu4LGveM1jll0hU3mirgkt2kmgys4IEC4u/N9QFaF+31VEQKpXjtEAKGctml6IHbh00
eD34m0TRlnUEcgOwWHt2Vb45Sr5L1ACH3D/NfgDFvNy4ZjmjxFZ8oq0l6rwXqKJkjnM2ZSepGTkt
dwZZxOD38e1yEqmlheq0sZ0s3cmvTNCaZgMW4bPF1e8YNOpRFEYcbwvJfTiD4fzZLc9vNCPnlKNG
LXvAEiRy/yUaM0VmSwvjO0lmWXUMS0XHf2b5TTm4zwDvjJNcUn4GzsthVA2Ik/TV3ivLP+W4dAzg
mC+P8faEJVPwUrnProu1kEbXvLHUuyNSK3gyAfq4YX+lNUC7ZYd6nNJxr+r1D8EDSzAAo+5q+HWs
pyI5klWDjRlR5aT08W6zl03vG84rVIPvPczFvdeEPFEbCdFDmzQv8uztxH0cWPc5zLVBt24NEXp7
DN3Z3iouqcP0rw3RbFsfGthhHQh1E+zkccnTkFiJx2eykai0AivUffaVu41X9PkFX0cP9JlElwAi
Am1DOVZ4vdO3DMkMEAGYM1bDGIG+i8rRDo4UIJFdI7/conPag4ayo5Ncb2wa1qibXdwmX+ZRv8id
u90lqKWbwkqnndxruStJWzD/bzXEVxYMgDwTOUJikndrDpKWwEhxDGm6EIgmoo9D90ke/K1pyq1Z
W4OU1Kx8biow7Du5FfIj9b7m/rRBoW9ZQWeUa1V/tIttCHKXt/tr5k4/A7wyDhmjAVrdi1blLUzb
8JDPEJ1bffqkL12HfLaz2HaOczCDBMaOb6NC50QJt0FPyEry4v+58LvfIFFsryC766F+q3l7eqjJ
4FDaG/pOugD5vnfIjZ9sAFnjpxQu7+3m3uAU796ad6CKj3fQYBuviGBNzs3BCHNt3sdu+F3pMnW/
3mE6wYvuuFC6185F7Z8yTCwP8lt6v3pM7Vk9oNHYz9smC+/aQVeAeSz90PJay5ES+9c8rytnhAPC
ZCctoY/TA0MYpi5LQ9BHpJ1MONZr81kq2NVMBVPfDkiwnaQFj501nKbcYlpS7XNnwPjIXcCV/3pd
u0jPfghW2MsN4AoLIGVte3N87+oLgNEo7HqRt6F7W7plaUmSXPMKVn+WHsnSZ2fvO9UAZiV9cgKF
PlLqS7C+re+a6C0q5XPlDSevMbfSEm6HYCtwVN7ahg0C6QuZsDdHFLrP6xu+tmXJk2SwtEK17w8N
IL1j6EQHKTOlsUuN9fiPTVDS8tQkdjtG0rfoh3JJfsi7Nduysu3fXQ+2cmzwp+Y5gCu3SYHHFCkg
t94G4bx8OHQPommgM1Gd9AM+FOzTMy6QJz7YOsagzmM+t88OYwPmh3c6KxazWuCxnTzngFKGurta
C1Z1HsvnfHC7g2nODCUaXd2pQcHaTY/AzIYN3oPwDqZ8sYs056HeBVH56GBevD54uaokb6/TmpbM
tZl8OKQY0vbUYz8ojVGCeumuJaYn0JfMGM6T3H05SQGecQKzQrPrfWj1W3lLYLWTK9F3uYNrfM0t
RJRk3jLhGryHVPfNFi5FyA3rYiU9sw4ONSRe8A1jon+OeuDuyJjs5R5LII89XoYnCOUyR57SP/JJ
v3ixkR3UebwmZolAmdedpJPR6LVbOLsl6rm7sAhuXwCj/RNSfnaWE8qTlxg9fbuwYexo+HMevCfM
4twbZtlP7Bcfz7NDLi1i7QxUTXXOHLf+Pr0dtV0/Qbxf72KZOfSkyfKZydzM2vkWdCEhlcAL+Aou
2WAk7iE/KlXYW4NyYqCLMmrW/qZjJoMt8LrVcXKd8wQwh/3cI/RINIoje5vhGHYbXd1mUZEWFOy5
6dqtE4ZL/VAbiXGQ88vv8u1oPLf642zk7UE1jWd5quujlVjedT9jY4o2Y1Gg9A+F/PcEbe04FPn2
S/o2sGN6WuJIw/QBjP9ey+wcdn6bD/cIspsnoGnVRVg7Q9RVF9rCrzLMstvzlSex9jHrg+ED/VcK
PdOcvHpnQZBGFsMxcDgpeAlcevAdCoH7klsmT0aadaCy9mgBD/YLfEP+7sylwtqjr0/y1qCX/n69
CWupxKTK//9UjNVG2Ev3a1cvP0aSt7H4mpbYLXOOsP1gQIswgwx0lc4+qXgsShW57G3IJVEcNnnV
blH2tX/D6m8fSvmd70YZt2PL3N0CC7hjQxB7DD70Mn5lc4Sla3lN5gI5mG0wmd/RWmE9OeyTU9GE
obqX6reov3xBI8AgXZDexnHSUmVEtwZr3jRnbDloKEVqwMSWQZj8nTW4oSQl/W4se/v15TzCxLkf
C3TdeuIN8PSDzS7VvEWvt2AT6g9XfohZX3RXV88yLJNBncQkuJ16GRZKko0gNK8DCCBrZamyJiW2
ButjXPPWa3w4Nso/dwh10IfRZ0rH2QEEyE+SljePO54wjV/Kbz9+LrViEymD+m4YKY/w1vLmHwFE
+7M01wglXUDTyzMIuw7JDWkp/xyVo29dFaCc5uSW6e4jFSSAKbJO4T5wQoTgIaVrwToHlAIJ1nqS
HPyfg1bn59uvX1ryjeyxvjO38cytMUuup+cd+yd/v3cSu9WS6Me0HHQ767taHy/w8ShFY2OjtV+1
GalZ6VfW0YMc+095axUpvY2zJboG8jzWpMTkuH8967vpjNSWih8u9U95H8764UrB0uFjNFd3IYy+
5RXHw5m9imq+zVXlhZeApRTImdCImLwvy2xrsObNGZ6g0O+oU7UG0Vsl6W7l5GvVdyUS9c0AhBBb
8LcWLS+LvCfry7K+VP+atx4m753U+6e8//VU/pwv5P4iBu037lwc2hjWLmNh+XCtwW0mu6bfrVX8
U/UPebf5xHLa2xXkPB/q3K4wJN6dpgy/1M4Lt9I1yBxUYus3WvqQNSmxdUC2Vv6Q9yEp9fwewYD+
p1YjiZAUNkQ+Xk723hneShO+RSVX0jNL2Uyrsyo76F7xsnbvgKmgja9pZV5o5JKWnp+xUMCKkpVZ
7m3pyA+sdt5K98DqP5KsDcrAv+lqt07DVllDkN6lKGdImIi/7f6pu12bgiOT/rXO2gzWvA/NRZJS
OgZNypKFC9NrUGdz1zl6Om9l/psAMGC5KBlfg3aIDrc3Xm7KGty61TUtt+tfk1KwvrqSDFhI+d19
S/rDGSRvzhKwE1rCa7R29reB9a1cns96ZINXCZO37GyxMGIsKyTvZo5rNTlWAhkYrEmJfagnneia
9+6PS8mHQwavUvazcQ8q8KmGSoFrgNRgpdzQQHIsH64SR7z2RbouP0uy7CR3pkz6PDvNqrNpMsc6
ycu+PtHbu/9uMfPdUGGtKjF5vFHRs6J3q3Rb5ModRE+MOEImRUcre5i9ku0Y1Fy06UFe0ds6pbSA
cdbj5qu8yL9XtWo12GOdzdZJw+ZgnmfnBIlgWOKQ1iSoG3YrN2vatwIF/bPQ2pSL7rAzWxiQ0SGv
Kx+WrgVHU/evwtm22ACIVLRr5K7Kc6kzqEx6VbyWMTwT4ZPrywOeW0R32tt65ofbLzf13SO6TV1v
d13mLBK9veYRm5OzZ057ucty2TWQH7Am5cZ+yLvN6qTkI5lzrSnF61/Sw1Df2ljrbbAxxCouyP23
rojHo4EQ4F6HMUsS6hkCpMUZn0lKLZ29M8NBpmcp9TxgnnqS4N1UBy+Rlh215RxqUmf3ZVC3G6k1
d9l4UubS3Kl9BkhvGIpNE/GqS+Blrrm1PQCeGpiiuzRxD2oUWvkeySAMl5nZ71mVBDU8OedGD5pH
OFnsNSMaC/E8c3AvitW71B9fF0T7pwAZ2E/wb+odqnEjqhwkJS9D8ChL2J6oR1QgYrtKP8Weg7Kg
2d1PMVoIDrCFg87e/tGz/PkprZqf8B1PvamVb2Nu4qqV+t/zkiF5jQ/8xQ9UkOJZ89p7s/XDY7We
nV0/YMNBa1HHGYZN0NT1l3oG08uUvPysq6m9RVEHeFWEbJdaLLYAJkvJc25V6Dep6q5CIhhlqBIc
N0aM1cO4lLCUhJnAgKNAmGjHprDLh3lKqgeJSZAVhYPuWZ4jLMwivFXEwa6skB/yp+GbyebZsVUX
Kb9MrQzsSFDi2C0LwBvXZ+YWFzGq1yqET8PHSFRFwXDXZgWYIK8dmA83hXsBqcH2msdie4vq19RP
0dOwBBBdoidfTb4jq6mcJavMMOlGdxFVrgLhM8Nit8YJnhrUsJ9UdkKfUkXTttM4BswgKIhtD2hV
anMvcyxF8ZDdTMPQPWhJ5z3OS1BnwPZs2hbsamqsBaGepVutdHBFG9idMSfM5sZRRxfG/2tKovnh
lgLNgfKvQ5tbj68iy3tEZSbaVmG7QffU2DuaZe6mqcnReANMXxiaebEdoM7AWrWdbutJu8EKHhkM
HMBLLyzvKqh2d80SrEna5zEpWEMdkDay4aaV+iWfzdTYaqahXSQopuA/mUVfKdvJg+XuhSmLzYga
vPY+gFHXHvtvyZB/NdhKBxcO3Z93y4TPDDIRtEJRoRLTz3+x3fklzBP929QkoBUQxHkNxgzYNTpY
j7PGXrI1Jda1cvP+ovdxe0rTuHjgEWhQ/lv1UzMqNK4sNe9Vo3+tUQ26d6PkcbCrBuqrUn+KezaO
HMQe95KUArZCPyO/nu/rcdNj3LGZluqxlmLKF4PlWo5jB5ssR4F2S5+xe3ewlX930tm8yqnqxtQe
HC88QQ7DqTNDFu3AB6farb+gDZJfYTgnt/PWxtw+Nl27z1VkbbY+Fst9kL1gVDizaF80zJVt8wrR
ovkE97x/YOn4LCmMdttPmNZBhspGxJqWGpLnGOXHgxL3VXXR48I1EKA2tB9WLJaoAoPuDv20/q4e
WFYuU9ROpMBByeKMDGYCmo1boZtKe0RsU9tKUm5PlqrLp8oBE7bcH3scAbpUy0AvPtrjr9vfSZPc
P9pFDedsuX+oToPIyyYPf3razDiYKKdIVIIqmGG4r2lpbWOLhOS7TCmWkg5yx254BDgDAi8YNuC6
sFQoKzolvf5a10F46u0hQOM9rL6X5UHK4yGsD6mOalM1Kw4L1oqLWzjrgecmiIK7bgmGBN0T1/CP
7wr6PsVO5i3w7XgPhSG+lmOGh+ESSEzyTGbZWDbYKKrFWtTgN/gvFeWQW+316G7EHPB/OSR1B/AV
qnb8eJq2KxC5fR4fSpXVwO2HXye15SJTUerNXdouPAq2HU2rhQGLIuV9tAQ5AhP3kpx8H8XCyB8g
r6sxi+tLcamiXL5ZK0kMB70rH76OfWQOjl1WVcKy8vDEmBTl4rxZQPFRlpLSD4dKUi7cojp6chAC
vx0qV3t3RKab+64EoPGxYPlVUxlDdnyeC/trij0pyKXZTa/tVKVXd4wAnGgob3YZ+4wquxX7pAi1
F7UMhztXr//IQ019GexCfdHD+qGjg31gbxqmC6KDfP16A/0vp271qw205M3NOBWbOeV9iprBW1Qp
X+AjB49SaJbBvV/E9pOUgRTepxDqPuVLzbF+SwbNfNX8qPisJWepwjcne1GbBvrlQ1in010faOn9
uASI++nDxkxqonYzb+izQeMtSakD0ZSNHN/9S00G3Etd1i5hLqVvmVejo60Z7VaSRt8MJwPX1F1p
Wijib2yr6z9hY4V0kTXq+whC5VvTY4ugwtc7LvzKN6Bg5c7OfPM0Ypn5VNrjKxCa7ptV/pjdxv1i
KW57ycoI6SRb7741M0AK1bHyJ0R00NIN+1+BY7ffgGzpuznGRdxu/FcN8Bkatu0A3pNYHLb7GWtY
+ML/yYIW+bvwQ55uOaBis/muHLx6j19bicKcU7xmimVfmrSb0Nzui1cdxvQnrN83UqgAY3sFgfEF
Jq96L1m237C/4A7lUZIjahJnzZuSrSTr2DWfZnbpJCVn7Ab1XkXrTYcRfQ2mGVxCYYXGtUYrBlp0
7aPCZuf3LLrH3Q4sHrKeSMvuK39wLlLSt763N7XBot3hdjL79DwIxkRvvVr1Wzg+0UWSTqTawBSi
/ipJGyMifCB1/06SszL9cPnmP0hq6rMn+uv8yYjB9/hjcAqjQXlOs1a9j3xoxKGPXdWQV08AffbI
TvTPpdd+TuJWvQJWGJ51veVViVGVrxL3TipIPrqIh1KpswfJksBE5SiyITDUnY7haoF7bGYHz1I9
ho72lJvPTVMc3M6tMCys98iYl1d7copr1EGWW8SCy6uiEjRd5SIzq0672OsRHbej5jHUHKzAJ+sV
hbD0m2pV3h7dzPIkSTg6QOr14q00RyQpjR4swVJN6yd/g6YfqJp8xF1ZbQGKV+k3UNTZETq+c9DZ
+/hmW8Y1dxXrxQwz575MLAAWS7V2Uv+aQEue+bRp9wzrNNyIiLlLMGupv2UFrwG/+5+8tYrELKX9
q+p17fhPx+stAJjOjh/rcW4eRqUCLl24SN+B6jL5Ev2Vq/5ncxzst8YZ0QfK9eIuCw0bZeMqBRE3
zF/6yn2WqqOR3tWR4X2tm1zduXVs3aelhwFLXaOWgi7sZ+hIPxXEr/ZxsXWBDd2pJS+VO8Y/Og2A
mGW4zaNndsFFsZ3kGKWh+oKqSr2R0zvzV7X0mp8d+0bAiMwYHcbJOLFmW6K6W1rPno3mOK+7g7Cl
lm+SrC5QxkWj6q6kT72zy3DX+3p8qREn/11wqyPF5ZoLjwTwMzL+O3UO1Hgn5SG4xzs5W+y4ZNoV
dMLKMc+3pBTrnpaMB17t6FYz0PRny0yso2oPcLfXU1iOebWBl1+c0FL2qVbo2FINzskC73vG66a5
0wzTOdhJNj1N+Ljs+lZtPvM2qkB/XOc7Y+dntHmUX4336g4JQ9KxsA7PL3ZbmD/hJCIWadLP0/p4
abPEgaQSzPu6quqHWG/rk2lUwyVyWwt3X7/ElqBz0McCrErHBzNTL5HF8nv/WxyMn5PIVP5SQFre
LpTlGlJxhfXnlA4/QkVxvmp2k6F2rM0voY02OEOU4BEKtXvMFlFxVfHTa5/G1pHlgPTRhQoExrmx
WD+jI7P9OfxGB/wd8qHypx7ggww6iRE2g/AkcM2/MpSR9a5/DbDmaNpPfQdmGZ3i5tVrmRN2faU9
gtvogOfgsATvytmxuOb7J1038KAanUXSQE1xi9O67Coxx6nZAkQC4b5LkHXBv+aT5gzea556X7Up
Vu7N3vO4B8j31mFaXyTZGSjP5U7cnfW4R5hKY1x27kqgbkXjep8DCOmbagjV+74q/c9RPX/TrUB/
kNS8IMAd3XqUqp7mXCPN8p8kFfbBsU3L9JNZ6P5nf2YvsbCal9JwnM/+cfQz51vMp/LYjmp7dNoh
+F7ox3qo7e8liCwsc6r6NARD8RWbu21vRe4n5pF3mDwUD7WvIJ4fQN7o+lDb3PKWgqhgxxln3YXJ
Mh4RO5p4iRBeMyLjL7E7tBBTC52g+7xWaIza2FV2Zx0GLAUfuiWgYUy7Bm/knSSlgA3b4qGZcdvC
svoK2IkrB10FugHD0Q1rd8WDsQQ2UrxXVzHuc6eaP7EK8LUro+n7FC1AjxY+BzpQSO6l+td4Hqbv
Yx1Z23HJj5b8/67vIrm01vddn/MAT9s2gYvg23/Ov+b/2/n/u75cV68GmNueuTdzK94OTNify2Gq
n3XH1I/2kodcRv0sBTmT31ueVEEosnkul7wPx/LlRM5K8Y6xzjdRAmthW3pVox5oGdnvPBX7aC83
D2s1KRxjz9vUNXyDoHxUstaCMAnna9TqIdg7vOu7Hh2bXTZqxaMEo8nzKvo3faM11V4PE/UuqCDi
0UlJAoV29a5dAknahgLp/pbOql3PdA2tx/+USv6alCMkD227ax4BaFuzbmda0ymd3jy6jyW360eP
/QeKZN63BD4TjarMz54Pl1QfnU+T3Xs/DAToWC30hkfLdTEcTdBbKVI1YvcVNjHE43NTKgdD9+Yv
KDIMx46ziuDpG7Sss1wjzIDz9VVr3eOE7T34ncZG13JuzCsede7aZ3AjFq4DhnHQm3a86HWIZvdi
uCOOOjdzHSssIOcy+ZICCXq0uvcuICuY6L1zNlOzRFyn9Z8zJ1GeEYjudvrJw0YsmWc0XQy0YxAh
d8wNQxB4MfFYH5Uq649M/pDFN35VZvsdiZHhSxTjBJ90bf8YNb12UuM2O/tjaj6EgY4nhlLOb2mY
/gJ0mP3i4BA7+ItimqhjYf37jJ/M0Ri74KEqmua5WAJDZXgYFsglLhUMfaEiNUA2rLZ80FJ48Ugm
q/vBK7oHqS/VMHjaYxo5YYCGOE2yeLIDmcdLtk+eA8Q68FVr0idEhzCIsDBGMzp1POCDVj9YQZcc
K6g190kGqcIYzfnOcUEWw463r042ROcCKeOrZ0bWmWWP4uJN83DJqnE8K2pUXjOjwNjH76O7pPGR
eBoc9y4pJ7xeaxZJoi7xD3HbqjgwqPXB9YoRoiuiywhA9U/sT5T7NHa6Zx+1J3SDwQ7S44AGqvr+
Ze6w+sHceXyNLOSRO3PTdyGLUkGhfm7Yg96Go2q8ja6Llje6p1/wnuk3VTSN9z4+VEhQ5+mumsII
JSz04/g2Qfjw0/mPpHH3Pn5kX9m9btC1iRau/Ry9gCX9Fdnq/IeSGH+w8Au93ApYKA9c/ZC1fJz9
wTz2yxncGP8OcGAlFg8jEyp7QqQTiMkfBbhEvTN/eGANmAJmwxVt1PGpxkh9UeOfEV2r7z1r6pBC
5g1gZlSeskZDSAbxvvEhRq2FQfl4yk0levUVz3lwNNi0YgQfmj2UO8sfTn06TF9Nm7mTpgWvbsGb
ok15gWyAOn6NAADug3LoT3KUHifn2hi0S+5ow461xOICIyhmqroggy0PQw6/3dyyzAlBRKkisXeZ
9lIimR9L1upjJvqEXGA9j+RVlQsPjQ28bYZj4INVtlg5tkr31mFgeRl9NUO+gluSobfNuuUA02NJ
omjn7ae2wOdySermBGnJtIqzJP201jawE+MNJg+Q5GyHScES6HmI31NpTuV19JIKBwtiEqx1JCZ5
OI1Tu9GBKA05aKz/4bgZwagSgvp/nVuS7y7t4CNwZiS0eZe3HiLXH6NyvmTp12YKw1f6XH9TxI51
1n24FX1uvKie4x+NIVS2c85jdrwifrKr4iQpOcg0vJe2y7x7y1JOSBfND17XQCls8/ZLPzrVxhic
4EcbKK8Qirw/TU075C7dATrg20DL9YgKiPJ2WfyLxYxH1EHiP6qojvnsNO3Xxe5+m1hdec8691VF
xP0eokB1n2tVeEDOdN4kplrdrwVSygDrdz0TS56idbZq9wZEBufm5QxyiFRck709OhtnqNmz/Psi
H06tjAl8Id1/S8GoIpi5XGQ9gSTTQT2x+RVfdu6gOHfdGGBAhHUoji9KH0Ih0Z0nEyXHp9Reel+t
AGFghu4tD6Yvlkqpe3JYKrh3VIxLYhWp/1tyycOpe7iPlkDygGBqe3zR2AVZStcCqSd5Va1mB3PA
FUCSrW3k+whZmF0XTyzvV/UfEcQFr1Drb1owQX/ry+nNKZm011Pjv+Rz3u+AivXPehejhumM2aNr
IKoSI+J2P1n9cCpA1aLgGIHZx7bqbKUemiBLLz44avSQp2p1yJjrPqlo7bJiwOp1atUKC+tF9plf
F25Z83a/JDYKKNZsmt/xFP3qN6n9s7T8i8pCZoASDrympE4YSn8uytZGvo9FBjY0ul/j5N35eV78
NJr4h2KySk1vCYAe1JBl9bhhmUgtWEh6ZnM2fPbroUHTnAmElI5OWF7DDCqglOZYeN75/dxspDRO
wwzPSzTlpHRq7fShVszvyXImdjzyx7SuXqQsNl3WnBBaYkwePZatqjzEOAkRD6w5epSYBGoWfJt1
tTqvWRLDDTXcxfj43I5aS1Unc44xG1EbyXOaELlJt4F3ijjodq23XkcdsvvGLOyLP+vUnWNcqWAi
vYyJV7JF5LN5oqXa1XM77arCo4KzHmnHdEYqRgokGF1Ug7bKUqdWlKk6rMdovvKznEuU7f4+zbsq
lhPDIZOTr2frsenY9s5U7m7nlWI/jbnEu5qzrShb7LDMnWF7EMGW0ytDDUUQBuu7A6Xgdkn5gWGm
+gfPNN9ueYb8gvXik5fQBH2nU89N2O7+8T+ttX+fV/szC9BtuP2G5S5I7N2PXX7c7TdJye2iXZk9
xgi7QhU/Wq2rXoulmlTwzZplHolKiQST3H6Jmm6HdMPwh8eO0L3SDQdGG9ipjc19k0TVtsbAIoig
mgVN/sMqmgkNPTCNvXq2Q38+Ol73F7DcaZcirKhGP3s9wTrStPGj8NAH84buHKbtn3XmewfGTFcX
CdOo0qOdZk+LlK3301awyI67jVLTkSM0ayKH73qsMTa4W7l18sY88wQJ77PZ9N6m57VD12N6rf0K
cHH3WQtGTgbND0Xs5KFXmzsnhn9ZgXpiQWefsrpVmPqPsBjuFHY9pwJLxAkJhnLZ8CsUNh0S+L4n
eMRMU73kGinac90mypMaM+Ut8TN6qvyryVgEe7klaxh7aFJpcn/L0zBx2czFkJ3XowJW8nZZjeQS
vqnKkxTAQfvRzjCuqraHyjm/NNVLk5rD08BAqHVqtNBzpuTDDGQE8bKYHxJ8VkpMVnDIwfag6hyU
HdpxM0I1NT3whlb60GsjDmBLMKX+cz3A48+KqxMMFqh/goLV4i0cs/GgF2iNSV6OAsNxxmWNBdP/
5HUzAwkkTfVjhYte4Vr+Y7YEyFF4pVM9tTZyTWmLLs7IGOZpXoIoNcqTOznTRpL0IMZTjBoFhKHm
lrXmN7b5JbJa4yJZrlLp6JKNM3ahTbGXPAkM3dfZJkKzUaq8K0Axz5ia24Ul29IL9nenIj/LhSXP
D4eN7bXGrp1qdqyXHymFUaLmV8tGgHDJslhWf3AcZTcEYfxclPsCQvBTq2nRM3vmv8ao8s+DZtwj
RJ7ejZhVPUngzmj9I2tlHda8dOpzTNxQ5k9UJVagNPoGntfdJbES64nFfut2bBfZ+7nwcT8K2wYX
LZdJm5/iMTRbpXu8pXFIqg51kZpbcL6Uh6WlX5fBc9y4j7PH6KCfK/aKqs588rxEebSia7AkjCj+
HYxW/a1j1fIymekyLYTvg/sfwIy13pigcpTOdL1yIkctbLwroicM77qHsph2txY1l1EA1rjdoIrc
PBZ1FjybLJI963HxUvrBeJVqEjAk0zfYApUnSUpdDZX1nVWBHJejJA9GRQolIblnDjduPTXwntLc
8J7Q5Z4vhtF9D/walZAlX3eyHiepeOPHLsx/qYYC5pmd+/BeajDye1IjzbhGM+2vmKL2pASe/QRZ
1HnCQazaa6GLl8E4O09SoLWIe6olmzOSlAIEU8yHKmXAiPOGgnJs2LKVbBjbPqL/TXrrbq0bsnaK
mVnjHFO9ig/uBGICOcvwuYQNscOeJdkbDspoW6et/IPhGSiHo9/yjNRz9Gy2DdxQI2H9YGQ91DVS
TIUWLxMJGLvMuGXh5qnPI6ONMsAOT8EsxF+U+nyEh3/HliT6el/yFi8/vDU88HeLtYqPOfRFYtg1
Z+xfX9qFJdQtEEaJSTAIUHIJmNQCnJRMpGu7o6ez4z3GCL4U02t4A14tOG+VYXf9VdVnlllaZrEL
8WENGCNDdZB0JqyH3sy+mAvxqFuYNPXyE/AmgnlkC//IqhB2Qw2SRQF0dy8S6FU7zhgc1Yv+xt9R
PfV+RomOBkaTI/soxX0/wxCVaIzsDJL/Scw2B8L5bNqhsne7Y+6EBUmCzkjs2mwhyl28FSP2cl1W
ZY5on2B3AMMM+oK5VyZDgWLX/TV15p8+ahFpUR1H7L92lvYS4Ot4Kbr+q8NtvUbYgR1azfweTqa3
HxdUbcJpCu9Kj5Pt5f+ud1ti8gTYwwr3ZsC9UnBJu6qdvquTwDy1GLVdbKMozzaThKSK642idsfB
tD+n/GvLGmHoQ+pQecI0Aa1mTO4iSD8r1i6uITEvpLR8QVw7y8OSWIZow75CFoTvbq/9H1vnsRwp
00XbJyICkyQwBcqpSt5rQqhl8N4lPP1d6L8R3x3ciUJSq1tdFGSePGfvta96yBZxKxl0WQ0kvrxQ
l//nwmBR5rpJrweh6BiBppUR/X4abm1if4ky0XaWfannTl31iZz/98ESqbqKzO3KlctHaZjtFZbf
9sqrWqDjf59WrjcZu79P/6JX/z77+5A7UYvayYOGsWnn6y2OpbFaDDoUHf/fG6vxnOqUloAANo/o
9jL/Pvy94P++HEsLsoxBbma0eZjWTaP4dznqP8/p36fDSsOrKp0l/O+d+btP//vy7zPPmIm3wsDL
4l3DCeSDtcn+/vtgjyI5jMI+55v2/u8++PuQbl/OjDj2a9pf/r7VRDbhDrFLNfIXazD9JRpIbeL9
ner6oTD6jvRRq8IDtrnG/vepM5rzKQfyhUmea7rxIVpBjMHfh78vsxQKsZFqvx0l5XwmGHLw196Z
SEXRMnV23Dq0iOkaarX4cUm0bkI+dai7LacYU48O9H6+vUI9Gc0G1qUeITe2JnAOK/3C6HxnlhO+
0fy6rNvEh1HGoHRtkotEC3MdR2PAvL3356W8KQ22iMpr7dCDsnrW2yFgyWgYodNZbNrxBG5gO9qu
+j3ue/O4ziQISZdMWud16IZqLxjCoGIfJ7JY+nifDgRRisrXppL5CDLBkA2XRSO7FaYhg8VYtF2k
DcTCTOYe9j94uvXZEsWpahr6d0QSpb14b+eWzMKl2INfSnc2Rr96GC9J3Ok+myPO5KSuwx5DRjJe
AL+iJ8kY6Wo6o9c4o6mClyoAypbu53bLiB4sVLi0KBhOB2tjzuQbu33YgKjoXXqNk/rtHS6MO3lE
pfD318m7xEueBSkBW1GV6XBNiShNDdrVkw741sqg4xOa2U6/WYQjW0dJFajVdg8RrButGY6DmXAR
4NClQnKlRYJXvJ8Fupj5xXO31iVBkNRj/bfD1r2tLYYBO8aRpyo/WNqCEVhD7z/O2oGKYg2YP35Q
PCc7d8G/32gyh02ETMddqT0F3hwXPBryTV54XHnLMXfvFQikIxNP/YKYlvQMlwQGveKNbnDp4pkf
Y4DBbuzqZG2NAuYUrqdE+x0ismU6db3dQWYmh+siWX9s/jCoejbKlkO25kQ3tTl+tSV0JJNHNDDm
ibCmZWbemDgk5uiZCGmIXuq8JwFX4hPDwR0WtBMsgSl8zfUikMOGFIG17CtzeI3YL0Iorz65zOSD
loxwXH6XbL0UJsQ6BahyFohe9vXYavsy7qP7BeL62rr/moJUvViPP5dJ2w8uB8HZmMKtAJyklZzR
yu1tL/nW4LD6tSKb2FDrm9fSsKABaWg/DhGJcI2s9GQZdPK8TL+HuOAG1lKEUTI9LYa7JwgX+UiC
FEsTOtNWTkha/pW3xrhfWzWGS1I0e819SbSq8u2sjHZdUdGfmaq9LbX6sib8g/NAZzA1jNtYZQNo
yuU06p+c/JPAW5xpN3aPfU5Ua0deF/38nfSad2OYwLMASHItQo+H6QVFrgXsKEsCUjxLn2rQCFb4
q75HYKo/LKr0Myc52kLT/Qlkl8zECyCxViCSBPNVUB+1elhlpK+4EEN1YzwaVmzzZ8tr7E2fUdx2
QJ3q72x9W80c+FqRfCHOLcPefCZC8XlCL8nUBVrqfPZApm6zjUGNbkivTS2jQ8sMEbCMzF/aNyBM
5Hs22ze1YmhfeBdh8mOlMV9bOtU/a3q2m0gdHpr+Eq0jAbLVciCeV5IuWyXH5R/J2fSrn/Jq/DBG
AuX1YbkTGZX/uG643ppGINHoDPoEK3QFZHJEMwzYMOaeCLp6BAiWfU5cJL9rCAXWLO3UKIqsRBht
MBy49npYODT8iRQ4W82+K+3onmzDYcdoJwtU6zxLVYZWNbIQaGBoi+KNjPsiNDwG3n03pH7fl6/o
RTE5DpyhVZ6Sl4R6U3YECW85sSij1a7Xihdg/veg01y/f50kBLo2zfHdzyc3Nb9rLf8uU/Orby3C
AjvI/DpnKDrch2oel71bMixIDbTsboGOKFniN4MuqCqB/c1L/ahn7U27NaqqZRvE/li9Q/TCzH84
QSrbT8KHe9ftlCY3u3NzOyWZn9aSbskm1G1jdaoNNoUSjZAE3gfrhVVTxkFmnLoyvXUQYvhNUd+U
ef1bWs6pbeVnn3LwUuIucYsyFHpxRKhCPygayGuZI3z17nw1kGYWg6oOWxTou9HKIPLMUx5KjTR6
UxsWX7MrFUaW9uVCNkqiCSF6au0EoVLm4MjDoronYt4YQ5fiQBfgYK90MpPquVL6XpDqvXcTiX4Y
zUpqc5tp9Zun19nVFMSJuzHEHiYrgTZevCzrUITwZ56Sbv2qlXw16+V+koFZynYvY3W9gubMJeS5
nvxJQ8rrGoy1W/dwBmuTiZroT3kUIdOWhznVQjcl6/59SZsPLy6eZDNelETTqM8vyVAcezQ4ueKe
yIZ+D5INNM10SQAHImgDjNYVdpg3nMC1LrQ6nk+o8nZxbPt6pom7wIyDDw00gOyK2P5YBvVBNnXp
O4X23LuAbIbUfO/L/GsGp2e16h1/2Q+yXXSx1mGd0tMoyqcFG3lQ6PVDMwIvT+EwTTmKaq7HoyBE
7FAzBkDzZ9E76tcDA0hgav0pHsd7Mo3IEHTpj8+D89OLHjQFOywZ20S9VwLkLwBlXxMzkZd6Bbap
uJhDdZ+D5vGNdbZ3wvMOSnqn97IH0Adt6FQre4C3nyOWX5BHJORoksZ+JhSjvsE3jITPAZtu8kQ2
EZ0dusKD/aWXwyXX57eR/xRHv9cUEQakz+LF67QzK98j4rLGH0eHSx/fGCTT17Z5GLL5qOpo3x/7
udr3XBYWCU7+zA6Vz2wvpf6fQQE7zU1Kl+o4kKem9wSLKe+S17A+RytnnlLt55Snd3ajn6IgQjlH
n1ap7lWOw8X0hrvRLQLyHO6bIf6wS86NWMiIbpiLdwdPPXzSegoYzZDyIIj+XLk3mAiAja8oGzpj
pqJRO9fSERiPB8E54+RxWq7LG6JHO+qAVKdXxeMyvsqBpvJauMqHw3NbZKr3WwcioC4QHFll/FTL
4qcZVOeXQzGHrTeSGInpsEv006R7D45FEbkkkLOreDpbPVV2M0Yf48Bzt47mXgLzdvrp2qJ7Bzkl
D0HcSa1gGtpGoETRToHcfYVBiNAppoVm0TvsJouL7HAZiTxZWdCNMhxNx8Pw77r+lM1lWD72JYyo
Kdf0vWnBbOi79IEA+CGCbc8GRyV5733rahwvBiAyTmP20Y2GJ00sYDe98UMMkMYXLUX3Mn50vbeP
J5CifUpGsZd7YUGLoGPAUSCMDytd4+GhCGtFFrQxHYFR10s61vmxXCf3RMjkq5MC72EHH6fm2xio
jZeZx7OGr5OlF6HVJMzNMBQzbpc2fTBYfkLcSaiayO9Z0/YSp/UvIaOJL4yRsZL1HPUuQSXVPwNy
nbt2uCQMEsGi1CWfs7oe4/YsKRbjobqZPIaG5IuAurrGQPRCrf3iMrQI7HjLijDV12JzAsjdSd24
HluNXMLcHbeEQXZzSYBU1sNRbV9zs+XpmAPZrfqtPZWKYrzIfeFSg8kC3Uac/k70s4ezXW+ELFvB
e1Pzs13PO8O0FYUVoRmpA9tBjnfarJpTquV3VkxBTiZtZdrVwaIz1bbrTEGbTAdM2lYvy5CG0LNM
4n/wrWCn5mj2EqPlCeCm0X5p+n2mdX6KpKVIBh6YVt6UDRgzEPfCL1DbHlc77sIeIqY3Z0G22tfd
6KFNHX9s7Yqo5UtKMGtFExrgI9q7vNlhZbzLJiH2etW+A1m4GqsV4nO9IZo/WkFwtfIMzPp18twI
h0oIDZRLk8Bv9Zi6s07BTCJBr9wDoiWbaEhnDjKJuUcuuELsz2wEATnNC5nt0twLa3kydXlpM57A
hCucC0IlmEr+2E40hcUAcbjcJYY8pFJ9rOoK5cxzgSLVJxek3ZUG14ko8RucGMhGVs7rEq/SsGwt
ePtVg8y3adsC6CFvZn/WjL0k8Mj3bO1R1GI/AbjdFqnah4OKFWpBQH3Y6HKkf+QsbJp1Bh34PiXW
P1Nqyz4yJ2DJWEghGnI8LQrwdlSEtsfdX2t4ByhMiE1M8K9Q4w9pAiMpt34tOVS+VLT7bahJrJu0
EG3wgqZ+n7q6CVXOCXNSTn3N4y5xbPOThssPGcrNecqZWpsM7heiinLTeADYV4ZIZTBQWkao57W9
/YVdSo84NE0G+25+EDZcWkOpo2NMLnVA1gSg5nroKcNbZrTgqIezlnK31Z3w+6J5zooKO5K8AowZ
rjX18zx4pPrSpPBlkRxmEsehdq43Egl7I74Xw/tqyjULEbI13KbjvVPN704/f0ESPa7LEkjT+KhV
akNLnkH0Yr6IVGfDJ5mrgDmI3ojHKXfux97FlpGV15M7MkBpdQbZ3ntmDyTal9ZTNDyMQgfVDUOU
BDESd3QnClVSXRe2uAhD8ujGA3lOzDE63bltOHVMdTWHSarfETjybE6kYnpjtY+T5SGJ7AktoHPP
QIUAlyyC2by+ud6DKzVEIubG4isHFQxDRoFNgQm+Lg4zsw4XKLbEnPtTNzJvSA5aU11XxTPYPI9h
Z3Tkngy6JrF2KjM4iU0GP2qm1U4zpRW4V30MsJOmH9oFssG9Ec1J5ezmVn/TioJRy2geIgVzT0WE
4RVg0FpnDOJp+EpapPe2daK+6KuCAmN2fJuqktPXfKvnJyppG+pwQUpV6gVGPUl+DXkIhacFEdrc
qrWMwHWz78VJ3hLmlMsyloE2wQbMPHM5OctrLdJiF5mHQjCQrvCh4kGNd5IcmFqMb3kVbx1qTv5R
xrvmyS5gQ2BW0hl0Wsmr0w4ZJtJF5s9KsXvbpHrvm5mSY5IDY8Ke8XBCSLTneDCUv5uIjIw8aW6G
ONlbBInsvUWdm9z8V2gYdpMM8vvGG2qHLxRJzwzE672GRsVveeJ3nuZwNvR4lOa5v6mWvQcFeFlo
t6PnasMoj6Gz1dgCW5wIBVOtrMf7V0T0QtL0u46Ki+5oQM2zhmShyGb0lPbHBMCGj2jJ8bva/J4t
sFPFsyGd6hDXxodjaEdnVfRPPNQ8VvNd16BO4XV/w5v5pKKe962Z3KwghyH75nlAGiwUgvW2S4hw
vVPspjyKGA6rTyQxSL+nX/ItbyKPiOWUNcog6LycnBfPUOelA0YCZ44seau7nTrxWfFmgUS5T3PP
PGhb5HLSLJfC1qG+p9W4T1POaTq1f9PMLzyjyEAQ1W/Lodx18XLg7zEFH2PAt8mJWKHn3DC1kASs
wwtG0sif2wj10LenXlvXeqW3/eSUI9UmwlR7RXFGdDXWiXORexxTWaIii4KXZxORLb3etkNe865L
86M10FKVaCZo2D7UXDy/mq17rchpGQrrbWJuacTzFJL+s/FUvPiS2OIpXuXRKCjQRUwoH6sTFQCk
Pc6wrgm7tR0thMaQhGlY3XlJfN/8sPBGTH5mnJUqme4LwUlNdvhpsplYFKG/JR1BDYtZkwc1PwEg
LfZouO4yZ7owVsDopxU3ooiHkEPgZd7IrYv1aHzGlfvpjP1Lr3Nj5vYL2RePpqxCEZNTSAQwFHCC
ZJervuNpwdaFQvzYW/rbONj/NGeir4zSrbfIrst0mjEZ+7+zphaOienUjjd5CwecBQAZ3AZvNt6j
7fDqavFlhVQIUvuSm3Klcdd/Na3at472UhBJ7DuJNQdzTeGt26gZIu4Wqpixqj2s4kL3bVFc1dHw
rxJYKJJxBUqJ/KkbH51CnK1S9oGpjdRUFfJ7HUC1yjQtFFs+7+gZO6zgRNFn9VdSJkfAFVddmuz1
3P5O3I4+VccUkCRVohTTg7k0N7kkULRri1MzEZk66s0OVfhnbvTIRU0Suu10l+UMnrMB/VtUAQ62
d/wXzmNy66QVIuH5UmkGfCdpJD6mx2i2HqIBC0UU/a6V9mQSJaRknTxp+QfMxMpezUCLddRYs3mz
wB4LrcH4csbhZHrpYz0zWccB+D1E28VOio/FmF7zCl81aQvQr2peczrfLPl8XWfI86L4kxLik2DV
xHfqaW83y8fYbL48nY1cKz0UgWsNe9xEbUdtvnUq1YEpXhJaC61ZPTUJgDfpJiQfnk0iRd5Xl7Ig
Tqm2H0p3FkzQtfc1ni96C0Laq65NlnDhuIehrt2gnIHcVcMundO3tOhE8NvazZdtFf+ipkFradb3
JbTGwSlZXGRH2pI9gMc7r9W8i8iPR+WEV9tozviMHk1tQpyO8xeXxXGZwRImZINmmU5Tb6wm7kY0
56uwQp2ZKgyuGC9INQd6MKwqIykxzfdr7JxxUH5K0X4U63o7wflirCaveUJeZQ6tTRtDr6rRYLrx
weyywJlHBMcaaVHZeoN56Qpq7XpobWtngzdg/zHIoywC1+TpmlZ9OpLpAEUfGbhyRyDrvKjG8h6U
Q/PGoZ/iW1R03MXVtVW8jCIPCVC965LhLZkYgW+34LoQMYWwRN/HkhsF/8TNWkQHOuJvkTPc0Lm9
jQDlc0rAh1a0xo4UonMhyschMd9LJQUHvYSyFj+V60F5EgMbY5U+/kkFYp2mDM3j5shp7JFQ7bdm
yL44/T7hAh1OYPPJVF6jEN/Lm91cuiZ6pzxAj5FQokQ06i8ag5zOIGxlXOx855bmEZURbb1ssSgZ
2ph8SO1SO412w1nzVZX0dtfR2ZOXXYW1LWfO9MrblysomlUU+bHqrqtaY0DAP7Bzc+2Lc6+/4IUQ
aeQe1arhmyxBVhKSFSs3vprSmUMj5ARm+1rQZDaxxYt9WPrSuNIKJlgtTgQmEQ4HNTfRsWcYh2Xx
2hP2uNTvFjKYlGGVD9rSA4138v7w9+X/vgeGPuO57IsodLBwAOJvTPaqgbBxp6zJMtjSn9SbK1Jg
3ARYSEctQestp9rBko7J6UPSRzYE+lPHGrUjr2e/GhSqo4jo9AGx52jzshZdf5io0LuZPWzqaECm
wyP5wp/jUGzOLnafVZtPwpi8gxP9OmR2BkthfKIjY6/pkbtluojJOS7etRGgam1R2svZ+Ikql4eG
CruMon9WJsaAFpEbgg0QngXEWa94TZJlyW2v0nkr2RLtnDho+CLnK/HMr6lHvr2wCEdjdILEDCCd
jtXgma9eDvTb3jeLdt1uvy7dJjCWRD41Q7733Bf4eWAPK5Il1iqYluyy6vKhbG6bTEx+VsyPVcz0
uXDdU9cIWprObW7iJnfc707ZQPzj9m6xi/tsGx14WknbUHVnocdz0HcWT4RHCjyusivyMaqwjVvF
DH8IKa5nHmvrVE2CQB2b09vRihMBbAJlhy4hEhhOAxM1txwIjXG3y+zmtsumN1VuQYsqmw6RVf7O
6dpfD5A2Ytrbus1J2Yo9NtjFYj5gWTsv0d/Sxbn24l+zt5jJduShuRw4m9StWB6zx3J+iawUupDL
GS2JrdjHYu2rAZaDqlXgehlnZ8eefWaqhyzVjdfcY7WGHcvplhaLKsmHMtKzGOm+yEnccMZ+knr5
2pdusdM6kSK0iN9gjGBhd80DbiY9QOjBMriJDh1ih+gc0qQag63tuZtMzOom77G5TVtXjWBIO88P
BJnyt8yzxSxsr7vyc8XJX860KqOJ4QoIFSzuTNznQXGG08hdcqvCDXIpDRxN05NRAATULZAvU90g
q6JhZTffedbCfqnmY7HQZzYK2zuZ4jSUw+gvMYOpfqX55Dj550iTj92m1vwK0UNf1MkpzqatgDbf
bSwuPt3KGNyJ6u70smSwYtr/6m30FH20dFgCI9eoXYdLT88SmWx3FWMNHClG7iPJXVnVNDtHHd/J
dDPhrwvQqDQ7r7KhpC+MPeSWWDO2dPzSdZyZl3HDQEbID10CpYLyzlddPt63ZKaHPfFGG5D/TF/+
OrbboBjp2yiIGsZMW5NaqjllUwvxgx0haUUUtGOqXw+zvi+pKf3FwTmdriSWC/3Wa4R1EPrY7iFE
ntY2c3yZV7vEJLBljdkc4lj055l+e+4icM9y9SIrRKb68MzUjPe/WpH+0JGN0j67Kmra6pxb4dRm
kuiVaQ+LAYpEW6WXwWF+2nY07RtLaZhi4UEWXrlbB4vNeO7fQPTsKnurP2uscet0snNW0iKtXyq5
WkfHrFEzi3q5Ev02E+qQ0xC/gYbPyTvq2oI8cbwbO5FwW2izwIDd0wjkQeOYJe2XsujKwDGqKAC5
UqHlxPXaZAGRbRUAqO2RvC0UvyJfeIStorMDIcSWp9BebJG9DpJrGxmDPGZpjoCJxx6bz0snecWt
za/ET0QnJpYsa4xkpDu92p6NsDgvL6A+1Tmu73VaKNxRlR/xruySvAf33Xcc9/jdRrPsCRqZmDpT
ZTnMenbSbeogi6ej4OBOvHBJxOooqgPDYgtGzN6bruuE8Ba8sp+6FMNDaUa7KVterRnX5eRMz32E
1xMZUHeoCKJhiR5uVbryQ9qvICWItk78r7HkGDrueBUzQ6Vx6JmAUeKFtrlsvuE3c4mW7G7SR43w
aRcHzOQSu1FhTGgb9LQmHTqTsJGRhM2KO9mOwK3xIOH6b67FMrDcqMo8ASqpV8oKm3tONMa3iu1P
3fyd1PoNeoZwC0Dhdnu39lKHjBPRh44+gW/xt4Up93qBg4KRIfSaHpMJfQ9tnm5mZsySFJ8smXZ9
or17nXB3o9ERuJbm9TWTP2dXrC7peIKZDmOvQDeodDjnYO6lYuVcewDsIwKYGHnItn3KrGi5kpHO
bIOjj6iQ5DhxrfYaLHh0yI+DVuj7zr2DcUFhqC8vkzKOa6/TFVbd8zAxEZHzEJhx1Qdq9gwKxWLl
fx9fJ/3wXkhGZNavOaV3Lqd9DsHsitOkkBpxHBgVA+jE06jZjx2+8duYPBKtJsyacKdw7rXvrp7e
rZhcryK6zke0lWL8nl0a+k1GCx515dNAU4C8Nw/ubyVpfljPU8TxMIPesMOg86lt7rXEWc7KIbqg
zLJ7TTTQ8+2FW25tar9GihIaE2c+Z2Pi9031o1vzv2HSqVjkfDRYew4bdHuui39oN0ivhH7KvJeT
sel0D7yijLsqyWi/2MUhAYGL2DDMtexY6gQ6d5F11/ZedlX33NtWG8ZcZH9pPOSBDMGN1rN3yTDP
N427s1DPhq4SpG2Mn8tS37LDZlTBli8a7HNdXaEDafZLthl2B84dhLYhkF+b7wyTFUeF7NHUvShI
WlqvSW2nfEbjpIjr8baSOHO1L3rt84cWH5m+6qCdxM3UM2ZbVfXlOBubRXA06nqEdRPviqGvh9hb
+9t0+2DTfStR0l79fUsWLVFGdB6aXPJq+y2CJlLHEvkjmlyTtZRgdVfzoPh30xI2Letw1BhP2Zhm
3Af6aw9eIjRM0wli6+hKaYdi9V7jNBG43Ohp130577qIg0w544PI/E7V7alV/dPkNOvBzKx0N3XF
jUIyxuyY6ZzVFe2Bh4dgY3fM4QgrZrVM4ijhWGNx6YOpoDu8s7p+vJka96GouKDVWvhlY3Q3gzc0
ZHjvXTZ9t4HJMjDegDp220ULTX7ajEOi/s2jAUXcYSyfjcaLJVEWNv1H00JywdFFKVTuvM65LZmI
hc0q+oCidRdhHZwYscLM2YI25p+sW8JITgPxhVd5N6o94G+Ui9GNt8bXseSswrFsn5tNEsxaTj/G
mK8M8gcoctQPSy7wKMe9M6zuvh1z2jAyfikW5p+CfSmGIN1py68iPziLLOMmta0pHKoy3msFyQit
4f46NhrNcnhRwxT5Agxy4Cx64PQL67O1fgvlHjuLmOzs15HcoGtZfLUKb63uDNR+GiFG1RKfZ6t5
7nLEFAM3l9k/4eM4ex0KnzhKdlHaQfEYTd/xxNfmOKEQh07Se6YVRKZzMVFeF8xfdlMsTx6SnyuM
is/GFjMeNxrT9poL4IjvvsBsiY+opvm6V5EL1CYrnjzJnNp0yCiCBXIl6+V2spge2CJ6T+5QoLCq
BNG87kYT6f7UXS9jXhyQZZyWKbolLgTrC72I3FBIdRz+zXhZXsvK/ulWdS3EeEuVCrY4OecRP8Hd
qSEI6ve5GLm7t+qMOcqtzBJBOduXdE6sY2sPJ0ORg16qR21ZjesRLZCJDnhfp8eyo8QdPOvHzK3R
r2T/qtXDSp8rZzPgupk4M1tET52bnAdmafTcPk0xDBeDsNgscZe9Ngxe2K914ImEuyW9LyAzBDFr
fd0dwCqd0Eyylee6ib+/+SgkcWKRskic1n5ie/zMRf5v6JKVu988zC3vi0gJLyRvfS/X/iO2aEJm
2Wanz5igWWQ8mbUbBwJEGR0GJrY2l3nqpj3CJ1bYq2zInnn/H5x/XdN5YUy/gDYtTf/e031t5lhl
xz+qVw+96fw0xfDqLv0jU4goMDMNTr5DcJYHUaqNOA4IY1PvMEfVSA2WAkk2kQeuP5Zry5FfZ+rs
RNYZUNo/I5rdoK3QiW3TrGrAns9JrQiJ3TlNSgJ/uFqs5eDwBFVxfShZuCOpvVlj+gvcrKLz3KpD
rSNrw/6edD+V07+SM0U3uqpvW7E3InZO1nToyt6xFBP04+qfmbto09VudFMkdbpoyGXAd9ps8TPa
gsAuMr4d84eBprtLVu9aIUkLKwM0AtLrtNXR9HrJlbJXw8/S5LqpNVIrrfIicavlVVsehsXWd8jm
bKqLORgreTBmFUMba1oiWNoHk38YwhqPfy6uOg6lMY5O0h0TjNdeO7DCH5Ym+0nqdoNODSer0njd
pHIKSReH8pZD2JaBtswvxpp4ZzobgerJHnft1Ngpp3pKmu7OGgmCAFPNfyMN5xKtq0u3HL+3fS1z
jkIt4/IgXXSCq6z8AlPvHvk30D/VMLFSDDEU4U4opw7toDW7ubkdVt04V+W0nystDtucoqzpj3Vl
ULfSE06rlHdPVTs3Wa/TkgUoStpqpzfDVewS3B7rxC6gODI8rd95hYZdeXorVLfrpp4SYIjvNIOi
f67q75iBXpsRRunFWhpqi/kph/ZW6MOx9IplNxjUu8WQS/pBFmahAiJLNN8NsfWvEefYYtUkJ9Bh
HPbroXGohY3NffJ+yEj5pPklWveFCcpBEQOHp+VscShNYsoIFZu3GFZuk1m/TecRtYdxauKi3Bu0
B2Qp75TpbVIeytGmJUhxQevadOZrr9InFJaUo3Co7GHCqFHJm2q1HiMrexCsKXvXGQ95tx68xriK
2MkxiwZjzYCMaMpdltGNJLEzSzvfbJUVIqPkKzem2GnQxfQlXXO83GmdHJbJ2DvDQFVCs9Ejs8Bv
tOIiVPcdZdN33jOryFbfaB+Kdhx5aLD8RfWbmcjvVNk/41TD6zdDSy+aA/B75mULYIWWU7tM/tGS
ZWDfVB3NM+3WqtenxHZeMkcdddM6tQmlqjaYF/A72D0EGp2RDdHu3dG//BpC27V6w4YBGmLyxN5u
2WH1+V9XgQ3M/wlLkMOWn2jq3kuHTlwx1K9r5IXdsopDMhjPHjmsbeu9J+OmiE+TizYjpEBoRwpE
qS52Se5pbdLgLt1nHYrbGNW3AI8mlFfTYzvRixlizLC1I68xjhFoFzUPJUYG31uXSzV6YbrapCjx
I0xMLhacFMas7t52uwfLLj+7nqwyTXdg7SNI06cnT9BetjxsBbb7OA8GBZsdsuQygYaRgAxXPOcE
dGI3AS9mW91npY+hhkq1JTVUpeatNBwyQ+EGZvTcxyY6blsec4HXtcptXyQV3nSsPlFr37dWf2N3
yg2YNXLsJrTO11rrrhhlv6vQ9Mwuykc1nM2RaXDMOKXTviA5EPVIb9WfOwiS6FJNh7d2Zl5eFAbn
UudEC561MTUa9rX1MBrjS6nTAoOKtDnSDxrG7t6TFCUUijNulW0MCE8qBTuhxwvNAarfqP9oXWM/
duIyOg48lIZkyJw1G6CFU9PQHIfruRHDtVGn4zUNiJWx3qwdkY/Mfq816lT2onnIhJY/cKzePv/7
Rt3jf4RTxLYpI1iQURIbQWfr/eH//jE/qKlpR6xhe/v3LeQAzCFs8f7fP5LNccY67qqdvfbNA32Y
9gG52GOjA+/4+5ZFvOtN+38YO6/lxpE1z79KR18vzsCbiekTMaIXjUjKleoGoSqp4b3HO+1T7IvN
D0l1sUqn9+zeIJAGSYoCEpnf9zeOvL50mHrFGJgu+bb+/DoQgXRY+p0qbUQ/wNb9qS+wr59GFQe4
JWsfQiVpa76ZqKvMqp6BsDOQcfmrLg7smYKoz53ogXbXANolJKBtRN2d3rcfB/Z2J1tPu9tP9Tpr
A6R0OhJaf/VXChMVC31HnlQ9XKtjrNUOHggjMaioj7MB6ynfOLIXWeZq4R5DPD0fChfgVJZ39a0o
mk4WTR5w4yLow+bBKb14qxbEElOva3hz1PYJD4RZDP2mnqVWv+9kJl9x6VA61cwDrLcRxTB2whXE
Bn1+Gdhzux1ehQTNpo8tY1TnIuXSVXyU7eTPZF30vfikLsCycXRtj4AE3bumSNZsp6WZKAYwT/ed
oz4mhcT3kOU7rVCqezGOwpWEMspiJwYyUkB9Req4S9Fah8ZsANMLqybOTuJgxEW5jEoeLaSyfH/W
mBlaF11SzUQziObsxAcG6xIPZmbxqU8SjD6oK5Ja13GiaujZD6QrghTqsq614I4Qu7/Muj4+koKf
kAN5fkKizppnXtCeIyQ15xWqCvdDWZgzF/bNA2uvcuZ1ZvxUE33juTO6Z39Ez86KDetL2hvpTSw1
2Ve9zN8xlYUuWabPdhsm3/s8hTYYam/pCJA9trM/654VRUJOhQxHNmvlnIljlI9uz4rmptwRrQKS
m6BCo5sh8AOsiVnutPQes5VPLuSdRMRWq8fiLS6tkwXC/1vQhS926pevMnsCVm+V86KSu72JwnhY
BrmHNYqjFCfM5NHVjC2moMlwWdR5UQ6lcpRY/LRFcRINiqdYTBJuvhBF0VAGBIdCL5ZY7jDUpV/u
9QsTiNlcFOtpgMxS7UXb2yjq/fgMvJ4z4NPk0YyuyPzZWFryUtIUVIinPmJ8h5zgqi+M9vJVRUNa
uc0qrchpiS5i/F6Swfm3Pvn+rADPBiN9PbYRdpGkQO9wC0rWTWGEWILm/p7HTFrUUh/eI2IQzErF
qL8msXRQjbzzyBGfRtv1/ywS4xWAt/PcmaqNBXINbbazYqIqTrGV0kzbWmpnL9m8tjz/iUpeXGu/
dG77xciQcvGNBewB/kFjNJ5SKzdfelPNZp7XjWdHCbKlYybI7SRVewu6317h2uzeYWtazbUikp9A
FIYIJvnHQo7O6aiqBy1PEFrQzI7UBLnAJvKLAzcOiSIviw4RW6eVhtbCPor0eNUUqKTEKQmuJOqG
fWRo9UpLQRWkOsn/RleSvdIM6gplG2+vOKq54kGxdlEEESBjwuUpu00BnaxyqP1rzQj9E6sRlnSK
ZX734lt0Jcy3mn34TVV7w1l0DYxRIirzV9e+rT511aA5n2U8vldtbTD7NtE96Klwh/fZqnPRNkVt
mXCGqCPguWqLvPMXHXah87yUyfq53SlRK5yVQ3dcqMHYncQBe1lrpiEnsRRFZeqntDBxPS03VjlT
G8bdIbFsVH28jRoU/eU6PySobKtueUsS/G3EzQ+hKiL9YP2Pde4gewNPid2gvc5wUQFj2UEGhpdw
0lAVngPa6Reirsts98TqHow+ipvkhOgn6qxOm3cD8kyi1PluckCibC1KYiD4ac46xD0PODNjiIOh
Gy7GzTxD1zrwnCWpXFPdND/6kf+Yq0jb3Ymq3LFTJN3KdVZiod7HcT2X1Q50BQGUeimFOv877CD9
BWxE+JjSGBHLUqs7i9cCQICpkthkNLuUq6JEgI847qWnKCKcT6hpOlyHEA2Z4dV3Jil1NKdtZGC6
6k5xB3ktAvepFPMluDH/L5WeYcprSSHELy4UHcVBNMBDJR08XTyOOfDxyDE33rQBLfxSO7TEf+68
pADWgmrgV6KGFUkeIzuqOUIVxggfJ2tIOGpW+p6qmXMKPIg3TkE8XdQnlnOP3Id870zL3aKAFiP5
Df3TbJvlqEIZA27T7pAWC1Hf+OyIuiZ/JotjIU7UY68akrpMDCxnFb+TtpXF3XQjTusB59K0b5Ey
N6StqCrDiFZRvpyK2mt760BcixPpz0/1ovipzlBtZZMU0aKziaHiezVsfXX4OMhydQoa/tZRBy+e
+JbxRQkhH8h5lH8lafdm6Ln5KlnpU60o9UY3NX1lK6G/cBIN1Q804J/0TCF9BsMjVW3mU09Bl6mM
g2ccLzE1ZsIElSEtKm3Y2qhsuUOozUGFM/+l/WEoiuR9yBH1bCr1i2dUMgjSzGbH3km33fNaVVpk
RWVS9zdyp3lrN0nZWtdQu2w1ec0d5QV/cumMYHa2TVVkBgNrBJDQN8siyePnViaJNkixspSgcH01
3RkDJIvmuS29/FYpyngpQxDbZI2XPNnDsCEYmb4qnZbBenLdbeK34dnVvT/Fx42qzX+w6LM7K0va
g+uRZeinC6bvAYKSnFYINjA1PX2FnOS3EEnSvThoad/sC70BXmvYSBxI7NILAJJ7TQ30/kb0gcs5
nQLThgOnbz+KP4YQ3ZM8f06SOFtfh441YMG61NaLpoAa0PfjBt0W5yBKaQQBzWqRvRfFsATFAjx1
09nVwSIhWG8qIiCgw+RglhVS+Ty05FXDVC9erJG8ddDH1WsWJ8/APLrvWDTvG9aj71VrQslKPRzs
s/Ems6EJ3Ehs5KdwtOPBb0l6EDK2p090+wSeeA1PeRKXy6wChTlVyW8CrKVXonhtiGIpwQcZnGVL
uPsueJJabMQ1BKl3tukXzrLKgfh2vVltfK25FSVxEF2MqZ8oFhO7SO884mW1dQp6WdqkNryuBJY6
u/QWEQUV8tU8mJpFn1Jy5VkcExMtDYM+vFa/s6WXbi+XqEo8K1XPuLt05v90UHCWMErDOkEYYpAf
n3G5vnOTkjuLz6iAFGz7vO6Wsxoc9tmLkvTsTluOQC7B6vyos6umnkeEwIDuIAkHc0U9lrJt7wo1
LHdwWZ7ZExsPMrQq9MbMY15ZSMqG4MktbsSdaDRQtZ+DA8nXcg5OsG61fJVa4F3jWvMeAzezFnmL
OIIa9vCooHdintNCdesT82GMQdk4mSe9L8mvue9py5JUK2vjIWGsBQDZaNcbmj/PwxgCEUiBe6KZ
i56xjpqhGfdj6RI4tVR2mJDs2Jsj6q7pdXgjWi2NTOdQW+6O9DwCo0EQH/LKLA8WiDVS6GXwrbCS
2zINjadSyy04FR5yIGMSPOcSAYSpg/XrleRSK4Lqtv8NvMjlSpMZa5YPlXokt0TE3Srihy6GoYSA
Z3AKXRfdKKXOSJHE1qobTHUb8o4ADpM0ZLTDbMf8Vq+GRLYOOr/Pwooi7ZTF2N8FsmQ99JNkEXq8
N0Wh26uqccfhJpk8GBprUPakOmMCl6huTVUpCP59Ph0u/epSz/C2kD6uEC31MOCQ3OkuFoSQ28lx
L0AkNmdTa/z73ESzIkDobSGK4kAH3TKbMyv7iQWE8NC1g6ijg6ITDiQC0m1cp9Fxpm29rZnG5b7z
u2QRJXH9pAbhd/GvVrQ/A6Pz30LuVYLpA0YX0zU2UkVbfbomtogplKFePY3alD7o3Hc9vVyTOrFy
o9rJxzWFCS4litMtlCpnq9SDsyXlSX6rU0lIFGHqLSPeDSVu2DSlounzKYtgbS41wTLui6TBpECH
x4er7k3FX4/KMz7qg4cIw40h2xzTqeJ6qOMAA2BQrw8jRNpF0+O4XgW9tstSNVoERig9Q5K/67gL
34ygPepVpz3DW0hJi1f/0tVNmjuxdNX9/pg7wUfXT6Pqo4zHelZEhBFf1TLVHmW3zB+89qdC0L4q
raleWhTnp5bP1+RO3q2q0gWEMhYtzuKV3POOhfFPQlTWF+I0UhAECKZD7oQoTNp3Mrpd2zKa9mvi
NEWDVsJT9ddaUUYZvrwdNULWziDdpoa3hTKir2JSxbdk5aVbUQ/xneCpqFSS3kYXeepN0s9Jb0Sv
xlQaYy06VKJWnIpDYRvkyqwmvMlRzvjoL1oGxfvaOKW/HZjnjx6PxjruCcwpSZEe3VRJj+KMVehT
TTL19lrfu56ytjUS9+LSX/uCNv3oW6Pde4PGQYPssO3txcFA6JP7KNEXVpGgXVI3cL/F6bVPNZDu
+NxHNJuygVhLi7FMAMzQe5AQf9+maS0Tn55OVQnElzgTh8rj3QU8yb+51rWqPRT7azkyx2gZJuiY
iYuhOKLU9GkcwpUkaarKZLqyyZH9NAYLJ2uWDr0MviaHq4VcX+sER4QM0qMn++mxiAcLjrirzZ1B
TX5uWNctAn7X2lzTrDmZVm0uLhQHpJXTY7Uup56iourAh5ksOVbwNBKcZp5H0o17zBCKG1GEypSt
Kg2lJVFUdSijElzNnSgGZjDnBak+5I6qHqNEfxDVXYB2a63jIRcO6fBcKaR62UJYG9EqGfIdTprj
CaNs/b5Kx8vQTqw32y5scvSUuIiMx7BAV4j96PS1lBg1wcyQtEOHr9Kz6uJM8q/fVp++Lcswf0km
qX++flsxZMS3TSoEmgtY+iuhhJ7wuljWmQcuehJLv6ijT3rq12JR+TDRHCA0olU0jH3MzC7KsZy+
xEqcrkVpSIotUyUUn1hZOCFrXWiBQXBE262fV8SzF31lDUCZ/GTmIlRwyFgKYZ3kGqQfSuSzRO/L
hZbmg50u7MnXIzgaUhUcwZt5bC26U4T/xQ4B+W0j9fazrPLxg9PDOnKcY9FGj9VUnTrwbMqIdHrd
RPZzX2vhjEB8sBOttRniiTFET54CerrWsdjpO8l+LiGNLdMy7JfiKlXtCEc2YXhwpNh5GsOd+Ehb
auUdSq9kAKePcsOQRG6ZSitRHKLhZcR3Fg2rKn+oPHchPtKpyY0pI87XTRurTzqssSiw93WskfGQ
ZcjFGFntccq29l1hkHsJFdMFF6rfD0OsIzf0o7mXwDBcLxnHcWASRWLf4NWqGbBO/Pbe85v2HqMl
Qocx4FDXo4jkDQYy3fB67aE07mMXavFe9Mf1pFppLURLUSynAacs7jSWuKYrE2OGpoizcjRjVTdD
eden8O1ZAAC1LyWeVhmRzEYzvTf/1Pht9oaHUwJO0Ju8BnTYtmNtQ/TvwkfDrL45mpS+Ra4K/MUs
vmiqUSxqlAl3RCPNfT4qBR5IjvU1lIq56FrY5PnUTrbPY4w33CAHvEmMsjuPudPeiM8zISnGrVm8
ujlQRanoWYxJkbGtIFUussC0nwEO7EXXOlRfWluGg6iaCl+KiI74GzK3K2YW+6i//oaIPdTlb8gS
1lTibyhhDT0GafEN+G67dItIX8ZyNK4BByRzFWGPR1Fsyyidq76sPup19dE6Op72U1GO1GJN0ihZ
wnYmT6JJ4ZOMT/pcHuTyABi+2xRKVK2RTUZHVAriuYVu3pdhaJ+BQOt/2tW2iqXxvS6YJhAhDyGU
c/XouOWhIp6ZNQgudFr62iWFv0IvK0H+Lu7yHZE5LKOms0/FBpFnbIb1esY+gN5F0Q2wI7CBduvE
PMSKtnB7KdiRNrJnMXHXhagvbBUsEETndKcZ2SKrOywjvIYrNCfA+MXp7csA3UazdFy1lMlez7Lk
na6DBZ1KReiB4snK4dLYlr6yKMsWRYKpQXQRrU6rZlsSCKjohySoUAJbxqVn7HXim3tzOoiiH3fm
dsRcUpREveihJOSPSPpYKFOnIdT36douw+PIN5Klj+vNTAiww3R9zBH6vw88AJOVAs5CCKFbY/Vo
OnZ0Tzrdv9TnsTVrFLX6itoGbPP2DbVx3mHAX05errtrD+mgle3H6X3UkeSoJbl90zp5hgB08yqj
2jRHxlE5IJ2KA1oTB8u+kKqnUlYevTLqkNTBKGtInWcjxEMlVKxo1+RFhweINqDaP3hH9hiQsVPv
BK2822lqbZ6M6aCr4BaN7DSEgTkpijV7IJhb+H9gLUs9KjfqyLLi2r+pqmAp12zZRJ24rPVB4Q9B
k6xEUTTIQfmObL1xe+1mgaSyqiy5g7xpnuLCre7sVppdO6Asw9IsHL5fh6k0q1jVI6Q+cZFoaJqg
n0ex70K5YCBRp9Rpj9l1kGxEsc1cc5kGOWgIGW8cxzOebbZ0284BBCCK1TD4C5Rq5LUoWlH2WJPu
OkKmcu9hqC+rujGe88GDwOaclT7U96QukOD35D+BYcmrsMzZ0og6cQiCtNrBuYK2TF95zLSlO5b5
pm7TF7DAUM8dV50rsh2euyE1jrr6rSG2AHEGu4oNMmZQXqfGrMyis6wH8lwmO7QQdZcGN3/RBlXZ
ihJSisbRSb+J7qImMBR5w6L153HCOJNBRdTSorTaFiJpXb14cKguY7C5AK5djC+QX+xZ6ZCZDkn9
K9MEFKD3en8tue6lJOaqHpWLa1v7S+nHdWKS+9FTXEfOqbtXO3LV0wT4o+fl86a2SXDnb65zeg/0
o9dtvG6I9jAbo70RuecmGdo1cizR/lovzi51RU/CrAPZQPdrdVoy09+IcjW232MPYD7+DHs3MbK9
OBOHqhjQVFHjBgOxvxpcRQ76n8q6Fawz2Utuww4fyssw1xHaShoWSjhp903ji4MYi0VBe/P7b//x
z//63v+n954ds3jwsvQ32IrHDD2t6o/fTeX33/JL9ebtj98t0I2O6ei2qskyJFJDMWn//noOUo/e
yv9K5dp3wz53vsuhaphfe7eHrzBtvdp5WdTyowGu+3GAgMa52KwRF3P6O9WMYIoDvXhxpyWzPy2j
k2lBDc3swSH0dxuJtXaqti0vGOC1oos42Elhz9ISvG9xIwWdw0IFk4B46YWRfihHQ7scklE56Eyt
t+SG+a1RS9IPoPLzlaR4zc21n2gg54aBZhYgmZwHBEWNdF2kdrc30qTfizPtx9nUA+WUlGUcuFOf
rcneVZVNHTTZKQ+A0rr68FPJSeWN4TvD8t//8obz+Ze3dM00ddsxNNtSNdv+9ZcPjAEcnxdYbyU2
rntTTbJD18jxAXeL6Rz2dkV+Y6opFsaAMxmwjR7pkOnwUR2WDrKBReXuJZKb80SXDQRv+urkBFaJ
hAJ1vWsawEnl1ofV91c5b8rvRVw2uM/4TwVw/buAbPiTrD7FUd08apCmzhFYblFrN3W4V1wohqIY
KyRVek1CPH+6xoB7sPDiqoS83xhPYC3i2Wil8Va0pln00/h9/tP4kiZvuqaEaOkquJ66bo1YR9Xu
iT7/+x/a0f7lhzYVmfvc0m0Fypeu//pDN3Zqs2D10nciIh16Mfx+4hf2Eocf1UDKAmIfanniN742
dxmyqFWa3l76+VUDUxgd0VtfH8sdYR34sBE3XGIODaaZU2VrT/hhceq6+nRqqR+9csN8bwvWXYWX
Oxs0q7RFa9fja13fDBXx8BGDmKWcqM2mSXT7wXCVo2hP2OUQMVdzmJyueSiRN55VrT2+ulX00BNj
fmAO+DRgDPzgLDsaQMNZH6NbOhr9sbUsf9d0+V6UEAkcjh/17RGfZxT42jx1b1oN5UdgLtrc1a9d
uLTW08ulqqSX85H1yToLQXn4SIcgYR/0Z9ktHoZeUTB4a4kl2fX0t3jSF8taDI0hv8io/68BC5mX
ojkEhxQO671mYxIUZEaCYSpX/92o0+WlhhaCuDX+45fprxLT4fcsH8rA8+tPxX+u3rPDa/Je/dd0
1Y9e//y1yEUfg85f69dfCou0Durh1LyXw/m9auL6r9l36vn/2/jbuxjlYcjf//j9e0aBnFn9+0f1
NFOrmmEzd/+Y26fRP5qnr//H7/fv7XuZ/p///dt/J+9lEL3+zcXvr1X9x+/Ynv5DtxTNcFRDdVQ2
2cw83fulyVL+YSuapcqWrKGO8vtvKdJl/h+/29o/TOo1RbORTbO06SGqYNnQZP0DXrnKa8RyDNPQ
Vcf6/a+f4OMFdPnJ//6FpMnqL4+rztdRQOsbWDURKWJenObNn95IzC9lqnSR8d7mYJjWHgGH51Sx
3jxN8l9zTiSiReJEx81uW8tJs3TUJzsGTJCnuYzKG0AIqe2Kly63M3jMWnMnj4568kztWUYq+SVQ
1BZ2ySNLyvQSlRLBpiJr2e3qrYWq6RSqEmURZ+oSXdnCOrD0tZnW/dqbnvbrYfJf+6kYQLnZZtHa
KRzt2ctjHHtNBxmoqVgMKUYwnW+tVLPQn1WrfovSuoNaChjR99F1xsUtGjFjIszFqktxnpmSSB2F
de3eyNaoo6swutthQOBbnJm5Q4ANej5mRVOLKEeuot2itAHJCRNx3ULRqC419H/tbkSJPVasYqkw
X25F2TebO/Qb5G8hNKC1bRh5Angu+e53qbNsa7VI5gBivCaAW5uwQWiMaAeH++Ng6n2xUYZuda1y
Qskhb4IqhjBuMuQw3oU6IsmkbGAOTcXcfqlh8q0iCb5Sz0IHagIHd3K2cq2CSFCedjdENb0mv9ET
9HjywnNWWl0fFA/XDPbD+j3gtGqhQjJfllN2BXBqt/fy6rFIEhfJTFxVzn2mBrdDgkMhxIbDqITV
KUWY6TRVkeQHfjqVgOn9VBXpcCG80j6xSW3WElBaoBm9cQ9Kvj4XqIaVUVyyhAk3Wpllm64nnH1j
BKStwB/+fBB1uWr1PzWIulbPHz/+p7Z2GEKoXzgc3kE+8O8BdBlA201QflPOQqQ5rCBRN2Olas95
9+YHWbk08RBBNXQh7hVE2IOV3mraim29/VKqCz8YvTvwhRBw8INDpKsK0aTnLP5xVuFJcam7nlma
qq5xcjAXSlwGkDhSY+Xgqu1DqaTckeJa8T701vAKyrmEcR3wUWM4AV/0b11tzJd1p5rPkh/e+kN0
kDXb/5Ip/dc2cqxHBT77MlDJ/088rEOURhWyCGW4Ah9Llph3K2QWNBduuKOzZY4K/sGHzXaQrTI7
oHGYHQqrMxBBgqQuGkobkS8eClokv0YpsMi/Ww0LPjf+qoaYxbFjK6TbqZimLUugzBrRXgIzxrPH
3/SjWE7//mrcKNqIhx17jAJBJh55LIPYQNdRVi+0DpCIqLy0h5XyzcyRcEA6IFhkPsaKTSuF9sqQ
vks1q06i6tohwQ3JDnGCfkJeBhGdIvDIDdgeuhYESYab63tYvIyRDeSK4PJmvtTAOb/JwKetxPt4
ep33ujqsAJQFp8xFxlwdygTRFm8NSLF/5mY+WGmxiqapQBz6aaYgzflRTMRMcS23o39nxuiKWqHa
I3Zk5S8uJR7U/FlBbXALYjeci3qp1wG9NoN7qDBBOuMr9UC26mDWanzGtV0C4+KbK7+K++NPb7K/
2aWQCf70UnB453DvyZZFTIF9yrTG++mlMIaaXZmyGbyFSqSxBCqkY0hU7Ksuj+asGwAWm8Tvz1gC
MF1mw1c5dkwWvHW1G6tBO/ue9Dzwuy1jFprsN4wAkNtlXUeCf1+VZXwrj3KEfmUQ70sjiD9WfbWT
rZH4OFmGni0QbkNmok6MXVTa4SLJiJYR8UUrUjXfDNc4FqYuP4uuqq9/dG1H9aeumRVbKF9iOgDe
7NmcTDoVLAaBS9ceKB1Jl0awiwgkbyI1XHahHiLbw5kc6xEUXSCUl7NfWz/3k3rCPFHGFb/2y+wK
VH0uge1CC1NL5ta00zB62VvGY49SkvgJVBupdr1XWAyaaU6qw4TIXkyqkGz7R4TnsJatkH1+zNHw
4/WJo3aFR8GjaPUi46O1CuqPVrGpkmrMe3jyxVMOdTRCqOPl+oxf6mtbj/ZWjlwhj/3l6Ranop7+
onC9SDz5f40lJghRI3oRzlKWUR40BLwhn9i5p896A0mpxNK9vagTZ9cDrCsaPMwMTKX/6Pd3nf0e
48v/xw3+aR/OeoxFlG6qluwomnZZev18g9sFSkpDZWbfqqGz56nrlpDXm0PIREmINPX7vZchUSzO
siitNmZZHTJNroxb0XkqJt2kFeVo57JVeW2FsnHfFRYqpbKpzUQxARZ/7vlNusoz75ui6OdypBno
dZZ2vu9xpOOxsgcWDGEIQBUsBSpkQ3pE9eTGsUDGJy6aadilBO8qgrhzyMb4u3d6ubsekOuqdvZ0
uNa1+HXJOH7cWHi3Lhzd9eozmlmb1C3XKCprz1pIZHjIdQNDJEmDg23vXNXJz008dOewdrcVsvpP
uXVnWWO046tEO3EmDigRDmDT2nqbkSJai7rSaSEQ92idpNO/VXV7Y9OgFiRK10OuIDnd+hn4vGlJ
dz2EiQe0qStX1yrUBsodqtAL1MzqTZV7w/Z6GKfUcRIna6Lg6lrTJprMtfVStnz9Hl5sAolVzmfS
ICebsM+SB1SezNXoBdFcFC2UJA6sEu7w57OAa9iPiuSxEgZSWq06w6zLb6EmI+0V6+kdoLTQ8JNy
5kuA17Wsczdsv4GW4A3DPx64h+MVZ6gBxVMny5P1YvQ18XF276whOaZpqq473dHXaGSER8SjjBnq
YDHpfT1BUbtC4Qrl3VmUwIeBT8Xjj9ptshzVepJ7Ci146fGUU5rSS1AalJ1b9MqwbRCb+AagQoIi
HDanILCUNTrI6TpSkuiMRrp+Y0xzHwrzNlFtgkcydjHsMlJSNFOOluckXVUjLHrTJdL775821Zm2
/Neo1/S0ORqbFk2xDFPWVfXTHqPXujR34B19q0MvD/8MEhu6X1kMR1/qtibpql2TSP1RVEFQB6yd
kWAUdePUTdKKbGsG6lmNwxdfIlEWtg6T+nSA04aggIMx4I8qPK3JlhdkFAs10y/dcHeGgihX0Pqm
OsI9yhwLL5NnD3olHMt8kZJZzniL4bwTjmcWmQBYPjV6LNT1GNmGYjzJTaTcqVn2XewsvG5CAut6
vyisVnuWRjUgx1BgmexNah1ykm4Tc2Qhh4v2jVj/DNPa+FOdPNWRf/+537VOMtiTXBZan65rNHvY
Gp0aQUL2XpooiZ6qFkijovrNVh080uFoFc1jIyIugKSUrDTm269dI6totvrU1Sjadh70PYTYRM9n
4rESz9v1AftUl4Zavx0dWcWUMkZo8cezGnYmBs2tPWGtWdAXaVwtBrnh/Qeo/b709G6P4sljOJWm
rOttbEvVrvD9+E4b66+j5QAeN81wq6M8S6CLYpl3+spCoBkiEcVKjYOFZnfu6tI5xh9djdtyK4qe
VHyxoLnfsb1QnnxoaLYG28wlQKpPiLDBKIJ9bipfxPZGVLFU2+JeiCR15oAhV5wnsWNJbCW6c9DJ
HxqfpayVYq8xFROx0B0QxvupWLveQz8GcEknW91SaUrk21Hp6JXAvnUILHU4Cg7hLRSVDXRuBNXR
JGR9Wm216QBdrGIJyRkYg4ypD+LrjypxJrqJHqIoDnJtVVvko6uVPYLdaGSrXaXgWZdmng9fwlr/
lkt1dQwCrTyHpX9s6nQrx6zWJDIxm1L2NBTFARGVEXpCnT5ot6QitGd8YsGzK8M9VHic70zy+cA3
PNPtbx0fk7way+Myboevoh4tIwxndf6nf1NvkT+9DSQUQsQiuTcdQE9TUSycxRpZNFwX09e6ZgQH
YEbrT3eeKEap8ZK1w7j8u7v08i5wVXYaXoVpqOXt4Dd5rMWM/quZBY/R6MuLcYyUXZKAiATOh7Vs
fkjqBCGV6WXZF4G/svESW+L1rT3Hio88RiYtGrY4B8jJLdjRom5weg/CXYA5FipgRnUWBy3Lcd9M
LO1WFFPZUO6qUZmL0gAzB6KF5S7thvvHQla5dy37ZpgWBn7V4uONfDfKI3ZyFHWGic2Faj06TfZL
t9T4EnXVpHqdS85JH87wZOMMKdQU8rmqBUtjguvJDjKINBbTNtdtzbt/P80b1udpXjU11hPEuHSd
QJJBZOqXXUPCGjBx+e2+Vp1itmfdyh30eRNlIUIx0KUQ5o/LdCeKZSwjYU2aQ6kIGJmJi+QkjM0K
xtoWUxhQD84daqjtWRQiovZzFY+NlShKfQOa0e3PhDHdfAYf/b3I+M+2pW2sBwUiq4sDVzcPHQjA
Go5P864czLVajyy+hiZ8K7pcezTCskMMPvMWoug7kB5UWd26le84iIGMA/qwbV6dB1yEdfjXjn6C
RLwQX4HYcYqOoOkvQIm0927W+Cc2BjMz87p70aPUY/a8sIA3oliw17rtCrIwoojIzyRaFXQoko7p
Ltf7ec0sfjDzYTiMRZ3jbO3L+HI1aAz4NmztuWiqJPmrk9v6enC8cebBApm5U8BZHCL3fQTIc4fF
DMHlmlUFur2lv/IMDT1vQOBvcmxsm0BtDshI+veVGRRrH6LzTPIL/xmBgbMWO8FMmza5BXANeDn2
C9LVFXynoNy2HTgiHb0Cbyxn8qAk2Qzpj10QOIh5TLdVlsfl+tLaxdyCPYIi3tQauP3JYjZlcoB6
qsb+UbAvBA9DEC9EPetgzAKga4wIaMZ+6GxtM7KOozQJtJTDlwqY07IFmrFSys7bkioxN37qnuoY
K0IRvqnVNNr4TslKZrrnxQHXolMUWdVelK49RPhHXPVjDNEj8NAz13QMgMXWRmxyxHYHdS2ftPvb
p2pRtFqMx7z20vZpzyTa3Obtul0SZ4W+byu7NA/T0wzlNtppFgx+ltL22gyNbi8rWbL07Lg/tZYf
zHvZCJ8aH0okVsvZa5HURxal7p9m/a1NB5P9LIzazBzVt6pWvqamk754EPJnqelrt7nKHkOd0Edi
ISmWkIFRZZtUiU62WGv607JSNKT2venzDmxladqT9F44+x/Kzmu7baTp2leEtZDDqSRSVLQsx/EJ
1tjjQc4ZV/8/XdAItCZ8/3uChe6qalAUCTaqdu1djmZ0vVcf5zI/VhAlRVH83o9i+8frSR6l20z6
14ky9Yb3TovHDMby3H/QKO/A/d9OdNk6cPvJJNywbHibPqyPtKQk75PUcW5rMsgX8dAj59JBg3ql
6VkA/pz7a0+Dyft0eZdr/nVD8uZe7pNyAHfnHpMVxrDthjp2tJ1bOlukxtUuRns0P/F7Hh+zBkGO
RvfNT9Wvw92ampl2AntaX+d945wKi1Rp5KI6DhlK9x6afwfU3ACBfWsPx8lozSvuHh+Nvq/fjeQP
oXCPP/qpDQWduowahb2znviCJetnA4qYa8cjY8yX8RHMs/00e5b15GspBMcI012Png1TSeWn4zFu
XP1SzLZyTOY4vdf16FFLmlTlUeBmG63gOs1bpOKKsoRIE0gXtE18emhAu+yc0PvSeM6PeXXKn3UG
TU1AWgs2suWkNe38PdN4UjWHLrxadBvhnrFqP1Rw+YOLBAUCheAHJDiTA/teKHeU0Up6DyRTcBSj
TCGZjEoeO44bGWp6Pt05kaJ1nbK+5tk1/5QrnNra1CX7787qjsWSuR/oYP5oJUH07Eet9W50oZzP
oDH4jba66NA6WY86wxr/lla/qx/cL+sQgxEZgQCLl9XZgaJ4ah4SR3M+OuMIQxJkgcMApL9VhWmr
BuxoLNAmkfFpALuocZbR9LTAI45ICOmmdSLHfuHbMxjjMKZ/fbbb5DZO0q8AZoN3ISRx70Z1BkAL
8HJWLwcxTFk1n8IWEU6jWJFpCxPuTP68fDXNYwMN95d6NMO7aEbsg6bFi6awU/KTbarxyTFgdVp7
81PsO+jiVnTFmgoNQLdMAZIT61ymI5KShv00UovQ0/ZH2NcjknPtx2ppiptBZfEDlcW30DYlcQhm
wUFdY4GaOKPJJyRA/mIZ8o/5ITV6sDTsuoxs/exXc8qf7U3I0ecLnPZTVP/eO5AEBrR4QqpAp4FB
uWH7TfgHjzrSjWPg98ZVi9aFo/XOBzl4U/4TRgZY3tRUDx0aybTQuGJjHx40A9JRGzZDkkbdbQr2
9q5ufQq7gTk9FfyoQ9s6pE/QQAD3VF/+Ju/K65lN27a5ok7fP5fdeBfa3ZE7RvG49Ib22fHhJ4ep
EVazbnzWjfKGHyHts106831j0Q0wKa+0nlAtbnjkE2ue0qcad7VxQVIhYOPM0maV509GP5xt5cZp
rK7bkC5uuf2k8Hlc9xGqz2gOwNO8muBcPMgUywWi8RGq9oNBE9OzHCAIf5zrykGbonvnWPYKogLk
PColvQlbYQAOVSZpL+Qa9BdAzj1sGLV+AURmoKJ1QmaDLzDaaoJdk3k/Rs9skN+QrXyXVDDzzDFk
/wFSVz+BgNHUFP70Ch+VC7enCzAPKIgZw3o/14Zxh9rGPFwuLXTZVWMu36w8uQ3cdfykR157O0b+
2bw9W+RuQ/fToDakCD4Upx7UFj3BbFe37BV0c8+2FnnXWtI+Oeq5w269Px2nAvFYB8EzYjekMCwe
R3LXvQ4LeJcbNRxn+89eD32a6WF4KePhgbsE5D5GlR5IJ6T047cO3KSL8671DGr8cAN954v6fjSy
6BPaBv6pNgsLYYOqeeisyrqwavfn7PXdLbIM7Xs9obmKhj0+1F2DPLhuA1tuZg0E+/Bylr/OiVX8
9Ap2k3LlNqh8xcNT8QDQ5v8DGQS6502SxPJcEpJgVMlWmJb1dve8WiO6Y/RRf3bnpFg/24ZvH7s4
hTIhyq+GcQjvNNcK7+KxeR9DHnktI5knc6lqqMoq45RWbgicjOGmGRr9gJ6Nam4cio+2A/Cg7cgO
yrCfoKRAKMbwBxJf/IPujNW7G2ANuImclPoNDJvVxdm47kooUmdEyze7jHM1tixAVKlJZRBMpUeF
iZ7mOa2tL/x0ISSmg7Z3QBR9maEL1/xi+ZSMVnTTpB5w7hGq9WtbA5poQiRNfyS7kFryXAKtTvrq
GpXC2yhE4IxWSgvcrNZaVxWFkSKu/ZvaToPLSRkCwIbGxYAg/FUNqQDFOhpanaGr70yTsqdhhS6b
4JoujTEamjs9yJq7/vWsFYuMLXP1fQQFPLgNAsoBylGb9UfExp5yhIwesqWMH+RsP8gc4jEr6PB7
ma5CeNZ2195EsWWObUQ0SfFcFuAFnmEiVftm2XeuUz0cPBqTDjIcYUR+hpDzdR+7wpRyMKr1etl+
qgJ/jO7hTEKUcAFQfEylsUQ1kcD1egjh2z/xv56raw+WBbiuVH2Wh6YLjY7Mh1z3zC83sO/ygGsN
Nr0oVJtyNWyWzjjWNJcdLQPWlHrtuocCFt/Az7/ofdg/gG5CoRbhjK8mqdVDC7buFHtj8hWRzo/J
0ubvHRjhnsupuJfpdSXBYJYQ69tBmN1NVbjcQek4Xppznz32ydg9gsB86ZQL2uo2BIXwuaNX5trJ
HON6RCnqGHRudmdbZkljLarHi/pwZQiezEhBfUzbBT62tvzmqg8ZLAyQQKJzhlYxSU3vNNta+ry0
Xn4fZTzwm+EAiWseNEc4UhtFE5g+y8Gu+cOazM9v+ijqH3yQWDJPwwN9pFNO8gTX2oV6VC20B/7r
YkMNslqADCC32+Pi1NaxbOBhhEQX1rQgfzmTObFOaq5cJuuoaUjVAQgk51i76y3kj/qtnPXTvG5n
MkdJGg7+KQc1PuTNref4SO9VRqgfXG+AO3U7N2yq/2jaQ10UlsWdpcFQjVR7Qs4f2tvcC81vkVmA
owCK3kH36i+T8d1uCovKaZk9alr8YWIPS62Ep+Dl9UyzEeaTuf3s/8cv8YfDf+cfDN38FV3JzcE2
TJ8MHh3KSLHTZPprAkIP2tmwyjD5siQW78qFBiwFxlFERZJkg1Oa7dngL4sAMBlklhFD4USLXLu8
uMGZd+i8GAqzAd52apFXnZnw1NuC3FCQrfSabuuYPlO3FKuMnCbgSdiozj2ybtw8xChuEyRmV4Vr
JtsacoWK9xvdJPkvpCkVeJBfwA4gxQ58Mvu6Bg2fPrXmLfCc8B71bgsiXKg1/R5WIzuwxh9T5V5C
CGf/qcLRiQl/K2Mf9lkV7qVUWCR87mzvCnQ/N1PoAtBOoPxMBju4JiNKQzN69V+SiL5rI3KozSpr
3jnPszk5T5pdDJ9syuoynQIEeFgdt0arZK2+aBbU9ZaftQexZmqNkKrVbQ829lOfPK6w2B+Kmn0H
gn3zw7ZV3RGjRTgpc4q2idq27wZ9qtimS3Raa0S/mmU/u8NNZQVxQXXTuLRHiOvqyro0kowduhQJ
Gtt+qo3RuNvLA6RLvEtfAxa7+Y3sXE86m5oLGPaJW+ADQPscAr/XKoMEe7b5FPFTe9foPQ9qsozF
fvXYoIcAK0rbxfdxG3/3aju6NobxnTw2eq0B/qGLunu9nd/JqK06kDKe2cqUPGHKvBXU3b1F4Jup
10Db7K37Zl3A6VDJgt+3Ke5h+EgfFttQVI7QGNC79uCqonnmalT35uLL7too1zKfgqsYPqavkQV9
tSqat/w2mVZYfKFW87LqG9dfVs3VquIK/0900UJMexmZjXVd5/rnCo10GLl6W78fksTYDnwljfu6
TTcXmReP2WqN+7wsIG9KoZ0JzL64KoPEvGNTpH8okuVZkAgy3xiOcaeREfuQa+PZ/K/+srENI2e6
rKn562ZsPZiBrt/xIXEPEWIen+uo+yKdtE6R3LYBULYo0VBD/hdXu5gMiGroUF+96INfG84nMuvt
dVXkzmmigvFh1NqYPqa4/MF7+Myq7ubRwQNwXNvpHXKb5kFXlcOc7NFjMznvpUYsU2Rv3reUIJDT
oaas0zd46BP6P2SIRHr8yFPl+zjDCH3Weju54aPfJToPFfAqQvBp3m5vubyr8oZ6yaieOTAXhWXe
bkMxG7k1uMdXi8xt5m2NqQy7Expa0Xej6q9guja+OQG1pLE3+odAD9Z7+KuCq2wwpt9qg0ZL2sf+
0MKpoLdwHj6kuRNeJ3q8nsgdDc/QwY+ImuLy62p6p/UPXaSv/LBmId1GzvhbF9TXWTPSHGPFpF/G
7kRWMP6uBSmgeN8JH3TOHlE/qBFWmJPvKaym4xDPn5O6RQG4cHig1bz6S2/XJ3GIoEnaItvJmR9d
WOAuu9bIn/OsfhfzYbqTg+vTqFRrTXq10NS4zYkhc9oSZP2ro5xR2HTPfLRCh/Qyiv8WLGuRM/9h
xuR8ZZObDeAh0xJgiKHyctIauG18ZfwAlOWllVBMu5MEhtmCJKJqPtxiZEmnLO+6pv+yOM4FZFH1
99RB4rPOXf8d9O3OzbQksB+Q3/mQwBFIJqt0/6DNbvOFeuncN3GNDmam5l0ZI2KuMBE7MGIDSizW
HN0q6w6WACs3P8QCoxihGbldJjhYVGyyFDnMAoKZEEs415vFSdrbZjSnW4GJF433Ahine+LCLIzl
/s28YMaRVbkgibbcb7Ci3UVFGcogbmlJHZZmrOhoLgM01GVg30SV+2yrUQ84i8cR1ekwkI+Chwfq
GBmG+RpbF6/eEisGiXOaK5IMxaUwO3jtDE3RUH1JBhdGWMq717YeLIgrhbfioJoqSEpE82PUwx0X
aPa8sUmE2nhqXiMdFen+FZkU7fWE1KprFUPxI/0SNgDKqAGk84PpxIdYr9zsgcamq3/szoYxAniq
gGpjrQMPReoQukkwtnuXt5xtjom4u83SUotofqQxTFioSWQnX9cpI5SZgfqEp4QnEBAM+ekFojKi
LKegJwfxph71l/c6Fmh4GZEHtV+MGpT1znlMFL6IF4GwH7+hVzIsBZnUKNThoE8vlm1yVQhDFMPO
LeJ4FrivBn01QEZxl8B6NM6vs61D1fMimObgJuygqh29/IeuJVDqzcv6NLaGc1uUmkUdmZSjVZJR
mppi8wg9pwDYV93DJ9I/12MN7BFmYaCLWvesO732PjYurdIhRcVNbzjBu8UHThn/KWBRAanBXUfT
uX1JywDMmyYYOP3JpUURHSl9fpIDym3xwaooy/YKHDGqQ01n6T0Atoe6RUuMxKj+5L9GidseJYv4
ntIkoy2G7Ael6AHW9toKnuyu7t7/NdMtSfgkA5mGSHSfGcOAAnZ6JVEyEEdmeP4Knnpl/mUdmRFH
1lkhEuKV3jTG5FBUNyrY8ULHuZMxVJgFPBlqvJ1SSP3DMLL+OCiRC/HZD3pARmBbiD/RuZvs5o/Y
m5WkiVpGHNEl5v4spxSZ/jrdZqlVb/77kpbljqe0We+AyrhKN9y996xv6BbZd/FgvMzstjkqGpJd
uTnRqBkPl2LZJuPVBrk91d+qdjoPnq15aK7EEV6zd1ptpdf2MEMGkZjRDeqJl1HSJEryvUsLqqHA
jl/OoV+YbsX177ZtZosUv23iX7xlel9uUlwdMieHfbi7/G05MZ2/Ogl1UK24QRHjcnKDSbH6VVSz
PGQxhjz9tjaQgy0UdN5RxnDf0fSGjIAy6JAvXzpI1TxAn6I/T0bwqUHp4NvSuONV5ozebcHD/1MN
tAJ0an5DlfS70fGzzm7pZYgAAixvrSoT0juxudg8UyvuWsXqZq//PpetUfeuV6FZDjG51ibgI7yp
O2QVJHPylVkU4qgxc/1ej5NbH4liKqnqy9fV6AaiOXH2HZVQ+ppfQiU+1NjnzvwwSlDV9A568+N6
WQVgBlLf7a9rhatYER/hFmn7j3441J+H7qvALXytsO4TCzFnAWPsQTI0TXhyfwkizgwag9cJkxzq
T5FKbsmx6sg2UYZo7iJjqNAciOAAvZBZOQwONW03QKRZnHbDW8fzsR0olYwCenVUvulQgwcjNvr8
Q0+up1+8+WvQmNr1NGb+AZlQSiDKzfIG/Z2P/PiHOU9BDpMWrtzgxU2Gb9wo+m5u+2qyuLhNfo3u
25TyiAVLoEBqhygwbrvIvyH/TmZQDLnLNpjnmhtwehHVCR5rSm07NHSGvwxBcFQZe4KzqVc3S0OV
dDT69GoPlTNxdjL2PYUf3e1GeBZQTpFxUpNWVgvv1j30xxoWHRJi0SkhzQYUXKE3Uw0moyPcV9Cj
hgAeA3jRFENzcSVzw8iHNOg0mlSkgYLsUxeAFFUD6bIwjI/7TKcA9sygRlU9eQK+Z0TvYLVF/LKG
FtU/I7NPae/3YO+oqZVsH0Xzz1DP4DiDYfudh8L09pEk9TNf2/Dpq1Zl64vxz0FRk043QCF+tjMI
haSLxo/GYtsPbJC+JK0zfpy9bvzoWRcDePdt0E7d96GgOCgmdosV3CtoZMmQFng6SNVam3UkZanW
kpEsyFo5AG7eBa5VZOP30VfshSasGVIAM3jZOoyjt76XAcBCsbft6vtiSqCW3qGz5lAtpyzuHmSq
trK2QM4TxK0u/4u49dXPrn9w3PjPt22i0C0kJ6Pyf+572L2/UYwqSraqchCjdJkWc5SclNEACHOL
IN9ttVT+FYSR8KGpjYeudhSLSZWsLoIHmRqQUr83IkgmZCuiDhLkJ5CoyRyfxu45bu27JPP9h2WY
AkgMB1qASd0gX9sOySXaOPHXfs7t02jE+XFSYH5u09v87BjWKUmrl3nln41J8nUA7vlm3k28/P+o
iED4+aYi4tue7rkmDbsmuCjffpPOm8PeGKg89p9f0nkJEJCD7Ywo0A3D19ZO2HmXc3uUB/yaB0uP
O83XUHOnkwNzImUeWhZc/IHsvfjv87/6N2odaWWgBeqtv6z/el1ZP7CtF///Yf1CVdj+wf91fXn9
8nfJ63z9u/bXL38vwI+rtqzAF1xqCDyg4EVbARBfrSq2++F+Z3Q2k6dMMjuoflw5kwN6nsokbrLM
HvqfCybwmG7XehP6nwvCKw3/SWv/uQS9B/FT4j3ZGTAtd0LpF8oH70kMjcWzRxXakPErl7hwPLa5
YfRgtv3NPiW+ERXiPiuMRxmJ6zJU+YVXV/3Nm8vUo9sf9rn9MkmQI+obhXP8kIzNjaxCcRlKT7U8
7RvG4/7qZPlpmvqbLczzhoXOwfYRYdL3LoqezsPeqpiC8wAXXr7Xsijpn8UwxFly0vX6fWVp4Am7
X4diVRH7IlSavav/Tpabnup3P8dk+zS4mgCzDc/wA1pA33y5Oig4eVSx3E95Ry0CZjO6LPRpGKgL
679NFY3/MnLdsKEUkdjDfZxymIrYhYINjPrqunRcqzl4RVNIt9WpxPQoHx+sLvQveh5ZX5zq2abi
IQu9XuEscDvN0WaV1WWxs5BtIVruwMrUSUC5g1d65iTjyYjH/eVvIRaQs8Kqc4DXCSL1DQQwCAKF
dUU3J4ea+9/5mL1OhTjYfAx5XH6J2XwKZRHzttI2u53LUmc2GZvDsq3SyjXO/cVVnOa5PQ1z1KoE
1dTfzyNPTCSSUXvJEWUZ5846yVxM8Ye+TWX27BHKNzk9C9ocmqzegjIaXF/8owE14ftoKvI7CZKD
25tok6bUyfR20g+Gg1IUaTz1hMhB5vxsRoGOxrT40udnYvMRQLM47nGOepgUwz73T2uJi6xvDebL
em55PziN/U7Qi1UelHdjZj3zjMLT7Rp0dz4aP/e+tMrTjjlfcfNFbV61yksE0MstIkEefYsYB+hd
AsE/SsSYw3eADMHyRNK7PgUaUoT2uMCuPPpafN8sHn3uI1/9K3jFkF2t6+R+oDVnPrYGuEdaaBZU
UdUs1Zbsho0n1KWMTFlj8ykb+Pe29bZT9qIPq22Up224ec3o/cxHCV588+V68iLOFpTTs1cW52l+
M+bJabveW8+zWQmaVu0hy4eS3wRe9nbd7YrqNW9/d9zUdB6u48NqgdQAg/Eztydkot6AA9vZ/Oz1
1np6My/wQTBPW+gOJpSzrT9Fhdqltp5k7k3861UFabjH7+jD1yufdbuIn1x1DQKe5P9CKr65wn9e
WcKTgo7AvYtmj/+fryqvX17J61W3N3J/da9X3H33vzqI1+wiLAcQTP99c+cW/ivbCZVQpnwLLn8D
umsOb+7uRWvQcMs7/Ql5IDpIPy4r3/fSzbvhqqv06qFvGx7Xx/HTEC41lOU03l7LXAavJeRiwQ9k
h5sX5zBLY/h0rPmTVrf1SRaIvdg/2iltV2MXOmy9qZ1e5rahyHhMgBlZFz7W6qw2ElriSAAgVl7j
KJNi9kC7jWuwPMjo7TLit4UEzpyf+hh3w56z26YK3qVTaD2EnW49GHoJ9aFm/choQLg/mxIXf13H
64T0wUWD7PmDzO2xMhd1CMcACfMPu2FbVMZF+Uflx8v9NlUNqPxdzK77supclvUlOjE1orFucO3r
4XIT2F38btLsGn2JfP1K++KT0NIaU3OsG3tBkIcciBn2ZNaQ5LxeW3O5caGG3YKyZF2/AnV/6i3j
R5Zb2Y2lUlOA+eA1qu4jlZqSmUiyTgDSyyt4P8hCKjcxT6mGsu4+/mUBGUySmdrX8jK7vBqtixnI
N9rrlzsXw54xPk8W73Zdb1HSnWlM/FtGWTLOTVnSYd7x9krufPGmQ9+P6f2Wj5cMfBQn2sGyWEIm
z3LzOt6t8h7FUczhcprDpb8Ou/Sn1Dz24kgt32vNsz+jYqSfpkYRMO4+o7ppqTCJkPkNYaTuJjKn
QilRIeibRUfYeuf19yVtioftkXEabFIs/ECy+1awmmRpylOcRE0THYoxutma3oO+bw9Lm3lX2zia
S5je3NC9MqVHfh9PRtbykYFRPhrnb+mct8+JNpj3emdCRqB6aqa++wZWoH0eQZTTjMR/Wfei5VsZ
Dmf+TuSd+cM5iHajFrf9VUNWvljC4nZEieisDihFPlcqhnL6q49MSS1WMw2KinK6+6W0y+xTb5cS
S4rk5a0ZLofRm4abNlVIQh475FF3f/Kd9PV3+nBVzvyvks/+uKyMCOINp91fzmSNOJnPjFPrX00m
SlW2FUXv3fpSOuakx05mygFdd/IhcnAAgD4xs/0v/JTOdkYSIQ15YmcNEhHtjVNqxiEfaueyHurl
W9BZX/k79OewsEaSdJmD6JC1zWu6vz5HJfO7v4d/bDAv/gPfVGrit01td4+l5oaf/+IsWbOJj1hC
Q4z0DhbuCOFCEqXX0llYjwVSaDDUvwaJlxu5L0ElBAonupnSQ0Jq5slvbCgMvSU5ZtNI+QZ4M6qA
bvajTF12Vb4NbLmrrAdx3iN4Q5IjUFYKPJZex7cjEQZaP6R4G+NkhvF3GKf8m2JR/aI+6r03qY6e
xTYWojFtzjafvUtA/Jo5jM/4yMQ65OV3ewBVJpFbuGWXsLbjqymK321htSbUG/7N2D8hIV+9e+Mq
JGgy97psGoceAkmqcUF7XVKsbeMPl31dlIfMK7ijqkNkuDlnN+0yvczYblUrUGtK6r4La/1Sc/v6
ao8oax/7Pv63FWRFJBrAw0wBxU8KjQn5yIuhs0I+kKBbnADC0MVob2VkK8a0QHJTHoZJGVw1B9Di
u4WsILG0SJ3ItIwPk27cC6pNMGjgzsvrOEYXeYOrKbhbo0EjaEPlfNphaintv8VMuXOb+muhPehf
F5prylx9av0kI6XDw51BPx9SzqEY73+jX+YgHaVB1/9ZDlP0yaLWdkS81NhcY5gqdlctRW5HuXZO
eu4Kp5z32FFcuxpgN/51VXENqTcf5QVAzt+efNvWeu86cVv3QgtXtsiKD9Hhkf1KhpqPModVFzP1
Bv7msFofZtWFKoel7z8PYG4eMtV7WvhuelytpT6IsShd69GJjTP/NW0/B3XSPaAYqYQ0vncIil2b
LeQ3rTu8H8q0psdl+Lzk0/IVijD3OFA6ONIwoTDQL14si1i5Nn1ujCa86YywBUFuXnsWmDt0gXmo
0+ffwXVEl0GS288dTY1Hs+jpIwUcj+wKoiF6WWnPWteFF+vgOb+3hAd/hYdxurwNt/wVoaUhgPK6
85+zaApvDaNBdKbs/OpEU+Ow4be3yVcfgXhvXATKr2sHiB1QmEeHU73JJR+Zx9kzqD0wKnRrfZxq
+6ulCHLFpkabZwF50OvIMslZRmb8LndNND6pCkt5tvMVscwc+cW9Muy13N3FHPPy3uf3by8Ei5t4
iFHXLfRyLSg9X+qqPffbjocPC3HRyTZohv7Nn0dKLeyrXCUgkbc/EIBN/8grbr31PLYfRgvSEt6E
+G6g6e0hD2hDX1f/LKbuv/Osl/1BVlS/QLayO9XNoPPtnpJ4fWoRz4BvIS63BufJpY2D2+cXP3Ps
D9Lz7IQrdaU+eJSG6KRUcvRl9eLfh/nmD8Q15Hl8NQ+WPi1PWpN9FHid7pvRLViF8FLgdYEJ85uz
QG8pVsd3EcjIbO1BrMP0h9OU5qfXJWTW6YbolnxXeCkxRuvxeDx3ZKTK6gOiZho0gY7FA8IIh2pp
uldTlq6Xwxyw75VJMQt3agd8CcyZd5L5nXpVPAoj9IF1GMc387tvYiK/QzfeerlfcbuOjNXqjlod
3lIdPual+aja9zOEqkFxcQahbvX2TNP1l7mYzfJm1ZFA+jhMA9JJZndnqANSaN2dV/bIs8t4O5XZ
adSYlVOtptux0o0bGclhX+KfQ8RJ17TuDjVHesuaooFSbULbXB1g5gyuqyBD0lHJQI29172Ts90g
fhKxG0a4kreIfamyg71bDLvzm2vszvtScvH9upZR0nGEeMbdYhxM9e3NBy/9NJ0PxvEgVK99kohF
WGAL6NQ/EbOq73+lBsTsFhVTpDNi6mUMDnfpJ+tWmpTy1YFvzC2Mm6VfnvbmJZkXD9JTf5RdPd5k
QgYVBYNxJwcIzSFUs0NbP6A1g/KLYozazWc+2+mv5mVon1G7AchmX+he9s2Z6obuyILbWlkFjxWU
j89VFH2UeQOM86F0w+nkKTd/HC90oy2/mHOd3IGvTq5kvrYU3c3fw/UsQ9E1GturCMmL/PfUTAC4
m91FrD4EtvrXp+qsSpGNRdXUQl2MocyJdTdUojgmkx4qT5v3PE0UwPfJOrStkwzlIOvA2vSkGzAw
8VQPINclv9MHi/fQqoMV2cVN6K7vXcTmHmQeKk2elWSMhFF2gbpWcy3OZ+YuGLc4mav7Px2/nL4Z
9H85tHB9LYB5HEZ9sFRd1HyCDdtFJxckje+aRzC//pmHkyCB858esoaVw3mJQnDxo6UlkcblKE/+
CLWfnl4iTw7K2Riz2671ot+1aUQCaUmaZ1dH/CkYiu6u8JzyflWU7Gle9B/KCFScD5/md9qs9nAj
6KLfByAJW3jrVnSqLWN3pxUBGodzrtGjCA+f8O1ZunWxpoZ+K6N9HkZoevtkcnjl6xOzQ8TUdPrt
Pt85BRAl/uncVxWX3T/R2O1z7jolR63x/4w0K9Uu47Am67KbX8ay0PDKh+dXxmctMApkQbzWbW+l
Iiy0e2Gx3DtG5t3LlFSCe1CcQz949zKSeeXV/X1KAqXeLK7Kaw98XX6bSmvvJhgr+xbUI2J0s7ke
tx7xFb3yDHbpjaWAqvN0tVTBurEUsFc0L5d49o5dHt/oQ+3d79SonmvUUAhb00HmhM6tG3XnVq/y
z0Lgdua7JFu4L8ngPVT8aMJBWNIqssOb+/o+lDP5eZC7vgyX0G+vG319knu8TMnh7Fdj/4kQyx77
ZimxJhowpXLqaF24tGAAvRQIiRxc4MMAkup7GUUCvQNL+N4sUArYYCllimZeAQjjCjwzj3qqwfU+
IMSTIfCj/L6by+YS2XNEJdWNZ/9RQBu2P+yGJR6Sa8fm12+64GHayR5SlxJCJzSWnqKxJPcGUZ+c
vh2bituy8Ap6yZo6P+w+bx3P1thWzjvUbiTozPQ2Ssa6usablXskDS7COT2/JFmD/gYRUuukpz1t
f7UfubdDpVUIfUe2c4v2nXO7uiEmOYX+rrYv+3zkU7QHiGkbl8CP6dwpvsgcSohEbpa3S202md0P
Z5eS628vRV6VOJ1dVF5E27YZG1YXKk2/UaroIcyd2ZUZLcUP+EdSFJAr792SUh3ZPew4vzKrsPg9
Hn/PYI6Fvye2r6W1OGhT9ypSQ2ktFmuQu9bZcA2/oDNaXvYuzeQXsdNPd62c6nRr3Mm4pqJ0V4w9
9kVN7hYoCMzrYtEfz0L6RDPCy93nbfS2UB7EP/nNyI9ilstshn0Ma3FbwcrCFffLvl7x7JU2C7mN
qgMkszPE6HnD/VJIYRRCt7mQ07bwmkNQIAkjtEXiDlVHpm1MRxtfjMyenZYRbGEkLcj09R29L9pK
e4ds6E1I/GiPC7/kvg9LqYUWx+zF2qMYOxgtD3o6Vkd5AijHcPOVzf+qBd31qmWQfSglYlrcFI/H
ipLlQ7KSGJQiGLzTv41pOEAbhHG7xdGBeZhbMJjbna0tqlJhZq5jKYKpCG/qk6upzsH9HvQMyR63
Twt6HWr7DOoipHFCH9dI67WcrgrrQuNbcUAh0wav/Ss8RsxGP0K2vYUrTygoQZIpENPfFlKTErMt
rgf59irojrIQF4pG7UNS9ZbSxOKJm9TYo6cOMown7+iStLvT3fVlSuZNkzb+YaKvdPcVg/h1tXvk
ice+g97+Z+CvITc1NjlxEngPcua6jcFNYa6OuwEORlUAa+rp1kzjGxIjbIY6tVXaTiVm6fgoymSj
LLNfnBoI9bUP3ZymD62RnqSRbNVd4z3Kkyfh8h/n1HhvNiQnVF9ZCAj2vc1IusyilJGy7XGvnq9x
fuHcwXhyDQ1IDDVvWJowxhQtYpps2RABBwx5XOosvoBirb3vYgcUmRAkT2IfMm06OnmJEKayI1dZ
3Y9ll/jeZdvbz3YKOxktX8HHxNAWHn2L9dZu7eBxtnyNm6KlfSMbuGV3dt+8LdYjAgfL5gt/tAUH
T9/TSWb343rj2lp3YSOY+rDQxnIBYsyED8ruHmKopigYmZBZZtmLdQlq608KBFbzfUrr/CINNPPO
jxKyoSpOhlFV6xtvx5DX1lsr/Vbnzq0aCsmHOIt1H8rKraL/cXXwVHts9scaFOZRPkn7xwmQZMdP
RrF9JN98Qp0kHi8SdE+v33xEuyTub9lcPKb+nELsceMqHE5UpN+tDEGrjftUDQuv70+xG+T6tbPQ
YqOsWxJckIzKpVGgmTdzErbBz6ZinFFQ1/qjNGEsXh8frXA1UFgGFnc7wAtDzXkykEWmMyPN06vZ
74IPJDr8q2rO3JNkkw1P/xgAInnq0jT6mMKSJNNtGsd31toslzL8t6AZwsQDT9iygSg/eKTc5Fmw
MdPyQxctZ6OBkTxoio3u9m3ExmOLk0fNGFTTP8TJw2b315rpADI/AtYdjTVA1zxvaGtffVCwaZE+
Op6/XiM2BOSVuj3HfzuXaE/BZDe/LMof/cVYr8/mDIh5L/IpaY751ELWLTczS+6CSNFcr1U83ux3
z6laAuO43/Vizb5OJp5oz+6OZz7GQiU9doabDWzYLimAKL3qYKjo7CvLTd1rHmjgBHFmG0YT39l+
uMUqQ55MrU/7UH7ld+f/KTYvE/c26OvKdL4YwGvupTzuj+VlubrR/VY3lzkpYyOrWx762WwuZbgx
VsqpZlFuViHk37wzxiEbiDb4muSqzOOYHzzLYPeraFRzNvUPk2oUorN+piMRs6k+xvluFos4Nni+
mFWczMXq8y1ncthXKHRK07HV/z/Srmy5cVxLfhEjCG4gX7XLkiVv1bW8MKqqb3Pfd379JA5Ugqwu
d9+ZeWEQZwMt2xQJ5Ml0VtQ5cNN3oHoB6Ez1JpTNFO4r1m1vWgruQmSZcByh2zHGm2IKsOtggIlJ
kGPQoRVnLfgCwUXpFXuyEY1bnFrOXSzZKZY/MmBxdwqHpwB2PZt+YiOwkE5C8qFBH80vUc2k4w7C
R6kiq/GaAuguu1v1EBndDl5V7VOwMG94GWrftBhfJhDH8NtpXmsC9T7mHr7WWPepFtoXs2NqIDDO
w/MENoQT97p6SY4yHM9J0cefQFVQ7aE0lm6gJemLguRndTOvh7SKgOnC96TtDZ9AWAqRd65/992M
HYn6JPEhQgdC60806nM2xSeyuY35iQtyFJAzpWCuz7714v2WDvh2uZzRsBCk73c2GrLR+GnPFmBR
H6UG9D6t3Kp87UfVv3ChMmb9DdUKng+8bILuwzRMD73B75vUQd8eD3NUN39k0VCtI0HD5gKDcMKe
4qOkIOWemy95E0478oJoKjnxHjfvEQokyx48/kT5Jr3XXIplVhC9qnwfjWIHvFw6eL2cIE4Suye/
4n/hnVC0RWLbMAPf3oqGeJ5qVujhr/Zo9yg+u8mA3WcwnLLEtf+AghBZHaN1T5C2khUSHfhgznFb
IidVcOcMf1olwN8NNsbkl07v29iLBgviUn4n0ThjkAmlzsDOwOL/0AXmunbQpNqIFaM4Sg+ZqQ2f
zajqNm7Y8b0Zx5CxbodLRMayQwhx8mdTLK2I/gxrms29UVZ/GWUcN+sSigNlAFi75ouuNXsKjaXt
4R5OlLKj6PIo89rcl3F7n2Fkw+byqdWgFj1m0B4Ae33pnblu1YfEACtjUDXe114vVqZ4MRurPkZ1
MNioiDzz3a/DWKKtBI3AVON3EaKGinC0YW34BfCsQoLW1XSOnYm42ypFWdxRoejqhMc7pVnSlg3M
qtsyIVebYmlpWYW2g816A22mjQHcOOj5jnkL7tQUhO1famBYexAD/DmhlW8xzW30Nhv9vG2hkLrr
o9h7HsGatqCQxENDt+80UNBBNSNrvEfHmNJjKqrlolqJagm6Jf40Gw/ClkUYvaW2hu9kDhxc2CTT
fgTxGadGZMP2sEZHLeBXzw2SAHSqz/4EukTqtjegQwoWOPdR9d6XUS9oMmtzK9vz0X6HxSUbwhGy
fR8sYMVxyvzjTde/KOOB9uBR2vy0hvAnqO+3qmydQ2QaFHHY10ub58AHbXRiJfr3KMk3XIPw+BzG
z8DNgohwiKtV1bfBufXMed/6CZjXnOE+KStG/z9OmD631sT3Ze2AIBs6rn81JdAFWQd5i6A3+mdN
APPxJIreBuzXjo34LxcsVHQA3lNHV8avBAgXDc/u/Ah+VWi+e2aSQD+z/FtCjhZ07IKjyP86oSyC
pdPb1am2bHSl+VhJ8fwofqo0E/KtHr7U0R11AH7pYiJ75GD7zUoA5LlxJEbwNEA8AHnK6uaVu+4g
Enrv8M3+wbV8sCBqLX436JDXd6GVAsYahTaeM8TVTE5i4a0LBemSrlcDjjGkkE1dSaDFjQsduCB4
ataUpC6FrqJ03PXAAd3M6tCCRmCITsx4YDh1fe87iAW1bW/ohfdQf8F2z/AYaqEBkXJEyYTOjNFa
bvIvFhREvYe5xL+yYffRigJVNNYmDJks6oJAD5z9VZRf6/Z6ENZbuwa4Dhi5LzSDygnpilTxkS7p
WkkOfXxT4goptU/8dFpROXFxMkDlQ8YiQnexuCav5t9DD5oLvlttmgptcXQo7KA9BwHUfBrLj3Ct
cCi6TvS1FaASMNGxIvrtyEs8nuRQGR86KNjmYD1twUGssXZZQSXhE24i1aMtWt+IIiyDsu9KB+XK
nojEQCK61FzjEjaMPpidRCfZ/MV6gl5H9VBW5dc40dqn2CsuB92en3K3bLEW8Ms+9maymSB/sZRh
wpF6mnnO0AsqEodAb58mcfDLJsNGvIZd/KuDZirs+quahBLETF0wY6br5IHnJZtBzETVyBHW3Ngw
fLpg62LbskrYS9BZaIO0s2I9zJCLJlstHAnT1y7zpjNFcE2satYe3uNEAh18G2R/EWe4s4iEth6D
s6hLTqpR6s2lrsqCHMLaudaNbL3dz/0fveEVWEwAQ7AXRdpz50CXzOjjbp10BvhVhYP3ebtAu860
V7YUJHr4iozOlMXzojmx1tqqQjqYI/YDhDoWKsnITEh6oqNCFidHgfWDBWvHaV86M1jB8O23hppr
u0wDp5JyQ5mNVY9osLR1IMSIoAY8PSa182aBVbIGz61zspk9nEiaiGJ5OkFPUygVUWwR7MAVAbHY
Q138tPmrY8TRwRdd8Vg3t+tFLfSoaOy4qY8gDOsEPN6rrHhjphMeALFBX72MpsAO9XZytdxmM1Si
bSD/+vIpJNnmEXReTo49MRqCVk8HWWkEyQIHfMFC3RnfRiNYyezygYZeyO192jrWQkOPA3BsGV+z
MimfILvcv+oTfhtpZ9jQrkculXPLZEdOmoHKdf3lgtDW4Wyp3zWABCmaDNNgS52vOfXPRlfjMPV9
uGYBGiUpSPbXQgm1ghIOYRtYDzASemBcK5T6DjxHY2Wrt7sm7AO0UkLygQ6J0P5QQwoD5x90CN7Z
02sCxVaGhWrAPKkw0FRgX4DGNEXSYfGO9iZM6NcuwGseP9Bvtoj1eWc5Zb+kIajC2Is3vdBfCFmw
SAY1y0qPH9A1Z7/GELO4j4/yFwqlQ4Q2FSwPov7v4v1qYFDzfLEEe7ysH4Kyia7HdcDIakqg1uAx
d0Us7YM7jiVuVdMtubsOyC9YlwSpe8E8D3zoANHSkHLCBHKe0k2s7uShw10dNZQpNWToZDHFEC8v
gOrcXIsWiyko/+aU5siuV0RuNfnNVd+c5pYvBIuxqD47Iz80Q8EPTJxF+FLZVlX+FqT8YldOirW9
EEz8zaTjKM+F/tiia7GMTyVUvEmhtwnkK3U/OujZmcpRigyR4bKyqkQpWqB3K8bCCM/ranpg/sD+
TaGqFsXT1WPB8KH1zWknc1SIzLv9EejH9o36jbJvPfL8fiY/9toFlBmxcyE+OhlEp+rC6RpkIp1a
OqMfW0WoK1KpymYBRbGa5sbdRCzc2q0LXL5oK/UiqzoYrPzzpofU6IF7bKdho2xgbt8mQa79Lqmo
Mm2p2TEY8pwSCzfiYNna8Fi0NZpKrfqBRkAigrpkmK1hZVrNbjDmT7FTt1/4VwI6Z3VabFtWjdu8
ZcW35kfa5/kfuOeuKsPBncADrdm67fR5kYl7Bx2kR40ts3PWoMeGvIC8e1wjfxejbHRGCkW1uJvx
2Iw3OXZuFgOwUutm1suveYMu2Qar9ZAS689D3eDJSNhb26hXnNcQJAFw8fNovJE5hbzobnYysDWO
0D/sNP/z77KNrubLdj4PRcpB65L5+yDrte2kpd1Ti572ZdPOxpeqMl7BU2v91Rf/KSCX/SfIaXJQ
HYTdJ4ezbJ0m3HnURXbJ0HvvcaeV2WkWmpQdm0H6zDl2l0GuvAzKyvyuVcxcYhehP6dVlTygVcnf
TGD3fHOEiEiQYBo2GDIWSGNzCTzxJVbjdo3XE/+FFhp9NPiv5ijhaFDCImUKlPOqCBq+o71H8qrh
1IDFXAX/t7m0wKmCxy4BCXW/or9Prs3zrh3BCNeC4DJd+uhHX2RYfdmRGztZ+Yv5ROf0F59lzd/j
sRMQbDVeew8K1ktnhOEdQVh60KAPrZw3GGB5OrYQ4tVcy5FA4UhAiyWQWNXxAyECg0URMsm8Quua
ZdVzd81aUIkXPWi807xrXzrIoL7MuuUvoNnDdjQkR7l0Ga+kn3L6pgT5dZDTD69DRSxIjJ2nV9C2
i7mxar3Q2Dd9iIV28Qsq0FS878SQFobVkH5fJtNXTKw44y+zsKNVA+rZFgxlL2BOs6CXGwtYllW/
zKVRLtooyX4OJXv0Ysf9oxkLC2BVRBRVlJwbP9kaaQ+2ig7IedBp5kuzj8zHKTGSZ+vqqIUDb0wX
B2WEAlOv2zxb6lNzcXBsWclSRZ78LUPNQRlugKWPpMTTK99qdbaU3RsRA1jF7N7kSPEH/rKPRASu
7EQpSM6Kv5GZLPi3Rscy2YuLnZxEQzgRS+GvimTXUw+qLmZ7JJqc3DChvN0kyUpR8JANkLdk1TIH
rLsqRrLsFnidkzk3Y63W4tv43+bf18Of+Ly2vSlZo6cEolUNnswScLjTCJvDxip1ZnujFXi8Bo8m
tgtL809ykimzoMGSR/xsiqcf25mMVWn13kpn/Z6o2QYw3EOZCLo9trfWitwFw28+vM6p/438kz43
CxvAk2ctHXSI0/UWbgfgdEOi59bzNz0JwA3+LtFwuLYw6yI5pTN0t4psKs6syz2wmoA4f65c85sN
WJchFCv+bxFM1ACp6E2Ndnxuq6mVvG7J72jfiM7NCuavLrftDV43gOO5o4tTwzizwVFEYx87LP+2
pkyS2je93K7uQHbFAd5dB2WCjTWr90vKk8ah9ZBM6etFrrHP42XmDuwpDiawdsXQlq39GZ15jf8l
cnJ7rUGmCSC9f4uotJwdXDz8L21BaZpUFtYlR/aAlqTwlQ6VVfVgjrbRZyRsnhUZYKOfZQQl8azv
l5o5Ypkq8EbwqUDNSD3n0/N/x4CoGbN82igHPfUbcQFuY+Wu6VmAcoY5yNZzgGf7jwmd+8l+skyG
TvYr0bPkeKbxb/PueKFvwt3JfAq5eylGcbICFVN5N2XlKV1kMGjDk+d1a2MIATwPuxfoBhdfRou1
K7sfrFMGYCukOEprG8b1/Fz22EDru9L7DikAmdT4tUyKxqFd6ZpjnYrfJLUiSczkpSN6AN1Rx5t0
D9FgyaOCPS7067sgIhU0KbWZ5su0KMY98ai4VqVvPGh4rck7OyDHagteYYMJjC0AHCQgxm8lm4tM
YBwUJFN/plEzhPnSAjh1T+mqGnlvqomp43mU1chJB3FtUxX8i9gj8ILvqQ5cAFBNbLiYLsf/CNBw
dzsuQ9yGYdu59afa7yHVxN38SAetyoojQD5Yjpmbot7pTEjewusJB53Z5KWxPCVrOxURdiyqBrDM
X5H3MYGJX7ysW3OQb4i6htNf6upWC4iEGstoRweJM9WlcCpOdWV4PXF719nAWWXrioMKwQPyWuD/
65VLgD+8/pnHPJv3csuDNjraqP6U9rH3IG2UwrIRmvJiB4S2QYpwMI8Z0/dKhY/OjKqVqcqu0qcm
O0qpXRCzg2g2zLNlV5nhKxReo1c9L09VpGmPZDLrge1qsJstyUm29xHJWLBdn+PLOspXPuuPlWej
h0kcutAeNikHEZKypS3+8e3Y9HdgfEpkXATUQQEGlTOF4bW6O8Zu/KqSqFBjp9BhvSapQhRHjn8s
VGvuLuYm1Lenpt+OjdbhJRriXaDagDSXOFRB6h4AiNjmXhMKgkZ4zVwwB1dgMLmGRX6VnPMaSm1z
bNU75aAEUEmBUcMq+YqL/H5OemuhpgR3V6StOMN7tZgppZmoRBZZy1TMRGWaGjxJeLn8NYu6VCpb
4KYrZ6FcGe1YaJnuxQ9GMWigjh9mvSu2Q1HwbIFHQidb5I4Bdi1xaHUDYzol4804C7pf/krXjIfR
nfM9iH4W5KDomrLvq5GfUm5KqCkM127w9iKqU+bNWF6jclGSGtKZKqwcIGyQl0YFyX5T6i5Nxdx8
Avc/g5o5tc2Gr6mG19TRwuscbLxT922N9ouMQbeva0Eahw4L0dXXgSb5OtQsPgni3niRQwXn0AgH
eelAwZR2F3dXyqFdN5UHCZqbeVWpD+NcKkDTyStXM1+vTV7CzdVQXbrij2MonAI/+izk1OoHv9ZS
l3B/Xdd6//yZqZ/7WlN9brmeuId8LDepA+Swrff1Mx2CPjU20OqylqQs4kaQFyGb09cTlpT+cn1L
MMNPEqxJiM1Uz9FzPjv71O8v9szGniKEtaylBHFmvgWRTpFKaHUqkLnJf5zGdfZUhMDucVFf0hQe
NE5ijVLJZFUcUqah7q4BQIg3kOSzQXjK7D+wrjKi77TtHkoo0fxhtfqPWRu1EzktI10mZte+lX2e
og0OevAiaAy492h56AehISiVJyxQu8GKkrCBGW+MtLVlMM7GJdpLuwfymvb4YxQTuGL26wToqb+Z
IOHD7QQ1VqXlBDSf+gnmakwO/8KSYd2RZID/yLFsgwGCAZQGhw70+8dms7TKfuqD6XXifo59VLyr
NCtqMBct5b2H1bh7ijfhqGbNORCgjxrXZUhce9JBSL2btGspnaA6qtf96rhgAz2gIChZlKpLA3MQ
BpAyrvNKIKBAE/5zJSqKLgFZ6Z4k+TflZMh7R1UBVmiA437rehUo8Az9XAoaWTrgVa0+tvYkTUT4
43U6IKjucCaWn/cmxRL0vhaFaiLxN7WEicrQjNfyqhaZekRRGYp6X4tCaUZRy64L63hpi4ni/EkH
QGTvp5GzgA4yZB36On0zNR6Cchzqv+T1tNQBu4kbvErbmL9BJTt8DAVwp0Tr3J4iyCkPiLirQTNQ
AhXSf9W4m4XP4CczGMjOoczsbL1W1za1oIGAHjCees2vZB6GVtuUt+ZgNawCQBtAaBpbpvUvVGHM
FmQxt6+XDIqeHEs/EHBmtsvdO/lm8MeAJGt251dwMlpHN+nzlxSs8asIWDRIUzlYYROHMOjPZlLE
jzQabTM/6XG357bhJ8vG6IMt9HCgqiPyKaT2y3kBKFq11/WseCFHN27D3JqgSIgo0YT7YLh4O1RJ
jjteZlZJgTfImclUDK2cmSahzP/n7PJHUDMnYFqBrlBp7mjvsraq7ylUVw6R2CslE3b4gzkq5QCv
rYLfc3qxBvSZL1mvg2KnyDpsLmOrleKx86cte781NmrrFK8W3x2eVgeKkLX/VjZFWTWta/BLaZWj
SpON6osrzgf0MSaew6p4o8WWh4d9v/ejdRvaFgBVg/WAxhmsgtMpGe2qeDfuRvzI0zBua5FyE0Kn
RT375lJVk2duaF+K60aE4mLsqlO8qHomOPqvVspS9VW5y8X8uoTcbTUkisumbHXVlHJz6fKUrDdJ
svD16u6TZHjasO2/fQndada4TPAzcZ0bkOOAop539yU0TwXamNEmKu4l3RFoO/QGmLiptH5/9INi
ABGugz0xGvM4x2kBGbR1aKFzXwXRGajDh6OMcUWmTDedHW4izZ5Gyq5y5QRUtfXjbnE/K5VV4XR2
vU7wJpk7CDzGkDB0/+KF772lOpuwIlbND7rmuScTwiurPJn9b01arW2hQxIj1NJHNB1U7rSxg+gS
qmtFsMrMxP/Gsno9YC3xT+iIRHami80rviJiEGL7gPJT/OStJRuIoAuhs9yOLRlJQyIHSfv5GtkT
K4iKgnbl6bKt3IM7aK2BxWGp7uS2ET4WADSeyOTYc7+bDaeQEXQ7rzTteBdRaH6xlN8mv/HSDIAE
JAVIKf5WnXILC6QBoTuAzCo0IJLH0L9XihdhPA4kL01i9suhHcetsqHV+KEsBC+sCDM9rTyFs76j
eDL9F4UozgI1+W8K6XY4JEuwWzhbrtXVMv2XBUwT7YD3XzG2x2zd8GzoHHIsZd7xlQ0pUAJJ5pWv
FvhzH3y7sNA6PDHoD7c59hcS40yHDupnxxzkGiFkP84yjJWaD+mVuV2YaLRK1iNUjgBzxqszpfh+
d0lGawP29DgIh1RB8oqJwPfyt4mCxN2AnPuSTkk0mQ4864KGtfMj7mqQTgrMOjVYdGUImsjBWJGJ
DlL5gk5ZbuXkpVgySSUNGl+9NxnmHM8rdDy5FThfGR8Opaknx1oc5iydD0W8y8o6gWJOgLV1slOE
U7XoR1Zj9PLOB5NvyUIZU9N9D8BasVOPlPJM67dYwsnkI658kpXPmnBA7zY9UNjNI6UDRysy6NkZ
bYjY423BaTHk/bzmYNLcEsLYTOtuMYxN80jDzAXKB0vEIKn2imeziJ9MVwcseRjHh2wA3YyEJYsa
IIHUZY24SW5rQLZ9mbSm91Zy7fFCemWONYgHrp/SlAJRWKZhvQaIUPQZiM+JPgD5EZF/7Jzx8mkF
0BBYT1UNrRLxuapCNx8r5Sg3pcSiunLI4uqXperUtbXmKXC1pQOIJv2Q5eR/jfrUPAe2ZvyBGx19
EuiOs09B3QQLCpp1n+30xoIEmYBvRwzSde9L+Ck3z5BaNP7QgrXMccGam0bfRw8dWlnR4cncsOMH
m8XaZiz6/C32wZXba9juNWMdWvSpfRPL8yiRsTqPLrHQVdxHAVDlhF7N4gBbSDXwWhK/2mettcB/
RCyhpzav3OcOy88Ch0oJUd83uzZHFyvZ6JBz52cCImN0HI+82PbFBNm+zDA+hZYb7SoPfD5lFKNl
zGhvh7lR843hRdm294fmzS/z77Qj6efuF+wXWW92Uflbhl293fuAofwKrhfzoHS96cwGOPzRjH/c
mUnce9Lz+NGOf0wcoiQZKZco+zT9oEFslACOmpA0pv9myJV5DVgW5T1AyeLQ+JfzVhXnVxY4py5Z
ZKF4OgAUZu0HCD6BD9TrP0M3pzg6aMitgMZ6GGMrP0ZzWBwTcQjDQCAnw2xc5XMFaoMiDMBnJIIo
j86uyZSipfUABjDIkJdznqPJpKrWpDowcitfOiY0uCBDY4Kw2F92Dv5xPTsCsHeKv5GgwYdJA/Rh
D0ndVBuiHjRqvAzY/YXD8MpmOJC8BkXUIfY2a1bZUPUML5SG2jiBdYvcirXwg1KS4ZDqgU0Zoshp
/XhhIql4+tcEFsxoU4FF9kCHBBDs9kinWHtBz7uphelBw16B9NOwncIz5AfR/E95YQvoxk00WcOk
aKHV6+cHPYQKPUFKWDW7a2hL4HZyhaNApgSQFjVuAe5csxl/PcqmQCl0RsgUiivQsr+g0hLlQqcU
01U2xDVzgMJFNxu1r1Fzm+xrU2MyqhjZM0dG6anNB40ZEdR/eHVQdjojG/D9GXakRdsdHdIKfxGG
FgSr2XL8nc7Tb0osSWknQUD+P6yZBqiJgY5Lii8lVqSpBEX/SCEGx1cpr/fh0Gdb9W9w8+3oBj30
LNvw4qb/l0j8q6loCsHy9SWEvHf/V6rKbOb5Bi00kWQM9Oyke/LdkyQL1MRozM8Xmse/j66RlDfn
5zoHmIa1SbUgqGAMtOzJioonQg8SRLELs1cW1w7+PrEhHw3MWYMddJKo1YIbxakOqycKpaRrPJlS
NBmtfchugBUfO/IUL+o7hIgFd8rrpAWX2sm1tsQuGgIZ7FtO9cPQYjBusKlfQkJ93KoNkwHPlXOL
BToyDeB+PTm1iTsynjJppwQ79c4WLEnVUiV9VKgSD6iUdS2kt4GzMjt/XHd+sGPjaEOkIATftBj6
bW4/ZjmgqTQsK8+6DGNd27rCK4UtrrnESGJO1brlg5UAL1pwMNK2/DmCFO4qMMYA7eQ2f56SiD9D
SalZ6BOki2lIDhfdsODxDE+UlY5Z/eSHyYJGFDVPXXeYHKC/RVmya9Bt3ubZAKCysJHDy5rLfJRF
DppvEvOpchC8lvNRmN7x6klQAo/Q2R0K6+TFZX/gSbeuuhy0O8XUo8vVcIHa7AsPneC+1h3M2AcZ
GJ1KKyXRWGSOIwh7pOMm6VKFuXsdeOQDofjxNwj4o5+628Hqh3CtxroxAD5MYP6EefUCLS18K42h
3R1BtzEfAfXrsC7+JP9R3o+ceOe43Hgi+s0kiJsTvsfXzN1SDzw0b7U3rL1SCzzQzTSgXvkw9Xzh
6S23WoGFC02KTjMcm254tCcwgpmBE/qPZMM2VrNxez1ZtLizHm2DUKQ6vmQMMA9CRhs5Sevou4LV
Q76iIHk6WW2z8UVmBL6KHtrqgz58tdDBvDZTHh/c3MueOGcaNCHQxBUNyRrIldsIp/Db3TxV4VGf
oaVtGuCXLoNXP/abn2Zi5mBqi80nIJSyvRlkFpgyXP5Sx/YAMkfTuYZWDc+B0Nq0WLAH0WPYQi25
sTcgFWp/jBVvVhDDCB5BCxidvLJwl9R19i4AZKXBo+Gw8wW0HffcwD93Mn8BJLI+BnX4Z4ENxQ2W
MkARkAk2AAhpoZu5DJM/Sy/iG4qT7oLIAohBQCQqN+UlmeYyGU45okKW8mlTl2tag6U1W2zHZw9p
NYNg4MoQb3ZxLm0UR6u2voiDaGWwuMslm1r+pVwH9JILPDTgtqBqUZls9oxVlejWCmLGJjbcNRBE
pAkUXQV9BNnowIzRORT+eGOHHhWEACljwMMSdptRQAZL6olw7YQJHulXRlKwpZbzRxA6gZWYWxB9
tcCSuwyHqt9k4D0BC884861n585CjgHbCU/A7OPNVISP2Il4akLcVUUJGtFBlZFlwdtxKdOZGm5M
TWsvdEG3hh0L6A+js54IFtt3Ixeb4I7opScqxgTt9RRJo/9D3nWGSHTkX0fvZ2/FtXxwZZRngqD2
0/XKQAHRv5YhSKFjZ51iqeBMCui6BcKxbMYCkGN24WttRuGrXbprx2rdM5lUhJJMv9ZQEfnQXmqQ
TURQjd/NQhH/OEvZAWlgFEO5KDu9OPEu/AoopLGjUQ8gJVvUwoENe+nASzoIAzvD3RRzpy8dMLWu
QtLDpGcS+fDStKm+bH2braQgph33QPQ6q9Aek6NhAPAQoMX9xTfNemn5tf41q93nhgd4F9RMLEJN
zV+5wb9ZYeR/7kLuLYWQ5xPonpptAfpQUPZ8UCdBnY7qJANkjuz6RxK1W2es0RuKu1HSoHvC0YvP
YEIBVgnc3cfSZRFezBp/lU9O++Ua2vfQaRChNXji11gEMfZB2G5DA9BX6PJYQCdmoGJxM314raMu
EGqd6JOt2WuJ++kndM6029F3jF3fBONrkdcfR/iiRvlPNeoUr6Wg2LNXEE0H3WDXPhMezQK/9MaH
Y0VDAqSJCO5Hl4jZ6ptNDeit4Xn7sMi+hiDASpbgOtfWHV500conxv4cdotAH/W930fJCx1a9ydo
ke0nGgCUbBx+l0/eOeuSlzFIuwXEF/S9M7TOWvO4u0ua8CnTOHvDvmz04LiAjONOnH+P2bjgzA++
TqPeb7EiOm8737S+NBCjowAdxHprbPjiblp03ZvtZc92DP4n0FzNkOAry0ctYOOTNndAXArHpPUg
QHJ16ynyQFcDIXFjWc1N/v39JQCMgAcOYf/oEkwXzdSiYlgZ95dgtR2oEDwX0LzU1Y+Tk7Kj2fcM
m0aVs9fiaksmLPSBV5xO6aCLODqjuAxays6ggavPS9ASi9tl0YO9p9N13EIxUgfDDiC2g9dgK4ot
aechBG+NGV9GxtXmJoa5ZXXqypsvOahkCMIDebelmqJcXUSXchQW4+G9RA8svn95KplpiXJW0dC2
aPZfQ2QllYS2SryU4shrz9rFqzhrqYBu6mxNlSPDSxZmaYDWVEurhXzwLae82WsZ6P7koy6EVz8Y
W9ZPoxj7lQvu22XqRaUBoidzOkVxO500N/iEr5B6TyOyzyyaTmhYHEGuFG2Vnc7o0PdztKZyFKsc
lH9XUlTjflntbd/4Kq916EI820MFQv4oYugG5u3wzktDlQsRHBNShxoeRZUyXk1EVXY/hkvGaktK
45E+noVWX7bxsMaAHcg1BAhHbKE4JlbC/DWpmvncGteTsPN39sCF/X18XkGnizvTiF2WZty7eSvr
kP138VM4HFJ7qraR6P60zHLf2A6DAjG6SMk0+k21LsDhvopEwynZhrCqTmPQLYHPNbwF2aJyYgA7
Q7NODkUwzwY8/U9RsoCKG4Psrqgq5giTkR1VXIMeZLz65JhDXAUdvFqvTrrdLWlkB/N8nqJzhr2e
k5abr02j2W9DPrLXjj9XDL+pJXbI95PfjU+d8CWDWS6qKoL2sBiW0AlZRcWQ7GZ7st8MjTlQLASc
nAp5GRSdB5uD2FF4aRYrYq+1hibNNkjZa4otXVGH/B/NJJ14VQZnS5UvEqw9BismyP9cwUKoDh/a
mnH8c2BptaHYD8PIaydOt22d7meTZSOkmPJiySYGKEBR1Y9Ry5MTPSOQt8clYx3s19PJGEEAPRkT
9Mk74et/kX9TPZzKj6vTFNfq4Jk4WnmRHr2ha7FMBMieopKhsyj/2vpBeO6iMXuasNr2VPUQVFOh
FBWkU7DuBPl8i+2VYUV88/2kQVe+Rc+M4qBn1MQgWOenxKu36H5hx0YfFrzps4Mv+FjogFejyxkN
tWnWjxSbF/juErFkIidEQr7+6t/MUnNXz7YJyPNPqxX7JgBTncji08JQ5EZgoXGdJdnCvMSzOcUg
AbjP4ZHs5gQFb8bRVgnWP3CHhXEO9r20BKOyOKBBqcEG0bxM0Lr3SKbAm5uzm4TrmbXZGlzu6cZv
LfNzJO6WvpkHjzS0nEeTBVhDr5L5ZGA5fUHmzivz7YdJbHjUmNWufS3xN+hsjt/cESQYYtmaRnMY
Lhq0MMmR8EWtlryN4V/XYOUWwf+USovjlFdH0cJp8gYQgQifwRxO+qpxASowNUD+BUYkxMvwssqc
4HHOTZ/sSe9d7ICWhh/a3amW8VTHtrT7OmRngdcvQFa31azoTB1G9tTFT6EdnanBCOjF+Om9L/CC
M7V0UaQYqbyEJWfqRDImOwbZRHBOR4CTL5TuwTN+/XjGBLbkSQd2AlsahvO5cabv46QXfzXTAzrM
8IycJt3zbHcmeBDtaslBavky93W/AcohO4Kj3ceTlnlbx7Zi/tnLh2sdBum1YFHFzTPjnbGZo3be
hR3+FuaW86/BMKSLUZzFwhaMpftVedXZP8fdeT+sR3Fo6kIDZO/UEPBwwTpdeOmxEix2gc9uh8pL
rHt1bV+8NFRerZoMcMW7PuQNIQuxx7ZF/VDV6aqUooQeiOXjwFnoOm7vilY6FETVSWNGK+UYWt5I
Vuu8BqSkdZtkfcNbTUaKBv3l2unw7ZXqpv9a/kjQCIcVHhwMs04Wee9oB2/IBcCKsbWZz96avHru
zQdbrwq0gcJL2fWP1uyyNzKUVocvx3jUDn3ZhQcvS7CGf11o0Kz43WIBLTLQikReTpeFhxAvYOFy
qMZ5NUQA5pg9GPnfLwLQsGFFvMSWQrxxBU2lIw7k6KjNC1mZAfKKBdkoJJ2SGEz7wNiUbb9ynBmq
lFHRgH1R7CPQwaJNB0a7EsoaQL/jYImdiByMow+NuVA+Mscag0wgnSrPHAjSXhrf+9FlUuMptu2f
nLBa0ToV/rSjRVwH41s0cHvj9XH1EFhufu6NBGun89h+DzUsvolXw6y1I3QuzsNbkUTDCtvlS8j7
JhAl4kWClk+cpoIlu8qBafWt2pFuspG3FbTYdAbmMuy2qnEYsYcc3JH/Q9p3NLmOM9n+l1k/RtAT
XMyG8qa8vb1hXNf03oK/fg6SKkGlrr7zvfc2DCAdKZWKBBOZ5wBhR3vPK2Cy0ygwytMoEqOhGLV3
GkktF7IrOxkFVI/7oWe/HJbiVoEdxcWcuLrIfZkBGIW7QdEXlMhic0JMiQsPXavqxtHANcZboBgV
GYr0LTElmVmaNlhUXkhSmS5wn4ROrWp3nU1puLhSuCnytiFTTjHIYwRprohBkwibsShkGJ+VB+Km
GFIQ6oLUPHiJKsVe9SNQnbO4VdDsroXrNDD5c5kD1rB3Ne238lCOg/9b+tRj6qwAGdXs82HyqHyl
rPvJcyLb2dF0YigQmlj1Ppeq1J+1rEDlVuKkc/GlkfXPEQu1w5x361r8XsSU/pPokKvThYhSdg2s
NNVUD/Svdraq2v5S9DmW0yBdV4Watkw7wGYKXMMpDar7Cgk0mmEFPs8oXczyep4R0upny/OMdGdL
bGyxZawXwW1Tl/fq1EXPTmvVhxCM3Etsa01/CXlbRNGzm0ev+AaVdSSgYyVSPq/H8mgmIBYTctQY
AjmWtDTvy6lbIMWAOjoJt082aMye/U5Q+216Vygs3wM228eu0GBtcx3LUB1g/tgHhCxvR9Gm7y5C
vKIepWge6VqzAPCgtaJpi75NA5CriOIHzc8LGQ3PUQIrKL2xdMct8WdiuwKL3khpPZrilnQi1kyB
6NIDr4QkxJ7JDdwhG44knTRFp/q4RScKKF4FweaFwrg1ggTQxzMVS9mmL8RKMDMXOFp5W1iAP6Kn
yURsBhZkNQNlyMWT4yyz64wBp037y9IVQGUBidqxreaRDq3rOit36NEpc5YZZvHK0rw44rbcPn52
IpGOBvHZqcHf/NDktonkboGdd7ziR+Yx4g0OuiLgXcXQiRUg2In3o7HQzWNeoj1x1gRkeT4oU/Kg
p3mzJbsvY2lar+yC0kUBxh9DXZ3z61jiYhs1e3DxpgjYX2sE4HOgMoYGTAvJMMN21ybSs88F2FD2
ZdqANkJMdc1KHhOwAI1F7qABvanfO8XtbrR4QPGyNVlL7kyXrtwHOgy5Jl033Sdd86s3UbPNsdBH
RzU6gZMxzTY07dQeRYwmmJNpagCE8LYN9Qea0UHNv/uKHz2hGKt/NrBWBFzvR7C8QhsyBYtFm+BX
wZDQR5JdURxnMaH0aNIs8E/gh1H56ukwgbl8wsbdiL0H5msb16xOGmlYKK6y5hXu7VImI5DMAcN2
5ATuoQ2TVl2Stk4MYIqXZT9PyU7tQpyOp0F4UCK2lmcjDxl+mNTAs7mhbUgxXyUN6WLcCA+JC6F0
FBcSGyXSxWNugIYnx/NQL2tB5ABqSjpornoaOdmvLg26QzXZMCNlTx6q8CC3wASg7QgwakADf8i+
CkUyLBCHpYqd4gUZXwS8OEOcA6VYq607eVkX2ovzf1ydtKOoYBhNAZ4mrgblL6EX1AVYRcSnuwjT
OdNjqqfWDptoyt419BvCNyJUIxqd5RdARwAIUvbRaN6YeJziRywwy0h29me5Az6Vs0yGqwXw2Wf5
DJ5E51Fw/oGjDMZEyV+VC4bBoRZIWOZC8miUHyJi1SA5iTo8YSWPBonAjb2Yk2U2QKplHDI7i67i
iLNJkQ+qmTsRmi6H5Oez0bk/x7o4G3dPV01mFOeLDyJCWwN/rrNARYt5uo5B+/pCr29afTExThN6
BfyYkNmHD70AfkxKq38ve/dxENldq6hvHIdnR5rRQWMgibJZgz07kdMlWVhG1ga9x44nZV2BYgUr
7wDqh0BSriIFIEOSXIYkW0PEBS6xtSkVYJD3Cho56etziiI4JrHzQDP6Wj+L6PvKtDE4uon7QDMy
tYQjEDge5J+CpczacjA1qEmreeCuC3/otfUco+HyuUvcbGcbWbfu26r/xo1wQQaNgt3vlMcNWEHV
4p48gYYa/lA/ecZ1e/LUgnBRAYcQWTv3oa/C/Bmp16PD8Es2XTV7jjLTXoyRVmxJmXGgwPIWeCDx
WGTPJg/DeyPLdvNMOJzdyd5oJ3vhgmd8G2L/YhdT3Z4/MxuaSpssFT22sXjG6wAdsvNIyiYmuHJm
da/7y9CAy4WQ3hno9aADiqj3AVc/lm8Oi9m2cBIUBguQWj2wu2VXNekuEtMp97+3U9PdlYUbvOWv
it0Ub0EfRlicx7/JA+BPzkWAvFTAcSwCkJarzhwgMMHh6uOWspgEdECsdIAVB4NNuplc56ELuurQ
iANp6XAlmz1IgycC1unSchaKWHUYPEr57AIi3j26e9kmNPrWXrA+zPDay8fwYBnYRJvKUVvNwqpg
RrBOeQ+ETDK49JjHJJ4t2Aj8OtV09I1VGYeTTAYn9aV0jo5CT7xPi7PPc0cM5dU0LbAEyebCn9Q0
J83sSELy9umk80fobLWxF9lUvYcxCm16geJLbDeMo/2N++PtTGRDMt8K7kZAYR4AM3kyA0q3u4yA
kYu9RsjI/+xKTtJWuA95Yx7IiuSj4jDszdoO8HfVU0iXobkPQLW3ZR2AUeTsNRPs0AmvPAZfx+JJ
a1CgnPQHFNmWB+dFCVo8y1u97VFeM035emyAO9gJCzKj0WxEc6MyhBtZ2ZUCX2Q1UdkTlTFfpjkY
qonUjA5KicKOi/nII5BSBvpamnxpd+E3DyO8gZJj1oFOK+5BiULZY0oXj0E03vk23g4+ksokdly/
W6LiN1nRtBUY55MwZfZ2TjOjPIh50qycsBz1OGDa8UTbUTSyozNJM5KVJvhaYrBFLosYWbdMbZVl
I9I8wMZObtIQLSRiFouUUQUWFqushkcmckJ2XIPUQ9PGPSmlO5hKkSVCHYh0J4cRWwtubR6MnCH/
KJjvBuy1F6jVeyIKgiGrFhryNk9EZOD61cIQM6IgAJLCle5PfoXKEFOc4Z9+n89AUc7nk37nKzvr
7AD75pZlA5SxamwL5ANIpHs+gINBiv5x0DoLjOka6MtQopUkYL6GBrAIbBuw8t7PrJNxCLhXZOzL
/jQHJPHJjzzY1P0sByvYoCAXO6MCwkIFeUsZAvAem4fl8UJ+nl7J7KzFonlINWzbNVHrkV+nKRjO
Ac+ObqO3e9NQQV0rTiTksx0NSUix6UAyxR1xuR2Y568U86mkITljo9wEMXL7i3xnD3lJNJcnIZvz
h72SS9uLUOIrog/rswBc3eeP9a/GFJQ+tDPi2xH+0rYEFD5QUYVwEgcr6IuVAyxozxe7LYSXTzj6
ckqy0FeRnOnCHc1mM+EgbVnYqJ3HyunCDq05gF+XLvNc2CSjHu5Ym0KNlvFiZQ0O2HIEkaYjiDTR
3NYc5JRkk+DApBGrVL62B3DFCjOyJbl0IJlNbJwXQzLqsb1YejKO5RvvWWBoywD3ZzRMso7vBasW
yl7Gv+gnPP+a6Zcrf9KVObzX+qjM/wPX/y0UIEOA2SsK802VKN9jHtgFsPCwk3Ux9PvOKrw0NbEX
RkMyaEcbhC/GvRtlICURLk2l2g46PDHvVI5A10Nsx0Hqx7CdAyVu1CwnLT2aAYq4e0EkHAHwaBkh
EbSPOhAJ69VboxTpWxzW3dFNaxQVCHGuaycrJ/W7Y9ahHlrzk3Zht9g+d8Pa56hemkDgii1648Zs
81U1sOKgNKpxQ4cAnWccZU4ozh4z55Vk+RjoYFIWNgkP2kWdpBEA1DHlhcnqjdsAheYcJhp846Yo
VP0QIQk/hYOHLgl7HwCKCkXiONToLT0YoG2aR9nYGFs7DVFGDqUP/uTZjKadX7X45r9wI9lXLjJ8
rJiAZySbUUuMrVVG80mu4slpzJO1r/R8q7aqu8dj0N3TiIspjWr8h4q6Iszn4ZWefJzKvfRWkdxA
oX5lLK8UZKwbPiLKE5LN1XQ+1b+bX+idsSjB2Rnkq9Ix7FWADT+sIILq0NsBVp8jHZUOFfskDfuP
0az/cp6LSG1lBN5slBCPTqB1OBU5UDy3AHHeYG9TxUEK1VHHXdeU+s5urBz8C/4U3LRsQLvDWTMb
kkYv3Ahsg/E0+5CMDsBchyLNASIYRTz2YgBDAwJPQINjXcI2mlLsqha9dK3bG+gLNf1/qJ0qfQQC
t7ouOhMg7QAYfeaK9QOvL9lPt2rfwIESvLQFx61DGGS2nzzzQvlBQHL/q0GhVG8tNy4juH7thd2Q
7kbxn5v5y3gEKxwbKnZIHRWoWeJftddze8F7Hh0i1wV4OfA+kN+frdqwacHRAeehw7J4thJOiEVW
ZRayA5q42vnmwM9WAIzEv0/Dc/T/q3d+CxRugujDH6FfDQlQ7gnEzwwy/PMa7hOh+ZHobF+I/gOr
AdiYtEdmFbD13HmiYGd7J/LrW5qRvdsE7hy/cEad4kt7B535scUbJADBOG3wli3N8TONJIDcQMOF
VPCiVTJ7IRkeLwy/ZqGUTsQNafSuBf4HDjiEzjJumNbj/tWD8MYzU7fckJDIqFvBbU1TFN7bR798
8hMN9z9pQSM/HMM1jxnoW0U8yWMt/Sl6Kqhy5wjShiK77qOdTpsssRQvTMDBjsVNf+jEoRWvAjTK
aaFPQxs90XhrEKpZCgbPannl6dDrAUWah+SqltO44JGRTLjz6rqzQMmgf7BK10dKMgaGOQ218N5J
QK1CSjNVIJd2NELrkD+rPxzKBt9gmyfZGknEsdgQqmWilijsqpvdDIeJ5AV6Jnm7GgwDDCO63W6V
orscRW3UzbLgPLqy4599B61Dbifvv1dA2l0qmeGvkCrFJoTb9eVSHdxP89qOQT0BhFRkP4R91BsL
tMG5Aiq9dKK9X2M3i2ZKNUbrNA5B1C6UgLNFRmlqlzFQFsuFEgW+5xZph2pWgK7nYHzYdzaQ3GhK
HrxO9qkxpHe+gGWPlOoUjiwGtZvDpQLlvZjGEMkofDsV8IF3Va9gGQLYLi/MY/euc2sXSbRKXfGk
w+ahOJBiBAwfetXtI3JcJ9HZnwykXMYgRTslqPzriwH7AC5IafayS5V6U6kNFS3er+Fg1XMzsOxZ
JaU0u3IVXlwNmg3JL/poZWvrVSjXqV71mtebK/nVVA/8cZk1o/+Joy1N9VWX82An+8yoZ23mcZPN
aAM92mb6t3ksdXN3GgLlIO7cXdpQN1yKJtCZg/LPoA4AR7tqZzctxnRD15FQcXTXtq8QUyogxU7A
ytBfWIsitnJdqokFHOwBeBeq9WxUrf2IOtENUB6tV6Qj1RteOznWX5X1ykK12lWcoxJDaKPJdldq
qSlr0gIQs13g/04H+j1Tt8EAXtJO17KFA1SD3YC9lKfYxvPU6hPFAykK7unioJpej9Yn5OysbFEU
tvX0lRPaZhR0pUBbpxNom+ta5weUbUfTK0Md99Kt832YWP7cD8ajCGXvtT/3g1EDmNkggRqBWWeh
EWRA37JuAfogDkwXbTHZDruZxI8cYNL+PjLiBzRCunckopESoXEKVakK1rwfCg3Qqes8C/gtGG9X
Zjbp90GiWk88q8qlnSjVZsJnfwq1WEW7Jks8nuk/arxrPkca+z21evhSa/2w5rmv7bEqtm5NE5DV
eho0OyBGW/2j1k7gO7SLsrtV0jxb6m6sL4upQF4IhOagbaxRMdaYt2mjKDtsJ7erPkON3IZP03cL
rQGeqTFzHei6grt2iDqhqj2NTFBTeKhR0rdVX2VeFRr8HeW808rtSlQClKAvaVF7kzVg0WjB9LtB
rRqYA8s2Ec332U2cTeUqK9XsVVVaAPFij1/Xv3Vt14CzJHbMre/gLUg3S2DXOql1P6SFto/ryFkh
D229q6WyRq1U9lNT0pMFPgPYsnjhAB3MQSN+aTaLEM+nhS0uZkjabpHWjnXQyyh658YiUtiArt9R
ww/BUpBuFCivPlCARsUsbk301T8FSdRvgbx5B37pbDm1qAWjbIcNYlvUNlcxcqboWmFiysRU0cfW
09ugu3cs8PsJFnfFjx+AE118q+sA0M2qzu4NpdI3Lg/KfeO03Q1Qw1GX3nTNkmNx26xH9Gj5nsOC
yr6NLXWrZDx96Hpt2NRlNOyTqMlugMA5rbQ6UZ/jrAVtmBI7P9sAyBsWTplF0x2u5jXlTH3G+xTK
vI24uMee43hb5QAppDI5O6pPiky31YUTFOlyyId0VbN2fElsP/M0M/J/meoP+iA6EuajkavvOWr2
Fxl41+4LpzFWf77BGLr9jxuMC+AYDaXlqmvpjnp1g8ESQXPSruAvAH53H2vzlRmd+2bklbq3erda
JmlSfcuiuPRspe3u+qEyHkZdeyN5MiF7x4dlWNZoJCvHZDe324tpBObviylp7QK8NkP7Ho3jsAFB
T/Fk4gvFikagxOP1IOk090es982iTHmz1rsx2uaataSSM5TTG4+RboJyoe1u4y76u20b9aCoTb4s
BTZ46OSPjenqT7WQhxrkgQkEcGCAAp3gbhCFnKYo6QRKjroe0CGEPlVUcsbigF6r8absAoBFdKj8
LCwQFYmDb/nfk6k99g0DLwxKYletCpZJFPUNIXhVbGuLtQL3kECrH0Yt71A5ZljmFrmkFbVDUrsj
HUzUigZxZR2lyGe9v2/QT9s/Zmx8aU37Hu2JzQN1OAJJIj0KkRL3zUNYOumxmNiwLIGedsOctlo5
qpa9FCoKnkY3Gn+1UelFemD97bDqMfaZ8p5NvrVIkNG8n5zU2QygFt5L98gvTu749mZ3VAyZf9dR
/zgZPLjrTH8Azxo6lYE/CtR09Aa913XUrkVDHgDRm/w9dOxvnW8O91E1RU9uhlyAEHM3Z9sUDSEr
cso5QO9NvfaPZqi2b1GxNQ0/e3eLEsl5O0RrkpiOCn9SpvIungb+V177t05sVc/B0KaHQTP6JcmD
PLjztaZ6Nlq+RHGY6jnpsDO40uBNMUIqitjf6ECscGo3CbupWRRoMD0E+S9l8LtgY3TFtFIjNPrk
fLDwZm3l90HmG6B3NN2jivTCboiCcI/3PaA3trgdgMoivKsbsTaNI/URRHFAwvCH6RXoqoA4rdrg
OzjUBAWj9RutrYte0fMItbqv9chRPoDOnaOaOt0DVncjkkF1PT0b/ZTHf/e1me6oJW5skn3pd8kD
NcEVDKvN0kYdiLjtZZiRjprgzjpqyPunn5vU4bIfcn2mOAKctr3wCzfcUs+2iTXHvihRekLd4m3g
KGtzSMsWFfds6J5cFaulJAj+djAIwfL1ra1GgKzEarUftGB8we9qR7c1kOUGK5Jjl2mWYz0Ngq04
NB6VvvDyqusi76sRFeoNTn/L0tZYYzEvYPrr8PVq5I5m+DqVbK3r/TdqnJhyJDws0IPcm2arrtBd
m99bo/FY1j57ADiucx+a3bcwTfBQzHW+brTSY1bZPYGkRc/eqwnESNsW38FR7ps3aY2CRb+4oX3X
kVuBKG6fPJVb9n0/tN9qlDq994zztZOb2cYMakTXzCWApuy/8+JRKcYC0KofA0W5lgiVgqYAFqdg
uZ96e1h2EUP/3zA9gZDFwFb/0N2aKGFfJ6URLAlHiZCXpkjsTWcRbEXDPB04aCuUMh/uaObkDlAW
qsAeViARUm4rV70h7trCMrVdWmVHVOeXfMmKMR4ST0l+4u74StXoZatN2y7LQzxhUcLuumhdVhQg
T8xaPqyGPLBv//zYYcYVdynaS1QgSasALTMcB/CZV48dhVlVpoHK/pFzttRrNKHQAyXsN0WOL7qu
ynyvDgqfnz+Arko8LNj8uwZZzgesE76TeTcM2eqT9+SDU3EwgkvvUq8S/NBD5S7Af5r0jis9WwEj
rdzVDhZavhsMe5RTad4UBu6GuNZmSrY2yHcKZ8geiX4YqcD6dOd2uXaU8sIw0Z/Tus1S8rcp9VTf
MkHPoYERaQ4yn8ftQPYoYtIhRQ3VLpvwkixZ5kiRq82OWWiSkPJKnKfMzGYpaeawA17ReYCKhvPQ
dY6oAvJ4n5/O01ZPfROjFVGxl8gWGC9tkxobmlINOBrh9Q1H+edSTqWWjEkLiLbHRJDGzRxrRvfb
8lG3N0MOYovnJnD57QxSyMCdtkFVNNBEziCFZhaAGihXirVEHGwV/e+YK8Y+EdiHJP8IO0uMPriJ
o/FWhsHS4BRaYh3K0DLO59AkRwo51tL4OGMCz2jFM+xwmrXhsY12F/DD12DGyGOEx6HaEexvaQHD
qzGRl5uw6ej5YWG/jNwZ9vje0kWoqPYLevqjvTLm7YK06RCrO+T50esttIa4/deuyeZpF4/m1tTR
H0XaGpgzW8M22mXGQufFjVt/g/yCvqRQShLwDSrPghVpwdSabgb0g63IF1j09hoNo+qsxT2gWzcm
92dtYwHVt8WuyFrxcRkA77BWdWmqa/IduIO+XRdYm3Qie/STlRGhLZi03G0cFJM0IBkQH8HXMr6M
OyXZ0lS363I56qgNpenU4Xbmsm+mmv5QjeqXL1BlXIEJY+ll6C5ofjFkNd50PTKwW8FeFGgoGQMt
Jx5hwvVCf+F1MSQrgHmBNUkROBPIptODo08ytkSed9inTp6/GL2yp46+jAdsafnFOMsz2JOc7Is8
OMk/26M8fdwXwHN6EfYGEoeHDJsNS7dppiU3MvdQhL593yR6DybiMfoRjNO7OpXOE3Bl1R16v+P1
1HfZX26Pjh5hQJ5T4yI1KzwVbvUgUoyiH3U8vrM0YrNniNzgOtLZ7EkG5Fl2cbdGGcrPrDaNx6x1
3hrRt4MGQnxvul8fxyIxH43AupCjjxLcLEL+2V7Kv7A3w954yBstiszfzDDdEwQ5YWfTv0QRJKxY
mn64z9K23JFCwnPT9MokRG/6KrUNkBiKvT1DHCq7ZAsOXgFU0n7I0GzTHOgw0H6enKtim1BOKQL5
kUwGnJwejTy0RUgaGbsInBFbH/8WZ/Yh8ySe3hPcmY9lGYudTGo6Fm3KqBGI91nmrkC1pB5Jbgwc
7cvUwywO6nnUaXGyB1IhKkNGLwrXLHWCQ4k81WFMknAekcwWChrpoKUFie1n9VcuVzLHHtCHUFqs
Qmexpi1ITREp1uSo8RKwwMMSlUHhkwb2s008YBO5Eu2IJKvyCSThA1qqhMUkLLJEB5uLmNIBNd6z
RVm16Ad3wScRpOnoDRG3H230kWziKUmBz+sb9yZDz0dcDP3PUbnXgAb5i0xblE5dmDpOac6mSRpe
m+pJ45mxjxW4bqQeUrogl1W08A6vLdEdjUqQKK6wx6wsHCvNTby0Q41XdHNnV86ztCM5HXT3bbRd
/0ZKaDSa9uUZpJbOkHUoSJAyGtFZUhR0Srk8H86iq9PpLFJ89TmQyQkWft6ZzboqQTTbKuwGMLfh
ngDirpDlANc3K7kDVDlSSjPwTMzKKznZfg5LTmUKrCganZU140Cn+CKkFNGIXIXXxP1g36Pbao+S
g+xomRZqklCktERNE/9rMJ07u22S58aJcDc3gUlD8lx378qxHW94aLsLYsNBbgc7j+JA0yvZBW3O
zK9D5sx31BXe+GI0OH84/oNLhyKRnnxoehHDNAzsTVIk5C5j7+JM0gnZvx8oChyTaNFGyDxLFoBA
UxZpg2akeUlxde+beQ+Y68428xJE0hLQ/TEBCvHG6EvmmX2IJFVcGm85uq09FPRWN9GkG28Tdti0
KX6LWIM/GGqdPbJiURlsvnIiLVACvnLyhZMuzjSZWLt2bBjQDmKe+BEbPVb3tl+sAgB5NMtEKGbM
ONJYaPGT4HHSjWSEN/eFmUaMTGR81tKMossgNKJIZ7MLukaK/oWJ9L8wJqGtWNE+B3VrlghIAXHA
LtdpVBv6vVLq2b5vfHTBkHYAlPNSz3m2vBBayZAeRiwYyMQ3dQ6k/Q9nGU8GsEojW4KEbnCXQwrk
07MvmYzNPtIL7TkcHpLB5c+aeOHnycOkoET6YyI1MCMNpUPV5AsfqjxDACBA8WdKon7ywaSZjHQR
jNGEXy9e9dtlb/ziphI/0qE29WmHxRewNc4ydF9My3zsgrWUTWbwbQIc7yHt6+TRQJfO/X8WBzDt
wRoAO0BE+UMMlZViLycBZsk4hvdKyPd+YEbHbnKC+5Zn4X2hFMUuYzmgnM4yGpWKYnjjCBRz1uUJ
85hSVrdhp3oUKRzHGOwxU9qu8hZLbXKZDYdpmk9C8UlBJ2lBe+wVPK7yVWLEeJ5UAF+3ZWw1AoCP
uCR5IZlhNXN8q0GH7HyJIn4Q4kMEqYJiOcaqO3TO3eHtVvtmYZ8EFGdK9tC2I8Bzs3Tco202vUFV
DRLQwDN9jh0b5VZ5bv0MymoRinSfruWze+UCpukrd4OZJ3e18C/cKX+td/WdXtX1yqmMtm5fmHET
VpqF267hNmsaAiN82YMfaHfBYCdJ6cgEjzTrcKEmYaXVs9+I33y3I5mlxmz/53SCof2DmMu1DZ25
KrqtmaU6ltD//A7+5KD57//S/o/BYxQnjWP1aNp4q+336M/4bYq+flU3752mDvcSPZLkbZGNm5Tx
CrXCPmABZphI4QG+jHudReF+VpCfj9zWxp6Ae1M4neUsz6G74hX98m6c3TR979nxWI4TcjiePSnN
jRYZo7u0R8v3GDCS13RfaIoSdxYndpVN7waZ2GI/3XzoTkAHN/qr6VP7hib12YAiYT+wW0tTGlUT
WAIo2nxKEtrqNxnENIsXVfOf505i0Y/shHfVMLIbh/v4QMA2RwFzIfCuUPXkLKkfmTeXJpyh5CIW
JuqgoXIG2hpQD5cB0GoDgA0BdOaoCqppamMOQE3MMzQaRSlQsTZjq5Fm7nRGvDBEvhnkpgnA+ljg
LCS7VpKzH1nXoztGZMDcoCsfMm2ekAQwfcE+HvHaSFM6lACjwF7BpK/mPcSvY6hN1ScL8gfDdOnN
ttKXrgG7odq+bas36u0Fkzre2MB9DoBPVLG9TWLed2gqKQ1lNN6knsyDNIhalG/kJycSEiyeqXGA
T5I5uQcGavlZa/xFS4A8XGTgo59Jmr56h6L1Bq0tasuTpiSWy4n5TStzPSP9HU6xhvv9WLTqEZXM
QCbEbgihWURiD2QCLdwxRnEeiUgp5U0az/boIgeMo45Op6OQoWodPU9kd5bpRjx5ZagMD06pBStL
G/p5Ky9GU8kKDTeYCig30lZ92W/oIdcodrCS0698pRYbMhsLXRz7VMsf0FRtbp1z4bGbW1WHhIkS
bgzAZs31zK5Qk81FnTI2cx4KJbe2FzIq3qSDjHBd6TnPkdF40KIADbdu9D2y9PdcIH3TYcD2TePR
MHNCdLMLHHGaTijzUNVM3V3JaUoW0laanL1kSEDM4u/g5+qCGGGbusk2XYqiLp+ACuIKfZQ1R2KK
1EQTywof3SJC1vtu/UCK8GwnZTJWe7aTsn+NR8Z03kZch4ynJLm+1p1v2BvHT5Vgr+U7jN0iBxVG
QCWcNfItpnfrk0bK5DtH7pul2G0HmqF475EKMqaoUjv50fc/P3VQhnG1dyqoUm2N6TZQ1C3X0q+4
BsZRU63W0uNHZlcbIAMD7rgYjX2T+gBJpyFTRs0BxzRUk96pn4Zk8A8poB1BlhugGIHs/6+j5KoJ
zuLrM1IYPTGO09BVG1Sxscy7Pn9td27mDVmobVQ+JlV+b1evfRwnt6qZV/sodMpNVDb1Y1JzbJjX
JfuBUleAogTK7zTwX5uq7N5M1pjLrm6TW1AMAQNCOOURiJ7JKR9q58cEfPgMG2S/8386BWqTLBtg
J21YMHHwxnwcYss5TY2iOo2kTNrZwgPddyiSAAIwA71Deye15PuVm5T9a/iMgspY0oVkfw7tjECj
8K5cyI9k8qRSJs/0VeirUGTyxQeW4b46xfw90VcmzyZdpOyrK5B284eTc+n3/xM6U8O/zaS21zEb
X6MSnfC0oxWNHJD3XV9hE77L1AtNPviQpXQ8+3DBpzGIA3nP2uGT3yybvUXEfAK4hnShCORMsnNk
El2HR3PSzfmqZs/YAqQMduU8KnRt8/a3BcyuI1XOxl3lrFGEoi0NAbvNJ5Q0FQq4CUQNLR2yvvqd
cOcf9qTMRxT1ne1rpfhf9+loH04sv7DT9Ou//wt7oKqKqjPVxR4dAxPKNZ0KEu/DENhp9ziNQbI2
E1M7TE2oHwCJ524NrKGDSvSQkYy0swke7pVHw2s9ayJ/y1w024sw1yaz9RzjrKdpqfYgrAfQKABw
9Nyt19jg1vB0r4EOVfIDIGz4wTTwTuTRvE6mj6HU00hOtdBWN7XZzxEuPLIWlFZHCildLLXQNp3T
3kUuVvW4eereTPYhixBnqg6az6q+2rHMGA81iqKSpTT8qtDxbCsWCkhh/WV1UXbXO5kGABC3AEo1
dpzHrt6XdaE+AXmwuOtDdBiTnMzqsxmqIfaodpie6s9mhp4sTOzK3ky0aEtM9GK5FcBExDqQymCo
IEYZlDXJlUprtnKFUeB3vAc5cuDNfPA056YfePOKQ85phUCPf00vTz5yNUCyKLQCT3LXX/mSosra
VcgHlKrxfm2JErGo7oqHZAJQmGEDWi8cAKZgodZvTaisidBq2YDq6AhaVBqpYLyBbwDmabwclK9x
m6K2nvXRNxoVpht9C4UsFrJCL/6g/Y/tqmmta9gFnoIdCriSdzTepms9HvO9W0f1Q5tNE/5qPPv5
n1mkgCffcpTbHfOguk0anr3HShaudDS6H8OYNccBe4QrtHf3qKxRH0wBHM7SYjaNNBTh5GN6aZpV
5mxKUL3CtOvBqm50b7ViaGvbrlHbFOXcBLbU53k4FsBbYsAuF++QvdV/B8UyIKUlVlXHgKiuaN3P
+cWSXjiTvP2uD4q9nV8uyaSpx5/zi6SIMgKvxVUAkSMxtUZfRU9fr6AORyxBSUGyQO2THU3pYFbm
ya5DHVW4kH7/GotQvskOj65k1waM3UROh7zLqrdUddMOPjL+KXB1gCJrPIEbYaeL/74gdqptoaDs
shbVIJaWZN44RBdmVBYCOtdLM1CpZKCgwltVEJVLQLW49xjh9/F5VJio6LqS/b/aAYr40PrqiA9U
A05jEYsS/vTzITKMfF2GVehdKa6MG20CoL+0IT8kiUOPiwr/jtS2aA+guTREFV7jEdcZ4UQZ+bDu
dUu7o1nvF92mGjp3kYzA61gIbXvWjkKraf9D2ZV1N6or3V/EWszDK54d27GTztQvrO5ON6NATBLw
679N4Q5p3z7nfveFhUol4TgYpKpde3Pvk0JaEYs1tFv1T+ON0WOinfqYnXQx61Rex8+z07VJa800
o+u16aOQ7WP2eTxz0s+zMzB83Tl9Yd+FEGU5Z72qrxXJ+cLrdXYmGx1kzzZh2isHalGnxDsSUj4Z
X8xudKaV2SffRirAdU/hJGYNm3kbSHu+ok6QY3D0ZDF3NH2OXSa1FdGAPo08O724es77x3nbSGfz
FGFpQSova41FX5lvVFsEhGq3TliQb6jpuu1D0Y4cjpa0zqMXlRR6ofrZK7LryauPXOsMKaZpLvJy
EwNzjXVKH14fc01FTuMVyYua/+lFg3M3uu96RF3Hu22+0ei++5tNsEgsjQq8ebMz3d3TTUvG29vb
9Zx2GbRg5/t0e8eZkaGAJ7V9qTr9I5S/HlCVgTJFhMQfwQLcraOI2UvqbAbHOot8WEYtryG4FyLm
HHt4CVKvjIDlQRgmXEzNcToDzNAZy9wLTWelDl8OqIbZkEeZWtaB2fLNsvPhkUzj5Wuemkcy/dPl
kbttykWLMPWnyzu5C/3GXlGmP4SmGy+f2tK90HR/uzyoyMBPOf41H3+5K3l8avL43PE420CIPFkS
2SwdEi9eoW4kPVMrAM0GgvBQYpr4cMdeLIiuvWIcDxIecGa5A8iJQCZpVxctdbqviBmY6waKUlst
AghZhBdKE5I5Vatoa4xmeCtuLNcVw3fes7pABNwFkNTLU3BEuvwegEWUDQzVABQp6l87aONuG2TS
T64t7FWbNeyhthgKvhrTeXY5MACBFibfh847VJAxCX0v3OaJbUeQS8HeWQL7zUXzs8DW8vXmenmW
l/dGY3X/n+u1rHKekw7o3f/xekVQDI8xi9NVE5fVcqhtbQsqyY3mgOYtDob6QdRDddf2EZD+VfOg
GUr9wBj4FxXHEGtqUkeCQT3PgxOZ/odBw1A065wXup87GYqQhAXy37RtnEXr5gUquFTlTfaas5u6
C0MNDtBLAblWno/v2N/eUxspqK/kTbUadKhkMI1IQ9yjflBBfSzyGr6cNmu0s3Iz6AHy1nynfVlo
G6AiptPI04YNoLbv867tujcct2c0bOz1esmtvQd4FM0SanFl7T/GTr0f17jppQ/gpI0ocO9jgnm+
jxHTxdlY3/FxyU82Gob683c9MTW8/hCSy0epFINiwg1+FWB+dIZlZvdt42djl1sMYK9rU4ggU1dL
qiq6d9c63nBPmu2g95KLDlD29SQGr1tus+sUDeS+cQcWEh0YNLBAtieShSch+HkIzUAdDiKE07BP
IvIeEIyQtRan6UptVW+dqBRANYLNL4y/4qGsbiKIVG2IzxfyJsCJxF/dwVA3ivrb/Id3qalX7z/M
tsrSDcGLYUYlyXBorcrGYsYwFLmiKkUqbewcHbpGqNX5XeoIwJ2dWs5uss01klP7U1HkbZHkVCn5
ezi15stM46g9T0k+wgnYVutUCNWCJC427dVceTwVKwO8bvpWofdTTz6WMX+qWE5NLzzOPlMZMxkj
DdUn/j/3zxeiM5rD+LjO3KsNYLM3q8RcQIYv9Tm45R51s4p2qPBJNkaCkiDHc89JmLAf/+rRK0M2
efS8elKkUSyrrK5fOtVZV8IdviVKB073xqkPvUiCc5WKClVqzfCtTFA8kNYqSK04nsJtagxAGKAD
hH7LQVry1dOiaoP65mDDrKB6EZiSHNrQyJYGCAgOgLp6Z7fpr1Naqft5ykG61ynt+D+mRJ1Z9VI6
LmR6GvlfBGc1bVRV/iNAomu6pYNE3LY1DdGSmxiwLYzYMNsuvFxjE8gpWsum1dN7xAreSX6T9463
FXhMLJORXIo7rUShOaQtqRfZbUi/Rsi+uGr6kk3G2K7S+5IP7zQC2PtgC/DssKQRWZHKpW4PyaT5
OU5Q4z8xTaDuaUgQRxl9Arz8Vp5RLWkzRDupTjC+tMJeQermY2M12pzRNpEcQ+eJL029gnQJbapk
FV3HzJuq2XYzD1DWyqTelBV4rwqbQf4xZ92xLIDraZ2gXBJH/KdDIbsjNckl0q1yYpUnG40diEu+
abTrDJ6DNcuneWigHOcmOvppoBhLdapx8qBWwoXiaayON7m0tbXE+tbS153LhuWEjJFIngsXmFAL
5PEvgSPXrFK8x0q2wbnoUI01YnCKrHC2QFc7t4PSEZIzDkq0KvjHQaihzP8Lll531f+4BQ3LMUBl
Y7mWboNxFP2fkt8jPiyV4LO9XJPfugW5IE0HT05V9ud2JLQCirI/KzpII4cByA6y0SHIMpTzDBAR
mm2e4eancTyNmifxxvG1F1zHg+gZvD0p1kxRXB/s8cBf4yhlBzUpShTwgSb6IIve09ZXu9YI0fi9
Hg7+VVosBOOhrxbqAMQSNsc5qPEh9xA0J87bSy099sVI8NWXrrpqOiW8UMvO1AybFaPdtaMH4gbD
xhlyDkQ7mspQtCdZ1BeajAY41oh+AIkGONZ7cCggdKGCHPDEkiXFJ8hCB0peaxHPl7Jw1SlHPQU3
FFCJjANmt9YIFB3UEkO+xANAnRLf81S/B9CUs5kuWKbt5yvMc+rIKPnQDHD8xKmiRTpyTqFAob5o
WNzGY4tMoBt+7ICiPFHLFnm7LNK63lCzDxV914MXbUHE5mamTcOpRR6NKR9ZnHdgIiDu0zR1tyYv
sc2vCoEtvV5BRNECMGpskWk+/M02jf0YFgxmcGe7WXBnxCpoM2wFf06me09xIRbmWB6qd66xUyHl
vmygOfka90hgF1ZbHcmNR2BwGO0RU40dqMVwi7BuP6e7KRl+RRA7yBXpivxGvVYnG3sNTaYU9Rr8
pYj1d8dWAVZuUQOrmUWLRH/Rfx3thlKZf7OzJvyrPXDA96xB7XcxM8GpRgxm7TC9n8jlQI8BWKtA
raxbBqgp7dPK2w6RW/hTm/jiFIZ0tAlxgsnmRFGxkFEVLwVv4oewbfttoyUIFrWoxlFtq1lYqF+a
qnGAT1jpWlB94a7TnavBfm6C0niZB1HTyYPrIOQUTMjTlhquiOqMAfpxvhXV8XZa1XV2amLlCm5+
WtHRwWayPHvv0ypQYG/gu7Wr+hAnibcQTy+gOjeOcirXwp4Ve0AzaxYTRmjEDNEZ93J7Ops7mrzD
LAXy+7ONzghGROChuTm7TIAiMQ4uveWVlaLWcm+rOSF/AU/0jxQbv3tjbL3HWcBeQEzO7z2P/SCb
jkr2XR3X3RJyx8WLkbqoBmwMZUu9LsaDRIFdx/e2mb9YAPHcB0WKTd7x3xPGhn67WDCxCQEg3jUh
2qOann2zWMBzETqpvAP8WFecZdr2KX/JAA8KPOFuSOiKQwsFiHJCiX9oXhmhueepXdsnSDF3a9Ue
jgBDWXec4YumM3wH17O/NYGG6kFmMZa9uQj4HbT+R6Bm0Y9cK6tFmmvNmTuICwyR6CHYrmaPYQsm
bmwM7Pfh6tqWDLX4JUqtybWHRvkn1wLVpe99Ms06u1qehhoSKop3XecOjCL910DxSuxQ2vboJbm4
JIn3a7Yz0FccUS61FqXqbNLBKE6KRDhEYYBEeRUe8+Nn4qn8ZquoA80d60fkGga2T073wr0RhhOY
0XvXCvBLuQDclCjSHlJe/Ey74hsiJcOrHfWIh+Jd+qDVgbmqQPl1rJMw3HU8VXeR2wu/zFxjoY93
FANlaj8Y5RfJVetS1NWxG++iLNaCfVqiUs4cvVAA5K6wFeGbGvxiKwFtkFVeD1H8PKAmVLNc7SCN
NNkPPPEWQ6MVL3VQcuiqd+HWNGP+gmBc4Vtl7x2pl0GLZeRKeOKZhZgSyncU6COB1/YXFXQ0oLpf
V5bBt66VOKO5HOvNEemJ/ayBbIWmp0D7jDyBWRXGd6hl9HwqIaXe3nY6P8Mle2i9GP0dwZFIyIDO
5gPZUjBfbNP8gGpAV6B4RH3MU1RfDllgHYh518Hbx9fd3D7owtafqLdvVetQeY+hK9Vtqbr6E9BF
HJF5lOXVfzYzs8hB/B7Ha2npAB8o2lZB1fe64FW+laBVWRIySHP7fOv1bjs1qZfZfBdo/cbizS9i
QEBEP1qrSmLDhJeMkmjHUmrOQ1C8D2rG7hkepCcrBN51DODSAe/G/KwNobvIs9ZBmZSxYgHEefG1
J2CvqaMnKjoGfUII9G4UHTjoXh6tIflsH9rw0OUWexz9rZZ5b6YOCQvDPbIG5UFpG63orafEjO+w
mXCX0hDqFkT71Spn0eCzpnGPTRoVT0oTrohAoc9bvmOszhcy1dtHsKXyDXdRsDUtTlPkkxk2h5Bo
x7IzT85c1frnLG2+TOXnwUjPQRQLRVMlvgKQ6x01I7xq7vTB+GWbILeF2ozwEDHIMqW6OBpWEJYE
rUMI+pOjSFt91UHe8EstWlBT9H3/w4C+c6PwryF+1AfH6rzS1/pgz7VA+ZVZebYXaV0uCNpVcciw
6pp4B22A9WiGzYB1t54sQe1rPbrcTi4OthzUyUWFtRjRUAiP4ZUzOGn1EHdIhkMlfqWSilanZTme
YSCySVC12LggqUTS6I60jloor/nQT36sm8A5ZV4EzgWoToGiIVt0WhH8FC5/ddOUvYCoE89dIwuO
dgB5hb5Bgey2AU3EEgS0qAuKQAwQ62l+jsAWcvasMDm6uQlcn8jPSqoGq640+dIlmu/aBHITd03y
xLr4BOheeSakdYGWVG1+pjt37JtbjRF+an2MCwJdLP/9ZeMS5vWPnamBslsH4GvdRPEZCm3/3BZ4
YGAeLJGISxSHJaq0SxvSoKjX/p7p2pIoQMAv8aVhjvcylGm/jLkmTxBDCvdABPebwGq9i1tUyYIG
gRpw6RWA+nwMggQtgnJY6a8YVhY+yWrUzF1nih4+ICuoP2mKPbU++kyQLT5AQfB7p1nfUaur72te
xAt6OplprO/zHPjEuWlUdbygRxk53/T++9hGym3eRcj7vCDZKhcgQilOIuyKUzMe6CxEbbRva4PY
3HSQM/UKhIk3NOJmgijOmc+SWG4aF1XWsT6cmsZUD51RaQciIKDmdCa47aeeWqxm28xRQGd06LKu
26Jgduk1UvU9MIgfrUwxXnpkPKFz8ayg4v1km0nuMx1IU9QXJZuMecW6B6/MS2jXKoCZwzxI7Wz3
2UyTdhrkFCxcGNhzrWQB/hFd2uLroLZQdkDKWBTKj96JqieUm1drobXu3lHT/tTlydU1tsWaUsaj
K2RGR+BdhyVwmQhw6GvKKq8M8SoTb0Pp7Y7jkQ54XHT5J4900HSQ2YjPHkGUydfOcqY5bjyAHaug
VKM7jygOzBZJojgnHTIvR2akOqSs0/i722WbKIv1F2Qoqk1dMLb1ujx7LqrhQA6DCBnq4NTPI7Vx
ZICRUP6Q69hT4w3JarppINaQwtaA5AxCVIaPQEOS3px7ZgHPWZOTetsMteRxH11H0JlQwwIw2gbF
HH5cmi0U161kC5Qhf3b08KDGavTdG8C/NySVcYKWiHVMU11dUEeP3LSmKvKlFRAdE01/O1KtW4yM
Q/MUg3wDBBZQoKrMjUAW3d2YDBgUTUvM5ZSahwITNAmVzZSFj/IWyDsQYCxVuz9d5VbABw228gT0
I8RIkqrKRloApvcfJCUfpkmw3eHB5DHTmMS/B82mj0E0D9k/BtKF6JIfJnIg14+BNr66CPjScEuf
hwb9Oc/N52mHwYEyL6jBagRpdhoX2oKeSok+yJ2tIdAMQiaIoLWV3OneAAbd8QlGvcboTBrz2ehM
Y6EoriwjtbDTYwL+fBsAnFUxqn0ijAHseho+Q3c93P9pz2JDeerKOvqbvbaTaG/wKF9pVfijLsGg
FeHPXChugFkD5bVonO7Bq+PukIz2adVcx29gDej/Zo960T3UYX31b5P0oiHjsQl1NTLDBcN++7f4
iYff2y6Ks+jUODrElnplSy1PWNGJzoJCRCcwXSLD46T60gbAUvXnnoq5+kYDCsQnx0/dQ2ixo3BP
k0mp9Ow6ro8h3zleyTI8U26ApXAWDS//Ye4WDK/gCsXT5nprSqD0sPzW5NZ22n08bj7Lcd9JZymz
WIVQV2BNbTLSYbbR2KyR+9n0N7eBb6yhbb6E5bSGBt9H82SxqcHkUH80qAdu9LqK+OSWIAt8vApW
WmkS+YZlCwhMNyAaAg9utcieQ+Z1j6DCMB/LoMgWeluzHbAnFsgy4doNPFxQU2qd9Zg9J9A8e+yS
5KA2QbS7+aOo2TYCBGVQHaSW9vEt0B86fTV/G0Y2PQRNoer+miZyQdFco+7FtwLLGsEPkQ/oUYoI
C5olOM3uqIPO5sONjZxvJvhH55pF0NL0rM1IentRHfMXpYKzLKzADqM0R0oBt3lVLKWToFwlcqv7
vnO+llarPAOVEu/dGpyn1GwaJVg5qOjYGFBMe24NNwYJjinvqNcasnvh5ezSD7H3ZMb31uhEE+ah
9ZVaNKGlgmqVmnpiXSekZv0xITXHCYvOzS5dJ7yn3DzRVf/8hNLj8Z4mvPmE1KzsMPn0CVUjuTf5
wKYJ8eYvSx6+/PkJ42gIFmnMUH00RtySvPkh02xYUxCOwnZkp7P/YuvK26HzeLuDPEyMJxN46HQA
KooY5F2042s1ZC4RCnosE1b6AUuU5cLMBX+Tjm3uSjxul2ValSOA4Jc6yO7sxH1/TnjwUwGZ6hvH
W3KJ5ZWxo+YWT8DrUBEk7jQ0w1CrzbozuBjkjkVWv8MNyNmStqg6SLVAV1s3y0l0j3awkz4fdYWF
DCEbwJ6HgUOAZUi30i5+6x6gxBZ30a3KgTHiXMnoevk0hlpk/zx69LO5DaDf9EpvqjpYJSXD/w2S
AESuxEcsb5t6r1rZREcyIeRWrnOjTCZypn/w5yawaTzVL1nOyxeJpBFt/2Nbs1eJCs4QCFR8sieg
FFplo90e7QNCXoiR9V+z0U7+rR2Xe92S4+4ojo6NxrFoVYwdJMjCI5nysbK3RwYemcc/XKjDSJvm
cP1Dsy4CtfZSDlhLKkWgI/EXpKA8wln4cQbypavtX3rz9wqrmZVeIfJCIcgpcx11e2whrfsp6AjG
CcWvRNFsPoUqq6jdVuBw9SmPTR0Ut6yLPaJb9pQRB1gC+1vbS9eIyCEP1SGB1EPoG8xkXVCuFF3+
0aZ+oSkiWnUV2Jp6/TvtWGPW9wsTkYEtNaEKz/cOKl99auYj1WXofrUdq3m48RcjlaYqnKt/hE3f
IhNZiUSUnRThhnhyiSKXaHNn7lyyBXqkLBtLGv7codfMqXyULSJgP51TH5AfwR3Y3da8s3Vfs0GU
GSKPd6gjy9GA1gCCYEIMCMvBLZ8n137CFkjCElR9WG2arIkmYK67qvSquExg32tjRvHWW+olqC8d
6m3LQ7iPWUVyizZkMDvJFobn5UBpRz9qZisXt2fh0QbV/oKwAh92brnKIbKKz/ZRhbir5Wf/MlK+
0zyz/wQXgJ137XV+sN2BNsZcEteu4QTJuSmbNbWIYbdkhu5XZRlMDL12JjMQlnQDBLxGAt86azdJ
U+M+Gtl9SxOFhE2bdCsi67WdYZou4AB3LSwXXzlNRc40VWaqgx91AvXCuBvvRGN8F2EI/iiwnD20
LTCDI0OZBoTLBnQJ5TpUlf61tNTvzehlNUH1EHTxGaGOqxcXObzGQeNc5AU13OoBlF6IZmFw4Jli
86dXl0KiVbVRJJ2Oaa8U7KMK+DP3U4syYVSvqeR8U9Rx6zeU1UKI2TyRj6qp0wjQQkCPti1U679U
75rmLcmtbpmeYdsIioOx0HVviwyixkwSbSjFOVUbfUMVt7wN6nVQlJ7vtWrqbto83kaNAbrrsgWd
6twdZAM+VhPX2sEYtKWVSHdd1lwiP6uKx0ja2UOvvUWixX+psbUWuvSp2LZBLh4h8gJ+0tpD7fjY
tKEj9dhYwTkrI0Rix+EpImRrBLHlkppFztiDbr1Sg+bvwRb5acYIP+xlolmOADGzdPZe8DNUXiyt
yi5GGZX3/WACPt272lvrIJNUWbVyp3sqNC1rtuUi1N5S0NqseQa6FGrqhonbKqtfkJNs9zVTe2TM
MDxU+h8305qy1d6SDpVnNC1EK7On1Mg/TatCh2MTiKdr1s9EseekkWmYHeJ6VjdM+syzDPPc8UlM
U2+gfzt7A90X3Q0OKBD7rHujjXRfgCS1rJhyVqrWuitC/GOow2Xfw6Gov+pxHa2N3DJ2npkYj38Z
WGsGFpd9g0gVN+RXT/7wYg8x8iE+EUCsHPmseyXwECR2Yn9GjlEHy5BkgEhas77p+HMS6rS9Nrid
pDKs9K5w068GVn6dkmkv7SCUbQDS2xW9hEe7GO1ytLt/2Gd/lMd98telqb7wAbknxcmUVTaKp/9l
fpuZET42k8tpjROa+YaWPA09x6lweFrojD2RKfvdtOJphK9ErfGWGSFoNl3+UndRv+4yQ9/lEY8e
oHZS+/HI4vvhASXZbvIIsCl8yLXh6lHX8YHr7b/MURjJMgRBaRJ4zo5kvefbBtqSzz0i7ztJL9Kx
mY1uHQm0kvONjTRdP4ZNN5uLpf0q4EqMJadlRelyEoCCgh/Hb8wpVyEJRGVKye5L80GMAlKkBUXS
UMHoFo1uWdNZR8/FfsiNEg96cYARnfrCa5THVjH1o1Ul4cUC0UTAq+hRlEb0COYt8KxWDpbRow3C
6OFFDp5PnVJJW58Xqbd1FKtahEkrn1RV+48z76P3b34ITvmyF/axS7aBoaWnarCMU5LzkYzACxGk
0at0SUY6tERTgLp7C0wbpxA0kdMI5LrxSB8HZIYAyigupyT+vODXesNCWUvkYbkwndM+gFkKg7y4
dFb/vkHoOSiUKoGqmkjDuwc0QFW7BKbPRqo7LoGYHNulIiAxpweK39vWHvzNKCvXZX1fV8q7h53Z
lkyzPUnin5GSr4LB1kAR+4fGn0aifrN039RO4nrVg253R96T7ZMkIOhil5XexKj38fJl2kfNhkrq
hn7o8Iy3Mh+6jGkFYiqk1tPePlMBnTaY4A42sKykJrgA4Izfrx9BsuEBdK8ztQydyTYDTbMj1TU1
/5GqZvZrCg2LNN1wsVh2huaOasDC2nwH1bq6/lsd2FRExscqsLl7HDHUjYpMBOyTC/WCLs7H9rQ+
UPUzgCNgTcB/Baq7v5mgEp0jcEk9KJyyluQ4FVoTXxPqm69jPhnJae6ZOaHmSuubGVtL65A/QbIS
9I3afYpo5q5kcehHCt79kKLg+r3Z1MVKL9KRaR4+06FW9XsQCmh+Z+jNZu6AOLZ+n4OsR4sHF5iU
3wMMtQ0QczOnKWf7fEW6lq0Opu3b4xWHAthzcqQemtjJKTYrrlc0q6D0/z0BA/6RG1yWATSeDkCW
PRKcjkubPxMw4PSOclnWDgThUKQhRgVpKSQ/KTGY2tuueSCT3arxWuO2tsQKqX7Q477c9nbLFnVr
rK5lYr3nK3irnwMzVvadA9Jbz0SOQS/4pQOvzYKrarangKXk7bVJ0c0I7OgLkUAJFw5kmR3KLJVH
jxclEjwgoOEuwiYBxNy/VVoK7B8yAkaG3GGGWpwvFuKjeQkURt5EyD2M28SZ8cluB0BVXSF0H5IY
IHh3E08eTLzkIYKBhyOvAjwcPVs+mZDnnFJ8NrYEnWop+woYBORJwY1t5kr9DBrLH5D9CX7WIeJX
dRW+B26O2zcDUfM00oVuzRlJS/yZwNpcNAHUaJd03c5xu/i+MsE82AVSe7VDFWUY0AoZsgIoIu9L
0YOuwg+7+SRMNTXyZfadB9PeugHxywbxCX2jdl7wZuKhOr6lY0O7miOl/GJqobf1FGTywDWTTHFY
VK34IS/ORczZt1C6P8KwT+5VaI6wjtUXvRMdsLYuW0y1ddROQVrjK0kb/AhlsOuTQPupQBcgb9vp
RDEbHTXy3o5O/ugC+eIeZCHaG3hUT6mZste46scdLcr8wgQVgWKsCLRRUbaOXQeUX2Kk6FDT6oXO
FKWrXhAdtvxwtNEZ2SY/4Wb3Uem96gZTFqmXKydR6N2+t7xhDT0J54uIqnBE/jvvqhKvmMajb95Q
KQsV3KK3vtJt8AyIs2EbBqbYlpK10OjOs/u+6EsAgsvvHaR/sW401WUdatiZ1G33ouH7JDvrGmdT
FUyuu9BR3yJwbUSZG32xnP0gXH5GlcmpYTpEF/Hbnlsm6u3Pnh2fSlN78gLFfYYe4zM2l/JlGBID
9TWCnbjBin2cSECPDbAzx4EAfWvtgLKnSPRtH8fpojDS9gGARGNttCqw5hD4OiC4z9ctALGPNVR5
/Swy2HcsTPEbrpo77EO0Ve7iceZ5XDuqZdM95QpH7S/UmExFF7saFPW+BjIlc5sqTrSnUGiexdu+
RUm1w/QgPZINWCGxcAPe7yCYADJG6C+esZVWN8DuVHs3Luqj4zYCAU78S1gtaz8TWvKetbZvqEOz
L7Mg3DDGfw2FaL64rg18ICQ4sShr+ousQxNKNCx5Vw3pe7ptfSu9KFnqlsVOQaq6dzEW6ivATiHF
lTgZWM7dDhDEUiQP+GKiBfaB3fdKjohvE79WVj6Zuau/cNaj5laa6a6SQA4/WMgg+0XlmhvauKaD
gwIMiJa0wBrfq3H0C1SxfItFdLXUVDd5GMoBZPb45xVVkT5ACzw6gKrrmfroAJxFsUaNf7OsHAHm
HmRNViqg6T5uymxDuXs61F5SHTyW7NMxnT+Zwgj1srxeCkhAPHQ92H5qWULEi3nHwCmdZy/SoUgS
Z0un1prdX7xQJIqojR1C5WOSzTAHBxuN1kFmHQolr3QGjRVnMUmBhLbWrxVh7nsvaX+GgT6djBY5
WmJY6GS0xLYZPP77O0izb99Bpo1Nna06hq6CMNdxb95BFTaXFh9c+4uSKKrPy6J5iLHLfhC6csHq
0zmQSVhFeVTC7J5aDNOB7R6gceEWryHonC8AoRiXQjMfwbPTv1ZBCy2OeNBWCjFU5q5caAWEgpIk
Ks90BkB6eYbyCejZR5tbhdoKL+RVqTfZMmVmCw6cMgjP42MNBANn4IasH9AxnE6U0Lw5mX2a6r60
fWy5dgpDmRHWjt5KiMAAGmpo3ky2hE56+JWDRWoLMctmTV7BEK91FmXPWmaYEObD8p7sllO8gt+Y
PVSQ/DpCvgF1eeNw3UNiOjIK9RS3Q3HxLFRU16bc4yGdDs9d4lY7TXY2xIZU7eiYRXoHrEC7Dm2n
+RKVVe4n3fgPb+8rb0jfGYDbfmaFzYORAKs8CsjsFJE393VqBos8rfKvKbe34nsPBB5kQMJog/Qt
aMH66HowdIgfDYHT+jcd1Mx/JYbQT/k4Jk+cX1idQ71Fke4y6FUULhpF9Jh6unkJqldNz8TGVrpk
LwK9XgKu5EDYMUA2tc5caKLkobMKbAh/oNRvWLrSDY9F7+Zb/Ey/OCWLjonRh0eyt1JHCL5MjQ1K
2g0/QtXtEawO5pONzQEBeGs7V3dJY36vwgoPvbRxDxpicIfQ1MuVFSripcyAAeyE/e4Z9cnhHlvW
RQG5VkfJ/SjMJRj/UYtt9U56JPxSD3wfFk+q4pt4Xj2SrS3KSxkbYvIATDzeIWQDD9bYRw14Pc0y
5a6Qrr7OpKc85311xPcJNRvg1KGcOGz//Vdn2rfEQKZje54Hwgws/QxLN27o6CKUCxiSe9GXpEry
g4u910K0rdi04+YSWy71Pm/0tRub5TrBzhP5E/N51EP6qenDogGL8PeUm4Fv2235wAAs2hQM8eZO
9Okp6YNtE0I3JnYEXlygBnkzg3gzaCp7kqYhD6HbVgtLclRG2gY0fZjJjwYT7EvNwWH24rZi+AmS
oBPkk+K32sXSGLdnfZ9ZgNOZZsa2lYHqHceG4BIIeoBdrnTjHqzjFzyeIdESrtQWhMR+rCjnSs+L
r3iRhIsCAKJHI2/7lQSC9Qhe/nTHoEeyk9A3BcxcaGBkDTTsrgFtL1Do+Y3hidc6IXblPVBadqGK
d5E4qZ/kSflshAYAu6XX3rM04ttSz8xN1rbmEy/eKMtuYuW2lhVn20DU0VuTfiVz4TR4+XlyL4O+
2DqNtMFTpFWX0A5r8CIkV1tfj+ItXVkV2x7Vk/6nNo3paiPxsXJNkdPq3ioE4l+9tuWLMi/ixwFb
sBVES5ArH3+0CaqddxlAhwdn0FFKgT/uUqAqYqGpavEi8zjxPderf7jnPEwPCAmwRw+SLcCuOkim
jqKMQxW5qwEJ421hAIs3AX2VRAaIcqrFSUdiK1Oj8DC10hKm8RBDreKUifq204zSGGJI6KjDKjzM
vnRGBw5yNGWA4JUDgcCl0lbOaqpMQtxjAcZ1d6ohctrkJFNTvdRV1n3phbMouxwhoahKj4riSZ8G
wWEXF8EDimqcfYX1E95xXO4A+IPYZtTmPtIJOFJ3j1LPVR+V8q7OzeqiGulON8HNQ6IbHybQl+NB
MkJMWGOyy7BJuRcusKtVl3PZ+lzPfmMzjQ55MMK3Msfu92kHTeoENBibrs2EsiyHateDEwM3Gh7T
gQHMWfZ/jF3Jltu4kv2X3vMcziQWvaHmKWc77drwlO0yZ5AEOH99XwTlZKaeXf02NIYISEpLJBAR
997cfWKO8M9C5C/Uw/87hNUEgrsQmor3NFaiiPMBGn1rmqQh0JanmzZtnA11G8dOdrleJhuojSjS
onb+HwaxRXaEAolYNyj/eglrHdTOkHPQITm6dev2p696NEQXTUksy2EUB1Hah2XozV7zC+NMVovT
zRqN3nvbKRt+LhZm6rvbzIublZmEqMQEDfUWVZHYRMVJ/RRW7QicJdjMmp5b94aOUg/V07APeoqm
xtuHKbNRkxbfRZ6pf8O++VDVYxa43ZBdSPdprLprNzUUkWlnI9dqFWOAw0UBEbBfLV4AlkVjmv1q
i/YxQzn5Q6z7w3wRvIUWGWvvlnExRcPKiEog7ZVZkdrTWquR36FEE1SLHlHmHZ8jCE3EK9XNSogT
JHXyVOYS+erRFCsZhdP9NPj2o6Xl9T0wDWvq0cXkOj+Vwvxrtk9i0wVutyxWNCuz0nlsExMUiJCS
2sw2rtATHP+KGPop9nmWtzM9y9tEZRe9FFCQowS5YEn0AvEzzpj2EKs7kY7f0r2JmBSpRtHFmaIv
QkdMwq2ZeNH84ZUXXfeNR20ZuBBOeuzBCHscTMRXmDkOf0lo2ZKFCaLCtVdV2nkyIUCPDAFf0QQC
nvtwmCIVHurvBrtq9z1ALNuYQxRASzeA8vK/xyZMt2NXAnbYiOSzw7QDNGmKv3sHqKbKx1+0hHbR
kyP0n4OyR7zODgpWiHuvnuRdmtQZUGKYEHnyFXWLyXM7FU+NV9Rbu5LlNsde5zOOt/eFm7nfoezy
jUHF68XykVsDFh0hIiax+cqhkUAWUvobXxbO1zgMUV/lCqQvoQl0B7VuCIzWQ/nNYZ/1xLGQmdTS
E/hVESdJvPDeCTv3WOsT2wyG8F/dpAECxTe+11mcBzo2Z8+oQWz2VWaxXezZ6UtSev/gSWl+11h8
Lz3UVSQtsvIO78rjaBrGQ1wC7EIWnRGh9gSH3LqFtIPDk/AsteqxboBRwBm92aZhlT+5Hp6YGZvi
r77wP3EX+p8BiE1Cc8T/QZS0jzk+01eoOOQr7ltMVWZFW92Jk4vl48+eGo3Y461n99gdOuspibtP
+Dk1iFsy9i1s3W0YTcDfjc2wntqOfTfKrggmfOT7PBruoVqo7aBr7G+IKcNuweuCUJB533Zp9jxJ
eSZijaRAtCTCgWcz630LpHrJDDKs3e7ft0EAwtofImCAxbqmCfk/C0o/tm2xW3E5e8B3srSF98AN
C0HrYc07p/iBU1208p0IuzYzd/bwy/ZD6JRPiKKZQadBDK5BQUFRFz/GqYNIiH2hp3vUqDu2aPWH
AnNgOohxDFU1d6i84kEJFap5Itfy6wQeqthGmmH/gMTIJCs8sTKAPIZI1qcMxyXU/AGWOhK0lNRo
6RLlILmVPS/XUN8EcZwA+cfAR2R5ldoBAJBJwHpw0c66BzyPTw44NMHCksRIE0MyoVUmYQsxNDKp
oaN+SiDFHsyl7LRC1P2adgrrGcxAOUAVxjbTDP85imLtgYn4JVdFvh0U+va9VoOlV3VTLZ5WKEAP
j9T9TycUbTYBz/3vC01njgJhL3MecrBenUuv+wLq6eJBgkMCylx9/bV2DHNd2yhA7Kfa+5LVK4Be
66+jUXcH4ASTjT4k9VcrrL8nJmMPZVgUOLmVKMZT4+SNfI8Z2LplrwWrx0vpaGIDvFr6yaqnGj9u
Tf7opzYAEN3+6Qv26DZZ+nUyNHBMFYb9AAEm1KnWRXFs/ejqjhDt1R1lt09pVlxQpFq96igvMHQW
PQ6Jh8xpBmUCNZw03XhBwk0EBMppLSiI1hPvNjQrvMgGna4pjjTbhM2jpdbofq0BiaogTHpmgebD
xTYU8Z51Z3SoMFNl4w5K34ygqL3yrq8r7EPsOlpj9+/sZtlXzeDgcAEFsYJoYv8OtDBK1oJhtJqz
tFrAWIFS3eBexLdkkiOVfCpG3kDqCcYFz5tn0zpQh+wBXALLmin0Q5hGnfYsbb/fovogQ2QSf3Kv
a/cGkyg8rXPvbGqcr+ZxB5tp6Kho537qpxd8Ehw08R8sgOjY5Wmd7eIeXeVu6519h5PKcamGF6lK
rUUjyL4/lsnT34BmrRqQKOrSZbEDTOLq24tBAwG27A6akw0XumCXx4/1VBxat70O0Xivulmc4A/u
NmBxsAE7Bxhh2tFfwsCD7NAgrrOiv4kQWvwIqO2GemRhhwPOJUNzRz1yLxI2zu5F13YHqBFCS8jv
NpPPjkVbds/gsWjus9pLZxnVCqQoGyDT8j2hhqw4PvHKb59LK24QBg2xf7ez6UvhGn82i+o4C8hd
qNXyeJ1IHFzNAxPYuTaiLi/LRZb6+26Z/2xQqn52UOozBGQ2Nzlkx0FMr2NLrhYgtxAlpEPgREiv
cRSHNho4CWPkeUEDPOrZqTFAxWd01jn3jHAKRDxqF7qANsUH9LMLNxZyyQgAGCBPJEeEBX19neFg
coT0xrALw+LHwrtdJyCOj8QQrmtFvE0TfavzoJZmdqQxukiEtwsc5edOGKanP63TRj+aCYQMnjnh
B6npxinzK/FZggrCU4dWOfbRPmNDsaUzLGJb93aDfQXEiPkd9AwNZE1x5l3c/cGRz1AH2EUt/6fI
vHHbtk52rlRSsRgLnLlsE0nfpU8tslEeEHGZtmRH45nhIkXhQCuvxw50lWlh+EytphLa3BJvrSrO
4sMUgn4nizK+T4Wsd8DLAbfbRzupJJ0g1GWu3FDolwFRuDtUoedzKb9TY8fYygwlq34xe4KT0XqN
s5dhAE2Hevf0HvELQ/Jo+UjL56AxOURix+r28/IRaFzP3GF1LZUWQ/ODCEGIfQSnzSow00FuF5IQ
ohm56bZx+oA4x7bQXH0L1YfyQhepvotLtzVlefDG7nIzfmMLeacyiHHu3Tbq27/4+0Lae6fumode
juUqQ6Xb2Smy8MWS4Y5uXU0bFjtftOGW7nCMmyhwdNsXoTfppYDMy3znW9wTrw9fQlPbxeHf3DeG
p1oJ3XnxZgKc5pN83yFdWcxkppl/+mVm2c2XofI3qE8Bz4Dtf869sXgkiiQ/r8ZDa+iQqVKcSnSp
tFHglJiHKod8JVuC0+Bq/SFPoasY9QjygeYKmqZp/LnU+xhS72V2TmjcM40VyyHvptlDfGbqksky
xrf2V2seC6NqHZkRdOXfJsCJkstg8bNl/qFfmK9hUSanxePPy7+9ZA6QIvLnLAsQvdX2uiJXpcs7
flTqmwvZKvUXulQQFuXbxJ3+uRmfV2BhiS076GJwzF8VvEUsugE//ugBA8tSpzxSF1zZ5YOdlCvq
0SUb9Xp342W58i+I8ZWCrz38Zy00C9QaEgjP6Uq3YJnw6woaD4bnX7DvX4Znkoc4m7aocuOXNtaH
BwL6+/74mGiVhGCdDmhi7XUZ2B91HcwRCuMfDzU/D7I4kzEh/MnXhZuXC7kOweODRI/wVlS5zoZW
newcqCfqNVhtuLeaRsACXF0DsYluJl88qFbFVvfapEZxyWPPDGhYTnm/QbF0sUfCPPniTOzJd9v2
ESr23ZObNRey6rzO3+tOo62p23CFdtViVH5el7axz38Fcu+6tDfy/LkzIePQoMoshb6LOtMODFzo
dQCW0HgtdDvchGHbrqhGZy7hcWuICDoSCEoq5lnKf0SM+udlYgKwH7smS9th/7SLosh9xu0ueazj
/plwbczwkUs1QhQsGACwKVzsqoIWxZHgbVUczU4QLEseeWduuPYlNbp8h2jcF7oToiD8eq+nLl0Q
qPxww4/w6148yMQyDAPbQeYgrATkyDu8yDt8BOFJHHAcoHQ12pMhXX4HGBG54W7LSXwlCylDLmb4
hcPyOxba2i53xK+xtkkrbBHUK1s4ZsTrtrCgcAV+tF/GNy9BGI6bsd+9lTf/BQpDZlESPUV+igCC
Z1kP/gDWSr9lqD1WXROVMQ9QsS1xMG5wnFdjdDHSkV8YS/aI5GogflATkW8eTLPwz4OHb1HAFKkl
LUWrIEc5nlLpPDtFPK4Ni49boQ5EGTOSR9N0AledoOgSet6wzlPkx6ibj3XyWCEWSz1bmUUguVjX
TXu1eFuDVlzWkMriT6+Sef6hstNqU0J/JhgHDv0l3oAmT2KLij3E3cQ52JzxFDFwIwX/bAEx+Duy
oFZhoCZlUnWxs6GWV+U+Aj+9KmwBsv8VwhPp84R85yZN4hjUElmyTafUQSZZy50tY0O/AmLI1hBH
95qjNWbfauqWpR/elR3IPKk79UmIlJfcJtDivMxjzI1A75x3/WHu95kfrScH8hGR24CTiFvswXGk
s61bEFvNr1rw8pUpeSsG2QJsAI1hY1VmfgHNR3HxG5lfvLQy+4D6SZoHjaz8U+/5GJtnyByAMFAd
dvyfeWyeH8lqWXhZk3xmo0lGP11Xii2pKxbg/eykbYFuAxKO/4/C4qLUaCjrW5HGqoO8RRnZe7Kj
CwBhxTE27WCwC3FA9W0a0N13uX1PFQ4PeTneLeO66DsE/+W0pTG6Z2dh+x/++J8dsDFuOJg8Dfcc
o1aMbcsxi7a9gS9TNCLcidIu4aLU5ddliIq6C9LaOAxIQR1ogrxn67nf1XwfNf03ystpE4NYJwgf
VJKOqGilAC+ACWzBhsbkUNlPeT4b0AhvJ9A9m5q+IXsbUYGnugyIubbSkQHJI8SNSvU1R7gn2ycD
pIttXeTabgITGzi9p0uuvud0KZQdguLxKuy1aktjwHxBpAjf0Axfdji31Lc9Owm8zIdGMM5xIPWi
aAkifOLYjdV+GHyUB85jFFEJC3Ncey2qM6XO8ajvEJoNbYk0mAeiHOyAFYRTA/bawZ92teQAmrcx
SgnQBI01Ypvm5V4k3kWao8sDA8+XI6ozdLB3qqY1ZB4PEqsOj7dT9ehfB2mGbGjsnfs4tWKnVr9d
Z+6TI12ispSrKHLGNZVfViMHv2JRX4Sq4bSUihS1OEJ0m6xxLBSJZjhsU3EnzSiPKerrC0rHip3Z
4+w7w26a2L8DzYW/d7MR2rsEzSHwzdtEpoA5NLRchOkCsuPm7uxLExDyNlBfCXFRt1LUTlT0qbTn
ViguE2uqD6XLzN609BM7rbstFywHYVofdNwy9s3Apjvf77W1MPTqk4WykMBrWfndtMSG+SXSeF1a
7KZqHL5p6muATJLx0iO9vjFaO71jLagvYObvR43r80oj49UnH+qFoNounbXTJaCLNrl9rprherGh
irZJpDcGNEazHgOx15r6uE/b5wY8BxBew81WB4xEiXB59hmhXB8SxAjEnVCKOvdogpYYZJXA8OPi
86CGAsd9VPfIHwVh7+LRgOKGi+siPOdoOGRqkBVwjtRvkYp+3+9Vn8jnfL/ytiBrj4PlVqW/6cq+
E5Jd7nj5IKAPYvn9hu59dLtcnN+J3S7rLM5xERZBa+Mf89Dl+DGkUAK/5B8v6eD/GFEjvFvGC70U
78xkFo8bKEJAGO/jBHnQmJPa7JShpOd3i0hU2A2BSKwfFWg5rq/TV1+6DPtne4OtKb/E2gTl6wPw
WChqCsqw0s8Rb7ZSNNFxyVTd5LIo00U5Lw8KlWRrtagvlajStwgMRVTORNhsl56erKlZJ0inTqkf
rhZyaJpYunXqABrl5WClU/ffENLfwkclAvWmNhb7ye3FOxZyx9ZO0hqLVR9C24+gQFEFtlJtrOsZ
aJTH1fQ04ntXuIg1KegQZHCnVWID4kHdEMm3M0pdflCPkEisqp97HPQvcw/1qvOC1LVA53oadetz
onvu2iiAhJvRWgTcIojXTBJ7RXfhzLC2lBVNlUMVQZcPSCRFRDAruUZdyLcoH3DfD1Jlr6GBFH6Z
uan7XWZvJqja+GZVM0n+GsCqsiM+DNRmhntk3GdijN9RXyzcGThTzbbLEDks1Bm0JHXfbJclszDu
jvkYhgjlum2Kyo9EviB+ART95MdrFoXsNNhh9ex51cusC/42Xhpj9azsPdMZ/nKHOFlzV4fC81QC
nG7vhPSaE5ZqTtSCInJ7SivNrIKlT615kOYXH+pOI6RRIk2vNjcT7jBY13Uq9TI0PQ8ufRqkdTJr
MPa+Zs7vaRm/fTv0budlQNgDgWsGhjLQfkXQll1SyDLPLqK23P0y9McfIWf5pRiG1+sxEbIcROPT
Og4k7BFK2hECEqdadiz7GLkIhY6kMV9kqxDf50fqkYMcNbZrXOBGJ5ePxzFnR6Hpzl9GByoLN1eg
0qljWwNs9CjNL8ExiX0ZBD1Agc1A1YdCq3L8hneyASmq/VO5m1Ph/IW0G19ZWunf5WCeWqrW0xhU
P/7on373DVaTJff9E/1WyOldHf0vz4FDUF1IJIjCpzzp+YGAlwTBtHNtQp5SATHp0vs4DaDEaTZp
SCphwWpSa0DFwMSh8NlO2hhkCKpseIa8YWJEodihCsTC08f82nNsfEKoDYIOhFnj2k9j/ZRUyZos
6qm0L9QiE2p1Y3Fdirp04dVjYn5OEh1J/k7eVfGYXwYl8FpJM74HTmZDc3SpbUgucWR/V8uYHFtU
dsVxvFvGPi5kYCOCOjp3Z5b8SeszZB06BKb7jmUnt0PUfUVNGkTecsK2Vc07IaJ/wbspNTjPIwWL
pupzUT0VE9O2i52j8mIrZDtBJzl/r13Bu0vjNS0COQkQSFnoApEKIdskncBwLLNTqjn9a1HyduuG
OqTKQwM5UJNrgVX08TGRUfeShbhBRtDS2yTCQbcEjRp29tBpV7N6j7gLY+lmAEfBC11QBHtAqDh9
IHuAgXCPNqHWTZNOa19XkxlrDpF6WrukQO8pOftJ7QyoBZ6WUeUokSezoiTZ0KCpzkI6HYiUNXVp
gsaW7s1a1EV5eByUGhjahbAAflFncUpJVmF4ihImUR+NIZxB6n2lLGgyUQT9npGcMtCcX3JFUU2X
doBmaV5FRxovFZX1Mhlz30Y5JDNW4Cm+i1ov/iYBw1nFkeT3fj7UFwCOvRXL6uRbbrkgyOvyLy3n
eNK5AGS6Prc+xWAbIgMvwdGAPMMKlVhMry/0ey27rtvLPv97+UHTD9SzyvFwzcRFuYGdhXBaZN1R
nyYCV5FVxJ2BOAs16WIlBqIxIbfkwbH8zbtpEO71SK2aAeFQSem1A0Z0gxJYcOEotNWUODZAHGjR
xSm+hk6nX26GU7sEhrwe/FVVSOwT7fCYeA3OFprlQW0GLeTCrZPHsvUyjiesd6nivJ0QnsgLRIaj
dkOD5DbPYHutT90QWCD6u+9cR7830r4HpS5S4X6jGYFEKeZ9oyYgNXSdAPHZdSLUM2P28Ep5z+o6
PkT1RxGv234svPyAne87ATCbpMAWnS/q26wyt67eVAc6WvMJ1K0iTLT9TJCa5A7bytoErF7xEZMN
2AmTe5/lwWxCYyAxuPqJakhPGXTJAzyv+g3+20eI57BubtFYPxjDw02L7Eo5OQEY+l9Q8yY2Vgs9
1WXXumxpqdXyaTq5JpD5atP8x+1v3ll/o+jc3hU2vpK/M/svXssGb8satB2Q7VSnMxvKnpuFcIJ4
Jv5MNnEzXasVTLUCTWgV/T/ieKdBOU9GF84BB0LSH2pyfekFU2e7M7fMaHnevgb3wIpoZRxXj591
sScaGhrh4F0Br2ME1OYE6spSlT0GlZ/wQFbRiEopVN1iPZUdyEHwvqJm7iUuwmXxHdnQRdh5dp3l
KaTQZsdclOEaANt8W5vtZ5GjJKmOTQbMbl2c44ZreCLJz4Tp74rht+O/sad1yrd1cgulfjXY3fB1
G9bEzZf3moN8A/DcDArrb72ZqW+c5jniLyxU76MfEts3qyx+ao56b2sur/c2R2uqV/+Tn8dXVWNN
oCPUUxmgvoXjGYW7F12aMnXn1u/GurdZsqvSCuVHk1vMCyy+lWcNQGoO5dpvenkpra7dZmPUBAiv
SUQIMUatQbrXlgQpxEkTIZJcmHTVhVpenY/D7KbX08kqpQHhBTW2rEItgao8hH+AxLuZWF6D3oZX
MORp1dtYJsiDXvPtbQjW4JtXgQpKxoMrzlHH01McJUa8pabV9umpAlGrvxddmJwKYf3ljk2xpQnI
W8syoCbNkguKXZoS8a5sfd1FgGTyyooMZG8D7BFOcEQwQpchFdVdi/IhohtZxqcpBuVsNeBZhN/l
A9GSkL9E4dhsbLjjc+caYsbIVj5iF82UGHuu5RBVJoBs5mBDAp5gfd81nrxfkLPzRFMbe8n3mm55
9/QKOF6WB24ga3zzdrjDgDowjLs87MYHekuI6jSrfMKhl7rkwJV/ZOqowSjAgWpCQQMPUDMzxaYn
wLYBLooVOC+rzUyMUoTlx/5opkE15OEaNQKbDuGfEyq/8KunZhRWUGKcR5MWdw6oRJ+ou4wNArWu
b87v3ETiPJl9IUf3HgUiYGcd++m7FYV8NVh9udUzC381cDDgz/Q2GPfGRVaOs+rtrp6FNcui1B+S
adoQzJcuPnCoiFVw8zSP9aDvRSVaDWZM4TxrJNNkesfa18Bkb+nikvDJRFVyH69NhR3InnXbC78t
81VlmSsJNU0criYNyLmkzu1Xf0ixrUFlPxBmaxGG3TcUvscrWxrxk8Nr0HV4ErdXs5J3oc71teeM
9iuv409Cj5tPpuOWgdm/MCgsfAds3Qv8oudPFm5eu0aPx4OMqvGej52/ypux+StM+N5mU/PPWBTP
LWIkr9MI3uzSnvqLXfblSYxcbME4qL+4g5kHfTa1/1TsBbAu9r2rUJtP62eTY+4kQ67bnECGXUvU
0dBGMZrc8Rz35ivtE2lI1xqQ4ESeg32UStooC+nbr3Op2+9ma8ySLV0Wi+UVlP/NKwAF6gam5vYr
XWXekdafHiyGZx8l6YGmHXaNxqd5FpRLzRPvgbzOBjM6fvQoZdyvx3QcD43uR/GrOYbxZ5bqj7Gi
RtBjYEQRHsmfU6cDL4QGTe03C7vt8hUC4Gw7B2Dm2EsFYp1rqAU0GppdazPvTu8Wcp5Y7NoSanz/
XmZpWx8xXg4EH1xQwVmmwyDnY3u3VZYpAsX6OI3FXccl4J6rPLLi9VIzRC3ALtuADV65fVdntNhw
Fyco0x6PNLSML11qGdPQBp5a5WYCIS1zE/sMFAmqckx4NUrfrSLcRgVD4dxSK0Yz7tSEWzKc6+qo
Aq1vOY49vR5u3w06buMd8SjbOS2U3i110YH6R/0RaKyPtZD+kVo0vYz9NzaLHy1L3aufWjZHmUYG
cPf2ZunFbdCGX28Ety8GgR31npY3unSpdfNm33kvLstrFXr6DBk+Ew8tfGYan9/cb9/s8lKL+e/G
EMH37dXyKr99E+qTI/RpbZcV3vnNLigqtncNE0ihB7Um+NZgPBgV1bL0sUU22PQZqqrpxrErRM+H
yTsCPOhtSw+VXHWBmoYBQZrvKDwHOgTwUaMy/h6Uk+v3v5xGG3/Raui2TeVdAMdGTAR5N77yQK2+
p/SvxoFFyHrg9oghelSzZZtdZwuU3NDski/Gp3rvTxYJ/AEBq/GTRup24DY7e6aVr8rOQtlkAqpY
FN2zc2K05kvbWnsqUgMSNdmBXCeZAVgmh7TpYBgv5D76HrS7VC3b4s7wmckdERTo1oXCXUk8+w0A
gXW2jhHIWi00sjPVLM34hrmtPch7dHaZf9Fld0cM+EXSPxpa1gM84dSbntvNuba4fy4sK94U0sy/
MNREvpnWqdQvSCB9ouIXJr30YuOu7apSGCqBccwJtCPuaOiraAJLGtktxTFZieigCY+b8Ynj7wkG
qmkDOL691dQ20kUA/pIkzLtQq2HjtdW7znnMIWBG45bvAiBEdp2V2tsWiN7ZlzyEcvvoC8GfTWdr
MShvQGo28/tRE3B1qMoYTrSRTZIeaYxYcuaJypu0g2NWtdee7CS0Z97K3xFQElElVJC7rVc0329Y
LMnhZsymIMKy1FBCR6coAFVYUnOUwZvzczQ4eP2Eak3d3dwk8lCwqR2iVt/Nb5s+QeLXq8x1p2MH
jucr3eH8yRW1Gc3Qx40VmRupJo2UhKWk1ViY1rGowDJCKSyOUvZZRIn6TZ5/nlBRC14SIIOt7OIX
KlU+dop+BjXebLL6ozFV4WY0QKYfWyiqjaARRhYo7A4fTL+9WugpWJmtlHWB7ESytQ0jPMVuXp/7
wnc34HOOP2lqu0Fc7OwriEv1f0wkJoKW5+NLq3yAuAhPet3BxwZfYe368adaB0QmMrDNQREL9t8E
klLQqBZicIBV+z+WobmlYFEA/ernpcuaCQFD25ltjYwDLVNX3Yp0R26FRqi/iJEUtp/vhe2cF7sb
N5oA5yNiSYtNivBTv3Z7LV0BBF9eD9x23xxqr4nnA/fM6LqVTqg/U9vR02w2pzO4AOnDO/NIdhJ1
pKrYxtEYuObarvsxof4QJR6QaaUTa4ItwIa6dLy0pF1sGjVLZ12aNZE+39HBdEQQclNo5r/4LsaL
77Ly8kLL69YVMKT/vrsx7I/qVtjdOLqL2moU0+i6A8mUGxp7s/GjNmZ2e7En6UPMg/MHusQpCMd7
N3XejdFEMaLytbDSu5j4ocjOGMr3dnimFg+IJa28UKZ3rZ8gl6iClUYi3S0vmb0fuFd8Qtjv0VMB
y6npfFQmIW7mlYydBxMbrDlQiRKl0o+sL+RpZ4CzmH1bfKr/e8+CjdfXfPOkpYePr+nqyF1RWDVz
R5DbTeaX7KNnx5JHMqB324zdb9/t4vnx3aIyCgRYRLaVgnQurKIfZVGHF7NzzU+qN0VReCHJj7c5
AO7nObLUf1l+9ANW590qNPfmpwk9vFCPR+n8CgD8jkEUdf5JvcyfnHOYf3yZj2+Pem9v/ePbm3y5
Gngbn7vcc8D/UpuVd0KmSLtHvXGx5rVTPUfYUawT3lTPXHevY8vs0iI7rZPW+d+/9kwhxMt8jEp+
+PG//+OYJngQLdf3PB9FVRbgLB+5g/KpipJsYNBS9EKeZfvSNqxpFWVAOwdlpgP5CNbTAeA1UrSb
Eg7d96lrtroFnN+UhOOXegK9hQqsxXHVYBs5tPtIgIREYpxYbWh8sUfe+t34R3taBwTxP3ofD1Aq
yAEpo7OzQwa0JRXyLH2P+uPb/G1/KepZfGoFB75Zl7pJE2E/ZwLLqXnaA4HWDANMJp5IQO6n4NOy
MP42yw4ad5VdPH20ko6HijqlO+1M49+2soJAHX9KfPYQRiNYSk3/AABlCX3AXxev6spLnUHqLfXB
k7pMZP4EvVwQaBUopaNhKCwDjUFN9tGLcQcY63dGDtCLKMOjEXoFv0X84d+/NIbtuzdfG2DW8PF1
w/KxBcW35vZmGRpNUiPX/jCi6swBo3qb8xToraw52dUo5wt1oyxDrslAhOk0CRNN3o0/27LVNmQI
vK880eyN3x+781LkRuvhq/eT6f9cDwmOtQ6tnZ2gYkOJlZywCzJOHExLdbD0afCmaw8Z8uW/fMni
xuzdKg4D+ZOqdwY7DGhRoAkDJTqmLgnR3y19CBGGgd1XxprGlomlezPW2B1Yd5MBRIHV+ODHwLe5
Rsnu6dJME7vPunTngWTzvIybqZmgOC790imDZTzpGwTF8czZ3ExYZrYzQyB4lvGmyyARlI33wk/l
A0rG5SrmefgNtZCIb4A6QxhVE8i6K59rGQ27grntgWx1FxRcb7apSOwf4bqzpuTFyQ2xRwIR/yVG
kn4Cn+7nRlHhFEJ+vzFoc8e+tD50x+jLu1zmr3EWJZfh683o0qVWq+Xaqs9BrOPTL4Y849IBMN+f
/edfEnRNGuj9SsPd1byP3Y1I3HhtZJAkop96x5/cGFzYeWfXZ13H4YOGycq3/Z9NgSyu05WocgB8
uD3NTZZW3Sn2U8BewnLsTn5uqqYyqPEz3aIg6Rv1yPCduyly1GTTaG2BiI4ggMS6zMGJts3M7h8H
osenmYmZmnOKnyid3zEzRyKZzd+NgXMbNeW+Bs4mM0A1aLl24nUMGZIvdtq5J2427cqKxPgFu3hn
lSctSp1UF08j5pbxF92KvdNYVi3AFBUoIYQLKqqky46yF+E29ePyBWHaLIhc7v6wVQliM1p/I7Jo
r1wHxBqLbV21V1vkGwzQOxiHKtRRqwmtoBS8aNDtZoknHnETTo6Dg5gxaog1o8gDbRiCqP00cxr2
TZmB5iq80hYWlbi2aKxzp+Lk8883wzfdnA87LoHrGTzweteB5rP0MQ69dM0UEQ1d3AzEVKgt16st
JMmgByzHJtpVdRYeYpzggOEWSA0BvO+hGs4w2TOhdBDVbZ5qaGpuQF5kbFo9BlwEwLNLCzXiC5lE
rB/PymEG/izGNIsylW3PhXFcsFJ9ViMDniETmyLyMQs834CozJKBGq9KyyEAc9Y2Fz7qJ+wEj9rK
j8oTXbKwKk8mIGMVOL7RXGYge/rBkmZmd1RunHpEKHe3Syx9ar1bIk70AgQ4IIvmTQKcWmn/hOTk
TgNrzE9bTyG3V86NeMDIm42a6j3XeC20LvLqrd/Z/gxtmDrxE3EgoPwXaAPBDW7QB78FLsA30sNy
Sw6Eb3i3iq65wSAncdehIu80Sai6KgHL2MFFlbQ+dLI+TjVCzczRgMrp4qRduxn4YsmOTHQNvMTu
WL5AbgDcoaZXHsHWMZ0jK0F5atzVKExD1YyYLmHd5+4amL/xzoWcHWKWwglqn493pbpQiy6IXnBI
YdhKcw7GFoIyZhC6o418w4WGFltqAT/3fjkam6zuVw1WC/GtGYVHXyXUm0sQyGiA581fG1VhsXzd
6Ks1oXAdvNiwoQnyo4lZbvx3NvNiZEk+nL0CF90eUbRbn+ii96jO8T7FXXUdoFGtRXcZoy5N/Ldj
oNZXyy6LLd7LYsJi7WaAzmlwAxnMoFyzaTrPu51YwIOEOWSpsYGAo3W88dcIKpuoVWqgcudVFl8U
+4g9eBSTxP6nEIMTiALMhEAy+Y8C/FWHiLF2a8Z192qCS4J44m4sjD6DNpSyyDuBZ42Xf18sWs7c
Q+hjDdYCzGV6/8fZdyxJjiPb/stdP5hRguTibkKrFJUluqs2tOqeaWqt+fX3wBEVYLGzesbehgaX
QERkRpCA+znlIkedm8Pp/u+k5yhUe3TaqOab/6LbhlxU405PHTmUCuST96YdassJ0LRj+65z8wEq
zmTTTjg5wday0FICJgE0zWK3wt6jI978rETiYctREymtJqo9FlbiuamGwNvHuMsEwZzpdpMs4yfw
Hg9lU0C3qYqduuMvuXbX0d09XUjXo75tR08B5Dz0XXAgHblQvshwv92fUD03ABjjnCZvha6Ppwll
SOCH/dGgDLgdb8sc3zmQji58tF5Q9OnfSIrCrHrBE99OBa0SkSEpEn+RaHBDbGijRmsA92Ca433M
sYUp4AVRsOK5G437L0Mf17jDFWJc5f6xA06K9KmN3pU+tgcIw/srqfv+N8KGHMDnif6L9FNRa/Yz
gHvQESAwI9H23ezZhD3vQYjTD7fQKe3nsBu/jQ3vrwobSsJCZbF5SUf7THqJCBUk3m9NE6fXjufJ
rcKtq8RNiG2AwgBrpj0QMoImKGgSxzZQaQZu0zoGB4njWG/emFQfcz07klffoIZ5ngA+TCLlCCNA
oRA/qukBcQdgQeFFnEov9i5ps5LrzXDM6+6LD4DLdkM6iW1OQ700ZtxHjNswBfcffZXTBU1X88vY
vq5+CSy7ajcMJZ2nhSt+YPGsAWJB9XNgYDf5xbLkzwepbRsPI7U3PDvl3N2AcbVj0dReAJfY3UiF
j6S7Fa7b3WKw7bYbkvHYNB+1Nv9C0spP6chAqRIAKG1zQEOB9RP5rGDk4NYVk8ihivHAwEZL+JuP
moamZ3H6hXLLddESVZrQ+ZTHXhX66AEqc+2gR8C/1KrkiTCH23gKnybbeiXwYbr4aETZF1Hd7Ekk
GOIsLF9tK7gHGShVfwq5IYPqGCwH3Os91KHjrJ8utjjapxFOkcerDl4+c2DGkfQBM1EhJF3wo1vJ
uJAKAyhGDh9BKqPvYr9jGnzcXYm0ixDyUY4D5aUpkoQ/N05mHhc6OSR31IVjMSqy80AsFjT+JpmT
9kxfebGZmFvdbu7i1JQmcJ5gpa88EpWVnP8/Y40MR/pzUWDT0Df3sreW2mwjjrNsUi6IF9IGVSQ9
2qb3Ax6zX1TrLRnIOxSg6/9sKHPUpTZz4LOo3aKvHp8Gmgb3RDCYPaGRyP2eVrzZ1+A7xcFjDtbf
AVWkvR1FfwSAC9y0npe8oaAFZ5012H/ugWOqO98jtDrKwAI4Ia91Yt3A4bub3CQvtG0+4wswc6Nx
7wGGEcc9xhB0OAOIh1uv2f0tA7hDOKFdQZobYVBW6W20ubGzyijdUsg6xUJGJbTMJnVDxQB9A3g9
v2Hipp89BYBkuNh+jKcdqJhWAzGDhtLFnF/BJdKeyXfhohs1cDFLz90ahenNG2Ufy2m+gP31LHNJ
8yNZACjh8zChuim1DiY1z1OBHFXF6SjQ34OGGF1hoqRuXWIni+YW9XQ0JFcVSTqZ2GR+Cygh4BLT
7okrNlvGCQDtJk/trfiogHRFpoK2YLDTpF/JS8qh5mMPPQ5t8HyJLRoyRX3RnTqjD7BT3NlhvAf8
gPbEs6/U0UYX1fqmD9is70Td7MpAQZ71u3IFRijDbXTYbCMQ1Vz6sAXwTmyd1bmaJI8ThXAr3Xsi
OjZ32NE1ZXwnyuKUG42S0u524C/LzkbjPIlvgk+eFwbXtgA5vCY4s+LMk/rCrYKr76KPsRZbqUKf
N9YIcDfoyZ/0GvKQXufzu/4qf5VX2yAD8Af3cVqa12P3zPJx+gQ+LbmfCS5yFK4BFm1PiF3KbbC8
6ZM9O3JDk9z8OM/2tAfCdWAJUTZQjctsFK7cenH7gMdk3GhH0dYuWARI1KmWTE0AZ//SOwF6WwhA
T4iTaWK/sCmbD+SG0hvp4WN/Itw+RDJOGTOfy2LC77b3NXfF/xXO/F/pEjbgStGBQoy/uB86J2qT
YwZuqW3F/btfW+KeA7saH8iN9FVZOK+BeWpmPX1VGjEJR8XLheykTxKA14vmnQPpKAVNYqBIF2UE
yEM6mgRfbLsUG0u0YyObMKbKvy42cGrVqSHt6Ffb47BiBsgPNnxItwok0TDb6ThV9vQV34Q6wE8B
WJZT32s/FXf5Tl0q5BEItxtXi11gfwm8Fslq0XaAryH6C6K6SFz8y8Yp/hdXBiWu4yjEYCD3lgVB
PER/SZ2Bk25M0ZzhpE+zuNBIiWA4RW3IhOJh5afFafYkRTahRbxk/qmvDP+sXFQCGqHSHwQ3XfJC
oaQi38YEJO6G5NVECwt5xpGBOozavxhUI9CIUoCxGaxT0HQ4koNkixqDwdaAAdllQLjkuNFw0h5F
88rsFpaMkM51MiFsZ3ZN+9bYVQngDkGEo9lPXZW6X/LQtg5a2HVn8iiD7o4N/vCw8sk6OIWx9KBn
PvwWP8Wx5axzaICn3Njjkf49U8fgO6fWmjOJJShUdZxnfq6C2H7iSacBbhZnGX4JTOlkcpsz/fNq
KXiTfnaj/2LPqn/tZolsFE7Zfp50GINWTsqG6j6pWhslF5OSW80Cd2u6aCBImhTHHHoxfYgnPbxM
rMT/mV05vzm2d26jJPuzdbHDNabeuPDgacc2VRa4u1G0GNVGHh1qPo871Ts0GkOPRnWQ6iqdbwJW
LsevL0VNIzi6Bi3+XTlkeKv+QyIUGwBHpLWB5Wa48znTNGz2C+J52agGwNPeaT6SBggC+ZaxITpT
m5ryJ94+ctEL6d+3OuqMwWSAqsn2Bvw7c9fgFXzvi++0PwBebvR5lqHx/AsHVIVO29Cq/+YQ8G+r
DK4xN0fL1OWqWFwcrThKX2lROJGedjFqcXFUjc661AQZbGkCbo5WSzoR0OPO9JVUKgCt++mmBGTx
nrt1aT8Zer0LQ1ZcpNihuPjaghNx6G+5VoDl1jH+8samPq344ryMxeeMD7+TXlLD0RBsq3/hFxWH
C4JBTpLJBSWILIWzkQIR1+6AoEDflot987Vc1GF+jaNn2kmXX63U57v+Yh4M/6mzB+9S6ubWKQJg
0+JY4NWbjOyVT0kIOAPHBK4Ow50nWYQf0ASDZ6mrC5BpGpKex7JtsDFNQCnAT+p3tOBkmF5IJu6I
laS736u0zJ4TwG+ilNX94trY0dMTDlghgD68dVn+kZCqtMIHFKzRtadQYO5pOFWPyzT6zYni7ApG
wGBH+rrW7uEAOu3RUZguwvXGaE8ROlC13MCeNk5P9ihSBrogwC9RiVoZZ9yb5+hu9ZsjKABByClE
bLKkz2lRfuzw6N5sjQmkynFbf6DQIcHPf8BD41ybbf5pTtP2iI6ge6iT1NMhnuroiipx4EsDihlg
k3a25zWrzZ3HkuI5KID3j7PzDGBy83fskf4FHPsQu2eZW2MvFuyaAFWvtZOszbXPVTsVb1STa/no
MI0rdJ5STS5dyN/OZ+2EimZsylfXUs8KNPrhkf6fz0cdS1uXyuJEFMeimskNzzJch5gI//z+FuVB
87//o/8/K2wBmDi2ASgEGrSHotnK0ww882fDmaSw7+32CIgzbVOBI/agYWtp3lEDFjniHvpM3Vpa
BhZxF4ikY3FiRlcdDRayKx0ZVkXvy5E8MtQilmyAosb2UiYnmzAZVBD4GA6WBmK4Z8sNnwINJfOu
O2dfVyPL7POvIdg2NjkP87W1qfKPY5SnB5UXTaB1f6AlkbJkJb8YSSCPRpVeHXta+vjSVJnxakyg
jU3mb8BhB65By80jSo/cr461xw6SjS30ZtjFVgmcEFExT2XzYf42AHLtjTQmR5kVCgFn9BnBIXNd
kHGEmbkxbdP+OOBH+DroyV+o9xrwV83TP0LTzc9SLLrij2TW8rNmDKjwZ3hk2QO+sNkCRzbdhZVW
AKISXe2ydc4X7a/hmT4m2SJHHybJFMBbu9hJC27gjO0IbC3kM5oXEMJVG71gPiiiIZKuQanuwoBz
yhbvCHQrA07t8BXAooF9zHyzO5g8ewsFPadZagVYHjgQOwV5J5iSvuFf3XoFeBj7ILxI7eTBS161
kSQM94YxPXiNjw9PbMJyH6CzdCFRWWmLlsShTvKdZ/mcfxuLrt2WBgpbZoEOOvKSbfI5aJ/MSQs/
4Zn52sxa+bWxG/PQ+7w96sINhYWHqeHV534u2xvIWNot6QvQE26SqWqfrMD8t5zBqwCFPWq+/WxU
xW+0Jh/w90oiWwni4cwsDgAmqy4Z89A5D1g3NJO6+Y3X8/3iV1mxEMlAOqB/WWdTc/aWCQpUoGP/
iFAums39ZkMJ7Qrfi5bBsQWhlKWYKsdJ6QlfjvmLN3Qg3IyG7AmgKvYXfazOYzGUbxYgrD9XIEeO
XfuLZzrWSxnbX8hn4mg5bI0435JxBo/gcQ4yfU9WFjsNEKRqdpKhIn9ZuSm6W5FJ5A+Ar/iGL8Lx
uat63CoMaG2bqqMLlJQvRp05gM5BzW7amPx3gIbhfqE56VqQXYADa2gX7hUmTnTdbgcioOqpJUgN
GtIlxpOW6BV6jbHV5T7rWiuDF35ySHmmJLqlZtVsphdutDjFEJ17tGuwaMVTGw79CKSsg3JaRikt
03xtdz+8qJwvbdBV2EUtS4EskFRXkifQwmwjYFNte2FWBhqRjvxIVLpSpVE+lmkWaIr2J2sbuNhK
1a3rkKMDoQr038w6cS50MXqHX9BUfRdJpz+syo9cyPmXOjsf2hw8uE0DVJ+fM1KgtFP4bGrFIdem
397zW+nUzLY2vNZD/7kW8KzgdQTKVDIApKQLsQM15e4ds7VP2XDR8INzx3bN2MvYx+NZIrjib/Ye
R2koTGZ4xJFOegOd8AVYg/jJIrhXClEZpA/FodbkPkEzGLsJz+mXd+kZZ8LYC6JPbHCBmy9Q+BZs
jELMwf2252Wnow21BC3UUUd3HB53sdN5Kcr5x7C0Oo5bMjx7Asipx/Nwkw3WhbyGvLr43awfyRqB
cQr/GsJKMrnQSCamocy2nmOR+G/TgeX7npAS+ChILGywp+U7AKPZL5HFK0AgYDdG1owyHp5r4Cjj
gR2FqNWs4caSNfG3KcvRxvUoTvX9KTy3wo93brbTmD0f6NbMboMYxZWNqI3A3dfA8SsLCANgiokb
t4p3YDjG89WGrG1mWx97E0QKEW7jhia+hybt7J0Ck807L4++sLkKPw5gUbmlkeFvy66cvj30TlCl
txAVylsvzGalJ//O9g93EA+AIjDUe7UXVrojfpcFAboQkwGIfjO1AdK2sut3F0+40Da12mkWevJV
KsCJ+QAIH4FejR184OUJvEO6lF7O5UjpVoXVJI4RMLjr1jiTG9VlK7c4s7N6o2SVitJHCU6RAFkv
Y99zW+lW6X+ee+VLoqoTp6lXLo940uu2CfZix+l2zgPEwSIIiPfgHRYWcrcrbLuHrQYKLYEVAYom
nA5S4MIT1VzN1XbwbOsAToRuVTytBgSVkxonurlR9zDvGejWZwBogYyQ92Hk6AS+fqK7oBH3apsZ
5RHYE04KC89xTixweUPAa9PRsRAnIVKhOFmZBlq5TsMJU2Bhf59Pwy0youC3th7ODdpU3nhtTp/q
qNyOrc6+pAz9Y2ObxRsSuynJznma1zsSpwJHVYEX8yOJSQ20A0pJYsZHmbJI2+ElmMv4lFvzpjCm
6sKczLpiCwAXGj0uLnBjFjpfiA6gvmo8c1mm6HbjOwohR48sq5i1GSVT/FBZYIJ45H43Tk5DM6oU
qxWLdVIacos6FtQomvtpyXxMQCbshOO3wItuhaltWdaV2PXWZyBWiGEIgHzc04RpuQH88Y+hlqTl
NcExOnbDhIMc6pVhbpoZm7lkX/uTvE5NnnISd9BcsDLU4zn3ZhQfPiZWC1HelKzs+ORuaQjwoV1n
crAWdT7w9X3mgAjjJ7CNPtK9JyuXGBwRAeoRREfZxNjQFQEKmENid4iAeAJruGBWJhUBe6gZlI5C
f8zgplO4y1OUEugOuHQjAZ+FnYPiWavRSTPWV9JQ15Zs2EJX8Pg0RFfVyKUCtcDZ9CDauOYzIFbB
OO6CfucHaKTCkJQokVk5JNcZYBTKBdW8S5hJiSMpdAagCbcRtiEW+ch5ATjJihzgO228zrdwoRC1
NmlRk44svE//89qiRmsOdyik+Ea7t2Ufae1ObgXr7R4sKOal7Dn2ftWWMe0+h6FbnNws+SwjlJVG
vAfsGtj0+G5h7mgPOUVatEOZF7m5zMBiGqfBlY9dHFyYsUXhfHabwPKJn3Dc8tzokoHuqduA+iLf
JhqI7QqSK2Gfgb5tHaag186jPR/J3eTJKAOxAQr0V6t0w6Pj1tYxz9v5BuzcRbNa3sc98FrEpjRz
8mnbp4G/o+Y11cFGnW4o2+puuCvAESp2sSmA9EpEYxNak2wtABCT5yw64EjUQF18C4HlpgIa0/4c
9513pONQdVra82a4aZ77VKO456T0WgtI/wPJbQ5kg6jFTwuetsd8pzLQyas8hM1NX6bInekzOBDK
4wIrmWr3JIIxDamMz5iK9OhG+mdV9iddHMPot6D1bHZc9KJRF5rWoOooiWdA1YomNfT48UFCLpLF
LHq+AYHDiO1PEWM83CUO4yqccqCeGSRGfnfy9dG5GB7Dfked445eybZd4PBaXFY6EsngzhN42kzt
gMMKxJKun3U8EsgQ0lJyFSOnMR/JUVGFUHJSM8p8ixWVQbHzUHyB++wE3MVda2k3HvXAgLLY/Blc
nPZxtDrt9mszhZBPG0WghRYZSHSaSBN92KNMQwZyAYmzg7Is4UjKx0yoCwz3vdO221pseLTigmYT
0Im4/U6pkjlY6F2w0dgon/ihG8VnKCJJRRcvbhc5Shu1SRvK28OXPFY6KaqcmnjaETPQRa3rEd+2
BgBKov0MUrp9DlwwINCH05cqqNBqO+rW2Rjz8UvatPVGt+zoiazWCNgFHHa/klHsvDZt9Tlp9OSj
35h70jo8DF6Y7X5zgPv/ZQBW5BWAyiBWFPkCAxCRqCQ0cZ6M2dTkZFWTkxUnTjXYllDerPcV/1ga
YOwVBb99AQimamr2JNGlpMpfGoKKCzxZSTAXV2XPhAhuz9oFMEcUnu2h3q9cVmLpee14owysSNPk
8Ku4xdSLWbD9h7INB7AqTrUpPecPfL733nvZEW7j+WjRi7/oLH+v+13pHAOs2Ebdmtv/lIdmoP72
d9v73w33zAHFGrRHhqol4A7/VekfY70Gm7UX3S9ohRgvv9QlXp8Arq3RliEUrAUgq8n0SNuoXDQi
ZxlHMvBr00w6qWloVjKnTQgzyXIotWJVC1kpVQ7SqaX9eqnKh0LosljVYgVkUjOoVa509OK7zgHJ
4+PdJGfDq4aDlRXZMUk94+q4s3GNxIhEAUUMMJhWAJ8JS85dyGTX6je0iTgXFWZUPf7YVAbpTLLK
EJaAGI385HXhrVKomVOaSVkojdO68S4peLGVolgSuVAc6VTEYgK1Bu6af9qR3xyUSqVaRFCa9Rp+
vGT1alZZjDj5nhfYIQFOfAuguIkb+PnEoQzfDo6XYgRsvhUaH24eE2BBs4mjBDPKdh0gFXCEK6D8
UPOJbgQKMgZ0InQiR5MAI1+zcC4zTkCWC4oad7c5SDkLNvIDRwPzQkcGuuiFPj6ZQBmTLspACaJH
lnKqwYdYH1Ae/4pa6fkpq0aQqLkBA2RCAABw7Ifj7YeVgfjhyQAAy5k7fbH1eBOCGq/c0Y4CbTdQ
dVuiG+GTxoqd3JX4WUduZQa6dF0zul0wWsa1tkPzasW1i5ZJIcezhT+rqnP/BagpdIsIMxmkD8nS
pxSmhT2szStonQAOEn9YqReZV1HkqHSD2+X7wcrBGC7SqRXKJTx0yrBYOuV6b+WPMMYzUH6FDj8F
oprfwQHq1RMXJdJI6QDYUYLrBh2AKwPFki7Fo3SJJ+EfaShYieQzWvMRRNHpiYsNvhKgNfLCnca8
rHRkBZXTT34ijJwXsUKnlSXwMkmp0ihHpZNZnbAGXICxWet/nk2lU5mU7tdTUtbWsAE0FNQaQNL1
DCdxmv6CI4D+wzCAjFkAf6A8rN7HoIA895NTfvXbZ3eKs99x99FdxmwCnIdQq2i7HmV0PqLiXJv8
mljr5HO7fCynh2YwtGy9aR5Bff7jqb4MQz0Bqefj+Z0cM3qqV16klI/yRTyBYg3P+BQjn8WDLMP2
vdgOICXFyWf8v20PKC+xGEcsZpFILcNL6/bQ5tpXcMBk11FcaAQgQWBa0ZAu3VxlV6672TUcceu8
8ZzawoF9XgMd8eGpnFYxSqSRmgbEkgEOrvPwgHx/DbleXljcNx+w21t/SDJHqkgi/cPrHdW9givw
F0GPPA4eSnfGYFmbWef1x9icp+sYxNHGGrv6I2uj+iOAaT8bgQnQFaHSopwdE3C7bclIUT04zlOb
mR/IA8VI8R5stvGBPAzf914iph3ISP72JG5AzSQ/k05NSlaKinpDTsrrKbgE2pi29u9+UZfHquvG
Gwut8WYCtBVQFVa8VzoDeBs3JZKfJ5yT2CuwEw+2TSGRB/naaY6jf1KqWLDhbICvzy6kUhErNxJp
FZY1xeChR2bSyaQU7Jb+Tiuj6DwZRnDNdRZcU3GhEelw/BteXR3nXA6Q1rDr+5Nf6eZxsXkv7j0d
5fpvQtR8IMz+WE90VgPK6knwVkdVfLZt/EBqQnqoJs7Ecy/+AukCMifpRRK54rT6nOHb4MmIAUYM
CLl7HiWqHI8AmunnHDhENXelHoJ8Do8Hb9lUsRfsxm57rw3fWnHBJ2ScSzMH54LwoAtQCVDmGKfN
HnzjCaC6NeC3ogElvFAI+TAcxvV6176Sqhp6APg7zQcZMEUp4EaSXpfTyswuGAyHLhqAF4V5SVfH
3nOMLb4nkkYcN9DqpL9YThfE5jl/Z3Vahr7rHsUkO3C4svuZPp32jwJ4MnWrG0krSF3XtMH4XeYo
SBDIu10SuRKDVzlPYKemeBWqfOdQu8ergFWSx/zrCgQ1t4qVxQsiJNWn6raoZQDUW7jXzPq+UgoZ
Khu1jbQasUoKWRc7UBy9wvX8lOIxVXzT5jp4SfwqeUFJePLimFO8SxNQewR5kL60uj1aoGn12UEv
sGPaCx9ypJBiDjmK5jUwrUIvnWlopTsb8LjPKjGpG719a1FqfrGaBHlpCpzEB1tUrnUHlZcMQc3b
Pfjk0W3xWB5lAZ2MfRqz7N+kJ18aJSP6UgJb21IiclUphyY6hJyVN9LLpbK+AwwRH9MTGH8m8AY9
3gHX0tmORLlSegdKIzc3MpLmo1dvmcaTnP3nReIdEEucp747Ajsne8K2bPbksA5dFUKkUZ103nYW
9+VKRwZb+HHA4AybBnhIIJidLqsECxHQYcdgnr9TKOnfS4cSphl9tJG/V6tYJBGLyl3Hu5n6Rjm8
l7Lui3k/GCkHCQqWSS4qQqXkRfkbeMej03tJyC3hWXwBDxcQ3MRLfS+deouw7Qyf93L1aKbuh3m6
vPeyKWBKd0NtXwLLnL61WopbrrYprkMS55+mdHpxcz/9PRCosH4TWcCuizIbHX2V513UJTe7hO2V
TKMhrGO2L4rMv6Amxr/IeJInf2SoysNfN3kucuq5hklIS0E0ohgard2Vknx6Ayh3MudiNmb+zsog
WKx3McsihFKYagELL7lCx/H/rbUoqYi0HD0yeBY86GXxxxiN6Y1UdIlNX282axm/YdZOqzx/E/H6
hz2hIcUvh3WeoCUEpFoqSSBmVCKNVvN2ZvhXYvXjYaF/dyoKtsPs7DXYESNpsWZdIBMsUjwmrv5k
QcSuahHvOal1TgDvA6tAc3xvrYv5yExhYc/kG/reFIv3R5npTTVrG5x7P38GK5Ei5JzJ482lFxpZ
g3GwZnBrgdnB2Gc6UEtysJw+oWrPePKzwHxSopl7LZ5GQYhGBnLxcI8s2uThzfHbo7v4nNYGRwdP
i5vxNworuWdPmwGbBtNG0H3vQlQKbWkWqVQTal7ztRKEFqSSgalYXVkAUcHPru9GDQBvO3axnSxe
CTmqVecsQHdNYKXg0EA6ykkjWjqNGle/TK74EhKvjVRyeWDIdC5hbx1WoXJ59DaOwC2Vky9frHr7
Fm+QzPnzW0eJ1WItA5Q4feW+Ld4es2XhHsde1ZZjs/WJGal7jKviG0l0CZIRpfY0RMc5KMdQuhpx
3z/bhZffDdJH92x9Z3uo1V0ESlPoxSGIs+INDxIO5AQxl4wvelTkt3OIGj6hpCmkU+0aDq1F6wuG
7h27r57IR6wgrtETQs5MfCtbwVSz7t8c536XMgUiTi0uaDI2b0XcY+vGCjScRoJWdENKOVROvcb/
TNIhOapgMiqRwkhnTehtD1FP85jiPdfQM6LTFFsf/2FWWloF0Jetyi5H2qCXuyIN8SWn6djqx4Vu
6ukW3C6DcU869YQ5VdldR/fl5LzSUSwwd+5+8iFT5TJs9EZGpeMfaL9O7fTRKLbSYBfpIKFvaHtP
+ShH5aOs8YPMQ+koDV2UjrYL5c4h8XysfLCbCbZQQBFtRq91Xk29D58NCzgOQsIv6f1iDtbBKzr9
SamsEcXyRZNrJ6WrmhQMCGBe2+ld4sr4Ma29UxGbQFwS6cgQF05A08SeaC0hnZhiKqpsU2RhfQBT
lmv9GdjVpkG3EhpKBZmDuMzm+KrpvndSKhqhyaGWHkU69ju/AF230uWWYHkQ8aTDH3V+yUDXrZIo
X6V7Z65OB9jPXNXYMH/mrtFfFcGDInRQOiA8/uVZc3JQKhoNHDXpG8UVIeWsagAhC3w4kN8VYHk8
ZKB+RJVO9kkxxNGImOUk+xzJKyq5Bckc0c+RexWDg3cKkk8yjnSKnK4fbgYDkeSMu9oXq89QKp9M
zi4JBg19zULZVIBLtLrpKnWRidIGezJedGFMHXSibiiOTw0+fqGM0Lz+QrH57Nx6EYtmNfg9Yu04
R9uj8ZiOIij25zCQLjuXLvNubaWZ1whEm1ca0YWLLVPSgZpcnBg24EIVfsqgnMmPDL/UFR3oJcep
Oal5VMA/6yin+/MqzCKdQUseYHvRm9ilchyGguqSXWIfJV4NjoW3JJKh5WDHQosBzCSzegSzMckU
bYyGa29pCC57uNKQ7AtXyjwz656ZfOiSihV4dXsMEmM+41hATy7gpwDruYlT2a6djFtsxbzboAba
uHHUI5Y71lj/skC5cpQWEPQYt3AaKgdQIj72GOr0Ii2L8EFkmixnuLraX1YNgqBnUqWcJyc95W8k
sTYb0+cx69r9xDoTjcNdU6IRQSygi01cbQu7h1ysbREAUNp/1UMQHkkXtBVKyKboo+KACASNhCSC
eH+4ck1KbwfGTYaNdgTShTxMQT9Bo4FYJXwUW1zlkLTooQDXxK9dKZMHehQwQjDJYPH+qshxnV3N
TuZFpFqhSF5E7rQdvBSE6uilkIjrhMjeBqi/q3Kj3qXCos1aAkji1ql3Q45f7pB7qQZ0NtgpkmL4
nOIEnJTkJJVGhlYhgn9X4QQEn1UOqqjYHOg4CUTixRLIbk/9F6A1N0fX9AQIWDC4+yxE8aunTRrb
eoM5X/URhGY33wy0KyevUePXEf2tJ6NvQGNLlq4Hz8mHAo0R+zBARSEI3CfQkAZJfayK9kvqAHMZ
2+BedZw0MwWULuqxZS00ausTNGTcpQTsWZvcBBictKoQmWKyUDBh5x5qvEIWXsefL0ZQRGud8tOG
7E+vHtmeola+Suwi455Y6dQ8Skd+fT4VxeY9s+7EfyaGyfbkp8Le8yXde37vhakXlKGgBaQV4kU/
ZlPplR+KOQ5lnfknToB9zAceny+g+lxxMQl7j2Q+seLkZflFOpIuIjg/JuD8VKCMofBfBtpaVPpb
aV7NS4kopR9oxmEoXKtznv2bXRbRDt1d3lYhdi8AvQnVeyjav/kQ8jdZVZzyUwZJ/Js6FuiaxEX5
rGdRMWWdJqA2RVdTaNfWxZ811MzTpWegaKIhKZXZ6zzrokQaKZ3738ap1Cq/SqN0RXJIuYECfrEq
Ne0qXIlrF3fe4hCrPWPHDqdCuLPOrhlIU4uNH2UZOKfeJm42F2nNUgvHR2jIvNYF6vAPNFzIZKe4
XpuQouk+ULTyAwMS9CSTn8pIIhloDeuQxQKYLbMuVCrYmg0Qc7Qo/qzswLhg91a/NI8R6Vaibepm
tiFHoAHfQ1TcL9PIuHXGoH+OB4Dn/3MqGbvyWYm0zF/Orl4ELTXD48/9RfRzHgAJsUOx8r+KBEUb
A3obUVk3T/yCQzN+kbImGnkCC12K/0kmJ7qomBp/B1GbyQSUlfKTFzPT6j6fHJJW2cld6dY+/0lW
4T8WoV4aZaXLr9dE5sUafxnz3+RRixn6K1peAe1sZt5u9TxB4ns69YihXMqh/OTnfXZUKhUqn0TW
skoTVfkiWOll3K9lyviYeT3LeyshnS3ICdVqHrNblXuzckBW7t2o8P5MUardbsw2+dKiY/iQ+TPu
zAIUY+kBc8+uX8fAdhU6GtLFAaYf365Nuq/F4DAN4boISFkUX8l1NLIN6j68s0fhXoqb+xowoJuk
yuwLXaLHqJ60BHvF+iC4uKo/8iqN0Uz3MHfxrLt7Jr7N5RAINPaFZEoE/jhLO5GSZGUhncyuYmie
OC/+4A7DPODxmS/Z7zyw7EvWo059DxhRdNYJeeZ+nm9CA50fW6UlE12agsFCw5WZRC1uRbjVuMc2
yM6WSKmCgfxf3oNJOZG3Siajq0jzzqX2tRRn2Hicvl/wgDDe/Hn8GASDf8RdXdptyOqLE2WyKnGy
rWlXhOCTUQnezSdiszFKL+nc7GXSVT5KoGLFCtqxACjrY2XkkTpTeWrL7MUVt66+uNjMmAGJloF/
1CpBeUNiWHXztaebVhqSp4mHLjzbtf7OmHMfd7YivPP1vvigz3l7bstob1XOxLYgRi02bd1Xex89
ONdojCOQUztBCJBV0I+Bh9kY+RYbtOG1LErcpNGQ6dhosIbwuycMpJLu0mfh6dUpslBacpu5t8+6
3OXfkimNnkqtRcOXM6Cge3bsJ5ZP5itd0FPnbpIhM45RZvrYQU2BSpfr1bitKaQLguoWevMt6r17
CMU9UlVZk52BrJSc5gF0dkYEajp91KctiQ1j+rMb1vqztHL8bWleesWx8l1FxtziztHlgC0mNxVA
8axMwCfYRbGcglwoAWBLvEue6BcVRQEkllHWbaNMH/dKR4k9rRue9dfV0siEJyL8NT1Wv1qHgdV7
s5ai5w6r11swBWyS2gEUNnp5jQC0SmBExfk1KHwGcSFR6VgO8ve25+WWdKB76gawvMHR4QWGmVHO
G9Nh7n5hp6FPrj5vrqwHYTXp1EVNOBZWfnO6D2QjtcxMQ1LyJIlOaa0vlipdVIhaJq2tShOAfpms
1/Y+oMh2HbN4dGiDOr16IT7JBLgQaCyGWBZoL9/Q0Mo0o0Cdo89PReTsyYcuvavZ0WEVSBaAQSGE
hjVqM/0TJeqtvtuELsPj/BDMznbhqnfpBM5isQaZlWzSzTbsi2tY36wE0D4J6AdvgdHavaDw9m90
wcOrf5uH0t57Ot520jGhI8PKLyjH8pwYI97+/yPtyprbxpntL2IVF3B7lahdlu3YWV9Yk0yGO8Gd
IH/9PWgqhqJx6puq+4ICegMsawGB7nNgofzZVLBhpdzm9tLFab5YKLM7r8K0P4bghdurWf61ut4p
17R45UvWFaBMrn+GYw72ZgJAz81fpeYEtzA7akYSjBIG8orNyADvF+H3ZEVCalCqPi3YkO8N72SE
80iyyubXUKJj1h7383t6AFJPQdRTj1mFyL71Y2vs3jNTMmlmFfmt2V1IGsZxskRTT280lRr+bqbH
7GcvgGhddjk/qaYGRwbYFd6EjdP8GmdDjyx+nPRf9QOQcjZ2lNWrRYgfYFA2KvulGztOtZlqB7V8
78BvqpeTo/xswzsUMv7RjhT9W5Q/2lGoysxuQ6mJlNsfZWoOtSr1tgjboQiA3iNAfNuZ+alM43xb
FrGxHiRRj2qACBIk9uA8JETtYxoO6hjAZbDY9Ym4Gku7xgecD7mSnElbijnJKu3fY3oeQMucAr+y
h6mskd3xhsiOnQsH3tsvWHbbFdhFoyLjHqqd7G7A1u/8aPgu8DtpONePKIRYJ2O46QwH+HrGoNcX
ORRuH2JBfOPbSXQ24lE7sQ612q1rhs2KuiQMTWMn+ACa7rnSUOMiDf/VJfPMKIwjEiwXZ3xnaade
BbuJu7hPXattizL7uhjRMoAKjMnvVrSYW5nIgw7XN8gulyu8safZaT61bFIjVxObkRbH8KS4WfYS
436N8m8d5N9K5jcr/pe56AfjaOJvnRwgXBa8Gk+6N6AMh4Ag5yGBirrshsrNd4Ecl3n7Rb3YEwSl
6YOZfcGVrH8ZKUq4mxA3PhRd65m5nnXDAJo06nldKiK+q/sljSoD1iKAK48o0gjIbnFRNtRbCn+V
kOqC9bHNdqkzffwf8eVC/miiYb3jwPyD9nvF9M0yyJdmXIqSaRm+XHXKonkpmSabqAFkq+G71srj
rj8/0dkKm40YR+dFnW/tOvtOxyoiy2vvH0Mffvpx4mz6OopOoC3VjrkdyvsM2a1aCxchsjcbhmR1
d4CtpGxIDWYQrVzhZ11eitzpSum/qMiWxkt8ZyirXYJLPnwLGXlmPAA0QzwtJPV+POJQrWz3g5SR
Ime833VTrK3IhGTIznMfPWexuhFLd7OM9VWasBYH2p0HeEGRDadeNqIFNSH13pM5tQZrsjET/QTC
kGS/RLjR9BkrjyVKNUTSgdhKNszAHT81JHOcctzmdf9TydvBvDUjhZIJu89RoJbET5MPnoklEslU
+GyOi3alIjZDP25R6/iTwnR6MiAAA8IaFZ7cURlgx/nNRd7vjuSxUUmmjN8pD4ZE+zaN4mpCStWU
0paGkfC+2TLSnbuypSlmzV7MeCnEvnG7x5tXcOnSf6HxAd22Vv8VsBKa64HHYt2Z3fXfxdsR58hk
s3gC4xgVKbj/ikbRHLsm/0CVikttZOryRXZTKhkOsCuq9AOTwFOqtpHkA/xVCaXWjgY4YoS+NpGH
uu47gK/bScY+J52DlIRi/BgxXzw2Zvx3NpvWZ0BsezsnK3CDKIfvOeFzZ3lC14pNpBUvUfhUzE37
sNz22NMyWu56MDL0uH1YRrC8Gf2yfM/vX5bv+C0xret8TtvmQDME12jTgwkeZfHpkdeZ8UHzNPOi
hd5eQ8XqB2pcQMzjrwMWtpJNGgs6q/MeScRGVhwABAn0MOlFgbLUucZdZG1tobDfRWJI3Z1irW/3
KJMSD/1Qp9Oqc8ML0MYqbAkgy8HZsDTj23D4ZaFEyiyWJVAAYV1iKDnZqpBvFjfyMcT05CFnKCKf
L2tQ0ywrrK3okVaoolNPhZLRjcFvtmMHshTC6vWdrD7XdfhIoyH0m2cSOb3zyN7gfnFTi8TZ1nsk
g05akUg6RoQR3EuLtzgoBEPaTAiwL85HvQl6UR1LYH0cRJhoZxeZvcMKTFLh2ZlCdIcQ6ZCpCXaU
rh3C840RdUmoz4O7dkScBTTUkFmA1CRpvsTwxy7bGgYoBJbw5LnMXptTcnArPCjLKY24rLUtdWsb
99Dgf6HBzXoo7HWVWLlbA2eJ1KRQa/Jo9d3b6m/+MB0IiBud9RwzRTjqQT4ZnlnZHqcIyKp26uJR
4zYwIPEDmVuJe2mlFZmShWM5pyRrs5MSUa8RyMHP9SxaAilt4SRsbQKpdqNk1CvdxtlUsdOvKbDS
+mYz7OdQi/HnY261MKtoUKTZIcVarpWUtLrFAkRQcr3KvOeNv3VxDLUpXDyiGZXoVmnL43PIRHym
nvfWqwH43a7UmGzACLsvYtQ6WG0OLcmUiYqlZDSTJWfK+NymgZrK8gH1L4aRtf5Dk1vV2Wi1b93k
ii9G0fVbpuF616lAYSvC9tlto+yDHaX6E6oev4Fay3ixjDF/bE+CGKaz2e823LanjU1s9t7kfWhP
xExPgvf08QOpaisBY7j0d4bkkk/gGYhXYQZMZdZ03d6fKnA1yVIUKjFRRSpa23NnTePRtn+Vqih9
wh3D2d9Vu1RG3u0LFxfXvxe7ZGIG2rZb5FbgtNWAGhwgKb8602wcI2RcigYfICRAkqDxIwdvFJvV
e5DsbaPUSZ3Hf5le3W48qOunvCE3GpWgRnnHV7PGyjuRxSxKT+xvokw9MPo4MLPqGGdRVfggKceB
opFqPg61MI6SOVvV+dDuSKYU1BuarAIlJPJjyJhkYC3zUZJaA/JHq/1gqHtx0m3wZt7Y1DF4lCNc
KQYTaVRsP+0Bfw6yFSWinoqvVkQzKQV+ZOd1PpR1QDCauqOzU/LPDcTn0iXlggG6CAzRMJxwLVic
i2hRR4qtkJwIp/M3ayVWWJ93soSCkFf0D+lUQ5yINFyslgnHGgzoHd/lXTGb4HIu9As4tfRdJXmv
WuzDwDtMLR/mAoAPqbWLWle/2LMnzBWewzU82uCjQ0PDH/ULqdseSR6RyPqgNuLG2Y0ghjcAlnym
GciEjGkuHiMPX8nIhLQD8lWiECmrlT/viEkL185iYefifW09CO+i111lruZcFoBmbTRsYxykIJ11
KJyAXLRpKLH/NmegtEtTEtYWeAysb8O094bIP8W55d00JONO56GO1pvB8/y7WjRWhJ8zp9yKwprw
vEtGhVf9MiX/RVfgh3NjZglIb34P8t68WvbbMibUCZ2wxPtFZDTTvZTi09K6FLDb+PeplC/qvZs3
dpMnpszJ8t1cMrLxnSFcM7sDx41ME7tPKruZJwYJ8zoVw+CDSjzti3UJUNwTNUU1AJeDuu3I3VNU
AIBXG1EJVcuhq3vtVT07wl18yPpuSM6mHiHTpzePZLH4UhjSkvA93zLR9W02RN+VBTncr+C9ULRe
bEmTjXJWS5taoKGiNCh5rNzK2/ViBvPW207rj7J8sqL1chokItfdhZKxS23ayC+VNrRFWxRC6KuO
MX8TAxNoH2op2ORxNksNk8ewavhfZbbAxltGuvO/G/6HcO1Y3Kzpzr97W6daYjyXz5U1DIATSpAI
1oGB99QjMegU98DCc/Uet6qkIeFNlyypsUf9l+eiz4rsGMd2tye1S+oyr3AZR4JGzkG9RXgzU1iM
9apH+fWJ5Rnf6alpO9+MpskOzJinoLDmMejkxgqQutjZyaYbfW8b9UBLpiEpyMR1QvtgieHjnUPb
cmTiR4DaHQy4y2jUkDvq69aWAHGDElHP0upPiZVYhzv7MUUVLl5WZ3vnAGKX2/WSdpnwbb3Kgxb9
tt6oCcdgBvNcEOmFiYQ3VlRgxkANNJHbEmstkeG2vvnat8lwJHkhUMM8ezY/u2Z2ING7/sq4MfXX
NG2u/hR3atOK/HXfQX4xxbyZnzNebJRbk+erEDVyq9hFIQ3zU/9I7OW1Z4Qry2n9I/GDk9aWQ+Iv
T6XxnVYN3/P1LMM/FpPTrExkxZ9Y3+mbMZmMTTxN+kvvJt4lTPkZ/Bv6C4m6uf8Jrs38rAkYtDj8
3uVRmwVkAfyrEBmLQOST3iTqwYu1mnFKcCCHZCz1g+Y63o3JiPrxlpnRB/Ky4iwNul4bdzTMRZGe
pyj5h0bUlKBXZ1kSXmj035ZsZVp2BpTO7ZJDy7eDFA/L61rCd1kSo8uWjVXhzsiJs3yrFNQj7SKT
JsMgDwAHHc+7NR/hTF3y5lHdrAHVdrFkogAYyG3geFU4Wq69PY1Insq8CBqCggacfPddGpMRmVu8
+GX0/3S3eR2Yw+QBzv6dFdC02Lxe15YIPWhqs3ZEu8psP93bmeFu+6lsDlbeTh9wPMZXVjQVP1pt
voA7xvpEFh3ePdsREFkKl5w7frnRfJR/KBmhe9ZvCoXzSaCdwBUoAd2UAaKdpSB+6iw9yFCw15aa
/bfDcFQ6+4P70rVdvpOX5AfLA/AtUtfmtQeq8+92Ea4Mo3f+BpwktmbTCGifEXfYXu5Gp6qcohP1
RAa+VTV0pFaZuM6IRxs1Rmm5duj8v+/M/hjJ9EO8RKR+z4VkY4UbzSFF0btpzpPYg9wZjzraqDsb
T4uNo/yWN9eVlNKYer2GZ/avSuhx3h88H6BEAD5HMchdDICfDvUruTP5VFVOtYcNSYIK5wgZfbzs
H9LK7x5QufNaWcm4t0pxFZGcLGpp1ni9h5u5Qt8oL1KoYTNXbsAL3q/vFGoYRSisdzPxk6IXhsnA
RiwXQFGQ+eIeR8PdKBH1lD8NGQ6Op3BKzn80s2P7Fceg454s6G+qWW8JoAPgT6nkn9JprX4zD01B
1uDqXdXl0Jxt3SvXDZ5zNmYs7AcmG80vrs0MRomHUGziEFVtJCYDMqXhiCoGPJvP7uqP7mCaeO1s
197f+VMkUD5MB6MA35ack6ajnhoa4PteTwYSaIa2yuf7eX4tjlytLLLPoC49CvlYNOVa8WQUdbk0
sd1f7IYjTV2KSFkhi2uHg34wnZXG1eyxxS+Z36xTYw5Q4TszPF7hAAZsFfljw8Z1g9MKIIpmBluR
TITNX+aU5gfwt13NLNkrKxRjDMwNN6QgGTl0TBibKo+ntQpMikkW1Ht9/5NG1JDXaBvGuUMpjopB
SnKPJDZlCSJJZU/zof7ir8EZzMDHudlaNPO8NoxUT9aArQaLmVUC2UNY+jNPU+MZdB/gX2gmf0sy
akDYLVa8aJLDjSyKPueaBSpJCtVnyM8zWXOhIGRm7QqXjc961OqIWs4XnFIuEy2iJMUF1zx8JI9F
5IBRIsTnHU9pWI8rm9ZOkx2t+UbmReXNusm38XAlpta9yOS6a7nuxizwHZtGwLqOXTasa5k0pxrf
Qj6rLX/H7mRqaImRIztV2ixdUoH/GmR4jrunEYXRKQvv3vDGh0y5XMBiqlyppxqyoeFiSOGVWg1p
srelKDnZ3sw8U87enZ6GN4u+U9+4Uzia68bnzpxsnKjDHhT7ADK+WXwyxvio4HtihQMy49RHuOcp
QdmFp3f9hEMNHdwykI8lnsi2JNRY42lrpU/4q6UjtZKMlfjGbOlSHDLyOv811Jx0N/nhjIcUOQs5
Gn2LMXUrFBfih5dUEYB9yyqpA2VJvZspmFwuOYKNDDFoHA91u+kcs1ndCG8DSyflSTHpBcAd7eFm
bffzIPEer4BytNwXE9RqyytAfyZLRldbU7eNSu3QT8Y6pzsKbJ5xIDt2w3a5dyiMEXWhb8ISbFBj
QCq6DWE90m3zTL+akyIh1LnFRjqmv6vpooSjpmRV23a5i0ZgmyOV3guKoqzWNNQllx0wc/IHGlLP
ksM8yj4hpS/fG242d4HSDrb8WcQRIdlSk/Fy6pZxX8U+skcASE5RVGSaKDEA2mKHBf4GT7f2fTR9
qTuvvOClRt2U7FHzprRlGZQrG5JTr406a5/3+hclV+7kiRKoRckmHhtALDVtYJkU2cq0QrMEvZLu
H4GQjIcW2WtCVH7PbNYDpXAllIUyWfxoXIdhY6+pC5pJRPtPpu9NRLLJcPkeP157BT6LGsKpB+0K
wGgJh5aXTbUv9OJZiQh2lhqFQkvDQtq6c/Y/bGfk+P1KGXLD5qQOn6g3oTh5k7Y47LtTUC3jREWQ
dFR1Uw+5dElqAy/pWlBJ/jcqFY+OtkqeFhs2TrfllxSC7Pwy/Znyka8znNN8jbYFiuy/hLHZH83K
qcH0ByloJsbVoHvdJbac4cXK5zPJHStKdh5OX7Y0nP3+IZ9Z9dJE6XwZ3QwpSNJ9Gjq8b62kBlDe
HH/1A5rDaLrbOSpbG1dljAq6YrC2EZubMzU9UOu6FXV9IuOmburV6zYGvyaN8spvAP/7Zkhj0lCj
682NcSmNSX4NjVSHTa0P5oqHzNqD1RiHpZK82Arza0OKKjWjVSTJiyfimlDWILsBARSZk7CUlom0
JJkZ6fp5Mh1AFgDvRZvXdRyzi4GjOFTzVsWzCSzIBw2VqOvQC6dvs1SgZP4hZv26kIslzvGhjudD
zfOdEvE3pZKR7eLgi/mAhOQdmRXO1HcrZTfQq0Wqt8jkpkyqOPu7tJl7YhUH8XiTDECHy4B/WeBy
C+fIxY80aEWS/iD9YGThNtY7c4u6IXdlaWO+bT2AAK0UxPyicf18m0ioemoWG9KYHQilSHiHT996
AjtqqV2syYbCkp8uNWqWf0dErnEpkK7jDXnxGMqmKhNvV4CEakVDUmiOgz1twrQjij3ONFIOIN81
L8mw0ZAk/kg6asg79mW6i+WelIh64GWKVkiNn/d3DlMt2nWd2/5GedBUfZcBitQekQIvF7M0cka1
3juP39e7KA2z23kiAWyaxHsP4zlf49my3zQS0p1w2S2iLU18cC7HCV+A4M0GV0RLd/D6qwveJYBW
UVju5JLCZbEmyPe7WRYXEpIfufC8DGbctqx1CzlNzpM+Jh4AAfAhV286QW9JNa5KEwBJgEsFH+Uv
Q+EU7fXzoKxJbYISLHBnMS6fmftgZOOWbbizZ/2Jt1F9Au9ZfaIeNVoPMNJ4QEPDwYnkEdfbWNlE
s9WChHZk6ztnQS4UhzTkXJnxuDPi/pVyaHCDWG5BtIGvW4kUTiDhlESjFCQjLSl6vyy3mvSIBwHe
Q9TO7KLYAEcA7ld/DP0HL4mcv0scXqxavXY/dGbFdrizLpBl6ZtPZGpYevfDTD5MzTMSFxdeWWyO
tFXjpfxJs6rkpEcJWH7Gsv+K4tQNHntBmKqhVgKV6+elgMJN8d4UOQfGr263w6apxYit5FScFyF1
AdDrgs1MSqnJ4iRatY4Yt67eIrHFyHKk5lP3xj5zuv7UthccAxTnXjakpKEp3IodUqcYNpWckYSk
XqatsA/ZoFwAIGiZZEyvy2lrdUCX4CEo06khBfVazTMAtLGYksQggnSyiCfkIRduGG5JMwvf1QND
66Zt7VfXeCqUo2fpqqgzcA15nyrdFh+IQlCP3XFtDuG4MAoCVaU8oorKXGlcYwsDIewzuxMfQjbF
53rKvgMsLgFwAdjr/NkWT0sTu/wxEj9oENnZtIg1UdarMCydvTLV8jLZ5XV7625UDOR0Xoh5kWiy
E5bwnkdhpGDwEvx7nVmBMHj4s+fJqzkO4WfQm4sA9xviknqtdvDfnLROAJKxjKrvIjeDpGPhTyOJ
wIXjh59N6dQD3v7SNoZ24DNuzYAh6z1PcqbSTPj3KmVqpkoPsy1KHzOk3iCnsLAct1pRvtqSzkZS
yldLOLB+vWZsNyrd8Mbm2h2baGezMNz7pszLZUwCK/nuxe+naxNN1gS61ZWSpLU1IMuTtenanXGw
qzQ5rv9RUT/rB0/MryQnEfUobmj4T0mNjK9Q81B1XSaIxPze2fBsrNd3xsvU3Ypsyd3Wds7Eqnuk
YUL3JdBeQvddIH7/IyKxwgPGpXWC+gNjp0TvQgT/Mfy7y/gT4PH/QCSuKlcAGMhnmyp08TAIOtmd
7oKXpqENAT5o/IJKvKsmq0LALJCeNMC8aBcfGhakrkDge1HRbgKJyph2c9+gILJaa/iKkRMRC47a
Esx6CLDXNCy29wpp7NiOs5qRc79sPm4C9K0RlLzEka18kLl/sLl5Srnp3lvdPbpQpCwEwEhTznsa
qSeiG1+jyPAIRKpFmo8R6DYL/esQJzNQjUzbOzJ7vDbtnPjLkBTDm1aQtR/6gFTOAJ6uXO4N31xU
LDJWwyUWxV66d3oaqrDJFH7W/C7eGk63pefIuyfNPkc+S2u0W/VoqR43jcrqTtKTHkoNwuIgO4CH
3iju4iaR3eAmwQIMcBMFXm7Mf+ltse/E7H+yJ1bsx6JPd0lVal+AxbAmgyiebRCAF9XJaL3qQ9e5
/8QzaINHpvX4FmqmJ9OdzTNFJMVslXuzKvxPXh6VS8SBtyc3y9rnFFvSlZX604mu8izgcq3quphP
dJWntHSV51X6VWvPnflRaecmrF7GpmssfWUauIdo465x15YW56daYxkgJYZs6VXlOCTbCgm3u2jK
n5WWjPUcxwtbJaQeaZC017prMZvbdAYeGrBKrIew1a2HWlLV1lb7LGo3O9zJaUgO0VTueT9r02qR
vfknVaUHvHTYWiliqUXpKKxz1j8XfM4OJGtA5jgDTWNVOpV4YHgIfMjfeknVsD1j/IXk1CTYj+6v
Z9J1y7+jhN99WCiQK/ega4AzvcejZSMI3QfPQe2KBNZd+JPDCTS+bbkg7C5wtASWS8Z1gkKXxY6C
wVhzk/JhsQNm4RgMHKe9duQCm9PzPmpOGR6RLtYFwpy0r9YcfkXGTvjcxF50aVvHx8cV8jjOwAQF
iAWwoibjs6bnP7Ip074Cg05eTuMNCM7J7mOfdfvIjaJvehjH2zG3kVJjMvNr9hdFMaq22mstCO7J
GRSa23IYvI89G8MjeKvagJwBP/KVy0V0b4tIPBcoRWXdHJGWhK1+Gf90LfuLngvxlZmmv5o7Nr1y
zTGC1BD5U14zbav5fn22y9o91IUH0Mo0wvV/b9XbqQn5c2XWeDbEe/vjKDjQiXnsfxtq+9nWq+mf
KUUGrR07yObEfFNnxT+dyvqCewbxFfh51/lqOV/h4W1qNBXqeEakYmlxj4pFuUWmTTDtiUkRjvyq
UDnpSqH20+T7x1BxDXAgmkNlsN/NoeZVoWhymrfPan09gIlnw0EBugHIkrlP+mT6Ytj2rnHD6rUS
pnGJUiZv6fzpC5mJerqazTBD8vbVzGjA9kDuFJLMhnycvoQDW6LFyMXQRe7uulQbthnS4l6iAcWy
DrZCf2vdI+3mgKD+T9ZV3sciDbtNmLbhuan95lSgmGQLrjH20oXYQfdVD1Jio/m8HNxJysdT7hfL
9+wia2LbQbErKEXzsnvMkA71Dd95fWD5fnkqUl6+RtnwiAr96RvuTvpg0gq+yKU9yXUkjQZJ0har
tMFNboG6mUMFXC0UZDaoOEXjxEm79JSsRIr/VVvZrnIg2xr3kd3Kk253voMVgyDE9TdKrsy6mIH+
Vf8LBys1ztvBcNfKhobY2eMpT41JaOkWUAbwu7QmhUXsvk1qXX3Ihpo/yrDhEUc9+4K3WL2PfB0H
WHpcPoX4eD9RD4mYL1HRgaYDfF2LKOqKW1ulwCHSCxDJvGM6VZLK9feYKnCS4ouyt9y91uB+OBQO
fjDyQc9O4+BnJ+p5fZPhZ8rpki2N80jMfFUVwMAcnGBRkLUzZLWL8io49lo4gfOANYd6rv199UaU
TQzXSJVDeVpfso2iwiaFsjMY7l1Xy9hx0kNkxwcyIQ+S03AmOxIqtW5H7crnMVsYunsgZR1sq9o6
5gjwydoS+7zyugPySeIrZ9yiiaaabTTD7FfLmOjkFisikevSefFc1AVg5Y9d7WxD+QQWDoV3sH37
72UkRUU4TE/Mc4Oic/wHJa+ama2LThTbWD6kKfexsP7GD/X0NOBkYl2VWXnUEnM/ZFrxJUxYui3x
O3mMkez77Jf4QHbA2fzRD9aNBUqtqyP3jfLGQsYw8cO1xCCLnCPJaQ4z99SFVRDiCf0Z97HGKx6H
05XXCnygJm68RgbDGUwW+jsaglm93xWxh22h1IZmaJ18zarBERGbr+OQZs/YA21rPTP69eTWS2Cy
La0kAyxI2Jz1qWgfObf2RMdHr3GUBkPhp+cbwr6la1ZpEuAbAJWwkviP/gs3/zYap2B804vs7I++
1q1EjocxkAhtCS9LgWgp+Kw7Wa+ZQBIIgTedmyhII7ulS2had34LVhev3GMX6gJlRjz1HibTGnDp
YmBHAlzIeldMMcpb3hp7AskiKOYlZrk1+oGXAU/e/bYMyIxcRWHWO2OaxVr3o/TogWz8yagvSHNq
8cs4NM9mDk4u5oweEoz18sQsnJUnyAYGHqZuPPNhCJLGHl6F2w6v2AQdmcO8RxrZaZSseRe6BxoK
5jRblvXthhxSgS9ovwLMJmkpWif6oGfdnht2+7kKrSRItFh/0C27k5TwODUb0uRHtK3lO7D1vSQA
q3IMEBU96g+4muzX9zzGuKDM9w2zz4pVmJiGM7tBsSoJzbHkcUBd7hnNTrPLjyUSaol010y79kXz
S1krZn6kUVKUi45N3ifO/E847vZ3Xo+tAW2c87m5DmlbrYak5dI4lMa0rb7zJW2cZUE5WGZqr1nY
aTvRR/yhbWr+QD01NEHxHqRI1FnfKfrfjfNw0zQmOysr6hk47DmUgLmk+0JR1P7KSGbk28mSrKUm
arlP5HiAWFSLlK4fyYkapValUqjTXwMA0DnZxMPepft6Rtlb2jNr2DlJiIOObmy2tQQJjPHC6EEy
xMWOR8hXR86IOQB2oNQekmbvg77hgexaFCjs3cz9h0rQ9RY70bRBmZAqQS9nU7sw7VtEBe1UlT7y
rgiAQ9dvFuEvE1KSJ0XDRqYIwCTebypiIQd5ZLM38FwG2KkevFoR6FO16BlgPd7TWD+AoqY5WajB
e9WL8mmM+PTNibxGUtc0Jy+Kk9c0r+7lb/Z2mYxbPllGUPl2+qE3/Zd+iJszjdLIBbu8wdc0oibJ
rfjgRDiaAzZk9oFkke6X+EyP/Va34xFQ8L8FmTsjDZBWZm2ayH/IkEd9VLc8dDMUFu5Dmg+4QXi7
O6KrpLmzb+Sek/1kuubmFxRNuh/cvjv4LJu/NGHR7Xs2iY0ti4FYg+3zlLfJo1+k7osGMmrOCvsR
e8SXBQ2zQZVCbZf2KbWK2gosPuWbejB24H5kH3gLIKOi5ACx1puNWXYGypWt+IVJJdABytZ3r4AC
BfBBdkUb7lWVEOtQLKdbs7ujyqK5RWp4riGdQdYcTdFXJnIn/1VCVOUgtJL3XfQicOZ6D7UGGJ63
KzCSD37uk/zuxRm46e9GMHLjWbfPbOOUMD1+ERMquPJurgIaGixKXuIhDow4HJ80/Pq/8DH/kiAJ
GAQgucUuGsp4L7Zf/NOnfrunkZIXg0hAAhV91Y2WXUzZhFM84rjYLT5xt/+UaSMu8Cd8rcdttOKe
9bGxMvcLvilmpOol07OpceQDAWn6BHz38eTHpbZt4PlsONxYtxO3vpSi/STiuJZxhkY4X0PKtjFq
5PwYdbytkLmENDNc7alGCGQ/A0kLapzOXNXevLJ7wc5IHgL/TD+j6jjF98pDAVqHVdkUHFVt0Cwy
2ZuN1F2HfmsvGZcm6vyPdpo+UZolJWG6g2ac8ZN1zvTsY5M37nfZYUBGog5vq+6AL+9xTZjfKUue
G9zonRVljxTxuM3OCkE8YtFi9btI90Fj4LEYicaNnx/crB33iRHPO63mzUezbz52oD/+UWnpTyNj
zsti4Aw6kFvj76NupTvDb36E06yfXYuBZdYtff3svzWkebMjeWuYenBlfa/BVYov1pQ9WbIpjekn
m+MQOwnLeiJ52HMvqJJZC5Rs4jY7+Bb+eXmX4OJDR6Xok7chg9FlkLDOuAnk2aWzEtcTmtnddPIA
bpRnaNRr3hkqE7Jr5Zki9e7clJ07Np/jzqu3/8GWZlSu762C5rmzE36Nu+uh4eBDQlZ019YAiMPb
YktsxkRXTA1pSaZM8D9DVnQjs6KVYTJJiDkZgVzabm4P+McmVHa0n7RqOuiNzR4avxs2ra+Xrynj
5sqy8vi7m5r73o3wCWQ+cg88w/4x6aUEInCtj9iO2QG+Q7SLLCXaG3yaDvmQ2oD4L1GzBKS5C8Av
ij19nTsh9qBJPH9UX/icTdXW5mETzG09ZGt3RHa3b4/lYfmyF7GFa+uEP5GL1ZaZCmCAvhtFWblh
awAAcLojpYLH5TQ+AFT41yd6+TDTOKrcb2afu5dMi4wPIHWi715qKmwkNnbKzE3apMlL16Qt7nf/
4mXupOsCm5WgC7G5WMaTDfQIYWn8aIEOM11XhbaaMid8RKmI9jy5eOm9bj61dh0+p70ZPnuoPd2X
lhWuaEgKHzv5IG9x30xerHHTx2tpvRaVKIr13fyUpubZ4nb72Ir+2nAA12z8AoWXPTfObo2HhcFP
vb/E+NzKzSIebE2suOwvSEQGT7OJtRdxWAa4YAK8lfzAel2OD/BQu0ezt/IDfXRJEXqFcdXS2DXE
KeVWug1L+8UpKkA4m4zzA05jr8NZj5bhcvhP5/5pzv4pxmTsgJj261wBRAhglQy/Gd2AzBE6B7g7
b2iAhA8qCP5FpmQQ/Q5ggMMNktbiA1ikp89S7gNn8IODC8O1DwrOFI+9F0WoUKUct4JOvGVi8FCT
x5uXQnB/VYKd+UDDcphx8mLm2cq2vK5a20nyqo1G/ZC3Xv0yzMze9VFor8mYmtj+Znlj9AHPJQ1+
4DsNL7Yot6TDcZPxyDSxIyWJaD6zy67z6ZN3nY+0RoMrKU/g94IuDwHxkp3/j7Mva44bV7r8K1/c
52EMuIHkxHzzULtKVaXVltovDMt2kwRXcAd//RwkZVFWd/vemRcGkcjMKltFAsg8eRLFLaclbUh3
ky3uRh9kxou8SYxkyxACRQHzz7Rj84t55RQ6jxwfPOL94GwMqhVwc/11UdWnHPui/TtZq3N98/i9
/nw/eug0EOdht7b92j0NeB+sEzHl32T6yVO+9dWasIstk2I8oVRovGSuw9YSmekdyBaNDS2Dy1rY
t84NqFsclB3/sjzSUFUtundOsY+aZ3OSiLyi3ezSToLuSBYoYMCjJvM31FdimQBe+C7u2/hg+kIh
y9256SlTOK52CkTrrky8WVZG+M+mCbqbSJtusT0VaEuCzHHYJwhfyEJcLaVxiO21s2wpvSNZ3PTi
ai6zW3Somq70c+PiFtFTmobjQ2YZalcN6E7Tp6k4G9IHz2JuJJ9RN/2jHofwh2E99o7RfK/0riOT
Uj0IbWONRXGdovHVKrCHT5YxNGeFgO/y1bK4mEXLNyNRxf2roPLDy7/+63/+n//9bfxf0Y/ytsxU
VBb/hePeLf5ybfPf/7IC/q//AopIy6++//e/QEznMc9HAtgLfJO7Lgsw/+3rPWDbUDf/Bwp3PSsb
HHYlDHespocuHi4Ui6cYPt1R6L/s0AsFTTC8zYcJUokZ2seb5o9Fn+4Galbnl5rAWXIgyXUSgeyX
hnlJBWggTBfxkFdyNwRxiLYRoOfygY9bq8ZH0DFTxS3JisjILn4Fan8tQrvxfJaTrm2iy9kH3XqU
a7IkucozD5VCTrby+TVilBPiN/w6k958I37evE293cw6WLHeJG83LGExCDxVv25j1zN3Vu9dg+MH
D4mGjxECzOvczD13bvg6QVgxQsxwlLT4V28mM2qMZoJyQpCsT4Nrjr/TwXfdKt8QPGeGmvVKxugP
0GJJ88YXV7ec7YM4xT7Jb648PQRuXElTpwMakKiwwtwMCi1nBd4/qK6uxK3pBtEdms68s/ZdvO9I
7af1YLG/WFdNmMzWKT67Nl15X7ggi7XRFLASEi1kgc5N9YhEy6VwS/Ocln2xT3oEzwqTvarQxKIX
dxG646UTQgpvKjS76AUTFu7W61GwpFWWiaYLJ7B7+Nl2REwYPUL/+hm1/o4GB4JYf0cybaWEFY0z
ab1+v+ULffgM+n5V2qXvPHz4oOX7LV4kfTUaV0GO6kDQlS9ffHHggG97+X6k38Zes2O6FyGlS0qB
NKxfj/76Q0qGJnRMbgZAzWRDi/Y78qFFuGR6ylzwyzD2j4g58u+5P+xB6iK+uA3aa+TCri5GESE3
Omb5zpxK6xNvza+2lXvfa7QZI9XRtKDaJ39RHSPnawji05suaoY1orfB2WnKFNgzdOdTpgSuGYCq
2yxugzPej+m67Cr1RWABfjdBFsvEKMvgNm7icHb1YYJNwj+1VeetgSdWL5m7sTSoMnEbtF/0UuOM
LYTmUc3qze8U8BYHl43WsizblyjGyGpAvUZEJ9zAA585Din3DMmce7c1xIZXhrOjIU2IZtgOY97e
kIislBuiOl0bfLBaPH2wYthm/H4B8F37wwLALdu1GIKQ6OjKTIvm3y0AyWgDPjCNPc6/4CNDBeq1
B8aqm7TN3IfGGJJtGoXopmSO7kMAwrTTxOQfNIpAxPag9XMXNUokmso62eZav9f6XR7jyPxTnzxy
pv7/9CfUFG6HnPkHKYEHy0rnT4ALHkZsDp8rN/TWTibHWx5yRC+TKTrGFXPOSSnL7QB+w085OJJR
VqTs76OboKWpM5uzoX81N6U53o4DwptNLdqtGYXXNlr72Zu6Lr+IYVCHmaDqb4ayctRhDhTlPFwb
CgHIOK/AwRhYbDUXKFMxM2+BUWgyME50eFjybb6KsPe6mTUaH308O8Tv5mLm2cAsgxuymvxu2res
Gi5oXeSgTsy2v3lJjy2/rmtG722z2LTgtjpZbtDzXafx9jRepklmZqDJ2xn4KXSoHemmddgPxaY0
wCu18ZsE0tnK9+R1NRrjH03eB2sLx/IzqrUF4ApFvemTaXzpwM+pwwudVmBaIc+d8MoUkX9NJzO8
fz0UdnFAaCj2shzf5jPdZHu7yA6Kd5Gad4rx2zRVEpMxQ+9XoCCcLNxkpgBphF5Yoyh+MmLkWErb
GO2nrBbzEM2eNL3L4J2aMH3wuNvc2wrV90x40RUNU6Mw7qS9pgFduibrDm2tknWM0u1s/cGgkD4O
f/7aLfoRVdRxj/L8wj8FTvWFMIkEPSx678hFXt3Yro3nw3eMTVMi0Eka8Th5p6FqvpRj7c4oRa1f
Fkm3qYXfIUMMXhwDRxlE/8D1kxzRq3NYASIJinK/bL60RlieaBYcWMkRP3I0TtXKFD2s8U1IgwiI
yF6l5rCiSVJ702gFArVDn27ov9dInPFKdclrwEwHGt79ufS526kjRRpUtQ0cYruzsTFDECcXh9bq
AZ+phGi2mna8r6pbI5RluArBNbZCjx0b4PgYfScX7VZnkLfgBm5GVt2agrOzNcptZVnhpQyt+qpT
9lOeNkgK6QvJ6U4hg87QwedEo74JXXtVg2FgbRRtvUWJjDFbzNNOV195ofs065HszUvR9a9e3HRX
gRlK/z8ylAase7RBnYee6wcXtPG9oklHaxiSv9fgdRFeorS7qh2Ov9mvGiT71UetuaEqq/ru5uit
7HUpDq/hiWIBLLVR35B72SyjIIHXjzaaBLe6N5ryy42ho3WDbW3BKZUdDX24D+joP0+HOhagp/MR
9c1oJPOVefnZbPou3qa5lVzbIjtXbjbic2pjo0TDT4MuwihDIHsHdCnYOzqkTheaEJZwVnHkJ/uJ
yjFiHWxehCXVZFiFwu/XaI+mQAO+TW909YkuAwuf7EbV+4owBSRzBHindsB114g1+k/J6Nb7d3bC
QCelnYKhqQ1nbWxkchBahvEajFpoW56K9SDj4rHTF0+aT7GwQDUQsPyxdXJnY7ABYWO7LR5rM8uP
zMTvkAzarIvvJShqaJIMfjU3EoTHkwjBK2vItqETBYfOH9WzkTq7rBvZY9ix5oIXbou9JeSmVvO1
2qCHTe3ukiAFYYWU69zOhpOTK5D8MEM980Bm294ug0OcpbNH9EBhjxUPXz2SnD6Y1IzcelbZwPax
iZSlSJDoK7rqyTTcCDzA4K5zvKh6srDg7j3gg7c09IC8Re+GyTvS0E+DMzrPW3fko8yjDYmVKxDn
1j6sNx9JWYFc3gA/UlYaCIqjm1/RjuGlK9td6YHUjUQtn/DImYltr80wlwiR/9SjO6ReW7Syz57e
KVfaSyGanSgBxSafNEsXdHmz1yyJUWltAVaXe+2Rfn1C/9DyfJw2Xm0he06/Ppr5Z6G0QZJLOrHt
3o4qK4/0GUFoWHs+oAylsVB8tHr9N9TXJg7Pl3lEirGI+KqyUF1D33meASrd2rcOgi+kQ99/9sPZ
7EFoKvoacU4QmLooxYm8OL0CLv6xr/ryEhppeZknAtFX6x5FqYjgIHahL6rTVBAoX12HXVWCmeBN
lsPLSdrspw5NkeGbNo2sRl7XPoArwdZWWTU/vPTfRw/rq5QEI/0vBtuwHKqbKEFbhRU95XxTDMlZ
JIn7KQJieFO3PELR5JAqNDptUCAls9E++GbSnZFj3/bMAEIGBKTFrS26HunFuAVKTsNmCrOZdXKN
uAmVld86UTrtXS8EOOWN03VI0d53IWUt/eHaR/He1SKiu5ZamvLgKFr1mfb1zPXyNVONfVapld6h
1CRB/g1nhzqKinXA+nZrBVV9KdBZNHe3dSHRZqktvvKgQW1dkJp3nUqiYwMG851rh/YTihCOsQ6F
TV01rEKUt9+pikVXZYSe7sOqTBBEqoxkAutvWfSXzMKCmk6D+pIyC39pPOw3rWdMNyD8hXlp+5+E
PX5aihpL8EeXgL12eDGDneGEVgN6d+aOWBt3hintvWsEoD8JnVuWxsVnUZoCIdk6vpLKNXCYwMlH
RCL/loYc/9ss/xyV/qtGpbLoQbY4NP2HGvpTQkSBrhvLLbbDhN6pVtRF+9yPgpshsnVvzeg2RfH6
hUR0Qe65PEjRoWpDq9HFduvgxlDqvT1NSNtC4873PrBbMoFy6L0dCPnQ7U8atzEfpisrGpFMNbXM
lTi/aVndKmddFI7aSrtu1Ljx7MZe94GPVo4az+EnXn2nfBeUdJPZHz7IbK/tDzJkIE0nHal1QNZa
bqIeBIlG2X/xTLy9q0TYn/SISflulMZGc2lyy/rkuOM814S9/al0mr+ze5trYzRQSQSqoV2ve2ja
4UUE4LigEVoQRgc/zO01DcFD3T/UalsAznqvBOsf+gbbVBHW1Z7mlKsqpGyMxyAFtGZdx9NL2uT1
qdWGIspenZEueRycLehJ4KxiA2pBeLbnqCK9Trma+arbN+ZqvxHnxKiS00JcDfCsvWEli7cLQ/XU
Z+g8wYdbUlvkb+ZZiCbmQHEPO38c0pUDtPEfw2S93i2yD3coSY2+TApMjmTh182NZTduen49TifI
A2xbjf2gS57KGxuVXldNycpzmArwK9AEjdsux+mhH9GoVVu4IXhAAG0GCHsj6/zGQ1DsaraZ1bUS
Kq/iTY/3he+tWW01WyI9HHAeA3YtyrbEnjhzIBIn4nxLSu9IGE0HoCTSfyckJRW0jzimyc3kxs/o
t8SvO9cS96nnTrfcS1Y0MvokvQcXy3DF8DtFrs5Dhqxq5Yj23CbY+dIU439wMCsvxmgajgJRh+cb
YM/dFcVq2IsVi/G7GtNwVfJ6vAt95PBcsG8eahFG9zVeirNm/GXRLMCWssbiLPeEJFrgRnQ32nLY
GsZPyJGaQheHeA1BmoFIM2yJVGeBbw/D1sEbdkW6xRTbu9/HLSzP/xi3sAPfY6irD0zfDCz+IXDt
+UHsDJVKzqxGE/SeZe19PoQjuMi6YkdDurSlf+CSDZe8G9t7NQ1o/MtA8Kj1f2sUly7I0oy+WSU4
bmzCDFlUwoDSBSfg8OLF3xbJLH5TDfvJ81ekFsTfvKZaCxehTGXFN1HrRY+V73YgrijLfWAX8aPo
QB8TcaXA7Y3ZyQnCB7X29BQJwOI+osSpcY6kDhLEDO8LgX+uVq+TNrjIlp9pRFZGJ85/92k0CRSh
eazK/vXT0KEqfGg35PnDp9XYaFvISTyoOo42rJnCg9lz69MyZHVhvxtab0Ok7AF0Kdj72cUWDZnD
Aylnwl81nYFFXXtf7NWvww+fvdjTV6EP+72tBGy+T/vyUNMCkfbsIRqkex3oJQWhjuZOi9w8dq9T
jR8kecWsWRS0zaao0I6lsTy9SOrO1ENkrRNfOOel4TSqfPMrc/T//NCIGkeDfm2VKIyiidnJm/2i
HDfM244T6zaZDsC5fu2f0kF8EXpEIjwJR6Opyxs/dZ2HtFHRtsncFhCen/qGEX2hEUrozDu7bVYz
sIBABIQsIMBA2JtsnaFwHFtrHVchJaCXgl2PaNm6K+P8xu0qc0UAsSYJsX1KO3UDILJmIkzMVYHq
RdAr45dJE2SR8Oy9RRI66iYsc75VQ4xMcxDh54CWUjINHm0NSmyLd4OfM6QmjQOp/bQZm+SeWQ7o
ptEgalLuYD+ZQpVHmTab+ZCIHWd5mNcUMbFnWl7nNbIJdgZn4Q2NCjQT3dKFhjSBhOiOllhaWAuU
cSOowOLjvF7rO6AdzNW8KGtlsqJPqOP+1R0pJ64B0ECId4eLp1kKEDgaMjSfNQchAfZDN+h2OJE1
hwHHskVutmn/Tp4zYH91QQDpY9FpDp6pyl3YBjifBhPoEQJeXkdxfBpCC+f5X2WR1rCzqrkhOSDK
FekuIgOd0/e/fyub9NZ9n07kHvdMdNMxgfFBapGbv6YT7UpUJg7I9QnMFvbBNsxoXY2yeEBCzNhW
aNWDFrp+efRNy9gnBfNBe9UgoFjZ/DNPq3jVgxLnR4j64BDRLuC7Qn6q0d/oC3nik/XvPJWOVV3J
UQJVHJX83FfNkx2W/WPemf0jODPDtE/mQZxbL53ZpGeacqq+2tTj6Oxp6A9WefDGJkSnERi++aIR
OYQvU0MNPPTzeCy5M/viVuLtezBHHyxePgpdxStL5NXdoHopiwplwUC33bkqUvtW5hE6ZmXDJY0Q
PbFB3vLUI3yhdL2wNqpUI19Emom1YCy4QyDw4uTckS9OL84Ev+0CgbWcT3KueRtBQwaOE//9cJlt
LQQ/aUglcB9smzdXQyyrW4SsHsIwv+vGfHzKxkFuh25qTxIchCerjBJQoufpM3LbF2IDRLjkzgVa
7ynEhnoL4uT2BLyQd+JJZm5shFPVUA97iwjQUpbf2naBILGpTr3NcWQcNWMaqNf4yq7SYU9DUn7T
E7bs9swIk1WmxLg1CsfbWW5rf6KhA9jSjgDPy+yk3zQ+q/uVZyTpiZaG2DHWdlTFDzTq/PDdCC0F
N5WLAJmfMgepYuQUJ44zlxOBFsEM/UvjD8UJ+HO+Gce8+MrM/1hDVD7I0pAF/jsfgk3O6fdPocXd
j3ujwA4sy3HNANVkHtajX59C7Cyz3pBwXNuDd/UOGELgERQtpFvhi27GkjQaUDKjRGh6hpCQkQlC
A5BZa+wIjckSp2BkCRawSZCFyfq1UtDKTBSCvOXk6wZUqAMif4cl9z6CqubIe/VIWfslTd8lNhiz
kxRtCXTWf5wvr7okWnyQ7uL31QC6QCc+0oicJ46P/qxDNW7GUP0pWDqhigr0eJYZtWeWZeMdS4dZ
rpLxVT6Bp+pO65d6dTNb871c61ut8QUUFua296Y/msy2OmsdMbM+R4a6dixRPI68nzbgjswQ1hww
BMXQlUBlMBD7dv5oh9K+awGP51qXDDzGPuUx3leLeSr9DJtx6KssNq5Aj/1qDlyu2vp+n191dQ+m
8861z4OHepmsa65Zg2aSG2vEngRlCi3Ovs4TqfVjgJJQIzVDtbKR/sTWskm3ZEyXd0rC57MzkpGv
RY+8+tJ6IrnJvAaEavXFsWp+GtHCqV/RbeXZ5bZOMzzb9tjJzTwVKYVyj9HjWL6D8Rh3Jj/NMrol
yw/maPzCTySbFY0wPCl0Azg0VaSuVSYFep3qWxsPtkTrxqnfFUX1lWTvJui2BlnzqzqNp75SALB5
oHpo03gAu2p+UZO1D2jt8Vm6Tqam/+4pN111rK8+R5Y7bkwr6W8SGZQHuw6DKw8stCjvsABW71Pr
wcYGbuVMTfM1texj6CJvstKezCLovkfM/3tPE/aNe5XEh4hjJx9w20A+vDS+MFVsJ823Wlbhn4EV
+o95jWKhAts+nBagOtiask7y8Ms0lVt6Gfto+t764lgPlf0prwx1YbX/jNJEpOlTBr6o3n5e5sbA
fZbMtz4ZaAe6aP6NndZEhiu4nargwGuzvvNcZm8E97ttzKPmDlFpdNXQspBbHerUoCLL5r2MVNLK
qfcDAvR4KQbHaMyaH4YTHg1hNj8K5n240VOJ1gFj+IcpUi7j/lPmd8fQsYAVCzNjWsk2Qldnyxvy
b7WL+p8YvKlbsOyWKRIecv37t62nD5rvtzweIo7I5VlBENjY+rgfXrYWcAEmoOr56RUWjYAWKK6o
DsOP8JcvgjzcmQCn+zgNI/AH3CPKSRjWPXr5IeQKpgrvWDs3XPdxCv0YPT/xhltlExo2RVaa7lTV
lKg7wWwT2Ghyhk37BZ24ps9/NcoBKlsP8QgeNt2oJ7TA8TAYAHRWg0LfHi1zGzBCkMxtquaOJiL7
F71O6y0ytEeogaRF5Uyx6R0fJAPe+OQFUX7vBFZ0KeToryKTe3+gNyDIhG3fRyqmlfeDnD6TvMuB
uogRED66TV4+BV21HrqQ/2GC5HyPysBsT0PGJpw73OQpiJk8Jp0Atbh2qz+O5WZ236dxPH8c6dcZ
coz0cXnI3X8TYjDtj8uox7iLlRTQOADjTNP/EGJIe8kdD4iqU1AjBxs46wz13/HaEFZyM2K4gPaD
fxChAHFtiXyI16ShfRC2lSwtOxLgVn71M0h5qPF3vlYpK49G2KU7C/y3zwK4Vy6S4pvNOAJPfiTv
xFhDo2xQvVAXzzxmd1Msm7uhSvqHxIoP9MMJKosdKxNVk0pU9hMIps0NcljpFQ0BQn5nZEbigPS5
sWpU1+5EOIXX2a+XxpywlJOwGaf84LbD+e/0FplkxblBFJx/iY12WBGVmOAgfpPF9EyjD+RjsZ7E
4vv8gTqE1MhywqTpgUgkCe27MRuMld9daJvmT529dnujvmC/bJ9YZY8bKaroZUpnhcZAuirmsr4A
P/V7BR7K6grVmJupFt29U9Ur7PyKx8bu8keO1D0LZH4WqZc/llMUbtISiUEaAoTWA30NjD0Nybz1
61UpLN6sIxTfqNAH0ZEd3HLDcO/KsnygYvRhSjLsbiXbUTG6qJ3nsBThra+1MvH537yw/vKz5gH3
0UNKx1Ud3/mI+OEydvhUTc0RrNVonq3DOR0dDujooOM3YILEWeFt2NLhQA8pnLMoN7XzEjDTB1m0
U2xbxrIdoYICoBTOjZM+EeaHoEEu4lHg9AROX8cpmAhf9WkyDcrqLNrkiUZv+oXj8MvsUKJipvTV
ugxL3pnr2gmTAwHgrMwAVmC0v3zAv9l10ZCctAY3qy6BF+5aJsTaHPzmni5MBA4SIEF8RUO7GYK7
vNlIWbazAij30B7izQi1AQ3C9jDyDKA9ySiJ/eBOAIv/ZlRFQ3toRgPkru5Q/xvIru06HxYcHI6x
0ARoKcFcJ/ADjeh6h9iKDYFdkM/rax6jqQPXfKJg/roXxYAO8Jp6tNcXktNdbff3g+nf9qlnXbFI
9E9h+KS8OHjmpumgY0VkbzKrD56zEJxiDBChS54N3YPvVSeSNz6qbC2GTu1xzLCVCPt7O6iKey8P
+I10x2RF3jrRVtsUf9oDqUXcXYNOQ3zmfTWdSjw+KG/Gh9ahj+aFqMsFFxq+y9g8f/gug9bqKtSy
03dRYL+99F0BrvpVbxnmNhzdux5xutMSppsm784ZpQEsUXpde7l5kbaLXZ1u/QV+X6Czm846OBWq
/TJw1lRJJh9547OLiEDvTvJKpRLoFcs6kJVWG5hTPZK3sIzQLkt7K7QaeQs9VAGiCQLnX1AzK9Zx
ngAg+XNBLRtUJ5ZW+oWWV1pPfxUVKRL2ZchLsMzV61KyKV79eifslMWrsQTbVopizfezW9RNSba1
6qG5p52dHhUZfpxvI5qjfV5RTltHa9I+782u0bs+PUd2NFdh9J/ZvXl5syMvCL8EVwHI4BHuM0q5
qgqWrZBXtbZ1otT1QMLIL9X1x7EIRuzfaWq+LTMkdxwwhG9nfSW/N57IN07bOScfEet9kTqvd9Xb
3TK73P2jHjplDmtVBq3xoNK8XDnIfyKsMIZ3TmJ0WLKF/IO11cO8i0cl7lA69p9dFP8hvKl4BmUh
BzQnS+4M084BLzDz6wClw9fkp+2C8M5kaL335kd5mueo9x9qXTjcmWBIB8yVbcEsY5xJtlzCDqcB
5iTfOZUg08Si12DtQ7CoPC2ixdR1ulfHi4zuIqtT66lEzLvtRhSmuq51bCbPeUDFjzg4ZuXil8bc
ByUs746j7dLkoUaILnnU9Ss5JfYxxiHyWClprtPA9lah16Irpl2i313kZ+euqB5iXVaKplbRw6JB
slxrNNAgfbp4jve3PtAl9YKD76cOMbYX2242nhixKkaeuxuwpB2q2kw/VWFxRwqx4N5qNKV1U6B+
6DQZbbKZAMd/kWa7YVI4z3li8XUiHe9p3JSxFN80YnyTN0F3tqdpOisbfVIIBYBgAWp4D3NLn5rx
BwB5hj1yc/1VLNr6ViCju3ZG23+pHBTvIyn/HUx+4M5AV7+HZBxfdSsVu6exzQ9JVo948WEf5KBP
n1FGxo/KcQDfCeUfLUi7NmPhKoRBUxRtOUoeAF5wboEyHteohuRfQCpwAJtXez8XAjtTDVbzzgXS
39lQbdggrGANFFyI8rxSAFJR1ZufCvmgaSa9b+ngFZ+DyUL2Io/VSzq2V2maljHK8G7NtHT/NHrn
gZfI4yqjNVZwFj7wSuag6035pWtBvpVwDgbGgSUn33BRMBxLVHyKAM8jApafm3p657viU0G+PbwT
t7/fvQCR/HH5sxDwChzXZx4CXJ7zYVeOL1eNpWWK6zbo7TxbmYMSz+gSv2UoA0RBoxFv/Xj0v/E0
TFe101ifWTsACWqm460dxNUenTcb3Q0Al9yu9nUhhtsM7W83SZmZn1WRZuAxxP+a9tmaJnxy+OTa
J8p//96nn1t4tBz3O+HzCIXHqaSWbhWqYfdNOX57J5vxesVYBDtzNAzPW3dx/757fYsVfA8uUjzp
ur5luSCverRb9D9aRO903c65yMz4I8oNtN+uE9T35a0V79AIKFy53GYKuydlbEYknQBpGZl9LfGS
LmPFGoCldJEzD+xrI8nwRIkW0BAtWyb4CLCJLpKeHSy10X3XIUoomiuWRei1qMv6c493e8toxvVc
CVolcbUGBC3YL9WiRpgfKlm0FyonxfrrIjT3VweLAXP9co3uHAE6fT6Cqz64sLRDR6kB8ZaWD8i3
Z0jQkazA47Jx8wHtgRdhNwzHPOYGDlowi3UiD1DI2XYRkVyGTo3ckmf9m5gBZ4FOhLyPGgSe73m2
5VkBjpB+8DFEK4pMAWQQV8e+eZhWnY41E9/zOHB1njmg4W+D7tTiW7n+MA8ccrGvKsPd1XoRRy/P
z8DzGRepQz56lJtduIzsXATnqMpXpUq8bTQMaPj7dgcY819ky+xyN+sB85wMZeYC2wgYWCkNY43N
jwHIbt/uRn031RXQgmERoTdw8no3vsn+bvYf9eK44oeQizsZxey+DcLNnBjUIxkY86j1m3luTifq
0dvcmx0oWFDX/IuXzgjUjau8k3tfD1lxMwGbGm+tWxoQhLCYcrYqu7G8SgbfXY0IzFyhNMN9cOzI
PYi8bda1HhZeEt5nHKyQAHyThPTD1g2uSLbol4HTHGvFFNbNuH+w2s3ghMY9DUDHmW2coa/3NOzQ
A+TsSPMTjeK469FAzP86JXF3MrAaPwCsFO4HPO5r0shz3j+MGmimjHtSt0ZQCJNDmjOmEOfWZPpE
kzE3n5NBjqe4cbOVauPommvssu+i5CjMhmRlKjMv12Mx/WXaEFOyQjEqMOlOZb1OE9R5sZ6nLT1d
usOnMLaHQ9Ug4TuxaTvXn2U5WFTB77wre1v+wSN+srzAfEC00jr7lfJWVL1WlC3WzxAld2UZA4ul
1DtzN4nGHXnT5kY3tGtjkkij6qqatJbeLmfYC9CQLp2LRbtoQQgGPH57n9TFcFODkmjRyAbh7eJJ
/cXKYNMjD/Lo3hLlnV+Z8UsBntRVp2rrRmTKP/lA4WzMKE1eSt4AVaWc58Rl7g4ULPyAd3AKBp7f
WKKgvNzZY4F6Ac0fXk+pDcrjcE8jqUUWsYnTuESQYDW2Uuxo6BF9uKtpyK0W5bfajkbzBOm0BdD2
M1NGoBBeTAJZgg9Llgaq5FWERjUa5/+uKVsOvtc+an8slQA0qQgtYGLHtKpjDeKg+JYym23FUZ8y
DwWoUIIpHC5LjCz+KXLTciUV97eO0Q9X+dind6wyQbgGVP93xV4y7tQvrRH46zFzposf1eN1N6hp
23px+CRrB79/aPqJ8RLatf8YuXm659qXB8aXX305kaxfLDdBiYrdTheufSnUXZdxyuVLGAlxoDzi
aBbR2mc5P1IekYYTioOOlEdchkSk5INaZ1b+f7JdPMeO1699QNjQn3YEBBOh3G6VhpV1YFbRGyun
7qPt2KTBZh5LRHMOIFkDTHicvFtZld7t5HbhufPtLWMcezakALxblDbscrAUnUmDdPMA1Gy1O8I1
6ZFrZqCO2tauSMe1jVf3U9CY+6TrkiEA+3Xd7fEjATq0dNvbgMXWYd4lAO4Kwo4WudXR9DIw3wwg
AzsOrndfRKHxORHcOCI7KdeOPRifGzc3d02KbnM0m/oW2Lp8YzzSLDgaQEFVRrc0ibZH+EObn4HM
Gm+1Q6esoycjHY2jox1m2j85rCcmdzQ71erVoUh+FGa9iow4ukXjSQFiyyR7rqX7GSz5zp9YEoFh
63+ISYmVF9rGp1qMBrgWFQiTqwL8qKlfHcganG2v1onpvVkjtdP9UAjgrkIZPZWd/TBWln09tZV7
KJVhX4/6btIyuiMZzf6jXilH97DM0h3JFi9090HvP/60pLnz8+lAu6e2Md2N5wh3O+/OJmZ/zSxk
DWkWNHzpndHczHM9EktXLmNyNY9/bwvmMXa0+u5rhMJOcw5JUehJyv/L2HUtuc0zyydiFXO4Vc7S
ar3xhuXIHEGCBJ/+NIbyUt7P/uvc0AQwA8laBmCmpxvgyjgPENn8iEnZgRLtUc8RzqlgovKcx1xr
9AeIs4bYdaavYxFEyvVVz71oTVUWXuQ/sjjSH3JbCx8wJ8+7GRj71Yc6M4KdbWfgSe0U86ULyh1R
/AUeKDhtEArfWSDva71YPB8tBrAtfLZAjYD1gpqWOwtXj1swrc+DAdrsgUx0RfIQGNWwoj6HcmHy
QH0xsPNz6iNjB+D30U4VHLxDrBMr1PkER69zg6NbZeF4hid/s2wVbGSnAb9psUantlomxoo3OdRk
y0LHw0FWl5eMH5mLLEmfceW1NbO9IYtwhd0+aY5qPHfStIqye1M39EZTgosqUf9kavnNlGZlSCMc
47q8m5VMRT2MpsB+ob4o0V/L2rdPIDhdJzJTlUWatWuFos17mXAQaWIurJYHW2r63Llmg5uC0KTX
HgF/XlO3lzFr52CyO6c69FdA3HwPFPVdHdREXXPW97gx0Yx7D5odRgEGcivpjzGCfoiyaRtqjQfN
Apittdv+yHlwN4qHDFRIArdcquAIXiZdkj9CYhMAJbO33xNmHlq/A+ZIA5UsSiyjn52dhDMQ39jP
PETpb2O27jn3hbIeBlxkYRP5ByewlGUvuvzR8cGy9peZAAO4zcSB6YkR43Iqq9iZMX9NkVh0Qa3J
8wuUGrA6B2fGJtaT/IJfMrsA91TuAFN+pa7pEJkcWsf2i1WaoOhUGkTTi4Zt3EgM86KwUXNo8Ooa
i5+dEQJBKA2QCVGBnw/Y7pM9NTUR+9tbiYPjmtlMtaEZK2HwYaAp18aPFpUEzOP3U65ybGoJtEBM
i5RNCxYoPGQPsQ5eI1qKU9N0QFI0NWk01sDGkaSinKeARSIpG/Xtr0QLQRcglPAaNWdaidJBpFqw
LFo/WNH6sgdtz9Uz7gziDq/KLqnDFdmTwe8ZyGWagQwgb1oub2iVWwABF25zseqwWBqFC14ItUyv
YOSJZ1wGnxLJ0djhyX+tlUTdpVmG27TLnK/ZUTI+fOtA/bbMOxDvNCg1++wYQYp2mbtMm9OnN24I
raEuzjdUBuhEpsCGKd6Pa23A/ZpxVBWeBaoGkNpQ5BgqFstO79oT5W8polxiPURdY0smd4MOS2Np
RT6K36Gopw1r0M02vFinzPsWqqm17jKpzAbBomerGEBiC1k2Vmb+PiJuOyKBT8x+gfWXt0fkCYpl
fq3Oegg7I14Zo1pjmwG4skx6HqztPkDgW5YBcaoIAivA1hFBD9ZRWSCUc/1mM9YGgd3G2bsCgmuN
NXeYbv9ALgq0SwHAci5EylasKNId8kvtOTJTwLCMVP/6p63fZOVoC4pkiC1ye1Y0YbY1FNW6mmGc
jXtpxCvOoZ61z9x3lNUnC6sq+tdBmKfae0slxNJRvWHlVS44rewyeBP1O0R7xTvqUIdV09f5plEc
5bW7dX+ydqzR+lM3JoHo7/3cXVqwlWHoDP8v3hy8CIy7dCv1solUHQh+5X3WldZtlG5CGp2MJ1+e
t83CDPp6nVV9+Ig97iJCPcuFWgGLg7XOeb6gJgpsYAFKrrjR2AUM78GqRXgR0F9UYY4ETjJgugLZ
V3FH8dQWwtNWE7VTZkiVAWlDBNBmfQW2LYNcV3Ia9G74XkMkeB4YqnNpAjPath5z1swKjKubVmJG
f3HLgmjfb1MZ+LrgybWOIXZwRJCmnWl2Xm6obIwKyJQh8nd2613pKhsvIyUvwemTBRCSo5IzT9po
2PY2AM4A6fHnNOTI+vpuGoXA+TRNbrnhMgdTEPjva6i5AzCLmlUUwMqzIOnZXvaHEk0by8PUX7Jm
P3WRRSTtddizmu0M7FQZ2LtD34mfuBlViO/26Up3hf+uxEALucNXrWa4jdMqAp+8pzxaXvfUgmbs
q2ujCFy0bniO7CI+xWARndNAGfZn8KbET51XfZqQxv1GPhc+JgQy5QkaVG+4mYtt2/AIF7j9VHYJ
CtuIb0nYesEWNWAiNEJ9semh9g96qotKiTrlsRhakEWBM0dAP92uUHiLQEmoAQq261KlmvdqES59
DeHkknVG9U0pore88P03JcbNrXS28pZH4j9nNPpPuygGwLJjTBlnEfIskH2f5hvtHObNsrauIW4Z
FQcjV/I5scHjeg0ANksNgElAGt835wJKty93VrK7UUWwYFr7XIdKtaAYIIUPU6uI9nWcXCgYOPUn
NfR4OgPJfBooI+sWR+QqP4QFV8fQ4v+co4J67txSfsaljyd9y7QTINJ4taLi9L2rIUAin44WN36Y
SH0+1SbCa5OpcORbWJrmebJqbcMHKT5t2tLQxlLKEVgOoKrBl4fCcEFCnKtjsRxVzDGn047Saqqf
K7FLo65YuG+Q7toQX0GilAiWskygvM1MalTmZShULNIrUR00wIHPVcdEcaCMg5GxY6OkmJp0kA5D
kX8zktJ+bbG4tVC6+suM9AviMuzNBSnJPGh65WLYKHPulbSW4bH6qMc2X1bp4Hwpu47NBgsbfi1x
ZrbRmb94rN65e7p7cxcvEXbmKNQsHCBOwoqvSX4wzkAuNyodgg0IVHV6rHRbV3TjMIkYjmwRAxgg
TVUSGoKpbwt90WeuKTxcfjR1N+lWKXO+V8BVrXu1BS+sjLlOTc5048kDTmQcpfisbUAKCzcy1pYl
uPOzwoJsaDLgxovlRsCVGwFHbgQ+D+O9Px8jFUYf1dtR/zBqgYGUoNbxuyGqoxx43S2IBbaj+l7g
y8c+YoBVkNcZ70yerExUeqEgRBYV977yrSodc5VRyXEKNtGxnwqShWz3dEq9SP59B4e3uRr7eGhe
DYKjx06crv06qea8iZorHUB7AYrXrONbhImbK1Cw1QMLHyeDwgnCDTlFAXLEUGSEQ9GafEs2cfOC
PxqA86ZnPw+G+8WSt4OdaXsLRXCviaOYCyP0cZ0UzN9rDrLfpVI5ZEpvGdQZ7l1wTJ6YBXC9ROp6
RRfu464EgKv/3bSBCpgDBFPM6cczW+W1GsBzQT8bEQrTWe6Fb7wCQ0ZoYeelR1+sCiLncY60tiWF
VFod8T9c2TgdD3IYoSV9OY6AWJwvFFAo7PEk9HWOB9s3gchcMst/dvSv+Db2/49xEIkcw9yNgRkA
AQ5oA7BZHmr7aIPQc06FJVg9Iq6RleGDxUP7CFm1dE4VJHgcxrMYQvXjwCcPllQXVYm8pVYt6Pk/
He5eFLqN+uX/Wlh5mq4VDeic2gGyeqi7/KEaUKUKTgKUOFYsOWdmWixa3TVeQZh0qSQ7HralQERm
7dfJyYuam1Oo6MnZAwflYjD5sL4VbJpg1AcdO3tStahB6ZBdbMG6xFaCD+ItTb0ZLcZBL4lUMYB7
hwKcfBcWW8CMyFV8mFZPYFNgX5IsKrdFh8wEeUbcHQ1aLCl6/mgmpranQz7YIJxUjfXURWcDUgmA
jEg7JHES0CnI07GXfJpaX98ZTe5hFiBRCxa8EGFwD7l3z8mCh7GF5b7dO8qFEhw2iOi9vLtv/WFJ
Y5TSkLOQX6gClBPh24i+6mZl2oo11f6PJf5T51j/T1QA1Jl52c2S+ijvQQOqnQSrUOu0ExEVe6pv
rn2UW/6GM35q60FmjeOd6laHOOSoZneQKmw55FkqVRPPnXUh6KFet95BgUjNjJqVCy7STi3KNcEW
FbvFbeFDBJSc6vYSy+BCG0Bdjzk1X1S6jZgI5SNReXUjZzZ8ka2x7/05JSunxOSYqATy/bPJ3VTk
V6Cybe0X2s/RQ6jWBfdCe/CDLDjWrvaFaHWIR0cBKniGi7/dErcOWbTa8IUGByDKZpELiBowIeLS
qyoYVFTLXreyFruvK3EJSw/U+Fak32hz9HVh8/ZCBnTQUvfm5Kpq7s86Mwk2kJLUZqWVhytsHJvz
YEKsMrFwP2UIa5lq8RJbvb1Qyjg4NYEKNhbuZOvUVfjVzUJvljRZ+N3uynnLSv+nKZwXvcmLl6pC
UQs55ebGMwSyjRZA5UQNm6moD2xtrkDtU6rHGX1ZLosahdQU2Ldys58bpa+sJlirI/s02TemAjID
8gzUpiup1UB2ECQeaKRROmgvey8G8imOYkAtepRcPetB8+Jwt50XiPFuxoRbEceIxKtg+pELDTo0
yYPrKfqVGpM9YhTmoy7tIw1EHzQ6GN4j09Xs6BjacmCJfyYiH6sAGEBLw3BBe3OKFlQaFAQq7o8R
Bj8FPIvFGdjQKRn2l9FKjo7JLjk7QxpxhoL1AaR+S6ypCkgTJeYpzEtJnw5u8IWKPeqCOmvwqJza
zMdImi39CKC90Y5GJ+Osfu0iVd87xM9FRBLELjEpaEehumR2ku2mrpF1grnYtaioT6A/nqJW+cZt
wh94SQAW0MTdHoBffyPUfS6T/HoU62yXlEZ1qOs9klVYoYCesV6IsrbnuD2RpTA4B12nn5W4Uaqv
JeiGWiQxXPVwNyxQA3pQw7ZcK3r+dTB1f466FIR5BCJzJcfjEsiVeUA7iI8mxG8gtBWU3TKvrHJf
2gDEgJGs2ufyrJR9KjYav8ESkK7/1Q21uq1cG8oCMnVJB8COn62aWwdqkYWDGp0Z/XU5Ih9ISwNe
glcVgrDgAkyrBcrVUsRycu/Y1q0/p+hxZM/Bkax+S/yqWkCgOT0WYEzZeIr2yiFCuWgNEb43vrYe
97RK9TUuC/PJCdJ0VdhauvfiJD/9aQrhXOeH2RRfUwhjrJUoSpFlaXUe4J9GWM17a3lYSeP96FZQ
sddM/pYrAiVrwG2eLWACtrrfQrFMLn/tPhzmNiLY70OmjE4xSAwd6WRHrTKvA3D3ZrrF1iMbqe8L
qJ6pX82AqYjVhpbYaixeE38M8cxYtDCc2nRG5DN0hm2osca29Dr1NwJE/IhfYilJnYGJCvkELOSG
6WKh1id4T7rdoO2hrhcHYBmHJK5p6N3ybujulEzp8LmzRXRjhOl5+QY6GvmWXpMofLPn1KR34dQc
UQKqfRuFNAxW6B/Nf/oCtJxv0xLsSY2fJuuuAS2WyVNwFIesXHW0E/hru+5BeD6+aZXeQv4jMKFt
m4BFHdSDYGjQB3mLI+N0cqvSPOXGNvOL6JTpSGiP/aGa3IxtaWGRR170+rEvytkQ29WRgxXzPLIC
Im8CopT0O7Wm/gwUv5CQ5SC/lbyB0wAE5BY0h2VCBwPlMGq/ZVEx+pNtLQDYVjwtY9FaM9Uf4DzH
xjEUBvJaeroRupldrTIzsLPCNex2cw5+4h+6i6SpNwz/MdWDyphZHfK8t7By5Tc2JsZlQX/gIhLA
olF7PDU01izaFCH06Sqgs7/6JKoTBQsayoIKdI4Q1ZARMBW7lW3kBeYMdaXALtQBf2rD0j1Mo56a
mDNqFmm8RuUXNKrLK4Xd1NDuv/xuNH3Tfwm1K5MBudQP+aZBydjOLoU4mWWCtzs0DRvDFafSzcWJ
+vsI73SvUcFH5La5vaARcGkG886XkqLSdxyxzBj/ez0/DhVKa2Y0TzZoyjphRjQjQ+jNaIfOFfVx
XJhx8xyIUN/Rqm5aq5m/+0ceNlq/If90BsRQQ5RVXsEfdG6yn+a4WwR++CdGPSwBek7WSe7qF6ao
K1CVOIC4qMZZMaG+RPRpdqgnC92I7TVRpyWhloObGEsKaoZtblxqa1i1pQNXwGnvXXVz5qVBu+89
F2DmqNJHmsoYrKHxrjdq7dDE4AyfRtoI5VJMHsB2qQIHcBghCkpT7EDosyHqwgmwMAITGAPpF9BX
oJ6AzMLYd4dgIN/SRxWKBDsQJQLRUSLAhPqYChp7YeM/tXbA97jE2QOxfzM9eB40o90TUXcji6Nk
F1kFVowtZfW7SfZk9uFE8zgZPzmm6Xypyh8ax9YnjoSJhUNXH5TaRihaDwXKkQUY2e8NRN02oGw3
ki2tZFzLATlTl55MiTUSgEeAMRHyvzSoNxl0X7zuSoN/2lMrBs/6snOk/FmUzaYLgy4nnktVFOHl
N54/Gp46p0uOrsD+w/qORKwV7W2KaW66BvW++FJxrJjBtzXMokqz9nRIiURGk3wygzxMI3Q29Sk1
orSTMw2Q2+RBfahsLlaqRwypfQzZJ4kDGrSnARWBD9QAz3a/Rcikl0EqFHlIA3BzV3NIkihratKA
XfzVqY7a4pI6qXpkFQiMMqtA4W4H2VjZKqygOX/0WzFW8JnnDwsqeQF23d9aWQQxE8mNO5bB5HsG
Woor9TRqhsyAYMADSIMMJSBbO0BR/OhuVtWD3mVM2OdcjWcQSDMeEbdZK41pvDS8dnYRalJAXIpm
ARZCMEWa/qZFsfFL3hePARAND6ZdmI++SNfU/cnJclHqHuCHAXq4e60gN0hJEMpaaI7CN1Xg89co
bu76U9ZxhB5hHyNKN9mDFIVvOCrTjkxnWDQ2yVvk2dF+yl+BaXns0gGbCiUz85vm9dEeNcG4nT4c
PjXJn9JbrZuN/pT/on729y6adirMcIN27vTQjfsWAPiBu4CLZzfUA6iV/feshL7w84B8/19HyUP7
GAX9KQjVdR2qBzJpHQh7Xil5ehibCkSAlQ4xtamJ0uH0QAk3pTFOQwNwXgdeMzOa04JGMXVjZQ4d
6jzkCkapUGjmdAh10YLG7737UVc2aZR8adSSxpMvTWXFVbfrAXKpwQofhe8cMe4NNyAdplQeLiQz
SOeo7Xf3ul2ZLzZE6VJImz3FCUp9HNX5SlZZ1d07icEFTTcKQ/c0CpWYuemAVxQiWNNfx2pRodk1
vTaf/hZT3/h3NtXBWpkaosqf/PoQceKpL+kgrgeYoA6GFP1EexdBcOZEApOpTQewVHibDCbIZgR3
/TQ42TrSTM5UU2yBybDCv0yoX7esQ4pg7YGeF4ZqWjM/UpRN5A8oD2vd4GpCZU8+WuiQqAbfgAs7
mrcqUrDztgWcFDyjcuGOZ1BqQYwEDr4ZP4xXJngrkSd6QoYhfXFjEG/0RZPObVm+JFlEFl0Uix2V
Ixnl8ycrKmYayniGgvnq0CsMfGshJL5INI9JHjQ6mw6GGkmeJu9MXcBjFUeP2NYmE5pF8frbLNPA
NB/NElUOlp1s52vVUqDaQZWl654Wv7u8859qFdLDVoItnc14dFKstFkoWmm/fZgmWTaadkVxMwVI
Ijq5AorPH6ZKjJqLj1k/mf4561ie4fKNNuQL0uSjAwny0ZmTePnBtfwZdQnwaA2zyaRk3nfft4MN
dVlUiUOnpZ+py0xk8XwyHp1bWZUjJ6SBsY/mNjqj39uVtwjBxTsL85SvFWzFAKeGYrcX1iBmiBNQ
orjWN+qiwaCAKOxstCs7dwnYFPiUqTOio19WxrEBgd/djHeev2e866JTPe2wte8sa0mib2lrQmFQ
q8TYtE3Xu5pr0LYB2xdxqT74eSwSJRbY5NcPyc0vNQsffkjS/jFGknK3OenjAlkg9GleVU/DU9Yh
Cs0ZXn5Oz1fQBa33SQ2YjR8m7TIV3HnC+/MXMeSY5sk2mfYDvyb4rfPAeiyB7Vt5Tcb2XJjewQiq
dqly13kCrdfqtg9Rwg71DJKHumEXovzOcY/tYlsrZ7atDRCqhyrrnLseW7eSIo5s/uVBgxAC106K
re9iyjCGNRSmmYYSyhqKW14dbKjfi2ttk5ldvaRmB53vGbJNxqk0g4LMsGtRwDguV4BByxC2DvLi
IQn0cje4arzq/TR/LYW1+ZsFsjjxqq3MbLLIbdRvdY24zfGnRcSc5pvdNpCw9DxrfLDSUxm7pWGF
yKl997DNWqAgCmk3vb2pD3niS1mAeNDTmu6tRBoqlYRHPagXUVQ8vBs+G7Cfy4eL2tkQXHQ5BhAL
OPdmpiDj4nRvQe8diCXpw0lnxTAfVETjbQnRbRaXLBZ2eWJxvWVQPt8SGUib10a+Y2WtLFOXI3JP
LCM0RIeRb8To2bYpkM8Zm16IPGZmoF44wE4T6SnWH3VZ/ZwH4r4JOpFb0xoa/Ul11PvRyVepY8Sl
cMOnsyRs43VQChSnWo21tuvIeEn1+KfPWHPO8hwr0AIMaw4HLg7h3ENphNDklFb/ctKg9f5gB9a2
V4OHQYhgO6qXQkypP6adHyO/hhEmqmA7BtZ6v+TLfNC8RYzl9xpiE8oK5AXVW5W126zMui9g3glR
lh1KSTb0512M29sQ5qFsAKOOw3hD/QEySn9z5yyMRnc/svrt7VXVV9qCg1t65iQme67TAfIaiH+e
8l6ptm5p95s4tVUU5mkgLw9i4wVahW8C7Iq/CmWJnLXyM8nwe/NKNHfeLtBGW/vDO8DlDBT/r0Ld
uyC0g9K2IqA7LE/poCrK7YyahqMz1Ko3sKlKvtaQqcMbTjZppAicvpx98rmbcjwVQu13aQvYm+Tv
VUxHgDCpgcQCkwelBbvboAh1SX2jkSjTYZ902OdTVMWsVb4y4rCaA438O3gjQzNJDAxxlA9gdiCF
B3lwmio9DXgKZL1/b2sYzW2STwMgv4tnFaDX6zEP6ziQP2dald5CVYrnl/O7NlPtf7QT5I2wwEgN
vlOx3d+iSqvflVbCl31UGV9rSAomVfStT1ARaDudvxNY2l8HqDrMgtYJv0UJ/oCDHQ9Xw+z7Hd5+
7ejJ0tGAPMGn2S1bRKNPWV4zkKgWmb4IAlHjHtCIk7T6fBarSf3S896ajXYJAlAG63HD1ai+3piB
DckXksQGrr+btVUBVibV4gdSyJ60sksNeUnoG8vHR+6uBZB8wSu5KAD/LbktdbI1wTZG2iSIxg4g
kIO+l6gfvN5IVkqLyhzadXzqoyY9OEXS3+ymLQr5Ji2KcKYHZ6V4N7sk+n57wnVmDzqU3kC9tBW1
ApHTATRFpe70+7vezk3Evhn876jMQzRStsh6NKF26JfAl96d9mH/jqrYfjXRHRV1i8+Z2nQ2HSrJ
pQSI3Yuj9/ad22TxT1diU6LRXKA6wuqadAXwJZtpOlhjdBMxffn8K/p8GeMl/0VwCMwCjf5Mj8UO
8Q/Q1KbRkpruIBrwpP/bCXq94a6INAOhfBcCE/a6jpLvFJug4EOiMm+pDiWff4qCKa64DZDxQICJ
yXqMrzlZuB0jzikf9lEwRJfOUbax1AoXDrTCQeeFv2rHoQyJFhIgAJ1Ag2s/NoG0WpqQql2NtkYa
7AI8bkCTAGOaDXC07Tgop5SzxXg/jrOZmnmbTRnCYW/meoiCCdxYZWsjtKYp9helBVA5kLXHnEdL
6DOFX7USF40ZmihySOTtK221gjmjrWN7qKOwQNKVOTF2TbmxJ4pQoHwBDXWAEqVmByXPSwrhZQby
rno+GbuSbFQxvXtjZdB+5WkYbXpTG0S30EH7dHI692V8qWKfu/RbrVxm2Fhf/MHqL7qpfze9WtlS
S5Gyh20BfqOuzu15CNz2hfo49FOPwFgvyYwONMef7tTPHS9eQWpqn6DAbDdIQm1dKSDFbVnAD8gm
8FX6Fczi1GglizYIY4FRt5Nk00sDJKCzQ1kEPworwxNTVd1HrqT8SLY0Wer5qKuTtm3Y6ldAg2iM
ZqTJkgY6WzlvC0jShO6O5T0/Vh1AfjYqr54Z9786Cuq+LehMh0Vjf4f+FSiioJzyOKCCZkVOZe7c
nEAoNjw3rvPVA53CO2BC4HzUteI6QCLoHKEadQy0hJpADT8u/TMNaAxZLkKcoiKcg6s+uB8gmOvk
AdKO21Qobxbv5JHKqaYBCuaQhz6UQAwhJgCQkgFOEwY961YqXMdpYxxRuXwOSf/ak6OAGTubWOqt
prxgs/EmYtA7wVPXgnAjMF3Ij4j4BK09NEXjqzuvr65qE1jn0SQxEYquoQs5z0KmJEsEZ5pZBl4s
MFjz2EEOWjPPcp7UyuPT2FerqECR84zNxM26TWqwVzC0FMesACYuAfJn+dE0nbR8xboE963PEE5r
LGDgp6INQwkOfoRCZ7mm547eLQzNByIs7aDi0cWoYbaS57KosyM22c5opvZ9h3pd7m7JS5oZ1Uud
qNFxzB11UJe20vg8tuS2JXWiTy1Qq89tUHaPSO+KoWSPQ40HF5x3Y++a+qY3DfVlPRBK9EaigwNR
NKwlfveRMdmZ7uDOgRX/ZfmWtRe4LyECbCfLSusskHLiQAOfmhDRuY1+MhkSrwexLSglPw1Qk9zk
7eC5fbCjjHdkxMMi7HB/GgK16tQ3HfCuz9K6veumbDi4pAUIqmOQtMqsOR1oSof5ryJs2rloEw8C
iljOK0OBEJ/LvC2xpE5NGvXkqCqNNUl1NI3SYp+motH/h28G5upbsJm79bDqc/wKja6YM1XCqkch
G5QV1wedJHJT0JtCNx6krdRJByEtW9b1OxD+zGlzTgfo5Ygd6+PN1DWFBWjXH5alumhjZs5LMPCj
oliGAsiaDBOzfXDiONmOsYXJmWZGIHozdZEX+VPfNDMNGAV++xtHgRIM9RoMduoVv++Co3LmTK0S
+tJbhkgY+E0wGDNfvVp22syUKo121GdFHHt2TYeKr3SXB6gnx8te7aDQLB1SecgbFzXMv+cFvuB+
3nGij3nJFXEBf1s7r26fqz9Bh/qDRXr5khtVCqYPrbj0OTPW0I4XO/B1DYcqcrOV6UTW1SjSFNIS
VvnOag96ISWoGrPyjebJW/+Hohe3eaAKU15QsK+vQ7Bv7qzUB18aYZ0DzzIuHSiWNwhvFqtY6oKE
qTGLu6QEauM//WBFKF85OGY/2YO2sH3WAfIAC9r7COzUCnApTE0oWd03P0atQClWQR3by4zpoEFU
sPernai/QqzInUH9K/4emOk8klvzHOWQJe+zl07PnYUa2f5RA9PNzpVOrd72V71v7pzyCMigxLUR
0vjI2Yx5FjawZdtXzTjw73xMZmX1nQ1N45UWW1pp3iBQjqTPmATKPXtddpnU4DbyORP5sPSkbA72
k8XJTVKUFQ5ypOxC5LCkqg5oWpKdyOpokeVsMTJzJ0Hmz9o0bLctSXGgemEHhUc2C3jrldiGxTub
Qd2QRoMU8UhIGYPlQy4LikJFDVOCPLR0JS5vmq73zQYKvbBgcjphgSRL0GJA2vUQRYH4Naju89rm
J8CVAIFFSG/vlv17TeFe1akBQQVr8CgHSWKPsaVsUulArQo4qn1ote/U0sDc8aDax0aiaaWmVBKY
+drtnH4VSN2oPHXetExYF9dl/kOW8it115GSr3tH7VeR3STPNzk5sFDM6mOT8f6JVE90rO5xTtol
t34mS70ApRVdgGyB/Y2IeTQHfPg+lkHUiiqgTwItVSC1g9jdhwXSRe0RpRva2YGOqSN8y1l45dpk
PD3dIxmAmVzoBXZCd5gHAkQk/Rqbv/TUGlBompFLVgw343G+ETgRjXZjV/4x39g2bX2LYtBqGXio
Yx+xWoap74yh1k4EBIoLJdmYFrYDVHhFfR8WI/LLztIN+Y9oLrUyP/vXgNmCPAUybzSJDgt5YY6f
UEn/UlrQ5H9+AisTdTmofbhKgZyA5o0uiX6Q1KGm4G21obTN1JxGgVbCqMSM/s13+HOqEsAVo9DA
5gOOz8CI3UdCMHy0COkgW3gLu48fLbKkaiM5BrUj9TDWfvhtuRJ+665VZDmXRlCL18zA3iMCH+RZ
MWzl6hjxkfons8I0b2a9Wdjn3oW8cu4nK/pP8MQyFkWHwqCpWcepM2oD0Gj5Z5NGKecFhOXNl34e
kFJCn1Ma049Ho/8PXzcDLgSJ1Z+E1e/KrD46BY8QSwGSX8u7+mhnAqgSSa3ipnZ99Csk9hAzBVmC
CQh66ETijOrMPWEeaikyJwZv63eec6YupqBgJoF6M5bJkKcDuz3bNK5m3kAS0h1KNaM7oSogNr5V
BuGcUb6pnYGAfU4ssS7CFtxDCCPPrcF1f/iK9VMvq+Gl9yF3OuRa+YBtoL1KFREcItajjlZTEH0f
cuucAGi6GJzIfupBFIhNR+l+i7t+Db5UTNm62Rwweu+HaPHGlFMGJmQtCySYxin12g2QOirylQ1A
oDCV+AqBDG2pFrm3oCYdIkMrZl2JF3zK6+RKfQy6TlBjeKAG17N8D8za98lnmifBNgUMy3/OAZLd
cudEHmAgXbEMwk4FrbZeX5wwYhegmtOlAZ75Re7W9YUGUNPknnSRo+ofZpMtihmzuSapd6mPHHrR
guWkrB8nWzrzInBEJMjiT6axAN65zLgxo0+eHJQ2X0KkRxu/FvXT17KtoVtMtpVvONPXmvqnr0Xf
iAYSyXfk4msNHuSORAKiUOaC4ndWaL15sLH5IdLTlDCcdPrnwCe+VKt2QIsHr0/91CRPb8B7GyHY
E002mX1MO348jZIdTelBSOQzZasozI3ZNO9EskkMnI5jGyiSrc61RESUllSa/OibBKZHVk5IS062
XNPAu+rrj9gnxspGiSGKHSa/D3HK2Q50qFg8cFdDujXLkEasinglbIPtWIsXIerfyaGvdf93QLOF
KNDabQyop5vRCUWl0YnOGr+5nZXFc8yc8Pipm0w7NXirvEBspsGyieITeaPEtZujHDhe/m1aE3/R
VWg0gHd9fBSd0QR+nec7bmnj15r6J1t8LRQahcdPc5M3oCQAaPz3a43/R130M6MG9nlQVWhRpiAY
sRXVXJn46bB752ALcQae7zND/TI2wwy4IrbI/MG8pFrkXCBl5VyCwnsqWRPtbz4O2ANpzk6OkkmT
tbd5Eb7C5yidl9G8qp8jpVgvoThtoBKrqg6+qVoH8Ayp8zYoxLunll8VpFGvMeoID2WQqXPSmZH9
Iqzyu34HlIyTPc3zpz3N86nfjfJx/ulzSa7mX58r7T997sf3sdPIX5u5VwMdCS7TdomihnCuAVHz
A2RMIKHwv2GZqs9jMwrPrt2n+7AWzrKOrfrFU6Izq5XoR83EW1M77An6pRCvsIWz7e1Ou+S9Hc7J
4vdcEM69nwsqMc6y4xl7SUHO0uFlGqcJNLgjN1y5Iso24J4r37BInacW0557z2v3Rm0781SayRDi
rAzj9hSmuX214/iB+oHNu7nTbNLdHxR1dAfUDmSttQKqa3YhlkGeghWv0mrU4cZdvAXIMsJeqAN3
S/p/lF1Xd9u60v1FXIsNLK8S1YvlEif2C1eSk8sGkmAvv/7bGCqmrJNz7v1euAjMDCRbDZjZszfa
bLoCcupZdvVw1Vpf6kzJFqjNncC+iI49kDDZIyt+NmWILlIRZS+gZmSrqmntYw0F2H2XG/kmCvv+
sTZ7gE5yPXqX4WkGyk0o4t6Eg20kvQkXaHnoGCi8Ui9LcV5prd441maVeEk8soOCTd8z+oSf8wY6
8jRvMMEOZRJ1f5r/8CdRSbxMntI6Ef6d6G1v38Kk69BghXaGYFsgWXmgCzIa49ZKrbWhhHyaonnF
b5PD3dzdcIpXshGcSPN6f1gGaj/jFgIw6393m5fPWAvSdnTpLytW+I9J1P4wwiw9xI0OFWu6aIfO
MmKIKkbKY8LQtm8p2iNyZBbUdRUGmfIYHGezv2n4oZewdlwb5COa6ocV+PwAWRk7Xvol6hVN8jg9
XKCCBcAfp0fqLDAggPFB8XV0xlSDv455tRejm75r2WigGMwF2IscFf9FcL4F5RheArT8LYtUdd90
Xh+CBH0uCVjhHWAG30cZJFQrv2h+rG0NAYatrPCvQbkMqhnoCGWfyx8eyRWqih+Y/p8f6SNIVewl
dPYeiYCLeLQmFi4ag00HjFvo4GtAxS5vycF2wAbtjm3qhZELQi5i7SIzjb1K9S2QLKY6frrQBKzT
1r6rlnmdFM8fI0WY4pn4pTo0f4MUVDxrdGKAJ9mImUraKI5sDUb/FgchCv8hyJTl1AdL3bEQvaiO
dGfnbOlYarOnEbXF0h1dXB8tyIt5rMbgvk2qZj8tRVLscwi3QCS/oDE6eZF8hSO53DzwtFbub3nf
4Bj3gtRSttVs8d6oevTNSe1mw2RvGEjjom9AcRMeMT2PfOTyW2dBbiBlqw9JAwlaGiJb1Hhdluq7
MktiaGtB/rPg2nOudMXl89qD8OP1iK+ibxF6SRZlw9JzAvqC1xBtChRtdUV9cAIQlaMvDFVBkBvw
pRQMpX5Zaoq9aZKl25v+2b5Cs4KbIJNJvbZzTy1FA9mANlyKoXER8HzL2gKkt7/bcGmeZ8FYIStV
Xntzbx5Vri8jpqlgTHaNU2xVW+tK7LiyS910DE2AYxBE2A7ELRhAq79K/EwnYrZDdMtBr41ig4LE
yMzXQRHtGqD0346VJZDeEmzTJKB28sg9LhItO90vKT3pIcc0xjPw23L0TG4jY5BnFf7U2oiO2N2h
cd0xnH7LU2Q8yBLaQXy1kNN0yYsYuwXE9H2AdHva7uMMXzLezTqzo+MOEALFUWpNc/crXh8WR43p
GU1jxcLjAvHHsOjHo83PTT4rcqHVQOdbymoGntXN7ccTVJym3dPoj6umiXtIkRw+UE8GgQESMErp
I4dE2Qc0oNBivhuVBnyzEhAw+xrA0S0Nq8nXd4bR7CDk06IJ+CNgXqQ1f+LDAVwG0mroeB3QpSEv
oEoAsXoKmcIZqj7qklpO+hFynQw0l7d9uHJZ94o6bnYhiUsgO/HdCY2dBQ19gMQmg8Gr11wV3b4h
7hfyQ/P61a8sQGuqdvg5lP0IehGqXlmk0D2Tw0CH1HckL6jrj5NhanafvSslGKYed/K+M9x709qV
bOMZFLddCg1dGarZFSeS/qJhD4TridQr5yFZLRFCoIF5put6Bc6yr+VgWA9jArE3q6tezQ6ImcHo
a2QDYNTLMNqrCVBLZNVTpm/UPkOiX1rRVKKvDAc0ODR0FBZ6PmQ/0TYKq5W2JupPjX2gIfS2vzOw
cJ9pFINvL1Ci+IlGpg1snmV8iQKoRshnRo/28czIR2SOedTQMbCYnsrHMyMrPTNN1NdnloEP+uaZ
cR+/7UYr8h0Ss+YLx2kP+IIyh7SDzJ9CUSo7Qksbx0rDsOo9i/slmcmQQjwEOqlj+Ns9kbc07qAH
sFBHaD7dOE23FEpO5G6GQ72v3B6iSwgmI80ncZ3sSyhcUZ/G1LIRCXAnQlbRWDl2YoGoRHZzUDsI
WbC5+WEWUJ+ityi9d0HmGl7MJ5pwpSg5zRaRqXsQpHAgG/v7fZwPfXjRpve02qyzKKgPpG1LWrZ0
96ehDrz90kcNYllW/m+p3D853s052Ksv/UKRVLBtB+5q4T6gnx1568zG2Rk0zBDHGLT+ZEJrDDjG
Nl2VArTh1GdghHr1wOSFDE2Z40W0YuswFGCKqzJoMTVFpZ8DHuU7C6j0LUpo/UOGHTu4FfLh6wBN
ZktScnDhoX8k+Y/Zq//hVdu/UnDL9L8HR2nhtULH0aUbdmJUuw2IPEOAu0BKy8AW/2y+3XDWpoa9
ZDZ+QYh2VrSqemRZBPF0Cwn5XORfRYTuagqgtRiIJj0aXteiOFq8+1iL7NVogSRd8MJC96vi2scW
5OgrCzkJMBrG44lLBgkdGoRvCRuR9weDBN7Vrw4gd6/kati9eUgcNpxqBnWc1uCga9etYFWmZrZ2
OCRjfIlRcCV2ISlq5eRAKoNGXGIa6K5M6l9hGls7GpE/hYfdYIAuC5qvi8+hGk/q3ZWBTMsmXhLa
C017I6EVC7dKwgPNVSFoYSafaQdm4a2ltUNwCOwsWhmdC14e9MvX6hKkTt2ptmp0Sal/lUMNYj0a
GfEvMnUVR1YNtLTbCAWyYwbI3kTq00tIYUjNuei/Fkdbg+qEnMO/DNhA9cCE6x9qUgAatNJfQYyT
Q7wK1EweEO/+Ifl8uZsTFfdXUQSW4dmgsF7b9s7oD0C6ZIoPPnl9OVN8t3nrbkUEMByRgpMhHyoO
Ln+rX89zsWBPPEi6I3k4ZWg9/H8W8k3tW4m/FF0XMeRiTkBn20fgNv7qJU6nLUHw2bZbGtAFwgFf
0AIbnVtpB8cLzicgzp08siIbNpAwAglXFcD697UKY/IkeyuqL/0ogG3vE++6wcRBs/Mg1BrgqwAg
6CgDLk8JGHumuawL/nZH1kD6DTIiG1Sx0F31jKfmPoB5wtn2YCDYunZeXcYaLIs2L8t3fDB2vZQZ
tYzgaDSm+RYpQFtEBUdnvAyqjHrY+mhmuKQMfI6jllXvWv79SsWR9c23XPbhE8NPjF9KP69cMHtg
ylBw7OlKgC5paIZhewgzLV0YYwdAkQ/elngw3AvxB+VgF4Rg+s5voy9FZPNnoSPv3Bkd4IjysF7m
wc386AyHCjT5DlqMt9ipgxhTfi7njx1vd5FZ2Q/zdAw25UVUVs2G5gKJMAKFVQX2PaddzJ9tssbX
cPICa9w5ZbW9i3VwE0oGikhXtY2hG+aKho1w3IXO7epIQwvckgZqbV9MtPE/fA6KICu7YhHU2ygI
FAqA09Rmhv+EAEke2mq7VVqaiVdZkr6Muf9JU9c+z79ISGt0K7dE+Qyv1XDqeLIbnQ5dA1WueGNa
u681tNSowjs0+mLo7PqnqaAppRIgxWs4Dzd2q6h7TQbZn4LobdDGBrpFcu1Y9CC7L9Y+jviPQuPT
nwYklbvD1ysHBAq8nlxAb57+NZH8t/Rme8Tus3rKQJP69K9Bg7N246BVnvFn+kfX7NhKQfvFqSvB
4MrTJNu23dg/QF8DnwLHrPFXKUC4av74l22jU57YOVM9PYC+L//elKCMNjRneKaVTPQqnAy7Cfb+
AB6/LBbDA0+z25VQe7RXSVQBgAmO9EOFPQz0MFD7DGpxHVKJNPo8zMLgt7PfGjfOd7FUUkWZIl4H
WQgNYnwatBDSt4OrPtLIrgpnCTUEf0Pv/gil9n0usFsjK82Z6P26C4h7DqkbP8tAvRCXC8KwoPSG
9/8XArBc72neBmK87r4QksV+JB+aZ4/lWDirK1g9TzhSCWP7ogwx+pBlj05kp6DN0ZrvjtJYS2z6
xUOLs95e5ygwpU127xuiV/pdtUCMKdx3JIygLSTVr0pT6QAGd7M1zdGlHrUtK4LhPE2B6ffwOQjg
WnBZfQQZTVfviwDFGEmc4Wi/MmBnTgBjmROVBkF/ejz1FZjqrSVYmNBcT5PkI9JfMYgtTlamoqBM
U/jQxvjlAJk+h25o1TQv6Lh9j4MYSUuHv6lmaLzEmokUr3QA2VPzUrnOe86BfVaU49BmgOemqbOJ
IjV+okuql1s7iqszjYqgs065Zu1p1MtyWRmq7QbVsm45B3VyoVCtbxdiUP1z5UIUxVFuPPWZs8cX
c3ICt+aRJ5V/htwnLk6oreMYil9lLpghRSD9s4kD1rkRJxqQb5WooD2xBg54vBKYm5tJWgHdwtZi
rLBx8IyupOCqtNkpiJibLewm1l44Pl/6u8tU0wtsCJnJ7G4VJtpCGXr+mPCm3OeaH64B3ii+1W01
ecR6pi2CLOWPsaX/0WNe4w8elmHyXamh2THiir22lASMrq3GXpGGjbwMoIWdEDl7VRkHU64TsRNZ
dcVYo2s8eHbRBPGC7MaCvLQmTR4qHKdoFI1+j/0fkkTT0Kmc6QFoOD8ArWjr6I12lYqdyBqnbM1j
RXnKEwV/lVJ8Ta18AFBLB3dLJCrwjIDnOMmD5juL/oKybvqTi2QAt3Vg3jhUY557JTLmninb0plv
516kqeDpkCeXAVD6YWFRNzpqCEIyX8EE4N+J7DdOd5G0Gpktua5rjKjcOw9anBcpuFsk9CyuwH4H
cMSWDXq5uwGl1dyyPR1igEvU+2LPz5p0bRcmunE58m7eiAb6NaNx82EvMhO97/KC3i9z0Qh8mZWa
sYKCMUiKYsjv7lXL/gYoVVitgqLfNIbNTy5ZG8uJPfJ2Ch84HXxRt5A/Yd8mMzTP47Wiy69MiYkz
04dWhT4v/RE4LOOPoFvA1/CV+dtKroS2IyPenCDPEIXdHLK+i9cTQl5i5W+Q9LYGZpreHJ4IKT8h
6Qlyf4+nh6wgsPKzV4DD+V1gpH9V0RtxarheGF6WQBWsMM0t1UmnudRIvrVxzrZUSb2prCYw+CmU
RCY/qrZ+LJDXQwrhHrgwUZ+HwQddjwEByihQ2k0UqNB4kgqUZRqKs2Y1T2RM5JTjxqtUy9JHGrmZ
Fi/HsR92czje0mCzlqt9hNNidfwS94WzLiTwwez6CoJIdrElRbne0K9DsvKiuh2SFcpHxZasSIn8
SgG7RuqPxzhWfWi8u+D2YnpvnnUpBd9L2XctqUCTmhXgkZbDUV7oLggg/4Y38EqzZNN0nvYr1wb+
M1BQH1tURWMfh1DZNqHaX2rJq0V3mZG/gpEZWAh6y0GGpl8FgRAeWemCphFnDtUqwEGvJ5E2/amg
81zdjNjgLyNwya3QClwaXm1BwJ104tJK0Q6ZK7NfstE+HJm/dvASrWvZaG9C1gC6mUN1omElvFAf
0q9N36XnOSjSUf8Yq+42CKxY6H9HCloNEmURlIH5nbfOhqfyaA666Kgp1e+tix4CqARZT9Af6NcF
epGldpN9cGW75OgozlOPzcpC0XvjOzAlc7higWy2l+GWao6LHuxcS71K7XLRD8X1AEenPLBRAS8y
Hfgk7q8xhbqi8x05kmE+7t3NGZLhp80gMMCHNDnaYwiujwCirk6MZDd2LNBwkZf7MU2iP/qAUyLk
Fxv228XOKhtFlKAogtWQoilyMMoUPRbo1gx8lz33kighcPwlMIrZI41cEUaeYaT6hmgTDFO9BpC1
/R0QokX1MfRbb/ShDJqwBJziypGo2WYOthQySiBDLzrwAMqvt9ooyw1goMGSHEfkNC+/QxVfvi0p
lsLMwm5BghiA7mJiZp3wVFURLlEQyp6Yjd+3JI0faFTV0NqEivLLiMzsEwgMs6diMI3VKJCaakWj
QEsLhFdBbUJZQ4brgMpeOnC1T0bRD9pWHRIXXXiIpVWCUHRL3XVwKmW6nyxBh/mnR5wWQHOcsWoc
UNrOC3x+RK6H8dF3OyPQt/aQp4uiNVBTuKtwYTOZ7kENt78ph83lscQVPdTMfJQYpJ4NVctmx8Dp
071ALAd+6jCmNj7wEEmKI3wsHC1+iCllpBsdDgWB2R24VDxKeaFvLQN1tEBKJFFEXWCzjAPl4zSq
kNsBUbm+npcLB/5AIwrixnhd0pc5LFqShVWxbAAKWlYQF/QsCX+vc2TW6M5FohWFiXSbDtV1iubv
3P4018pFgtQ4FkmebuclbcAxduj1OJboXkZSRLefzWyoV/qY8jMkV/1t7GITVCCdf1LxnJDyKuPn
DDvYZZMN+lvgd8+ajm8ObF4WDcnWCVE/FCM6cXVVvS6Jsku9QrdncjZdsAbrmt/sLNvtTmHqohwv
lwSxCF+qiqZBKToJVnYVq+BC07PNVPStjeyLD/7wI1WN67wxHrU3qhFT3TfQXO1gWwmICjjKyCGQ
aOuwVRnQZbJGPGYWVArkahRCa3SKmFakBVCQ+ViRfEzwzi+kljGagWMHhQrkp7Z+X1rIHbjJC9ps
PRY6ymsY2u7JlNvDAl1sXy0oxG2NFj0ZZAVZWbISrRtuaei6oClOktg60lAuaY8Ke4ptwWnJgjXX
JQ0Hb3ZDPkI/Ii1FSxaBXew0tCeuC0n/1I2hv+w77nhu4/Znmhs5GI4WTtRvGwEUHM2RlUkeKHwB
qzvN6p9onqboji60HE5etjctMlsAwZmWo5Vy1d4Mhn006zF9RG39lTivxwZbVhx1lfXEee2gtIr6
5yO3/KuXbGopIyhT8VK9ekVJ+IW85rU+vOa1Is2Z1sp+r4VS3oEranLhAG09AVa0jJkGFQPQ2hz1
YugeKHFWQllpyUuBTmyZObNVdJSPg8ZXNPTTdjikMQcoVTbD+ZER0UpkpItcTYvd7oFSZ+g+BrTP
BA1cDCSTJJhTJbMY3c2XuzkaIo+15VFnos8ZUf9rqNknYLILQITp2xpb5Xny5tR8hJRrWIH90GgH
9AebWo5GYxa+TZP+gI24i+6Fo5qAAAjs7uexQ+N12rpACbssfqILhMzXFo5zk/ih5Zr1Cdi3KZ05
6SGiPL9R3V5fTgqK/+MiUlQRPa29zpCXitGYdkhrfr0UVhkKgNZ/j1Pscg+TJ03O7tdwdby0Jcs3
c8jNEvhyzw8Ucr+EFltnFuSah/8CqAfLrtxA37S+lGOde3mBEoOm4KgVl7b+U/LP2K6U7+xihr2p
CP9qQjeGdHoP/mcIeXqZpqqXvo2ge5iX7cFSXHFwWqPc5JVaXXx9yCF0gDUDV+HzmnqiY80aJzTT
Ar1VkqKhhvYXtOWgC21V5jlwtRSLpEzMFVlnw53fHMuCKl0CTNQsXHX4Fbl5fUkcRwMhfQZqEVOy
icu5HoSslyK0tVVWghQwIheUAv1zimx6K63kR5eMmQ52yn4LAbbfBqirA+WOh0hcmxUrMPofKxf1
aFqY3Hposa/MosPq8hGjRKkvPrgszmOaLtAdslAgj7VH9wlafOWlpfMNjU3ZeEx38+VuTklFsALP
FNrFPjvfDef1h6E0NzgdXnxwsp3oAhKqLrKq4zxDdzYaOiYHfMpBZe506nKem53nOW4Cl4CF3Axk
3B555KmDPtB+XNYleLojfLwXhl6ChyjAO+N6O/FEhM0m00x3d29WQOTYLu7C752m5UysYcVQhOQt
SLw1I95oSeocXZU5R9NpnSMN6c5Na1A/gV7Ba1gL3eU/OfLRD3dG5t7H6rSUiNHqOS0oin2Xuc3u
7jHIj+bo4tf59SHnuflh56dGD4t88dHJ/4tOr21/Fjg1sKUwmQXyVRc6va7lSBnfG5V6nhh1AUnD
cK/XuTgAX68BxCRkS7g89cnzHx8H66SNhUejeV7VS21ZOBFfk2H2HXQx+c7zmpqigo6GBdRwBPI6
Z6UGXiRUwUHYDS06PucxwZMJd0zQZDLoBaTJaM6hamtT18GSJqdowYDfLYoNZwZIY+R+k3aNIsu8
ZsztC42U2k9WHG+BaYMZ9Xb84PolSAixe6UgFGeqBXqHjT3tN7NQrXbzktMcluSla11oREs2eY9c
stzVBnLJoCmQJf/9FGhJ14bmLT0MLenqir+goW7jIPXvwsuGKoWVbyRrDV11IFRrGkxe8Loan1/R
AXkKGx9AY3MtXnJL4+u+Mhvxzd8hc9DtNewxLqYiDAnGSX+aqooyEFpmS7PyV0U+3noMkdZ/E+jw
XWSlhmZM2bmJL/Bmia4mdG7K3sxR9nWSlXAZZB0bdG4yFLZvnF27LB+6LLw4UP5eV1EXoWnN0R9z
k+uPYCNqvaRz3BUvev0xlpce3byLeFTkj6TDIpz/rR8JSFX2gWiQgc9VZVNVRnymBShsrLDBWWpJ
jUlYi7yyLkUX6gcdal5Hq0DZ1G/T0svjoQBUJxLY/cCgyTsaVlDZqtHgBEeyVJVt7OIxWZMLTdWy
MryYQ2iSLhSGbv/HCKfPDa0HrSk4z480+9GdiAAo6FFeX84POTv/6TGMpHAA/xlWFP8n36ZWnc21
hqCngbaPXTQQosBogNLQTt8cqI+BrDjrDgYgy6+DizOHWadvY4ldK7ij9dUo3eox/OqIznhszEJ9
QM9JOoUX6Jb07LT83mjIR6s49R9RQoc2c1g+ClcrHrOklQjV9Ayc83XKHwN2HE0LOyY40DwDLc6p
UzpgAD6mLDU/mTFoQV0XxfK+f+/9JjxYvSkA3iyyVZ+7xWtk9D+JWsoYfra1Fv9ViwaqaaVbPBd1
Z4CBCTHgMLvGdGl3E2MpW6vdtXntfCu7XGzRIAjWDan/xNpfSaPY07QD0TnPglbnJuwV95hqndGC
71X4RxpDkDdftxpK/DlZaLLTIbUJ2vASLcLQLqO5HuKfPhhlEajrIK/WemvRQdZqH5m1+gUQ/x2B
10ECEa7iNLrON5gnELwk4FrN/mFYTf5qEkR3/rQOzTsDywDZtVQICN/6IxH8w7cagR6k7HuAHOm3
JtOztZsigTni0/vNbqsTvlCUJzOxhocWTckLmq/DboSOoKi2NESHO9AXbfbSmGV3rmu0VTax1XtD
iMMruqHREKNbAHQhc4mOJtm+IrieA4wpeelR1E02rtqhPhb8Z+qfxdHL2ejRgH9mnUT58oqVMCfI
RNOO5rInDWPwHq6iHlrgRN6PvTY04WsoAqmDFEAGtdhKBw5+C1xNtyCYbRcZ/wFdr3r6GOVyRIBc
KOve2SAgpp4IyNvm6p3t3+KEWVnHGChIDe1UQRhuVJ+FV3ldgylrGmYZfuRQKYg20AULJ60G9Kd1
u0noVzcqluBpmvWiFBWkFNCe3KOQAWh8hgY0hLzI+UZE1/m4yi//5XdDM+9/NzSkpFzd0h0dcCH8
cHz+3ahiX5FJe2UjKqWCdgteraQ13vQKCq6K6pQ7sEzmLyicvqrGEP2wtX5cgEuiuYBFOTv2rVl7
jpRblpFB5hpvDFxJU2TsWFOkjnweihxhsqJiCJVF7B5IxS5OXqg0Ms/THV3stNC2oxu+zGWU2Ujl
l4817sIbPFUkN6NVA2G1baKhRhXLw2uKjcgJELw3Inehi7J0gqh+iSUqBCoq71VuVyeygKcu8VSZ
qCVjJ5cCo03kkbWPkJaxrO6NjDSFY2/bYKkQRFymmn0BU0u05hp441I7RYmwlqcJeYfdS37SURi9
m6eh8E2cs6Ki3s4BZCigenmzHM3Rpdfk/r0AN5VcnC52gc033lheKTN5iQveXaArtAVX9TY84Itp
C7W7fg/xsRqEHxIbH8lUYeUb2dpnmraoZZxe6sboZTleBlDwvbNzB5X1Cwm/kQQcG0YHEuau7tFc
KEF6dGFnIWF682waNI6HPhvDo8B2wqBeyIsi0AiTXVCmczzsFg1vcrhdqy6gJJnqvr/EVgIca5mB
RFuJ/LNi8gONwry8zk9cbNIKVR0kmD8CyO9zvC895inyoAB2MkGUgFQIykrt0m4FUswqM4Yzc5Ml
oVAIl0IwlVhFipJBMWGCmZGhZLE6xdKQLhRfpckEXKNFkMX7yUbF2YaVdab2giTR+UWO6PtrjEt+
QR1tGpHtY0Q26UnfbR+jz3H03fZ5lQ/Pz3G+O4RHlGiQbErAlvRsGrsGu1o9TYML5X64bgTLxMex
ivI+KOMW61KNmxVZXR7zg4pq+4KstV8Nj3FoemSk1FCNGm2M1NeUdvJx+IfMZOHvyPin1SoGSnWm
76YkDiVs5tSN76TasezBWx0B+gJmyqK11swwkfohTzIBMSdWU/hdJA1nHwpxy5bvzLbaxbnm7P3E
d/aOvMxDuqM5ss6G/9VPCKf2LLfXFnex83pksMPMnR73H/0UVHSyaZm7kHmtu6eaNS37L0dJzTa1
+58QV2O261gmZKIc2zDujh5+rod5p0ABWejhghnJsCP4KyFf6S4e+ZsDpejdPPUxP/vTFLF0K1rw
RvNFnT7YcleGDmZ1jYaR4b1w31AfQCYvqdPtPN2X2Mvt2gZZvoj/wDk/WYZRy9AxbaubvK7dXdW6
49kHjt4z6w59JTaOizl4n0SreBRkq2ayjGXQwHE2Gm0cfBoZhA3TE8gPUG93/XApJJaGLmhCsBax
6yhbGqZ+At69dBnXhcYh9uu2WwqYxn6qsBtnN+AbHkdAO8W6syndUnsS+ACCewa0YUFzTKxE/zmo
IBbWytG9aIUT7sjVD4JbV83ADluBKiie5LGrAuuZJeGzPnb2SbUz9tzVtbUy/B7is9KYcSU7s6K9
KLEK4z/463WwrnoFcI7q2LYtBGmZNeLL1U+1nZzLxhawbj1GOoYlOTQOm40iNP+n4/vRkvERXYxh
4m7jAVJjqqM1T+BSVScsk6ZtAO35myuKSzEaK6BNRP6Q2Ljzt8M4npbWkZzb6iEEyf7uCqwJezHS
xl+FVaisISDzK0Jq+MjRhgNO6AIiBs7QWOt/shpNUC10s0g3Vd9UDzioHHNI4B1ohDLEwIBgAaQu
rY2NzXxIm6EpU+v77yi5KL+AmQbXSGj+zMrcWFRlEz2bMUr2jZra+xDZ0hOzoniF10B9HRFEtGN9
KRai765BXdBaIHtrexRT8/AZtF5PvjCyiecjidwMhEGjMxk/eyCZWp0ipbgMAAAfud6iOVPuPj+G
E3gkhKTFUcpvq3oIDIEqdKU9g6lPPJpx3WqbrNbaPZqSwH3SQFKy8+vwR6OpePqD+upH3N2UnTFu
nKDnX4FE2GaaE/5AuRNQKqeSh4B/iDJ4ESyD3hFf8/RHIBQbZOzJT/T84ybWrjMfpo8b+OQmU596
rauROAZxGZToNK/q7WaNfWv47Ohh8WhEIP+UnGd04RbXPBfSR2sKCCDr8uijVjx70Bohj9o1zeFf
Ih4HNNDRCByx5mNsNm79vfVR8AZd9qWBuudKDUCmmnV1B4ZWLrBnV4S+m8Z1BlXOxLkMEl0WN+aI
pDsDhav0nWPJSmQMczzNAas9PABQB74qFQhD5Du63EIOpAvKJ5yOik0N9c79OBoJdpGZ6WWG3nwd
C/ZK7yBAGJfqRxAKlcWTn4lrUC+DnBRqzQxbldNEC9tIdDnIDgzPlhLSpmUzwFZA61DUTnY2BzAz
geEB0jotJJ1qJ/a3PePRY9yO8VK1C/sni3eETOwzrqJ9jbVP2agrG3K1cKydXHMQW/yUJEt1Appz
357YTjKRQdNXOM2GKE0ybQhXaaw1G+I7Ies8TJXqk7OMNRxxcsSYLF3AuE7KyJpg4xQQ6IQQ3Mot
akj3kUFe6K4sIgs0kRwM8IyDahbpKdMBukDrwnRLySu1xc9CXw5XK+CuYLGwwsxDM1riDVnRe8Q/
0mdpslX69nboyiHRkeSsvlrnIcUKkzfPta59A7DeXcY6WqmIyZK4MEvUXVY4TbpQMUC31URxKV2E
NNgyggwzU+ZswN/T4GPBkO1pkxwJEej9LNu0QI+HbPPO8qw5+6avHhPw2Xoi1+zvavdI6b/ZAZBK
e8dNni4jIYDewv6yPKrycgPpolt/GzpONk3rAH7W+LkCiI0unYu+K0LhdIXQ1qwB2SlxA9SR7SwU
dJeddaHmFzJMeQtuOAunUq4GK02LBSVAVGmYI8jgMoAHUYjyGtSb1iSYwvDRP8WO8UojU2quVFZ2
UkE9eaapAvr1q9AARyyIn/Brp5Y3/pZRCg9lHvw61tk7mtwBo3StN2BNxpcGDINbJecRKtlm/5L4
4p3+Z9LBcCCKPf2hocuGIx1OqwioCaBZ8KUwIwbnwyqZnQTnfCNH6rcN1a/oeQe6XCuTcBNVyGpO
YzrxIA23c6VMO52VaCopynBTCxV+stVPwa+ZUySvKrIlB2dQfc8UVfYjfAlZ1v4IQxz8uih1DmFf
iEvcO9AqlAYVQFjO7QycrqG5aTp8YvFFbH3Blu6BHITN8cEXMQR85cqu34D5NLI/Vo76CMol2ANO
K3cmQIbdqE8r976l7qfvl7Dj6gEMO+WRLq0jdX07g+1CI413PjUrk8XNx9TZhZm901HxXgLda5+U
sLCXA2f1akwkK+Q8hj4WqMlA0HMsbC7VW5Tq2ORW/JWXEeSGuPuUuYP6XBX6Ct+f8VelCSHd24b9
goaAULMN+myqVQa4wVejSpGJLgt9R1bdMN6h8dE+kNFmC3MY9NcBLDgXNN+92n4Vf9WQlEYjqWIu
adhHkbmyBTj3aChGcX1SNPz8pOLamJ5UB9GJ492Twi9ZNVn/8KTwqc23pYsPR+W2gLuZIdS4AG/G
prgvkcVrsRuZxsiI5ueGnGiy4HnmlXISu7P6WAfoU8iyBk0lvvDiqox+JG6K7ktev6H+Ck7l2uW7
iCn9S9o2LzgChT/8Fi0LaeynFzTyYVcKob9/jOx0qCHphgDe1DS7jW6kbNcMAKtDtBMtMBycEcpY
7HKkI3+JoHw0K2zDlRhCS6LJ2QnprhDsDE63TntevAxqmy9YUTa/VOtgYh/1VyV6c8HB0/UUBUE/
rQ/+1ev6Isij9zyqdoaM+VjfHI3r+roV2hur1DZDyArgYCuxaQAifMqbwl84wnR+KO2wTPPe/1Xq
0dc2CeuviYPowTbjMwBW5V7/Q1ChQwVaczR8u4kQ2QsXrIqZHT5mhW2gkNvp0//L4O+64C1YM6IA
ylom2zmgOXiuyvCdXgkKxAt8DVQLXffoFUCgKgNHK1rUEIE7ELmW6fR/KXHunGgERfCb0f9RdmVb
kuJK8os4h315hdgjMpbcs144tXQjFgFih68fk5OVZOV037nzwkEul6CyCJDczc1kX1iM7h2xcn20
/hxHnFx/zvLh+THOQlgmaEwzgyquDY7uMCr6E3jfoxYa1Z4GFZGs90HvNoBRoQm7k5YbzERpXrzT
rGnYk22CtKsyn9KYMKlRGyS9aTY6AxVjoMZcX2vRgEWJiTUxKmGA85fPe5TW+uo9sQGSF88nslQN
tUZazdmF6FQ/TKrlRJdFwkaN3r3INIGBBflDp9sCL1Y8FF6N9Wo9uXvPzcqHCuD1o6EPmU+9dACw
AjgICxoXNACIx53egvuamjSqGfUV7qO7komXTrQBLBm0uEZTPHCWZPemeb+4FwpQ1jqKN+Zb4AbI
VM3YOjkMhf+IFJfvdzTPpsX86x0VSfXpjqosQujb0ZvAhj49KBT/uJvWaVEfgQRfMSXfIqXdJkOH
KsvS+q63hfbU5x1H8aKTHEvh4R0RtuBv/cPVBs0xuSZW8e7K1bw868htLK693LL+OWtijsmRXPEN
ASq4Zem3Rm+2VprtOJSOXk3VRhiZYWVueEiA5LWWbmyupa+J6+2aOJXpyX/xwJ7oq0c8VNCcU1p8
6FFQ+voPHqn0CMN/9hAdtj90H+QRO2V7MICUC/LYuuo9wwvBqDZAfA3fext6Aai7ETdugHaoz/i4
RzwAxEIW/iT4d6qvfwxSEMT9NEjLRLgdPwYl8o+T6dP0muFKUJQM/+qacoOg2Php0HKlHAJKF6jN
4h0sB31cyRnjTb9qRjN7A2pTQ0Yk9Q7giG+RBcVSiv6efeSt/7PHCA/AG/95jpBp2U+WhvMc6YDS
NjvKEHZ+Izw4HQg3LsI4XxWp3gDnjjyvb3Ytu8AtmVqsA8mPA84YAN3sonj8bIEIdWVC4OBZyXjs
54A2ghTmQMxClua+NFYRvuAFhwI3E+pq2qjUO00R3Z5GOx+jPTlaonA+Rnuu8WKN2Pjh9TIBWGQ7
fuiG47e8jEELOhnZVYus6UwdlHspBzXQOw0PohTgVVpApZnTJ0FD5QM65CbB9ZHqG2bVKdSTIJvm
uk+0lK0GT9sAU5numtFJ3+zP5j+8aX1L3kmPYiGggb67hZn6Iq3da2UT5WuYBKlMBVFHITsUZog7
qKkMSpfdK7zSV6ruZPcsx1knbSCS1Vc9Ssfms//Wr+zExRpya0uFAZNW/HTUnJ2ppsAU1aeWjlba
etG5kjSM0pNarGqHn67ijeJH4/TYX7YI47LVxOx205qoRFR1Ff+aLuMHsysyf253NaCZlqbVKxcI
5RtY2NxbX+sFgm/QKV9sRW7eVzoEy8mUoQrzFu/nKcD5kpycpH1cvHkMPXo8BHVAtgphopWWOFlQ
Zh74beTBbsGfQ006s8ENNNuWji9+X5rkRzaaJWm1DlugHKgkzUihn4j9W9c49YXOSgO1rNRB5BkL
MQZ19PgKQI8O+zxypoMKUtl5xNJBY5epqINsepnXkNzEctaK2mRWCHB1L7mpQNuRIgCJBtgjdPSq
gpfHBFQKDyrHX+nLgMhCVTBh7y0GCSQd5FwCgGCsNNXpFEFe9azhax/QK6DhD72RWd8HVZlWTSOm
Uy7q7ozfCj6tjL/11tjviIaWo65gVRvesKFAle7x5FYz00ddLRK3S68LBqG1HRv1VgMXz8YBM/K2
BcjwVbT9I2BM1W3gqnJznfAKSED5KoHm205RLGi7wEvXFJQ1dOFwBp108gRQworsdm4pe9VxxaqW
bmmmAG3RKsqRep2b4XTxK3Z7QIAIFVEa6ZRztV9hP67vmzgTr0VvrkvAYR9HYbpn15y4T25WcWWg
U0uYU/iZcKPvmgWGb0Mw42JMSnXOlB5U+7IjDa2ftcgk5p/xk9W08ap1m+i7DaJDANlcUJPG/BDm
VgF4P+whCtTHdDJfijBpdp0LnVeylwBkd863ygYsGOUw+U4HVeKrEDbqRJpsBTRQvecx/hmgt+u2
kOhmN2hCxrdMdVD3NI7luueiiECxHFsb7oIqcG5P2M7vgfZExYaWxjc69C4qevpcXGgGMomx7i/Q
opi9FnthlQHKH5UzeZE9Npr7sKn042JCHXjrW0jH7do+Rk1ZXseuE7SSYjonqeEvYOBc5UiYx9oT
2WeXL2hgk0C/CSkNk5fQFLbFCu6JHG1jYL9xUGy7sIoo5aCce+07sYssFdyGlvFVyBkEsj94Rv5w
7U2sg9+5CACtMdYD6eE2pnqKjClcgTePBaSHa5MKvINXUYtCHw0AZHJoBMpSyMEUwJTUbhrt+sIN
b1WaumtmWeDb8XLlhjr88NZUrYc9RNrNLq30UyG+iR2/dkejeAkyWwGcNfWRCYhHvGMh0YK9Lvyp
Y5l8vpa8gtVzFGsr1fvk1NGl6Tz5kBSbmLEEEIB2E2p6BgWq3PICF8GibSjDrfbg6hcPvS71prJ3
zPMhSJPhrLJ0CBpD76VyovUAhYn8AMCa5oN9FfQCXLyAVba/N2SkZvGl0mrytaUv9VZR/stJFA3s
GTxReGBRSJKHOXLWo31gtocPdAct6e1cuJMjKuBrWQRArWHsR6cqzuD1Ls4ERKEzPQ8vk6MYeCXA
XuG5P4AT8aBLbPqX529+1qxSPyj1GzW+PH1fbP/4hCIyu4znHHrPdgOlTmR0it2IQva1YtfFiydj
EEmKyAiervKlTJwnPUPMxtX76LkYHlKUs77o4BI71yo+n9RcpqAmTcHkFNSUU4ADqtvkDuT6YgFd
L7MFk4aSQuBFLmVR2rYxlLH7PtSGAEvQVNzCIUIkqGogz60b8SX9GASG8XkQWHfmQQYIx3KsaOXX
YpaoAbeM7jF+o5aRAd3XQLVpSx8gywWRqWqi2pkGkC0HJfwyYIyq6/vKweRPTZT85IDkf6vSEEzd
epPcRWZr3fBa/lUKffzmeAqEh5Qmv+tqU721zPiL/PVGqyBojQzIlEfdTbgJxALkRExVy6AcoCWn
Ibh5QzEm86c4NO9Y7nobgtrSIR+is+e0SCx9oIPJTs3aKnp858e8AcAVrDZffGIAO8Uq7B1xsLm7
pnE8hR4A0EZYyPmDq/0Yp+ZZhbLea9vbMuqUxFehIa4D6U0Vb27A5iKHRcCpJuETx27Jdye3/qtR
r5Uk6PxztFOZbB7NbPPz6K6JKr8FlhEBFQR99FQU59gM8biPmh5AIVRZdS3U4HyKCYmG2evG0H42
KFcJUGjoXGJwvoDF0kFJXZl319aAFE+ijd23EblbYEXDvyzE9DLmaW+VHDQ1k3NpHOd9EGvH7uol
SEcMrlccC1S3BzM0jH6HlTNhmaf0+3k9Pf8QYWulbV5z4687N6kTuUpvD/Lrfm3nayhDOFfbrnqG
ZeLnFjAjUAZ3rykkA29cHmAZjfYF4aXyUihGcukyFUVCkh69M5AJre0eu2bZbEN1X2qTBQpCuIWF
gep1SY+OVIkVRKIAogfAV4vj78qMsT9RssD4s0m9blKioCPNwdFvtO4BP/jnUS3TJ6QDja0FgPEu
zRP2WObGz2ay+U8+TM+G0N8ddFSArqfYWCsoV7iJ0C2vY/OAWFV1WywdexhQNA81c9mPFnXVWhui
9mtU/M4uhyJdQTeBg5hnik4dIHJ7xUZQixb0S7OWJcRLkxb/1GQOnJcmjc3tzYxTMwz9Svn7dIiV
o1O1O0rYLyl95lXKkUcNpBNiGQTrxbntErYrQeO4g5rF8OhpxbeWsfxnkblveeMh0i4d1B4yVZ2o
xkfsp2eHTAvfhNu/O9AM/+IwKILt8GZ7n8HBJUiE82OGxYHuoebVN4Qmwd5J6LveUZ/chjHkkQyZ
TPp9YCrOBBLavgbervXS8cW5BfYQuXfd3v5nYJ5mf4XoAwOta6bpeiiGNg3Dk/2fIPpVhEL+kMfu
Ohpi0NsBNl/Y6V2pNrbfdIoIVBvRKFpaZ31bnfH9P81Lazd18GJPERmi3tgxqzP2ZojF/xaHoPFA
+5xrI3zEVr1EfuC3vBcJd3nN31nV8ws4b9/FwTyzzIN07KItOVCH3SjOjoaTjQ4kBfZ7+GLGujQP
sh5Me3Ql6qDhmdeXPjXdory4TvfKbEvFv0TVsWDAKz9K2beCj819Iu1M2lHZJ9/s4VsShc29q+SI
xxtAkg6ha4AGYwpB7dDaFzYYrU876S8deoJ1GSe0pRyhvThKZu1ND0kKx7bqezoASdQHdl1q2/ZD
ajYB3qZH3vVKHnobu19HRQUy4ZPefx4VpoUviT+uNJEpR4HJC+lsmclvERHagOshWZV6Bao8CZol
LoKF3516sRxB5Y3E1eYEqSVe+E6OCxVZkyN7aPDc/V/M2LRttRIzwVbLQTQq8GVAUk87LOVXE9WG
L9VUS8EV2eSI6l9HLMNCU0eJufRmihL9fqDrUT8SCouQXF8xXooAhyMqeb21Iwv1ZnyWPFuGLICw
xZnmiov88J9/joYtK2I+11d4qK9wDEs3LKD0PMeVIKhPP8dIjyzPamy26brSRc0gAjQNdChQJGC+
CrCu7OxR6Tb0VFWwZ9JeSLsr7R/+oh5NYK55tcty3m86ie2NgbmObd14dWzt3d/jUX1AWQtWtXK9
2hRFvg3DCClVik1RO1LQnukprAZITPC7puAFaVAip2SgkdcKq11FwtEhZlyjGCJBfCpagUJMO36y
zqdtNig+ym3a1SeveS4aQBPQ2XLowDOOQq7p2ugMyXSQTN7TYWqU72NujkfsArAZ9IR+xj9kR31k
KupJbP5hUNJCUJHcQLP6dVDlWWJjN2776Up4EfxIGOpTadDHlegiZPpyJeqwo/j/P2hMf0zefZUn
/amRh1aFjqmFVXrrL21UbkMppEQU9cPP7bFiRVIYQ+bTVqqZmnGh+xpIeNefjDTlMhk5aqCe3/cN
oq7/dNFP0xpm9T7jcm0QAilbb66+SqPI3MdanRx1M7ojjAGBCgiL8Kd96nvJbCl98z6+m5vkjALG
2UatT+Nr6EjGVZkS6ehG1/Qf7p/iv++avpoei+9IV9RHPgGS/OFoMogAnnqSDZ5dyclFVMcLPlw1
OTCtq/O7Gq43DZFfD2l39PIqAD2vtR9qcMsg0dAd6ayVnf9/W92J/2Y6JWrc0v/P039MFdXiCImy
IRBK4m6JjWwwQn1FzZnYjKfG3KziBFSyH03qXZz/dSzqbjAzwq9D0uQvmelsUAPYPIelZew7K2rW
FP3+sE8aM2d7Vg3ZPutRQEFMrWAWGu4ir/0hJs3ekmlhcKVOasbwANTO3hKz6zJy8f3wUBGaRoBM
zku9H+MVxf18hWUoXSYv60/3sAxf7kHph/kelmmJh3ZpftzDF/tyKenxT/9S8vi4D7pTQ/GijZ5D
mBvyyuZtQu76pPTZpcjqNAG3uxLvJxPUBdRbpwWY3UyRbPIirFaGogLBqEildjUdnM08g5wGnwuO
vEcYHeZ5jDbbO+7g3tEMeZakt2rYLv5On1l02cUEidZk3+bgt6Ex1OGmKFAEZ0u1oiZ1GHjJBIiC
OJv5Ujq0VP2iy9lhvj15aZe57h0N+ePS88S//8WDLrL/oxRFM2z9y5rXVFGI4uGjruFLp2m2/uUj
G6a2J8zGQcwu9W5iwifZryokQVsjvU1pnl81TXjIIpnp4McOPipt4oKWSPaATLLwbc9A4Aew10qd
7HXqVeOagK6VORUEe6VOMtlFAhFU7tyxVCJhP2CySgOllK6Iu12JRG6QlWa1jWxsy0h/lGyJtMXS
Rh09lAECspFLVdT1zUoiEQAp8j62nywO7mCt2EOoeIISbv9zrg2qm0E9cGgwfWoqpvipJxw7Peot
pEKTrDJyU0VdQc5k2Cj1JGVBW+s+VFMo86G8ap+2hnWddIcHvG+Gn+B7T2W2d3F1I7BCuWZo2yDP
6x+yOrqrOt06zXvqwXNPNY9QqxeqQI3K3kb2Ok5TXow0WwEI2h4cq4DuKwiMXgw7HVb51Fd7K1OM
F5QSX0MIptxElfOHouV78loGkZcKQO0qtjdKrwJ8IQGb8QSEd101OwJzEl6zBTdVgEo1IJSkx2hX
D3VZqGvbNQHvY3z6VrjG3rTb8YlHhQCfzYQlpWmM31LH3pdR/G4nf7JrlbXv8ulvpg3Os9t9p0hG
myW/rFYrnvMYWlagicvvuIjwfVMGSD+wqHkoWDj5dVPyX+H7mKyLfoXYEeAHlKCAX8WmxGFBaFjV
lRDgiWryAwj2S586yTZqvR50qLHdLjY5ysvC7C7BgsZYeyPCtqnpRXclSibvABrBq5hO6WBEtePH
XG3WauHFYMNt4yNnoQasypYeZXqomzYC4yYIogATxwNdRY23y8Bygtp2NJEHTh/gvzz/jQrObiXu
lYdU770nN/c6P+KFeBoTYa6mdqxB6aOznaZDt9IUSnUyhmKEwLWpI8ACcCEirfFr2XQ/kFTo/6qG
2jeIz8GI8z0bu/IHTclCVTypH1OGSeesI6NXDySMsBxK5H5O1ISSyn2Lb9aWS10FUlywSY9haWcD
A41aLlWU5DAa+zGMTIsvNYfWxv0t6g1kNI1hvlAM+j0wkloPCSj7twMzim0ht57F86Ql1bcQ6vVb
kYYF6B6gjVQ8R60mvpFvIa3kyx6/+NLmlT1CG0ENmp5jS/t/TP5+yY7n4puwlT9vhC5JN5LlWfn7
khWSWFvuOGBkBJH7LtfTbq10vXiruP0CtLp+QyVve+lLt/CRQRBv4J2uVppmTAezkGl194nMluZ4
X0Z3nfosQGp9QP4vfUpiEwS6avlSC4RSQQVV+4kMTYNEzNw2Y9EDlItesIMawZDx5kC9mctvk9oD
OAws+VNtIPcnB9VFhxf8lD26IIZDMM7rrlpmDUg8InxItmhE9PHLGfmZuRKtuMmhyTuxHUFy21pM
q1o2a1IIjLJpZbk22411w48NA81PEw2IgU76LgH/0eE9lyCc4mxL9LOrGLsKPKX+/G6czMYMFCsd
7hLHHO7oTJcISlv3jqHeZKNPNgVY+02tghfNBTmAIWViNJaE91nFVwSuErHhUYuAV9SSngSuikJN
DebrYY+Ep9E38YU60tfMzsb8ysd141o6dA3waaNDx6p4PeoToMf0XRxCA9Tu0BATimjdyB/AXN+v
J26L2GcMDDjHpG+sl7DqKlApIT3c57+yTIXeUDiIW6EM5s4qgIkeRje/FzV0y8vCsH/9drUzMwri
Rh+DEJU2p1hXd1QwHZUiW9d6khxE6jpP0W971adQas3rd7v0J1VzuwCfTNRm7RyMytsiOkFL5scS
jGpDxF2A9BQHsoVxfBg83cCu1ZbRfgU8k9BbRdyefiCeBpyArRfTHVa53SVB4R3ECMQEsKiRPaIq
AYxWWDw0m8yLxJYilKNgKC53UgBDq3c+fjoDSU2B/FT84BG7xGKTvgPxU/w5lOsedB46sJlRbTOi
UtO+1rzrXOT8KetkOJM/FfkPoPsmhFiQC7O8MQYPDt4jskUHhat/K42dnijjlamIA5E/5cMmJbLB
IJ1B1vUpdULjTAcEhxgKS3pAwjtvVFaOKM25x5JneDiNu6x4IrMObRnDt36hzLZ8MxPd98CE+aPR
7GbFmyo/5YrTXnVTn8CV6LAfOuDEBovKR+4aKGNUPezQkemkkeRAI1FMcLFtJAlyw2pBpyLEmivT
8JJE1Q0yKPavAsSrQ2olr6B9BQF+BQExNwVwlFybAmAkpEeQ2Za/yKYBXULfGRH4ddCkHyP/+FmC
JMPbIn0T4avkIXJE3XRYejQ8u3tsHnPwvLbsIW9rUK4Z2R21gAcV+0rRHJ+adEDxz0MLpqQ70olN
Ervcm8no+LMo7cd4i6XJsXMnVLhIbsRS0iIy5rZBoYQgKyajTsdPDuTFJbVip4Y/1cQLdGd64JId
eDkgj6mcB8TOrXxC2AKsBh5WVo0SmHHC1nMbsjAOyG+Gh7lJg5E13jVJAnompzyr0IY+2CXAx4Md
Rm9cqzYU8u4nLBQ6i01X8sAr9h4EJbeE8wcl4skvpbMfFT3Pn1uhNxsXWZDDqPTKRavApkceHrDY
nfdzUNQmaLrIuJj9NB0MvDI3zsiG5z+mAk9B/hymoNf01Ebb1ghRqLoUmkggxTOBPz9u/raK71xx
cgbKkXoHsUPvB/cEcAR5OT63Ck8AXA+jm46g2EZxM3Gqmq44FF3S7HiejueuBZcSKtH1h9IApqKM
avWNRcOTCxDm3yCARobkfe4i9TD3iFCra17CAXlohkzrosBBv+6qB4SDOqjMkGxLB8qc3keQTc1/
gQDPO4sJ2+d6bE7Lu9jrnWQbqiULCnoXU4/0G6SfY5ugvx5QhnQe8Fa+RIq963TBX3mCWjkkNYB3
1PBSMxVvAu8M0iFe5e5GaEHOHkPq/jceKHq6czSNgTgcBYki0vJz3maHudqwinW24QZAxLo1qhn4
UfvXvhfR6U/nwcgTFBxZ7lFLzWkfia6fl9JxhkJwrYZg4ZBPe1c4/bqUpP8f9sjp3v1pSf5hJ/9K
forI3yiLDURg+cZTCg+fLz065poSHXvLSgp/aaNM/r1nselFtC6q0dstJjoLpwI17C624fME1F58
/mmqfxziWsL1vQE/PlLYJGlN267xK08tCPdKpU3qiFBvswHv4hQs6psDarYPkVCfFxMW/+q1fV0M
pME5je7DUAoZ/GmcWb6z1SEYlXYVyhClsicNCBFOjsb2rLqN9YhEbe1n4Rj9slB0DhU78++4qK6d
mJo38CFoQRVZ0Q1MOhOo5+v60Do5CltS/N/RcJ27tW9mMaPh2J0k66HSnB2gpcU5LPr7SBj8sfEE
f+wmQK88m9/IVGh4GhpVGfEgwCOs2m6bWm6FIDKaH8MtPckfpzEBbzUALihL4e22SKPsEOuVOIdq
rK2sRtVeeDU9kcaf7sYrcIKOPxDVZkEHuqT77mOQUTFxhl5RrI79VeiFeS2APQLwHs9knIIvt59k
fkfpxCbpPONKh6pA0s+RAsCfbAq4YqMSOQ05CdmBKTSvhijm6cieSk1UsLWkKx1lE/TaxI44DvpR
CxHHqcQxF169rhG9eKvSdvYAS1zEUiUQedXPBWMiTYGA7pLPzaW3KyQ+WvZS/piaSy+N9TqNr/Ow
P6p6j6rSOKq8O9ygP8sMdZnm3ZV4mc1NfL6nLVI6+qkwBTZjHnsA7xF7QEKgDyzPjXfUjFTdPIPG
/gC5oelOHRQOEs4e5cuRhqpgHehMlFIFOYuRvm+Y49d4xM4Jqsjvo4o9kh2wiGIdNlYN+kuHvcVg
bUhD7c3ODH2Xpa21Ji85q+hQviDAA/1pVrWtAqr7CusejFK4ubq2sQqZtNo8h1lsnh3UlFpJZ58W
E9lTZezXtRyxdLgSH2EC216ChKP+Vta1tXOrsQjUBNjDwa6MPUDX46vVjJAqAhRXGQEAUZTE8rFM
Gl8LBIFmNwEm9DVX1WZFGKw6jrUT6EUrX4RTjGoMNBsJ5iJY19KkM7LVjfWXIeFvrHoFr/MdVWmn
bnnvMqt6ATV6s87xqj8lBeImqqUrK5ROiNdete/03Cvvx8bM/GECMsJL9GFP5YEa8O5BiEhJEmfr
xFDjXdTW5iXWigaVH5n2bGtYylfIS/2CQANkhZD99wHVOumRonyDTKziD/jFPXh17q2tJI7vNBTO
HL7MNKGy53m0U2SqMu4GoNfuVk6WRRBfAEuukmjaY1QwBhrWGMAkyIw8lrWTbrWpslfUzHS3OrpG
2vkshXPPNO0K5bFdqUKRIrCR1gVqsr6nmXgVR/5kITxJQ6HY9D4x9WoVlh9RBrAkpsqG07yuo7Uf
kAoXVF4gTEMLw4/lIDVZb1yazDP3y+KQ7IKbNjCg7HXkSQfIGpa3k5O9oXgA4Y8JdV3D0MabUmA/
bRh/0SK2tVR1NZqRc5wg5HFdBtaiAHGNZT5w0W9yq0xWFDmq2x+aW0POOeTFznH4hHoJBJpy75NZ
z6JpQx/BP7zJTN5F/XOZBD8rAdUJr7sYURgekPiYAlJuQYm+s0J4x9lRsxhAFm9Z4RVYBe+hzSek
ECHoQoNSNZmCUp2ao8eNGm9+Rzx5ZjdqJZgu2x957UIKS8KLazevnkq8i9ULEPQFaFUyrBRSqMlr
epluqcnbobnPDQW8v2qIxT3y31FTDAfUGEK1kWWgMlhGpKFqBLiUOCCGE0oqtvQ0NCV7mKL4mfZn
nVOB8HsYs5NXD9FDjG0F2b/4f9jJH9isbJmnSvVxr6SoNYgQiwHBTMy2TH6BWpBXHvAydXxqVo1Q
bqWeB9TSkj5/BEbrJcvV6W42KRxUMqMTbW35yQI8xdz3U5DbZh10oIJ7SwvgZjy9au5Y7MT4wkED
UtpZ6hibbgLocZDNcTA2Y9KJJ6tG9VzLvTpIpXpzn9uKj0hVfZdnA99OHMyWwldZH9A/mWAK+IH9
HByg3DsL3zx8TpyfdW64IEiw47vOmmKoDWnaSqhVClxZZK4oWEHP97IhYuAOD5oGWN4vHeTypZcm
QPWuDZ73MDSYX3KlXAOYFwYaYN0XJwNhhTm4HT6gZX9FeBAM0lnYf2tTgIhlDQqqN1GhmKlvy6Aw
UxWUPHSWP0CMag4VtCp2TqLVrJsrRLtretbtRJKbN9B6OrOLqXPnl2K2qLyoRBoAbsxRyhiNWwMU
dYfRdLqzMtZQjuxz7wWYscdWagKjThigxbD8UTQlSKrxLbz1mjVsc/DPHMapBplXMSHo50+qjHkW
Vn1pTGghAGORISHY1peZqmExzm1LehaJCtUElE/4pmDZigMedE77YT3i3fDmWBbbhiCP3LI+194G
Ma68cWyfgQZix75R+IrcjMSN/bKHbFfUFvF1rKfMp47Gg5R2Al6cI4oK2fN/mtcEMFPNhwsxDetD
yU9YHD2pFgNlgIql6aaIbLGaatGleFgT1bcLqILO7aZx/drUsisN9uKIn5w8edJbEd8KBrJx0FDl
Id6mo1O+2bnubRDozbfUVBNnO1mJ8qi7rX5SmYdwSl+KN7DYJwE4OpM7pXaaR4BG92Sn4bxHzsss
nXsUZb1HHCggAZIjPSiYWay/dPA45CBpav05ZDGHMCojP3t81L0qEFEN/pOwLI50KGP3/YyaaYRg
GJ1h71K5AZ2C+5GV/tLVtqAfMVA/uOLSfekoXRWONIYOVdjgCQNBAliiPegnKJMJwTwTbx4/SsIR
mBsWBSMixt3mU5couhA4CTYgGKiGUIZiypHcO3w9A6sUmImMYQk86Q1y89OKumiObip6v42n+tRr
0Ux0ICwzxHMcbWuZ3k3aVLlVrbIh1gPqky0D2oYxUEhKuq9LVwrLswtRTVeTyu8aAIHpv5xMYzOy
rdBjOyDb/CyoShS4g1p9orH+l4lE7z5HVTlseBcfl3cNnc3fXeF2hxSdy0uHzugFw2Rn40afOnkH
yvy800d/6Fi64RFi4yi2NF6wp0nBUzRo57DTgXv0LgpY/V4AYA9PfZkavm4L8+XLoN5EYAglyE2N
Igwz8bum40BSqu7JkYdhgHg6mJ/C93bNeLu2nVayQcEGqv33DvJexqlDOx0RavDJg3znqUzWgMaX
vBtb/Apb/fPllvlmP7ocqCssX93qnpKePwWp6O/ARP/ry6t8brrQJYjY9Gv5O39yK8FPITuXv/N7
tFr+adOp+cVqVPPwyFA2CUlCkhJkVID5TIypg2RnhT+AbJKNepcDuUw6bnqxMZqGhrAqtNcFsopz
9yf5SZoskd1cds+X/nKF5fpaAT1UuoJQx3DXq+ktdU1+15lxfodQk3LIsDCv2OD0PnWYhWf3PnX3
SJJDXymLVlPa18mW+ukAFkLovZgWMhcf3vOp02hs2+tZPE/xdUpqN2GS+hOrvM08Lxa/fLmXT1N+
Gl1Pzfu9kBHK5hogjEjDkY7IVCMvzVmOeKKUt/k4aEkKvnZTrhN+27PU6sEkEpXvIysxXmm44iLQ
LFvdxgEnMFSsANp0GkS4K1Cr35fyYAz9i1t17YlM+RCiVsOsYn/Eu+yeZ5l9LwxXx09u7PZkM9K0
OqdZfaQB5OGxLFuxsVc2ZMNmM7ofwsNyEaapbBOjXHNFttlLByfBmDsXmmK5NboIeeje+KKBgeRE
HnRrIKbBnkXeN0AKx1hxmlPrpOZudAromrMYX0xFr665W1XXyBkPkRbXKH7+bQdNf7jO89AJyI06
LGjzXJM9DVk8c2Bngwz6sZvFM1VTfnLH8ThPLy9EA7B+zX09nrwd+dJhMOr3u6LmMntqdgfX0OrT
4gvmxHBdOaM/um4ZAARV3yCiUt3CPEPsk2v4OlC6ntp4H4dBRtRLS5vclaSrb50W1tDsa34mUFuc
Y/Je3e874YTPemcb2yxqrS1Af+6zqdt72rVoBkrOi3woz15S5mCkBw8zRfM/RnIdy/T39WcIBbTV
yIUHJg9FXS8/dfrB0i+dbKgA+18uX14dYP/97EI/7NTOxVbVB32dWREwPY37bA+pdvKUFuwkEjzf
qkhzWWKCIJtsJr/dwCrWBkyJHyfJLUMH3sfgdaLTJq3NvRW2m3/sJaNGlDOjmXxyRK0nVN7kQYDF
FBzO8nSZou1Vc99azQY8kfirlkh1FagihloO1IY90E8wMyWA78aNquS1rfCkQLRDg9JTjhB2XAbk
ViMbduwHDmCCLBvUbfd/KPuyJbdxptknYgQXcLslKam192a32zeMmbE/buC+4+n/RLGnKWs8cebc
IIBCAWxboghWVWbmgVL0yYFWTZbAjdUXr4Bd3+8dF223jXSjDirNBLdOp7oHVTbD2Hz0VhtN6CgL
KzyaXroKs6vtxJ233y35ne1mh/VSdu3eXlQDQgWVSJ9/iejZvIOSmT1VRwNEb14hJSigPwdVTOo2
JExBXbCDlMebMRmpiQYtO6jIRt4vmUnrIiOtC9nQvKZuik41To7UF1CkCoGbFN9qdQD5jhyt9nXY
TRZAXwb7Tqalyc2P5QnC+pMnNwGmKnpI8BaMKyBvk/U6zl72OJ9cs3pyk0R5IpOLaMkuxd3mJ9KD
bFDcSIKw7uetPjoQyRGz+WcXmtmR0TCxT2BRThZf8OAtWy6uXcpHedR28daVZyrU0MY54DJ9B3VT
mblL+XCJO+/GRN1uHqV0GpwXv6FPIBUxOypO/qhvAsgdCveAcchBn0z5I/WyuRcBQnoowp1CYOvr
ObeuWe9DqBt1U+RS5JUIjKFF4UxfwoV2gsss08rL3mlWbxrWZIAMI8xdgloRsVDJzX8/Bp34jFMH
kI4s1oFaThu8B0666+rA1LV1MKnqAEkRs9m00zD6NExisMslmaZoHhMu4m18KHfrjNZV42VZp6Ii
Rp/1E41We+RAo2Bu8+tqoj2XPcKw2dhxA+45eZ3FRheLxfBVzUJvDgGMXUqrkHJCXXQWgWSbfpwz
I0H1dFP+PY4VXi/+y485jcl/+TFfxwj9zgEyPXzjQkH8CrVObT+69XeQR+jX0Cwh4ZmpMSRKTARL
yGgOIYxmpykelAzs7Y3RYShMK0Z+tMlHyU12QQKPdqaGfD+vYaRDmW1YBQwqH0zDt4xSvkV0+zhB
fkIpzC4gyrMKMe3RI1Y0GlNDPi0kSwKO78tGFWp64JHyF5eRpUYHIbcdWTOw2Bl7Q0EDQvU4Np1o
liW2x618/NKjCOj6ucgqa2dXusUu1yxtCy6wem81c3OFlj1KDno1flcroDHkS32YzbsRWYM/zKpB
igVifI/MLEAHooITCAGS5grEK+BLSflzqOoZkUWUQVBizQKHSKCmMd8s1X+G2U5XB6WW8ku8JODG
MPJZ321xH/kuol4xeF16nLbK5EfFFTymUFvyNo294SvMdZ4q0ZbbtmTxmSk2cvhpFO1HvKWcnRCy
x8J22HOCTJBv5dP8rda6P9K4Ln66KAfM0vZj86E3kh9mJx9ucvPYgR79oLcvjZaaD0ImusD2Hh1z
mdjiipaAolMaJ9lQT3PLaRvXypc7Oy0jW0k5rnWbdeZfl6zbL9ek8Yz4oGGa3VOjpzWEa92voxGj
JkHpIILc5WDzb6yLLUdOVJYbjvjwliYZM6sz06yvVWVCTS6Gfjkh+aj8Qa/TyActPIgRJURhlg31
yGWdJWey3c+ODGr1TvI16wqBtzxNE+5LozQZLpK1X3MjnoKSi/E6RnbxEOHu2TPbglZAHrJNVMXq
C9crB3GRpv6jceNjz0boq4kUFKTGNP1Yd0pRURcUUMe7jlm1aRUDv33a1slRn6tK1EKGgxqq7DvD
oyE1fa5DDwoiBQ+r7e9FInGdS22O4Ltl+UVXS9+d9fyRwOMELW9ROO03wO0ugHKaRa1dQb7khlhb
4rc8qVBlgdoHvTQbX236bhMTtJnGcY13jWWsynldzkPv1DlG7XhMRDF6hVP0oNDKPnqRtCW51YEa
pvnH7J0frf3dLuQ36ib37KERm8wGYiD/tUlBRHPWyhoiyl12WCenSVh7y4X4OmuHa2Qkwyu0gYdX
C9R3GoL8zzSqayge8Y5FJxoi0OwGZcKBg5K+AxIBe1aXqECQQwUkvVe5G42oMXnnoQhMA61sNwRu
NuZBO4z8UKAOapFBd0dUXPddIvak7F5E+JFVefTsgszpOUf5G8XYp9j8L4sitbGeBZ//H4soPi+v
NCOnjP+1csRXIITcMwhxUaU6sGsuGeC5JGlvLQGR6NjJjqmhx0eyUdMpdngJralEbaah4+wAZ2po
bQzGpIOonSuZ2rq7hNkwPDSaQDCKhD8ZB5do4OANCjil7PuqCHojHbp0E4FzSDg2B4L2LCigBepj
SgQRddOi1JDxqL+voJ/FRcKJqLesoy2cstE2PVczb7a4dhLcUU9FM6EiJTVycHAPHzaapUaVfuvQ
AXUK9FmdfLPaaBdaSzYaUo+cUWNUbFZby1CsE6IkIoA8Z4nQFZhFidjHATW0Kkr1ixGivARkq0c7
xSs0AojlBcGb8sKF+dEzVNw4YVJbqFj4ZYKcZ46wXueO1tbJOIqSyAdkDn8CBfJiSnzDilIg/MDY
qD+mdoDSjpSLJtPakO+gTj9A/gYPYo4kpATtROOoPEyVMnpKqHJUZgB9TU1RucBhy2a1UW+xRQ1b
VpDfMiGUx9jiYh+WdrGtWigpsblHzZhsFKnfTkMF1Bul5kI551e7I1c1chVN5BxqkahJAnbXKqGR
EhfxsR3d/LW14mYrUKK6oWFhDeKUTuNPGhkpklopzqhanL+QRUNN4f3qHLGg1mIQD7QFZGo/G/ez
Rzarq7NTUrsfLvkYtp4LubnN3YRwxcbULetAFNamqYxnJC6LgybiPY1K4KbPgzYAoULjojRuZnM5
S/aJXFpbKQ7cBBNq1AjPtBGEByPavM+B4fVmUiyphPGFG5W9FKVpI+SdaXYtQ+trDSVMwj5RGdq6
njxwCnZ3Vj9AT1e+JxO56qILHiOTFwygVvOX8ciq+mFmeYLodPNMTMz1JEwvDyvnGrehfsotBH4q
SeTIOrzHxXP0bmijtuVgUX1AnZL72iX9M5E808rOVp0rxOb90aiW/43l34/flyC1UNJ28z+x/s9A
utwTjh49a1Ptvirm6OPfOyyjXJnf+rzNLjTXhV2IvIvbHmgo7BJs15modjQ06xglmxUzAxpGSdQf
1DQBBFvuWyg1RwC5egM9rPs6V+P4rEajT3PUzBiRmUY4OLyNnxcGpmUjcLwUcYYHg2vjOdGbxrlv
BuPcKp0xBxCvgUBLOe8HKDFDfbSp0OZmloHTFM8L6f1ho5myQKVJHBkRKBUwlZORvEJzdo7cVH1g
gtSrFnbqVcgGFVnRtk6BDy4na0QyAkFpHJRBec5yRL3Imxrydkztx6Sk+X5xJhvopfC368V53bRN
rBq8x2mwLMeh2fKKDDiTKWF/3W0povLjD7ib6DRn8hu3RI0EglyhNQdaoT4bQ+i8J1EGVJ9jlS84
ChqbsuXauU5Zs7fjNgHiCAUks9uPm8EY9RcnBIhU75rue11Uj9HcQd3R+MYLyPviVUS/2TE0+/JF
TXUDxWu2enZRPpqbiFqHjXIAwEVqJn0G2WCawNR1Xl7bOtM96NKDIDHkNsC0LjLtGSioqoISLf5k
MM72f41TqV5tZFCupmyqKYu3kL0ZfJqgpsxD9Vok0+xr7uxu4gjSMh7NFHb2MxPIx9CINqCeVk0B
RPTy87qxzcb2PJXK/b6//iE3+zj17R9Ce9cJKsqNKrym/WB5ShoZC+CecPWM1+mDXtbqgph3TQX1
YTgMqXiLfHRIomQsxe0yQtaPpXm7bEXlpx9LyULA/PWqK/SflvcxUpCQH4GMNsok5vNkIWKR2YNf
jIXq3weDljHFie4jQfeuFBMip1TTBx8vWOoScLoLFpGLzZNvNg+z5561ATNs/hfSKMJTILn8mrk9
qrOBskAVDig48Aqa70IUxT/ZVoHwaeTm30MlOvdJZP5Pd+sgMkH5TMvzTu/3TVTNW8gTesRKjiRM
9lrHGIFR6EuMaNlrixEl6z7nGLjoZg8IrMssddqtyg2PPZ3FQFpgB7MOeQgy8lCEyGeiaWmauiYd
1RIDkjtah5pYBdxrhj7oR4Lx33EAyEkHMPojwcHXSaIBiJOPyZUFYErit0HRywMUNKYgg1TWhj5k
+lRrheXHbHCf18+d7G1aHpMU1f7rNyRJptvlpZKkB91MjL2mWKBlMjsVbL2he7W08qOZEOiHymF3
We2RqukPtQGQ0yCEe+1kQwvWTdYJB5XOVWmBZ0KrAElPxfCa4ij7WKvWXi2TsPPzPtuktds9oQR+
QJ67mTxwfCdH8q17/BoVhQaJMzkrwiY+NBrQ8OtOvWaAXxuTVrhxVKSZ2MYFfKB3r4OhOPsiF+9J
kbpXTZrIDn1Bx08jqMPSRJ2Y7pV6ZtpCVjJ1T6v91z3MLjZONliB4l6zTkwKnlJjQibHdrL2SPYp
VXCKookbvygE+W1elP6N7XODO9sIcbXStJtlP5VblzLm4GkdSnBlg7KdGlCRRZ1H3bbIi01oh5qn
1Hl5Qi1oeTKNCNPUJZ+bceFMG8Me7T150yz5rcObCwDXnqFqJwCsVOxQO+M8MSkcANq66k9TAOMs
iYS6Jn2dKj18a2sVkBYX/H2DWirA6WHRhILop04YKRIpPIH8MqIrMXINKGHKIM50Lq3yqMVjt2e5
CMdLFrdHhAi6vTKG0ALgEklXSiTd5wSZqMmhWubXc9ME9jTXxwixpqVx5XC1oairqjxAMyZIXs4o
/aUxua9ODgdZl/eve9BExbXIX4B2fd19BdjW9OgOUF1LRQ1mWU5eE+XObr0t8H82XVnl0x20uBVF
2aL+BaWN621Ft1AqobB97OtgfrDG86Q1FUSqQWEMAFMEjOaZzPg/TpGWl5N55VlQpuLRgWSaBAjl
n9wIuVVSBlfHGWKDEKCiycqCsCrOREDk2C2Uwecw3wInPi2CT2kvomNfssn7dScSfBpLRbvOY7Or
me485LZ5XNgSiOXgt6wH8WgVHgiS+FaPM9BIr5QH1DP00HkQOTuu9mXHnI/QHK34Lk67+QKijGwP
UZo3Gs1aMl+W3gjprqLFw8W0wCZFtpgZle4ty3Qo3iSKeVydqVfkSkrb0U6z3CRtWXsQFu4Xwsmj
tuFYW9Fmfa0j+/oeOIBLEh5hsHh8vgeag4rPhGZRRxYsGHm3AQt0Lw+dnxrod+RzC9tcwszWA0wF
8W/puBjveOzWYRvZ1gZsHdB6k7/T9BWqc9SqjfZUP6y/3U5mAO+QvawW6sVjomynAd/juwndcD72
GCOcDlEpxbehHZe7BKHCB8EN5QveL86UxBydNPO71ojw+5/ghQv5V9+xGSBJttgOZua8rSvbLIu+
mlN9Vvra6ywQZikPKIY8tlFfH7k6qtvOaN9qKBZXHtkE0qFHaprU+Ojd2SBbhSfT73xK4O+2KF1/
u1s76UX2kCvl210YnWLpZAt5FG0UQ/mQIsmMOTrTRFKXX4ey0C+aKr9rIv8LaXKUsqdq8ahZVQpS
CgAes7EZ3j89QHyqQFPzb4++ERPAnObwbol82aPmKFekPXQAO0yW1xs9Lcs2QElydKYmbLh7rOY/
G13qYbbxgB9BGav7p0cFLfX2YHMUvYRO0m/GCXB3r2KQDGAgvPcr3Z6OiDbOR3MSqH1fulJbfPGM
wwoJFbJSE9ldEeAxBJUm6QRM8c+5gWJhCJWoI55D0EZSQqU/3oxd1Bbj12idA5u56yEnB0lJuYpc
aZFSzsNxXZ5Uhh185Nky1wFd7eyEB00VH00di1rZ0NiFQDiIk9MR6oz5YPpk/Mc8rf+HtVDmd70s
BQi0c7/rmw4hHtXAVzoHN5zSvhAb3OcciSJ/jqjw/3P0ua6yUGjx8Y1GJqDdNvIjMmQtmYBmRk0f
G8VTNfpkP2cmLe0ipCrxWdL058SypBnnn3Ws5sjBFOmR9WN6FL2ZHtdh6Dpd6dHMLMrs4MbfhYui
Gu+3LjfeNE+bDWGNLW6maDfVQA09qo0RGvD0rDq0UZw82UWTLtxbYe1AABNq8GcDkbmnqAA8jNiQ
7iYASE49RfJz302Yv25Vqa11jiJjM+TsZyh47kV1zx5HiJg8avGAEubmSIPeZhDcBgfYd7BD9ofF
IUnZYyfPtBBNqTdkoyaBHvTe1cscP4nYiBodxP9XMwEMBYu0GoSAudI0IXKk6jdjnPp9yfHdoCJq
ajQVz+yuM+OH1dZrTwyHxCeyrIuWuuo4QboqdCNQ18nCbGr+fxYkORKRphrlQSqSzFNsvO/enPK1
UMXXQfT+epwvlUaFGAg4C0DK+0gNvfaVgt+uX2ZBR5aAtRj0ne01dkV7pZ45gaZmbsohIBtqbH+m
ojGi5LuVZtXZ0pzhqGmh7hHsGfzb47FtE8MjhDRSS+P9LDmHRjqDZ73MdqEMu04yMmtXE6DGYN33
kyGCEIRVSt57e/zKtAifFXgxuZvtcHSM/owaJLehAJm9QB6r2U4R6A+BZRPHKAFMqe9G8cycOfHB
Ddf8IZdD85T9z8lQ4ldm4wOqVbsAWkpiV49Qyc4ltoaaWa13wD0NVxoNSSd2DUstv+hVxVNLKJSs
pzbc2ecI58Xj+i4DHjJ+ZOa0vO2sJ7ceMk1BW2Z2QA/UdeJzD0uMDQTO4synvFrlIoSeMGv010Ta
wqyJ/xTTg6wjKzwErcPzKJlb/ppT9nXkwnroiAHJ1oejDWkV/NiqE36Il/46l0QygFfHh14HdVIr
G+otfuuYVnQVSgSUNkp35qBcwTtn/i8ZEpRYQAAwFMgqdKltvLIIj68eEJ6z2UBOYRyaeae5Rfqk
1yBEaI18fAch7mOV4mOUy50uS9+jGkXiY5N2r1pU2CDIa4fvbtrj12RCZi/Jdgrldo0J4hI1xIh7
3vXQlB7ML3ketgHqVlBVVjC+U8KSHU2gSg9ZkSm7STj8OkymEpSQ33xVeYpEA/hTvgObvG4ObgLQ
nRZqc3F6R0BBDpVgKBa3v06gbJ360HofAILdWV3b7mho9Y4X5sbwhlKC5GDHKoQMkAh4BzYAKt/J
9DwNuYEDeIOoubSrboPSgNnML6aFCpSodL+RP+ql1OVyIO2w6HJkd8AeuuMVx8kf+mteJdyvhEzt
FTc7g7Q3WNBhvxvaXRyomttsUzvnT9xILq4xsv+Nme03WPVXnqBQRjVY/Wq3prFJpzaE0qOrS3gF
uG2AfHtiuTP4Ot6437Mpu9hyuVBsXwLwTzxDxkTx6AhCR4vW1cFqCHQcnTbo3DHjnRgFnp+nj0+X
5WxCyxStLtpgGHoQKRrTA9loBZ1LPqr8FVZtF5q7elY2pYimmxBJ6MQQf1/4Agy8FhalO5Uo4Qft
eermRxcVAeYh6czAjpr8GMvSWDsDyBg0H8yveXVE7sX6Bt0yMyhVszn3eaYcqyRRN8DP2V/FaL4S
2Iu15uKqtKWJvaHcGY1R6EVReZ4aW/8hO+B50n+krFo6n5b/4hPfroJWxvsHL4RS46W44La+n83Z
DYiuA+DZnwbwqI8FskqPlqH9j8xGq9kBAzIfBW+AM+VeDMTvO62t8s4NiBnEjIyfVnkZOJ5fkpbR
DRBFawO8a4tghalXuh5eylkfD30yXm5w6KIFDwyQrIfFhiRnG0yRijMkm660qpFLaSfF6sZD404X
sn9g2/9e3+J3y/CW6yRNG4QNKvH/7Q+YChRAftSC43ToBEKZgWmuQHqoVSlOsIJaYl5mksDZbipQ
oWnGV6JqJhM15OFCHfbUmwPqxxuBP58V7EAT/9gr5wb3Y7ogXWDdaLmgyiaAXbJiq6ra5t/TcTJt
t2bi7Jm5+8rQb9J5gLEYXoiI9uaOYJNLOoHVRi61pev475aMmivDJvnkQyQzFa1PYhJhrQMPlk4c
5Ydji/QDmrsJJFzbqxLbo+kt3orLt+QzEwkggvaVn054JV/GqT1fGJ/CVx1A/7gCGY5dgQaKp0Nz
NhShnypFdwKLzep7rYfbwXXSHxmEJEExMTQv4yi5fjPJLp2w+TmFThd+HjpUYgIAlcrdEhVB9YRz
3IZDrQUxL597VM12Xojv6MmMDXT5bIeBxgrX02qnOTmTqPOAuibU5I5gGNwMZq3gOW2Brh5vB5dI
EXvKrDVGAolQU8NJQ3qQDXxtfmVnyaLjB0W8rFXDkyKq2jyoyq4QdXgCrVFjHgq2zJGsHzC1gBrp
iN2CYh2Fzp+NEKF51GRDtgoQrG2nsjeyA5mYN3hOYwWN12W1W1hHS75CuY1hPDCJVEpszU+0rjxn
VtpeG4lr6mvolwEalTRF0OY4/eQQUWCOyk50bBrksSljJjLTldUB+NUw3AolUmz0c81nB2Uvqv7Y
E9iV9eqJep0EwE6fQ7Ip6dg8TBoQ7eTbxIC7o4Kr1MtGPjqT9yiDig71yAbJ2OT9rvcf/KIRkFjj
LzDcd3vIdwAIPiMPS5XKyOgiPoK/o9sbmCGbMRR+qTsOh6RpXJ8LhUtFXhdFEh2EM+g7S192MrE5
oO8yNfRV/9uTLL8uzmy995iFT2s0VQYKIVaCGi4vECC1w3JLQ2gr2WdoxvQC/+fGgKRTutcdqxMe
ZGzsM/nUo/JcdYbADYKnCLs2A6QlikR80cJEPXexDDjxbP4Wh6aBL3087aGLDYkuuPGWiddmeIy5
Az0AtSp2Tl2yl46HQB5bhfUDOAIvm4CLi0CnCMYQ7l4hNfvhC/Tq/FRZT6SrCIGI5lRp7G1sm3aX
WzMqo8m2CC7qsf1mQ7hjh0rnB1cLwxOpqDUKinHjqTrTyGyr9gmngcVECmtkR1H5b00pFsYVKg90
DfHu9at9902nCfq6ry6W3jOPRboVrM7LvULjVI+mAEU4k5/LehicP6FGMbe9p0F5wg0gsRVeFOE1
ua5eBJm62pFaqJaCWgTpQkvivOpxz8qSnBq1forCjavLjVfLjMKfc9UGJWu7P7u5xmG2iaJn1JWN
KIl240MxdN2lsFBLi2pM6w1yGK+QbA5/plAEUKYKmm2xXuFeBO2INposWJQ/ZaRv1QCl3odLZiLc
B7rUGPSMgZE521bCCWrZMJ4lFxU4lbkdtCCvEWxNUcmpd8hP0idCn4E0VWWlLep3Parwniztb6/e
MrfZ1MU+0pm4mVq8l27BWwhIXGGM5zHXoOc9lhCCGUcoMywnJBq7VQIpHcsAi14NwLREOmvhFJjF
VL/1UC3bzynExD/towj/YR/xSZWuFr8aIBsUjjGd25whbyapuSKnw+GrhvYwDWnW/XVIs4SO/w9r
aefVmdYSBxgEf16NGYl2xCf4azmG30jdNM/d3EvbNnvuwAF0AGGZseksELyhoBQE6BBILTuc9E3o
lp2LvrcvNYJWPumbctxFjhEqbzxtUfujpdGe9o4T5xs5DIkF1v2EfewNJg4Lb585g4wAQYVLPmme
06nFxQIB+AtK+q8L0ngCN4qiNfEDuSm2ApCu6L5WYageizi6Xc5ikHjodQopusSSFa4dhJKyxDkn
dmefq5jjd2lWE4RKM/ZCNgNEhed55vg9mxTnY4kmjTRTW/a7Ztt8Txz+kHfZ5MponegdY6X1/7Sv
JvKYwUdG/qXJQRhMjDp5E93sYVlVHyBpAOAxITcIlpEaUzDqQ3EgpAbBN1a4xj2Qg8NZVKw4/Bbc
QesWCMnnrmSrZ17vP0JSVeGYfpzqyiYuMvsla5gGleHK+RO0+huKIrigAwDMcPqONCyovbTUfTJZ
luzABZ6giDedT2XnfCx3NVXzODjvX6GlCA6uncrmZh/aFffUik2AmKAKdk3DUs90W5RSAhmM15KF
morOJqAkPLadNVzoHJL0UYXnbYiiY0llpThJeMDT7pGQ63XtxNveBFse4doZaDxOPNdA9CZh8UyC
29spaOtQfyF/UxdgCreS/kgO63KaTaHilnW5t5AiEhXiyoxIxImrjYaV4bperbZmcDdhaICuVQMo
AMsUxxeIVi7NIIerTWknbTMUQC6Syzqxrsjn9naDzA1zfw4bNTX9HF8jwD0RiV7oiUNDVlZm4Kdw
bIjSLmkVSresM5SCUXmMXzoyihzPFsi4ICu5FuKt7pSZ6UBp6+dQP9oCza9vC5ycl3zHGs/hzMy9
alDEkjOhuA0e1OMlNdMltbLGc+42oYmyZmDJjNsGQpjhcYzS6EtSWMVrLx5o0EsLiIK2IQoBnsiE
4OEfVhIbZxpVBldwVEf9FA0jJRQ4REDRjYYZBJG2rcYqEK/pyqsRj+3eiTTUuch9gVYdT9oMGSEa
zmOWPco/g3x/+TMabYi+VKzFwzMZn2h+LC+9smvnatq51vxF5QnKThzhRNVznxVBnPPyMPAhQ0EJ
TelJiMxzKWYe2AYqssO2ABWVNIbJVJ2oZ85FdYqabAaHodxYwcaGtHGGEuCAHJctRqg07XlmIdJl
GZm/Qr0J3303vId/k89iJKD43RqQDUTQev/ntssS8Jj3PrgnJ8OCkratbicpfWRGm5BB4JUGKuIO
qFW2Fdy/mMt4auyR8nGRb8Xwb/9Cj8uXKHTNF5aDw2bCT+U+k4p8+ac/zZLNvt0/HQAIbXM8c5rO
gNqS4vabBZybT124FSq+lIToW1C89NBfxo2Nl7AOnGcf7nSiXmCAciqa9BzcPGqxNVsocxChO1HD
g9CleegArvJWpvdRvisaYfb7CVoxu/gZXGnh161ogqjmV+b5u2vQBBJgLC9isNxVi7CxatX9I5L1
i5Tx58gFEDjQQZPuWyRGbKcFiPhJSnjmeD4aTc9vNIYXp1VzGCiHcVEfzmJ+jptOf7hRNv6dn9qX
IZjtiLuGtc+QJ+ObmSnpM0etw7ObZRneQswejBZ/28Lvag9ZSzLobmwdnBz0PeRONtty2s2/7oPC
z8pXyizdoDzCAho2G3Kkw2SDcsPSS5V9a6EskXNU8rhJnh/JY3VbhzRLfjdb1WVepODJxIaqvmwF
Ng8LyR3antzTwjRtny5KjukcfTqQgbyWBdgkFZY4LD40S9fNcZgBWi9TN5mpDJtYxOI9U9ygG+v8
r9YZIh+v79ljYbT8SB4IJYn3ToGYhfRQHAHZPKGkjyE0+v6rx69XoT0GeZXRcbotpKWLjWJvGYRj
z409QHHOmezuoqQsPpSFdRkmRWGBAa7CS9kj8jG4tuvdONJMO5Wtz6Jm3NgNtN3w7B/7y7KmDr8U
E/AktCvZZxDJolTc3gJ++vc1yVcVQ3ywE+eiyastprCaTk4P+HE6uhUql0A8SYgQGlp1/jGMcHo9
gI74hAK28hJBzAw/SHHo1aJk53QMjaVJePljqE1rR6Ya/5UzooKYrSDPeLJqvAmttnWZgSzpJmvN
yCfndYJ6ZDPs+ofjTh87N47mIog8jJ46VPORmqKJueKv4xrkIjuOas/VdOMCahekk9cpMIsMAQJG
xq4o9QqlBVYIgWT0UCl124vAwrXYAF9Hjzn1Y9EXjvUdcSKxwftvIWMI4r1AZcjSm39jW/2gqr4B
VnF3EyPgrLe2k8EkvzYUXoH1K7xmsvKtwG/ikVXzR6NOWbcMU0ju7eNswMEXHuTGrRFiFtQl47qs
lXFuj8Y3O0yiPURIic6m8qqqgBhSrHQJmzbGkG2UenKQpf872kqxU2RM2LGwxW61Dy0iDZ6KXQoF
f9QShqUNhi3Ac4PPGlTTVkMCWKBWoM6WxlkF7tDGEA80IvviAvxfc6jHcKuCT+ys2yClCIRcRj5J
gSiu3tV4D5Y28lHJh8aQgH2OwDTmu5C98CvFRB4G8m7saiflARxHKF0gG7Ca+omPbNsXGVxUm5vX
hPXxDpWdUK9cjRmCt35cloBi0UIUFAJmM+fLZhNyUmfems4V7P5/DE4n/kgqHed3cJxep66vzsBw
A7UnJ5geAj+U8695KrQHPdf0LX4vzfdmAOmadFCUONuMhsUOCcRnnzuhLDu6YgY5LYQLrgNya4fI
GkvkiJtMvPegJPGpQHOt16Sew9p6Q7OLWNP6vmA4qOlQRNz764sE7UDDdfZ3JaK06wi2PfB4gPNa
xqoMCk41sktj6LICdBSXp4liXEiCIp5V1SlQMrjk4k1GQKXxlqaFKIoykFKtUY3DoChgF84XZkfV
W1PbJhgZyiSgIfgfUhAoTeUDDUtec6+fkvJCQ2zR5kb0VdcHVIVP4Rdwe/HTRxQT8RTTGyRVBor8
UIzAU+i/E3NGrE5gcayU7TDjQ4ay+oSTALgy6jHKrqoB+I40UUMLaL2aNe4D2Qw3es2qRHtYiy6p
1zmh5TsFeJrWCdTb9fUyrrtUnFCikI8gLN2uLtSzUsvyjXxOglJ0IXgIq2yJ9ViyFIzJhsI8KmqF
d5AD4VD+ccZzIyNBFpV70XiAFK8U5uEerSPbuphs6w7rBPmtV1J6hLdUsJAALjm0h1wZIrveCk1X
tnxQsyM14+BKbVd9Z5oOhPk+7elnb3VbZ6l35/I7P6dvsiNdgmY/r7OaxjH6+fFJA4+tb3FWR80W
WBLrIzWxrL9UwBm5DP/VhhhpfUwdvQ7iGLQV6wY0EWk9wltkpDH17Er9BpEIsbUo840EbI+LjFUI
8ibgaEanN7BEjm+mqLss6D/Fg3TwuYMMkbgRShl6awbUEuhSGjKfLUgZfA67JtUO0awDgio6aCzK
4d3sOqS1q/O6FiEI/WUMv1c4qB4zSZKlqyiw89YxM/UYuB4ggci2TiyOAAB9LFynO6LPWse07zpc
ejU4l5wk6obC8sGSp0PxTx768CTDyVMeM3N54KSeBcrEdHs3Q0OFzpCrZ9+Wr7aR2NubzTo61hqT
eqldS9tRBRnVjVFvGa5lZ1XseqmWx4d7F1lpVrVOoixFZ0tl2t1mn4vvK9bux7Q5mHJQBrduUYLl
oOQ4pxmmE4w9z87ZDK5RENbXQMTXbQ+O8hh8/VpbPKohAABWnpzIRA3yrHyr1K0L8BWgipJjbsZ5
Fv9gAcJAOTQVK8DLQP01BfTviOw1l2x42jvIw1PUPmbVI2ot+COebJlHE62hpcFgqcWxq6P8ax/l
G6TYtPt9x8hCPrWONoWIS2jTepkyDD7db3R70E3XFo314Lj99s4+WRFu03+9L5f77Xf3Lm3YpWDB
kPf0LCYTjKfRoLwIExEdV4m1g0DRbe7VZq0dqDFn8X+UXdd23Liy/SKuxUzilZ2DWrIcxuMXrrFn
DnPO/Pq7UWg1aI7sc+4LFlAJlGx1E4WqvTV0a5jaXUhr0gghrY0xg16qSL+O9K6QfGjjPLTmPa4Q
X+W273q8K1w8xX9xByxDuTNjRQEqBd4EbCBvHkM7aD+DpP65t6LoOyo6fGQy8v6ZOUX8NFihsiFF
rkQ7vJl3X8lTQ7HW0Z9a4Vkm8+swoD8NBJfq1ewnt8DFEvgQgeXubtNIxVsVWB86j4TWoDm/0Ctu
pl1BYIN3WnJVQRS/ISfbMN/8RXwnLtyt1DdmjLKIxgEiPv9kokF8rPh19rnGpSWSERyvjzTio0h+
zNgd8pBCtfgsoo8qsncRA2We1l4Gf99FeEvHhRWP0fLnkNtStIVJ3qNm2Y7LAC8srnWO59k6i1mV
2mJGSylDVVoOVCBuneo5ThHRAIr0wI/rewjuqI5NaW6kp3RPFFxTCfeBx3jPZhGcHkj4xDzwwr3P
EqB56rEOjmlUrgAAL0FFs5yitrIEkPvPKlo3HF+x0UPc96h6uh/tyTlKBfkx4EAnuFngQIzODEOa
ij3IgNbkBOKdAFhsSLnIHRfuUkguJXAdADgb5NEef+l/M2LN6wFliIutpBH8eetv3JaXoP2aX0+Y
+5Nxj9Hxr2ogJRf+hqZECtjSmqagRJiBZ8/thyYH4iqp6Lue7EU84hNUATe603sHBAs5ylymHplL
b6DRqBPnTINYCx0JGpw5NhYOTBtaAtClzT2atrgIy/Geh1hiujBY6Ei63oaEfQ3KpU2Arx7QqKB7
NozL7sLQTLUrTbQ8x3w5+Up7mXLAqZzElK/JUHMdIPmb7WicbRQSREpiXsnEGOrsbh0XqLDyRov9
PeHVGsceAxUt5J2ShuwLoCSWwMdBYNtlgY9b+7dHEKHIgfT0SMKI1qSxmrg84rD+VDR4SR0mdp2p
/wUYme6pZfqfFYBZnmmweI9ClQEELswSfbeQcZOHv5SPc+wc72+ZeCnrPHHpmwKd6Cnt/xZXvh1H
VqD749pE7QZgRiIQN/PL4azPm33QKMrdz0Y515Or/DBR7Yfvqel7URTtNbXH+xA/ZiQjLVrMrBMD
mKYUJYBRXXiRmZSB9y0H0HQAIAwerhlCvfU6GsWcxLhYmjfg7oq30vPfpiDV/Y5MvLKXD0rmWtNp
KJiR8aMCKHEz/i+QWlovTGgalIDiRmHsXu4qjVcyXEj+MzH+kTsa+t5I3X/EXV0+10sgNrqXk+Bs
D+M1fpu0E2HGEqcG3ff/IYUaF6j2oalBV4oU8RGMFDICzWgD4fewk88h7x8XoXu+J/9JFnukQw34
ZnIkn0es1Xbv/vBk/PghyGOBfEdrcUOa5AOKCTJzDqfcQx/6925KPuD6rTsADfUtP6ZogDiUmbJ/
Zc7QT3/PpHHvbNS7w8qFnKUMyYo3D9IsIg6IkPAI0mX9JGJN0daqfIrE08unnR75QSlb7L8Ow38C
9DUWXqoCSSQe52+qEod70yqcMw2q5uDjkab6Q0jLuc7xISwt/djCugO/QO4xMAEKf40p9lmoyJTW
NCMbYZ5EutgXdDNvMRfhxTQpdfUwxA7e5gBCVRYg2uRAtSYIoy4VQ6abEGtJZnHFAsG2U6xvWlIO
Bwkzu0KxJUUIPMZd2zDOCfIIIPBo5VZ+r6BGLph7j3woDmlttQi9TlHR5Y/u1/MEhvgLzWrHUc40
BFaOUqcm/ZNWQpkhfwggpDePhYa7lQ9fGYpk9lQpuSf90KXLrI3cJfMjsYvt9qjr1vqXjjd3AZjr
k6I4gGnlHV3U2yXkjwav38tQsYGDCzkv/BB0wIW6CCrlQK4fD0PGnulamwbmgIICN8HRdkE8KLkJ
a7vkKR9OOkiWmdZHW8k1GAxtkQhPYTk1GUr2wcaE+vF3GAilp1ADjuK++90dre5XETRjqg1ScRNo
DDq+GaMgzn6AE7z3u+a7r1Qt8iKmco2sOL41jN/bZJP/UVXMRYerWsT/9Hke7qnVddXKupK92+66
sqEIPOjIg8p4QCBIjrUzvZjgJHrV0lj7EE97sTCD4tXqFOBHlLx1fmiKV1J0ask2xgCEWlqSAhxy
J30os5vGvZS0ANVInz3PfEWiGIfUfYhKR1RTvQUKQoBnMvxHPlOgQjXUD675692NCK3i6AyrtrJT
v8R/1jPL0VbeZAAJz0GqWb8zJzPXGT3q/v+VLYUFTZ6ISJ3/MUcCEEABAg9gOf/ZdA0asMAPsAcF
HEsZ0qWUS8lGnC1MY4v2S/Bmi5TNQlOj/pvfH6JrOj2WmXPqEne+0DC7eY/qfzbNAPVMVAUVKNu0
DPP7ihTChsz7Go1qcVU4mwbNVZsky6dSRDOYr5T7vgSICBqHTfxhAE4OH0NFdAmCedqVWRih37zL
70KhH0MlvPDqkAKA6QDDQv3tZG9ISq40e9/LCq17VBGK/OMUyRpQ4aBn1Gpsj/gW0Q+SnxwHqGw6
C4zPjC8noBRviKmxcYL8hF8ilpzGkbRy+Z7vKhTjkclXjcb7RnJJG8l9pW8Hpgq8t2p/qn65y80I
fD8VEFUuLHWCi8MHmq1kRZwhO7dST0kSXvD7B8wg+WRkBPoM+8iDr6zf2wAoXf3eNPWvaO1CFstN
/QvNOnvWN0ONL9mVwucw+r+X9b2pbxx1uPtKY+n7Sxnt2/i1iV61t43IWNMsf+MqWblBTRB6O1GQ
659nOY1QGXyXDlaB2nHOdGuOuMzZ4Nr7J1PhRVJhYGcT0l6ZXptOhP85Of7s8Ss8a3xw0+4+AGYQ
t4pyTTOVv0hI2dqGQlAwaUOyymY3rU6Tw0r+nu3vZfIppZ3YNnFeq65GI1xomWcbeVu8B/Fpnw3m
mWYNX9JsoZ7N7m93BIbuyoSW5NuD/2gRRcp+abIKxVQ9ytGn/Lb7/+pHO4W1HgHgR90oox1eaEBR
LD5H5NqfxvCipiM+UUgYjXEkLHGZjL//hVNUGfyDCcfiXWjijROX2yGK+LkwLp0g3NsoDNh1/hh7
ddeNVxpsQCxc/dAcr2gJUnDTciQJ6UgslyQrH55AUkEjLIpx9yQDkVLWeTKc3CKugCVboyPSo4By
W7mJhj7Yzov6Wj6BiAfSznyboC8aH4apkiXg9GOck4lX6qluj2aEOZqf6gwtqB2v2Vuo28nK0UPW
5dVWcQFoiF6v4XOQosCHXwDaVonrRQ3oFyP4DP/wpxj9FFVb7Ug74/C00U09OZM2V+KP7WgaLxSj
1kG+wGPMBchGYiQd97rW9Ck+/vlXkMMqME81Pa4w+TcUDTWf1bHp5F+kELSX2wq96SeW6UPxoeNf
SwMu3Q5TG94WJzc6Xt2PZZr2d18zpBiNBDS9pFmcvmiaw2bkNosD4cI88iehlmdIcluYiDMp7Ggr
uQkKNtFxxJNQ9K5EA71SSUARkrmqswQmIZnVg4I9B8fBRvr+0lgGiAVqCZLIHu7i3W3lBvaZBtAK
IJNpBSBUoDUzyrvGb4EE7hrFZSVHBQbymDLCSk1LiidDkUzsJP1ILTdehVFpl5VNqSvoHk1y5L3w
lKWf4i8nxle/H88HdarU49A5LdBayrK+RO1UXwI+0FIOJJukobQhFycBRhLuDCtPKsiZlmQiY/3P
+/EndJpJPcpQMgrN+gGoPUpevj0/baedcGcMTrd54+i2c1xRWqL/D9yXxKNJw0r9niy2qy/u7Az7
39u+5yplgnOT1qAW/QQCj+RUcehwlN5EqFQDuzINVAq+UlDxONGxGuaQbMNWj3aC+pBcSCjDkCG5
rMJI3lZSuCYKhCcg2Z9doF0BSjJt2VUOWlejqdBPOU/dm0IJFCD30TrK1Qk1m9qLgb7NuzNqJ9hV
bU3tvu7i7xow5y8LEZnIgH3vhEgnAnE1AjvbYvdFKHoQa0CRxcoZPYydVyZpu8NvpbvY4wjgxaCY
2stso5GU1+O1e60I/jJJExUdIHiElZgLeY1c4wVVkx9CXE4d4lLRS49kFBWkXC7b0FQYDhFjG2Fl
ocMMD86+STVt77vo0wC+gOWMf4xZn+6AKzFce9XqUXI2IPVPa6fzgbSGK9LeboYrG0DY7XEe4Ctp
F2ttbmLcT3UmOOgQgtQizsKocwyGXvbU3oYzWB6NtjjT+YeOUHTIkkuavSfjruh3W7r+0lbCtpEJ
MKQ2aQ3QtJVc+tOT5Mr8lBegIVB5UoKGIHaRdqCp4gwAPM/QGcC1uCSpLiUlJWhd0xREGBXuK3iq
Yu1Oa9KPWXs7jDn+PSOj8s8riBOBY/KAPSlTNt/BTTp9ApCSNC98A6++FGPlREsa1Ci56aC6Owhn
MhZ+Mo4RftKKCGj8geKg/BwDzdAMcZ+RLAcqLK4+TA3sY8l/pFkUl+gDlcY0WwuluTSUsrU12YQs
d8/SmmbkYvFHeMG1U46ypA693GB0xJfHEKCxDnWGBmr43ua47CGdYqSQWvN0X5PQ4EspEzakIaFY
h0BmRHUh+UtdgAZMry8GV2wtjCge2SydgODYnZmLK+oaV3xuhxYZ00f+DO8zZ4VSZzSteLot58k4
WtIs5cuVzHeY6hl6Adhzrm3tDMHI+fd+MpYMKN1G3elA4YAW+wmFnD7bZK7JzgUf+gm89pv1FKwM
7DxaIXgu+YzUNPPV3Mg9Deiix35qj2IprG0NCZyVz0KfVaCBFRuJmCOQMe61T3a4V9Ct+srUwDqG
k6F4RZVorySLGV5efFxrn0kWqWl6K7LhQkoafLe3tmU5RiIIyZAh3ACnvH8BXoX2mrqDebRQH+z1
TTJnmybEMTABVrGnDC26OR0baIC1+5+kKcKrYo7hlfEBFcJpAzsI12utj5+HoY6O0qWU1jIEqWnA
yy04h7CJsCMTGTrUAbZWm9lJ9lbKVksHmLVHpw2u1FT5bi+ybFyWjZgUirVgW8KF5znh4Hp6AaJS
j6Ylx9kLRqfYlyDS9IC0D9CHAXUnT6ShgQylzUoRaiWC5d1n1SgbdFkEVek/mX32ObNsdgyjNARp
dR/eXD7QTOkadxOhT3fLwHZ/kyY0A32OedBBDemRsdRSAL30wSCgXUlsW1UGLFUeWLgaxXpXktM2
YMd2NyHz1a1htu3G0tJ6M7W1iWQXczVUVOc6oHGTv3t9sA45X5GcBrnMQcY9ObnQSTFZaQmwL9FU
/kXKKaoMga6SZgucEn8jZTSTdvwRBsDDHUhOQ2IF5SFxAO3t4+uk286T8aQWQ34afLebzuE4gbsj
QPZJcuq4vYOUxGBpT31j5qew74bpPFjIIZAhSvdr6zZB3XJ1itKB5KDXBihhndjfUA+yxuwDAyjr
iVayLZlmo5uil59akmmt5gBA1Ju7sY8/1NZ7z+9n49HOmqs0y6uqPoEc4hBkJZA1E1Rq4UyA6mxa
W48ZyTK3+lx3hbsnJQ0kl2ZqrSOAVKu8llsuJxe5KcuO863mG2gP7JEJBr5K/KShvhXclwOq4Wkd
OF3ypPXo941q8K1LG5oBPQ7E3CweBk8LkpfINKzjWkHrLgnGq9UdKTx5rSLRkoHt8QAko6/vPgWZ
pDPalqeh0TaLAPQAcp3iPQRkVQ2ahPmPxGbk5sVPI20CNKZMVY4KUG5Cg/g5aNp2QXQus0Q870Ir
H90vfKSwW3X06GHJRmqlbPW7o9+n+P0ubPC7C8HuIH53i+cQv1/+u5v0o443o6lQd+jfSf+ygbcA
JKI2+DAABvaYuQqaRiejAo5JkG6VUFe+1kr0rA+h/0+qt4foZydzMF9T3/pL5K95Ets1+3qnOROo
vvmSsteLHHdC6XBSCR/KeYt0N2WuRRKcdELKnBLIvkxDNTXPjC/0zmC2wCObMsEILCkkgc2db3BB
Ne9EZ0jGAAZBdJJSI3m0A1JLDRmSo7RpFIAuUMQKVeOnBuj5J1epracUyb8nm8/6iX20QB1/JBEN
KGG9W8SV359A+n0jU1Ku3NMa6HyzHTY7qV0ZJ/EWaDaN2G7l3hZAt3QM1fV+6d7iAVGS5xwprPSn
Wfj2gEWab9FnPyrZbg7zrwUHUZCfLvLDSsroA2gIwdNezj2qKDnSi2tZqBSg6erzSRquYtFOUqb1
866JAFwcOmp/BTjrcKWZwmacrwp3qLca8Lk2JASifn91+UAzYSPXzPmoOqgXMEN7QJ8mD4iPLJzf
yNrKjT1AALKzhGlawDZlwD05lkb8kXCZaBgI1EmulTpupElN8IWkdboZ3+oUoXPSjyIqaRZGPahV
jgPUtD2hRi20ZP14BjIRYRrldH/jA3COuZX1gquqP1LgJrMANHc07nsl+PpL20VJItks1lRpKNYs
0d291etfcEo0dtnEgLqMoqYCXDOmel3hqJBNGoXA5+XafkDVXOc4pih5oxK3dQmaKHkT5WgJULTP
DOAiVKJGlouyOKprkxoc6EG9xRIDqFyATgNlEs5n4iz2+/OaPMMp+Y9pBsTz6jBFB6xuTHGqW0US
4eX57JfnsffOaFJGbuWUqcggFc82Cy7ETicI6/xYZx44jQHDx8nvaAhZnaBFI7mglwSwf63WP6En
5Br1bnPrQcMI6py63yZBhVZ9/AW2t54PtQK0e5xa4oOUCRtNUS/oQh7OEfppbxSGTCYgESEgCJUg
XoRLijo++2p5IysZjWbFhO9MtJdMSMfjeRa+KKm+Pxo9D1nLzdDpCOQ8p0kOYieyaRwAXCVqDZZy
FQpO09bHfQYgiaG/xTmw4nzQ3JC4m2KgrwSaR8tYNXGrjfzcYYzLu1OKm+VN5MzM8wmHlUOq0oxx
rFWHDzT7pcyo5gZfb+hVk8amGqGBQvo1uOM91YO9o7Tu2KoVUNYeSWeaFT8vF+lhkfslfW/687Gf
WxFnYSPTxasUcl1rAdutEse0JBcRexGI3Iu+YgdtSk5pPVfacfL1+VhoHQiIHrnuxtFK7R+KQUOk
M8f+k6ZDmJcLp5KeQCnxn7UazRjNOJnZ9icQEr0ERe4cwaeBt+25Rm/QNFYx2LX4O7YDzKYnn9Nd
dsb4YqS9cwzobdtt0d9jDS3AvFEdYd1+GYdRBOBAe/MIHLJCq/FJL1GyG0Aw75PWjb2FRkBsJ4b/
VPnOdMy7Ysy3hM0tHTue08Pr2ezdfxwz/UxQVDT0DcDEWaBtcGcM/DDb18NNU7RVl1x9P/0Ys6J9
wb3TLmhxEpoCtX1BuqV9SRogwCu4K9umLppGgXoWA7AclYPkAPoG/L2zMqk8vQuNIwlpAINPc9Rc
FHdKGc0GBX0V/ag/STm+OIyt2rv+dhi65lLG+dVPAKGxdZLSBRS34oihcHWQZ2WxWLGHcmVGDigz
G8Bf+fCtEnCIh37j7qQsSyIf3FPc5r0QKFLujxXgwrtOQ9ZUnHbNPtnIPFNZuvGxSH3gOcg0Faml
jcxFUSpJWJJwsRYJLun5fsLrbRckwExD/Xnnt6TYwga4Psbm3geF/8sdvgABT2dm2XTWkbnV3RiY
dCTrOiu5lsFwH1Yyq2PjeURPj6Y4MZKt1Fg1RWDm0fPyTyOJ3RGkkmhT9JHLdew80reOOcY3PXDj
mxWr2woHk4sUmaHSqQAyyH7kwPE79uPcqyiRgwcNnds0mzwIq90yljbOOxDEAeODvMkSrxPxjVnJ
dGRm9ieq09niQUi53tTB09R1f6idGAU+HFSXBjSZd9sp1+vdQsbwCg86909SRLOua8/IGUyglU2m
hftYDTWauh8y7j6ChwScoyBhEa5NdZ4qUNCSGfl3YbTcmRT1m2sZhZXnJ6w8CGyUKvf5obQvd8DV
xSWKzbQE/Y1auavzEjCa3YD7E6f2+22ZuMmmiJJkN3YAumzqCrCXfCaXfdbVl8kA8+vPclpm6KMd
0TQVpCKKksR4LyJVBb4eJ9AqZGWG8Nm1AbTs4jl3tAxLJ3ym2ZgjpxE7AygouSwIssz0AEg7PRlx
5Y2o7AaEGI9AQzlWr4E5RmdaCWPkr5ahSUOx0O1qHQqAD4oAItYjtHCWD2J2xSK0MJZPvXiQ3z8x
BdT7bpuYSAyKRmDNBrxGZuvfqd2X2oJl92+TsoqUjTvhTCdNyKuAl+w1XoQDJ9V32X/8TjgKJF3L
DF3YtY8KPnDCXKaoaDgZe48u0jAZQFnZTBvSyEHV3G58MZUwvdhKPgOsjptradNFe5KqMXiCDPwX
B3u2+jrjCnw/p6GCfz1U8vizap4Vq0UZCOuYeUYG3DyT0O5BmQmmI+jfFbpcs1JLmVRQWLEDCaWN
DCtl9GTACkaN0SP+bx5vRk/F0Q1LNEZnyhWAROansJqdM2DatK3qBNM3lA8+xUFofqoy9y6v0376
xu27qb3L3ajVAFMH+c/2JAdXz7v2j/gNjyP3fSc+Pc9DLp+H4vsWWgAtBdiw/dkKfqwYJ0wgfoMZ
oMO7xViFuUdqaSO4J4TRck4W0ksYrHzlUsajmQgUTfa/9iS126f4Ju26DyBa7ndzbLkHVDr0f1Sg
+/R0qxtvtARv4pS1fyRg+b7NCpq2UvyEf+QzilXMIGt3ZJTqOnjj8tgHFzK0jhudQROig08PXKFm
r53IKgYx9gWV3f2GpW4HOM+837naCEQL7lRaSvzTvrht6J6DIX6WqLApoTBqFW7Z+rL7KgFhiZ+x
o4So5HAkNRlHbv11qaUwA898kjUND0PaDnASlyKywZ2KmuNNY2Xp89gmwRV95wqqgVznW5/PXkMI
K9win8F1XGaRfmpBW3hSoNkNuAX+ls8tflG86uZnuV41a/mEhMRxqJm7MfFCCfR3oClvkMhAvlMH
5ryTAJtRaHIHlyZ4vQYOM2QWH2jWO7m9B6ad6pHMpjDkjGb4Hyhimo9xlCM0WRstANLStj3/K3xg
4VPebKPdKj4tG1z+WeOY790x4n1gb8gIhHpAGAm+YjUbrTCTHS2lgozzWE+vWQPWYY6dEHHYT2lB
s7IBhhv5rxRknGdxes0j5sngqyBBgH8MoLgs958q8NakCov35oRSVSDi4Z2cWfErDf6Agga3zKr9
VI2JkKHK6LOZtumVLGyk9F5CFMNKJ6C2ZSeNB0Kz390pmADIYwzIw+lK40UoIzrRpzx9ntNsDmx8
vsuPfvp4X9lIGSnkUoYhmdUs95C20sxNchPgBm2PNlpDQUVPgstlw0Nm/eQUVXnxu8m5ZWPu3mjW
uWqwQ14U9w8Bc26K4jo3mnWZmj0FhubhVcd2t2QcD6hSVhSA8jGjR2u3DXy5Y1pV/yh5hD1k6Mdu
FIqRlnYqulzBBS2hLgxqmz4laEB5yUv1x5QO01dwpuT70eqmQ9xF09cy5t2+fv/6sIoZ4+TiOKj/
ysr19R/kTLHmR6wsGJ9BVtK/Kgbaw/mOK6uBPwAwLp+tqQFRfN6CbZJ12sVAl/WFZjNATi2AR55X
cotbKKXDuYHsAuNyPsKpU5q707/1MjxFlaGnORSOIprUBkoxHO6/QxOIakfwzDLgmqPsfjNFk7Hp
nEyZx02e2erRUn3/z2q2/2oBkPTZ6CYgZ+ZBcsn6CLkYTS+3c9rE3+q5PxSFYf+NNxlhWgTN3TQF
hOoN9B/lFviB8bf2zfTnqEFhxHhTN1Hv4n4BqYLzEoJYINcKlAGpNrjkyinNN22NFn7UHzovNDhF
ne+R3nM25EGyVgmGs9s436Qo0sbwBQknVc/RqFOVhfNiuy2QTcA9NQKUXfGaOsw3Aa7sD3qUJQcj
cy0vNXz1KbMK7SnTVPUp7rvL6ObsRCJSysFvbO2q5J/JUoqlKa4vq2OrJ1/Lzp8nEVvagYlEAbEp
oGtkAOlLdoOiqp7JhnQf8+eSvjQjY/mE/HmbaVLvG9HTVc6nONeN871n02ZMP8k/+zJ1XmMNEEPy
c+a9TwcpW9mV/MVVyuQH0EqGLr/1PmSr2/4BF0KcF1DpdOukZJPn5s4I8OU5ABWKphpPXNbygrea
D1Ke4FOFViQni4c9iUoCSy1RALSpmwiwmLMfAo2/ClE0pGKW5Nq1wJeUHWi4mhYyriW7XGMvhZF0
J5LjLeXuRUsrtKdN16OxfR2T+7MMp74qdzJvsdkj8Mi3zbCt3BAnNOV0RzMawcKL758ovrh+fR8a
YFSGe1qTJgF2X44K+Y7kNrebg1x1j2QCzEwt3IOR5u5dhOV8VgDSDMzICNyOrv7ZNornsLOjl97s
9c8oxHwmXcN1JnRT1y8sc7Q81Vaf/ZVq9Z75Q/CnU0bmbogK66z4zfySRCEaBqlNCmUZeIFmoMuI
/F1uNfUHS83ig9/n/SbL+x4fTmr703o0QL8y1ObO8oEF1CvdnYfZCaPmGpUl4LRJKBma0xpkGxOu
QzyyIa2aN8gMABfB6/rOvyhoirm4FmDTgd+q7mgpFXoWKsLklzLpWwD6YjubQ38M/SE5ziwcrzQL
xnq8xlxGs6Ip7zOplbLf25F25JFj9FHsUwuvjPLkOQ4/0iqInoRIHjAhn5IqelocTzkkLp0voQMo
SrfpGxWoW3hZPAcjcOMc3/heswZlPyRzKoZ6Iq5VW/U+q3wf5UUkXEx1lHqglotbTXyQ9lImAtM+
aqV9fy+4CIN60m5XqFHk5ajjQjEXP4wmVWadcWqyzqPeq+6O1rYDsMANTcmI9LQE7rupHmlqouKy
Sirl2AFP7O5I1ovoi6nVjH1wRaH+cE6W8EYrTCNa5hm+zy10/m1pKQeJffT/khFUC4G5OGO6jCwV
Mt7vZT3hxpA1BaSZX5fLqFJBscjESbyC/+xRieb0gA8o3vABa4r2AKCvB5iSKhkjzdjQFJC7SuYB
+Mk4i+nawB7iDoViI+7JeUCh/m9RaUMypchyuY5Oa0dDQVyNf+Ut05RR2QC0HDcfDgNwj2VV7l/+
YMyoWQ/Ui+KYoDIEosul7bMcvRgWyK48l+tVbbw76XPul3tHT6tzBrZlO8mNGbXVWYxuPrs9aC7u
Ew61PUUn351fxTJ2WpxDuM2AKn8kyLAM+UAzUBA7T+SRB/qrUbAOLS2PgEDnBTK40uTzQTH6b2UI
koeEVxyGtYJDWuaW+EKJy3aj65oBJHKuGmLTP5OlNCeZjgbE3Mt5DDGV5gsVOaXDYKJsm0cCWB3f
imxJt177rn8y7KE7Z+Wg3WY71W6dGX7RXCB8R42j3qS8Af4GbMdXsiI5qkRU3cMbpA/cE9SoSWOy
URoA4tvRt5SheQvtitihsw0GehH89VJ0MhtDFCWC1srd+wDlv+itCUoetQY95TxVnPUIYGBRzCqU
Cm6zus4+JmFkfDQqvEO5AzB81ME2Pqr50JyNAgCc7Vy5FbD/Hc+oDP0DGePTP9wOUQygNqCOfmyd
brhkYGXzSEtD2qj7ucARw+EWRsQ03HG2wF3gm4XATL6iVekvaa8G3RXIeexGEX3fanYsV/ydCNbH
ytOcuh9GDdisc7xXAZzxeWot/6xGmQ9Srbfl9POStARuRsZOUPmomAXWmfTNwKN0zZNcv0R4DfdQ
YF4L/lglTYN9P07Gjghjo6TDn2UH+ERaIuUTfDAqQLRyrlkhqpIj6OXHl6gJ+k/vRZt0EyD+NeiO
Z9T2EtSlMevmdY5RnTqF/i1NGv/WJCpIH8a6/dEA1fQ46UbPtkBct3ZABm02Yl1VgSX9Yk23NiXw
MfeTUYQfB2sA52NuvNAqMsGeEIzgPoqnMkO9eTBs2BTeSn5+1GwLiJgELAL24nOgKy8gfAQGJ4GP
0KDaxTlCM9TFZqgh2Nadnm7VDIBd05gPILQw+vTMdqjdeyKwJwJnogHv/OpVLkmr18iMhJV5W8A/
LZCcCO6pM2NhI31XoTSwlG5SlmdbWW8iakZGHf2bRQ1ae1lqYjkDoMZFwYkTldfqB81FZcmqLEVU
pAxTpePzsWm36EXFx5hv+tWTm+/FirIhRYv6wQi92FvkwsBlINIxgLf2mAWca7r7N4YAVD3+cKEV
FQp00Zi9KGxykXe2alEnQAo9NsKrhdoXssC/JWDburB38a0SNgcSkt0jJrASUE8w2NPs4XGd3eKc
yk/PjmocVL1yjyv5L4+9ZLc48ja1fgCW6fjG4JNNOAIxNfvUZJb5seo2tBBDG8Re3FkxknZh/sk0
h2kXB1qwJ22lpaDpmxRcWHD30m/Mj84EpqYi+xSDI3YsR+uJjiGB1V2TIsqAFffTYYXL0xKMaKvD
ihMBs4bLhwnvxbvHks4uWY96yKrHS23VuvmtBtXyPvA717M4CLHDB02ZUYNQOcAR6m38k5AwMrIK
tN9cSObIOIHO8ZcxAhe/e6Upuo3isuwWsH6LUhrzRcknQwxO5tzUOfMvUc/uos7OjE2o47W9VFvw
fua2phyGxDc8chOGPBzYrnA3POjtjkexii+t4+iHAqWgFWjkOchKUwbTZeY4JTSjQWhy0EwshKb6
ZZ4H9bw2s5kPIFQleAKINYoApgJNxzgK3PBCAqqqoW++ZZW+HxTf/jvI6h9uVLSfpSneEj9YMZjq
8i1oa5GJ5SjyKuhdQELE2NZN8H+lrcL2OUCTCylJZPvZX7UZm1dk/ayPSJwPezWsnK2hKk56GxnK
NrrBcnfDKtEsk8g0o8TypCLhz0zF3UltlDhPqlNrt0yzO7vYFoHyrfLN9Nix6Do3oX4JKp42MnkG
abGmKQnlQDIHuMNHa8IFMvegQVUr/ZIoQD1GqaSyE/QQaH0NtzQNe60Ityn+oYFOoJw4dAPOUg/W
iQDgbLUHHqtuGwimVmD710cB5JwxJPIn9oekQZNyTuxCKxoEKRrKY09cHvvAIlHH/hRY7b6a1WK5
rXgCYruQj7Git3j4SblpVA1g+jR8F3M2e+Kl76hwvo5MbcMYCvxAywhmRNIDDguldKSKTBDXT7YO
zmdSLbxQQVUL4SKejC/dLYpMRu+pSSG26CLlG3P6/4Sc9cYDLABoOs1W3Q+uMaFINprFUKjuN/zS
hlOaR228q2plq1QqGgC4BdkiX5TeStAJ6FbYACmYgRgwmuvXVaCpD7sDGKqQFaBIKkAjt+0c1lsZ
Khna+blt7PujCEMW2eIJ5EO1jpsBCmH6q6V2KJVzQ5e8Xcp03e4Uo1xBKEhWhjMgA8jGJb5oYU5S
MhDSkPdhkQoNZv0iCMmsPkWFCb50TihAKM51OIC2Et0yf8y+/oTjwPQDvXTAv8D1w8eqtqtjbpb+
oWFu+onZ5t8qs6YfhW+/oLdz/FKMHagm0GWG/vak+QCmVYDMc4vEqHdpFpt/qj04CJAaZxcQIps3
XA5rG7Kwat7YlP7gQLmbAUkdsI2W7RVHYGcbWsHwzbAtwGAglo+OBm8uAuvFZ1Vx1kcdpw/FyP7Q
DVM8sc26+xPPQVQf05+euIgM+wsYkPZU3qhMLsiMLZCu4S/wTixnRz3aG0lNQ8PrIMMZhmM3/8JQ
+EgjcqSQVF5p+lO5Lfpu2lIiRxJn0VJkc0qe4gHJLRDDNyT2pO3CbDGlMLSetRisZ3WIAMJJn7Mb
SB52Qx6OqOrHgcEHYLaBP9cLrYhSlGZy4BaTC/pt/HnfnaQ7yR4xpJzcSUmyh4UMS1uBMfd7qvjD
XoC7EBYvwe5KwN0FNG+U4ErHdadkS2oyrIn8gaaLGDN4Js73drkJlT6HDpngV9P0X+IoDJ4c22pe
8YqePjWd80w6EoF6tdlF2lTu/o+yK1uOVAeWX0QEm1hee9/b23jG80LMdgCJVex8/U0VPabHd86J
e18IVFVS27gNoiorM2pqPQEa7DbBq+x//FrzP1JxErqWgLoTQeg8JpwtS9bdAOzRHWPnHRT3IzSX
xsYQ2isohJqLOHHdIx1YDnyBL9WXrBXeZCMHlG6B45oDU6f2jsJjLRTYq6aEejmEpIUNsBjFfJhN
tskdZJDicdUnYP+HcIrkdu9voE+ElwU9cZa+0PMXDrzjdEY2V9kSZaOz/44jbxFBN+1WBvNt5i+g
SVW2gHfqaHZx7d00LIi2pShBVUQ0KTadvgeRjWLozCHv3RwiWSHWF5Ay74ValwLJ7rngUbGc0d1l
WdeB+x68amrjaaqDY1hfA10XZ9p++lDWxAsM9jfk7Iq+P+RBZYC7DZvTOPbupiegZ9/cAPdOZhlb
AjnPDJ4j5LpX6MMAUEiRd99RddL4r6ShcySdEWKa1kl74IxM3zKWXggVnYS0cKb/TzodW38f5x4g
1yQZ3GjBXqjhFEj/hG3dR7tSj17v9onZsNQ9K7vbFdJu8MP2kTaOd7PuTj2w67AkOzZAJGwi3UiW
1agXb7gPoa01KV+YTNOzLtN4OfZxCeApROZjVDRPnhnHnwrRbSm+h7bSFsTj0BL8PT0GyvRlZIOz
LTJ7+EpJ9sizoninRVGxEC7zX9FwFiv8cAepk7PsSh0vRwAMe9BK3EBmGxrfsbA/J2juWEiQmF5+
T6Ko0AT/x5BBbqEqOTqjGvNEZS+qagVN6i6gSI9uJFUjI1tXm/q64Fq5mupoGRK4+2gIQLOpqmwU
w3xguFrISNK0W0kMy9ed+L28isX7ozMt7yMbe+5xoynwgv/EGh1A9RYpB93SqqfECdOHNK+X5CRT
K5x867mevTQzhjvWMKIVlQF5dXA7vK+Dl/8fElnvBxleuhTqE8hfk6VIzNuZYEaooOEfzDT87SPh
9tFJfzaWBhlvBZUkvd5JundW9mVFCQYUn//4oOY7D9O05ztwBF2LFurpmyGU69jixn6IuWY/CsUm
RoeuLaFJouSg0NIHubQ7MVWAknUwAID3PieBbNKHIqMMGIyuwboVKUPNHgofvREaa2QkeamqTvSl
qDRjlfhgUbWxV7PaL2ntJiewWutPTIN2jWaYr1476E9cmVJwIyzN0cRVVzY6xPse/TzTOb6SzTZE
I+GSVqA5elF/ydWiFF312t2i0IRKN/ji87VbRPyEt9XNQPmWWlG8ilD/LCJX7hOlFUqHVAmEWpUA
GtPUTGB9VHKm8az45LTZRpIiKMWYQBJiU2Qfy747gDsHlSEj9rIzi4dDCEGaaDn+HubdIB87Vjxm
HF/xUpUc8WdOjnSmBQDAfbB9GBpZiMaGPMtXFDzPpbgPwf+63hw3rdJmn7wGUHMHIL6gUQgZdRGm
35BrQbka4gqAVfqNyTU4vDmMZnSdr1ZFySqtd4948fQP07DXQvRlTIJ8sm5avM172YkOoaVaF+iU
WSFONYlX1wB33iUZtTLNT746zHM+2GjY9Neqx22eQslC8bhVqjXf50MV+TCK0a/8czyIZdC7ur+A
yHtwTIwIgi6SleugT346duvsLRsFpgUXyPcMhhEgF6DcLPupZ5JfwW5RP0B2oX6wdRauEuyjkUvE
kByur3jQKvRz0iK9Y7NLmwHmJTtrNbJMLnV6MZvbmedm5znmrlX6Q1e0gQfntM68wtxSTTaa4RSu
tXIaLpdz3PxJs63PwR1r2/4/mleJBW1Hpn3Nhz3M3Q5o8ju6cwR1lNzR7qYUun/b/Nztduh0UC/l
tDoN5wN9QjLvrJwU7KcDaAgd7x8LNZIj/ZRx7sQLK3DcDQ2nVnE6zVQT+Rxjy+5zgg7HZYW/hr41
gwjUl2meb4xRF/pWfx8LSiyNtrq1mf46SSy0EIK0+pUHLF9x9Oruu9rQXg0JvVTAcasLea0kWLRu
bb3IsAYdpQ4MuorCC3p1srXMQuMrhprnmVtakoa05OD6+R5da8anrIU2WJdAt12gfonnIg66M9rT
GXr9D0DVxUdnCJi7GkFRNQXjCRJZgKoHLyO3vS3d41OFk6czPwSzX5mFyLcq2+xowr6vFrMQPLnH
UuaAH1avZYkG7qgVXz/AKe8glzoUFI+z+87DBjR1v0+e49CDjmSftANUDZB0dulAAgF0im7NTeoa
IXgy4WXkoFNvEiFQIgMqRsr6FjMvQ2cfhunR8npddV628d5CSzRXfAnzAXni27AkggRPMSvMbmMA
utOIRLqZbXQ2z5sds032gMK8fxrZIUUHtoY5hKYhd7wMLBCMgQTA2Qkv/DTpfpPkNwgIka3uAxEu
Bn80tmScFcFJNTyx0Zqs5tGoGT15Ds1anvNIqfY6ENYEhB0M3lSwm+pypZmMe9QvL6YS7M2s3BxX
dIrkLxK/gduuux68kepll95frTTToTVSs+mll2y6j3yNibLRcnodZiqGxtOrMo1pjrDqtZGV/hHf
tfxCyVlK3la+/IY3u2ZnDzlg5+SgkAaOSjkobLbTmdE20ywazfnhP52sQB5H51BHQa9j++zWUN4T
vO43NOSpV18i7p+DIoYQM8cFQV4wLY9J6rTP3EGnVCEaYKWipn2mA55VIE/h4yONaLmoSUHKribo
vpVdfFCbesEWSR7nRIewMW5nH2x9FwOyVHK2JkenRc7pQzANdbSD7YMegnH/tmbGzL1oUudQ63h9
sJ3omSmJ3y6oLfBYNtaWhhVkua8G4Bo0miNYaVqQUIyj50ZFBEE8RdBCtIYtejSJRl2ziDLuX+lg
D9CdqiyJm2Cnu5MjAK0xKqCo80zGQTT+lSXWT6BYq/2HuZFTrlK/19a33i8egr1HcX/UbHh07XDY
aX1pVIf/tIUh63cFhGa7hRvn+iGJoDmnHrq4FfurEtXLFUDc9UOpbLGbjWczHNfYhuIhnQN8vAhd
2e7mEE20+g55JmR5tQyNYjSvhaCA48nqTCtTMC1vdQOD7LWKo6XboF8zGZvnKq5XVa7n51p1scyH
2FCYDY6e+tlGZ3OwD8zLGUnm2UIBjVptttFCtrtM0B05bZ3nnfW8k0aXUrjicZlPIeSgONpn09Dp
oE3bulo2bc1nxxw8qlXMQOSr2fvh02gVo4DOmoy1bWKXi0YJ2nUpVGaBPfAPkufsqTSKH7L1xm9g
OEH9q9P5AzfRVFpG3FnSBB7EkL8IqlcdeKudV5jOxq6K/u3PFQGYCg5m4tlPbVn9cKVerSvdd3y5
dGTWgI/DgcL40DmnFr1CqHbzr2TKCw8Ml+SYQ2hY5sXnuE/Y9t/jStl125gl01IsD+zjUIpFqyOD
VUPp7FyK5CFt+vqJTHksq7UlynJNQ3IkzFHvn9H5z0kQKjaP0ClB/t1SDX/OmLxyvx9XRdDLq6vX
ctcCWbC3UaI827ZrrEOeOM9JjIR5WyX9tzoqAInroP3KgLT3eln+/LBSmWXy2pSG3IFP6KV2bAdw
MdddZLHdYzuKryhDb2W/oFM66D5AL31qAp327rg7nWfPX0mal7P+yfGG8JDFUKv3XDv+PhT6r8b1
HZAkDfIQ5HxcQxy9/pZEa/IXI1TeuaghJxelziP4IlLg78tpIm8F5Dl7vVuiL8I7GqUWg44CfQN9
wV+GJqueZ3temsNXnUcvYBStnk3sM6Z47NvMR6uAet57FcgbAmNrce06m0ZWoyJ1N1b1JhpORae5
yESTvcSfJtdOZS94bf9ipsFW7eAWbxqk1MDYPVYPWVtbD51wfpJd4HGxgvjjuHe6onxzH9DTxd9A
OuntaTJZfTW5b/PqwfcjiSsRpZMygq7KhZOOwZ0eAlnDpH7VTeQF79ROyTELMNCQDnZioeXWGnVz
hQJJsAqVuFjSpc0VmOGgHVGfJlPeW/XKzod07Q/A9k82FA2ukKxPlBYZWchHoVlbpevZkd9CA/Bc
TKFVmmpQ0kxS9K9KZIdS4JOOdMgZY5sk5J8+OoDxvYVgAwS60A/zyN2b4B6aFpvD31d02wKAF4DO
kstUpvRyVH1ryxsuTjHcDpGIhmVdR1BbSuLSXMyenrVrvQbtLpnGsi7MRWAO4d5K6i/QIUfwvBYt
Y0MIbW26pr2q3MhYtUb/3Q8TQM7o5V4NIfJs3V79If39PcdrApRz0OfDmshDMxqul2tByxwZbOQQ
dLwkLJA81q7uT7rYN0uBllXZA2QS1N1O6ra/96JKB+mG0u6at7+C1dXGqRNUquZddI5nIDrxw1Z7
9o1fcVZA0tOyquIkweFuD4190ZCTuwTJiDeJ1qzzZZj07noKHAEruejISVC0BTJy8MgFe3pKc/X4
niqGVPjLKz3f+Vr8Qt4pxMu6NdCpWr0XFfDHUWmw43xAPpYdecpAa0dGGtMZymsMcm84RNLQl60n
7OWHeWYPrnrNt7cpJDjcJa6OOOJ5Lo50FnZpciwsb50X3NlBT7WON+SIIq7n+J9D9HQ6z7kz3p0O
Pbfx4l/xL44tAXRPvXEtC7//4iGfhPKblVwzAM6fuevvIeE8TGGGPYqFpXX70UaDligrf/pHm/9D
AsWen2agnqC/OsWxKr/FmQGa4AsLv4Dny6dMyBFq35fO8Z1w0STtg+sM8msem+CkS0Pj2RRRv3Z6
LTijM4vvm7Yt94nDjLPeW5A8asbiOe1bjkaiInjL3OJJFC5WrE5F1Li4BaVoGQikc+i10QOIKfhU
tp52MRS5/fvIxE2TRlGchVdTUds3LHzVIowSh1f7MZUMFftB2m+sia1FV/f9uW0yCFem4apXTSRG
4gx7aPzidqS6WHqvuIW5msaRIE/ZMrKMtxosbUdKidWBLx//NLW/TfI96k8TjWj2+0Ra5t2UpEWy
LaP0QgX60OyqK9XxxwyYFzeELD1kmaluT2e/zbNlQN/1VgclkfMVtxuG1zvdXtESXdcB2O+ifLTC
IwKq8uAQW5ej6PFIj9JNGRnJIRnd6tEXDjKqCk8uk2IP9rToS1Tl6UaYfgl6haw60Q3AS3CtuBS/
bw6F7WjX9Dv55vsvU7eQPHS33SisJW32aT+f8AvXY/5EloIruJwno7U+GECZQdojUU56GXBqeXPO
7wtNPc1OquFcJ65zpD19mzsXMLjmoFXBfl9XB+DSmiN0CM7CTQzoKyubZ+K3t2vLWNGsOfjP+Wn7
ajWfCA6kl0NxRof4krBFGTU2/GmjMEIYJbk3xX7AG73Hk92OzFszxbudTHbZ4b+rb6CvJZuhRHox
7Nq12ysNmU9a4hdvXqSPe5DlAnqghpll/dRQ8XyAhrF8cBz865A9kSYDyK7z9qbRvU/upTfu9VS+
+FZ6yCIkgevIHZ9HwykU96q5t8s4evABJl0OQdZ+d+puEQqgdzoGCBbFQny93FYlJNL6NvO3sWK/
QJ4IbzqKGrALvWNhpEhFelCWU3SV2rJXXoqDtGd6Fd4bxQtixRgaHi4zaRZbMlKsBO/mvqmLH3dx
Oden1WOaZkj0Cln4qg9hECy8Koh/uuZLh1/ve96iHqnXLbsI05ZHkCNYqNg6BoAvoM4wav5zyKtv
pW3wTw0YYDaNLIw99mz+Q6+hlEprVeXdWkWti32lWN2LQcQgfozHS6e44JtsX1RD8xozEVzDtPpC
Vg6GkT3US7KVpbjfc6F5qzYwux0NaYm0rMcLDbFE2nXokPEq4+5a4o64ByJKP83XDoQjcu3YdbWi
S0kOZvryAg3q5XRRyJbowgROFSm36e/QQ8Byr42QWKWrORld3P4TtT7ZaEEWaKAk5tEW0MJhId3W
+mzaotqMtqVtaBh5Rr5wIGd4KUuHfw6jdVD6oNzxO+CD/5xkqEmgKz9mKMi9eKaz1sOYvTJki/cc
TyJsvbFJVvbM0e3XIBg76PmJYWrG5Y47xWtG0i3arP6mBXifC5UavaWID+ZDUIB8rQ9+zpZQcSbQ
EH/4Z0CovD2NZns62N6yCt1kTQ68HYJQIdLwCWhRBLC77tCMSa4mjoEubH7pJiv2qLmBGw5ikXay
9+JYewwGlKjCLk5WFSuDR96YwWPemsjfGKO9nW291+KrZZknmgUlPP9BuFM4zYmyMTyWufg5T3Hx
BZiWpghy+DrjIA/Fn6XInnTVTlgaHTuSwgGdzUNXIcU+2Obh+/x5aj663VGC20aJoSA9J9sN1cTp
wHtNrMJKpeX/WnkXXlvvwWC6JowCsZDRGR0I/9COhrFzMhQu39VU/4qLIHdL8s3kn8M/IiMkKpQ7
P/Q2YEx8aWMt3KZQZl21VsSeed0BmZHhHq/V7JlMQMmluHZZcwTQiD1H6P/d1l6aTiGdLvV1zS2x
Tvq0eux8374W0MVgeisfvdiVjz3LGZloRPZYlDmEIDRr0ZQQbGtQBVrHugAnrKCjNlohYPM4+OrJ
w9uuht49hnj9XBll8BYN/mvkgPiVWAiJj3AiKaw9e3KQbSY8nNgKM/cVrXf+borF0x6pyj+XmmxE
a/i+1Mx0OHnfHczoxQHUc+heM/R4YdZOhw9PugNLGrRDqCGSJuMWBYRiTcO4N9K1QJ5/a/RZ/+oG
nVx6UaEfyIsacrSIBYsv5PWY2I9Ozp/yoa9fmxXFjE0SPA4QXsSuvX8t8zI4zx8u+ub24eRtsaGZ
PpzWw134s83lFWyr3rLJwmDFbagsoxOxwjuQ7sW7cADj+GDEw2XorAFZ1Xq4cAY1YWS0nmk0xVII
tyDY6o+Ov5qM5G+tINznPlpgDd0/9nZQPLtu8UI8AU4fxSuIgv7Vbqp48HlN8SnADitpmP2GUsGU
O+aW5mwaz2kXrZMV1orSy4kyYgfbqgb133DhcEhd0OHXr9LpwN4TG6cZHkZnHyj4Gq3IV6EYB5SS
AD2jEMeQ4RZApvpsihIo846lF7Mb7ecmqo9isMI3FkTZNi5Ub4UahoN9AeAGGVtck8sIwNOC7NxJ
+1We+fyAZp7ozUGaFVj8L2Vl6gevB9kbRaWlys5mLWTM8uzjh9gxWpEVEQh6yIavnItF5jHzi12L
atdEuN8YwFB+7kF6k5qpu4pdMA9Q7YcOVA+aSkNTQYgImOjUzSp3hS5GcGK+Aw/6WOuWoIjjUPcC
s+UM7aWzyYaNE+CL7WZmp/gQq9VJ8DuhV4gKSE8Udj/WaKlwqz8WYctPc+X2rlBMAXOhF9TwUAhO
mTVVjO8C705pDq02Xpnp5OsS7ZaP4GIYF2Bzl98Dj20NwDzCxRhqK44u0h8yqgAQbqP2E9LZ/kpP
Qgb4csR2QDHU+8YQ2jkrJViW0qx7EX+sBIo89yurmmqR662xuUsemoC2ZzK73hKFFVJjSf0PjegQ
DF66Yl5+m1S1w/AY48kXMdfY0KXGXREqpqlbmStWhHz54RIXVnJAEV8cSr3qFlwX41evBv6ziipx
rR2mXy3FFkyZtpylJhJckbgGujCuNINSbS3n5jQjDlv9mgKoPs0AqOc2o7Es7abOHqZjuI8bIG+r
LuOHkevts6iQKXQ80CY4+Eo9N9j5PjfS2tRdFD3QKNHycd3rTIcqEpx1pPtXs+Nb/FBBsUxi7AsA
xY/vlksGF/qmg1luu8BFM0PNzAVI8fTPmfBvZ7Ot+IttjiNvFib65zmOvOCYAgIkyy6WaJM9yUXO
epDz8P9lK/LmnyrU/PX/YT4v/HWWBwG6ciEAMR8kt+6H5CCbWrywbH9tWVYO3Y4/47RYSUvMy9BP
MGtYkqOAYCZEUPoD3v2t83zQkH3YlQn/joQCGs9K0Iqco1wLBnRbSoEXyqrBuy6MATpyz0L41rBq
se8eRQPMpBEGchsFv5dQcTU4Ynx/PIGLylsbQ4m0QKzzJzokFkrU4G6z9rNNy1+t0Mc7hK3xJwuE
XEctSL7O/n9dh5fFuArK+queuck5BDDrzNAvcLbUgc7GGmDqxvM17AjhNVxkKVbkGfqhPNXZAw3w
6xrdglaZTisb3SVu5YBmRq01zZs/gJZFMh1vQHiL37eFf6U+svngms6pBG/HoUf3INSjY+hPolrS
r+YQajoL8mQ85Nw7e0D2aVtPs6dp1HKG7sxsCVykdg50GYwLnpQuGtT6cENGOtTC0s501ufGsA2i
Ol5M0R9iLP4911HGNHLLxwPtfZrrYgvmhUgU0IQgtt8cIBu2wrPTs9Uk1qoYK0jSQMgH+zNlhKqN
V68KTSko+vZ+CsSts17RaVJzf+tE/A1ZDsTFaoqNPQFYcAXuL3gMiA0F3k1MuiI+udYPMmEXC94f
rfk9jcbzT2LNH3X7odrwEKKfZfpJZKgDJuAWw65Jcnsj7LR+GngOyjphim92Ye4B77D/iSQ01cYq
+14UvrNII+TSKr3NN2VripOW+s3RCpr76brlo2nVFAb4IgFR0bo8POVxG6IvC+KgtVcVaxqCn707
DxF7jWo3fCFToekbGY7dAzCg0YvwIJMomjrfkXMYhhaJBtU2obx9Joqn0S0W5CRTMlj3nzcaLmTq
AbxA+xM+wQydlj4PZNA/xzH6WfaSPZsM9LO6r6OzCfLsz2Sr3MdE5OZTrgLKKmmXmsn13RxfpL0F
Gk/lVQfEN8hMPFnMuo+nBf0SgBiB2shi8qp41j6GcYqmhin7kgxQq/qAcPAyc0AH6wDVdsWKFIIG
YlzRaR1DSdQWZ4I+3CEmaAYYHHQwxa1B0tZfmEr6l152O2QaWrLsmJ/JThHk7HFJdzXaMtFK26YO
VM0wg9ssgigDNEDmBeb11FJeEdeL2PKCJeVCR3Tgrktf6zaUNm0cZGbanHUbypvOw9lLwaPKsZL3
v+eSd0q6qpVd6YUrH6BV52vjjpDbG6LopYxYvOhHE5IcmRG+QHIk2wCqUKxpaIAS5Wz23msZdbxa
lumIfy40w0q/jl7azLaX6BTJIWKPqWh6avepI/iSvLUM8qcEJTNykkmLzXgx/uWzKvWTpG21iNw3
RlRveYwnNOqVAgtMx9QwozW0eEGE0o3GcTLS6XxA07QB2jE1FSkBHq6CKI7XQQ0YBQWR371bdIol
87wKnbXSu30cuK12QW6NJ6SgoefiD+UTvlfjcezi4IEOtmEFC7vNAJII0ZgNeN6QrwdjQBYWvHAa
tup2s8tG8LJQeOjUmGhADiAsqhMHT0cLUu61bw/VtB4FVF3+189xsa0HST07FBky6EtTi94algxH
X2U+apXvQPclMDzjo1B5j8IBiivJ2hca0WFkEoJOBlgUpyXAT+AucwCCNmbnYUkw0LxVakmKbuum
PDF03vm2HS+cLPE2GcAX548s6RM5umMgD8erWwzRqaMtqAm3rpo9e2gJOrhZDGSxSF6yApzadEjd
SJxYWYPKlcbIbO6tKo72H0JKJYI92xI3jtBLNBZq02fp6NFFSp4OcgR6maVWDszSbxtXKXxymCGq
O7OjAwX2NY5LvpsdFIzWznsH2QyvWHkc9IomxMtWsZKUozQyHSgpXZA63X86yg6QDiDHpn7UGfyE
/vV1azfjkd5TZzu9sbYCzD3KOdunztf496y/gaLUrEoD5QMtqUFsJvHtaBE1VvsQQiOTRZ722kUG
5JJEKpdlWYSf61To2NvpckNeaeAdTlbleKChi8oPRNqiBxqV30OZWq+0XsbTZzAkaq/gCg1UN42E
QDGWz3F7n9Yjb5OIHhSc0Xggr1qvzv3ogZzRr3m9959PAz57Wu9vPx+tN7o28NJFAEyUiLDNfEfy
BQq0FwHO67iFeSA7meiMEH1/BfcNXtitwL/M0X74G/X310BabI4RdbVguBMccoIMAu/Ajlm3MLsM
baRUnaxrjuZSyXJriVuCMZUs56omxdAwZRK9pjSWxvBcVZlxgD4dcDKSXafqsa3dhnM5S+sLgFBC
dp2w5Cribvg+f/KqoVWZ7Gp4FRrX1FxavbaZuTYMsFnrvlccXXBBLggfN8HgAuOMlonmQpC3QuD5
xZuSrSbIWxkNjxU3FuQMQuDkwF+YgdkUWh20xrwkeSlOWBa4xuJ6J0uzBD8ksFtjt+0gn7S0RQdC
4MxGPm/K6lHuzqsjIK/L+uYHWH/YNiUKDIneQalIxtbnPofuUClj0KGr7LjP4mtf9s6jBraxJ5F4
e4pKeV0cQLl5P6l1sFUfuSrdAU6WrcGbtgiZM/zwwMOxGMvAf+ocI0Cb9WhBysgfz4IV0RpoRfu1
0ayvWd4Hv94nWUFhY3ol9pklv9ayd8+tOlQ9B6WaEapUAPhUOtc90xlF0BnywzG4NM1xCpkdFEzz
BwMIEq8sNkWS1svRzdCHjVadPRJYyTQMda1/Hl+xzWPP5M/qMlxWpuj2Ff5rnlli3sKtNt0XTGd7
E/rLVlJUVzrE/lhdS9/UT0mgr6UQ8Rp0KCnaaMJ2P99GTQkqfHBLnOi2OVKNM8u9/2VTca6Ko/tp
GIMIGQ9QUE/03TDdwue5ZJtCagMiB7dewTAvok+NgHYOyEO6VaFKJA6IFAAmCZsDlUig/bh3hzp5
Vl0rj17OH+ivPU9q/BRE20YCdhsvvsZtFX4xrJGvc2y2T9L1uhO2QDnKILXxudPMhyrT2M/3UDM1
7aVfyZUNDMEDukutNZ15Fr6CH87wyLjZ/g9xWd8n2NhjlQpUr9uuQDI7bBMFwxVga+llqm8lJHbR
DNFEqjEfYPV57OAtYUBKEDws+zjKwZU29u2Dl1dbaoWjBrpUNpcujYMLjZy+jqBAh65gGnqVjPey
iKsbsYOtKiah3FJj3QgVyr3J8FTNEyO+dPGIHptBpj9yufUZk987rQZCyBm1k1FptwCjCMQi7pLk
IOq43qNj62vdN9U1yyrFbtfELTbP4wqIStAQKt61xom8gyfBSkjdYxrYL/DaCy8NZy+SbeYn8lLw
PKSlTO7wtT4C3I13TsBXiuJgDl10LCsH2BbDqOwLOB+sjW+WFt7KW+BagiRWEBccHKc8uGMG6nQp
m02XVdUegoKboTeMt8bU7I3krN8ODdPfdLdZBsDNvFapxE1fA0SK7EXP/wn1wXlwzGC82iMkVqMu
M97CzFM4FBDV1HXdf/JybQOtI+MNeCv2YdmmSV7HOg7XzGAFHv34dZ1Yii0N6WKYsY9uOeWVXWF9
MsCVPg0peB6Sl4JF0ItVnyt+ot9FkenWmjt1eE6YD1ZSJjLQrgj0+7c27hSN18bb0W2zSwxx7QZ/
xCc66N4QbaqGmWBuzNDTxqL2C3I4GlqUG4QMSXZp03SagNriP9Ls0XCR5b9irXLORcytT1Dg/qU5
sXOugtb61FvxB1+oIqWKLBE5z+vLEFuvcZcCy/25iMGv2qSFh8UTpKOSEAIXoaM/RT7yG35jZz/a
QgN3ea79crj5JfV0Pk0aI8091wJse77kKEPZoQ2JItQ1gqiKN7Goyy0N+zQUC25J++JCwu41Kp7I
XPqBezJDH18nP7GnSaanfbuVJ4Fos1ZSi9Zpn8bfTA3vgGM7aBc78sBEYNg6uDUq58UAFQzA+Kbz
U9fidcLtaIoVsa9dMib6Q5zJW2w4AlRgq9i/rDvHhp73T1/EwYni2yD993jN7+/XBuuc9s02gzX4
gGtQu33Rxzo5NqZvA/Alhi/ciNolyxN2zIeRf2lzoK4QNfwlylVReEACElVNk+comoQXBHBV9dkJ
m2hjP98w6I6SiW1SW9X3sOf1CsJw2oluOYZr3W45/xVQowPyR2tu6hx6D33LAP/yqn5hNWa7+duz
thEsPYSefpifwa5tQQWJxq4sbnPDuELjBB/4ybEDfpFVUC+FLc0dVTZzWUCoVh8hCfBe7YycS2ob
7IlqnRTPfW7uaJKvNQm+t1r/MPp+tuOiHRY0nA8h2BMizh+mKFkOD9w1IXxch+MWqN7h5lDTNWBg
F6OyGcYIlfkoWtdBaX0uM3zj07R4kMIyXuKuX5F5GJgqM1flMmzwhXdzlq6dMql275OkcEH71afL
gGCBWqB5L4VTv1p1kD642MS+GuFjyr38cyn78uLgdUhlYvPPwM+XO9EY+OKroe4VfNUZvrUnLwQm
piVQf+RI1D52dZqjeRYIccil2FuCzFQx+izRMInOFVc7Gl4/LsmutQZb2D3+1S2Uup/L0D6TXZZd
vRkD3d7mQpZvXOUAksD/5BvNysgUSRr1VeYy9pdoUEZDgOqkJLyX1oE+vE1UkZ/wmJCG/mNMc4wU
32G9EWC7aPRqS9eoLkEZ0+WGA6oLrXp1xetklhk75YBELujCRoA+b2gS3TI6CRl5J0CfA5AN7aGr
IwAtgh71QqXDEdg4oDHcP3WWvSO1DTKRsxPja1dr1qT4MYW+T6dYv029veFYYtEldriRvjasK6tJ
X7QBCELuo1uJhl6XZag8LYEORFZOBQyBj8cTmueONLQc5ITn6WHUixNocF6itt7ktZZ+BiLJXTW9
g2qxbWLDhXbxLTZc/RMbe2/Bccf+wSCvV1dF8MtKEnTV/jGplFAGxqOr2UVhZJy6kHcryctqKQDr
wLsabHSAYoBx4nkIECudNirQtBL86GjvqwzjJQBR01VPjG9h1hSf2z5M95kYoGSsQEHoGTNWbhpC
3Eh57b78ZSEjdiW4T/QLXbbaq6cWkLb1jWboaH5cNE0fbXCn/qarZm7q4UY9BARh9lBs0E6j2rdD
ucvS/yHty7ojxbU1/8pZ57lZzSigV99+gJjt8Oz08MKyc2AUAjFI8Ov7k4hyOF2nqu7qfolE0hZO
hxmkvb+hM690iGioCe2m6e3M9x6mMB7a8d2h/njf4K++wSqmuZxdMIla+EJvIJpe3yUGviQw2MNX
mDAcKpq6vyRcPTsrHd9BBHWjvKvFMh16ipju422QzVv9+s1k/wAUsECuB69b37Wso3RDfHHqXdzU
vg0hLZ6ul/bkjA8+peLSAevl0h77KqpmMFn5KHxIK7jVhqLEfknDXh5CE/eR37j0xhUAcpQpqZ+E
1/4MgIn+iW8KuHcwC9JWXpmj3b0iC3g6z5AZn8/T+fPBL9xxlwTI0i7FZhoeRVBOD0Cypxc9C079
ZucfjU5+7tc2Ezb6z/EqZbCc56O/AB5V0YCHOC8nuTWasrzt4Y8Tz44vXrI5uF6+VVjAUJqG34c8
gIpuOdoPpMindVWGKA3Y/XDwUMlaptvMwNOGcnHHnRaoV1ldYhueXGhwu0ZT5jaBZNAELcUz4F0P
qNhkMk+xLa2fHch07EMuqqjz8vx9TMkvG8a9dzxMhkPtcqF0iea3oADJ28zeA9zp6ywECMlqneT2
y0RSk60PKaKoUTL8k8S32iLZsQE/pLzTfXAUe57HxIH7OyJsIA9viuSXbuiPrGqmfd2RITK9TJR4
Fv52DscMyKYe5wB59gqZKDOkN0gK2WsxT6cjE4CCGwD9rLU++jL6KQ4EoqgEyDeDlejeGNIWuA5o
PlAoia5wr+SLhdzUFxeNQBEBz/jyrqxNKMgh6sski7sh9gaa0EM7V8RAgwGFoT66j6Negy1UUzrc
uvRbeWyBuN3pMN3VFaOMgLW3kKHtoWOwdStjzleBSds12CAiylwPyclIBO3OMsdLszLGXfhBdQiG
1j6YY/BQTQ0Q+HqAk4FHCjCy05eC2Rb+BlgXZ6GtNZqFpkHuvLLfYPAmtl8B8SdsvOu+NTO4ScPs
2yeCW4m+0gCtOm2zwwD9Z7gOAlcQZ9Ce339qd7WT7+egGiKdBBpNcBRF3srIY8bnAf3O030QMsXJ
FEJ6wUR/nFCHgF/Vgdz520kLQvB1TtlWm8a5YTBsQnC/Iuw3wRLSnfpjabeQFbZrOLB+HdBt3ADD
xlCzfW0ip2zoRtMHDqMibC8oS6PW48HD1Il5A8U3eZgpS64AzjTivvbTNzOt1qjQ+j8cXp1iodfp
4G/qvkN38ACIp/kzc9MD5Pqsn4aTHqTq+W3ob2KYEYrvBNskWlYT+Ix4P9Lcc1ZhAhO9ApbWD77n
Vgd3GglY/mhmVpDeGQDO65aeAPr+U1/4kNBRAZCCcFZWYRpQMStcOFA3bKfxz24fumuw4bwTO7LJ
vfB6Ju5rKDPvEzvSlFC9FsilaJj0wqRErsJb5upOSCDenbD1wIulG/gsBHD343Jvzvl1oym/ui9X
Qr2OovdmUL2LIDmabr8MWGq0SM1lrp4wuPkP6Jq4u9FALkwEtrnNVXZcY98XKLwaMJAh2hqZSuno
4XO0jtF9Gko/yfJPpyEEhva1BB2I1Jm5ysopXWl1E46dJqTIfGiigKSGCp8aWTr1uB7Rc4wCI7pJ
mwSikJOacz5bYSu3Si2pIjm+4X//63/+n//9Xf6v9Ce7YRWkBup/1QO9YXndd//1b8ux/v2vZunf
//ivf3ueGVpOQJABsX3T9HxTjX9/uwPVQYX/D7ftPWtG7nsDcVW2C1yI93nerUboBEFR7eF3CfqM
YghqbA/S7CWA+F67y7WO1d9NKJy6jEF2E8a9YwHnRdwV5Bvpd5fJMO4TD/b1LpiTlgtHO9aw6f2P
gGwA1bkrATsaMvuhTwMRj2oP7ztYupps2uoWVYsIamMZnQkPG38VoT/svv4ufG+4+H2S/AjQkwzw
G8IO0roQ77Ri7QxicDbFcIiZLgIsv57Hne7lOYWf+cisWBuW6KBKjBOofsMNKQyLQn44LW7dkFWP
QSKQ3v39SGDN87Uv6A9SQJChoLV3jRpZum+gOr3rGgvWeJCtjgPALl4Tp94TL01+mp51aTvd9GIb
PFkmgUeW7pGMH3aybE+TegdpYhQAfvlmwHeamZILCDQ6KIDD4qm8NgrYour+Iemn9TmsNuwljELU
bZUYLRAKJTj1ig1j1nl9o1q6pvvR0gVfSR28ZlWkYtF8jOl5HgO6hDfjMvYRGVjdHP/9Zeybf7qK
AfyxXOy/nTAgruP/fhWHBCpybcX9Da5rTymrkK2B6sUGKhLTsyjEL4mVwfXcecEdnyTkBNBtGgXZ
hiqq/SOqIJCaXa5YWlX1Wl9AQdPX4Lbyn7qlr7oJMH1sSot5k+u168SmjUnn4vr3CTpWd+kJrLZj
swIOaPZhLD3gpXXQMsnmXGaXQ8XfdStzzey+HMM+kmV5ipBsPqZWXUVt7u0GwYprtw2zexh0kW3G
GpiLNlV2X7Uyu1cRPZSqr3ULJW0f25ypjBq33QKg313aDQusTaMO4RzDL5FjGpEuucvmVKDur7oK
sALoykDy4R/+Tpbp2V/+Ul7gQDPKsT0LiVHT8b78pazRCdrcxKp7Hpkg5loKYLLg+AaltL540ke8
9k9HeHeejs6j56NSsnKZce7TR+mQr058/FL4RWQiqb5l8whlVnVkBkAbMeDSl6Mvo38fV5bEUr5/
qDf0bIXdEwoUZeWhLlmtuWqlsFW5x7Krwp4Z5WndV7G529a41EB2/GOChzSvju1Yl17Vc/4MiuIe
0vb2I7O7+hCC4LQGQmV6Vf2GQ6yv/Z7ffOov+wGpOGWAp+ItBta5BGx6y+g8xjO0bR/1UdqMpyNs
6f7U9/dxi9NFAFsFcw215RLpfvWSIzZ/YWNu7c5eFq1SANNmF2E1AC0BCyvmdBIPSizyHl3pBbBM
SbvbXH0UHfC8um80UbUBOeFi9jOoy48EmXVwfLcuC4KVzWsASlTT/r2pR8/Beq4O9jjEsSbYVUoo
yTjIMbBY6n/niBHmYpV6+vfP42lTi5XZCm8n1JrTdHkf97yjW8hgYD0LalAfc9XWw4OK0X2kg9nR
EmPwuo91O9NZGn0O3dZzYDSItWwl/jivOoXvOeICpNxSQKqJAJncZuOBzKKCKECavBqgJV0uF9mc
jJsid0B8VpdbMlJUuxB7vgL7KX3T8dSpPKiD+S1wK+mvKnOSR6cn3XpEluFoQhjoom5TubFEa9/L
vpARMaX84YrbyWLJT9nTXyRvk0ebp/06yJDUNMywWeaEXWmA2OIg1SFQHmeDyB6xRZMxjCayR5Y2
MsavnoFbiT59pPv06F/GsSHNb80x+97yart8cw6106s8yE9fLE1xw8xF+bmpgpH8taF+ggyPhMYB
Q1IHEs/QSXEzAGjTFtdjjaydku0rwzDdNk3NN5Xaug0dQJ+4UJujbhb5BtDQ7OkvJ81N392ru8/K
syoCbNi/sQ34BBi9VcD5E7csZEgqJVQD/T3ufh7oMlSW9IxlgPaANaubVs+owIxbs6Q012ma22tG
B2xc1ZGsvfqmAHLtU995VB9lH6P/jbjC6aMJxm+wKcdi8+xKo+1n2rJ4LAoHtFW99ORFJlZJY6C4
jdsIXHsb4Ox1USOxcboZVJtM9Lf2p3FIQMyoM2N8+XPq+XPC51UnavLYtIOJBwOyK3AoyAukNGAo
v3IV4i5PYXWQcbkqCqwRYyqgWZj7sKrW1/k5eLnsVTBrphVEGek1uMBXsO3mt51vvHhKqWAI4ddr
dazaQzi1eZHdhW/w9jk1bX7wLPyOvopqsSuNqMnd64/ZDLD5FycTn2dDiduDJskdzZFAhI/31rUr
fx8WLrmm8K6Iy6Kq38cKFjVq0+eJkkW51/j3buhU2JAN/h5pJnItbXhR6dgp/dkh56yeAvrJwN1u
vqKAd8GJrfvUJYN8rQP0M0dHqS7bxtag7qw8d3+WuUeRocDjxamGMbbKttjqaH126sCbc/6rPi8B
R98YHZNAhLC6hg1RfTOSiqxmp4QwhGZ0686bFonLG0Px/HV7wJJrCdJNPTB08mFiELe9lxRVWC24
bsxk78Ge8Fooufak58HK8eS00YO22VmXVZW8DbzEM+/3WOlXAZTe0zwyBwPLp8yUN/pDhrLFxiUU
EdKAdbKMTMbGH83k+hyWJVkS9S4UUM59grXtLlFTe1XUGNUHpxJJ0hapFeZs7KrPD1zJsLiEQXgF
W2MCNJfSYAl5jttAicnpcT1y/phLwEtW6hSjbZ1OoUeXAX0YNMG0ZpDCWs4AO3ugz+B2uA+U/iNk
LbxI0e33WumxJE1y7Xpy5TEx07iDWsLaGKt8rYP1h9UW+4JT60pPcGxSHsCa70Cm/UNiMpBQt0l9
v9xrCck6SKCDBClqPUGHVRLifkVBsjVqksWKGIO1M+kIKx7sMtYappDiW46Jk9sXuumjSDgAkPzQ
en1+I/PsVXfrSdRKmoXneZ7E8oxedyXN1M476klff5sMaM8w+MEjH+LL5wQG8KsA9Ze92zTTswoD
Ib/+VpW8PDZ2EcDa0pkezA4WE8xFvRTlnfvAKtpNMZr5ZUFNcQHYp73hpRR3sGMr4hoEp7cx7/a0
dp1fZe5vprAu3vV0INvqZTrJOFwzeHiaPjWVuCtpjelVLuNqtrxd5VThprAda1dafvsIgBMMD4Ps
vXdJGBndIK6ZOWfQTgqNGKpT2TsUTVYgVovnv5ppEigv8WayAG2B/yPSNtT51VdIeBbDWG91EoLa
g7vKHIUl/8hg6JyERRt3FSTZAP1flcHQVH7qFKfOcwbDp9CsDWqKFLZZjjtZi3JtKIiR71IAJ0jQ
XdikdZ/qAeIZEOR5MKFmcwOq0ZPu/jKJ9UBbwOKzvwAOEWILNKdxCGOdxhQvrQlgRhL4/mbRskmP
X7o1IQe692ZDxYsBM5Ft8BGNk0BuBn4zgMatdBayhPbwSY0DCT0Wk2L0l5FF71+P60hIcYLH4pa3
Te+vSOFbV3ZBRRZzNN2/bYIKDwMI24K2fZOlgM1INwqVeg+kBe6RO/Ee4Pue7ltO5g33+vIls2E/
oAJ44IAGWgvzssEyfpmZDn6mZ0IqwHvI1EwnGdm6E3h048u5AVG8WQO6kiBTDRyEPkoT3F4BUFrI
VOPovxtnjs4alG1+bcJc6jK12PH0OxPPuezHen3aBmXI3RfBBNzVOcekc0591mPRpEZYboE+qJNT
zFYrKdXZV8CarHRK6txpZDKB+kFvHufOuhDIYNxoMETnzhcpFPNvOmrbj0HqLGNIa5sXRelOqCFD
WYUawRVHdWr3SfIzsxpYN/w+rHUuU7yPVmFgevLeAQXDhUHVZD9qS2bmEjPGHh5UzUnZ+rm1tUJZ
wX6Txbd/DPBGv/p+PkNGYQdI2tyCxpiJrLf9WJlT8ryUkVshkDq253ajtT1QaXz3CEQJ+q7id1nF
bnQ+pTSbcaujsKiHWAod39vE6G/San5sOuG07wFKhWRrkmDjCgnSVcSr99Mm2Jdtna2gXuOVR4tV
KI172BiBDAFWMKWQZ+tSXMhu43frxua/tScqvRXhFt72s1jNBvYfdhBOd70NjMagKjhpBtu4JGHZ
XdErTGpd07Uu7SQptLek81YTf1hzC4W63m3mO2j5QEHlYyaMSbM7c4RaGS8sGvsJxCVsOLpFDvay
B68t73QyV+eB9VGfTDB8CuAs/WUAQK/DOLrhorehJ3ycA0Y5jKL8j6nBBKEfsPnyhYhhJ6Z1A81U
XMr8RMuQ0OUETju3LjT1oiZlC2RT1WLTjxA9wWzH9ZmXUUCkiRfBAIlVWQ5x5xf+k5nMD7raa08j
rmYAN0IfDmVjNxq3SFKIbU9ldpD1NABCg6pfBtXdJwCjHpLCS36GJh65FJMMNakOx3DD9F/ZccFG
gP8efGH65LvkthVBpZveQwXW2+QWvkYj8btjBsuLdV/347dyMt+l2mv5ynidj+F3iN5bUa8mZdz0
NuOEv5oxlMcc2koXEySwl8obhcdCiFXBo+cNLZLzTb2tTBo+obSz0X/4cAT3wZ4aWDGwGrIGk/dp
pqFmwjqv3Ukq6m05zWwLdFy94tmYHmt4Zm4gO8GiApucI1Vgev3xpfklDrtfZ2/bSPH0K0fldtPC
TMDUE80Nsg0whm+gW5iZY/fSNj0eiEgG64iu8pubNgzSC5IJ8DEB8tbK6YhHQhxSlZCWLt0nSKQW
dUi+Bb0YISuuUplqO2dJv9wWpnKIVs3zJF2YS9gyyciCNMpHOAA6eVdC3R7GQ/DmlQ+8bPDqNSF5
RqA7kZS02moJ+cypdyDrkIfJNr3LYhD1Ijl/np5nk3xo7XpvKcl5Pb0pkVbiSehfp6gCR+ocXWMA
MmW0p3Poc3vqv2BQKz3qc3z8FyYXmiL6HPqUMGRepuv/AqFdvajb6+n6N5hh4AQxM4gkpYADDtyF
ZhHsYq5N0o8RG5rp9cuASOiIqqHzecDltXv9ZQB8E0iAtZU7MFCvmHRP4ueVKMN45D5ffZI81zqL
g+XecBxhnwg5uO6gFx/6Q69KMhgzEva5+qI4DKfeSUNv9ZLm1BM4ze3fJ4mBz/mae8QGIPQC4kHe
2bQtN/w9S+xQM0cSipXKqci5Hv0OqvxUPCMDJ3YohHegHeN7gdLm0p9WMGuq2l96dbEURplSYNZt
Lyjyi1ESqFfipfapbKrbA5S7XEjhOePBkx4F5AzoFoqkxGXVhi2KewD9h7OPFT3lLSQp5+Ab1ATS
SAx+9XPq6mhhaCcpOzp277w6TQeoO66o+788k5/RFmXqNFzOxAO3vzsl3SBA4kLi07c3xLfD55Dk
K1PV7kNvAB8kmNxL28/9a6NkUGNUD/5mzO8cUxgPBuzvdqy27M1sl8kzSbKVDpi85jRzGABW6TgJ
Y8OVNzVtcoipQ+RZf1gESs/crcR2ypCB+jKgm5knb0wrzSEjoSSfdR8zOrENXdCqLJFennIPA6nw
5lAbUv0RtMjmtJV0doaW+zOtbjhMXvKN6lJ3omrg4OiyaG4aZ9fLsVonPrFX0xxC6JYEJNbCvy0Q
Dbe6j+C/GA9Ao8HeT9brQdXmz2oI52ZfVQ8VVB62hutPQ+R3ObA+y3EyFpBfIuEeVgn2rUzLn/oO
nEC5jUHhZMegCqwv/bbv1kfRzF/jdb9f1fLCpo046IfvzAGPGiGKE+mHtO5rbQKWwfkBrWOUttvy
5LbqzItNG/BmiC4d9ftuStxdPxg25Cf7KeYlx+vV6rqdD6zSvrAt69rrDSOuOBtePibVnOwsN7df
sQg/TeqDdW8UMAMm0n+ea2+T4Ur/ThNX+bBDMjLhQBcPrCBrd+iDZ3z5S0RjwO2xtcY2XfutdVHM
YnqFnUyc95355HVpui8FNda6n1d+jNW1OP79o8C3gi+PAjiREkgAeKEXQiPItr88CswO6ft2NsU6
mCIUBulOjB1uSVaTB487z3B5pN+tSb6Zmcsf/p8DHJxh+jhDG3CokXjr1Cbe+ad8xIDzWO0C7ofb
PwekoKHFDiVu+74sSkOQ+HZpEnr32LdcTUUir0plaJcGeb+GFFUKC0EMTkihHafQeJAq3aI/Eul8
jYeEURG5RnObDeWDxvVCtR1qFRa+CAN5nd4qm6M9zBl8P9m0drFE+pabsLRRsF4VSpL6FAp9Rryy
FtyLcGpvDUBXcm12fRCLMvVQvzRg2AqqydgE+26Ax1/R5nbspKS7aQw57eQYBDuD8eTan9hpkm9m
l3oS9UJcofB4gSRXt9MXPdKY1sY0JmTt1CJF5jVuhy+rFPw/rM0cjtUyMFVZue5DTpFmR+4u22kp
EC0AspiOgK0GOo8zwgTDKhXvUKnMz1o1xNKfy7HuBh4a2ZCM11FmAY8jZVixuGvlaypydukpBWvX
UUzkagC/XgvUqVFuIMHF8bTZc1Ng6d9N5FU485rBCvaH4xa/2rLMHhMTqXlPSOsQeIZ3pUOJm/rn
UGEgqU+yHZ/mGeIn0nmC5EsKY1WXQoTHcJ4Cozu0uePfhXlr3Mp2utJRUtJpn1p2t9JRULFPV6AZ
1F8mOXDmrnNWwDreq+6hqPVd726JkUMPsU3HWxRquousyMOV3g/7xWVm2MZrkCCNJJDpPyQpxeI3
K77r8UEEsMJREwm4Pxf2lDtxRx3rrWSxLjiQhKMYRLL60W0MZ932fLhsjIlcTCMQiXKwuwfLTdqo
RkX1p1EskzhWx8ukufScNUh+3YZNeOGkHl5OSNFZF/ooTZl9wRJBdl+O/j4OjCOyy9zkdJbP5wMI
wIZ8ALk2KrO/0uUs0/L8zVg0ZqxLXCCFtTf46g8FVmmbs86q1mJtFCObdZeWHMlR9+gPHQXykoTT
08Qg1Y6o84A+chtXYS2h9Hdq/iEDq5uwbHHUKc8/DuSl5jhYA4UD11LBGysgWjUegx6N2TXeaSvo
KiDYnOBOtY5h1uQLXuM0DjXo9vQM4nbrmy8EnrnxKX1vU+Caitb0m2eJ92Lk6mdVCTeivUuwPM/h
cXFPM3hYQ86F/AgTA9siv3yXuT3HLbLX14IBd6hjLXP4GuvMPQQOYPasiVqawDVYKYzYwInRLd0/
dkWygRIhQ2WBYhcG6erYtz35anSAfwr83rfw1B6PNYHqXWtDCAdgcbt9r5TqPLdptiuyXiK3iZuW
4yK8L/0A3mEhuVq6VISQ8hThmIUVLycAo1luUcdgVxQgwiuk3NmVyMJxQ2sLXgBqgPsEe5luyNs/
vjIGDtQlLUBQmQb/XlgGjGR1szBD8A9Fd72wyHQf8Yz7GSzsbM09qD5bwYQdT3ivf3cdq49+n37+
YiTywAcVv/wU3dRnzPGXaZ35ylK44UJW1qYoDZivqqb+6Cv6SxgCNj2S93fNJOh10NHNOcD1EnMD
aEn9aZJwPPgGIzF4phm3RVEfZ7ija63LRotghlDIPff1ynlXT/jodzPoXEIpZ4NbSt6a1jxschhB
rk1VGa4aMmysAkqytmrqUd20VKH4HKxdt3XTNKCuDhQNkiyotxeHtg7EMW/cvW4hxYd8hnRRR1GD
IMSmFykb15Ng8IjSsV5NpZ4AyP5puu6XEgDhqOsAmoGHU+pAL8KfIWYEcVwyJvOP9Fq/KX0XspOJ
Xye7CSSv7dwY6b3nQnsD9DS+H1snu2dsLI52SO6Thmf3uitNPCidw+t071k5QNn6/5+1bLwKit65
ot5OMx4B/5qgrDs7zlUPMwHeZ6gV0hx+loaEWhF22jKF5AwzwyeJ6igEUyFf4YNqd/t7hNHiloU+
irMqm45tGO+KQzEzcZuO7tcT/XPE+Uf9h3OMIKg9la1Rb8rQLsCVS5Cy/7gKXKec9ladPJ+79CWi
+zvPX/rPV81Hv75q3CkJsD3ou0tmFa8FSeQDjMOzXT8W2W6CAvlDaSUvWqf2I8Abp2wXlqm9QuaE
p/bObSEO2ybeqdBZow/awWR1rqaB8GgtXRoX4PQw/oWsx6nSqSeopq7GzTW0J5Z6mIDjur6Xell/
vZdIRiAuru42fZMFCfvVGHV5oVteUNXXPas+TdJ3rZ4EgwF6rOzm0ig9u3kcIY2SdnW3kySFvhMx
90nu81tP6RLONgTqLSQ8lz4tTBhMULvXfTpEqxnqONEa7dYCns42wicACZtvCtyzhm0DdIoYqHBO
KCUkvEn/0lTmXi9hPkKh/3oKTSvXW0Ld5rCsYvPad47Ca5xNjSzrFXaVzkaE1elI9+nRSfX9/8cN
pty0Vp7Gdm6PW3hKU3hEJnDjTiWy3LkoxdIJwTt2NfRDuTvtUwZ4Q8SLn48AKW+VKNueoMVOp0TK
aa3lyp1xCtjqbNdTZNgin9LvxPTXs3D5pWDwDN2QLO8uddtG1uVgzfOKihzoK91nFgzoq67tgrh3
bT/+pHmuD/VPA1/aRGKtnhbbId23/K+0r5AOrCl4QQYxXsYRXCCdvBZZA8YxMg0XS9I638CKNngC
viC8YIXdxQs2UEWpfMRFOBUQuWmqd/Ao6xtRQmN5rKejbiG5ga4hazcZdkqx7oPAUH3zESuF/BwL
dPjeMdilBg7yjo07oMub1acmqvYrDR3Uow2wr59G69+bwlr//abQcXydAfqMhvWJb5kQCnBdy/cJ
wEC/Z4hmc8Ct39nFGg8RD/Aw5PxCKzdfA5jaRXQ0TaDu4R1Hggt7EOEtXof7LmkhtJSGT3ido+4l
AEMG0QI0s+bo8mTYpV52N0L39bYktqNA6sdkJPm2hPBdyDJs+Ih5W4yNdwiM5HlqinIFEZA+qpP2
ahj8dm+kYNX4Dsq4kD/ZYy2InUkg7+sKVeDKAAa0aMKrOaEzxNz9N+g2FduyHt4yCcN5ybty4wdY
A2MnfMOgy7AuQsfZBN4V1tnFZUh4XGdDeBOU7OdDPVmwhQ9pFjOkNEiYHQFEhaHpMEK/0aGvXsmr
IwUu+1iDUQbaKBjeaQY4+xheT0JmsaggByDLDHpjt1XWDjtoObcRHSqAXFLQEFsSzLssAXedlcWO
BUi0SdP3bzPAX7Gh43s7H/2oFaF/Jx8Lx7IPU2IAXFuTC49wLPTMHnuZsNuMfc3WM4Huozkdh84p
LnyPihWo3BvD97a5CRxv4Uw34wDKe5KbV3nZZFEyQIq5Jlkbj97PYpiCmPr1inGj24Z5dxfwFspI
htPtCiBjQFveiqZA/q5JYGGXNA+V3z83fIJPixXCRM14hDFvtgU8ZYjc+dZNxXM9pT/GGuLWdKQe
RAQOAFnasZzvE8fD5m8Yh2hipljBGwi+ohkPI1wDeQUViFzsWhOl+joA1rnm/so3TLbyRPWjFaiG
GB1c1BpGktXM5G4aEInbM1unU7lx2ukV1AQ/SnL+Oo5pEZU2CNjtOL5WFrmFf0u6M9M0jRoLDL+G
M2PXC3JbUCfbJXbXrBpobkpTin2Tv9Oiu++gv7IpXireARHvONNa4rkc1RW/BZuQoX7sFDHj3107
3CX5/F7lJjZmEKYcmsFaW/CBhv1D+F5SbO1I6/egJ2/SAT5zKRxc4BsUY4fcbijt/CgnMCPucv+b
laOIkmZwKOTIOEWddKsIj4CNFQawRGqMYV9DMQyODxLMqYps5mp47vJaRiLv+jjPcmgbZxPYO8qr
pnvp5+5ZdgCCUQkRqxSKO4Raw9Yf+JvDxmldMm+Kk2AI1frigUrooBm0BOI8BHoIm+20CfOLLMgi
GGqxdZICQdm5Fo/SQPYRQ1I88qiEG2jCXvwE1Cs6CEh/B0o/1oZ6VDUNLz2TV21Z53DhK0gkOLyC
RmnDrSaEuUKKuh5qSqmyxI0FMASbclhVVgHBPBu/VOpPKERXEeqxJCbSRaUESG+OMOamzabiFnQz
87uuHfqtk1ZRUHj+AYISD9X8k3pzcISQzx1QQRD9mdnGQbp0myTJoYRyKKRunR8l1hRrzwAXJEm8
YReGxltIjvDYBHTIabZpGgJf0oLI7HTbPHPvBngrgIGEV8W8w7ryCvXcndlPq2Qe4qart41VXoP9
coTQz48QzNnKyR9L0M6jyYQfCE+aqOhmsWFI7axQHo45CETfAKPvoiTM02OKYlFgze02lBZHtjdJ
t30WpjfO6Hu4VUb6ACp+HhtDEz53XvYdetDFDysINsIHvwVJj83kA1QS2Z5/YQ3J+C4JHhqFZ/YQ
wcBmDdd+CIdVirwY9DauiJUCNF3m/CLvTSQo7R6G7VVTgPlv+esSbyO4H41BjJwVinM1xwNwMvq3
HuAWOzH8X3ma4ffp8ZNru0dqrKl/en77xJ05fEmtHmRfHhSPvAEJXHTwqXezGhVTP8uPPHGrPR1m
b98PY3uJCyPbQtHDuK7bHpar+B0tCJW9e/Veb8sJhF9iv6MV/stDeFnkPZjBKsBWdzAW9FVhE2TV
gvKqH0CjBOlxWHVZ2nwEnM/wjwHnHwHkSfPuObDLduK08dyD01GfR5Wyz52mFv6h6mjpPLdZaPN4
MmCgrofrJIXBNmnCU7gO/HqiL3PKthr3FiMbrvZls952EbXjIoZIVhKOWrGrmnp4+WDi1AxnO1lR
w+tiPQC+2XQAvRJ3smI+iAYXft0Zew0U9Fv8dpCz6PHrYTSFvMXdLBdgrQZ0/8d4W/14BUp08Y66
KyC2qSbrnmB6LqXBHsRIm6tmKN/0hlS3wLt70xtQ3aJp/amlxs6R/zRP72qtKmBw7q2/zNNjv/+E
CSozB0rt/ZinT/CyGx/ITMeHAVZ6BRQb+5IMD0mdfi+GojjqoXacm5VwJ2frqsgRNcmdkYdhrEeR
BiZHda4JapF9/Md59FiDx/1/Oo8eJAY/nUf/zI/z6P+T4D7dVJ5VxbXNZGQWxfA9x7q3VvqULDEg
OFYZL7Lvxpjm3XgLub52C9SmcwjGMLwkdeCsxxnu33q6AauI77wOYw3yUtMdNb0MQMnxJuQc01yc
pte4Wy+LPgfWDTSMh4lCa4Hb3nwNgZMqQp6FX5ZV2WzBjH+29Hpc9xVGBXHiArIJesRUS3o9oD8m
1XQL7AlhyTNd0CExdokyLEKezLo0lKfR0lRHus8DVwflXtlGn0a/BH80z8H6LKjMBjEpU/fy/3J2
ZctxKsv2i4hgLOCVnme1pJYtvRCSbDMXxUzx9XeRaBttbZ8T+9wHE1RmVoHaUlNk5lorN/tHMeaN
gaWA8mZtffdT6Hdgo1ScahVsBIotIRfo1O5T37d/CnWZ/hGqWtWnUJaIpeJYaO1GIRmqAiigJ311
Dbu0A+MqNlJaYvcvyDwEnqGl1TXp2u6UlJZYSGG4q6Tt1JVe5gK7XdA6UkqNMmkAcq2GCroXNAJD
pdhoaRguVcqe//bSBEt38dgMGjyQTXdhSs0/JXGVnNLKLZYcmf+3qEe7V8Tf5wCXRwkkgqJyCmjB
9zIWdCjAqkZeDRRc0TWgoVKHZmO0aIlvaWRBFSWI6605DjMG0Qs7kZDWHJH4RXtq8jB/cjMI/vEg
A9k44Pp+Wn8sQXPQkK+gSXaotjSHlpAd1DkpuLTA9qLyaQm1zL/RHLoL7KXwrmjoHNVkMKYJiY7i
FqJJK31k0aRhPw7xLNdv3ZBmk3ce6n4GrwUIVt6jw/hPc9VxqfIPK3+Za+DXvnFDuQa/Gtu1WlmA
YChkyxIV5afACd9lE1e/jHyLpETzM/X9zEPWlt+CJAA0vBjiU8sce+8UeLrVXSnuA7B3ohheWa9M
WGuaXaVIUjhu9BKBCnExqLV756u5u1GFxnZJGX5ckvXCehJcedPEMF+yYPY/Lpn5g71X8zyaLil8
PExL7B9ey9hc02yt5YBfV8gFhcnHJcO4c9GU8LefEiyfhWf7bX0cQitBWgJiYqCmR2ZuPKioe8ma
XckCBqVkDXiFu7RGMBbZWvlUQiLxSpYvK1gjRkupvv1pBZpMk/5agSy0Ar6hfI9FAVAo7vCaxNk+
FGb5BDRqv0WXFVtHuiqf7Uh4FBCYVYikpXD3bgQaF4iSvJM9EtrgDa0W3ymVG5983bcWkMidVgTd
Q/Xkl7zf8lzgCaxl8jnShEcB+NsKV1ot3T16Sdi9LZN3Od4KxCsHz2yL+C7LefJpRUMmew1N5KvQ
wRe0GXbblgt5LYEIu42jCAmjazHSP4V6M/l+j2bf/zavHq9QjWuO8+wqrI8NlBjiQUubHTrirEOZ
4T0yMLnuhRU2FFVZgKqQjFOQGP2978AajVGJWQDs8HtmBNA32MxYMWyrmO/RXY1dUZaOuyInVQ5t
G/V7qQ+e1Tk+JKRxoLP5MNumuTT20Xm4Ryf5NI2CTVr506nUQrYCYC+otLOBN9AFqDoyzwJD4JE+
UhpWWege6VOkIQo9n4fkpU9Ha5Dl+9PcttJBxzV6/+NcWhnag/FRBY/OWGwczHit9zx+7JOY3UGX
+0ZmfCrGtsJWfmmPNUjkebuFCZ7ZAxUbOzX675NoDdaj53qeNF5Jk64H4qOfkJFVl0BVJ0dnwAu5
R6cK50i40ak7ukLo3C+KP0VSzBw4D+Nxis1jdRmHoHM3ivI9KVxkC9vogT7pPsX75DiiD3r0Kah9
TqPfvt+RbpCly2KkNemLPcFA0UhQ3ztAlm5tFGAnUDM5XHAzQkXZhmr6GAKki3rtLXSrA+JMli+T
JhSqjebCf05SQ6EfIgtkEQ66q1eNACEw7Ypp96yyzOrQ1/83D7klVTHoNAcSzDNNZMBs8ETQk0Oy
UgCmjiE9k2joxl27pafO7KVn0qfh+Eyag/+nuawDa0RlQEW2xtuXhwanFHzBjn7KoTE2waZkW4Dv
F3u2a13KDwchsCB1+48Z5CjHpSBZl16jcakyKfhCswP5Qtfo2rxa/dVwZAVsiS1Vd4I2hZiAXQoE
mEC9N5RXlAH7PzvGGZoJJSe6XlPpgQese4k6C/+YQYiv2VHkXQuOnFhLokWUsweiFv7CG/zFRkNi
FU6yfp+ZpbWl0ZcwsnXNSE46u8cZgx1bW7oEWoJCgPHVHnhUw8yT/Szd5A+mfyBRpy82ngOKwzmH
UvKo6USHL8E0JMe8ANlobhWUH3JR81yrB07m41MAgb21nzbbrVYVy8BvqsWn7TVtt0U5JhC7joOn
BVWxxbwRnzwgPQSrGNjfQFxtgsc+6oINNq4QazSHR8Bc5LXrWXK1jeIbmfW8NNeVD2ggwf7HKB8d
UsCU4ddrjCJzZjkqZPWcdJdkLP9Wt/guk4b2AERLfW9W/V5hVf7Ngf7kIRd2tih7Lr7ZUMpZV6wc
oc6YJOPB8tCVAwT2OGzKcFoj9fv6HugZ4DgxKQd31QESeNmCJtEaGpTm1jQpdnXwF5R6dURrUHtv
9DX0F0e2Gg3N3Gmgh1saFiV/K5MK+lNKzW9uVizY2EmLahVEiGLQIFFUr+JTYm3zP01ysgEQdd96
4EFcbPUuha4E6MdveKkT0zBIFZAVGL4NLoFi2EVJ9LNGjy12qj77KUuj203NeuQtK+UHdfbNB9Vw
pzDq5iN7XLv1Cj17K/y3N7sKIFbkfOTH2Wwb/mD7F3GW1QaHeZX5bF7vX6zyL+7KURV7k0EiSOvN
ci3RxvANYhqgQS3z4kQPyQaYSdbE31rg+88KEnlTd0/SqMHm/z+p7R0F2S7XEMNDpTn4bndaSFlz
xXmupL6w0Tv5pska/KAqs86o++nHNEnbZQuKjTeUwEZ/UpX1sgW/DGi8HP1sh6ydHE2P1nqDhS+x
gGqrq+YQOI9s+w6sZZo3TVWVPYdc4zeaBMBY4jV4ZVwhnanfLKdX1rnd1tPQjcN406ObY9WZLaRW
8zjbsFThk7fLa4GmkjqdhkNiVhs/kNGqHjeZqe60G0geB5NXz8WwGZTaXcpxqdLQ9Q24/NiYRsXK
TcU2rgHJN/JCjMzd5L5GSVb9hkbtcIss6zB5x3veZoPSTXMBfsm3UVQ20zDPZbkNDaechk1ft9u2
UsVfF5JyywzOp6FTGfpW93UUfMbbUI2UbZ2oB9eUjyRq2zT5Ciit8oiO6/KIy/q7BInhJERugkzz
4U82O260Qx1OoZXCiulsDm2ypqo9SLnXtZfFEP50guzw1U1jEOsjC0qXwzvERqnCbjfNlraurxW/
rRb0Vu1qubwGQxbte5DXrqPCtL8ZQtnR23nlIMPzJaK0CmAqLOgnje/vFCGU8r7XEh+1DSgUbCBW
h/KFUb64g89Q4QG56KljTX/yIz3Yirx5acYRuDhQSajCZt8PTriL3D5aGUEpv+O1rfV4VoAJtq7t
R9VJkEQ35XddquFOZFW0ysYhqE1b0Psp2Rl8Z/Zjjc0m2dM4+5G5yE+1vsUPgDA4ex+NaFu9jxro
R6MeKFPRg0kp0xZlXmbfGltw9N371VuETseokaiGoa+nT0BL4MmebSDLoL8PRfSL4b3uO/d1NL7F
8fCA7FO8ygajvARgkN70SgeIcWA3+5rH/dZOSv+kF6g7dZGmXMMerZEi7uRTx1ALyvB3+JqgzBWU
Ao1OPbL/dD1Q9q+Z79c/qsZ/TVsleE4hYIxMups+Cq2wl7nu2xdft9NN1bD4WJRauG8rNGDKuG9P
BmAja0jDNdcYnKhL7rv+TRFjpkyqwWuW9tc4tdRffg8cBl2viYHbDJP0Z1Fm3402iFbSjrSFX9ji
MNRQeaKz+fDFZqeW7QGAp18Q+2RVRvALaqgL22H+W8MtB9SVUt6HtgkCYRBv74M4NU9hibRNnOnW
U8b9Fz/hIfohMy/xO+ddNTjgI6ElIMiFFnbI0MYHCAQmJ2zMy5XwO+UGEZlfdKXAOfousNoyrBvA
fJvw0S0HsUZGQjtortof1Yrpq6TOsxsDy5bXaehpBKqrNxv1yKJ2aDw6lVHB8iXA0c0qgL4opB3/
6iMnNwSG0TQ+95WrEWTBtLJEF/K4kEs95UWtmp4+AH8nrNA4lOMh6E2gEcaDGZbGwRhZh9I0YugH
+8tLDgr5F7awStWDvZpWjEun8P40KR5MtFF+WRgt5voK3ZnIwoy38mmJLxdHVqbeOfqwtpkErEdR
hARAMNkUbaaeJxsPneEchbJYCndolzR0q0RnSzVQVoDF2odqjLZohV4G0dYw0wjlPsyjdchNQ93M
OwixOOF0gdmR8zY7RcDgzyaaMLideuamy1cd2qFQCceaFEIL01AT7BSbeQm9479d0Mp5tWu67Dbd
LHmTCpyNLcv9VROh9LqkVfTGC4VVTOvOi9hZK8amWqjmjgtnBu/16dTyq+fGhrIn3R1oTlvda/OB
7UXq7L9+co4EGqcJY6Qzxk+J1pov0gIyaVWgF5xNJr7HNuhPRI2f52ue56CuG4BMS2xfvoUc2t1p
mPWPARhLV0YNxhx0+MtdDubJbY1k/KUAn+3SzrPkqVTGTDl3mx/4mllMKyGtejBb5r+kvggWPSr/
DwAng09DJuYxBrvJ3lETY8OyukTnCJ5ymtLIb1Lt3mK3yn6pzm5ap0wkwIoDRBzVgq2hmVWCexGH
7PcZ6Fg/bHFulfsvQ2QbQRf6ZcpkpHCBRlh1QavhuYrQeeFPUTR/XrmlyNmYo56PMvV/vREUJtdO
hL5TpQOrGjpslWWvNtByHYfYAKM+LxMbWvcxsmKgtxih5u5VLdE7SSF0qIcd+C+iqyrdYpO3gQVk
uVlcDBZv0ASZHYUGTVMy0QF7rj0roNMw2UWJdy10q1yGIdf3cxiduX5yK9VQ2X2xZ07/OvRGvosl
b/EQHlsta+zWuqGw3yRzH1PTTm5WmwbbvBrcTaJxcauK+JECShe/Gq7RDvdh2anQNMD01LWC7xxA
RdFb9lvGDccTHGSdaDFpDgPYCVeqDNwXaPt4fIwI8FezgNRucNZ1v0aJCtKptHhg4KuYm6+xndjI
vOrKgaPOfYFMbrygtU01XnNtsL53hR2hM6FI9jX6eq5KVpTTD4Da7J0CQZynnNntJlfSZitrrX70
7fQ5aXPnLa2Vn+BBrR9U3452Tli5a3xA4lFV2NKufXbuKlDAGPhfyluAX1CHrTYChBRrGhbMfaiZ
4l6zMkjv0Bnzi8zCbHvoPNVy2wrF/p4WDfQPWXmrQgVtsBX4QltVG7GNtacFWrAFnmp4zGzruY2S
7D2uypciY90jj/to63d1sAWCc3gcSuM5Gosbqp2/CB1/uxRQOVUNvLL9armGuqC2WofbUC9QAxCh
doC+THL0c3MlOfph6BfurfiDNvQXG6lEzxrQPrQ11hVaUeYwvFpkpUfjEQX0SVJ6jqGz33Pn5Qqz
rg9glE5Xed9rO8cu4ydnkFvdsK0XKXpnmWmxtsf/ifoYNg3ogAr2EmZKvtQ1Szs0XOcPhaHclLK2
XhT8ti0SzTCP7lA6V2bEP8EgZ6H4gHdrra+dEwAmw11uIIVOEwQe2p7t6tHF78LyYsW1BmkVXEEF
vbDnA7d57njXHudytMWw16n8+PA1k0bjzI4nL5WzyUQHnhrB1q7dN0PG1pkOLGqsM6j5H4DSAnHf
3+14H8424JZu0ZKACWiiTqE+N57acbZLNCc/zIvQWaSoyooZYbb4OiNjvqfW0HQiR4etLRrywQBJ
Q2HbztId1GBJQ5suVOqtfi5XZJkPdMOBGvoLxYCuCznI5ow/SQlK9qMDqczZPk/lKf5kzZ5Fa5ow
O1CnSQ7IvCF7b358LuRUEvON+6qx5a6FRpyoLTbzJFrDj8EA2hf242yf10BfyjuA+/r0M87XrHgW
b4csjr1PnyjdftcZlwJ/VPt5OTobMlSyhkTTp09/9tKiEONdO0puT/8Z5CQ7ktHDCjD75o+fBnpM
cq0fTvP90sw+9/tlM26Q5hsmh4l3pjOKhbOZbpmGeN9VFwbqG5/+tyaHCRliXoIwKNJcFIffdAtC
WbXSmOj/cYqLmWCbLR0d7OQWfypD7j4U6HIjNtoVKFQ19MFA+UbJX3kvQZdRMLnT8W3yWNjAD4hc
exUjPr2QmnHuCq04x1oqFjQR6eWL5WjRDcXEfOezkq8dUNq+cHNHfgOAoFUS5dU+B6bkAXq+z7Sg
yYB3RDumcYmg1nwCqR24KcYrubYOPupcPBmu320r9Jphh49teIZSxE5Vu+AuGALwRWfJGW9wwR2Z
WoBFN/jakJ6upZHjTXEViKU0aQ/bydhKOz71rb+ieZNNyAFURQPEGqcxuSBfu3FBb32sQel4Rybf
bUL0MSL7/DkOH7BXIc27mYyqFWhnCzQLdPnJpljCWjVos0DHKe6WVjTR04Q9UAgYPlOzq6W6z530
o2eGN5KRUktup2GqL9A/UTzVZhUfm75AQqap4mfkOBPUKzT7iGZbcYOA6JriK1Xz8ZeT/jXMg0cj
7+L7thf9xa2qzKPpLQMha5LHFhizcNEWijmyLr6LtjWAtAVYqNS76NmvYulJQynPQT7UDyDWh+ze
aHczZ438fLqh2YHj79H3AAiK0flQqrV1j+y2zpQFwNfxQVqB9S2wHsg8QKhiJ5ouWNFiUsMHCnyg
cnGLXL22Q/jNCYIYLVUQbItVLcTzIK9OmozEOe3HlrzY19/AerKwfNt+luVgrHjc9Hu0Uw7XChks
5DwQ0UfRVSTCvMVuAcxKWUdbhkazm+M0DxTgo/jv5WhnAmlnwse2dWUVAYb5nPTdkiIAe4c2bFJr
5x6S8sBOtXxy4AlWt0J7VUDeDQoVvEfqbZTdBTUU0MH7h8ZCDhUygAHNg8IBDizTurwBcgD8ldr8
AsNyeeNA3lwSAJHMcWSzDAxngIqQDzgd5b41ygX5BlTmb0BxkotWUp3SU6Oyf6BRrJV4cijdlQLU
IrjDjl+9kK90xVsOygL8v2XVLatBc+2aTgaxddwQuiJ8T+BFeg/K6GwZB1q0ytFr+QDgteMXD2pQ
lg+8A/ZcOGG0aROjfOhtrTwrnXqaIxq8UkPXxGj2NEGEVr4HpyB6fsb5NAsI7mNgJMOZZmUtiEFD
ZtZ4EUQEOHSzh2RPLoqeLzn5wQp4bpXuNC01TlF0MBPSJWmWj7rY3rLBcEgT6GAAXVgKJs80oks2
kHyZLmn76fhTkitP/Gzh+LzYJb0tNpVRqMvaxW6ssRO08kc2KNgBT3uM09K/FwyKq6OTTKltX4zC
8s9kAicPKhV+A9bwMb7Dr906cJAhIm9o9hqyTHUxraYYPLqvU2zVxtVsIL/XQRbWB5kGpscS5u59
RQtuPd5gIZDUJVtFjcKbYyXZWiaCrcgbZOqw5b2CWuXoVZqhPcQZ+monbyzY2S+KB2dcSUTacG8x
pH/HER1UtCoP/pA/0KgbzItS9NWF1vJzJAc6FzA2ckboqAcxWRvuJm/LW9C7sn5tgAHwri9TADKR
T1hoyOItnSILT4khRxIO5+NghVHSfYohz4exaYDrJYOAwsoiAWXYkoa0kF+P7k/zZ/9knAIodr6H
wretoywWvWlW+HR6NMG2A7s0RqV6KvCqr93Y9p/EoXMVthkeqzjLl2EzFK9oZd22eDV6GtVUtmnC
6nUPIfBX5Z3clg6IDohEQJ/dJf4N/317sufZEC5TwZsjitvVtY0BSaYLgWejRVYoEHfxUNYndBnJ
BTlq3t7pRn2TYJRYA6S7KwbR7TQNLKnLolC143TatdWK1ZHYx1qhHROtD8SSTrUMnZ2eJZnHTDQ1
k+1rTDrOgaxU4ufuYZrwKUQERn8s9qDe1tia7FNI3wf6gQXfyDR56YZojH4dvITm0LgY9VA+3WgZ
BipyR8iBQTpZHooEeslXOk1BRbQq6xjEmahyHUZ+3XxHHkvUqbKg0zq2BXgkfoeSUcvrVIDBNJV7
nmYLs9PT86iTBZ0gVrwD4I+HkP9W6uDH13ToNUAjQ5wqGYMuY6jrtzzZua0o3/XB0hepCPoza4v6
KJocwK+Axa8uWOIpQkpXLKygaS9hoOHmtVqsajOzn3V9xIxhDVT1R4aqvrmrA8PcN43FVp09QOKi
w05hjFDtFq3ghtZcc4DzgQpWqnUFtcJvQVgc8SdevndCh6RlzNp73uJ7Ar+zqEhGERrH+HClCCgZ
h54GTBvecVi/xeejbvy+i26+5XyjiGF8GWw67RHEUs6Ggd1m61aK/xAb2U8K8HP1IeK6hZJgzTcx
0sY7rkbOfQV9F48i6jA4Z8AoPgHTBUXlQDN2g5uxaxcq7RQRpNVuqLv0u9pF4RriXe3eTrr7FBlk
EKgb2sUAA0FYSVDB2KF+IRMdlDdRqM1ltgK9bu5rUKPNJgocDEhiaY0WLb44INRqLEAtYK7Iof1e
vyrM1w6EGbsvE8CH60l2To2+OEhfjU90AL1023l0WlY235WpcxwsH5z044HsSdrh2Uxj6MuYqzqJ
9GnGp8kUSTGJm3Ek5AZ/SbbZMQ/pbMjNWxGKdDvbv14TaQZe9MVxjrDxG2komrjyYBQzi54ay+AP
PuPLarDCp8gqmqtWpXtLZtHTkDv4zFv+QD7NYNE5GcRPY/QhvQ++swx7eRpyZFAOUQlNZoo1uGLu
TAXs9JWWv6s12PrLLOaHMLe1rVXk8higHrYxwMN5SlOQoKPvu8W3pqatIFoSXW3dYWOlxrwvYjNa
ug1rRyKZemQILp7QIMs8gzEO7UpIF6U2z/Fe3b/HdlW8WdlwD5hO+yPCd5lTQ12oLoZl5AdRhOfV
fdrp9dqIwNuA78PhlHVDc6y6d1GhO81TWn04kZ0Oimqru6K3j7M9wqOtX6JxdOS7KuJpEeEiLwMB
RKzHYzDmcVbzBeCR2r6T7F46IdjiHfaOdsXHwoqV16bywXlhpS8doJZerwTN96YeDM+pNfMpbkDR
5KdOcovxijjiX4YHF0RDSycKk3sbCiWrRnWLQ5q7Z+6HchsPo5pnxLOnRrMu2Dy7b6GB1nkRxO41
1MMELew2ilF+YHyHVOU6qw3nzZWo4tR1Zl7c1mAHtOOiUlCJ+jV0sX1DAOAU6NtWhHmqhKWhVRZ1
eFq70K9OJ+Qr07m7rJrSPShoCbzkwgJjbMA9p8yiK7a78VaRQbXr06i4CKT5IFKuK99TNQe9Lcg7
tLraoPiQvQJPVy/U0IImWuMk25IDplyJqLwUepAumdkHz1DVvNhKoPyUvNskpp68BrFoFhzffHem
AcoTfGTFTgdU91Kr+IqOKzt8Nkr3TFeCxtCGV2X8mjNsSwIQit4lrsi2II4QO6lG9QVaIfher1K5
ikTAFqjWFdcajFbLMLVR/gLX4pVsQSL6ZTEo6soCLVAIIWPNXtYFCEqncRn56SpGy8KSwmmihqfB
imEvsTRoTo5f7RVq6OhIqUL0zQhs5EBdCznSaY2htNU18iDmYhq7TAs3fQH5h3lNXvkNfiRwqE5r
9ApQMn4bBh9jowAnrZE5JloCx/tMqwqM/kogP8YFKAd3HSSPvbotims7Hvr3skA2Xe1jcEm4qnkH
lDme+mAKesU++eeAdMA9WtKdPVMhFwtmLOM1NJ5cVogXNe/LddQm6c7UkNIFqvES+Zr5GtZoXrFi
Ic9db1ZnoPDFArVN8xW3clGRWrhpaJvapWnYrs0kTw/IbfNF0oNtOwuH9pJ0UOhqnF5ctA51tMYE
6k8rBX6Dhe+ckwSgGD7oOhoaM23NDdadKwdyok2C5l+gHNx1FuTJGQjzcKRARc93YqZQS0bFL+Wd
2GRJJ6FgbAABxWUFvroAKDpTy07oz9A3ABgFJ83V2SYLQ/uYQEpkkzstyLdQyMEv8EZYpYLOtTi8
Fn6cLADqZe9BCj1xn/2oazaMezEJCUSERtagbLXfoX1bfQk18kreqxZYT8FcylD8BUlXaMQgMjVA
D68j50pqxGQzTXPTFqIL0dTQx+DI01cFcNdnq8zZedAg3pXKqtzS0LbxkPMqswEhELeAORtjJiOd
MsH3rUTOkUZ0ACE/A/6caSsF28jFYCViVIrFPLoKkPZOqonpamjwgFOX4OZvQ2TSAIfrz3ykGqEz
1Qd+kQfK7osdgmb9uSurYFUNgi3mCeSg4Mosvg96EUxTyU5hvUibI0fl2gU+8mSzxJt9NBGwU+SU
dGAEo0hF8x0Z47HKYorc3MzXIscABu5zbCJnNMay8fbrLo42Nr7SvJwhB+yRcbonPza8rreGtRLm
+zozsH3W8NqEr2/JF4D/bRNkAS+Dkzn3fogcfWcrKdCKaG5dxFZ34xwsaeTNQ97u3aQBZoPmptao
b+5r6p7crQ9JaBSfnyavYuf4adym22o/QDKuHCpb90uPTkE9AZAenRruj0ZWzp4GdIjBjrsb/5o+
RU1zaxnXOw71x08eAWGB8tS6FSjtM+UXrTDZLN3Rdpbdb4cWjZSaHvKNGkjxqJhmv6uknyxoaOvZ
cJeh9Z9GdAgKF0TrHIWjxujQjGSYG5AshysXki/73i3CJzPXNlHDmxeOfptVHWj9TinT6FvRoXES
n8uLXrTQBjSgp+OInS9jkEqoXfu94/1ZFkX2Uwr1FKER8jukxtWl1HMHJJcsOWzzuAIh+2A4j0On
o+zZ1Yan8gSPYKkY5zjKHsiZ6tjfBNDaIJ8+BigoXGYpM65k0gLjzYzD9kThji/4IpRjenAM5UoM
nreottbk1fCKtQkgy7Ic7M59VJFHPEihqR6t27JeOZeBeiWnq8nuwS1eyEWWXODrrkvbK5nKwvjR
qjkoT8al8LUM1pfEhhI13aLsypUdJeqavA1DFYD3oZh+4DCBJoNTgLVjuknW8QtIKe+6DEQKOVhL
lwAYAFhUu+94/c4vdEAhLr8kqQJKwlQeyRQocYivHrzinEK0Nc+xdBaDcvTig8RE4s9m9pE51MXG
D7P4OBQWlpi8IrmB+snZfbJlOhACkZP7m09G3AQaFquGr+meaEFaIYjLapkrgbmcbeTw0ey5KiQ0
8r446njA17tR9t7sSBoQois5cluNqkffhwgFELV1b9hG1meA15CsAG/R92FkA+UCoFIKQ1f/q5MD
uaOaGTLaxQD4VhIDIwzSfqjvlEuKqlkM8j/L5ajiwKsDnPwv1pYle7Vz5dPaqGPmiwiNJitQykSe
0WUZGDNcCG5G6PssZcCfFK00dkENiHTXD9mT0Kpg2zQNUDajN+95u+Z1mKzJC0LhZAX6QNz16PWt
WlmEzMUuYJyL13OU3y1UTMhrQznVA/Eu4Nyygpaig/w7Pub0sQOXINrjsT+PfT/Em3ydn20ztZGe
ZfoBYqUuhM6zBtXaOAfbPZ6sMlPtsykayHImiXGFODJfQrrHfuxRMl5wNBUXhemgdcgfpJcZvnpq
bKmdVCVLIWyk7MjErVw7ifEwxdWlma+jAIob5CZPLaUqvQ4CxRsQXo0SaKs+bJt7NhIxQS+brSIH
f6o0pAMCTJs19wQQMwcHNHO/A8iGALAVamjBKbsdUvImNhto7WRAsZ+6sMtWSM7UTzpEX11kRX9q
xq/I6sIfYKtVPXyC4oHmOCraS81xDmB/2QpYouppMNL3ou/8nyaf5nA31TzdyT7mFKz1Bt1MdqEG
5hxgJYp9kCQfZ/EfbHPcn7zz3D/HIa/dKRb4iVizItGbgWvNfYqv43nEMSJ9HCcMW/LNo/9t3rzm
OE/Yav3Y609/vyRdZHSrIw+T9s/bGX0WV40bzft9A3+fRyM9AO7Yuagt+obooGhSHkwjQA6ITmcP
nYHWB57pVATyMLhKvUIb6Idtjv4y+cuQ4r7YgJSvV/q41OxAwewN7yHoCAE/UwlqZnz13QX4VYdY
QgbsFLoO73yu8Ts6E1r5VNddt5/tPfT+tiC6BSXeOPXvsWpifcTWyDmjJc1vPGdMldLByqC8JMeE
hD0mUl3Kf9LpHFNJV/1HDLkZ6EC2aZsWVbSpFPvWCj0c/z7RrSbqA40gSRed6Iz7IjrR0Akidmwy
cJPA8h+jklAF9DiHJOK4hJEk6Mqag2luNSC359v1kULMMW6+3mzL6sbYxFJ7JpNfW8XaVSLVw2O8
v4BOor+gUxYMhrHlIFOnp2xMEGO/AnXmRZVFw5pi0liiqjU6AIOFGBj6+rbQoi/2liUfKIKcJfRO
HMd39hRPdjr0gB7YnexOs701UL4LomnR2YwuQPeQCvxkv++PVuBCb3foin+hUN8uEuaZhV5uFDDr
emSkO6BgJHz7lQwrEAuP9z1F47EZLs2uFSuKsWWwSFRX3zMFrSPIOQhkmyrjLQ4WpCNvuSXypeCJ
PEGphJ/w70sAWHRRdHOKjwA7jcQyMgvzLXPwRlBm739a4W8BCYO0qTXo7NMlwg7vbomaP4FOVDvN
B9/M+FZX+HPV5fieJ0erOjiNTPQZlGHULcgoWI3HBAXRaWYFA6C6eMeeF5sm0jiFeGNgRuH+0zxy
xEBEH/X6FSho9dN9TGuO90Z3ZOKOkr/f6XwXdGdql3WLeZFPl+nxVeOh2JyvyfglJlfEsOhC6y4R
urHt8Ku4D/BnfkTDkLtGMqaD8EPQoMU7bG45+BLQ71NBNaHkF+hd55d05MnW4gx0kaD3XNBwdoAf
NdwOAuzH5BBmA9LhpszBrZRUT59sZmWqB/f/KLuy5Uh1ZftFRDAIBK81z1Uuz34h3L3biFEgRvH1
d0l4u7x794l7zguBlClBuVwgZa5ci7Xb2wQ50MpnyGPYx9QE904jnblVBvUZ4oPJbOit+pcFKpU8
NMTPoogQ33CJfZe6ZryRKA3ahqLJL5Yq2VXUgu++HJZmkNW/oggEwK0wnzwAoZbYWpuH0eHpIeDq
9USC4FGgbjhL16gUH/6yEZkPRzf7gfyQmKdMCUZA9nlT5LzfgNIuvoNmH59HAkILWEIjD4JLcK/6
JVo6PiL64S9lFCLEbAz+ATghjky4FT4lvfdkJlnzK0jFym4q9o4yZHvOIMF8ds2xAvOP668tJ4+u
oOk4EQ6lA6tyftbx6/QhXOyxbcAgHzwB/lAPSYW98E3rGNngIQG9EXtJk+rOT71uSYyArRqZs0un
OF7Chhoztw5Sf9YqIIBvmO8lcMfbqc9NfajUK+X5KBMbgzIQIjjeQ4zH3hN3S/84CO9DQhHnyeKQ
OmcF2JfcZGRPGZJOe7AKRnNHNS1LEtDf2uZcOwNIAlBmYIqFtprgU1pHtZ8ttTXmabvqfRKvuqLY
hIMRHzoGxoCMFTFQaLkKCdiFM+OuXRwcly85OEX8RQQqzJODyuFZGgz+SjuqYDppTxauf2opNQ+E
oPJftaokAnaVCzkZO8GspRAdyDWVQbtoKzCsEGAAwXJhJ9WsIoYPFpvIBWNM5R4Ry3ePusmy3gNQ
fAT3NIy6X3tYuY+fW1rRdmEXSTiZe15fQQJhbkns7LCIEw9OK+qHWLGsmrV/AZmweKiLBhy/bYP1
l/LIEzasBq/Jl9oKQkB2qBzgP53IASsyxRbXw9L3lBVI43QgQHvvivADMoreXUANxI+gXjHX/XiD
nrMM9P9QiWt3sQqr5VnM3g1Qh/Oat89x4coNEFk9aN/R74Edy5GAKeDbnJV24a5T7GLmVkL7e7Aw
Vff1Q5vijzMHY7U9rxllmwpvkXvpjhFSEsavPGz7e+2e9sUl7/P4pFu8q6GeVRECtWbMFTcGv+MO
vh/Vmg4Q8Z5l4JjZ6hm9foyWUJjs12UAwEUdPnSgo3nKB2Ke8kFpjDat+9x1bbouW/AH1arpOAQI
9YyJox5UpdjfZOI5yTMD4fGonuluGnogtAoBtddzNIktZjbe7ieU3pTPkAPUXkMLJvJqrJQoPG6g
7F3sFQfgRKg5lnhmEGOWtixDQYpjndqkaJ9C51G7Rm1pHco6oQjP4aYk4gxLzy8hENl4/cWs8ud4
oL+wpRXYMXfjo9WR6Rohfr0HMP1gWaAGto5sIEsVpxs9bZNXbzUx4svQxeQhNjtg0XFjviOAQQya
errtGjIzS0ixm9MgmvLHhnDw+0QsvDeJNf2hShmBncd/Qh6zumAjnc5BPR+tI8E4yEApVldWkl46
ZeXMK6czNwTbUx7mbKsNHajnRBDaC7AsJtdeQl+H2D9ajmqgOWoCTeThDGBElZELnl5NEpuI/Y7G
UvdNhrB8daSN2gXlBly3ewmKH9pd98SgcNzmg/99HqikmBDAaYC7p12XzkEp+hqJ5nOO2nOQBqjG
1yQx/bkIRrJOCmOm2fviMe/vb60wnFqaym8gCJV82bp/tL7G2apM+MtTj4vVLOBHBK8TbF+e0/WU
TUBx6w/jgiEi2zzqt1Ev02OsDm4aXttcolbZ5Cj++OrXZ1OfSrQh1KXdb92FyCUACWpAPXY/s8iZ
BVoAPnf5UZ/pQ13JciVsKNSH/zQgbsuPvmXGw4zQGCx8Ub7TI7IU9ID6jNII1g4SlEsomEHMTM2v
Dyzt23YxnaL8JkXVzv53A156yOPg/2euLb9d/naV3njpKc0P2kt39wOKODhFUIGiwM23ovIXt5tH
wnXNoc+Xpivcg9c26SE3iIVqGVY8OYbzFknGf6Egd5lAH/IdKCR7jk/onyUe/NsKq1Ig4uwWyKQQ
L5fCsv4C5CFIBv7LKysojyB0c9+SJltDcCbZZY4Tn1vDZwtmJS7I8Fy2GN0eOejRE+bOUgd9Rljy
eWaOJs60z5/Mtz4QAKaLyHMVehCD9bjbNL/1VSJGGdNt8G9mfQ//8ZZ+G1YEI+a6XWoy3z5Vra91
+1jfPpEe9M2uTQ0LA5R3m/Pfhtyu8NudRWXozRCOhTgg6Pso3nf3cQD8VDWmct4HfrzRfShyokfU
eJ89whBQVW5tFlozSKi420A1A+44+1aWH9qo3XpUfMmOAvqhBtleTrcNFajv1P7q4Mn0UkIFAhF+
tCBjnG6qHgShuqkPIXOWdWGwi74rq7flqgydcXHzoGINDPBw1T127RdLKwA7m76mw8PqzsGqWRun
e7fGGAJmBCWh6nOSsQxPcRbttIf+JA3Fwz8oQ7nJQB2hbqyJQnKAvu2zHqK7BlRezhof8EbdDMEX
tDOsoZyupPuqyHmOMs8+6FERNHg2AsSKc30bug8sPrsC7H4ocMJVYgIeSTcEQFHfhhzCN+SL4oM/
tO1ZVN3KZoRciTo442CgXh28SY3nsmIOgeoZZFnyO+1Sj9RBaoOMIFq1QQyUkAaAkpV06+w96wHl
HEYSI2tvl09g39hYEB59B/9ovfAakN47faeqFLsfVhUiAVv02FYUgCz6UZCeIWrlgfgXhsIbPrqK
GndxiOX7iCKahb5AB0VRMG69JJld7D2zdMCe7D0NjhWfdCtDaRdSnmzYBrntPMjY8pekBVRysiKF
s3UzIZD4gTUoaHhko/msjVZM2vtSPjlQvmzniTHu8EDMLtpWiRax369rcsT+FzGgLcjJ4UVNHRas
kxF7W+3sZYIdegdYWX2VSmbpXV+7q8mo7pknYo6sdXPVXdxz/gKCBOxnykZHRuaxE5ONbqoFBcCr
gUC2A7fsBoTvMlvx8CjniIzGycvJRRvrsZIzSDw0yK7mK9IExtkqbQDmXLNaOaggWehmxCS5SndR
0hap1N7CV4PrBWAngm8GddIzz4Jta9lxOc/MAOStQ1NvzTou752wdfeGqD8KPdZ1vXcDWcSDHgpa
pnAjYjuZ59DkLufC6NcAho1nqYYaSP2sXEIsrOwbBGhFsE19G6Ke7Rh5O1BrVeaDUTQoQh0ja57Y
iLtdAIBFtVlK42CpvZAY661N2dkmNgXRsBZJaJ6Y9I8A8Tr3DcR578PYepF1xaauMBHDSpaBv9BG
F1VKkMWsNtpfH7iTsFnGW2Ovm11nluuGhOU0IOMZu8PqY3EbYGVg2yHUMnbuWDn3NOPJhnlgd9Uu
+AbKa1X9uvkjxguVnNGPdvoWSr8ONyM1+OTPmn68jzbaNN2ABwVLyJQxSMD4W/xye4VTLuYxErYv
UKb7UUV4k6WoO2FVPTIE2E38Ygz2YdTiMTFH43WkhQ+qUyIfkiogC8MIvDOQzuCbkw3ZW4WEuh4o
hzZlTrD5zMdh6WZVeO0RCJg3qIqD2GD2Adlb42de96s2oBI0uv17PXD3IxiTqydQWD9mq6pLgFVH
yghb4m6G+mIkuLJBzMM6khc84LOtYVv+mvKwuRoBigq1b7EdWUD/KtIUvBtJkV/DAVznXKW2Wwhc
XjreYsedNewno8nMhhrhryRCDNNxTf8+c7wIS2ya7rDr5+cRJWrzNBThmzRdSITBd2yinwWYyx57
vHRWaQVpjzE3ybHAF7vAyykENS47xDxGAtqtsk0ksmJtG5CqMdowfoJOaoIyuaZd2S0KfVzXhpS9
6FBqrqyiTfLFCInQjbaijBlqSpVb7LSVNR0WZWbhgJEZY7klshnA6dVRW+PBf+aSsbM2tmV4qIuE
4j8c8/KwBxinca9VN6BlPyDbDfUfx8sfs2anB5DKSu+lj7pzNSDG2+KOQJ5e2wJfiDPjJhC1arIR
cGfoZAL2r25jjGV0EAWABNqqMGQ7IFg4aq/hDKHMBLovgI0YBtAbxBhPUAHM8L/VVydwBjT7CFTK
yxbY9aeao5KJ0O4vgqK1ILLb57bAS30MU29vOKhdMoIeGcs2qt9EZiyhh9v9NaJ+fSYgovxQING9
hoBLOkdGMthWsi9mQSshd9Tgcb2kTfPZRlkm5ANqBDvP2ikG7PDTyVVOIVjpN4HF4ATdjXsvgqhu
Bibaa0ahVuZEMv/pUwB9ICD51IcgKYG8CAc65B8egAGdsUD8bzwKCD0gfJuX/3EOZHCCVTXa5XaA
et/VNrrP+1BX0fdRqjnwni23kW0CvSISCJ73TO7wox7AFld9nlmsL6A4+dW+mSfLH9v1wHg+Q6ED
eAP8oF/oiUc1+zRIt00vY/Zcz5zXhj+vy9E8NSyfYT8Uv+Rm3O/jEmAo3XRrD0QbPje3uikT/MPX
Qt6nwFhdutB8Tb06eaH44tZuF6OoVs0hkTnHmyJJTyB5AzE/5OV1/+CKz7n1KEiVdAsUWH7O3fX+
xlRzu0HeXtJOvg6tCbbNoe+WKQDpPPYfsXmXV1EPa9QfyCeIgLbYxg+/dCuAXtcORRt8rpstFpJr
aH4lS92sWkMs8VAC3EsN7fDDBnY+7na6mZoOsHwuN466WSJBh/cguzIj657aJfjZhydpGfROWvlO
tyhYJo8mZ1gOKWMNkOyuaEU/XRwBkGaNX7296Pidrb5E/aef/v6qeevTX8StWbJRfYXKp9XfprYL
3fvb8G+uf5q9yaApkBYh1JtD94BXc7LvmtBfecnQX2kUIoDXOcF74Y+rKq3ajyxID24HDCHPTQhL
Q4r6DnqtZD3Imu2AY45OnseiZW/65dPQNB+B4bYfQInZAktxwMagtCPYU4jHyBI1D97R9Nt8Z4+Z
uUblRXUHOoR2njdp94Yc+Z6rK2L1sDZAevEe9yPou82GQ8zFhtZil4IoEGoXxwjpdoCRkuixL5CR
wijzgdTp+8icO8cmgIejGv++x48N5N0OWYBFZrgHa1RyR1qKZwFaufKwvBLpDRR8b8vBkveQQwkB
WhcOqL1BpDoPab8gGYuOqMB+rxjxV7aomzeavVmBS18siDBsorEvV8z0mrfYwb4hxVpxTNpiG7AU
csfKfQAJPINCw1PlAqJU+Sm0Y5OwfjMasWNVxx/jqiU7RGWshfZv3fwMRaIUdcuxBDHTmC/0/JaR
P0ZmGN3jddUcmqyBYKqavxP5j8EvsRBuqvKIEl4x1/N3To34ONbfomfbYaTjukjD4t4K+vxUxexk
GhbWGAJS4bPacuhWW12QlO9D6YN3LG2jEqVa2ZuLr+gQ5hXHzqwPN3p7IvVgkAFtsNAdV15HkNhX
0w9gIViFbGwXuqmH2fgLpZ15na4PbdOldLN0pW1Mpv2l7eRimrEf6AB2djfdaOcsTrojCoOu092g
+A96lxCC2WlrBAT1Lqw49L307fTCfkCENDvqmYMxqzexC9L1yar2lyhvzy7TWA8rXiwm6UI7m7w0
rgI82eoz6ENdBeDRUR9ONxHCtc9Ona6nO+mjrpgb2FtO9+nkjnOIXPo8/VHHEUwAPSp0GeIgyDFm
exTWK8YanP3HvqgiDgfVPnxujoGaYUDUesG8dJGqCoUUVbUtVlPWHizIbKsrIjLhmAddv5Brqz7V
h3/66S5OAqh/gJLzsUBFO1j/a8jBzUul/GQrNRF9BoQl4AWDMaxuBgIqcmumLa1PPi0GwSMjFyEK
Looy3o5goEBAxHMu+mDYQNOb8uHWo8940r1IltoImPztWfMSVE0uMhYew3ZFG1BB9H1GbcCWwFIz
AoKOaq+v2WhBrWk27XWb7XaF2/0NuWUvo4nFLuXpB6i9OIL4BEWWvRQR9E+wsJlVkERAASoYa7bU
D+lkAnwUiidlM56BFVe/WAAHshAJD8Kis8YcJGjFuWOcNHDgy6ZxDIBJfbMR03i8jVO2SI3Ts/x7
nPaUlh/eYcGGF2Dv19eo7/mqSa0eBTYcKjyqr+qLd2Fzaz91Zch9RKBf1bbboKoFRVGb01HxBaXv
IQjt/zQA4oLOArx13qJHsO8UQHf1VCdgsBtIWS91X/tl0GfaOiqrn2ZI/OtO7agtKU3q5W1INrr/
mlVf5Gaw21JxaynoAtDNTnqUwOvtCIqBjz1eCXLm1THyWhTpAN0JgR+wRmZeORx9ZREeKHAK1dTm
McTKU0L+KlayZVrz1wi99ET6n7rHYLR3Z7rLMH5qe+obwBGYWzdJ+A57he4lg/plbpevDaqntiRg
xVI3sWt4LyF7dAc6bR9VBn0K3pu0eu0aY1ig2vBztB2sfxudaC+IEerR2OkGZ2orDotEVq81SSW+
Aw8lnX4C3TkpB/xooeHevhR5d4eUdPoYN2DkyiUq9FJiui8d8GsZYnM/EmrFi6hs/ENCqX0eOkKh
CACDGhmKJH3MquZzpIWQrB6pHQAj+hxZ2bkzjeSWz35AqepO8mYTh0n1DkmFwQ3ZB5BMEFcpO+8R
ecR6ybseGgKVAaCXMdirwPX4PXjnoS9OO/KzReWzHpVy+YoClBjUhGB4QokpO0G7sNxZkFDBNxql
0EIIGaD0WfUj7v0FAj/xB6hNrha4nQCoA6t24taIRrS02w5pGW9QoRrdjWHRzaNG+m+sHDYxKhA+
wLRwSBNhvxYgHZyH3I0vVhPaGx850g13LAQWY1CkunY/vBKPH/WVWmKssb+O31H/COkOlAncSdM2
1qEZym0AMoSTW6NeoupJ/lI05b2+UhUCDUq5Cb5df8CisB/PSZHZR1pAkF61jDI3z/qstvpwG1bZ
863L6+h4huwgBfUXUmHagGVS682YRZtF4NbQpTAMtPUMYKw1wZA7tGtfDdSjKy9L96C8M2d+bCAk
ilfPQ4gi1y5D9YoT1+GCWHWxE75fPVkjuB5ROfMmQxkumxbikTmIv19K84d2Nyw/Xg/+MKx1E2zx
FLnXV+60FTgbGdRt1KQSRRfYxuXPeFjaW26zaqkn7Qx3h0CR8eAhtblMHCyzVA4oxcYP0YrCWNU6
dwNeThSYVxCTU/mfEpJhZya7ZaeTSF4k2o3fQbRkav+Xg6ep1NX+OIEV4fmeNHyrlabCBnhOG8jM
xELVfmtBgkH3F+A4WJRRDy26NpYvohi+uTV+9t3Nw7Z+a9qBOH7CrBBI+oByfD3jddidsRuVl3Qc
YyxVDO81UpXk0ohHEJL6xaMAZZELBpRXErv5ypOk3DiqWVfLxm7yVyhBsm2aG+NSd7OEo3bbZw+5
z7sDMjHDXPc7FrCmXofCeJ8jyWijnGUW5z597esAmWievdSQ6tnzFnLpme9E1xi/mQWUPqqHkaHW
1805eeIJwtUkM1A2DsbKGUNR/Q/hFNfILo2/XI+uE9cwopmNtIGPot9kNrZrEDchmpAMFDnjmn94
IjvGDi1/hkX+VpGgf4vzoAIBExj0AmAHsBlCTQZE/fx5FDbGNeKULgi2hxcUxUcrsxzsExBefA1x
XtSkjPkvBBPtzUADYyejrNzZGRHbDmIpB6gT0nU7gPxJkAT58nGkeBr8v5+vYNiUmoXIUMIzhncE
7HgzEEuiDKDvSQIuHwfVTiQ9tU4R3o2yG86pAHmVaukBTpSkO84gysa8wgVqHtVWy6zxQH+hfAxs
s++8VMQALo2oGvrqy4P6hJcPO+pZyjIilzZHjvfvMaiUS/Zjkv8MChfSRWZWQwd9IMY89p3ugGKF
c4pwwbkbkuocoSTAbZvoeOvSZ4EUO0UzsdctQStw34a9eT9Cr2t38zXKiq8lCiP2SI6JZYxkPvK/
WXZO8/7zABBGBspzYE1IlNpkpi1kZFgpOMZGt0qntcgsgBz0Oe428ZAMpzyXEPVV4lAoyQmDVdIJ
yGkJRpYjqtMOsSVRT+/Vjb0ew+EFjEJdN7OUhfQOPZQVFGoWSRGumcf8LSra/YO2TpNV+JdajGZM
UDoL799Ha/c8Mq2dAaG6acg3n0IUH6hqZ+vPvkHg2uUg+25mp3aFJQEHFlLdi75VS9t1exrAy3TW
EGfcf7v4dMOmj1B4WVJnoU36PvSZHq0PhDb9EvwYYu6CxMpC0cnRjX0PhYyJI/AQB1B+aicD9LTE
GCn1bQm0TiQcY+WNYz2f2ibeUjtbtu9Tkw6xfxoHwDH0bAhNh5fWgvSXK9JTp1peO4YXXzr4Ncdp
sL319ZkSvrIZgB9xZUx+Zg88PBbEkCb56kvzRm7tFAsSPVZfgqBe4ShTf3WbTvdnYTPDz7s666vq
Qx/lL/booaRL3Yg+sC5BeQO0ute3PrPMh2XDxJPsWbdOKEj2ZmWTgDleHSLL9Q+6GQtzHlpRtP+t
/9bUvnYcWLPEL01Vqf05/jbJra9RWE3UKpSzW980geozbZOspJ1AKo82CCxk9aIN8B8wygyUzdrg
hbRb+hFJIXECsZaFdtQWK24mb6bG3vr1GcAnn8N0cxoLMNHOY6kHnamEApKiGan7IQznrTf24O38
m8NaG27M1Tf66t/69NiKVj1wbKDI1n6krFC2eZvr987c85q5H5jNopJuc3HbtrlUfewf28H+1qX7
ZYl1uU1Mvrn5ulLQTdJBDnoa+jVJUdQgBI6ActBTqv4KRThL0I6YC/7lVv99Le1269fXIupatz59
LY4tyExf/2Yoca3etpPjrb9W1wrUtW7X5xal4Keg1XI0x3wPwoR8PxjSRJQIjCy3vsRnlE5tjmIy
7HG/3FFciLYeqTu/2XW7rtt/TfdHx0FNqS36oGf0LP+z79ZkA0Bw0w34KLuedyAMB14r8JtsQDWu
LI8DApJQjuGVua8SkGeBVevTArpXu11EDVg8XcDNV9odCRsnXYfSAXQDL/LS6bGNjAG7FCDo2/pB
WoPmX6R3tv+ibbqnClB6S2mAkjTlr/s8JDtncZElWyt1xZX1Zn7lk0nbMyfActv0wZ36NYYwM5mn
lNUb1FSh9iw3OUJDeXYc4z471r4bbVgrn6uQW6DNsHwctUX7xMg8zmurcxaW8tYGyltr1XhmiHAc
qWpEstSxTP34UKhDX0K2CYXI1ty3JdLb6jAU2L8Iqzb2uE93k7Ic+MLIMJ95CoybbeX2TjfNOtki
Y5jc046D27ZLTohCmM+OMdBt1rjZohgGNAMqFgigDFuQE1nPYVLiR9RDR6QehnvbkljTtDmAnwFg
38gsenj8ghGXOCaQgKBuRVY4s1HfCNFIrwHlInZirj3D48I+MeTzT4ian42hS3ba79YPkYdmw2zx
S3d5kLD+exS0TmeskwHoFb46Yz+zd3WUHHw1sR4yXShWXGdgjWGrb50FsJdHkGxPt/FtGpNhr+kO
bru43UhB03sBHvDFmAOM2Lj3Bm/8h7KwLyWV6dn0Xf+hbpXGCwVytevz4GEEbT7QQQ1dayupe2+F
lFG2hPS5/xCAzmI7Gl021zNhSWFB9J29a6MLwbpriP/qoGoPlZeLBWjA6LwFSuaSlyDBn8XcmdOw
B7ivwmyAsTNQniATMxdQE+ZLKYyFb5fyaNLQARFQOuzs0kSEaEiL+7QosjnClfZrHwT30FAEKDJD
ZbWLOnfMBFmGWCbvXQv8XtXw9mFs/GRp5WBtGnpbLqsyluBlU4cE37lh9mL+rU8ZXIDZFoius2/O
QDn7C9QBZFtB0gzki6CTsoglwU6fjkfwpOabLAbmrwXr366kQbMdSzc+2EClrz3bqvDfMySor8zd
C3TtCVjZku6ej8M4V9jZp84z/2qyZBW3ZX9HIgRU7QAkPM1gt5otquMp/VEqwqqSBMAPJAZIhWMJ
GimfArsPbJ3l/RAIai/MNLcPjlHSk0RyA/zJMIB7ANGO2nztetdZgqToV5AbPhabDQIgYVeAifp2
mrgp35kiq8d5Etmod0VQfmkORojkMF03adZePFeUD6xDCofEhdg2Begtc1a2a1F7zUJbczq4R9Hn
T2AKy6D51o8zH9R817JWYncxAwKe9nhIjMh8Y9kB6pHEnwXIJL+NXu2sXA5iUDw3+NtL1lr5WxG2
2Ob30D+O4gj0JA6bS5a7z1XioP7fqORS90sZbb0x6h8tIbydQ1u50P28867ECct7bIgVa5N8wQOi
OBiRFRBACQxQc4DFdY7gQxotKYLMKP1LkBuLw+I8OTGkZ3egOLvXfWE9FmdQnBZnaCfmCAy8pA5S
60UUtBcS+tDxdjtU62FD/la4ncT2ranOOQncM9jzEcikXf2Wlbkxa3FDpw7ipACXjtjCs/7RK2r6
UnkRENiZ7Ne6mSR0jzKd/h4QbffUClQB635GQSpq5yGea2AWfbEoHqtE0qckrbIDNhr1HJK/9MXr
3X4OHVG698qyfO7bH3p0GJXetjUqa5G0MT9TT1EQK71dZAhf6iEjG78H7Vte2fLtq79V/Z7q53/3
+6yPXxorcDao4/vWf5tH+w8W6raElS/CwWN7NiTxfqjIcohqAow5um79t6Y+87+sN4Me37DWm0ep
lCsJSgVU8KAoH1oSzQmafhC1ZfhXSWsQMvkUafwGKsEXpEFVQlr/D9UCLxKJV5pbtlezZi8gOS3e
Qt/PF5FZtfvIi62HjqYH/T8Ug5J0aZWMbl1AoJ4HOiy0v9X3SFxwXm88XnWvGYSc1fQgWJdrs+7Y
Wo+uOSINUdu+GCMNN5DMoks9Oo7zNarloyfXD6I5H6MYRJKG80xdhvR/zZ5k2aRnUMGBgkYpPRhi
lGta1RQQELj5ofAVO1N/0Nb/eRSSwdVjk4fAK5n82oWku0CV5EeUpQivuFSs/Npo1hGU8l6y3Lzc
vLhvvOtus4Dw8yjzdt34g3yJCnkBD0BwxMpjRCU9CvWNhphXfQB2MZmPtjVsAtUX99S9cIVz+PKg
3ABqfGDm4tZHhvJYADN2JENtXsOm8Xe+ZSczoHSGGeg9vAWxHcBZqFs/+nVdH0VHPpy4qR9FYEfn
lLEHbXOMwLn0gdxpWwwg9xU/y4W2jRbpH3xrMukeYt1V3CsetDNvomVnFdV1ukhgoeaV9xdtq3v7
MaEuQXkDbqCHdN2s6Hh21MYu5yhOrU1zr60mDbJ5CFmW6UJ42gRz1AkkrFq7KbSh5g0qNWdGbYjt
1O6b8jkKon4/NcFEv5EoZTlmDGvFObORIKftBRI8450hBGgksV/WrbpDuXncPZI67g42lbtbL0ga
0z0kp98w+Xin+xMs97aNlw5g8FYTu0aQr2uCCiY9j3Y0A8iKDG7mLG5TSQYR7BBRidWtr8wRKAHO
Cu8KdVv6ENoAWLS2DTZIdc0aaN4l1kt3jQPerd5AXFYfsigL8ChWndBl9gnKU2GqUTu8ybnxBnT/
PgqM4ZiUWQxQtsixp82XURdAgJnEibEBxtGeTe08GPtF3EIubEQoMJ2n0fgDn5Lv9WA84YK77MBB
fXTVB9N2or1R0b+m0bHRBcs8B3nLNDrqoc7GkQrcTm2a14uyrruzHEEJYduOjw1iVndkDeJzhDKl
K5OtCyokR0t6FqOoD6bWAqVOlWzxPtqOSvGzdFKB+Ik61YcEwmyrqEyR8aYIEdgIAtC0JY/l8Nxx
L3nGW8o+gQssQvQVzdhJkm1OzHaRyyJ9DmszXFRNVG8mZ+BDEDi1nKO2xgylciBUeADmn10FtiJc
DfLb0N5XQGbPdRPpfLrqGqg36KYSapwnLSAbuvmvu9IzF1hz/H5XQ+ShSk3d5J/uCjybznH6CP+6
qwSItuc+FDZSs/a/7kpbTc9ofrsrJ7KNC6hxnMemfpk+fsFmY2rPGhDzHHqet5vUstPpTPyh7ze/
zmi+j7iN/S/8hn+O/dPVeEeufsrcKlGZhV9yDF1QK7pgvdanDlB1G9CUfu/LkNxki2+ephp0cy/b
EAAGy93rwzc/fZq7AuqEEU2yVRTV3sbx+yWYgNpTDqQdm381wY8u7ip18MNh8gBDgLjTB9XV+VZ7
0i3t+jVwtJJ68vrq+udcSKrl28LJ3k2nGVC/KcK91nTTzeifTW01lexogR01GLStT2cUIw0zlEy/
xmPxYbaoqpCJ2d23Lm3vUS68AkMYamSQcLpH5LtfQkAWMr+qWcqenEtTrnWrUV2RidIwMLjnOz28
KhGMQ/jfmemm9sOzeppSX0VPCaXhzylziIOduRjW2qj9wxFTKpXVnW6CwNOfppyuyvG2qjywVgPJ
+MCzqDpgo5lch6pmF7XLS5D2SOeorIi3tO+tmbbqg2G7oJ3xBZjZ1Qh9CPviwUyb8oCI9LdJbg45
WOz/p4lAJYmCdwjRnCAk88O2W3Y1QLF+QMAOYBrbHd7cbJz6fSBUD6Ykw7yPuNT9UF369AfvMKoF
VH8QNN/8hZpH96v5pTGu2950nwFi3YY2IR8d8Ktd1hQ/UPXlzYA3KrHk7RB/8PDLLWXQ7gFJJysz
L5qreo/NBxukYGq45xHngzpyGo5n+vfhYGbMpuGWyciqicbmanMgG0nB/4+179puXFe2/SKOwRxe
qRwsy9nuF452r17MCSTB8PV3oqg23FruvfY957xoEJVAyxIFFKrmTL9bNg6UmmnAQiqetoFm4Qwb
/v0NQDHBQdxzzw/x23hDMtCI4KBeaiINayU/NPUHDzmcbckrlI+irPvGUPN854XgAMbKHuCgkNPL
1RCYEKcoLoodycnzylZH0SYSm2DKulLIYa3a7FDoOho0aiAnPTlKly0bk2mrDsxJ51685FGPx0Nm
PRqGhwofIaIr3kRHk3tguEWVLuB6zQBbCjZ6S2lX9XF6zGvjSCKKRv7N6D44LI0P0Oc7BR/eLTBa
hrcCDbBO4DsNzv1BqfKdCigKfLROIFj6ToUXNKoF37ko2LDbbNZJS6GTlsKPSjuQUqtPH34UJaiV
b1Ta8aH7V78O4MEeOEb3fZ3gbY2M8ZVHKAjH/xZgZGLoZCi1ytPXiCvmwTFxfk1iaUVOWM2BgQX1
15n+2aoVsXiU5Aerwl4zrT/FuprxN6tWM5PX2iyteUZmtyZWDWjIHBiWkcwA0UDbJGiusC2Omnwn
euc5B7Yhd98Mjm+JloDNrgc04mOThy9kQJ6u21w8eclBs+SY8XuMM3/pGQBKY4fayPSxdbxnMiDP
IrVwJMqsDosfXffrvjKeVF4MB0pbMcGXNorhlVYOHTAlXWu/8h3BPrmqGxyd7iZ3jEAMFE+gtFT7
YkuJQkoKUrawU2x31zEgfH0kC1WlZo0vTaSGrkwghOPMyrnFuU64lUoKJ4cyISllJjjEFoYeqp9S
k1/ZkQfFI20LFLst2F3mXObVPNJMziNN0GSyAe0hA/cR0qB069JMTjPnUMnNq7G8dbB1+/SOyHhX
7x5FmHKci3mV/tDHarNos1H5PlTN0htq/hOtQt+Y57HnyUFBL5qAxmNRV9kRqILGKsfC9cko2V91
YHc/2wmNRp07vbulkS+GwCvvhtau0RoBFrDBQ6KoVT2Q9w7N8D3W6xXFD2L26qaaierLtF6F6M0A
mGjuHvoEBGXAB+xABh6hdEVM4A6TD5r06Efj2vEC2PTTXVHryRYon+muKOzkbNSCPG0qUGqKXbjt
NCl4zOISNATOCG5lvBSmy1CPKC6bKr/Vc5xzFkk2HTLxIu3o6koWoIn5S5PM86MuBBrsxzTkSXGv
ZHIoZyA7I49xmAsOrKtJpZl0/c83bKd5sTJ52M1/przr2I7RCOKq6Nsoh/ZB1SMU9URJB4ACDCej
8E6hFeHYzmsfSFSEgD0Hykq/pyGKbpydgRq42Z9klaNtMkfVb8krVVGmYmiglyfliP6vc6kbCxky
Z6hoA1aCtyWZm0UDSmAioM2LexgmtGdbA/hDRhYv7YCbJy+ZjH2aanxtWFry1CbGT1Xr7L+AQrtK
p9j8RqaQmKexqg3QODgXU7tWpSmw9C6mZN8CC9GnLda8IwPePGiSUIXuFwNOXea9Gen7ckSakVRN
VvxSoQtxM3kRu9M6568hcvRTlrjWM1fthZGOyaOOrONDo6KOQ4idXM1PLEDOpxDDSe+sHfA9gaAg
hkMJgkOtnQB+63bWs1dzbQGk7BzoMdAamMDsM0AKCGXHgVduZZcJDI2tSCwnIJ80MS4TkLYx42qd
p/a0Jm1s1NoiBGHNnrR5HvzVjNhHdkB79AMg4hoRnuwWyJMqgAqhg2ca1q5qotw0B37zRlGsy3ia
VNyqZXIFnc0D8NCWvZHGZyBlrwA3GT3Qi5aEyEcPZg7ETcg+LCIguZSLIdPjJdrN841SsejBA60B
+bt6l5cAHoBv2w/5JmFJLH1ldDBeXfxJVplWRP6lA/JCUDImfo3/5zYSCayeaQdQ11YP6ARGwcio
A2hf5KgUJ7FXSax9aYYUeeyTux7X9moKc9A6ZEBED6tDoCE1Helx+IIEfLlAT1h8APmT8pw06EHQ
uHauWNs/e0CCQ1L52TE95xbVji+9sNHdssPxDgdChVByqyzXRjcZa9JODRr7KCBps18Bi0tAmsZ2
xjkg3QMFBCvWtCAlBZR3WNrut6zF58zUIpQZae8Fc9ufGSqV0faNs7Ugjndjr9bvSgqWywqp6qeY
D8ayq9r2Fkdl4dbINL7HUWmNCmdrXNvooLszepy+pXn5ZUggaO6cKmHvpt5y37RVtLcFuoHDKEDt
jsy9hEwUr8ZiHElbCqnjYSJDOgHSD6Gb9IACLkE9Yil/lUH6p4v/1sYc2l2spfiwLpT5884iAERH
YPyzo/sQaD4+Pnn5jyYdTwaO4Z7tVHNA/yUOF7Jm/MpCqzoHMC44/mBInlxZoMdBe45C9xLjyqJF
z9YfLQAKAw4QtLfgGL8A2OM9VoHOHfJlnYr006JGD/w2HKJ0MY+BO2gi48UTwFWz9t7MY+euxbL/
yriIajyGmxF0OEEHYw3Q8cjJZq6fd8jB9246HlDwNh7S1kKZV2zdk2iWD1OqgIcHJrnBgZYvVXTl
8RCsFr9cKt0ZDrOfiCdto6ACwNqsoYg2OIpXoIJ7tWOkiwVcHzPtCO2sVr4AidQEulvIIruOTq0b
oJ4MShLZ4H4DRBKoKWiIZ1Z0+oghLb6IQcr/OIsp5hwrQENqgrfXcvTvmhIUp0asfA2MDDEK0Lp5
L/rUwY7GA595o3PTihfbLC9XSDA6NzF4jsoeDQSkdDPeTdhkwsTC6SB+zf7gS/GEb4JVFJrlf8WU
8+htcvE3FDO8wQrLzysHVfpqUW85sOF3ba2Ot5rGoqWh1vUbw0FqlFrBz2BotoMeOt/YlKJMMerN
syacWuEk8L1vtQEd543uVm+jYd0AICz4GY7/cAoV1/JRKIP1ozcWgmdx/IZsh29rY/4KCBYnOvAm
+5mhSXgNhngxlao/oYPVQGFwi6FA5qg4ijRJS4kg3eZAttRgTJkfUwyvtNKXjGnIAGkPVoMDbR69
AqlZtUYOlHaBNASqNduSto+ii1YOSRsnqGxUq7CY0NtJTRgghQHIeIZaP6cs4hsvs3o0IsfBXK4d
dtm5DMRDUzfQ3zyhW9AeouGVoQ+fqrKlpxskw21jAnEE5FLxO2uKs5VpYMf53bMbgiUZkCcys+gy
Ku30Bmya39VqGk9TVnlPYHTx1R50iFwF96GSoD2Ohg3Ap5YlIKB2NGxdbz/klnIPyKPkznLURxLX
Hhpo2wl5sTmGAvgvlG8rRxoqcRG9WiPSOkUqwEYDFr52k85XeQyoddKORfcY56i7BtZ7uMa5BRiD
8y69d1n33hhBfag9CyW+SRDfGchIWegmWtQAmwc8qOg1pLHTAUYhQCJ/FQPnKF1wbLPtiduHUvhW
Zd2fsVO4GHtAB9ghHw4EIXKOlZgtFS2o1zQTmgOacwt6+mcTOAgbENMp664c+beqPeJD0L2ZXhlv
cws17yQ26h+669qvumo027IGzyGJC1v1Gc50X1tLM7Zl26WzHL+DC68QVScOEmk5lnA4ksfJScbR
no7a2BeGCgnsRND9RnEmla09FUsAo8KCzGl6LIzE3fAowwlGEjzlqC3Ylwp6lEmuZ/Eey+DmSQvK
YV8WOM0NY1BZqJN9VsWhgOd2QCwYwzckL9kxUdAEsCZFxVy0Xn2ouQJmb3oBRQKqwsmcxl2TYTlp
rlB1zg960noPnuuesY0av7XAJFsqiDHLbTc4U2quxP/gSk6pvy/k0h794N0BsGuKn6MH5gb8T+Dn
a4bx2Oeu8gywVJwxgytbTbs993RgQ2T9+GqWOBBEdmUEMiSsMhVcrt74CtyDdrYiJ9Zol1gg5ZKx
jI9YvYiF/cRXVjRjAHZOcciNQ00RK8yC4RjhFOUFM5KznFHel7z7RH0nsbSi25R/Yy54PZlWmCs9
DY6R7WHZ3Kttvq91+whuhELdRDFywkLbNpofJsb9WLoAFHHy4JS3Q3CiqzhsglWuuuWCho09WYaP
Lt3oBvjls4yMmR6YOCJKzZ8yCnnIKI6LbsHZjoSB+TmKNG4VJ0CHk/YpUgsswN4CmoapB812ci0A
aXCcndILckOoQGjiBY1qtUXTl2bx+8gMu4M0ywpXWXRJGa4NoD3Nrlfhar3Ebw8D06MIl2aj0a5E
JH0y2jkSWVCkpOvwuPm4CTXpWjzQdZwE2HoO4p0sOga8S9aViqTeCDyFOw+1bvgNR2+53QBUtYjK
1wkV7iCj0as9D4vyzhEW1H3+YSFj/LsFzQKyjD/HuLIYQnWrO135SrP0ZVHvnbwv7ihGLJafmaVv
7RGPIbrTQvwtKrBF0NQ2YjOGd2rd2YD2shRUcKH410FtSrfVey1DCXMCsKRJZ8eytC0kZX+zxZ7G
vvVgO0Q4Nf3K1ugsCxlR8Kw0U4yazDhW7tJOD+5qIHah1oTHO1TlBnekKHR0kTd5dyILgOZFt1MC
tJMPp6LuBzwth9av7AmnGvgwNSs17OKVDCIDUxRSFECUCkK3nQN7XY7AIHaUThS4UlAIKZ0GIwNQ
rwhOMuAI9kuWlvES4Hr1gXmoeAFuKwjkNRyurvoMpaGfhGREauRP6kMlzVNQ3btYiMCTVNIyLcxL
oBDlzJfoc0xp9GlsGgaO5VFVXh8oHPb7b27D843mxIARKnXzGI+NeaQhXaEm390FabNJdSVCNf6H
nTQhN8ZDtDuJ0n4ZQMYrQIDBfazdzGNr9MBVcjo0X/2aiOwoXpJMQCLAOds855WJHMZ0M6aGkuuv
5ry6Nxoi63LWtYRvZ18ZC71ii0qLwPVhIK0MHIqzY1soWkV3196wwShPw07N2vsc3bcLVKX06P2C
Cb3E8Gq+8DJtDfscRQfvnVqCn1lGEfMY9viPedAJjm2V9JjHX1iPCRCl5R3YoKFaRAD821x5AJkB
MAJdlvn0x1y54adPxWkAbo3+Nor3MRmJqhqLgq+8rt6CAlxS9BaQl3zj6qi7vEl0i/Jt+GIu6SXf
KPlWyD/23/9JX3klDQD2v3jL5V9+9a8lxce7QdPLO7zyAq63h0I6tLKwPMKebN8xY5GHHmrc2qrb
J2XfbIM0Y6e2YONKCTLvPkDHHr4owMuxU+NnnofxX2CaWicmVu6+U4R+rFr93wESRkGeMvRIAfAm
4Y3zaI2okUPBfXTmNsBnrmapbLs+xehaAWei5WLFDVSeP81iG3+zvhr+8yS6GeQbZLbd+U+JR9SW
FabZ+MjRDeuoT9INz033Ju3rdNMDmHW+GoRM4dCqDDvqP9qRNuzdZLb7H0b5b2f7H9rRXZXWX3aR
6rdZ4Zk37YjFNHjSz22uDGe6Kszxh6mayk7KDWC1rZ1ishckoxcbHVc35sRmd2kr3FnWKzv+EREE
sf9wV0er3kaDo53Bcgeo1qRFYznAtLZjxac9sIy8gz5i92gPQFHqaqypu8aMnrnRNag9QYatqMp9
im7+yDftQ+YYcegbhYrz67H4VqK1GEVscfFIwds+Dm95XeCMww6BYYgCVbBsAWsjx8HNHBzEqp+D
h3YFdKAJtS4I7jr49KE/Sb/H2eUluBZo+SMwngH3IYK3H8EBRH65cw/nvWcjA4QWBQdl+ac7z1BV
QcHR8Iw7F8HVCQWOKBHzfArei+B05398WxjHluKLO09+Bf//elvoPcdiZck67Lvjqul3JfaXp9hx
XRx7h9kzfjuBmFHk+k+gfiGBYv49TdoLep+VF+agK6AGxfYt2sibbRKl//C2UIo3e0fdHuTAlvQ2
TPTWAovl4k1zK3bXAN8mBprmx9w98FPF3IqoarBRqUlzX3nnFtqk6c6DsPyHt63vPeGNrs5P3jmA
neY7l970d8eoO1s14B9dgQsZVToTKp0HoN4eGc7IVilS+8/Awnm3atb9LEJrYY5F9a5MUb2IS6ac
NT4O2yZDMgMVYNZ50HkDRL0merfQ/Nbga/UTRI8gsCvLZ4pvApcK/HlpdXSxo5njl70p49sivifi
o+NcOQ9BPGyBkqUh/8Css4oTWxmfbioAJCjFxzrycv8cWf1NZGrAALKbO/QaOncKkFPucnCab1Nr
CPywzTr0ZVZuvGJaxFZko2eAAAJmoOVbXqBuZ5tJA2ShMXpHMmkV1CbWf3siGoVEOS0wmu36brYG
TTGY1NCHjpPIX7MaIb7+QLOpgQANN1LQLODU07bSbsBMgFL2jnQfY4eKx0yU9XbYEtM04o+RIaoJ
JFXc7PjSKXES42lpN7d4UVNUbvI9G0B+JeVZkfKV6iTV3KJ16acaR9SRuD45UdcVyY2kBd0vBwOW
VPRl2e7sDIWqJJMKMZcKwMWjFNmovF8ZSlktJ6XQPb9E3v4Umpd5aAoyZqpq+kOKHAwNSdGJeehv
kvcjsnNT1I9+OuTNXS5ekH/KltzTsDf7kA08zWeZFzvsjhTTn2R2z/HQzkJ96xmayCqNb7Tx08zx
G1aM/WOU4YGKLtpw6w1cexQGXRQVP9RK+5bU4f/CYMIU7hdTtLr61lYjP2Npi3/uxOx1BNLFZdoE
6j2ehdq9xQCtnI7RDYlGx8V5dWaCSE7X7mdRgtKUsWHehoZxxcw7r7oxy37KFxQx5GO+nMdtX9wD
KiZCTSViR9o0Hjho6ciTXjzQAl1Hi8MbQEurOLoX90fRDE/LbxscOaArfGko+iZvs/JAL/hcXK6k
DG2LUeXTeGQLVZ+CfUOiTwrSzuNBt8IKdDPCab7O0UQxh/8VJME2c//Z5DqUvA9gnpZbN2M45zt1
gfHcqkG6yusB+9ykMl7Q6P5isbI551oKZEXwvKWTbrxEKEw4cLsDfYAYBg3aeb5wQoHF8NggIfdH
J64YYK30fBaNCk4nwnoDEqJ8Ho5If+DNFYqPl3K6qUMr/ySRVlOOQsYyw5Eg2UvFVXBS2F0ESABp
WAES/U+BBxHY0qJyfR1T3BfWC/VGF3fN3Qr0b00P3sdzn1U/Y3HKOekeWlSU3jhoAQ9fAPp/A+w0
fleZ0yTKbAdxrinamm+H0HmnEQ8GIFdFcbCgYYiOoFXbCVQSYYsKhHBBAUMRn2uAefwIaAYvNGuS
RXNAGlFAwBV4wPuAy1VAusMMnG6gNNVC/KZ15gmd2OZJiVPzhAXe5LejGqzR4oD3gYRDpZn7JEI5
6YcduZEyZ6jz7oFEsqahVKhY0+2xiT1IuZlXaxxf4zgOGJrH0GP45VWc9qXAeR0HXs1fk5qcosYr
X6sEsPk4nwmOiW6zY4o032wadN4dOqtm0wY1v59MOerTlkEvGLgjzm46OhcspuA9eqSkFTeMaMkG
Q7+Reg1c8+/185U+DC12o6DIcHnR08OvsdCiSv5f65kDjEnSt0Hc3IwK2mLQsgQ8NpzH0ntH746G
epoxrMfD/BaTbGwTttbwLs7veABkksubL6y9HE8nsosLlD0A2gcfvVTFjzm9t/QSogN2FeZ1t2wV
cLilWaLMxzshLwe/tSz8+0ThIBPaXGjptIeMSUvFgnJIxtKXygVp+JWv1MqJrnxl5EgHyb0W4XjA
iPTmFmDshQ8M0mzbmxwomXJsCXVcqyFIxKpVLU4z3dZDl1dqoMsAB33lwulQzVcZ5Z0lTiFtoTWM
Afj86B4uFx60jsvKuwDAwPtBBzoaJUgjkCjcjijXkPlRkiet/WDq6HiYk7S2myQAjardFdk1Ivs6
YCG1zVA//cn3IxwFmX1lKOFF/pMXxHM4ikTGemsN1+Eso0b/QXsMe/Q281B7K3MX7UZ61GzMvgM9
U5oKZDr12VI0D4chHSCZhTzGU87HN348g/QS2E2ib4v8Bd3tsnFxamGiLf3p97jRaLMN+WcR1um/
xyV3Q8dm/49xJzAGHdqOf4pbVFqwZqDZwMm5hpTLUKCDDrVxvs208oaGqK9cYHVh4WjMwTI17W5r
YQUGW3UfjNO0IKu0ARR+nnbDRsZwRYwkt8sXQ2vnGKgbbu+Gorklq0Gz1f0oijwMV61e2nLUVg7T
hg052Qq2ZpW1zdwKxNrDuLTTOjjJF09Xg5ObTd+DMlK2JHeEiOQ9khSr2nb5YkiHwVtSEGsclvOQ
rD98yUOtMpxHmGWAhlF34gt34DZqw8ScTRmOR+yH5zsoB3ub2sAXGu1MO1YO8JR1nLyupsxVj+Bg
RhUK4E21I6nphTTSUMroCtWt2pFMZkVqdAvW9/2uRtbykCsMBy9gvXmxh/TUA1byr8QLBVV0/uTW
VrBW49DYlY3mnMsUDCFkIdrdXPBeARfTWoyd6pwyIOgeDCszV1E5TC/Yp58ccM5QLHSoZ08Kti/r
1jD0Hcpj3N9juYqnv1ddby0mD723FEu3PADSFTEQgfBN7jQbbRY6chkLGveBx+4qwNuBkb35WmZ7
CV+TCb0Edu8tRhTlrzvhSwGu4pHiSibnkPHIV85LJnFYZ/7l8HtUemtlOP1GGZLunZcJCFfMYHxM
kxhZmEqPTo2XsF3uhc5WM0HFXOIgawmMKzTd9XnjJzZooICLjcbiCIVZwcixih2798DOJ18vxn9E
Qq+UPUeK8MP3nyPxpI/frEl77d1gU1hDvlearETVPV5sosSgywJZmZVZD2j/BBzFTVxaqPomDY3p
ysrDrY6e9L0UkVyadW3jrawAeERXCjmkq3KItqqIhMxDdihDnt33nppsogSVr/TzY3htstFznAnL
4ahgN0k/XWR8pf2j78Txge/Qnaa0gNdWas94yXtAbgy4g1NhKPFLEKxIjHaU6oZNHijuhVWXgLFb
OnE0tPh90F+cDES1a/PlyinRDLZ2BmzFvSJqfKse/qbPT50q9VKABaxoSJ+9Kxl9sEimRJO3ouGV
7/y9kH5WUzXz94JkyOtc/ObPdqv8nbRtD8C9IMzRfA9yiw7oq0AM9DOxnh+rptyEepquaZh2KOUB
Zn1wHMWegJm3o8en53yMsEf/3SlJWLomq//k1HhG6o8teIPBYV9v5afAidpoQJn8D6P2kuM8klq6
Qh2ChnZtoJvR0COPq0/erwBXYjmkIFgkXIJIhQlIdfDNgKQ5SJ10M8a8W8gHxZCqSBaTjB5EchxZ
CR5M5MP6qVvQP4lepOyTjYPW6MX8T6MYuZoBXLngP9yy4KcKaFpn0LcAa9UNxm+l0nv+lYJKhWqh
yLSBn8K8uHiQwnHVi0eAVq9znjuVPysi0HGRB81hiTlI8dUcNDn+BxcP0HpPQPrVd/TZm2pnB76D
5kZ+bH8X0R+f1MFsNf/twsJQ+uZGfoY/nORHVoisD6v5G4F2BZpNOqI289MNkFw4Jo5h7Ca9BcfH
JijKxA+bgu9M00oeszF6McI0fg/qZPQ5aofPY5Ykx9pz+VITCjtFOUinem/4xSuAu8YvnmmhPLs4
aXuv3PzPnjHLvTe1yss1zYlMb42G5zFlgD0qzUenLV65FcfvbVcA7cXKrDNoHYJDPGHNQQqmpr7G
rORb1wfpelDjaWfjsfPw4al6NdiQRhvLR+EJrMdxqcYq4CsTfHMNLf2mxObFU9OUi2ebsseo4cjg
xJZfxPhlNWNw8qk2zpYz7o3f8iYwZ8WEqo5bDThGfpPx8VuAgq1rD6loBhRsXHnQHI7N+12rogIZ
ULvNHQ4x+anMBhxu/0pDBUU7i6pAFd8bMQRl8orsycz9ZUHpLYe3bDFFlhvpgEkCAGSjoikVsBug
XNCLJ9UrvL3LqyLw+9JBrm3q2DKYrOEcoQ/tXLmqgXTcuPMsBSakGPPmyUD93X6WsUq7uM3jfgxm
FzK+2ATVU24qWyC8aa9TDp6erq1fUTkwbdUaVcIcuCeALNB911IqND2105bb2N/O31Xna/sScmmv
izhkb6Y/wmFR5o4T+WGl+POVALm4lv2uBRwFcpL/d3Z/nu33ef9sJ+7lX+4qdPs3bVTf4+62A7w6
itCz5jy4PHgzA7Nc6OPE74ega9ZBwFCd0QTW3tCSYVOXw3jG5yxaxoqpvogQoAiL/v5DHDCr8fu+
KRv8esfs6KD7ZY6TJPl45hx1nhTHzo13tygoDjd7JgAjuzOConHf/muMcNRd8/RH7FQu4Eid4T6t
zGxTo1Rsr2R5cBOrJhC40YL/Eob1KxV/JpZwGpLZqQhy4CaUQ7bBjhXpYtYHN3XfOks9HvMXM8te
qcw0rdb4q4HWptsvll26WyNXovnjgcZWpAp/yXPwVM7y3uCf5N2YgQ1EVJX+Lrc+4nzIO1RAu4Gx
BLec8w2Fwz4QdfIfIVYsi9bKs1sWOcphrEvlygIf82aB/djFIlFawA4BFBBcT0AC7f2AFfmBqdwG
dzIr5l5lVhmXIdWzAizvs9b8ffjf+lIt7JUxRcaXsViUcfCMrG60Gkq13Ed5rD6hXmNXdhV+Xz/k
MdOmp3zoAfTlDLM81NjFvoSc7BM8suY4H/a1iCPl/xpfzhuL+ChoQt+kYeRLo9Cqc5U4T4rdlC86
qMV3Huhrl6nY3gL8N16NoA4ATCWGoYkzDyBSFScydqtHcIkqT3YV1ufaNp+Y2D8Dsd/adV10CWGF
OGZEN1K5jUWITAdbC4WgiNx7UIwkfP64Cz2N94y1qGmxfvXuyi7eKQWdaT8VzZK0UlGrA35gwULi
LhSrwVmF6AMuVbYHzbxzG+O4dgvm62aJU3wQC4qhCVqDJTe5/mnYiMZIqa0/hrYwlsMrXyTzLlpl
BBoQacm4ALIEutjR01uhirPSqmClZXb2PHn8NUyRP0zddGepwfCW5Qpf9ia4XVjH+SFukotpzlB9
KfqonCoH1R5glUee9stpSi6myMj85KCfW7BUGXcV4JHv0f/E/DiZ8h/TZBxH3UleCkNTAZRWTLNF
5SYXi662jkoDAsAaDWdrVKFNSwAqqnsquR9HdJuajVfMwyJnyTF13O/qnPZSdPRmWWqxZyIrpoOb
7piV9nem2eazEnP11o1cNA3W8fuQJ9yfjN49o1PaAfZBKvZAohG2+FvLcSqtVk6Mlf+g7ZpmtB4+
HDsVnbJ2l312LA0cb8JxQMHl7AjWAW3nqcHsCC5yywc2owMMZLYoDEGr5Gag9KSrAjIXsLE4G1fr
y5XQmjW72F1r/93OLDN8wVk3ljsPSLq+qnQ4UPhofEgM/KKybmIHelcVNw72swlIUObeCGkyv5eK
5c0mhQ14tL4PkR6rvOAA5ujgUATIs/pyPI71RRN6P+00dPZkJsVfmRpNDnotsvnNS7rGIYAL534b
va+LQ1B46tFrM3wmkFTWjviwq0eLBdGyiicTKyqokTwSDcri0qUXGnctOB7JiBxJPVZAwgWHi7YO
Rj0/x+jZ26QAfl8gN6WUq0QFEdrU8yMgVF3XT1D1s+HYoy8iEJmfFT45AFDK2K6xkv5IMiA7Tauo
A9/I2Nko1I6MDhXorH5zgLLPDfu1AvfvPrZLfRnmXvXGjTb2a63Jzq7Hg7MyYfkj5ORtlEqH4ncM
y2ExCe+ADxdvCqpb9cW7BbfdGb9uP0gu5x7KnYHuyOkZaJ/NvVV7SBxXXogavKra4OQqehiMPLgN
Y/TnihG9SAtyiNzeu7VSPESiAgR6pu7Uz57yrQOEtj+NYB2kmlIUSvRbwPtj8SaqSFO16e+94jUK
QYu9CAFjJ3Coi31vRCgxRfrt2rax8dgX1ahkS3FjDibI+ec0CXJtNxBDwOjZ48Gw0QrXO7W1R4nJ
RMMCbQD9srFN4KVr0b6og2ljmHkABsBgPKWR0i/7xA5fa24+1EMf/BQg9AxERO9ZAjSHGhuEO/Tp
T5u+4MFOq6vxhJ72YXbSVHt2Gnpn2Qon0Aegc7rz7DsNhRybovD1qlGPPTPQkSaWHhH2UwqaKu5J
PoTuRV6mzpsbZ90sR+WZvgAyz7U9ySlOIvZlH/Z52fWLEeBu2zQGEsEJILqbKWPZ3sqnoD9pbjYP
0YWBrFPLyrWt5T9KwD1sNYeVp0m80BVQRsHWUFc/LMAlorYTIymfzRTrbmJMATzRAOhiHkwvygSI
5L0Hpp6tHKouzlLFEI9hlNREagUsSEwjYxqsT4/YtS/qTP8sJ4tZWQAXW9xDgw5+YJeIS1J0DdiN
pIJu8YtwtYW6gEt/nmrXTeUX6tCtpyTRlvjm4AgEdDF+GrrVnYWK7we1MDtgHkDb6DG0ddNh75dV
d1FdIxPigFzbKpzM7zPTfjM+rprMvMjk1ZUdUMXqN89FoiMy6vBAmaROB6yrxsDX7Bne2fLqx0Tk
m8K2t7ctVrhLsqrdZlygFyU82DiBfIlw/8Bp+6+dyiF40jjInOnRRg9Guupq4MVaJjNWJHPpaUgP
RlLTCw0rG4zAZCgjyGdlhy/+Avk7oO5VeATaQOzZmZaBn7sqrnepVyYLNjDrwTZz8+G+Epc0ltYk
U7r6H9YbiiOtHZXh9ysCZzIIZW8BcFIfxwbZqYUeWrdAVquPOMZA7ruu1Q0IEm4KB31s9NJ1KtAh
jQ7t3loc3aCG+aIgLdPtpPevbKQzWWeoyj/2yQYP32HR1p2xN51QkIibyDaV/Z1nl9ojKvIWJNaH
FkC1yN2DIxJWCcr6NoE2Gquhn7COtZJxAShbYx8VXfXCEMPSpv6uNbkqY3DsmG5ia0BbtHAazZ5v
8iY30N+IkOpHjD7GbqcsJ7ApqEq/bl1gGM+5NFUxfxvrYsyEfs4/kb2thUDKpXydAqwrHBsC+ZKw
mgiPycFR/AK4Zxqy4kBsIkCmUQM6BMkIjIkUSD4AEK2utI2Uka+JAprZ9yrejBH1ORawXAf3gaGM
67YDMu5e6YxTP3KxvWDTl0MXgIdoN5tCHG0JD3PSLh6dYeV+W8fdOhbwVZOAtaIreqm9wp6HKeFj
kTrv0nDtctAdSMOMEK60D28ZZ9aQ5ZWjDO6x9F1B+YtIvplutM3mZniUkm1BmPpCzy96cs1PNwPr
QVLMTfKi1GvbpOXL1dORHqKkFEH6MEzVzcdwdv2IVGFDBXS9Bq2vumI90xd4TArN1+y0X9Hw07Lo
0yUZuXbdrz4J5cNDLrIYSClRko1oJJvXYNeBezGlNCL19WqNhBSNpgU9m+LHLfjEQYqB9rMI1bZH
jn5X5CRT/tKEZbspK48dSRFLGxI6MOmESS5MwMeJFp6uQHssPin5UC6L0YlAXoNPGolauoIcUEMX
+SwS9ukv+08iIc9wrkxxKIR8EfIRn9e88TTMGnUR2j21rZeCkvPyoXenz0OhTZP8l1aF1szt/8fZ
lW3JiSvbL2ItZsFrzmPNdtl+YbltH0aBEDNff7eCdJJVXe7T97ywUEyihiQlRcTe+hkY9N9b0OZu
+0zjD6O6GKCoQN1IcCYRXSoUjGxKOzCXQ6rjE6TMTF7ms+0sBy9vvMkT1wRoAoWUxZoH7rBOAAIK
akuGrVqcAI/HSMa9bWnjUqghae3BRNY5aC9DMq64aX5K7fFrpePovOsC9yvHV5o6RQ1iCyytHbO3
SK24X4F/obMQpwJRcBH/tpbqaHUWv7Geg5A1OhXJehb/tqYpWdq9ix0khbvArwt/qDwGrUmdW082
SDGRr8UOVxjnVhPjD7BmotinSdmD36XJvnFddzJFg90AypPW/dlo51qZsjLIbkwpalnt0yEIUGfZ
R92XzCujYzZwawO8ufJZR6/2okUf2U8mfwDiOfiFXsYfXVGWnytZ52uXh+Icgu75aDqaueFaIp+R
8px9zC4KflnZ+GPEiv/zmI2Kh+q3j6eZKOIo+pdS8vYwJmydqO83HICFN5dZZgFx8xBw1GsoM6m+
Bmfb2YyiFcNfXgj0Xx/r/A3xdRGlV4fE5x3dtR1y7qRNAJmB81xFHEaaXLIG+ydDriKRf61Hl/9w
AKOhh0PxXZSVu6pYUgCvQXh3CcfC1Rwk/6GPycLpko8t+iKMdiCVTdZ5F6X7wTGAvU3f/UXjABYz
c2pAuwkcnpM+HjwwVKjFAF3eyTQnBKrgNU5ZVNWNHcUmk8iFHcU3q0qijIaO8IAkZJgWyGnrAih9
6iNHnzYnNhhAy8zT/AEkZdExZxHxqJ8+xWQ72JIdwf5ymj+Z0yf2Grfz8GJDZ+2RLCi2gD3Fni/l
29ikoNhp59zEJjnZ0jPTsAChxWI00OGd1ZnzbDrxI+CyUOpg9M4zmJP0deaDzsVLHfsZH6DgbDXI
PislidDkMtmTNwqP9bVnMQv8OAjWcz04p30OLFyMLAfvQrC114sPnJzBsNYU9upE8Ul0tSdRajj6
+p29eiiahC7o9cY6nVkHrZuQvrDUvzdiFGNYzPa2YdS0z03vtid0X3zPuNs++yxqn8H2/BmHWtmZ
RqBerbc4x0pX05AN8bOTIzMMZ4rwLqBMUyAlIyAp6RJY4RSQ5qgrt9q2rZasSIkPAwWc56eAgwh9
VEboQENHQpmCOrL+Ts9Afuop8f+fnWl0eUr3NmiPU2b180zP4LTOMm56b0sTXX9sUpKZCmjlWKdO
P6f6sXv1lPSTGuop4+p9wA9+j2aL2pEksj/7KD8GX7rsT6aNZF5r+BWAomoUCsUmwJg0GT9h54Oj
xgKnHKTwCmOpY6nyBZvyfDtaVbwDOn32aufNlgwoJBb4/UmG/T+ErNzYXMnWG7+rkOC8NcH+nhVb
afpYdCFl9ppr1ZYMOpcnKwtNT+tIBN4yFmW/1gMr/mK4GbrdUedjFtoPHQi3L0PP+Na26noPJszi
Ea2eDD8GLKwwWlgNWNi9ApxbNWPtXc06HRipHWjUZXkTzEYwJ4zt98G8OL8EQ6vrFAxV9cFSqmDI
R+ogYsaT+WlvP42m/YhuInD1Gu2PwLWCY+mVeryiWyPmst3UbROgZunW5mNDsonC+kcp+nCN95gC
GQYR0Dcf5KV7oo5sLVMx7G5nMsksyMTOdgWgYq4MlAUD8QQ5kYyDnfQDpwiYFkuuaEAomtX7YKtA
+fo+TIZ0FaSRPHgJttMpqomfWmzoDhxYLWsOPqpvuRjQC2Q3f6VaAvAQ8JCde+ZaoKbEyREpgNmw
aTTgG6KGxN5YHhBOg6ZALStHtb7ynGMXIxqfM5m/jw2WVBSlx83/GFv4Rv7EClAPWJneA5UIWKyE
X1Al/THNvPjT2KHnSo/FRd6rA/SrnOwJN0HJwTCTTPZv45DctazxMMtrC9X4bRt/aoTQb+TXecme
5tXzDLXL4IZYFCV4xVHPg8IVbva2PKM/rFjUNRhzSjSSrOedG8kAy3ori1MZAyEeMtrIkfHsOy1s
5zGpaRtJMnb1I+c/xno35xwv78xyP3AvXaSVjO7pUgXyu83caC814yIiOdg06lUFYJzVyPDBWIXM
s3ays3+CVaAGNSLObu4YUPx/x8nHDtWERtd8Z+4AEr6rguIavobcDAPX2DtFBqZSCkvy+RkoPgCj
7RG0NipqZ7vZIizM5KFDD+/ad/CaaOq4fsryBr3ILrgFgNhxJhEOCwHQ2YyTjkSzE9mTzNdRMCDy
WyfWG0+ko0uI0hRw47AFl311AJNxhoJ66S2xphDfvaYHsAuSt2kQgdOvTfWXOMnsDXCHL7YKP3G2
tUzObmw1EViTbQrMd3AKgDE69xlfBKo+py7DaInXEr8LmNAfwkgDvzwlXWUKnk+XZXcsMvQH8pgV
gQOFrxSzx7tQ5DH0MgeLBnHF4rjfORtGXOxNPXGnzQkNx6rAUG1OcBZe7AEm6E47mdmYNjY0nLVk
PIVSvnUS/2R4PY2f89LfZY0CShksga6BNH8QVps/RIaDPRk2OjoYr8+zvDN17Fg9JsB/BotZcbWd
5UCDM6e4TDyVWuT95ZT2YxB3zWvJLbkOQ1GdfDcGCAgY0dZovgaYA4pS6Q9YVe5kmuMU7cYUOBHh
2lSmoLe/q/C19XrZo4CZMFtmZm+9plmwBM2s/8IEEPcGP/mWK7GbAyCVlRlwB9Ww40aOJujUPLqK
HeLqBB7a6IHV/BuJQfXwsVPS8/6x7Yadie/oBcBp+h29Fej9EGWgiyXZZV/covyDpyg7B+Demfh8
NVv8p8ABG84Cte5MjL8zzy/JkMj8T6uF3ZaUBprYhokKGHB6plU56blAZfEhjJi7LEqPvxQA/FuG
fXK5I9ms7R3NRcFt+9/s3kXplceofN/Fm+xSr18AKKq9i3tn+oZgfWOvw97P90OS5a9+b0/yztIv
cj/MjHOXj+VCg5K+Jt45gc1rks9ODY51X99OkjogQSX5R5PY1mRfdbxVwFD6InaEeAA5wWqwCoCl
2Xr0HJcJCEzwlt2SjCw0XV9llhc+kwhdURzwGOAmIQff18NNEfeetmYjsgIMCYXpaIpyDiq/QMdY
mhuCXQEfaQ1vn0CiwzaMpDs+WLhdxhpSc6BNYDuC8qJhqoZUJ0FDH7uOG20dFZeh9JH7m4ezL8GA
zcM5MhlbCkJs1s4T0bzvfKXs6mXrJdqePP5tgPqDR/vjT9nY6Cor+0dQTMgXkYCcUqgXN77SllFa
6d9F79vLrvSr+7yJUSnMY7BxKtsg5h/aJnFR33toWL6xBaa4ayyKPOTP4Op2QW/R+weHOfUZAE7p
Gn+R9nNWtn8NRhH8MoYEXZmh/wOVP+YCaJ7ZM95a7sa2XP9ge+3FCRDj3efKrP5S69pfOiryAr/z
fvgyMhfMYsFT/5qijm3TMQA6taENygv0l+/CygN5WJ94q9H3ok84PB2QCHW076zLD3qTMUAqYPmN
r3D3lxvr31y/q774LBmXHYCcHlswzG9AFTugTxkh29Hj70OWeTkswH07hWwNAyFDhATJmfuLjeZN
SNCpArPm+pTSL9yddP4zGBp/7vthSdjVNCokzsZU/cZ1NOtK6ObRW78M0B0T5LWKaaCmyd75/Fyq
U7euF9aL755r9V1EA9SNkGbUPFNpbsz4uVZHc/1F88bHDIX9jEbCZYxN+bEVTrPmPniyR8NaRaoU
o5NltAT4Wfzw3y3GuMiP0llfsu+dt84rO9jFAhRuTIxPVBhaghBu4cbMv287D90ajZWtSFGp/1vA
C34Ny9rY/KOnl4F1LKyHbCpGTTO2tF0eTZ66DMFOi+3LwQqDHM0wjWpuwaVAxcYpdAE4eRVZhVPd
O6aZz3Kug9opbIz4FJm5h7RKZQGMA38+GqJN6HZIWvojkbb2ubVKw1Z7KozeRtF4gRPnxzB11oUe
gkVF3Y1mh7sod29kSVq550zEQENWx3OUiBIZFyteDNZyTjeRgoZzmsqpO7Fqh/rWbo5Sdo22q1CP
4GDBHyxdZqJx1hXecgx8c8zRDaeB5KAtfLGYdSTUgCR3vFjp9fDLSJEZrp3wkwjyfIs9gcALWOVP
brId75MjaZRM5nNuZDaZEivonMMOrgpU6Y+Kdp1h6Puffm61m6lshOo7qCBkrg8BUiX2ulEMhmL0
5PnrVLUF7T+sNSGjqsqCNfitL1UnDtjpUj/MT+Cn343VwI52hKY5u+w6oFNBFloM53aUZUprZxpS
YkA4mcotQQaoPe94kydQh//K1dGCamFZwkZKF0jTOe/PMve66WJfh66XgviLofNRKWe50RWgebDf
aCf/oruNJMEqTP5DD8DUxfspfmtp/kaVSmj49OM3VOH0oqnlTmbC++SNzplqo8cIdGy+z5P7AJBn
Z9PVnSWVWzex3HC871//5OmmIlnWZh/fm6PVnFGgfPHsfbHRZKldPPl4aoLEXM4l7LkB6oYyHTRg
fP3uxCCZgRXTlorVSYE9boDisAhsoJSQrEzrMqayejL851hzcwL5/jE+xSsMNmyyuGmXGc4kNuAX
ESB/7/DfEWSXCym00hTLWYbKVCR/kj7bzIpCywYH/6BvhBQrUgFTIIq9j08Kim+qiTtDQ6IzVoY0
bqVtrVF65QNQOLVK1IuOxrHPDFZu6FYPuXmsbJANorLQWpGMLmYKrKvJppYoX7xRZX3kLEYklnFS
cY05OfXcRBKZAdTbQf/P8FKERbgcURG+Ggdktscy/Vn4yKnTKC0stsyjttvR0MkLf8OGNlzTcACV
4jHywNVGw7Z3xYPuAUycAqkLiHUWrJTuE4nAQvoTMBPJTezKMbtdnBowVbEHX9zGbhp0fE2x63SK
nQBloFmquG6lOU/kqp4ZtKwuEubyRwdUgDdQwYQafAMg3LXMWoZo0wPHdgOQYbKfbvGpO5J582GQ
2fM2nHIi994/jmVX3FMp2dBnqE3TcVhnALOVasPASNNs8ZEFuaAqNpsVV9uUysxmO3KbhFcb5PJR
ijbbUCwypICZl5z0AEV6JCJlYrqXeacyNhJmeX6KrQBkH7zfSVUCiBQYAEV1u7spGqxs8a3RguJE
NYOhskhSr1vQkC5XCwI/nmO8tQDBiJhiSF1cYhjUmHz1J4fIWJoeWGwptQv4e7xsh3xcUua3jhzs
y3uXVyfuDqpVI46SlR9iRUi5XzK6SSHzfgQEn+N6S6t3LXGXxvIQ5m21l0PnooKUu6c2RUcl8Ptz
QIA4oBUOoqFPnq+G3FfVbWSZdQoaStnkwhNIqDiNfmLf2sTjD7JzyrsE4KU0ogvR1ep17y2DIXDx
YQ+oUhAkNnYOEANFZjsbz3Y3vk5zuhQUgL4Rfbq8Ng56FDkPgNFGmkkt5jw72IAm0/0S+mCEBBaF
cQBqn/Og+QCvIYsoDLedoTtfZArSR92vxNbx2KmzCrTmtO5wdvMBDH/qtAFfCOJriSwCta2OODtY
COHqzygcBhmf75o7u7LEk504HRq20Nla19pSkwCKF11yiWa4rD3logvXvQ3YaBWN2mVjwGQsmrjR
nxsJTuA4Hk18VyXlFI1MUoG+bE16KNj//WwMnMZr1uTJaiywG6IlMPrSsnNSYI9Bi2AaFoCrWtAy
eB4Cyx8rdGVM2n/r+9FEs2+pJpqH7+b9o68wTHfpxSDC9psG0ODCr9Ayg9xqry50Bx5ilOIpLd6O
2Na8VZCJdtWS8ezGsZGbfOfIZEKKOTJpk+hkGg0g3FWdy7yMu1n0pXOZzFQMU7lsC8rR+49tJvN3
4eLfPvMM3QB0krxosYqWaLuamj6LQivPURkdpiomGhZufKCvf7p06SjJYhpR1zMXk2heKQglCl1t
Py863saK5dDfj6G/CruqXBaurqP1/+93kduVy9GIjA+15AF4c+NTouxuogSpvo680troYFm987Vs
Z9RJe9SyGOfx6kJyV+vqjWdFAH2pXAVdoTSm8gDG3C5LeyzdZavALpTCvloXqXDYyokCdhglDpEi
ELtX6CNYmsAuPGoqTUSXRqWGPpLVoJpDkbXyy7BXAk+2SiqRT8R+e89xZpmMvMtU2GsBW5jV6SI2
3JUFXO9nQ11ib/QWXdj0+8COO/DA1MPBBlL9grR0scZu31mgMKYR8Oi0teV0xZqGCkb3AfSs4HJG
NEAVXEImwuz3NA2FZMMA6glUeeNINmtvwvEA505eUBZrmp/CMcOZwhVA/tg7LCxWNYpPFRqak1Sv
ugtOC01n6UrrNO8+aRy5K8u634sWgI8c68qVtLX488jcGB3t1vjrtze3UY139cY5mz95syjr96Hb
Xrxte4g/o9EwXoAHZfgV1CdCYmO/5y51M111V2+aO1dzW+DiXaV2hST1rTch0CnvHMfUX95509zk
TU9eqycn71YU4682nefmdYKE67jG4VVzMqLsfmpBpCG2CveSOhKToMCxpeHvCPhJuqCfd4CoTMhQ
mtnyc4T6gQk2KkUzzyqpgI4+jZ3uOddanAErFCnTR0s7CHfQ0kCYUyqSpyJR3GIElJFnh5PthDGV
iEu01NUAK2XYT0zjwyMpKVpjjvjfJcwpFQ39KPUxC7/r6Ev5hFQzePQ68DGPomtfbatY4DBH/1RZ
afqQD8UX1/Tb1xJkuXsnb1H7qKxkCTg+qfk26NYxdDjqv2uRPtae1r6YyCyRExvAkWg7sb8gKxQQ
lxs5OoDsVyHl24kZEH1tPdQ/SWSeH1hVf5lCNyzcDzrOUcmpAEzrzcRd4QNPGlD7djW2OPprpsd7
N7FfgaRKqIkppOvIYSF0cAV3YW8dJ/YB1CM0Cy8CH2TZtMYmKXXUM6ihUw8puNLL+BUICeLgx1H0
QHaRb4PYTzMfAxxvwiKyoodElKhaDepsw8iNDFm4ynmi35MrXWiK3AG2uBXqZb72R/9zmBjiMHlp
WJ5QZDKeZJYcB7SI59mGnoo00/PdRp8kZoFjIxW9GgO2TYOU78w4sR/Cugw2wrPLZcts4Ie3JrMV
FsihRwf0wyRzOzAP5UaJPDJkdEFiH7vhrJBAJYvhhiLlYOPkeJFTVLJJUcVyysr0MEUhWeIa6JOQ
5TkAAgyKkofwEoa05NuAxm/VG7pEXb7zZQAdwQZwmAXaZHBBDy4Ayz4c83AsjqAWvlg2YNZFV/p1
TD4qImCsgeRBcSabMkQ38xSTzCfprcXNrNcIFC/BPye4eqtwDawG1CvykR+wzitxlAHSVlQDAlcP
IqPm5XlQo7ciGpFcWTWyA1UlMs7rxM7CVWb7OO0a8uhMdyIy0dvfONZmlpHinR3OiVOghIf2hhSJ
ikJ3bd8UmyxH7ZwEIWdtA0F6oe5SnF/HwHFysVFRMnU3yWatnfyWzXZpy26i+Awg83lAdB09c4x9
F4FSLSyGbzHQLfFlF4UHOwC5upInIHv9xoBxvnbK8kY+25Pc98voswWSOaK3n+MwJVdxYhOAPhbl
qgJwm4pK+J9Y3k/z1l2Q4Yy1iQ9lafqfHMgpTmHZ2Tr0TSyMfttzomB4a486r+k5Z3tH6uzRQco7
BrLa1hoLwADXDpClor68jKWoTBfo+DvOcOSAQ678Ee17PnY9NOwL96in3XEagjQB33lloK38wmtW
gxp+6BcWGtaXdg9yiDznaxQ7hmtymeJ0YQSCABfnsO2htlDO7Ywcbz5gYgB1vzOO/oA3cOAGyRp9
CcaGtA1z230FKP4laYENU9/bZnEuE7w0ycIWoD7oRf5EojkaKUEWkk7RSAuQw1Z94xdLwNO0L2+j
kYWK1qHRZ4rWyWQPVvRti+Lil6oCCpVhR+kB0KHdPQtdCxPn9ne9M5GsQcFpb8RoE9Hc/KW82pqJ
3U62FRg/v9emseyGmv3kupYuxiovXmSLOheKK1XcoDSsJdl+EHe2jY36YvuPz8CbEEiZjoYDGQ7i
gD8RGLyjFiA0OEVxoCvygRZbr83/ZqEIDETnfRzD4N7e6jP3sZdDtsudpgOLLBDaaIgsRgcWAwzH
q5ZQb+LAyXZ6K7oVga5xB/w0f/SdjefIs28hwZRQlC4QfZGIL1De/ICvQrlOCpCpzHcAOJIAeILs
j3bkS9r/Ygdcqa1sah/4k1biD3f0Vo1ixpcuGK639Kall7LRJvkkm9/RqDbjS4Al9Vsz4eiLmf2m
sav0YtbTmOJSDG8U/SYz0RzNI/PoF6H2y8izA3oHxbfOiC2kiGT5IGv8zapaZ7uii8KHjBtsKXEc
oNJJR+qgU06ddMS3VILajcexfGhGe7xxiuuOLfVIZ197OGVRJ45DyN1qY3fovEzs5oc/Y1NE4GuI
4sY+p6lZBCDSQ5I9EmmymWxMVuPVG1c/CNxCs4FwMWFdvHVrKtfFISu40SdkDHKLMBMZl265slPW
PAFDAZtxHrVHyv1mfX0ZUqIYdQm3w1lLxv/s6/veqgOpaRIEwbaV+UsTx8aprm391FvSOM1DuquU
9q2tW8WouJ7tNNPAmLfWFM8zyi/JxEinpy5bCbDZnOT1gt1wehoyIC2+kzmNCWarAl/2V9t/4Upe
oGQ8zyFzYNlxJCqnOqAgYl9QZj88ga2zO1m+bS+p2ifr/C9aMg5PFW+7U5zrN3KyF8reudqrOLM9
yYFxmz2UHkoDVSbN8IJ6EWZWuqFadvDjoJtrLmunu1HZtIOfAgwVRe9GUhTVijTBGKovHRclXtza
6hq7C8Ok99BqggNcWx0F0x1d/MBKtCXnDQwLNH4R/RxpwqAEPMXlVpHS3dxS4CR170gGkq2HinV2
ejZZZJ08yfaxD+7TZoiiFwEWu5WoS3NbqaHreckh8YHBNOZG+FJUkj+bBQDAi7RaOkZeAseTl0dS
AtUeJOZIcK1oqDF0VKKM5VH6dfRCordT5Woq3erN7eT+wVSyP5COHs31y3KRap440qM5jY+DjX+a
rgdNfRSX5n0d9/K+47W4EyhEOgNVTC6aoEQt0Ri7wJCNBwCQ2NbrmFXtovWb8Wz6mf1afRqY3b5y
nmlnxxkk2lZhpNnM+dCHtMDqUj6gkwZuYQzo6hRVTyvPibXPchy/Nop4LgEFA9ea6ger0BySp5n9
hFQEmNpsVAlVtmNjmWkFK6s3gtkpglPkA4COnMwIZbnvnGI1U18j3cijKN3FALRfNsxK9zXTiucw
0MJTJ9KfThClAjsC/Ucg7fhEyrwHfWLgyAi1xLClC0jJdsBnbe+bQIrnUPggXuXYUJDSMPLieUea
KYDJxxVybPqGZJ3O63vU0exI2dhj8Wzp1u3jWKWIToBQ/TlZqCnePlKHNri9YecR4L6gJLO3jxSr
R8J/hv63R6IJ8+sjkW9W9TePRCJ6pMxp0/30I6rfkHokLT8ltVznQMjsdfM8n1fOh5vQ4d/bOtMx
5nzwSQekKVBksPPags/tMYpKd1FaYADW4jh6yARICGjt/JGCFu2kGFXFbAAktfces6IE5+GCltvk
0aK5bm+L3MRBZpyVA0AisP0FUVSGVenSDVz3HCQoMkbHjFixcrT+Ql7vncEY2vk573DeAXxH+38x
QMlLDiyxmwiGEeQ7bnb2kniIQRCHdXPsgP+xNI8TazEphJVKvnLaSTExF3eK/+1bFrb6hus4JNKB
1zFVi0S9BASQlz3pZajvyQLVaelrC7yOf2kR2bVcoDyRTzG4BQiQMhQ3MWYLP7QBDaIgQFiaoIcx
JnZhrOijPROowErAgPvCpKfd4d1+n9lNUC9FWy3KujOeBgaoL9st+MLVzfCUSKd9wWbHWw0GDgzI
NQSMO97BEpGUtnB67a4MuntSTqK4vonmWNnH0WgukRSXaEGfg3ZKfWWXCmENgAv8B6h69mgTCF5N
AUg1e+DpoWpZ8zgy1Dl9YCFxAHQwAt4+UowmrdIF1oDNORnA5dkZXXQAc6v+xDgohpkM278CvfrL
5bX+bDZA0wSASb/JbbDU6bGzJoO6BShSi2KSOyAODucgjrwlKcYcx9eBZn4tPPvPsbMw0p9zXX4Y
u8JuE7glxb+JjeqSTxFI1+f1A61QaBHSJKWJvk8RLmlol/VQLeblybulDA3Jxc+yEC9XrHHCri5S
MAL+Xu6AWoktkWlOVzGr2TkwdRRjc7kfgJA/rizNYme8hvm2zWu+oGHUtk69VYZaEZR7kpFvVzrg
XEU75MWahE0ae2e6mw2VLxr6dyLPghegUPxkGpbUDftSeJn46enFuCjxUnvuJf63XavIjqDjzM5G
M4q1xGfjs/LhqmcQPlhni58yzsZFqxvtsx0nQCcxzfTIs5yfw7G++HT9+JMb50iOE0MszonZOVbM
sXRHrLFl5H4O+3HckRw77frCIYvNCdJ6Qvs5294wzCo3VqKVmEhjJzeKR25u7/2kkUgBnDJ4TrOP
KhxEMsP6Jq06f7F8nb8I0KMnsdc90Qi4B8aiFX1/oKGmBeamzjJt1ZQRFsjA/TvHufutUyOyKHCE
+87d68FzObt7TqmtyMHX9fSsda8lgHQfE8O1zkDDB71Hlxtfpa7Hy05n1Rm4y+UzTr4eUEuuf83N
Ul/XTu7vYmXmPzWg3/5q2AXfA8yoXpNzaRRPdqN5T//voDRHiqaNvwf1B/4E/FXvqbRTLEEM8CjL
47TjkSCC2lsWwHZorzJvcXTTWxrgP7ibdkID/qZLDxBkG7KjC2PReOM77X2G3360ZSK72fcSa3CG
PaACAD6nYAXngMrXa7G4pMegALMvmZFiuPrHwxBXa3RJTY96Y3J93Pkx6HFp2nAA8oHQ62gT+o1x
7AC1u0LnLqhfBDOx8E1t4zjdkp4ulhJ2QNEpFzfjq+ekIaPZ5ybGzS3pYyDXLh3PqDdANslfxhrH
U7EPVPQUyf8XO0G1YxWnC9NrAOMDnpfvtlvG2KVCmahqGKbjg0BDckXeH8XVpC384akekZ+2Gv5C
FspdGPrFHVn3i7vuWNZT4j7OMElU+gaq9Xity8aYoJYaYwTqEhXNTdhJZFSRlG57J7/Yz6VxpKDL
RzIk1+1t6rtqx5zkyEyYrWt+GnrA/g5N6h5pCLCtAe34zJmGLEEnFGmdsTY/kZaGdpACFKgowh1h
GRRtbOxcU36dcA8IAoHAEEgBMo2v74BiSOmIEl30UNJodnobkuSzu+Y77alnQQ5YX16bztnsDfse
Rw39phNRvqQhXcYaKCKWr/mLAN3GW2aU9n2ZtAkDAIy26etSP83GTpWEJ5S87mcR3f2LwGRH0WnG
/0fwrBuHNZD4AtNia6q6T7WgfGq8qSqfCu9bEWVrK/AvBoldSrympqL8qXY/znFsbCECFe+Twe8I
s8Ec4fcUwDABHs678GIMNlwCuSA39FUlwY23TCsOtgI9QxZOdf9Wjui2FgB9pz5jnmjBgzJOlJIs
tBww/OjWq4+eajauw/5vDiaaEQCAKhaNkYT3Yag351ArvsSlxV9Cdcl7VE8FdfpEo6wqnAU+TMWB
hqUGRi8pGmfl4Nz5ZQzL5iwq+aX2y4t7mnvv3W18d03uIxv9jemMzooccsNwd13ansoRnRlmCAw8
NLWU67zPUb4i/P6L7qOYBXw0LyCkNO5A914uSN4FgO3mJuiqrmapMuuvZqnG0s2YMnkw/eAhTLAE
wG8H5HsWEoXG4IfPZpWmiyRMsJKEhYwB2JcWoOzLrfHWwlR7D+FZ27HF0bNWd49tH4jnVAO/vYyB
7B2H/cF2GndJw6F1hpXosgIAu9A6zHv4k5OBLdVSsNZ6TYgeHAB8e6mGoYcjUTWT9LA1wgEFW04I
hrVzEiitfJhQB03rVLRmP49mXQxL0pFfkrJ3lqRTOCr7aMQ5F+DWHGeDZa22D7WwXtILSYzg3utl
Vi+nN5DS0pC0YVrcDv/oC3xO8MqrUDgf5jhbcjY+sz7rNl7vgWqxHtK43WJDhCZcNZR8zJ4DgTxp
0z6DQBeN5baB6p7ed7eTge4OJ5ON31Ld9QX6OYwpGFdN6DJAIZ6lD6hyVv4UzOKL36Y4tswz8zaQ
VZnfKCzZX5+MtcK4Z62x5/UAdKuwwNo6AUA5aB0eYyuXj+aI2QwZ7ghWyjU644AveHX8BtCpf+dU
e7lxCLFmXlJoy7UuM0XgWtGbJjk2AGx8FKgontC6hej50vJb+0wKs/YuiiCu+ZI3QKOOWGNpHG2R
jb0skw7w3WYCtgsARWmFZj9nbf9SlZF+thSqVCVRJhT0ollPFmaGnirYF8qeRFd78gaW8609Cirk
Ka50NLY2jrmhqv5yyEz0ug3mhloAmtIxboay0W6HpP0XvqN+F4RDt8r7zD8liVedOsy9bq2se3Wz
7pG6eHRX3oHDgH+JjSrCGwSmXT+8N7VV96Uyzez0YmqZebQzy+SzAwC/ozC1fFOg1eWl4Va1QN96
9qvy1nTaxZEzWoB9vv5kNr6+HpN2PDlBYADxsyo2I+/4S8tGoHzEkl+dUuVUXp2KNhtPNi/MY2+B
6rwX3Nih/sMGcl4e9WfQrPNFxWwfWVkLPXrqQoq8C7DvBSUiX0Ra729IyIz4OQ1se+PX2IcSfLYp
PWyMXfZY6ENyJjmacoZvTqT90PrmVv6BPaBFUcCtIGdUnNme5Ff71sm8R+kUl/hX+WxP83pjZ53d
KHXRFi8kDx7DIHxGLUnxA/ns6UZJfNMvflxV1xtlE/au86T1HRobgxrVLMDUoK9VtwIvTm7aOZBt
0VZHX75u25/RsARKJ9Vkp40O6AyvFiRTMTQvG5aX7s3WGWMgMoHKx0/99KnvT1O9LFpZ4nXlSm1S
sotyAkM1YzBZ61wL1q0jC6zecRY+EleK4k4RoJICIZRjOrsYhXdWN+hIE0BhF61XYAuNWxJeTSYF
j+v41Fj/0ZBm2/hAZXs1WutE301YL+J0R7Dsyautcf8nCyySby28jv+y6wB8b73tL1Iwcv7VJM2S
ms6YW6IwJ5WvPfjEVm5ZxnfOoMlD3QPmARVA9dPs1HrvnUJfFX/9H2df1t02rnT7i7gW5+GVmi1Z
8hDH6bxwOekcziDBmfz1d6OoCLJa6XPP98JF1AQmtkkAVbV3EsZHHbykD40+FRsgvDQvrHM9fwjr
/7h2r6ySxBE9tKijBk9V9EgXl1XRY4jT03lIsjoE7wzZ2cxErkEaSj9UxbClQKA6Epw8/b5pOVBr
EvyqAnRqco4A7jZ9LtCPCHueUOhzobjxIAUB1ROcPIUaBVo9hQIh0dmjASTOzznR50YNaDTMOFhd
jU0gXpzrO0ifVF2wYgz4atg0/ra3wKn25OYr5mHrnuUgXQNbefyDqSXWi2UNeKNAWTtRhLMD9H6/
BcpwIgPPacDrhkPTE3m2wARdhC1QdJFyW/WRW/3Rc3SB506ejuqe50x48mWywbeDwouHoWqdHd0V
SDPOd9MdmbS7p5W+xa/IA+iengP9A0Qf/tib1QGIv5m7A/busHT5mC/SvipBFynOQM2kBv6YVJG9
/uqBHGmnZuET7Tiu8CnbtDN2RhI/0S6EEeYbbVmUDmQMQnFvA6OY+ay82cDQkEKKudo6c9fn91OO
c+6dVdVH1MBUO/napTvU2wzzW5gP/IiKmLMFKSM0+s/vaRoaUw3M7dJ50OzJPGZOYMyXUQdXEK8j
1zf0CaWppCGbpOm3dtnW+9bAgSHA5OBH1lXvOb4zopl/SdYXw6nQjXWY8lrgEJd9vaw5wNc4U0DM
49lsSUxnxGdGCsNJlWVka2yJ3XtzKqgXi4TSmgzJhcJk+BWZo8owUuERUqCMLa1JRpcqsTUwhQEJ
wuYb+jMLlq3jtt+HoMYKTUjpzzVaG2Pbfp+E9NqWpVV3JaVv2Nm2T9XPthT3H1KKS1K3nvima4D5
r6iLUluFU24/ydpmK1pHYB3+LEmERHZAtUADuy+hOLOhM0fW3RplX4hK80x2ay5HztDbqbftnnCe
6aNDANBOBAQGQUl1Rt6+mEhU6d4D8K1tjc6DKb5VN1EoVIG1390o8wdNRiBrdQDDJj3HWMSHMizq
vZmVaNISl4qDcl1PG75IvOksi8Rd7I3XCpKRBymwduILGkoFhTJFKCmTc0gP6XYvFNJ+DyA9EW/3
37i29Cfv9gCEtoCZS28G+sueXw+eOKVox3BBMrKVrmmF1s6L8uqlQl49vOaXjwcaet9yWw76ZABA
R8zzjknVFl+L6jut+LvW0Q5GhKwnDa3UClZN7rQbWsv/352KjiHnj3raFTXJUX+cxg3voMTakkRz
exwHyt+hBbz63OsGpLzgoGTTctaSIcmECY0iHb1z1EV3cZUz0N1FTpOSiC6X2PfkIj6FnvoeLZ5d
AgYMM1vnKE3cDfrwCs6b1N24CjhMHVbgQJy3KKe4qHVB8jnLrBiIOqBVdzZEPjnzVXaBqe20UH9V
Wg9cH13Ov3i8WxS96bwbnutsuVnE69A0xu/ADlsMCnfedSd1r+TCvhNyss9RfLMuBaeCA/mNvRfl
03dzaBeFmq+01mvmk/XCWRZ9or/SSTgOL7gf2ThioaFgXV8rfT2saNg1ETtUbhH7NKSjdKCHRKWh
vdLBfV7hCEO6o3Egxonob/c6MPIrd3Osp7VROdmqTnQUgiM3R3kxNepQGZopJ8qoAbUJq46x8Hak
7CKbr1PDaFY0BC1NtlcDrfNnbd9NzyIajSikMvYPrLGDq2j44J2j1f3E14Y5NHj/IaFH0VhjXUfT
Um2OBmzIEUSCyY9mSLv94Ojdnu7kMErBWFuPNV+2enPWSrv/SVaLABRvMAa+pDkoAClkqH+XVZ57
dIbK2USil7oLDXQOjaJzJ6EmnczukhUKnLHzIvDaKyu6vTV1S2dEDThC0QX7a7RpW66LbEkcbe3A
QrpYXJoisfdZlTabMixf1S6GGcmATvj7dpZKc7q7+NAoH2t7f9duFsa5cUiLblw4eq1uWMbNb4aL
7mGUQn6oYGFZpSwGBQnXmi8eUvwWIOA/wBKNbj9AYT0qoTY86SI5T4q8QylOmoJ8vozt+NH0cBwG
PiX2kbXKCe0m+hcsOeMHzalxniBmAE4jqLDs6C89zbvN50cohIH+h0eo0m7CehJs2qlb/ssjTKOq
L2iqO49Aj9Y1/d1HyEHekBddhf/69A3FYeraALvVBtj047egrV55blvPmlcET+lofSOxtPLMdPrW
8fKeVVS1SK0nebYB8Mv4LcQUMhYL3W8kplhFoqSz1TQ1r2CZt55zps4z3lj1TmmtUcFZrGvb1fHz
m/o91WeaLDV8wLT1e6rPJK3V8H5m31V6LDTl8J7vjVYOyVdO9O++ZEyPQZWfN740dMRTUYlpNHx6
Kuk7tolz1IIaFG1VAEC8Bsmie9/wPgZnIGnlp1/uAlDSd9Ze7RZoASCjzhq5KiCNG7rNekaVlrMC
uOAcTc4glxS3EeXzSM1tWoaej+aiOHagoIrF1o2FlSlTvKQcEiWfEsD8bZIofrpKSDmeA4RCspml
YAmYjUjGO52f1U4PxkUzjfJtpRfmU8uBoTHEmrlT2Gg8xZ1nPAWsV5YWkqNLks0KJwt2YTn8kiK6
MzYGi9FHJvxI0GTg0hr12txRLJJprqYsxyR0l1IWi4AAbpsDSrmxQRYN5QCXp6EndEfju5fZHwx/
XnOCVqY4vSb0s8jJTlcZTpQJ4TSnCzcypxrzzgWaSVP6c36WNDHyveRLIwrgCF+mIjslc8AO8CC2
NDeZeH3/UOimt7sBFHEjwF8Ejn0lzy7w+GMMMAdfa51bkxkZX+KQXExmDwlBImezMZEmJpLhpTLI
hmFRth5e8IkPdikDbLsmQHrV0lsB3YIvCR3wngyr6erZ/GxHsqxOzr6ETU8B/j2eQy0uMhaFIb97
MrXIEz/g019aGyw0LwQuT5hEr2KkC7AoGhVcWeiRqr95QMB6FaPPljQi3ecoF78+cuaY9/zQRKNg
00AbapeX5lGLSrbsC1ddzlvtOlU5aDLPI7Kr0xbnT9IEa15+bJulmaCCcjl2ODPlsROuZW85SmfW
+CSWj1ct6KHTrROvaRaN6GiXis+21LjuqVEvDtAbwJAzBiTtiK25G1cLAmkz7Wl4pDuOOmDNBDzm
DN5ml8OjMwxWv7QbexFOdr9vtQ4wJ7lqBujQbFJ0p+Y1QO5AVZ6EmrLl1JGIX6TOr8NG2bqCRtFS
u+p5VMA6TjIvCrCdpTEXNoGw6ScApZ+hgRN3yFEXhaMNnI2O3xpr6JYqsLRQB+aN3wamgGXQzr/a
JgB3O2AW+kPWj99A/Ho2o+Fns8LF0QfJr6KJ4Gmg+F7J2Fc76kFKcZm0v0TrRPAJk5IZA47xIxfR
1MirvgAQC7g97/yCUt1HRfY8vEmIahLY7xLvGlyL2fNZQGYkGN4mnGzthhk7Mc0T3e9BblM5TfOu
GQqOPhNWHeygDw5O0gBpkEfFt3pIjuiptAHTY901za3xbDoYkTRVkr7YWDg1WrZt6R2arpt8RZC4
8TgrN0DtclfEsTZpBXi3pz4AHBkY2BSjeIwSLGTGeuBfLF6hIRlOFEN3q8knq+JzDO0Sg4xTtJ8p
MWIYQTrHIKdIV9wDxbATZdWOzTIUdE0AcwCC94hC3ciKErDBApeDFHRxwuRjcCtlJ+XYjac710gT
n1ylQti6lXq2LVDwYjYemACM6ckZse8XJRFKU88jTXSuYPkxjyg7eRnZjp2o/pRZFkDNvOqZutwn
1DcyZL4Pn0WlEMkzHzMMjjeiJHOPoK1uD4AI6dc13hXLNrONNQOjyYomtqf6ejjUk7FGITTQtsUj
07AUxjS88SVtMQIvnELd+JIxaSmlOonIcl7pS/8b9Bg0bxQHmW9NEdri/d7oLWSY7RAJFQPEB1iI
8VYtjrmjsOOVXA1Q8w8RXTj4/RSlW8gf5PzTBBEWDrCP9IMjSZA13WoYHZQnXH7wpPWin0yYyggV
MCpn01DN9B32uRxZy3NepsirLXZbzocSg85+MkLw6zLAvFZaqD02WPjtAPI4bL2GpafWToxlYCbe
m9dFhV8BseYnXlKLgXjNjb7AWvIPkQAiq+3UWunnSFlZgqLS0d27keyY7dBE6X70lWb4SVXseYTT
PBzr9Y8jYU/1nrl0p4jNsiuFJcCr2n9qyYQLeCq6a8CQKf0HgqeaTcQcmmsth9HMsc5HtHlGsB0t
9AL4N7VhxIfQiBe1NzqPDsABQNAjShVpDCbfCqQZdb6ioVRwYU2+rE0WJI9EbaO0oLssNs7+Nwoy
roK03afxlz4ofE8wwSGXiRQY3RrdiKSXlmV8f1EHglEuEIxytyZGjyWfUNgRqoz1Mj9Q0tnM3Dfg
y7aPlJBWFR6vdTvgK1LGOnq7Oj08Uj77T/ZJYPI5xX2xJ1MFBWSLpgC7YWiDg9JirHocv0Rahk8m
SWa2SSy0qsfmpbNb/KiIf5KUTM2qtR26tQ82Z1SfAvjvGcyx7KExI8BZNVXyTQ3jHSXx/ruFGdaT
37Z9+huPV+kKCz+2AUxg7bDvzQ49pWKIgqVhT0fsqt4DJ+uOyY1H4cXBdjSNcyOblbumb3Cz2maU
rxoVBd2rWl9tZfMb2aBoq9rKJjmSkZ2SdPUzGUtf6q27kdEwa+pqcf5OYsWvrrQhqNaN0VcHQHwJ
orN22GggxXuqgybCSbkxvTuW90N1FOUXD06RUYAl186qJyfOlL+MiBeLkWf9yx/jVKA3WzK3nONM
Uxf+RwdkFFi37sZxFaNa93UJNrIsAHDn4L24AGwiEtN0RHVeqDTRgj57QYs1XBbiuIA+jran4TAl
G8MDaT2mbQaQVb1mRea9AFBj5lLtAO8+xyDW1LBDjLTEMQE5UQzPLMIDaXUw6rUg8H4FIolLMaY+
5ahgTvmSYLPkBQAP+grVB+iCFe1VEXVNnW9F1xTdoqc/Kddkarlj5l+hat136Los3bSg4AMtdKK/
KAAMWeh4rf019t5bEZvWf8J6pwwNilnRhfHIgyb+AKuLBWaYECyxWKmuQoX3RztGbVbGM3OH430g
KKA4Zq3hFPReRKbuisqz54hT7cYftgF8JYrIOLuO2AauseuiCZXdvQZU3MszMtMR1RQOwN0inNXb
U/uVlv80ssr6K20waORCRxsMORKbj4vl/9UPuIfL84e2QOE1Gq+HUUlf4kFNly2zh42lNNarwbVq
H7cO8x0xJNlgNct+jOJnEoXCAfQr4+xQsxrFy8JhiFBlvxDGgIeKnsmV8+470g6gN/QBtW59cQe0
ifIRbaJ2gDZRS8cZuREZOCpu0Fua6mgTHRN9T5XwTpk9FKFdfr9xck00pIKIM8TiDb2l5NTW1uzU
W8lDLpz6GguLicXW44yDBuyqxwlZcMJIm4k7hwQtJSYPurVEYuu6pnzkk4KvvSD8JF9dFw0jStqv
aTjk6d+oAxm3HCVSx9poy73SB2sagZCxONKdo+conFazch+bSKOLkZRbF6XwlErpTp4pPG/CZrVt
7VnibIgg0M3TfKGrOlA7RWFXCUoMj7nRG7PT4NSZ2QeJTadIAcWt1isaenVx61R7RfxWu5Z30vPk
g0LfOKUdtsQx8I/toJjRLe1ORcnPDFQZuE61R2HIFe4lYVTONqSVfmKJIKExCeOSLFxEvpHfi04O
ZDejan6OPstkmMuT0fOQ3Gp+2UD/WxIV9QRujGgC8fDYKuUOCRxjRRTYF/mAXpld4nn6qkvLZ1TI
VytV7ayVlqCUihDnwiwEwD/Kp62Viv7aWUgax61K67FpS2js7DXOwPUEVoJ5cW2P6osY0WIaG/RJ
jtrfOrKsgny2RB8I+pi4PRwr64iaauUDRW3DMnJqNJdiuXXEq8OYGZam9mTzNvhIlWhcAgXJOFig
ZZkNckMdPkITDZG9MX4BJ2577FW0PdniSLhkaQ6KsMTdNqMzfGPMXZOZ2hjNMQrBoGkKMz3kWBAD
9n42i1ugQgYVP/VlD8gZn4Ed4NS61rtVMtTnovEWPI64qPjYo9T/MjY9pV/h5MDyddKkAvqDKU5e
LxNwJ8wqad6IrOqVO9kEwp0c8Sk6z3NlSFPQY5CNGzJzHRn2ryjtciRocMF64XxHQ4cXqc90t191
6mgXPtC1z+o8wwpXDskvH4FAPNtcmV/dUkxeVeeYN5Ol0p0Mb6Yg2WxDtzQ504piCyCCCR2IeQLw
IqVWjUcvqoIRqJABitqMAQy1Tou/yIuMbJC/wzLK4N+AzgFjktElKLnx6CAtvEhCQI2QbLaJyVJG
FFPNMhmxRMQrmSdsSEsRUzaiCp3COIXTPla5X9aG8sDEhe7ytj3fqWqkMF+OWx6Gezm8cYnRLW3U
3bCTchnvxvU2MgUlm3suKEsOmH8TggwnFHLVmgGwMPH4f3y0m8hkTE+JTrT6obUPdNA6n7marvEM
ou1+S4ens0yeo87g0Y42m8yHsRI3eh6XQs0blBSKc155hkt2s4mYpB6zs8lNePLoAHvsm5H6vR90
B4e1jX2KbEBruiPLf9SF4ju1DnY84G8J2gDnFWyf2SbBl3+2DaribKugPljaJrHuvDpun20orofy
IQ7MhV0UeehjqYou2NtuFuzBk9zsKxVH5WawB3+qdVbOdmRy5YKicGlNQegCuvXfQbWwNh/OgINW
jWoIE8iKq7EH81RltcpX3XEGHyXuzoGGiu5tQN3nvICTK/kCMKGlHbnK12xAdjSIO3SBiiFyre52
aKJh1vZTnwAdXY23pMWu5RyShiJk2hv2i6Kn6ZcOXbc4DzyHLPMR1OziOTjOqrZ94vazNqn0c8gw
qDd20ZcPhG2KtCyK1MY+iHYqcIDo8/IPvFNBgKl1+mwyE2heGQqCTU8PovUYjL9wWJC8pfbQrQ0d
DLe6oRlHLUSGp4wb4zsvnZUlftxZ3t+aMgA1Hd2oPZtiQbyinzZgSH6FgifAsArlIRZkKF4WfZQ6
Cx8SQaNCF08r0105Zolo1j7LSMHV4DvZZp9tQeGZ+LOFcCgGtPpr3QjKwaOphb9oeRSmTb50TLVZ
3qyWaGVFWuuiJZk5FqAxJA0fOqxYL+szuQS7iUprNk2ZcDpVDWW0OIOzomZ27U5jMhdIU5EdczQc
cufgXV0ytUmW8TBiy06qthP9waSyhROjumlSZXRLKop3JZQVfrHap8tpEkCOovb6KjKN5ZxUgE1+
85Rz+fblkWREA3s0P9M9fhi8ZDFvdNRJB+pFZ/3IYwBGlWFsvqELYlxqlmMA3qG1NoAyNx/i0owO
eZ1YqHDB6QJrsRoHa/n0bsf1r2nkwd8yZOYZm1GERMFULfrozDdFL69DdkZjPjC3jQ5exs8hC61y
FjgjV98BY/AriOw5ZFew8i91qrJ94Kz1vM2PqahkNKl0seGFsaw4y5YkBB0JQDZJA2PzYjyLus/G
ljCWbnAoTQCJmGNZ+b1lJYVfKwnAsgDdEExFtK80sLcu6HbU9XDPNCXc0x3JSpfBhcZK3YKY6NZp
Nkgyz/ovMeUUcyA52/xYV3NI1eVZ1ThC5RgOMZdVNCogA8VlZO75jgEYaq1ak+PfKGiodDawkqsf
0v4mhtK3sa+65ri55y6D3wtAwRXrhwx5EwPHLzF+WxBcupc1ViiZYT4rZu072LqDtFEFlUt+HlGS
X4xSm7mvlNS/jKgsIaiwimXdXT8PMT0R87MfxRS6Ie5DHDirRvqoNZMFIN/U6E7YHAbPaA31ltYI
Tm0TSY5nujiiQbWwkYfuCvcsa71uyWOdA1sfZgXed6Di1Leh29vJgqOealvbzPBlkLJg3pIP6biS
QSgwujPMXYBcerK4BCU3CpqU2lY6UOBWBKZpyQy8ZdqiVqeTCsxb0AGHaboZUMn+WFe8eFT1HJW9
MdrOqy4csH+HjLTzRQvLlTIM0YKGQEZux4dqYoDasZK9NFbSBIU2NAaLWrGiqcjFsEJzCdIFY2Ez
FaXFIzIqmzZTxHI6NY+A2DSOCSuRBehc9bkqam9HsjD5rQV16tljtiM1ORfO+GzqqreLKEBu/nRx
nHoIsy70acOVggDr0StRJUAJCeQdh8cbLYBmQ5+SGbkwvtHe+JbhGCKPgSQKRZZD6ZvolrMwal4i
HZaAoxRooDvAlgZHvDX4Mk7q/psR1s+DYN7JlGhdASrjI+micoE6hubZMR1nkwWuuqvtMTiaHXCs
yCkO+XPcgHmnwCHW1Kj6h4MTO9SXJu0zzcS5+g7GgXRPjL1mujDLyXvMJgEbfSHyJbJfPV2wzvMe
SUyXZOb7LWafK9GnWGcrEUzNebbLtdE50mFJbifDQ1VkX+mIRULVWyioAE3WpG7l2YsROz3Zzp4i
S0N3ZFuy6myr9EinqZZ1QM/1nmq3jcKxllGnqw9lh9OPujVneW6iGURpITfTMn4T9tQ9RPK8UM72
igV6BdGcQXGk/HN8Kf9sL+f1ECfsle4RlQEDmha9MHhMUMf1aijh3LMIAI72ddSjeRRogEhnDUBS
VcXZAYoQFW+CPY+r3cYD5tPXO/IcIEZPaqOpiwkkRADOsIfFFRE70BLVA9Gr04VY3ONBK5eNpg0L
kt2SsbuUEQmFETaFme+4KLgWrBhzrS7yyfi140rlh/jxWICPBCWGFM51tVRiq9sACo9Dt8JyDcW8
FEMqKATJurQ64XMdv6Rdscvz0PxPkQTrwB7iH65WYnWHFuLXaECZKMCdo0PTe8PeSyIdBev28DIE
boy3pFt+1FO2a+PQku4aOr9m9yKOqjUgtqIDcr7j7G4Z7bU7i9guAAH7Engh6jpxBFRIlU6+Gqf1
PIyELDN7QGYYalE9pKG7s1P03yIRBw2pyUVTOeoy9cR5LKIM2a05mKJwctEF4ghpJ0IgKS205OXZ
l7DS9VVuWPyRLpmWVPMdDV0tRA+C4/3nRp5eHMis1f82bZYdyKpu1WrwZTRUiFv+0LnnafACr89q
OYWlhaFfWt35KaQz3dHl9xy3/jTnzRyzDMCDfsc7b5XZOrrDdbAv+HQLhIXfY6DhFahKziufhFxx
vHzdBwr05CQulqW6HvAWcEtGUi2QDZFw1bd/diZjK9V1zE1PMIeY7AIQ2El1Fs7zkuofzykffnb9
PedsOHvSwyXCsm2K3//MRJ/wJh1SVEc9h3H6ZT4I9MZEfagrMEWaEzi/xeVGEQRm18wHiF4xARMz
tu3pIXX5Yia8IB87iIuzxkj4wqWdIWm6yOg2gze964OKLi/UUH/J1Sre5slol0c77dgGRQY/W1YZ
7AF9QvaBLonGv0TZFG+HMOedTzJULbd8eXGZIyQtf1fBW2yaeKs66mPRchw4D2G31mrgOtu9Nj61
4B1+MgcQYuixuaDRUPHxaRKXUq/AZIEs5U4qLD61a6tzx0VRom3NL1HhdixBdUcm0g6MH4K5rR52
FIoURWCdfdPR/Fsbi2yulFbsEglpt7aAtC9qnKnc+apGmsZUHW32DLTAJk8t5DRwnkQauhRAuanX
dGvmboCVnqa8ujwbnmMADG0bjuKWvAdM72BXL20UsZ9RXGKxauQlSBRh0bMAvNRtEry5RnllEdRN
cKwyFTBEbfo3fZC6KetQYYmaId2o7GfsgP+mDxKKe87yqDJs7LDSWe5G6A7A3w5Abzjkn+0dEYfk
F/s78e/NK+xR1RA9qIClXeh2nh49dXpAxVD9QpckARRV3JQmlqNVM8vUTn8vSwDckcj87dQC8zNb
kMOE3d5SBmkS9d1EHf6Vg1UOfsqtRRjmuelHpROdTABenVq1XnLV0A80kvIxVrCLjnAAJWVkwmrH
XgFYtwZsKILM8WI1dB50lCZJ41mBROFVeDmHDH/1QKUIXYnQZDjkDh71EppkdNHQbb7Vh+o9zMt6
j/U/A7eduLXKsd7THQCi9VXhGIlvtVrvLVR8U/cpNp/5WloqCVJQ2MP0g7cwAea2Aqtp4qtFaic7
spq9hnHygzBPAXrSOmYCSK6y24MLCewTgguOaN/ojmS6Yvf4P7NPN/J7tvdkN9EpHP46Tjdymuvf
ZZp+6lIrBUY6+NsI8kaZOmXRij4ZKjC+gcG5RbyRNtJvppYjx7n++Abtpg3adCcwTOrKegEjW3ci
qFeFGS+O63YngnYVOhqRTk21q9FFd7EE1Vl3IrLQSxTyA9XdC+kMkby96P7Nzwj7ad2NZrO4SoNT
mlzvNzbAemeSqVJ3UHAhcuoWcD2VxXxLRFYy0f7bg5S50WXlOsqwwPRnn9HWu+35ACs2W3SPpt4S
NEHKQkUDkrtpzSekBIEjRiWkZtN5y9hUlQWVpF51iPZnO6pDtcXhCVnIcEZWggqEh93WEnRwqL2p
9yVYlqnOjcrbeids9oHdf5XFbiSy+vYr+cymwip0+q9X9W+fYpHpZBj1vViXGf8USyvMyWeVxddD
bU34hrRvtjYy5I7FR5oYpyKHT5t+7N/mdB8pLrLSUAbjXU/G2WQemr+HZCs4lvxQHUC6iDfa3tDj
gPvx5Bl7GtPFxlt+zyym4MwgDYxVYw75bDObzyqyIvt5POtIAGjfBwD1dPg6YY6rcDSmC1A9MHFA
V5o+tAdjZTtq7ksjUsh55GPefWwxK0j8ui3ZzaEpViWeIq3LdFFOTr81FRUAFck0fAG4D3BWYos/
VHHMTl7MUOlkOfVH26OQRAF++hSN/7A1jZqd0KJ+tjWaaonaDvtviou844vnFu1zotTlKg4MdK+I
7bhpj+Wq9crroeb16YaOAciYtHJ4z5eOATIR+Z4vHSHwAuQtLue70lNBdHx54xuX1z59AObX+tW3
QKjlUL7Z6S50W20ZskH3/+wcAfm29GmaP8cRj0PB6OnkMwH+ecH06pAr9YKqLkw2vSMbgYVekNjL
OGLRcVC1+qEEhOfG6PT2JfFaz2+UMPx5cXIm7V1JdbDjXJxiHlw7jfbogSdoVH4IJzfrra/nXXLT
aQCWVvInfCo7vxkjtkW9FUP/h8ae4tAO0exWv5CFY/We69/YkaYF2fC+B6EYudKF5AAzYD/ZhLJq
fXDbF+zo6x3ADHCEC4qlr1k1HOvJzn9qsYkO5UGfXpyAl7s47L11YbjDV6OrTpmIMfE697PUM19K
bmUoCu7DTZeZFTpuiyey0MsAAHEAMnxJGxTWRYWVbJo+yr+OcfpMFko6JACrStNXXvXBVlH7Fjuv
xnvP9WU+2DhAalj5hBWm+R0nPAZQiEPrC9JRNjL47XAKTVPb1HWT7o3B4/tBBXrWCC5KkCBkuiA8
it6SqdR80+HJB9onjr0eeKgp+1nj9CPyNb0/8KLRP4Lc6P02j8Y33Uk7VMOWxVNrBvlmCBV9r4hj
eFDoKpspM5KTVoCqEqHjQzfgsAwU5+2iTovyje6Q/CjfnDRsRfktf/PEXSJk9+xIdk97E4/sJs2L
Nk7i4FsRG3WM+qEzQB1Kz7slNYqbot/c5N/HujWeSeKOKPVHCZYDAic7eiXZ4P7lAcHmygC9us4c
gVgPf0cgF5xN5OsrAxHmnxHkFAFzf/Bi1LcpLz5MJyzfu9JiO+xym6UuhqPr4Ydr9taWtKrn/fJK
HN9FrC3fwbQYjrX3dfTATsZQrkPSQUSYRARySVrzHIG0Rur8alqmHId+Ki4RgFIz4NVYfDi2Ux6i
sYqWoL1XfRyaBu90lwRgbR08ZQIqpqnMMqmVd6QtuPv/ZTeJeKjU+0e8m9n+d7si1gbU+IHtu/e5
DqYApdHtg4FdKopBUazUxEX81BrdgUZj52mvYfWdBhPX4jcLbaIeSohfSMSK4LnLQWdLOhfZQ18H
/MyelMmALHcRDWw3u2cBKmCs2l3TMLILtgHxH8ArxLx66kwAyyzqBQ29uG0ObefgM01PZRTTqWTu
kUYO4PBfe72fdSQybPQ1pEbySiPWsRMKDYYTjXD+g9qHKgBqlYiVmEENLjogj9BwqGNlCfyqfDMp
TvSGFyHIUictW4HktVslOZLuSqjW5ZPbOcrDlOQoYLDQU/vQBQcSWcOoPKB1VbO2LTJvi75Rqy1w
cNITgMqBygcyBcCKMRAjAbbcN3KkpUnoAavoSTdtlKKxkS1oSArdyDLydYnAgRTkW+DVuQ0twc4g
ombOpKyNVj/7kl1V99mpKFF6VfL/nu0vgQm8z5It1QbIbD8VBfy7LB+ws4InmTp8VPBtCbxVycof
2EfVJ7qYhVWfDCtnOyE3TR3HnFIGqEJQmE3e3mrBCABkN30xjVZvvLu8UBZOjj5jVcDKgO0KMEMk
jMG+tGAlSBiakaFBmQu2hfmWpH1rC+C8qPUWyLufTWch6W/taQw8aA9tx78j6zXfjzVTdi7e0MdA
XKI4i462EgeAFZ/UxY3C6yxoS4Fv7KjP5GBbPFd96VtjiRrnoXW4cSUL3raZP3K93kiHOQCrPQ9N
oviH0BPQRHQ3TyKmTD39mYIqFXCx5ylpfJlSOsjJu7o6T0kxz74AXlzzAkVfVpVlfoiX8dbRCu/E
Tc89qVZSHXNQCFhCJOUNKtLWSN4xkCl8Usgg5E8ewHzkRxv4apNnqwC5ER43AaQxBchizdhag1bj
KAn8gSqzPoqYjx/ixgMJ4IeDtIzK2ASxOt/8zzYXd7OsxlXLM2PdA9rraLTZBKT33vRVr1ePJItq
Rz3SkLv8O5AtcBwlbElESp4M6oOhgRexgimJpBOIubVFm2jFSspk3NF7jztleCSdDCufgxQ3cQFH
dvUcMmznWuoDB+OvDCTj5i5+qeRz3MTFcyhdOT7e/LODFLAUelHiIEn8L6DT4bFVdVBQMPcFRDdf
6WStajt3EQ91cfCG6UrOC/VaXmnuVzopG1UO7PRQLw6f45A9yac4H1+KsgaC+fKMWok+TdoUz+2c
1fgRYpexnfsy8TXStnpY/ySLeaPdBOqHZTJ7Sw4WFS0Yuq1uFa39eSUz8zIFROmkbnKAAj7lvfN3
PanlX4oBjCUt65EiFEPtYdKU5C/W285OBzruchpi/lcxoNc6Ta36iZwNFszOemJfO/MDOevx+P9Y
u64lt3Ut+0WsIgnGV1FZ6tx2235hOR0wJ4Dx62dhU27Ksu+dU1PzwgJ2ANXdbArYYa0/nNHZJGfn
1eBnb1d7rbgxVr7G2IF2VqkcjHMHC9qIzbuxxUJtrTRWzBYdvvv29ciiNSuSaJX2UYyktJV8rNlP
AirlgxjPCN24K0IkFW3qbbQUvRmk9ZI8WjHPjB7sqUk+RsU/N040BbbJxYlgTOlOVc/0/SDMD9Tx
Sr2vPJ8OXejK89IEm49avGMMye5FRr2vCSoB9T5DX947ozMb8uTK1vCZe2+GP5Z0GIo46610rXwm
mh8ImcaeRL0FLe1FyDxUm1/Av0yrCu+c3Cl2hgfSV2pfpgbopIrKHaD0RLD0Nbfgo7yyI2OyI19q
tyZjyextpIl7+p5bvgpzrjWBIap4K0EUO389ktZoEoHkNRRe2XfrCYnlXQgK5nPk6t3Z52V/dibm
r1kJiDfNnzS5ImHa865Y05AsPR/YGbzUj55yng1pHZovK9JiaQmkuRvF34xpebVyVmjT8WqRpAAd
5jLvRbTuHF6syhYYgI7TgDjLqOsKpeC/zyNn+NpzEHwUif/g+fne1vLuPCm2OxKNFury+jD+aCjR
IrdBhY0aO1ts6hjF9GT7vkYu0Zm5yN/XIINFDq7JZO3pmtjcKOhzVIm7vbxd/LA7Nq2xN4DF+o8F
fu7p18AzwpgkpFI2yEUk/0gM3m38ZPLXl8BxklRowEZjLJDKmy1FQsoqyZ6HqtpSbONdRyEV0rVt
Pet0t/k/+dV9jqKGfm0M7GwNCPl4Doo01WCCBPTJzg8gwZ8bNfi7TW8nwzYFf8RmrnEbsLkN0OMx
zcVxVONGZXFU/EYjUPCh4iWxp6tyPVI03HBwWupZ/a0Yc3eth35ySp0uE+esbI1NnRQR6lDKyA3K
eGSB7qHxlLsM5EylA9IyXzb3dPGAXjCPAPdarlJU0O1uFDSVBn8qxt44LA6LmZsC5MbOmnM5YjtD
cmcE0bpw873re8YdCEDNu1CY0Z2RH0o1cUqFAzTJxhpBs5AZOz22fpIZqclruWR4rQcsivr1shyN
royb9gNPE32+4SL/89ZxKfNxXoju3LnOT6MTvNllI351va2A1uumWmMvggizk6M68qpDQ2kynmvB
3O1B/R0TNa3aeV6tDQtpARLSxXeRElkzpRFquatOkL+tOZsb6N1F3Ec82hFwyobcmXaAFko/DE0k
tmYbIUEu3OQDcIXaPTeB9UzaCN9sx0ornBVpgUiJxpVcfCdla+fTYyXSI+ladP++DumTsLquD6x8
CNquN57J0srBQAyelgeyxLEoXw190Z1JWaZ9GbQeUr2z9n//fJHhgbVPfdy/fT4UmHwHBh+U2nD1
+Riv+Cvvn8jP68W3cUjznZe1ztFAN8SRRmjEup7+R5kAp0UwDWi6Xnz/o7Hua5flyYQu/1ZGy9On
Irflbv9RZnj5Hx/txth1R1VCBUQrLeTnVJQoOLUG1Jm8T2Mlq6YRhaoR8Ms7hXRzY2KKLENlLNnQ
EuTjDizZZUX8idYiF1LeLE2yRUF21YQTKfNAlatuTg5VbuEel2E3bcdRJiskFcR9O0TupslRr0vT
qPPE/WAV+DZXWiDN2wG2q+Fa80Rp7jKBUivR+M2O1GQ4jHwygNTUnbtINkezlIMFwBB4825jWZkP
8PNmRCxRibrJz061H+7CyqzMHRAU3LU1dmVQofxgKlrvQDkpm3JQA0OWidJOV1msq0wVqUz34kgz
uszeKoMVEvVeI7KvYSy0Ayh47aDI83TnoYDhGVuk8jlF3ZiF0ql7MNMUzxqCJmARlI+kI6s6CtMt
GgyGtaEsyMxMe3SYOqM8kokZ6sAaKdA5hVXJIKvA/ZJYibFaFvqXdze97tG1zTAN/nZnHz24nRl+
4wVg767eb9STRnMXDIEBQMEv6kWxvNMcS4NJCai7RnXlL29EGpGd/76KXaeADeVIvsUK7m1SmHE0
Wi6CKiMWtZdZp7yX9X4xyQhVjuaGWuFmmdIbtsagaYC/ANOkjid1NaKfGSfNrl8RdBJdAIvhIRbt
XIlmpRUDN9GrT4tpKtBj7UrPR6IdsFCzwm0uS4IiBrcoYnm1HEE2sbbc5frYH2qjt08ueiVOtrqg
ljYonMaf5aQkOY2WS6vg7mgK2BhUi9AQr+QgbJKLL7kJoCyvATcggzDPQZ9aoDgjTibTB/6pLx7h
lxv+Kkk1PIkea4MOxXnA1CnlY891+dgYwFF1O++VRItcTtOrnUsP9I8wpUs+TMPWsXgXjMqTZPM9
aKVFSPfxgKA+34cUejV9ystG7CjHT6NojJ6WmgCnK32AGagagXlImX4/Mz2gz5BuvkYIu+2U66yi
fP48JF9L78d1L5xoqJ656PK1SFh90v20PqUIoXsBDZcLMKUHwA4ZYM343QRQelW16nh78SY9TzwI
r0xxtu3JXSrD2o/Aad3GXwypVYHFhuYBeMnOKbLLeONNpf4F9ZorIPghufNuAZRh48CKHu2vB+qq
mbO4KsebIt5pbEnoTlF5Ng9zXVWpemrITNghYGm5ONHBLxPZc9zx6LQcCBEmyvcOUEYAMwoIpWrS
0UCs7GTP+GxnZG2/YY4Ua8pXM5/l2xgBinWE/GkUFG5aoII3RzPJOxgMycDGnqxbw4EN/m3zLc0p
mX2zzqAnD6IN+aFzRA8YGIU1C8CveUSyJIzYyTPvb8SLKSmEcqKRa5ldoGu8wsnpPyy5+EZq8dC8
vzF19Fjbaebw1Kr3O73ur74cevrKACQdovBWAU7sd6OrL4a/fq3M3xQ4h+kBH0JEPGOULQGxbgzy
LH7rQ6PcUTyVLpmKx9JopPDrMidh16ezx42cpomcUFg3pMjLy0E71SUXQaIAnwAm6wVp2GlHmo7J
bjAK522x6hXek5Z5boCSUQtkMYhdzm3jALzueIMnQbUe3fQfWUNTrOMC2NmLYrG70S4KWhn7j/2Y
4CmMrTLatHmIAnoqjE+NYbpz4i9UPz+X3M+F9n7sBYCLiTZkNnuwqZjuvPiLrktz72ooXRwPdlk8
pQqha0IL/N4JJ281n6HnufepZSuvn4wTXQzLM05OMcTHGF9cJLKHlAEB4d1knjNleKtKWBkfMzMG
gBi05IJzF5opZGium9LQjzc9jLJG2AmnpSvUu6v2R+pwRPjfDND/qz6MeZiyuN4xv9ABAgza+U5V
HZjxsAKKQf/Nk0UfNKB0eAzfbWPmTje2vfsp7fZXhdHMD9O9b/vFiuI9iSqEphrosMuzvaM7xW1x
NCkWD3LrVY31zVJzNXbTmdm6qHm+phfTde2nNOt8TW8qeovJyHYBZY/qsky1OjoPqQXwC08kwP5V
P6qDsx9y0fVXNHl6QW2L7KFuUnEczMja2nhUXsmWCix+t9W7CUjKUynuNbNBW6iBr665rsnstBUA
ujFVRU86A8wZaakiSiitC8K3WUu+ZRvXBzADWn4ThFgHaAyOtkJXu/khDi2g1NcAVFumpCXmFtLm
JcAVGmuV28LYJabfXv3S6fe4KOgPsYTghg4HZCeJUOyqKt2XXzopuJf/AOEPiFQVZjT9+UhOt7hZ
iW4xlk47/13JeLk3+urA2m3n4q7GvxcDqOPGGbsGZb1D8rnxULk/6p85fgEgO4utDWqejM/gpLlv
kCN+Gcs+v0NnURbUHTc+uwWCn5GhAxcrm/RnI8aDq9xp1UIWDQCtEe39V6uGg7m77NywcTzYvWeD
Rbfjb2mjIYI7acirmjF/i6rpwGtHPEsvmV5LYNsMII346JVeeY9DZrLiymoyBPbNDjAdSeunIL+i
JUlLS4Z51Z9JizqyqyVVRpHu5MnyR4+k4MoP/RIlyOBn17VUHlqgWW7zInE+An70nr7PF4ssl/JQ
xaCJjoQNHihECsZevezqHe2RpyRmJ8strsIHtE+eQSImHdVJdnLRXmQUd4gF6rDeNVdhCfwf6XtW
ihd6tSD/ueWZJY5S77X+/n26vJmmwj2EImtOvSOqs177WyC24plqajAivMvQeI1nMDIRb1UjVpvV
2U48FIrBikwXuYk1aEZysni3J3nbxto2Mr0pEHGU3jkVMJsoajf5NSAJKwlWWcV5tUwp3kfTTGmX
KRkvvrQUaWu1MmkX43/rSzcyQWQ2N17Jso/XrZUZoC/RN3GsJ8904UMu99GAvsVFFuuIvvUNWEkG
S7vYWYaBTB0HeahybWLwQ6mFpneDyQnFPh9AFpuaKP8MpOuB1azK+E5UgPu8QOFEXfZVExkQCVsw
vmtjPc9IRBev6koAH9hohOOJ+9alRrTXcru8uzGhKQhh2C6aLouQ62JGoxR7tCMDBg9LXD9F+l7L
AwPsqFs76a0HuuiaYz204P0Yw0YD6WIbuyuQj6G9B6gws1uU4MdgXhQCAhtus82yVs3cMN2oJVD2
oJ14mVkPlm9+khE3Di0z6ocMNX94xujBoUvRchQ8rRYB6S+2JJ0f4GvJ8pi6HBAglzULR2vQFt+0
aGcA45HdIKZbF+XMkBRlst1nQq+CmWuQG8Y5Rm3krE09/aIl6qSRgUQJBG5/9Scl3eH3NZY7xAOI
g4Lf77/cwZMuzjCIRBc14BoBerAbq8qXgOQHilbp+4/OlHevwMcwV8iTGkeZOu3rpDvWxnUMcOwo
ba1l8shkaK9I63WAgWwTe0dKUC51r6093a4GKsTmwDKZ9v7KrDMABRtxdDfVdQqU57gFPHATDfc0
93BsWNFLheHvfzImENlQEFUDjuBd6m46S0r7aFrc304CH6MF+MeLM5rNs2U90wRVJt2LZiM2OXVR
g/2h3r04me6ffK37Z7FATOkJRCrsjuxb0OJtuYf2eLI3gZylFsT73QOvfaX3AcfueE/uyeD7pzSX
/+RO+MK53TwlfVbsuGn7iBEg7egV5qHPDPlaoyX+DnWFScD7HnLdLIOeTeYZnQPh62i5O0pT4hSD
irSRh1vKZb67Nx1L7qq0SQIkAj8xw6vuhpHxJ+wTV5c/9Rj2a9kjCUwPB/rFoicdqAHzo2b/riVf
CwWNZEvPG1lYoGe68V8etb+toe5Pz+GyRhl3W+kn5R0BVSJZ0K+kbOwtKkoSfWfXbr/Sp9TeNgVH
I1CLgH7VRC+tA95H3rXpqatZ9FJ1LD1VSAWuSDtVGp9NSNEjB7rKAYw/84KiGP1zKOzmTJ819Szt
IDQbvRX0P/Cupc8JnL0/tBkible+rfLt1b9foaf23mb4Vuk70NkXCf+QlnH+xHn3SMhwDU86NCpF
5gxF5zBr2NQ1ChZJa9YV2pqasr0jVDmFZEdraK6ZPeFc/0hiWsPoczMg/DrTQtlrmcZ9EA1xuRoE
6/11PkbhvTc+OprDUeeBSZaKcB7preauxsQatzeKKh6dHS1SKOPFg+yS8Go1kriFlwbG2E6bJpPe
zmzcr5QkWi4LrZLDMm+HjqivM37DnHQiKIeuDt3Fd0FcWFah1T1RH4YOO6ZomoqtNMEbMQ8HAQgf
p9YQlWkHxVih5pYsvCA39SYQSla0hZ8driwNP/noWRY4rnZabR2WTlodDLaZLMR5BjaTkZ7ukO7i
AZnQRQOQ3mNXhQfHVUEPBZmrWdU328CZZoiAi5b6bXLAn+qeo8VoAOAbZGWaVHcOYtMoL66Rekb5
+TGyvWOWN9YuF3V4JBGwQi+jJuM4BS1zPtg7e8iMY992wORA6hJ4FCViPQko0PUdqMt+us7Jk43z
UqHAIaCRFU+XEd5WWlBlmv1Co39h57meFpTCu4u8bJMrxJxEvXppRBfwQyImGTeHG3kTdde2WWGh
ewWwqHGcqZd4IT51yZg+t5bvorEORYWNair2Ru3rIkeNQrzyUcHk5BV+OjDnPYvQaQ5XU3wjHzrO
U30HNttZy03Xe0ocyz5T9RzwP57skbWnpcgO1YEg/gOswHou4hsSJz1P3sWBvOjisWx2pRn5D3YK
FhHPM9YV2tsQ9GzHXWnE7KkCItimrRBQs2xU0JIs1NCfUgHRYDYhxYgFVn7pF0cy6QrU4wI+4agn
EXoE1Urz5W1ENeeTVOqxldqd4Qx7yVw/DvACG4+pZv6zWFuVbuy6XjWytxItv/RhMg56w3BM4ZIB
ahccopPY0f3mVd8/yGVZN/vzQxggsT4Mpfg2GIC+3nnYRJ3t9onFiSmO9BcXbrpBuQOQbLgodzWL
oxc88BoCa8NGHw1wI0dop1+TFk3FF+3Qjxv8RD80lIJ8RNDsDX382qssR3tXtla1l3mTvWqT9w2A
t/n33w0AavMYNjwMRG6aH4ZRZ2vG8C8MZFmcoyOHoY4ov55aakrGpCXjZUraG9/Ssfy99Is46Fub
3QE4sN6jl/qTMSTWncS36l3WVOiqozk3ZBX0hp9vroRkRM4CfXNpw/pTiA7XEW8nX7Xj/VpxsaO1
yINkBchc51UXReVlL9JvcvwDFSV/LPuxeUIRqfqUlr3rVBiUZFpSxkEX410hlYwUZEcyMkmTvt3G
ce2DWALk8LxWdMyTiMwTzZfLhOhEvWqr/KHWTWs3m3RVwtc0nB3JfLb0rCndxjhYqQ/patZdXeko
tu3HhxmgXk1HxxkfZix6179oCal+knp2VzIx5NgYO2n+Fn9hUTL86CcOOFf8rz11lQTFYsTrvW7l
/Fny2ga+b+H8iL+YcrxY2k48PjlJyYOBZ6jxQxPETHyfMeME/OFiz+gnIDb7WX3FcZ8WWcrXdjue
JtMo9mTE6Jfkt8bJ8uvoqCW2+1DUmhZo3MbL9H3EC7iSLH4fLdp5lAzlXQvsHpT2OE8RdkAHAtGh
i64YA0HRo++cjKEgQiH1LAoajUn4VFXIgZPtYhExBHYcMBWsuow/tyrkhOiS/trIB1NRMKRmabzq
8QOBp5IGE8JH/WU2KRaHXGTyRTQ7NwKhamEkb9GQ1IcInfwbvJBAtaXkuhO/Ve5UIxhSJchqmuBh
vjyYmh494BQPWJQInQMgPAfgtDoOkmy5XMl4v2JopD2RcpH7youm+H8DNYNWIeylFr6xoykylcNp
zJ7AO7rWEuTzVj2AV+cR6N8uo0VLI63QP8kpjkBWr0ipq/607DaWKhjai4AFdrYg+QDcx3OB1Cf1
6SIk/RVZVeM0t/lya7zn7rBnBX74QC/HcmuPJkp33huDmZ597UzfOJGobuPpvky6PQtH8YhzU9BN
DbJzYW6hzAiwklIgzFSyXL8Dn+v4wTWLNcFK9k3SH/w2stYERumZrrHyHEe/C1F9mUVGp71ciuJ0
0dzHKrW5XGq/cE7oTI4RvCHpTbqSZHNKk7KZNzbuxrWRvVikQhY/p1AWWwE0lxNdJpSbnia33mXe
CJgeJSfRYrHICtQGzl6L7MaOp2KXvK90Y5Z6D786NAegR6xlDlp66RSPdpVFL6isT3aNKbO1MGN8
I+mZg558fToAR/pbX+Xgse90tEAoNgyK2ZNM+qCuGnBsfCLFf5TpyneO7S825JKhcj9ox8FYUxpu
SdrNSbyrxF8EUOFt2PcfKIc3qxHXRFLvz/Gc7LMYqgfnPGBbts62K9sPqHXhqtTbHLI7ij94xO6Z
an7A3eLvsouJiqW9293I/vt6Syzu3Z/Cbf4XpwYa1gJIWlahsxEdyCoWGY0KBXE6Y5qSje0VaPxQ
6KakvsInJdDSoccpHjGxa5tlRRzu2S5P+Q+nq51jXdv3PcCcow1N3cy9X8I19DGnZprNrn5h765X
v4gbGSIMX0NEcFSnmL4R6LfZpZNCFRbsRzwU3QOXcvqQpsbKBj7Tm+B1frasCYE1ZUVOLu+cHWn/
dJIiRaU2hfql0X6UBgi6vdYtP+qttxpVmiye3PAQtaxdUzLNzgwPuPXgCe9kO5uRvLeLGoAsTXak
5H8DOLxDynR+VV8Qmnx6RGm7om8iUiiy7Prkp2WiZWIpOJhk567dXvDNIlsWnAsOaLHhaMYpRwJD
t8NVNIoMmzqeATkejNioh07cOQTX8Aqv3i45U/SOonJxiEJX9HZjI6nCcZVpettegmhwjvJRXK+a
EOUHALw+x/8W5/+2HtJx+t728C+z0CExs1z1OMQ8UJEvlfsqAxJRLfBcEOxei8hUOXZxbs+OZPW+
1rL872uNpfzkA5T4iEPNynVs8UwXtA1YO26ELZKK2PyAwsBoAToGoNpWz0BU0OX+Y4d6bccxpizo
0XC2C3VYz3PHsNrVUADYjKxdwKWjMxRtjDfWy/3IQ1frk2y0Bv9xwPo0ayvjLc6jN+AxuU+DgvKp
UxYdaGo3tvvkT+4p4a64Sy3pPgFPlz8lxokmZBRJk5/H2HqNlZ7ksA53AMROg8a2JbDXPAec4wL/
NORBNt37rZal1K1cv5V3ZGbIEkUZzWleQ+eSn3vcJvcVm4weFlviI0HDKlCw8g5waNl4WihKqn6y
du6UotNYndMR20KxQQI7Xe3yUs2tj/VgJS6KdEv0HBCMyS0AShKjRgzAUAbKdlDdQzb6+2iRkYIu
NzJawELCaqWj83oTuTxDVQxwKekSE+zlWHD30OjZaa7RXQIn5dhswDMv41UXmWi6NIx02/QV+4Bu
3XwrEi/d1ioRuGhHbn5Hi82wRTYqDlSMY7OQ3dGILqStkC2btQtbHjHqIcEYzb43inkppU0nPMlo
aZLcR8KmKu2PU9W1SFCmKFvvDPtj2JpfwiovHkjZSnOVtK35Ciwj/xnoXjsSR7ln3rEerYGDGTsf
h1IXB7QjAztfrWhzoW24D+ArmoZufbnBvOTg3twAebCrG8Qe2hMRH9HSVeSF8mxHaTCHS2ia26hD
Gw0zyNLuqAE5EbRBY7wWdhx/q51mPZnC/tTamrXtzdLZp4YqhdWaJzJA3Z+7Yg1nD4vnhNTLN/Bw
rlM/tD5lU25vpc3xWNmlvwJpl7m1VPFfpyo36MJDxfFQDIgcJn6x66h8g2wQeIlRtUvmi3Q2IFfl
1GdpeXEan63eH3F46jM5bjiKYM5MIRf1BFBUN5aNpmQpNrOQAIxoqA1j1a0QUxLHrkLRjfK5spnd
2QDIH5ABCCAZKvNSxsMulf43AB6WAB80zbsG2TTHV4EoNavz3TzrU2Hie+ky+2XJQdRurBxV0bGs
AB+akJiLeNsVIkZBiFkh+AAs4ZUdeo6qLvmynAX+diBAffanzplQhvl+ZLgxc9VCdRTPCy3njsWh
q3tF1OGdEgao+7VTNC8iM5GDJ1zbvHbLexx/XwEXhXJhffgnlZX3wcArDAEiIzxPSdOc0PfZb9PO
ZS/4a/SrSJP6D00+EG6h8rFrsBSRT2ho4VnwuDlNaYnoSD8GY17idKsIkSVekatubMKHRnRokdG5
vSKGY+EiweGnzRhkgjA9R/AKpEXygGzAcHAQT9uZriifPMOvcbCwu6/M77ejgk0c4/5x6IT5ye1/
czJko+3s0iqfEH8HZNYIhOvLY6VZ2j9agqgqojrAlkI2PQQ9E0dniMPBttujDCMgurV8dIxVkWjO
2mvTD6aV54+U3243OmL/H+1RNI88jl4pj15GunMcbFDkUXY7rxgqAYe83ZK2YgVIokvLPJI2KdBX
rNYjpVzTeqPB5vUoa57amTuv1yIuDbJjMFk06DR40t0eNBh1cTaBvxwFgFqap0R4Q+w4BkThBAua
kVyJmkQHFbRa4n0dEiV2H7iJZuA/zuO2g3I5tIX1nsvPk2OmD8L2REBoVy2e3Ej6/heQIoVrsKhE
s4UtQc2H0vSVj5KsrSMSpHBVGQxTlRZcjUq0J0ABnsORKiwWoS00bQWcLWxuybtugFViIh6nvse4
sy6HCVGWMc8f8gqtZhRfbdHJuPqbonG0flbwELyc5IHNIJ48peBJZZ1NJkDAN5TGJi+FLl7YnI/r
mZtv8UJAyUJlGOuwG/WvMn0jriS9i/QATPDTvYGKlnPOnMWg6GJkDLRV24FAYTdKYJMBpOkEMAfb
XYseqb0i7VVdicLYUepYM91TjJ9nw+wUiT82NQcA/ZhYBZFjgYIdhlrvt3ZoruVNDPr1LI3e/mLv
KLkZ+yVK4MRzVpT1AYRRDf6zFE0izXWPN6s0C+19EmN75lfotAdsl7yTYc3eBKLpjSzeQs3N7pG+
RaGotBhwDNJw22qm3NLUcgB1/t+casMKpmj63o6p9t0ZXhCQlT9tkH2vEKYfX4Fu0+A33BenyeHj
nS0H0LyiTvLN1L3nFGXAP+0W8bCeiy/l5HoBjxQARmOOh0zTjN00yvJZhqm7+nN9D0D28/p8KIqT
h6PeneDsan2JYvcHoP38pLwJZVw0LpFmsTkYCvsMzFZXaZd5eJVimW2vLEhHvvjnsOfEzGxEOZq8
qFZxNvDzsjWiXVBe5x8LZG5BdPVry0ShGIrOFCzJD/WkP6Sm29hHTYIjskP92ma02ibceFbaouUa
W26DCRQqmzLZzftlJXPaaI3ib/Q/q1nj2cNRG9BKfdlDg71t9iA1Xd49aBFNgMkLZCIAA1UL0KV/
97rs03/d48Zj1k7qU6V8OHVGa+6YPtp3dSTxqsSB5rX2ENbR+zr+VlbDPiTmq6qQa9vi1ncbZRCr
forMD2Ee2giDx9p9GPf6vsdzevgXK1mVWOs8GfYtL1D8RsDgHMQ4cRzVG5rmZhmxFQiI0jt8T6wI
smpuyk1kYgTAf/jNMHKTsx3W+VYv6nhF1LsLJ2+GcIjfDfKeRKQEi+WA2mer3xKdLymc1mgP5L9Q
/JLCsNtAAiT7nuQ6+P6Q/MS+ouise4F0PMg8kGCIzYjtLSPOApqiLyl6YZZ+z/r+2sJ28osFmSkL
WoPsDQe4dDcW3mTeo9hAbOhYW1gGfvVA89gvh+FYIJELACKwc74fpjPgER8rHZEB/Fhy4/tvUSnH
h8VpRNoQhVyxtp9P0LRIFolmvRzGaZG4NN4cwL0enaxk2C4O5dkBVdZm9P0QbF0FaBdsHv6szzxM
2c9Iejjd6qb+6qdxtB0A7Xwmn4KP7iYaa6RbZAp6kaEPf7Kj4zXhHn17EpBY8VaPp+SzHAYA7+md
e4x6vX8UOUfRQDLl35UFMFmTz5bBzA14XtyjDg5NoFnCQsZp/l2w5H+xoLukerXm4NK9a7z2p4Fk
+RdLH372Pr4n8Vq7GSjVpGwkjP+LzZ8qsBl0DyDhKoM46iqHb5wk9k+MGyxoBxCW1T1KZxGVz1/7
1C+fmPQAlYWZ5eu4lNZz4Y7FPYnA3yXWPmisdjQl92hyLu6SDbN72MUuoA/hirLwNXhbwVs1WfG6
Y5H9EpZG/oTTxRqHMvvFUZeOq7hDYRYnkjWcqxpNsEYUpWO/oGwjfwKQ6ezuRGjMNWPQkA5Wq59b
QMPOF6FGKRLkjtahFlDNnLgDgaOZMQQIlabi/pNZG/oBDC/5moMc8ZNl4FDeATrozOpE+8j17yQW
aFHBXxVWnTdcrIppHM8AJH3CniMEukbVorZGoXl0Wnu5ICEPTFbfbA9x6qaHRVHhTyzxHvtlPQ7N
ppThXpY4LDJgRhwoSZGlFlpBUDtxoDQFafuC+wdKVOTm1AajB/QpJ0Q5ESWFpz4CIEuIrjOg4DRs
jRaM8h5wmJEinvB2aLhFoZS60Ii0pkB+QCptLYH11/ayPBSlmT1MEXulIj2ajY7+Sg2977NFpyx1
VRn4F7/h1yoVa1gwoGJ7Ffb2uEllygLavs07ORIOccWutny075utLckCmi4Xf9TGzQg6DfzQzj6x
NIaMczx+saNwXWV++gauuApNWZBTriaNAYXf1dks90abbUJAe3xR8sXeMK2f2Hr1x7hshruhiC4X
iYzRrlCcAiRbtFzZ5a6cjpfDWZHl0T16gsuzlAANoawFXkp8PbDcPFKywi0fp2kUbzdWvZsgN5we
M5xmnzT80VrmIEAP7mowsBZRvc1qdcJFRvCpHvEnpfB9Z+KMRDmngWnuU2bp7AXRqQ0VwniV3Z61
DOcjKpMxM9CAtWaE1hHFo5y4FpB1ZCRQfoWpzOzjKFCpxXlk0Rok7ljXniNgu8zUzAyhn+1Q4mWZ
R2V6oix2Ndb1ugOE9pZS3qV0x8eKeej09FFAB7oW4M2HoMSo1bcPaVOcYsmVRH/zVxakdNE2tbHd
zEalN2ioAWyaO+ABQSb2g1ta9Rk/iljRf4RuR6odB1NK3pEWdN0wVim/RUu+NI1csK4tvn8zJi3e
aum5PxWxOwSF42uvGh//GI2DeZGBr+gPLXloCQLBg2iGnShSdooGL1vTQwvkseexGsYXu5PsVLVj
tqaHs9HtZ4aTx5WcHubwl32fiG41dWXv6JvKcREfUclZykaPpnQAIJaAEELJFsXfpn/NebNictao
+QRZ8e/JcENNM8tGLsdDIztyctEDXfIye0WnoYvisV8iGqGmxQ8qO8825dQD/ZaEVSL43nS8fJ4u
LnHUAj7d+bZI2Mjj5Q456MDmO7g2amlWtLoJCqENeSzGjpa/8D4/aJofozZuAndQPiRbSQjDrmce
5KTX97pKRmpR7p/0Nv1cKXziKEQkTyAkswZoerIlC1LkIOQw0Cg0O6ERtF0Lmd+PyAvel6MhV1rm
V59lhbQbumuiE2j/qrd0FLO8GfNx74WZtanTpv5cYUsLXvLyGVAqIHPIR4mqNcg75R4j57O4A38P
P4rTYt/PSpDJeulLryNSQSOS9Uo2KhmN/n/sNBCfBoUOGnLwdQCxm03iRG80ezd1o/wENObxBISb
cX7PpVluBEOPN0oVsfGT3LST/bkABeKLVnTZthEJyvqAwvRpctk94JT05zQf0sdYmD9ITFZe7Om7
wrLAdg8r3Xd3gBRbaaVmvWAj+D+cfdd2nEq07RfVGOTw2jmq1ZIV7BeGwzaZIhUFfP2ZtZAb2dbe
59z7wqBWomV3Q7HCnMVRt3ETQHnZfiQZj6JVj9G2K1ElJ3YSr9y01bdkQQ7WgDFmrhxIphw6p0gU
VTje4ZtCdGu3BPF2Jbthm3LePKFr8KkdAe9Yj+0/Q45NyQcGHPg2LPGv6NrJ72lwLyhDftHK6zzZ
R7qRNdXKTUB3OyvQo1RcjPJKuDHSEVeR1JcWCTVzxYN+WbcBNrRToxeWpVrSMzstA9BI0amZvlfQ
Y51HwLzro+6iRxoAMAI25WlAHQgEXZT/ZtGU4FFWJaxmMmRydPTo7FQWXvtvcfAu3O/SDG9Y8zMR
6YcMxIFIQVhW/O5ZSY/E+QkZ9ABVFe8NSBdRkh/KEYiaaJDHY5QcDeRp4zoPTlYCJHrT1OWmU9Uf
YA61D/EYbFoRhRcSCWBpHKOo/kE6Es1Os+x3p7YfARwn5A+y/391iqkwRVcRjYfkodtf/CREe0GJ
nsjq21CHoIXElvCxCFr+qUiDn7raGlVuHWN+zarPRAhES+f3JWlnY6SEmvO8lCmGePQsrFY+24MY
HgOdPbpq77EKaQS0+3BlukWBBLhTPaBFwVjaeWRcPUMfNoOI61MyyO4gmyLa+SDvuCDpaq4YqvdP
Y9V1i4FX9TevivaNroMWmWMiCR2Z4h+Wm99GYOq/OoaLrl2UgaaQ4AmtT+DzfQspx6K9CGm/hWx1
oJmX/V3cNvKVcaNbhOoM8K7dAtRY8rVocE06k0r2oR03x02j+Q72An2bRxsrK5tLUIXe2QFDsqxK
kInTshb1gpSJP2KQTh3K3HDPN7nUgubiIHG1rKtIFaxzD22ueVvsbUeAaVVxlTom2NeCymfnULjp
k6Oh11bJvVIv9tmYBCvfSsdXlAxB0jbk+Bfz+/JzN8bmJlTF6EiVpWPfH15djGAIycvnRhWvs7L3
Fr0qXJNZHKdsH6uhUMMCSpXR+bsEIyfbCDNgKytm1jqWeGNDr+ooAJOU2W/robUEkBosa/2WdnbG
dVeM+9EAPCPysBdMTEWPiR1Y2yGwgEmklnRQFtHNIlMWfakZSxPFCeT2VRWiLrTnBJB0O0rtk8gm
6julALRYsJsKAaS+GU8ljg+WyEXtfTcPNroaTpkP6AkvB0NcBFXCK+khT18k32qqeOt26a6SWgCL
gUZayMYck3ARJW68t9Toyt+hZskt3OSeJP7O6XO2mrEbE78pl77uZRuS1Qq6SjA23I0tWHhiY5p4
CligPVqmMU04eb+tSOfCkt6HfLQ+kSUNP1VF3IFTvAJh49A+UxLYN/3vmUzCT6Ngzc4Cx9OWdzx7
+tugLeyrnmjagkqb6HCJ1yaTzZZKm7bw0c7qlM2WtF6WJNOyszrjaV6SdjaefYfUarZeGcijYNgZ
gR3KvPNM3Vp43EfuvS2sO5Kha9y6CzH+dGwjaz/Lda/DthANQdYiC1N9Q3bkQTapg5EFcyq/aU1/
AJhmuLYClu+AJc+etRKZ/sANwjMthZ1u67wFqIMP3rV8MFdDq7PnNDONs1c2IMJTy3EEUmIsUm3S
ZhjxQvGtKHakpZDAwAnPtFQhhyx6C1kAoyQTYXtGTihbdEC0ewRtmUEpDXVAritZmEOenCjNIcJy
XHPwhG9oqaeRPBoaoLK7Kio+hWZvP1pgqLilReqqfO8Ovjxt6btirQMrbe+E2CP0ldMujHBAvkh2
wAFw2xchBNhPPrCQHghKey7+tEALT7ugL9EHMQAgY6362AQNFEDUcmM9kTVhmgI5j7EV3r5L2IZo
nCbZpPejRhOLqu4lIF+RHrfpqW+07gXjmdXJpSUqEdOS+j2owyOS9iSaOzxuTtQ7QlY3Ea3I9OZo
oO37VJXFkfAwO7/MVrXmVmtazgc/tHa+7OqThpZ+d5F4XnMw+vypMw3UPsjNwTzaelo3mjFZp0g0
7tDbyxd06b7OgecRGBihV3WrP2R5gZ4oMGVgRpBs6M/MOzGsRt11N440tp3QzCv9wtXKC0PrShmP
24p0FnS9sqRMyU1H94LSMSfdzS83fQMFxca+d91m3QRGAuzhAPyKg9MvaDtc4H19lXgA6rLCGg8R
mIHPI34C3Wp4B0wjFFKUnPddsBL4X9+T1+9mczQyo2iG8mqcep3jD1ymfl0vTFFku5KjizXzgIhR
+2O6ErEVfsb34EIccWXfbU1XpF8r3JGXji/Z/R9OHp6GqyzIos+40d+5sePvWQnMbRpAoyE1OssB
9r3InTze/qGg5SyLrCJc9IkBSmpXIuMO3OLoaWDRdyQW63sPONcPqeWBLBwpud7W5Za3rSKrQB6v
1tLvaGms7zMnmqyigP3w8SK9r0K2wwsKMhflMNxVXvF2CMB7s29SduU30awU5QDAXob3abOzOEHq
v7kVo78zIz09kvEcc9Ric18h3CzXSgybvvWxmZnlgSsNv2dkXR4zdQAWhARJZKgdSBbESbZjdWAu
SZunnF1Zj2HxDxwwFmY9Znr1l4OBK5C71HHPMkXzdgWSzQ7kX9gjuyoHpqvELX5TZY8KSimSDtze
Sf69Az17g+f0V0sLvRXmZNPTBxZ4F8foh+N70wwcsgcvZmHo02yYJmpzH3iN/jZSNzTxixwa/VT4
jdgkdogGPh3f7XyIt1OHvOH60zLrIgcjuOqLgNaMcKMb/AdBDPSoBxZ6JL8kZpitpFsO+MxAAACr
PJiXCr18SsP8I9PMQid8l3XanopnVm8jZZdFC3+QpX1Aq3156rAEHJ08xna/EpHW39PBRo/RznaR
pm4VZ1WnDqRw9J9jWOcYvv1lKry6WAJDkW0GRWP1hzst5xhwzyKJolfe7jFbcyamRGJOpDNsApHN
xZ3yUFTRO+XMx+hHmFvpXP800SrO/lxLclLMokH06NgHuePGtnEjapGDOEhdi14BDbHMI0Dxx4D5
u7BqSPCcz9B/j79sVwoNA/xpxe9iK8AuUWcrBiZbpKx+k5NFpeMBrZS0Yq6O127/HzNEVnvO/bnC
PbQood+RiAV6tgO7p5hyfyTTPBuUY4Z2R8nFATnFHcVw8/gfqywMRWbvilw9+OIsWVN2TxcBphG6
6JFSfxxofzJMsFJZQ6WjFaX21MpXlvj3+NmGdYIJKnTw0IbXqMK1ZI1znJpcSNEqrVLYOrCfpi2x
zH4WRevj1cY80etdx6Px3mDjifhl08QY7pWO3uZIV+MXQTyxN91/+QHOYWHqIHeo7Q6cpmUVPUZm
gF+Yh14RCciYs5FgPyiqRn/mTHwlOg4jrsFoOJjfQdGHnZpyYsYvJzRg9mdMhiTrAtyqz2PfT06Z
RBOvcqq5vX3bTsRBuB1VrYIOkoNRCgCzGPekdWbKZZ6iTqxTteOdzU0dedFwoFWrcUyyDv64pdYR
3pds0+F3AZgFPJYpCwGwho9ljZMNS8pkkDHZKX64yZe6Uyge2f1rPIAFhWcvbU8cnTVrprkMCc5M
z5adpX2yNB19GSrPUOALd+Y2MhH0vk/GQYkN55w0GPrhk14A7+K/HcLSevQCDWTsaoAUPbzBXdMC
+b1iAZ6/NIF6U7R4Hd37ZvCCybceE6tK0ctk45gAIOown21iVgqyOQDFm6N8FAC9y1OAhpcIMFqg
/Upi3JA44EpXaDjBz5KgfkBza931RlbexcOaFi3JrUFYd0UGonSpjEkTZCj6LLQGXV8JWuCU5xjb
1h2d0YGi52CHX4jAwi8cPxZHIauFRsFrlNBxqhFm2qwiodQTvGd4YkXyTvm9s4s6HaR7ZGjHOhDX
zNI194YlJ9kUwRzKXR21oRUt8jJvF2hUte7jdKx2dtxm+8K0B4W8G61wrepz33pnl4XsH1DX7DAd
5X5pXaBwkhM4aKsdZs8zQM2I4YLbzptTrjnnN9KbdocchzM5BWh8uveTYW0UGKYHs4J/cRQEPB3K
vloi6eKfAdv2JurUayzz1FNGyWYF3gHaJZA/wGT6d5DMD/3zLE/jMd4DUAJ90epas2IOQgoNY4er
ZLSR3FCIIXWTP6Ma7u0bBeSgGXJQnIdvMsBVtBdS0EHJDaSa96by9GmQAl3tk8yl5e8xyY5EN39N
+U+uJIsNPvnPlyGH8te1SD7HUPb0eYH0tQs7z3hsHNAi67VuHGv0GTwNwNAqFd5NJnVrkxb1MC1T
FFXLXGIfgqmYg4MaMwgbYaan8c9GJu693Ynx0gRxtSD5H2GNJNq2g/dh2EzX2XM9dsa/hh0NBmg8
CXQeCpsHsgB6h8o710yYOzQIBOscLwgbAieiZdI475eRWhKSkVZXwXrWBtJdNMX4w1ZIEgNGDS91
yk8YbAWuhDqUKKZKMGhcUSkFkEQHUNIG24sjKXV0h6+9FM2FpI09bIN4h/sgaSlaYacnUt6i6ZJh
f0ywFB9EKx0MJ5O2yAHVY5b9W7SoHLKdjpm1hSXyE1n8HpJWze8h0Tr38Qec/1wV7fcPSH8uRbPt
4uM/l7SZ+oD/9ud6mQZq39YJt0mMShWaRV5YZfTnEskhZNexBM6fhe8El2vSihTNE62jNQcTDEYv
jpteB+bG1wTlpCegM6G7HuVVo0a7GsUgp5hh1qEcvG6KUTpgMw86H4PEyjjz8uuoyfjaVEg8qs8x
mgZ7BPzDsheKAmTIgvRUEzsIksLICQO6LivCsVmQEC2Lb+pJSGvyGawQpegYpKuzzRxsluUYcF1p
nayAUP1kqsyF1FEBMmutv2tB7HKqNKatyqwyv/4yYJEPOD076O/QcztMBqJ3DWUQODl63a00U03Z
zkJ6hX0Zk9I56YafrLjuRd8iP185oFp4HWwAiaF3z91ZpRk9JcLFGDgMyBPPrzdPx8B8Y9LU8TcB
VDPy7AGVscFQubdzfnmSAXn2bX3Adze6G9OiuOdeWS/GKJEAXhyKe6GAF8MYFfp69D+RiMxmWwOo
IZMtyW62tOpVyDAOvsoGrABJIK60nxtAcYpJMqmG2s0nE4WAi9LRPpBWMXSz5c3vppstlW5skKZC
KUW7WpbAvxrX3OPAO6C31dYIKMigco/UIR0zUZy70uo2tgh2jWoJjQsvAbY8zw6+FdlPoccmORJ1
yXoAZPih8TTrSbB/ohyzxXwPxJj0NID6AwCtw9LTU+dgcuCYrzQlm05vms4WQ3KXYZp8YdXmGpsU
7cGw0nprJxZe2yIOegIjQ0rLLKtTxyv9ocDX/FTGzktNSl6HGDsto2ZLvgDA0R6Aos7ghzwK+Kw9
gC9Npsyu0TY2VmjvwVVucSgqibIkg23m1NswM/QHG9RJD68WlyOQkjT/LRaavpZ4vXPuKSGucw+T
LkYMqjTkyKUL/A3sadCue0uZ2+hJa4w6npLqQlmkykK3wnhKqt9iYDghenR57v0Zw9D9KQY5Ac3A
3aJq83aVAhC/B+DoJZipMeyFAejf7fxopAeyEXbvFfRspCctJn5tzA3Xbx4fKUg2PaopPlkzC0Sy
GeefAEXSbZzQsveDlQdXluE/Eo1hxXe36I8oYYsXsqi17i8Lxx2OReK1L4EdSzyoflnwAenKSLXI
3WL87xZ0FY6fM7MCA6zSGjs7WeauqnYsXpohAjxtH/zTawVmOMvkezoASRJZsv4hRFvYFkPv4tBq
LDi3ZuWuwKtSvPAmn51K14m/m8LEwFPny8kpSV1xiLJ+3KEsdhS8TK+5nh/oV8k8P7m6GT/Q75B0
txWqOe8sf/ejFTrbDvS7/z0KUvrp1UyzA70bku52vd/9bleowSW0MTzgEtksHHc1WLg2iZaOX0ww
IiEXWL/+IefOX3JeGQPZe75bv2ZtPwCH0ys3JL/Zgyo72Xn8ufLqdDVXhbnvZJtGyebpgAKvQpNs
eh9TNeZSych3GiqgtenJdEU2dKBYs4wuQjLcgd/io+EvsNMeaKldcGSjFRwNFrHpTA/acFMyHXBz
NxmZkPF/y8i3AnTJ4iNjX12IQrnStXcyL07UbdYpTE07Qkuw36b1+t3kwSykOQVXLwzwb5QFbLz8
FLvmc0udJslgOKusCv31tG5TfhR+FN5RS0kfjR8bU9cJHT5wMIaH0cBAvX20cnad0/Bj50ZH7LU/
Uxab0t2WSGMSUd6bDqxt34nIlBzHqJ0cyeoWaw7/eyyS36zIh2IZv644rXBrO2Ly8dXp7BqdL5hz
o3S5d1tShjxp2XutOYzvl6RFOTDKjPps2Uyee6MJ9iLRDq2RoA+BZNOph7L7PtH1A8noUDhlj5Yi
HAA4E6knSFuihX5ZNe7wxJBo9hL2UrYV/1aY3ouX2fwbMEOnE7SyTScfqwrl9b+4/23TRFH6RaJX
7bfL/G3390e52TQjbnJNFXlrW9j2qeodC/h7mKjOoyza1FFQT2PYGKAAe2ip2Xco5rXPhvcpVlYf
OQWegWc2Hn0vfzv1SWm+hKYVn2SBOStBWU91aGM3u8ceYZaMKtfpxBzUyGmU7zxNAzugX5T6Vo/x
1uJIHanQm2smliyoeDCF7HQMxWu9ne3IQqV47qsg0rdpMKKIrrzAoQNw19YtVh5499YdJlj3gdtk
zwMDPYe60ZFcM1N/lsuQv8ldIADtK3dIn22ub2f5bP+7nFcYe+n6JF2+VYrwgwNHBzvSt5u+9Xji
P2hewMDB3LzVl7wqeSCr+WehrFBhZ8f593QTUazp54rwcyzWhweeYWjIe2xj33kgfLY+7MY1QMKb
daQ2KCSzr7MeSFjjGp3Y7ZpUcd5oV7y9gK+3qqebWsHA/7roDGNDsmk53e4g67Mg3NQcE6i2oua2
iE/M4S1blbUD1nkFzDKDrdBZwZ+00TYBKvgLpcVVrugdY6s+SoPlrJjdpfsJXezmmUz7wLwmdiZO
HWZmQbXidmjTxg6PDjUGuUvsTa60QkKN7/Cvwpe0pK2fXYRg8pJBCt5oeDkg2j0jY3yZ94UU1wEk
MfAhsAMls8L4OYdlg/c+LBn4DNmZRKJgRE4UthvTCynp0KqPS2GDBi/QQ5mY+75l9r5sa7mkp7wX
ohBMS9pW0NLxgKlI+4N5SVqgQeHnkp48RY3VpaCjDvrxq69Yr0IXlFmAlwU3Fa1dJaQzOsRB8TlI
sesm1wBovO2CXGg9Rwh4HwH1p374Qz5FfneRIfNjIC8XclOgkLfv3fDRsDrti4sXUnDjxt9zVR2q
+8S7A2Up+EzV0BtaEP2venUmA7vk3pK7wB6u+rI8F8CtX5HC2ZoYUvnW1bxaOZWMz3ge5nfRyKwl
Z1X83TE+daU+fjVBh7xyRF2gglQG27DErtJvYjDrqN95rlnNIk7N8L4oHOuOFLSjSZWCYXJnUpTM
MBeBgQ7uvjq4eoTvvq24O/tGPpBMtjZah4ZueKjwGrcxQyYvqGQaF73WroSPlSBnTyvZsgi1KhQq
LMdtL67/s48kAKsN7tr3NgDWcKsFfnlvo2tx8Jt+OaaNvkHbq3NPJiG2btusA6tp1SuqAcFBvMtj
diLtbMfwgw1yHZj4FL7DKONCREWwk35V7FLN+Gnlma0d0bwuDo7QxAHzYsJcdxzYy4knkWJu+rPj
IF3fA9EKfLF4+lp8iB/AB5qvsJMeP/W1X+AVRkdOowHgKpd19sXzxFcAWBffUac9l4UjfgqrWKVp
7saL8AGpfqA3m1mzLH0z+ImaAxpCs/RbH/9wOa+eLCGGdWRqLt7/C37UsxZ/u2fljyPGhhdh7rXf
TSNcsjHLf6ZR9CzswXrxWY8MLtKrICHVkJmxMHTrhlV0TQqvU3yz+pfB6vbS0bOfmjsexOBXXySy
2ZFjLHQXeZlIduOjZhTglrOq9FC5TXqxvChc6X4nv6AnF+isafaPhlcIkSXDcyf7YV0Acv/k68I6
4ZfK127n8hdXJJ/I1GzHfex60bHu0C6H1nrbbMvPfZbFu6aurQ29Vf8SB5ofvRMbxYN3r+nlymyt
6l4oNM6xL6NtB5wuNDQl8SPJkBF6Z5FKGW2bYURSXjnQQQsGvNY3/Bh5GNMYh+yZ81T7FpbJHyc9
VAnIbUgVAimQO6755X+x+ztW9CvEHCuNzIdIxOmClbF9ALfdikr5hIs/F+vn2v3NrDacRE7os6TN
FGAindm2Ze39cO0LW7vQPc/P3Kv724p09NqldE2Z6rOl1MR/+9FttUrtj/zohqxi/n4FWpHfTXf7
ZHS9f/GjT3b7nIEVAZ6lE5+0EYOHWpLwDUfzwBdmW6BNKYpXzkN9V2peMckrvNCTXJoyXJUYybrX
3C5bp1pXbqc5BbWMel5uqVw5a2nGYV5OMw7/6Tvo1anmQXxIMSh6zhSmEB3mZaGvkLAbTyRObgbC
k/ifJDPLWfle/2YxtGYInhJ0dVF6wgYI5KX7TkmLuYDwJp1zElNeX9nyn3Q+Fwv+igCUJOSwKvRT
jX2brBMvDtaUosmasnjog8OcoCGDKiuDNcl+M6B8yxyBDBIVwdAPcwLnDwMv0f/1EqFANt0YI3fB
PL1bos8z2RHobtsNxl2ANISnG5h9cWoHXGdKSxi8pM1SeaAVOZDFkLlHnyGZhzaPJU350CEqunNe
j+kdrXKt63d2wApwHfjRI8kGYMLMFkbG3ix8P4yXWp+C+3ubOKDe6gtDoEUbh7gIuzNvKg5KgMwG
toCHdiMSgnDwzcZ0BGomTeOCSgTWpBBuiE4cFDBWKWCuz1bRi7OQAV8ZMgoA1VOIM/a2IQCU1Ske
se0G47/twhsrYAGTsFYaOvNQe97zyr3M8hKjV292njBXIo9/DsgoXdqyMY52ZqSo1hbiC0h0p3YU
xAL/Hcc0o20HxrHVq3Sdd0P3xa+zJbXaecAhWmK2Q1z46JhHp7UTDGiG8ovQ0skiLBnmIK2mvfit
YR3R/ZKs+8qXX5wsmSxMvPUsuzBuLxjWAGacRMm89e3+i2GigVClxUd8kfDtbFBDK/E2ziwvXucN
GghzvUqW+PQe/l1i75z4ubZvB/1O+pEcF6SolZbOODo4F9w1xJaMG2G8uZFWS+x+51nDyyz/w8xo
tVdWA/38DzktMUvVb3vmYWbsdkFSzMaYAsMGAURYf3wussg7oJBXUgKdwXW6LQBBY4zPFyVuZOJL
YYDzLexd75yps3nZ5+UlcLt+L93uzYLMyKK1MbRour27mGXkT0s6+Gj8xJdCnmb5HByN7MkKeFv1
imSZ1o/jgi5kySY8sbYBsQ8+00fXdj2mAXYtqzbztemMLqRFZrIHG9EDiWb5fO0iaZ590CfvZIBS
0fQH0HUwgy3Xfgy+TxQT0ZSi4IpR4gkO02lkAtOY1hrAkg7AJIB+Ur0TvDslB54BcHdJUjrEyGwf
UFFQIcjgncO7UyuOH0p70HY5Y+a4MDFwhC7c+qABK/1Mh7rSLLxpqzWT5avn+3JXAjx90pI8Qj/3
ebD9aINiuzPZzgHImEx67GUBmz55Gjq33+KmAK1ZIi+urWcvOiNXXwPdVO5rjxRjlgN14IrcQbov
UnRh0MHkBvraO2takSjIQ/Pdsi/R44uRWA175t8UYYHlJGPdd14jcT/HnW3laNZn1i5JB8pD/aS3
n70mwHhYHI8b08d3Jjd6tK6h+g4EEbeK43WYMn1JRsx1EmsFHFm8vqDHYzUZTQ5jHGPnW1bdBpWB
+o7sOYUCeNkPKyn5bjInDdkEvXtqE8EPJJrC0Gnip0uetsAXuYWa4kW+fs7x4nkTTyF9PpbHsay2
ZFXVdbi0Y4utp5Dd2GX7tMmePJ72AE0OinKbsLB6+0vJhw4WgMPXKb6v7//aYSj4qjeAv0A2sWen
Fpo9ZbJMK9dZTzHNQmUR/EZOn4Asp4s7kj3YwPTfkwztZxo47uK9H/flSY8x8GThFnOiZd+XO1HZ
5Z5EpCQ5LekQoEmjXZAGE4ng2CrADTsHmA01qxuzSeNpubNtBHvoMcSR5IJvfOynDnQYQeCDLjib
LWZZUOPJbfcuyxbvTocsjLZ9aL4C/8Z/6NC/eHX6L5ET6cWyUSkYUwIIgWNYEj8Sfq/1BgC5lWnZ
udrGiir0PKolMt7+gzBAPilT4xIpURXgPT1qbUD+kDvHG2heSe08OUgBjh10bSMXgDYoP+i7VTAm
GBgu9eRHiGH6sv6BrB+4PgE5dT9U47jH+3e2jQsuPnXYcC7IpLFxE8bwSh6tKlG6L25WATbBBkYh
gEibVzuNmlVVcraXeDa8VjxZ5bEjntwuSe4YU1BZSp6LrFlnTS13tBzDElhyZfEIIJbwHuWhHyTW
gd20yXI3207LdHjWAHmo+4+pEOnVtu0UIM6Gc2ra8UgioCen1zbPMeaDu0oeAA5lSWZdd43GILkn
Kzq0dbNLTS7PtOrjJAVCEX/hbpEea92DY99gGthhRrinEGTScbNeeuqdfLLJBCiJA+7LNakpFgt+
RJj8WYctOpxbChW6oHtJe4BYTm6hmRl7V+/TxbRO+OgdLae9UgD6K2yBYVMnLNfTX6FXgPED7Zv6
nJMEr1or2djybloWQX3f+250mj8I6o7xAkN5zn66Cpq4gwVjjjuFob+qMgK0SBnADKJL08EfMUTd
6I2+oiUFxFM53Pp5LpbT5TRAWe1YBUKqd/84NQjqNE++kgfe+l1MJZnI1JZI8LQi20+ufWH7Fx5+
ZgMvegAwlSppNFwm5VhaB4wmg7kZWYW9a/TJkvG8/5o07Scjy9NPSRvHB1fT0HWm5KPc12k7fqnj
pN2I2mI7Ly9RmfaqE+nRMaovc6+qz7Fpo/3U5vlCJL3+2PX6s2yH4izVyin9cWMEHQAWK19/rJ2+
vvd4BgjAVH8kUacDDjTMw/hIsr4Ly10ec9R0ycE2wsde3wRC6CgVA0VxmQ1dsqfggM5LD5pp6wta
koOP7wJz9P5Kom5E0iTru3pLwRsNFaHELP4phrE/ctdJp8/MYkxmiz68TB+hNeVaoHN+TRE9N5V3
mlXeUUQ6+EnylaeufqJVb3fhNnCNDnPY+KtGJIuvUVSups/McyFRjg/6A2nTsTR3bqwICDEgUi0l
4BO18ZECMRfcpH4Fcly6MBpX0IYeYR5vipSVw6pjoX9PgSof7Lj+WAFLQP1Dj0ignpqy+UKRjBpQ
3Tww5KHg1nAZ2nTdpC7GZeRYGRtDoOewojUyQD/qDOmjPC7Fw5BJ485kHP8BWNEBg4gAT281bZVx
v51kbS9f/EFH5zmYfh4AXeycY7s8zU4D4BvXwIdL1iQjT8m0a64mSkPXyZACHOXGbbmBxhut3pcy
i17MtFhjcmb44pSxsdbrpt5ze3gnJ/tZ7iX5minwCLKvVJxaxVFyihMPAiM4drfX3LQ/lJarr1uQ
mHxCUV8CoION30d9xF5DWj89IF63QeB8BoVWv4xcr7qiM63FyF6rHSK0KZ45EBz/dLdc1Fvi0CZ3
8MG8uYclryd3Pcu0Qx6Y0ZmujvQexobT+MuQCvQIAityJ5KhxvYz00F9ooRVB06+ShjhFhQ7/qU2
XGikeUldl92RCAmg975JKDGSQ8IPffXm4rZ5eJmuUaDjaWMHz3FUuruSIYMmuOkgIcJXoznE33IO
dBhpmABoHEzrkpRAxnVLPfqGfO4V+GHxU59E7z2zrFyRwVg0ADpvIxcwjc2fnm5ZxU/p7ZppVd1r
qCWuZtIOOpsJO4IICNEd8BwxivCL3IP4O/7VjhR26ybrt3b0GE3iC0Pzkgc6mEn42RlcAzNkEOWg
S74P0x+0KGuePvS9Qt9OKoDT3Hyy0BpXmszDzSxTccYKFCPk9f8VJzJac116FvI8vp4vBjT07mMn
bK6hOjAbDPOaktGSFLNsIGxDWgNMHA+7Wq+vdKBYJEtoUJXWfmrq+3c+FBeTsXV08JkXrvLe00+V
GMf7CI1y6Ev2x69hy8PFKIGIYEu7OppFaK+0rBu/pjYH1k0WvAZlkW59niPlVEv27DrRjgzwUh39
GZIUrKjfh3RMB21tKmQJSgkzsvzXrBL/HhKc7/op6wv/2NvBYXCqeskxg/jKUoS1BkN+lx1qRqA6
jBals8Q8Hd7++h6E2KgyftPaGvg8mpe+pAHeFHA/FkA8wK0nxTTInSEqvos80zzkzGqOPWjAt5jD
ji+lLPgaXS3V40cX7NJix/3KpQvmlgvAYoCeHOvIbL4lgygWWtWlLyCYN5bY1YiHGr/pteYb5Z1h
2Hw3RJ15AJhCc+zUBa0O+JiDHgEYEGwOj2aX10tTd9PXEFy1CzBxijt7GHoMWYBSs94CP9zcNhbg
ahNWyYXTGM4PPMLHWNbfMWSiCE5C475CcX1PprXNvA9MM694M7XL6M2UomYqahfkFFVL2fuof5gK
gcfbL1P6AIWKOli6/u4DaLUt71nfLWxUrVcYeGWHIWPDp8S2z4m65adZPK4qz36Te+Awy5T8D3sl
J3tXxfndfo7DdWxxZMiiugXiQ+ju0JAYYxdi8Q2lb5no440ucCekfC1p5yU6Rt4b/19958h0IUob
04V6z//HGfENixZMRvaOWZWH5x9qM8Ah8bbSqtxTAXqnSTZr57P/qx1FYSFuwf8dj7SDuq5Un4A+
y3y1+ewjO0AgL8AcJgCQi9tIMWIbGhoABY3VgUrXsc3NjURiBFCR/8PYlzU3qnNd/yJVMQmJW+PZ
sWMnztQ3VI8gQExCTL/+W8jd7T79nlPfc0MhaUs4cQJi7zXM5W3Z1QT1oP4rtbrmAi0S8qAlO9yY
ZX4syUPB+MEMRnjrWrTxGK915xVnx/PfDZSiKNtmW6XYHxhUxET8KoxFMBwMGqK32uUEdZQrXnrL
/3VSMeqlJZhznbKEH6TsyoVhG5nDnWMUZwBZdDGIGjeSkSEemeG0d1oomMJiDxykCYpRAoIhpXYW
xGX+1w7ii0b7jgzpF3DrhlcfDO9VDGjXUdkj30eM+uueVNlzPcKcUAA1+s9JXVn+OSkfGd/zf06C
PEu0ge9Nt6RCE+ixkABkOi9QZGPgNtruIJ1gQDdNVywtiKoczICB4Jh+0zQHqaBjM0eY/k6zDxrz
dt0ZNZTZ8Uo1rjrc1FDm5lRodbipocTy7LpRtUxqV145LYAI6Tpn4ztpcS3hJbjrrbIIzShEg4Lz
CPCYnfbF1XQBlHuuxno8mVYJMvnSzktnY5qQ8YKbVpsh3W5W+zXdtP453Vxu9Bw8sPs/lHGRs642
bNatuqPmyikob30G+GYGTJzWtAlNn0HJmb46Fyoc+9R7wP1+/i8u6szfFWCWoo7qfZ9PSKduJ2Lu
iSc8zn8N/UfM7+kCwf9LTA9NgU02wjIdQAiv8JHJTk6+6JMnCtL5k/Zd2G0P7hvAcdk+aKtkaZoO
L5plNcUWdGkx+s9JQwnKRE7+fVJfedPOjIITfXJp5kKjywOY1OtRPZ3vzU0xPFFQDp/BF7QP6e9+
lXVPY+9bz74k9gEuq+7CTcU6dmT9nOdpd/Yztox1X1Uhcj5V2ESWtTWjpKPtQxzzT7dRa/S/qYaT
Q0fH+hmatQSONHhxNbHmoF1o9KLsD2FiLA7vKH+ZlecIgp6XIAXGiXhwViqS2R90Prg+JCI4wOt/
9KUgUS+8NI3+6PPdAJtyblc7sxTDl7mQgDGsJWvchRPJ7GvkFltP5/U75Oiy9ZgOcE/TFRSEvAC7
zjnC8dWegGX7llAIR3sxxJjFYBEQ7ACKMBHA4D+AlSHeULl013k+6h3zeP9EXFLASM9Nv9bx+Ngh
TfvaqUxsGt6I3WRT8Vx0QCibNbD9f4LlMntRGWQpfO0gId5M1nOLyo0JYNx7Aaa23kLVcwq9KiVP
duxo6MhF+R7EgQhaku74MNbqzQyaQ+CBHhCj/Lkbqo48RbU1Hf0pPZt4E0EmBlG5wdGgB8xLzhW3
WOf7YdIAMxQNgZJlCwkpM1pFFXssHW91n0+ZXy5Z6/G1uUKHve4FklwLE28OCTy5ljZ8pdZZRqc9
S6EI+Vp19riFxw9fQJrPuTSV2yO3Pqkt9PT4Jetd/7YZiddD3zjf7pFWQn5GBq0PI4i/I6mkHKLS
6TqqiJjAjyxB0+61Ck7IXAcnc2ZJLnfcY++mpedBc3Y7uHoTJ8o73OJtYuPP3m3TZcYstrwvArx5
uWYpTLHikndHqqodtAWbi3kAZmXfmy7TMv1JKfujFxW7aI7yRnfc6byFZTalwOG41msTxMmJJhy4
kLkpK5LtIStjhTkoMa8tiM1rvwQ80Yw6HFIAdUK9rRnNoaC/8AOrgSgQ5ubcPdfpOJ09Hy7ejpqd
4SerDaMAaTaH+yjVzoc8Llct75tH0wIXJ3lQ8OiYLFneAsCZG1ZMU7GqaY4UZtcnX3WeQHt+no4X
nxwy73Dp+j0BP261ZfD1Ck2EGfBLqwSBIIm3t0XKIVtCOd9feyk0QJ1A9OfCktPCmBug1PPax0l5
zRqldj5eBdbgP3kfDvsZQLxCLxsXIF8z0wMmHj67MFQwM/Hae60GODwAL1TjAvVtpgkwMyca/5xZ
K7kcB/0CxLq8FoEUzyx6giI71FWt0fpWsMx5MGNJwYoVIZZam6YA/GpfwTRmYZoxHB3mmRBulVfT
83s274viain7/8weXGzLzYTcg5QRKbIxVG5p7wMIp61Lv45fuqb6UeKN/ltujyvfi9mnyUNKeWqI
f4L6grWPohb6G3Moyqb30CTvfoZyWKmdGuA9d5n3OEaOf5kCdUNBmBZSlRuzbU5Ggf+jf7TmSLMP
NpHz2L31z3kz4VvkIIv3lfUpyoZ0OXSufUoFjJDTvtbrIakk+Erkm/lpSCzWJtTOIMpnQoFT/89Q
hrzOs+VBPpigbi8qq926TvSpA6DvlAG8by3MAPBYxcHlkMScw8xh6GyMVnYwLcGLeukC2BaqMW/e
6hjSn7SibK3qGKKh0PdfMHAGodw2Nm+yR1W+j+sr9pHWJS+nk5nEGRn2Haw8QjOpc2DEoDi05c0k
z89KSMno+NTMa6j8GgPN98p4mZx7Lt5NEPClzc4sAQMbvJXL4APkDrHwZTCe3axUjypN9UJbVvAx
FKMKk8TGvr4m7TNS6GfTj6KgXOkSIrsRXtDfg0reFgJ7vd9oCmV4sy5ETZYK+cVX/Ls3+z5C/b/x
RPTRO/lrlwTxMvb4uK8ESD95bB89PcF59/fBuwi8QJ/HLvcJpD+7R4C/kod70MgT3N1zlW1vIV0a
g8UUNcVzjJskEozpJYf8ynPdQYK5x2FjmjGd4gfbV/HC9ZCVC5VH4XvJ7EczyqRLlgwqJGvTVHlb
HmnuviJ/DHMJuxwfY7zAn9RVVtQH8dixV+ZHZZIcxrpvrx3+nqDTwF0I2OJXC1SdXAgvLc51qdzH
CeiB268KImTDLLI2PGjqwPui6kLPx/1mI1rRLp2uBAcWKpPwRPVIsWHCzlc+sqA/O+cRMvldvwRX
MF4HaQCjvrkTGl/9EYUEjAyz/Xc2ZpD3aLEJXpihpuU4jTm0hD23+2z6gtzTUEmkX2/MhHrI13GV
4K16lsw0fZEUn/LCAbd71tSsNd7WoO+5u8XPXZPn/vekGx1C8PavSaWPjK15CKfcXYk5OzmVSGan
cZsvNF765Yq6+JGDqQNOYU5SZiY1GYBpTqupOZm+/888ZfKdJuj3PNO6TW6hox4fkSOBcY7xN54t
j80ZZf27V6NW21kEVkoRSHLbvhdyAT0cFHvm4coFh0gapyVwIfgWxQS5yLUbQNk/2VGoFV95n0Bi
BnfMrWkCiljsALMuQ4f22TVzVXrx8fAzLRMBBt51pKjPu/N0ScA9mTwkb2+DIHLs0wKSZdFQ5deC
N+7TKL6a2aZHe+N3cOiGBxgAiGWeF/U+msp32rbkqe8b6yBsKLd3VhPNaf0DwR/6SwoS3k4xpVdj
4kefGp9CGjQib35Q11s7aRwINSI+OQWV8D5B9ITjzknEVsR5+95qEZpp45RYK5vH9g5Sm/QldVL8
4jCtJLpfBm3XHHiaNs+NS15MfyMsiOLjDRwCQDq5AJoOBS9zHdcHpjdoCkhVpwFEEbDrhs2rfqiJ
rfe9uwXCenrjKh+P7YCqlmkyq2brRmDzbppRP9oL1CrJg2nmybcBumKvEI5rH4kovplemEdnW2R9
6lUBXaQ3JRwV9hCXPpjRgTrr3IY4aaAUqn2cnk23PVR4juHJuDSTIJFZLMVUuNA2wKciAD6OTFoX
CP7RABtLb2DuBZbu7oJbbfXNjX9AX1x/ob7nhXVSJo+2h8yV9BuxrvGW95pMNZ7hvPpG/PJJSclf
GxETwHur7FCSiJ2Yk7FwiPLiC1XFbVGkg2AxVNjBpc9Gb5Xm6dIobg6zyrWGisQCpd5pfRPmNJ2p
0ejMeawWHfg4AIuNeK03k7oaYCOrg465TS31JEkNKmEryi/aqr83AwRVClfBJt5V0Qolb/mpQJ7D
BPgKvxQxJAO2bsJ/ROGU3wYsbp2KkrMXh+t8y0YBqFFipW/ZNO6UHMovdt3PctiEnhLL1Uc3aFlo
Bnw1LCEgZz1r0R6gATmue17KnW47eQVc8c1cVyZJi3cpWPl40A07WCiur8xADsyDTr90FCZ7yoKo
dTWU/cVz4CBjxpVL3mFjT575BDeVPmvtZRMDXYCa181iGL59O8sDUM44DBtLYWRrdgkF3O7Wmp2H
/9llfIibX1G4U5J9rjRyKJzhnmEzcWC2Iy4MWhR4r8inLzRVZ2S56QupkbGrg4Fvgqn0X0QpzyJ1
xy9wDx4WGgo+F99y0kOpswr6eA3sVfsrcOTWu46AWGHJuEKKSEJbShXvAd5ZARtLniSKsxf8Q0K8
MJLvE5Q9Nk0u2CqYo5pAQFPbbyrol7T2CxxYwhLYpneqa2CxIa8amsXq3nVDmybxwYz6nVq4Pphv
bU/ibTHZ/tH14J9jrtCiPryCsYfcmmaf1uca5hq3z0FT+WyWMJ8jiwAmMRfIJgLO9vw5hraAzQc+
h5mdxHzaB3JW8pk/LhQNV0nkkh102vqDOfi/z0xTYntXwaXo1/A9BhqRyHR7+RCavkLCCHdCgfW2
zL3PnN0HTNy9j5XwYl5AGvJTmqZFODLwrySM5rkHegMcjoIrbmANnNZy8dpAZzCEbl/x5lctDOzV
1L4jrwjjnbqzP8qkEwsnmk0gbOdzDYeRLzoIrn0c9V/n/Hcln3jpwoAm7buNVGrCji6ZTqnvgDE0
wSC47tPFX/0moibgabMWmZAOdxznjxg5BG9x5IidiTNzb4fUKw950m1NC79RzMrmK1o1HH2HHHXn
+7Xvlywyey91xfYm9jatc/JuJ936avr+WC8FxCZERUKv7he/fb4aSv/c1/TBRJufz4Qo14YFmoPH
8v3i97ke6sQLrQZvbWbcP5Xr19VJs4Xs0ySETue0DgaXPZoDnyZrl3j8M0Pdj8GNCgNwchBLiewO
RDMiP18xUR5qNviHW0xsx90h7qsj2Pn8toqZFkFjZ9VRJDjjDgO3YH/039PAj3b3SzZj3R0T3BfT
CPApsF3E2h8em6yTx6CEZAFvHFB9zWkf26Aw5nLYgD+ZnGKRJ6fIDDspiZaOziE+Oc8xI5TWEr8B
psYdZMoeW1naOxhEjO+R99Y7Duw3fc9aQWhT/KjwFKxGa/haZPStsePsc1okeNbGjL6TAVuJ0uun
V4vivw5+zP11TiEvNRA/T6qFHtYooumc0pGsugnPn0iUYtNHiTzqWA8LF1lmd8V11ywE08NL0ZI1
1Bqsj1xous6AqAWGCk0FMmDeo7IHrImzZ4PXLmNR2R+JSH6UGfHPVUCmmaUPIerUtT+wgWYhlHWd
wz+XtXVM11yV40ZROh76FnjoUUB5lGXpO+EZGMlNDgM5y6lnz5oRcgcokMEnHIKLLEteCzwdF1bU
D9+DHChD1Onn2S5UDv6Y3XbDAMHUzt3hV7kG8gCKynMxwpsNy8zhn/2DMS0bf8XGgvUU6CnQi5ve
vs03s8wiomqAcM0KtnSQWq9me/t+fox4vPYeqwzPpvn5Y/r9uet3lJ6j/tllQtMk/iPqvtY8MW89
uXO7tlzpiGND7zD6WcfP7tjIr2MLvE3bD90phsgMDCH/NYBz1p3KyVinCAiD/LmCFikUNP3PcSLT
b0GJvJRE3ZQPAyyzxvYRtqpsz4dIrL1p5K8lKtHVDGGLGv9VKOwHWNNP68FGdgkKb9W5jXoZmggf
WLR5raSF4QJroTeN/RGgjMiTmGJ1pTu1Eq5Dl6agbYrVtIKMpukzzbwGZt74n4wMxijJ7JgCHROx
8XkOWtHcrHLn54ApOhCO0WHEI/GvARMMiyqxiaJ0BzLk5xGUlo+oVkHI8mYCvjy2X3Ajgvg2+lXh
+Ou2It3GNPGKiMpSzl8Bl/f2gMKopenvKf+R9K17LkXjPg6ODznceTrMRcDEVNbPZaPJXvNKV4Bi
446vgpEdqVey4zTFHVDoAKua5n0gEQE7ViqrH2Bq88cE049cGAxvzVybO8nKrSfQpSwRbwov69ak
jPjpfkZQX0XSq+LAA+Lsr9FYNR3EIKefo/18Jua+AqY+K9nKEXdoQq9jRE68lc1jQxr/yoF4XIxJ
Gu0nOtJrlkJHfEineqPmWNZk00YQ4JDM6GR35YG42P+YuZHCX3rssAezrpmQvAy8H6//ciEojNqL
BEqbtwu19kHAUVLvYEBPobnvaVST6iC8c7IkG9c2k84j8JXJ8y1C+9gSDUFJkXss2ksU5zago2kV
vwtL1E+BrLvQykr3XVHy7uCd54cffPSpw+MF/Lr2eSDZ5wGGNosUntEvNgiVS1Hz/DFOuxxypUG9
B2hzpnqqfk29wLsoH3iCtPDL86Dj73Eayb05MFsWtzMFN8QxvI+kZc4z5Jl/ReK+VeyRzxhXDRj1
PEnbjSd7HmLHAnkN+MYfKl502GklwZPLoZpKdU8g+dYGT6ZPUbCZYK70YFqWhdt1QROklcx8l1o/
AHhOkNX8it1Pn6fsC5TfymUwZtURGqbesYnKeGkCIrkoxhLitkPu5ycvBSXUKOhGYtZhDgRdG4GA
sQCrOash7nUfnVLuwbAeCvs5QB2r2s9hEANA8ZZZ1fc4s+jzxAr6HJfJVpUO8gZzq4BK97ItOmTU
JuY9t9C8e4iU+m4Gm8jzgAqmHwSWVed4XN9Z3nVseWfqrW+yyM4QuHML4qjqBM5rS54DVtV7nmsA
9JsY0I+/T027cKuXBHab+HdNeg8WC66/7xzZ/Tx153bJwWAH0BOnbNL1z5WoOTUBZsgsdxu/t02n
iWnNovPlPJl262ZMAHvqc7rgA2tPbZ1E3rKT+SvKptnu1ryNeEdmx9bRDnJ9Mj3mYGml92WfP+i6
BZUWrmjWmuV4f76H3GeUTQLSAhxXl2bUDJTWADlAZ+TfZAyo5c8P4Pl9CHHbcttroOBWiarwhzR5
OV4lPHemZ+FQwsD5Zyfkjkg4Bm68C5IcTssgBV27iJAFaEzdR9YX751nN98xLQwCeHYtQEoNO6ub
vjc0fUsA7/8YVRbhRsHaazxIf1kAx/mItG29oWNGZyHfbu90KdwV87Q8Edu2V5bbWk8Kauchfl/e
0XK7ayNkdeQie+yToYcYOCgyK+b5YlXgXvLU+7V6AjHqJelkCxUltFI7J0eV1gcTQCYHL80SFgZJ
bDnLPybR4tOk3WHr5uneLNMozz4x8EvBZBhziG2qbq0kq5dm1Mxs4+xHkkzZbW3UGiDep9uVCTAX
lzGMM/CEIcjYlNBlkxSZM1UF/e0SedXm58RWIQUde5GXRXbrd+DAtlF2Zod/LJVbCmLhLAAdFz9W
S2hwxjvf4rawY5NgQ6euAcMXPyHShy3eUcZgZb7Cofc8CddlfJvmgFSGdMN723z5Q9sWf3aaYTOi
vRgqV1NAVxACbF7iKds7ca8/Ac2YrXjMwWy02+x1vpU1VaQ/uVXcryJnGFD+dOydJgTpOVml0w7W
wvGDng99hmc1d+GNfB/oOjz67eK1cvAi5EM2awhwNxwkYOTzwZyZPpgzoJoW+YwuABYETP6/As2U
W/R9th466Eb/D1Ny3rfgWtmbv5dpwR3fg4T4nytVVgXl8/s1zNlf0VD2xEM1QIqctl4Irfv0KOZD
Y40t+LtSpkdzEBFsl3MrLdYmxvRVJubebiwgM8ikd2b0vtZ9FSLr/EBBJkJi6957X8H0meu3wmFb
BnvIpKoDtfwrJJMo6s56A0ha4cP+tRREGOrN1I5ikfoEf6lCP1tVw+JtHHzN+oge+55CNB2urXKR
tUG89VgqHqPAfgtqaR87d0KNpWkd0Pjj9JXLDpiayaqOEOIQr6Imbxk8HB7NoFfFxwgypWdnlOK1
r/E2lZTuE3De4nVoXjOIUcLZGYZCdrYz0wE/kc+WwvbOQt06rR+zzE/OLVxwZo4GDauesFVvIyMA
y1agHhmsXOeIZo5oVd6sY3gKhqavaGTJF8jCnTUIG4cAsLPUASjDYipYqwiOlHSyJWrXab+yBDwR
4qmUrzKtq6UvI29rRiMHTErRFMihYPvxzPDXbHvCOZekdc4O/Da2w9ShbGD6Rtc+Kx7AHxBIw3Ju
NWnpRQsYk3+Kgljhhj1PnQfGQJOlXcDBWAMBEsGe2YVMcF98QEPGOUtWQI9KoozVB80KJOhq3Q+s
RCab+nu8BgI+lHXl1RFV90TB7TGDBAylq5eiKFal1tF0+RGSfx7vq41pDgD6wyBxzELTbLA/gNme
dVvbrKh762glPOypHdoWhdmCpsEVBBd4rvVZvq19FVx1Irp1NeDXZkYBImsA0WXQpZ5HBz7BLh0K
7aCxFP4+6ONsJ+CoelAqyrcpsrRHUrvVRhaiOvnzXrd1p+HRHnxnhQIoP08ZIUtFp/JJAEm6RELa
eaYABocgG8gXpPmK0A209xpVKPYJmLy9q7KpgeyERTun9ne4B9LPnRO9eME4fm15fEIWr/2eUjwl
0gGuqCSKV47TdpdR5/jTd4JDq50oCUfLOoCWnh1zSbtLMR86R6xZ6SvAQxFvDgFojXQsXLxU/u6q
Q5B/xW0KBK31ucAuVJVrDmLGJu6g1eS2SImPrDwIzdMK9OKsOhALB+Q1+TKg1rhMA2SBHV/Aksdm
yZOPnf3AvfzDonWwsvu82pom1AlDp4fga+UN0aF1uzE0/cB6QEfIb9VxKgZ11SCPjaTOP8aSSMim
o57qUCk/oKV5KDjybV4i8Y4DdfyFCWtH6ztkSLMdHlz2kcIj82jO+Nyc7DwKUYJVkCNB0/TdQ8wZ
Je33unPszb/Nd9oJWsd++tgMkzoNBJaIecndDz8udp7oku+olbx4Q++/Kjb0K1445YPEBu+haut8
FXf99NbV/GJCBzd/wN9E8I50prXkTUrhGRQ0h65p0nWRJtML8oJfSTSWqwA7sIem0atMgxoCaAVu
9/GI9EPpxniIg9ZEm9Z6djhMHszaTvJRAUD3tY1TWP4yL710yYjallNWW1FU9BL4ZbDgeO/eE20X
wBY3JTRWulKAdDGIBx8Arw7ArH0TR78GbjFm+BZ4G7KGNqwSqMaZzvvBBP49xwz7dc22NfN2lU29
kBTYH1dmrUSQ5MHy+wpv3abjdvXYdi7Uy+jGLNmoDDKYlHkHH5jHPUsoAYy6dCC72jPIyvNohyKX
erBR0F37GYrUo0SCqWst9TJFwKNkhLNPsGAHEp6QH/hHh3QdtpBDSdeXIbLpVxgnxAsojJA3/NV2
oZAZe7LbeFo1dd2cUgdgUQ9QiT1qmPTA66jaREKzxzyyvKWvovFKnYovvKiLPtJ4eMlAxfxO8KLb
abzY8SwPHiQ0GPK6pN/AiPmcEMLebV/JsM2AK0h8D7wTgOfx7aKULwHkwNM2yg9dntJN4Qz5I89F
toJ5IX2G1kAW+tGErzvpPuUsId8cuIelmTVhU4wNc4Z0zndJ9auju6sPl9hDORRIFo6SyIcKwpso
SUEsdT7Uqgd1LGX+qYsGd2dZbXIyo+bMhAzR1MHqU6OEEnAbVkW22gjoj4BLigI2SmWpF4UN0Puh
rvx6U+IZ8hLLPlnUfWIdu7qKXkQzfTg0huDN3Jrq+Ikxhz6a0MCG3b1No7NpJaA9tXkFMdkS98Bo
mkJ8RerZzOv51YfYxBVGFE0IAjHdyIm3Z3hZqnXhBmPYAfIWALufRI+0XUUWDVDYI0KGBWnjzW0U
1oTZPsvqz8Bp6HMP0FolmnCKSrxnpunGxZf60YtMr0UA87QRDLyPLHvMAet4B50Q3sJ+DOLnHIXd
7GMR4csDTtJHPgHEdBMuGJhAMb6jRylZdNaF+mHiXVXmSz/xy4O5Gt6mocf2f69G9WPgEfvdS3i9
U9xX96vl89X631czq5qruX7x82oKVzOrmquRNK0OkeDITf362agXwQpKa5hsjdo6mENLQE51xfAj
8V0LbIVmgH0GgdndQwyiag0tHnSbSKffCBGlPxu/Fyggl7WhLOhgyJpZDy00Cx58eFqB9/K7nZYC
Nqsiw5b898AtxoRDQ+YwDRwMiSj43OENO8nz4COzE7UGqLPYBRHA2M4AM1W/Cz67DXzWlC6HR6C1
IYg71wttPMWQpGmb9Sh9aEo22RMwY+piDolb+gd70M/3LsfyrEPK7GvBrJ9Rru3qQzIVrybq1t+i
NuJq5+3eBSpPCmIhnkbz8oLaARLe/RjaerAvsE4kCxlM2G3EgX0p54Pu2FefK39vIpKxdC6pZNsk
y/nRdJmoyV/oPGsupseVbXdqcw1KARaFZKy3JJ7XrwidKT0BnonIDp0AKEGhcj64FjZCSZmfTIAL
A8yLq7J1QdvqZOd6gMdcYK36oNQnE2/CIG28mkQ/nlL4fD4iEbeEzDwMh4Iuu8RCdCuWqPws8Kew
YnQoHl1tAbINt5AT/FyyDbYs3TGTrYcPg/Qx40xt6ylG5UT20AAp4XIaeILu8GJd7oNx6veyxhsb
sUR1kG7JtgQG4rPWL9xtgI9+qMcHqNPJXRfpGrz5xDmDeTuGXudPn2JwSRyF4jnFA5RpoPCGWLMw
5UVyRrKObhs8VbcZFKLOAy/8kCFn+UE772BbRfwjEFAtp7T7VJZkCgNU/M9drdQWyp3QIkiqEQad
mVjG4Bp8QP7kZK5klXqTFa78zEvAAngj80vWVPE2YeWwazju1VXc1EsHju7vQjoXc6VyGFZtzqPP
xAat1O6ld3GjxNoEwWwY6OT9yYF/6rKWLSoxUfFiJjV9BB37wPkiITuwGIVfgy4+lRt3pNh1ozhy
BKmOLcuOuc8BUmvEB2xL08SCeXATrROXt3tb+sMpD0i9HEhWflQ5OThBrr67zIGRwwBXKE+B3ZKr
5ATME9tHLjLvYM8V12G0SogeOM13H0khYJe+pQUYeiN+j099g29XxkTvsG/vVgWzATfSsp+Q2IE6
gAXd1YVwojTHXTcq9zmxy705+6PTn0dM598j9/ABAmd/zDYDpq+uebdoMmCppOPEJ1q1CdwliX7V
LoCkQ4SHmVuN+lVGSm4BXadL07RFG6zGFsBO03S8USxrj5Y704zymTLp8XSGTXYoPjJsb+eDOau8
sTqYwxBk9WESnURF+V9i7lOUY9NVD0XMhZnH1FRUt9N/m3df++9LcfUdJknJahyhRMClROocr7AX
bjWbYc6V31LiSBrC1UI8m4Ast946D2hd00p67CgGCKnvTDPuQXZPkf5Zm5kOr+0tNNH90GTOI7wy
PNhNLRZm1Bq0vrj4vUHeuOhCHZAFLm493Qab4ZPX29bRtJTAExiU7Q61EHysMYHvcSWjbG2u6lYE
WVoOtDAfJ//kRngx4XF9bLAHPBZ2DY29DBhbiNtVSOvPnUOpYIiZ96E7QPel7TDVzIAM989p92bn
Q1qGAY8Omcxfi5q4e5MMmdw2TvT6xyXuC5gr5hDxcnKe7pccL+UP4GlrUGS9yVvYcE7agrPMzl7R
MPiMzXddu4RfJ57It76IZ9VCOQ6eZ3n8hLRlfYzxsBwhvPBkukaUhDdxCdLcrP5166NuREJkR0Fw
mmeZAZFabyAYegcz1cXGBvKjALuhfoPC7SmIbP6ieg/P3Lj+FNDeWgEiU8J7DTKutZuHpj/WQN+O
qKFtqUecD9tbmu5KAogJyez0Npvzqxyz6L2pgEkCwDJfu/5QfQL2dWlNVfyWp727q5ykXpn+vq/3
iaXzF6CKon0ZAAdg+od4eOq9vH3mcQpTrTKiKG3hw01EftWTD4M81uAl3P314ZwckgGJtrOzK8F/
HCNsQ83H85yKgmQorNOYEuvcCxSkG1Lpte4TdzVYtTqj8oDyQTqQreXaaA6kOQdJ1W+n0VULEzLN
ceaMJP4GDwM4Hs+xt/kJwVYtUtXyHhtPk3i0pm9msVvUHO/nyPRWrk3WEo6JwQJile6+n6aXW8h8
ZbOudqy3lg/d3vSbA09jufEhwRQGjpUtS9+v9mmJdHFZy/GoutHbQ4mArLMJbxQk4kjSe0nztev5
Amzf+EddDu/Cy+RbUbv+cgKY9lTawMpmComPeGiqJ5VaBDI/wv4yxWJpJmV18kIqRt9UhadJnMse
qq1TtOtYb23Au/Quo9PlIcVG6DMBrA8Ge8OywreyNVsGiqcCCOBDtzX7AH/m+ypNnEXeUVghzE1z
SHJ4zJs40zTBJg6uFN1tKTPw13rJTDk2fff17nP/Ws/EFf+PtfNYkhxXuvQT0YxabENrlTo3tMzq
amqt+fTzEVFdUbf/+4/NYja0AOAAyMhIEHA/fs407+NeHn3FUI85HuOxIyeOE3uroeYsJiH7cuQL
/PWp+y91/3/s/jVKapY+ArOdssyaUj84I+dDLzqIAs51/SAutdUF7UxUeoGirDIiALx6Ridf1KOV
LGLPMVelp7B0K3V8gKwrf7dSN3+P0ig+2ImRzEVdrJBvoA1whIhWK6mWQzhYz3Uh6afWgXNKmA3I
/rJ1k/W1KJquBknTi5sVBl70t1oe4ewmRFTMAsfW9i6/m18fKxMq4e3Q2sl8lHLYKhsX1TFvWeiW
/irr0rsbSOPPPMwXRlTE34C/AbHKRXqVXTOFdD4N+AGyIWtU4GJNqMmfjuZvRCeFX0St9Mm7nWrj
ojYH0sQ9B8mBtNKRSMrYAg6yd80ciUuD+rEP/Hgp6sSFLay2Kmq4ERBt9q73uqQctoHMwiGKooGM
EOlQWTVL1j9miW+7F15Xv8cXhkRYYSzxwuOjvqmccFZajbIVdeKCOCkpmF5orqZBQ0UbD4HRW88R
JJdKVpps/ynhDvphunUOZQUlspgqnFxNu20r14KPB0BcUHKQEa0JYfuN1YMJFq0QnwYHaSD2L1pd
KKguox3viC637dwAJGOG5bNoUw35VOVpC4FDFm1cy0sWkET3s8wH9CgGcwywBXwhaFxMNyJ7qrNC
0iVYitYMRoxdb6b+XLRWnNzhH8zeRKNHuPuWkwEi2sRlekYoSH49I4T0P2yORJuxwM0ABqjcS0at
bFPJSnZ8tyxzgYGcVlTa+2ba0yd4co8GCKl1hnPn5CNMtGotTzvrQzIu+VWHV6TjrIWrJsMN/chk
oZDK8mxUBLe1nPN4C95z3vukMbgaUALVaQNQRFY0U4bS/swj+VMb2DRnYXNFXFC5NeCZZ3XA8lv5
4998DbjQAE3OZHwR/AW1cLbpHNxis6j72zFVEFIRe63Q8xXkAcMdrmjlL91Lrhox7O/cLz51XXU+
+2CIZkmbRh/NCI1hP6T1W0vHuWZY2ouR1Bz8jCJ+BgMQL5pYHW8jX+OiUjgvxJGzIZqozs3a18+m
y28At259MiDhXatqFx1dINQb+GGdfafp0VaCQGU3kFqxS1sXkgWbvyzRb2VTAr84kPygrbMg1Y5m
0n31DmnEENjgIQ3ehrYzTpHqIIzm1d1bJ/Xu2uzrZimKBbTupD3l8V4U2UVvQFcnT36WJTejqWFE
M7s3vUrrndvYxrxA2OOtT9CozSNz2IjWTum/tLxXz7Lqui999UMMpRH/OIZ+189EH9tS8L8ZQ7US
fRBCMWYjKUUHBQi36ck+6sXpeDSQczqKT4+LciV+2fxRm7X9eCymi9c36s5BrFBYP+rdoqyH2Ui0
b5Pb7aewfQz4sIsj3Vx2fW7Cp8Xsj4ZHsclDf6HFbbZ4jCLshImo6wxVnsVJSmamEeOx7ytzHrdS
95wb2XObGdIXhBQ6qdGWdE41XT20lhMtRAOY1EVXhPo7JEIWeeyFuvHjtHlp3IFfRep9RzYUQ4ln
p+cIDaijlbOv0mxb5jRD4HoEWGTVkv6muLAOGbEebZSgKF/9RNmL8fVKyuekwHQn3czCE6lkpJJM
4w6tvs1KPNO5bFnrLMzldQC2+C2rs40wqGIOxG6CGzpkET/Bu4jrWNxRUh9D7gVm/KreJ51rHzX+
vdPBDMM53lp/V6VeMjO1PgLWaAzWCrkDY27xKrqqTmFc004qF2NehauuSYIN7GjaynLTEbF7v1wn
jQQk2FSDW5xHJ4mU/SO+j+Cmtn1z1rpmcW+bqjyYSrcZGI9ZnrV5NM8r3oIWe5mV6BGKbmSnDGnR
70UVsPLyGmmoHk/2OFVg0cZpM3vYk6tCEH3wo6WoE5e0YxEuSZ3acUbp8D+1OO9QLJRzGEAIFq45
7Lo/8l77q+VN9j7kRTqXald5YusZLBGWqs4d/5drztjKvpuwBn2ttxsPr8XJbywQ15EV3jj0m/NR
IwIUtoDCXa+UvgiqH8si0r3Z7/ms7urXtfxSDD4R/95+U/u0f5V9uEzjMeMApMj9a9QgSRVEcrcQ
rdrgByiHxnzPU2udJ97CRbB5Lhe9Afx8BUdM86VLDuIBRanuJLK8bkEzxrNCGdNvzdN+mKWdPg14
VrYwkPurvh/8T91GR3wyMNnLL7rUGg52XRnneMThLRoiRAO4K/MlwivGut/Vawt13Dc1irbCoJG7
Ah8rWrCup8pHwmPkPkxDqmG+ZOPTvyeBpq1GlYNj5uNMJ9fpRRh0pQ0UepAtstdKZY8XBqXmKRnh
n8dJffLfHo+TkliG8JFJJMNoo62mZFBB2O6rBC3KUxZxcAmi9q+sQuuimErAIPpJeh5SUcMlb1wP
HXK1+PmIVlfmF2JYRbgS/ZMhG89R4W3EQMLCinuNHw3sG0Nfno1Qa7YNUgVvGjdbD71+83K3vTb8
zkU14LJhk9fA2O9WlU92aqmDvJk6heWL71Xyq02Q8wTveTkT1ZKTVZBXlOEaDmT3TR4Mb2YkTnYO
SWR5Ib99LswKVYpJhgXKIoplNPSLAU/v44a6sgtvo72IzLA6gxeyT864rNnzsepQ8x/VeVrxoymn
xhAWut+WqaiHuN4+TcwyE9U+r0nQrqLKrZeiS207Z/SslZ0YUzQx1WMWYQTiSNyBqBY14pM9mGLs
R7W4xX+mfBg+qu36j7H/ZzVMMSzVIW9l29OVBaFD+4BWDc5LJ6wWvtbVX5CskTYpmz/YNjqzrFXt
S1JxoJLsXl4pcp28gqp/EhZ1lsx8qL2SQG5epIjXkiux10tltb+W6JLN4mmciPeJT9LNZ984ysKu
e/vACggLc5ij1TlNaTKlMMWd4Mxg5/k1JVA0eeWO3n3KxIzMH4HlvFl27O95L7zKKsQeM8Mvtb24
aL8/dZkOKqvkiF0UsrYf4875ZfiwuVfCRa/sKg7pmg2aq1R4W6kyp3dHMv4GJOh8mi7o+aFir5J6
tXm2TJJVqtSw0V9B2Sa1jOySG5V3GtosgYyIHq6c/yCwTdZC0BYHrSuluejAC4ZllFek4uXIxabs
+PzJHrFhENx48ry8yLelmtpLMQ4/2Vlhuvq7YcowkcSdt/YiPMDWh8129tNIOw4CUBhtOM9AMDup
3enlfarRxEOSGaG8jUyCUFrSbMWQKuvkoh7qcK/GxM+UungStyYeXpYalWQ9HLXTw4tbM/gRzHOd
bEXx8HLBvlJMbrlqNeuM5tfDp97PvoMBVgw2PX/stumtHOLi0MmJdP9efj+/C/PXTgG2sBD2qSyz
SlbtH88v5sjzX88fVLW7rtA+vz9/9S26lQoAjTz7mcmxBUTLLeE45UxIYETUKPIQrXKtMheiKBqA
Li7DwoQtYeoTSVa6KR3IoIqpKOqMTHp2mx6loalKMkMVOYABFIgoKoZ5g4ahnRVtGexEnQOO5wgs
7SJKYhb0HxS8wqO6FnVlWCkX2YTP4fcsvd6ly8aAJEsq7P5iWzBoOClxaJR/03kAcd+sK/lPgp2Q
o4iFxkznRxCNcTAZ+pCqGHx62noEeKaiZbfxybXti5AFEQIhQiqkjOElzSWruguJkMQEX5AWsT2O
NO8i5EMePUTDo4doAFH3f+nxmIOE6GomepAIzFqJE+MkhhJzCBm3x+Tg+sLVGCgfqhT5tzAClYUa
nrkRRXFJum7VtQljELG9DXCXnSIl3Io2UVVYCB1X3eDNH50CGVWJPAXSIuocaCGk0qkObkNYJ0kb
d0eUd9f7yXCyWzdXZ5DCD6cmA5kIqi5cODBMquG0coVtT7wlueiTO30oB07GIB3gzqBoSWW4g4KP
aGwSN69ok3Trtk6LpSjiMCiXaWQ161bN7Bdi/IHj/whkS/2hhOqlr2r1dSzdZjV6brhzy8y8pAT3
ZsJCjwLkTHT/y5X6YSEnPdIFJXGlziWU4cuJ+hXr8d20RrMGD2paXODw63aohCJTlwX5G2LWJzEY
6JK/la7wnls2ZmvNBOpJNmf21GnsCoSFFppojMThu0lC6VJvE3/vF4p8jjnPzoWFMxx0Lx2/c630
F47iBaeIcMvBRYxlUZR+8hkm2iILAVDbpR0v4HqFbbc01dcQ3pBFZdsF2BoVtv4KwjBArMEJ1dNk
mXVt/CLxRc5SO9N/+CrAc/wKHimA+b5LAunT0aHUDkbd5LeflitJ7dJDyu6YdRw40lBEzTV2zGGO
JGT2wV/8du+fwGXaeONPOYa3Lkz4rsWNaDXBajPJ+3WpR9lOXMYhw1lC1DHd6WX9q9IsNY/wze/y
w/xfdaLffQhhU9sqSgOSnKy8IrAPcuylM4HXFkV1KpK9k52HviP/lBclVFZD9u33P62UIFNUmagc
21Jy7Uy12XrsgiZmB/NZtfofnUQ+CUTaB9OXQdq32bBsJPIsmiZGpNbMXaKCIZtA729h+a+xwkqK
17GeGs9pL/+3sfJEGfetb3X3sRSpGb9Iah7hwpOhHewzTcl/GuEILb7X+kdFcT5IqLfP/VjYL0Hw
M2zL9m0IlPJo2AT7C1tv3/A0BGvVjJOVaHUB+yFgUxHWnFrLwF9aJO8/y3leXtt0uIjqtgjdbQR7
50J06hpJg13OACkjhmReVW3tc9Jr9osy/CWMLE8qj9Y0ryj+a94+x1ks5r2PSHrIY141kS+imsRL
Z6sM+a95h2le3fftzX3If+Z1lSx4Jj93VvgocNV68C4F4biHux/Fsczx30uzGsB/te1WtIJc3Oqo
UjzJHjjAsJffRDVJt9o6jQN7aZtFwMmp7GZQrehHMyqM1zp+FtUowdl7F9ZQAnKTVStriyof0q0o
VnK57ywdHm5L8a9GVUDkgRXU2u5aysClCCsb/N5sVFg/Ck+P32LiYJNVYvowrWRBNBf3Y7YTvrzP
4B+eWslYO/RNOty0NqivepU8iWfz/SbZ8CZt70NzMGenDyrhSCLxiKrS/TabYWgPfRZ592LQcRZU
gHwuSBpBlTZV/c1Ya+4zYPJXS7ed77gvfGARXvLUanq8JZvZXnVJFbxlFWcSrXS/Lbw3M70L82tK
aGdnA6tZ9tBvfZQS5DeTRRh7yTyTh/ZcGzVwZ4hgF0DYxq/QvopJypD1Zcw41hdmOB7hBPAWBMTM
D4kkAZiglzCTdmd5KMebVenq1mwUKCFiq0mIYgBMHHMr29aNNt4QXwsvjRUucljrk7muDgE8a5a+
GP2im5MjaK6FXenmRwW81lGUWJCivQHkZ3bvltYZgLHKktZizrCt3WswouI7zVhYRbwuSXyF7IYb
EgPIVfyuObi7HEXN50oEDKaWRqRo836cV12s7YLKb96MIj0ogxPdJmD90zDifBqS+i2QVWNvOHgm
RCdohaNVBg/HWhQDo+45I5bJURSVYZiBpCtfklZrL+3YvJTTTL1rsEqS3VOVHvTthHDgQhq0ryCW
1rDw6X87CBlOx7Uv2Hq9ea1U5o2geA+pH1AWoxzNfVFJAPr/s7sJ7UagQu/7u3sf2ERap+7B7+66
Ypv7WEfmuYZf+jZIZBloxa50W+1FLTJ7W4d4h0XRMktj69tWdy/mMX/OYsArKVqBO41bTcPJI4pZ
YsDB7WnKvehARbxVTQ85eeTvUPiKyq0ZgM8TRVkJCJhHNWgKFZpufezjCfdg3VslWw+2kdWTATe1
coaQEO6rpHsrr2Rno4SBvxCtoZqbm6zXA1IbmMg3TG0z1EV0b43hnI5gm1cguc4m7nSGMRBczK+i
ygIXd5VbB5QGKdOi9DAlArnIYOI7PerBO3/0PMbu0VshyDjTOgf36TS+aGhtXVtEyBEAyf5n4ixN
gzXsQOVcDGdMMwc+0A3IRni7Zryw544V1ceqrDaPGRNcPitv5MurAu1sGXY5zxszW8leCUt2N+jX
sbSUXdAktjmzUJM8ZcEuHkowdWE39FsvHr/uxTIkZqmnpHPcy1mZcTCNynbd13yZudwioCNUUQ1D
6o6ELa1VVGbZ7I9K0ZKZeX8sFBcERFdms2QqioZeEDiK8qP5XvnHGIRyzVUDfBzKeOYxzPFX93tx
qhMmSaD8YzLVRRqRWcfXw61kQNdVQL2yrckOe2kL/ZBnSfDV66R2AueMD47XhjfbSn+KetZrd5b0
igZFvpWcC5eFimhr8IWocjADrTlCEILryQoMey56aEV5LoxGfQ60Kt01/fSHlDJ0QWG7nXWdSc4d
npz2aLWz2A/0o7iwjBIwjVq1JZpEEkTgatqx0lJ9WIiPkjvilPMDa9UYDay4/4yAh0g/3qtCq21X
Ie/3GUmLBMd9iS6GnVkrMYMYxlJZAWdeFUaTa24nZbK9SlSSp3XNDbHzIpIKWNNSfJPXPuJNl/ce
EqAeC21JmA8OIXi4OOepIISgi/JiKXlj84Hci5OZ73x96azUmvQU4++bpWNjLYMa36OgIAGZQ0jM
MNtTkLjJm6TdCVKGwbaPTgNzzp3dZFoP8fKlqxaih7c+jUz2DcS3RKvMoqjCa0HYMLTPo2d8CrIT
8nTaTeXJ+DsnshNEKVhYnMje6VORaMumQvzxKQNle0Uz6SiqU6AkcFEDwfGVcHgKQ+nSF7251dRW
f8kLaavKqvUptbGy6L0k2KMQ4z6VaniTp3py2Ry4h+vqULio71mF9S3qMwf9Jgf47bFBOO9ikaUK
wV4Gync0OOYoWnbWtCA4o/iyqUtTvvWO3m1BBfZLH62jz643VyHSFq+Wz3qqhFJ2r8+acWNbtvHi
uC2IJtbqe73WKDsjsdMXKBXRM4GDFOXEvPuUZOdgGH47s3M7YWmP0ou4WBNIIcuUavOoA6Ns7sbA
fsq1Nr1IJvEtzey6RWNW3aFOw+5gqR0SoLaZaRtf9Y6izhB1eQOI9w/LTqpg52urfiWMHkOIIhJa
WEsc4je1rF0erboB6+i9izD0fPdqxGTxZxDrl5KxUlRHeQ7lst+MbmfNSbKDzzYIvWNgJz9FY9sM
3U3DPyRK4iKDlZUlCaa/yTyKQzg9XaPfi0Y97OQFeOyKlZVWXAT2OjagahStpWYgkk3kVapTdrSw
lhSJ9CQuqG8ean8Mz5rkSk9ajkMzVYdwLRozyQ/20CRV+KAH6SmbLjEusdwPn0RN5doOjPy8HUWb
D/x2w8/fxPOMaWvo6qWVHXwRTCcsSLT4LBpZOogqt4dJB9o07W4RkoFxJNP2UzSKi1FGq3hU5Iu4
vSHz+LaGIEJpgxHRXbGQIPAdtlsUSeKOnwx/JwriBlAIqiHkqrx97+Ul6ADXOZFjsS3aznoprFjZ
2pGEz7TWnM/Qz+aAgvP3BITiRmkCfrpm7H5e5dG0P9umtFZy3kNlFEbVexjEc9FrHIF8AnicKOh7
5wUE+Fb04sgNE51sJnuncYan0eif77OkkMpJg+oegpyNcNBCCScaOrO2Z7KvmCicpeVZLTv4Qab7
MhRShehlXfo+ao6+1ZK9NDWQCPLekKn/FCObs28s+C9UmLu2rQPspdR6SC4zXK9qoQ4LGKqQcBWV
eUWytu8pe1GKcts5iU9ynDonY6xuvQG5hqivE+NWyORKahB0HDIc739cHnUwtKPoZCjVkt9ee1A4
XpNwpJdWPftXn6zcBTzi/lGtTCP/YXsfNSCMaMvRzBxk69hGUoLTxnQvhonQqRWENbkrKkEqG6wD
3t0QAb42/2718qQQHfy7Cg0i7HCJzKrupwoCB1e+Ye270HK/W6v523RN490NbXcGY5T7LJO3AQwj
aa9sI91l7fvFCZiLsx7QDNw7qZvubIfwmI0/5ZA4BBdl3bDPdVOR2U9C1pM5pba6kee8RuP0ezNw
4Y5K/+xnRvozK+rl/WbI/xvKDnHRRC/XlqTWf9lx/y5H8Cq1EtKVlsQBEI7p+LNSWS0qotEfljcR
2ZFf9G7LHEYBkUXvKNkpszJ02Jl3A9mLNqFHfNH+vPZk0pElWNyb3O9fyOYGYVjGzjMcaNDyADd5
NsniniskYzyZUR0varKvnzRvrBcKGq63IsFz78HId9WIbS86dG+umQufpdb2xoWgUbf0ClYP3jjm
kpM5MIOO/882TJOz0sEKxi5BOTnQK66C3IpPpoLjWqqTeFMnt4qYw8mvHfMkPolLHptkWYxFsOIb
Jv5hwRMwK8K63Bn8pz6Mw9/dyFj/rrtO3zwGgRVCl4JpJ5O6xxAmjGNR6eY4s+QxI2KgExmi4V4n
msVFsoYjfjZzm0jyKLPfw4bUZ86sWiTP/6hUI3J3dGioRTeWckjyk7bYN6MF1qJFckbgM1Ur07d6
h5O1nAgYXKVzJkXHd9EIYMa+ZQXu/Yl+oZkuBrnxRlBlZIFRGg1E5gdSvA/CPoIYGI+dNYJJYDCB
LhVTia5kb+ngEzn6ir41fobHVIlXOjc96AD60bMfmz2oBZLutdE5SRkbnqRCRNgeDmzNim+AMfki
7e3q2A1DdVQRhGf/6+bfGFhN2fxIU6ufk5zlnvrIdPY2EbKlNWbRpxTli/tQpuzMerMfLir/BzsP
7auVlLb+u9r7O7U3mx+qg0dOqrX81rmEITj7emtVq2dSNkA1NTravppCKeIioi3/qhNF0fCw02N5
ILlqDJa93aRLF1XFRS61zssIf5OrNfm3LwG0sWFLPutJUB4yv24WTufk38r4rqXI+0YyujJ+mFU7
APX1TXVg/hAGZgWhpDkLGt1fVJaVroXUqOPV0llhZ+OChSdZBpFht2/8hUecZC3qflt4+DCf7lXt
6C8UJ/jTwkyG+xjQwPvnQlaXblloe6/iAitAsuBnCBjtjzpf2/s5Tk+Y+8CVjSFlcXGNhm34/eNk
Xo39Jq00fXNvuPcR4+ot8l0RlDGe7/WHYLoMagf/qCjfP+pq9LPwK3t1L2o14pGpE0bNTNiLco9i
+apGChRPFc13Szg//xlO1IpypwaLgL0bCz6TdWKysIv7jdo08qzkTzKr7bH5metst3PnJ8AYYuRh
F74EcgiSRCfAxRZN2ieE51d168jPhY44EuSF5s9gIfqYUD3NMhN/ZqQBxyPPJDx4dpEcoNMCYu24
znORg2/1FMP56V894D4/K9hqZolR9c8jcaKVLTn2Ph3j+tA6pb7Ug2bYZHKhQx7bj+CPR/dT99yL
S4jMI8LxMjmy/VndySu1c9wfQWX9DAwpebfyvJorhR4+ZWkBFhRVlpMPMmJj6oqxc/W2QdPEGdZS
5CB1ymhLY1C9Z9RTg3noZumH46sfGZQuP+0ayJmYJc2lGVgs86evuTDakqqjGMABLCRrCd7D6EKu
g3u2VDdddzaPEadauYNaq9uYlhOeitLQlg2aWDc1rMe5x3/yWxk2EA2mZvJD0+XNfRq5XXWZghsp
C6VjqWrKVzpINTOn8WsVwPCrt21+ra2gXiWaEhyBbRdbucQfifahc/CysVvVaL9e8V1x633hvhQQ
C8wm+b4vPfLOXjGglhdZoL8qGNsKDkGhzvERANuH0lbVOjRUbS35bvtu5/UckG36pdT489VYhTMD
NPFzRYBB1ANqQnFNUuSj3srhxS6ALtw7wIpGbmyTX7WARBkSoJy5UQTZF9RUB2Af9YvZ+MPWr3H0
iQ5efJW1UvpAVw6ibSI7G9lWtbeB1F/RznmVKGrqsllq/OopMIo3UV/kQEUN2UhOOV81sq+5dr8D
06zZaEiSA60UOTdtH6H7Pj1LBdTDrKroVXbTECIxQirizuC4Kcgh/iyHfFx5kTNsktzbg5Ho2WTW
5i0zk5vKavFRDcGwtFt4kUHK9x8puw25Cz5sleiHPRjRsrbk4SMb/Tendr2boVbqqWwLTpdTb3Yg
41wymvhA0DF8aax4I+rjztXAtA89HnXMej9YRHU0vqrQzeyDCveqGNYIoda1YKw4o/ykwnMh/y3s
A7vqFgqpTTs5TLq3vGxm4u7axvU3KrlBK9HdGst9bnLaRo/FPDjOAP5DPFPcmbO+MSTobHyeVSpu
EEWR3KY2/Q0lsLfIkYDLGZXMqp20iEzo9hapYm3tlW1zBRlfzIukLL6gsQUcoIQkAKrHRK27jxF3
HhBW27t4hD029YiSjB3r5jnqO3w+iZd/KGALRKfaUlfSKA1fSHCk86Z15autmLAj4cLamQOsZkkP
n3KEg/gt15p30cnQOojLiDDVPpn9HQvJk1mT6jMOcr5X+wIprYhoSprL1YvrIP7uxN+F4pRnvSqG
V3dcGKHhvbrGUN7MrNykvTa8lrkTnXIJ/aO7ERTPO6NR6rkOl8FrgirRundJiwQLM7x2tgViOMUt
L4wn6ng4h/iziWKdDN+GWZgnYaskxjKI4+hJde34JQj5+TACCgjyxaizy93GkuQDspTQS06zOSNO
SbNqo4UYTwXtsSJtoVzdh4fvdsHRFCSl3A9kCLa8CKAQgJoOTaogN+TXIVRObelIFz8CauN1q4gl
5YWocnwb/GIrbEh5U2Df5ceVN4nyGliSBZZXMeb3EepYR52hClaitXXUfIEbzL/3/d+mE13b/P9h
Oi3DIREo3Z/TtS1+92i6//91ulZtFmrWKcfIzT7hE3De3N4x1sqoakt2ryBIFLgvvMzzj6I1+Mt3
SB6S1bFBHmAcZtZk1Kitt2Lz2a5F0fDcH8Sq/9ZQrtuabWM8m9a4EE2kp0s7WDHkuSjis0QzJrbb
7X2c0Nprma7c3CxWrnXkXMSkvaEY5Gkl0iIDI/QWxQkEFUPQoAoC2Wkm//ANV3klWXvcVVVHzCAy
1NdGrZJ1QixlCbe3+lpqSb/oAv59hqmYs5meFXLaHkQrCginXrakiygpHfg/OX2NA6i1EhAgoktX
ttPGZjHgtrvyC7CL+Foi6u2DEnozeA9d8KtkVwSUsms/9HMH4MNZlO71OF3GqglOVpLlV1Flucou
7oroKEpiXH755yby00NuufOWRNp1JSNLtujkvtgRYTg4sl2cxMXrDTLSkJsFl6uN3w0Z18p60D0N
JikNugzFATSiQdQIDXU8MbVAxjtEP4rILXCnhQb/EHG4KsPC/rAhGhYGsq4ki0jK9cPQycM5KThT
6hUBWLOojxC+RK+4iL1Nx2tgHeMnfk1xcImeSm7H8L5m3tnq+uzI0kK4depJ9uMit5Xog6yiZgV7
a7GFEQ63y6i/s1Lm30Ufg1nz0nZKPo33dQp7T2IZ8fdwnxomHjyHRprtbaBJVzutq3uD7LlvfjdE
8DaxiZ9KI/HzVVq10nsNEEBMnyKYN3eUrDpmsWyfSFFK5+KG4yDcmcRbeX+X/RroUrgJybZ6YVE6
CQO4Nx08FqoKNbMiH+B5yxaiATFeKHZi/zPzORp0Pf/nDneO8negLprB95/7QJIJuUOPPqYKm6KR
/Ksq4DUrilpOKhep7DNhW00dItymOAeC7CAs/ApdsGrIm6VoTQFYHstMf390sKAO0ezEvPxrPmF/
n4880rlo7WQcq01lzkSjqPrXfIGO0piYT0z/X+aLdGVpovh8EQZGnin/4/n+cz6Ac5CNp6vCjLo3
2EqDpV3AkV32fXy1YC6bdXZefpd1CPRDUZ5tCP42aknqgdzF3nuTSytJ0ctvQMnNXAmz+gS0AYFv
FVIU0VMiB42znP3e4g9ZaXjVt5mjWKRqB5/CgNdzOhtq2UEAU1ZJYbCapUvawNfYHoUBsqcwkHhW
dLB7MoATndwycRtxiLvQQvSTPN7x2zamxPbGzl5VXUoWmdvql0bjRruiCg+WVDe7VB7TjStDRF2X
dbKsyaN9UgJC+d1QSR+N5Dwh9Gn8rdrXMJwEAce82eoWHM14O3+NXbIFYXVLjF9j40Y7JGwddjri
HRsSgoxTHJBPWKVTALRBykNq8ktp6dklbSIVGk7g/lMJdGJ+SaaL7gKwbFBKmPisf9nyMMHeaLOb
sG3VARChKfUJaDR46EU3McBI5ui2qJWfwu5R34/5u1GMxa4IEvLg2cYIcwVoywb69pbfsA0YVlTi
TzhIEbLHYgxx6QLJXamVG81F8W7cwIrPUW04PuZqM8VcyqPi3O3E/PcB6gsJynBCTo+qmrmx1AbN
nQ9mbC7k6fJ4fDgUi3Md3L+LR7Wld5OeJ+M/vpVM6WA85zYeDyp7vP8lcuJWdpDlR5jJo37mthFH
UZMd1VRn2XUMxG/6iGOHfZ7XXAJoFFATD4YrcF1k7kF0n20bclvk2YKj1iMSpBHH2aNOnu6Mlh+t
HUqc8bpBXXfl5GH6P5Sd2VLkurrnX2XFum7v43noOPtEdI6QCclcQN04ioLyKM/za/Uj9Iv1z0qq
kmKtfXr3BQ5L+iQn4LSlT/9hQENH78rmOuktNIF6dnh9FL5RmmubBxb37Eims0sVOqVLrUBgxEc0
aZ0wD31y8RFY5JaTXXmxO96Bn94NKdq+jqrij1kExtpSq+kpdCZSM1jSXoXkkO/svN/L+jEEdmDN
Kt9ytNQ3Q/T0CwwuWiO+S7rhQtZDRfK2Wqf4x7BqUn40eete6Z0DtjDQwcfyWRAaN7d4VcQbOTZE
xDcQm/H1EFjqrT2Yh2N1PE3bJGc76Ti034KGTMtrvyR/IcqIu5mx9AyUmOeg0SB/Hbeyv5nQLK6n
ukhvSYDcyKiQ25LHOCqTMVA+JJydQ2G19tZ3R95EwWQismWON1jQHksKppd3MNWbhZqZiDbNxd7U
Qha4kX0M0SrWPiOpp3yoUA+axwC5BOah9ge25+hgdCgXpsOgHTu4UVnctu0PGSo7VSo6MliFFDtZ
Vxl6fwY+fDjG+1qt3lr+rRxLfgJlylBeY2fkfXwRmmcBYWg4czlMR5XbpjuXY8mD2iGXX6EDf6yr
hKKcsYQh8z/HC02t7qwMtm0WV8tmMhQgwwgRyOtlfp+dI+qVHD+LYQrz7kbzuutE5yHRwb+CZmIX
V0MvhkutdheyJOszLS2vcjxHUdI4Vss2cw6XZ5aHHWrSKJef6mEzrNW86S8+1ZdYT3QqGiFG1GVQ
fOeBWjX4UjmTfS6vFukYY6Hb1IWLTp8mvFuSHPz4/Cl1RSU7OPnd9kMke8fRMjPJ7hw/kBwXYKyx
dGJSnLLydOjDulth6aatTnXyDJPhco1uF2tvOULSFsV50JBK4VGIg7KXfMtBR65MxCEvMAWwDkh5
s5ydRP7dqL5qDSuxGo7YSrXIhaJo2h+MiuS1DJjMQ4FHxwuIfLwutMC5cD0UTyfHhu0R1NPTgPwU
LLkvHU/nc3Zx6qOxZTdrREeR+9Brynu9rJIRc70Rs6UtS4Hev1tiYgWxE/0XE2LMjdGr9W3a2AdJ
CW1DdPfH+TEiqZ9KQbKkjUV6UJNMfcBX70gkNSe33HkaKt++W5VPjjDbZYQf27yjUDwFOfQio3tE
OM24QG4fYa652lOROsrNskRAF4Kq62pbqzXj+zZCnTkz/fAYFpWAF6soLbfyE7HzffygIV/etROM
zaplaX3hlsG3MeuabdAgLHYotUycJ1G/r1E9iu5cLfYXNKfrJjetizEcg2xX6mFOumRLIixF7qh3
xpUeOPpSgapzKNuuO9SRt2gn1YCASwkAmYtwV1eWO0vPLk9hQVPjl6F1sbUuBIIJx0DDtrqDDGrV
GI0cK+k3uQtNfSUrG83i903LfWcYubUyMw8fwlJsTsPKM3nlQPHNjW0WE+8dPtupQX5Ks3UwjozB
R8jgU4g8Axd+pfC4OpclJ1VQwvZcfd0Lw9k5hYgXeZQKsQxMs18iNQTLV8c0sWwUmPkV2AUtu8Vu
bbi1Gyc5K6K+WIZzUdYpaY2Ob6eSV57jRV0lV6gHb2SjPAxp4oKLHb2VLMqxo9w5DG7aXcpOWlM4
cFvGr6eAomtCAHX4lsp4vXUfvdpJ8bFKFw3LxGtZ3cRVcK5Dg1+cPjEoPHWhscV0LkdTFK0EGI7j
1Okj+8FZl+uoi6P/hqTUNQrT9Y/GJlORqsaLaHEVTFESvaujWNvEqlfvNU8MFyiSOusqsPt7rBbr
RVMX46vfvDDRrH84U/NUCTiOugp5CnSYe7ATqz6Hd18C/4yq6xYfxaXPP+pZNcRVjCbSj2iI1six
Di/2MLmLnFTjbejOHouFn+9ju9EucuYya6sq9Htf4V8BpdB69TCOmj8wBMXnaKjqJUou1VmZueDn
YZ6cp6K6lKXjIWf6cirKiKAtLstf9RapxXFhZDzIZSuKxx86yHrZ3/oV8ekK85WHwZ1NXFX/Ps7Q
mba75lLRlfyC3RhQEBNbl1PvXfSBaF+VLHjKfbS4QhcXOwGVYtc6Ir2KHDhcow2Hi+TRQoYKFZau
XZoNswLE903EypCkSKtbgC/jMYT940UfltWLpYxQxC2RXQnbAlgRtdXGQJnuAY33J63S2le/HxDQ
i4snA1IFe3vsk1iRWl0iU6aymdyiv1dNW3lhlOhIgCfkzVs/iLajW1qo/o/Vda/CUE9CpEGBx8nQ
zOtwErO78LyeQFmSjmu3iqele93k8We6JpiYEacfPZoikPRG8KjWUwTbRslekRNbTW3qBLhY+mtf
MTpA7gPeWr1RfWEBX5I7w3VFHZnjoGua7ifFex9TgYF3PYXg38q4/DwmMHLUwoPGXbcC2/GoYufg
78aUn1Obx8T55i+fc2r7aFFWbf6aOBAvP33O38csIboy5/r5u+dZ/6bFKAmhRoBBoM7Dvmrri0kx
6ld9LJ6NKTQeNCTgNng+9jsFWRVAbjHrYu7/F7aC0bFuXhHhg/vk5d5NV6DFVJc2aE+1Cu7CCgC4
DMm1aQlDuv6WJUCeEf3rDlNYVXug1HxXp8z/EintbT2PVqCYWAdK+Ejmm8d0LtikSKGRA//F2Y3l
9TdwYmi3E4rGBm5g8Lvv4pSt8a5ADiqoA/umTRLzeGGneEA4030R0zAu89QfmPKwIhPK2G9st5ke
Jk95lr+vZjowrrP2yejJ8reDU18M7FteuvNthwKL9Wyxp1FpbJGDzgXJ23rVfen76VYtQVpUzOiv
I4dlka/m9euN/IAjjj1LQ6+6y0jRtlmYKECWo4ClQ50hE1xa20pFHMVBMX8NWn6862duKYpR2lNh
hd8rnLxeE31aZyyvw4Xb/dC1XvvRTcmtWTTG1zwB4zDMUoewx+sV60ft2pgqc4P8/4i3nImwS9HH
51XN7+EoJiv5mmVNnibBqrH8+otlIL7YdhuoY8YXZQjJR/B/3hpOUDxiDNjxvB6zS20u5rNQKs/d
e9s2GjySsitZ3TqZtlNnNJjsdBpDtsah3mE5QOZDtmIMchzDKqDuC8aQ1XIMvmiw/+cryTEGH2I5
Ao5LdkoS68LPx26vpFnuLz+cNoO6DuIsPccxZOy/+dDx9jr/iGwTqBqPbCXBGIW6NmzLfXq0O/br
6RkWc/msNNU+x4b3Xu2t5lJ3wIl2o1M8x9CvuAj/fj/M6ocwGjey3oj41kQuqXlz7j7axefucljZ
3Z27s6kDrZPust5064/dw7baV+mLnbEhIA0w63w6q4epv9GtxngARXIsScvLuVRgOcvMPjAe5siS
Pet9q0yoF4vkosF28SIP+uRCFuWZrCsM8drWo7Zpg2HgVfh73Kei7GbjVCZ7/N1w3mi0y5xl+0ar
kTZTBxGv5DJkcvqUnbYUtWwWWbKqNDF9VWAJ7g3LgHo3dygwfziGsORJb/RSHLvLXqcOx5UaAGZA
dd9qh5Wc/L3Z+W7PMh0RVvknksXS6SiGqv6Ai+J76zT/kU5F2bf61SqLp1bZt2U75X3k34f6N/qG
hmkgrDsOUEhm5NjC0LFeBHMNpMYxg8vTge/ox6KMa4MmWpAaQ72j1G3sXLEnCi5lE4IqWNIhmFpG
Z202kZAZRH3jzb69U2FFZ0rRfazTzeE9TsxxMvjU91Nd5ETmQmHzTLezew/bh70xde2KR+P4tYv6
K61oIay0GCKd6se0vbKnydgoQH1WJKzOkEkqf4zkXOXJXDPONfOJguutPPlrTOQZlwmAXhS5Q+6L
FrAkKkj+Lstt6670R/SzQNYs4Wdbd7VujzfTiNRbr6UVOos/g2VriJDJh2An7cYbXiFLOXCjo6rT
Wk6/ndhJR/m7DPa20QKSMPjqKDHv9sq0wztZ1wOnhjo7BXtZh/gkQoWRjjHq3KMyovDOFdFbbnRo
fitYY4NxgJHBG+oBTct6awI4XVd9YcBNKf7S6qIvuu57NDbK0h7XZjmzI4zcf8O7mY0/80eXRc9g
z43HeiA/XYyKepW5gg1XC3O6YWzHw+RpFluOSf0l6/RgMYhc+a23Zhbvvd261K7MGH9q2TsJrL/0
tltTXjufPZDma3/obbAIMdX2L9fup6H+YuIeg4Tosbf42fv4yUuMQI7Xnnt7U1ydT/MnT1rn4yf/
+XuPht7e9Y4K8c0uL3DkVV6zpPh0onT1RT+M/utfYwJ6jXPTHHPqPiPEgtpW96EovIVjmOGlqP3y
i5tYsFyS8SkFeLczbA95nbkow8QYRcewoTOPYdkc1kdx+yFM99rwsmqr6sscNr9in0BWvY+GNhjJ
uxxyo7yoDPt10b8L6zAgv5jig4Kh6BkCHgzWZjs1gdo8xUN25c9Y7qiNxifb1lXeyz1aznNxDrO8
Wr0TFllCB2mfYxj7v4A+GySfZYZtDsP7Qr3T5tHYcEkXsl6OJi8azXk5z0uPF5WjxSj5fwiTo8mL
ukhJsWaRf7OmdvLtkGHgKn9pGJ1fe4Rir4c0C24hCN7KP41eqB+jIi36GgCRO0YJZBFyu+nY+EMC
XQn6YBkwvf0yMntbKnGlfsnYrjye9XNdNLf+y7hs7Lau125zZGZxMDarzacztrne6+L5zEuCFmyk
KFe2ea6PGGI1WIEvFS8VBxGP7sUIWAstdzV7GfrPAZWDiIAMcAa248r83FQgZ/b2FG37WHg4pA3f
4i5CdEsWW4r5gBLBDuZbvAjdtjrDkcC7AqjNEzgJ0zPEAxq8Aak7NYB+AUGsBMn2U0Pd7qfQT46h
ss3SATjLMeBXqrjbzSOlwvpLf9kwgNP61V8t4rMgHNRl3/eoPsh0U44AWKh40SVuQ1241ur0WIz1
9qtu1Dr4Fh9HHmvq70XB7iM6094+cLXqomvw8Wga8BwonJAAqAv/LcTFz+1H5O3D8nMnnJerC1SN
rHU+Y6wk2ipIrFMneSXfczeqroN3yMd4r2gO+vtai4Ja4CXg5ZptiH3fq6j8b+Wkag99qYmNDBWB
KA/TULyHGm57CmVj6T009kMyKUBaAdQi/IJ59/dAeMXzZLDfxRy1O6+SqnwmHdsXqfPkdyAI47yF
Rj1HwamPFggziOtGTY69izl8bKEDtiGqILK3hb3s3NtSQHB86t0YjbgWscMWsqjQ3IotmI9IYS/j
BFN4pB2M60rrNu+u8L19ZY+afgjnRgsG3KooBmsrY4O5a8x+7NKdXd+7sDGuXb6nsrFGvpW5rn2l
hIFxkKVP3c1h8NE7Qdymh5oYCYwO5FnmGpjmzHWQNIoDaR3neJbVyK0kx3k1hBM8Gph5sYHqnMce
ntZyInYqytZIa95b5STuVDy29r5zjt3h3/ft5pFlq+wrR1bn4FNfeV05p/t03QZ75q2lkO/tcneL
4Atfz8Lw2t1cjHWHr6cd4DE8FxWLHHKG38WZovCnzXRcFOUZJKP3s1Pd3539G3GZGdjHkbM8jTZN
pSzScgjv9AnyQeTNrn2GDUTCQvEocodb2cieIY1sROPvFX1oVDpH36eBTxpgnpKghvvQx5ifdGan
PxTV+MAk7UMp7YF4ytlKYzfHNnMy3BW08nwjJRc15M0X1WCgkNMXHXyPuYwAEkDJeBJXlckkYeyA
w8+3maqgdKp08fJ4h5p19yiSdLyUdx2bQ5DmQ0fZyFg9Q4kubVC8lq2/uspGWQVe9UN3EYEoFHN3
2eiQVUJR+OeVW+embJINDh0o2c/8m3Jm18gzthgwpPevPtTourc6haZz/M9Q182Uq9MI3Rxq+ODO
TSd3145aGKTPbXdtZSrG2XpoXzLNG1aJqrXPXjKcZ07qvEISfPL9vPii8V/4HGpNcSdDbea0p1A5
ao3DRKu5xTXmz89umAfHqXEauhWWoQAn5NR49BGWz4d+TwqAufDvsX2nVZsu76L1cWY8eZ9jTdVf
ICOP63pnVfOnMx7YwwiBEaf1WutsHRSWF27Z73lvlUUZrFeZcWxFePJqjHC2Bd+IKcLChM7g6qWP
CD5Gi9JtUZ6Fs8fi3OiwIXRxcmE8hXXKe08ZeqqXZ38zrCh4RJ+uN/OjF1gC2mfWPENPx/gxbgbt
QpYG+Bb4AwGskUV5aL30Q8TMpjzvIHYtynlu38f2TdG6pOXZVr/2PagMTqGFL6lm33PzdfeorGXn
+HO3Gx3WN//HaCkDHJQyVnlSMAW17feeapBEL0FrHntaDvrlJevLjTYG/XPQhksZ0Nr2e08DWN71
SjR5tU2wvDmuiMEPGtciwYFlXlDLBbHtodbQCZKAsk52cIyqgG9OyO8d5Apcdugb9vhlh5Rk6daa
O8z7g34EJxYUA1I5SOEn6kYtpIgUyoRlkJfrvgAn1Ff2q3yJu9Vj1TnlK+tb0GKh2t/JPlaup5CV
7fc+DUSQL0rkHfvY1SPs2PJVTdz3PiQBi02kJQZ/vk4F3RODV869VV9429AUUETIkJlLx9X1rTLj
2X2zKa+0yd/CwAjv5EFG1BlmdbLYRJgtzRFqVqeL+Di2aPzqrBhLcW6qzb2XpKG26IouPwzzIfvZ
4A747i4Ej1NQlwm3r+bDvWX/uy/Fdw3wChJX1pNrQbEUtaLuhGqb18aMMPkVYY2QdpChc9ZDmms7
w0lJIM9M+38VkcxjnCJcNI7EfJVuzN+v8ndjJN5ucMfyWsxviIwsCASvFGAXJejruGGUrb6URXnQ
oR5O3iiOEUjpWNtBQ4uyE6l7JdQoX9RD+zZqcX2D+n59k/PM2MVW9abEXX1TZSYEm59VMkCGktpt
dkYxvMmAU9Svqt/H0sHfhstf47iFMvDNuqt8bbrhr9AvjGAU33tD7Axzsh65p8pN0TrBruxCFdgg
aNZ/FeFZdXfRF+aZ6DVMlRXVOUtD4T4aZrP0QjF9xRMKrQLPfa93FUTeTGP8WmHkeozP2SN6NIf2
WP9pHItxZLysd7UuA0SLItO8vnc7hC2h4RX78ldRUfpZhlV/b5XFU6sM/u/7asLpb5ohfiw8K76V
hxZuwoKcdb871dV7kA7Qa+eg0NSNXaZBzsISHL+L+dDjyLyuA1+sT31iAw4P2cyP41jn3TyO7DN6
jbErh1nA/te1U6RcP4yj2B2puwYZl7Tp133ZtbdywtUAbTuVBMhKAymg22M2jjZZkpFz2ynyv+uX
/4yUM7zfI+eSHPOY4PtZKnTQGS4W0ks5dRkmZvIYgf6QJaki/XuVFJtOcr/cmU19jJJVMqqjoyx1
RmZtatvvV5YwpvMUfVemMQYJBChPi7o2+0u1Ds0HIbylrJdheRDoq/JvwhLCZP1UYXjapI563VbI
BLSxfR2UhrjPwihf+n1XnFt6nN2zx21s7cxOV7J1wO7sUA3p9Ziziwl/Lt8YwrQ+dDU0A0zDPJLs
ivE3SHnWe5Ct6GoyLZIlGTF3H33XWFcdRKuwG1dOrqo3AbiN+0HvsF0IHbEPdF58Vhg264kl66YR
XXdfFJbLRm4dLmUrkhv+lVCmnWyU/esGkPA8mqyq87pbqFGS7WVj6NcNXOP842gxmlc8mRj812hO
S35mGf/6XDFkzyCv9DM111ZyuS46mIXj4AXXtTljSivYLWEQGs+/IhzmuP99xHEMqFDXA2SVvxvj
FCGvEjbJh6u0dTDc/fnHf/zXf34f/mfwll/n6Rjk2R9ZK7B1Bt/6zz81w/jzj+JYf/76zz+hYNqq
5jmO7TqW59qe6dH+/dstcI45/H8gueJ18YwZM4Rtli9qoKDx7lSV8UOZ3NtWa0UIIta7KOZXfifg
f6ozTqiai5U95XctnlRTz/Qw7GpvUfmpfm7O6fdTbFCAKUIIO78Lp1XuWD/AGJTboVS1lTOm9gIt
VMzDDbCi+w+ngdf+tSwrTz1lH1l3OpzqCpaOzBV5lChmMl4LiJ4muwAHBAMyOK/w+VEmmaqN2xWU
NUXVzpvR/RGNuHKvDVISVZ2mB09GG32sLe0aMJmmas0GAUN7MY6lv2+1yUbloPD8vSyn/uTv/URv
N0Zavn2ql43/sk62ehEaNIhhWPc5eTWI3tg0zGsqQH/cjB9LiqGO8D+yCWEyPWRKw0yjnQ/ePLUQ
KmT1yTcv0nm2gSkYMxI7U9qNFwedctd4lQCn3JsFO+uRCgIkiS50d/brlubeZLbbaREPdYtQQ6Vt
pJ+39P4+Bsk+6P1c/J0fuKyTffUWw8YMV0dn2XgtUrzzhsRx2+HDaZwmh6jXlTO5FSEbMEIlj4oU
xfr/ccPr8w394Ya3VdPVPF23ueNBMOKF8/sNbzgVmnuO7y19AAzAXUZlR35N2RXzQZ4NOnLFC1m2
x1LJsFgiCH5RsJdn6ahcorlRbz93kSHH3jLQlL3lmB9OPwx/PD2NfCy7VXiQ48ueNVKWEKYrpWxW
BfZ6y6pV8wPwqvzglDmiz+wkgFEoWf2EScSa+feWyPTzg2zu2o57IEIlBp338r2PbKldO96BpA62
URUoGKar6gwkUt78XBFnYah0B1mVQms/ngU1uwsiYGbL7GohIwKr9FHAy59OUcfRImHxgNbCBNc4
jdFP7f/WJU5Xjs36Bn+ndOnz72GlPX4dHb3Z1AA6zjLRTE8ONrrx1I9fh9ZrcJUG5pGa5VJ1myWk
/mqnKVPPPFuDOTeq1Q43gnzcQCYg/6KpQJcSlUVNLL7n8MvBdqXD3WAK/Szyp2Y7qmTv/j8iMEcM
Fk5j9R/GQIhCfRCFfheSENvJG/s/fnuU1/LR/j0vxiqCoPGp+F+ru/91/8ePvPrj8m5z/59z11+h
v3f8r+1bfvgm3urPQb/1Yfj3y6++Nd9+K6yzJmrGm/atGm/f6jZtfr5z5sh/t/GPNznK/Vi8/fPP
b68iylZsdFfR9+bP96b5FaUbnql/+JLPV3hvnn+Ff/55aN+6/I+Lt//zv7O/6ff2rW7++Sfs1X8g
oG96tmNbmmE7Go+FHpIrTTyw/wH2ilYs723d9bQ//8jyqgm5tvMPV9VUTwWRg1OVpdl//lHnQC3m
j/UPzVN5d9oqKSA+o/Xnz7/B+3v3+N/5F+9h02Coj88lTTM0VXVthMpUfjTX/f25VCdKCcO+086h
bbarKMuNnVMr+g7j1w3JWGXlmxW+BxaHvi3DbOFMqrkbWE1tpm54FOGA50+sutau8W6HMNT2Wmwi
iYp+hxujoFxoSB1DJ32xEwUEn7kQWqFe+boLfSFW9W9+guJZm5l3eUPOE1Z54Hj1LhVtdI1tW75U
6jB8RaYyF333PSkECj7oVO3zpLJvm8ryzjEB6bFEMOzbbj6oBSbdprllT35CCfOBeaCx6tqnAj+j
ps/CNdKhww0E3fFG5BiTlIWVbvrGHG7kIbfGS7edmlsVyeGdHXfFakLrAoh6fjfDuLeWXQDeV/Lq
wROewz5w6S1lkcfgtO6tce8XTn/WGDGqNexowhe2hmWimcF1mKfmQq1g4mqdY+9Mo/vq1KWzHvuw
g5YUCSgiV1Ns4v5L4utKHjpzzBZqDDjSrZJ+56kOmuva1C9LtcMNMkJGvlZK1H1xTjukRQmdzKic
lzaDPGhM6nM4Mfu1jW7aTXFrnjmZd8E+DPTgfHwxkvS5Fb6/ihxHYK7DIbW1bq9B2VxoGbTcuike
LB3Gj6KhCeS1mzAfDvXUukz9kXuyO6zvfPYkMKSblAWZv3w5ITh6AOl6CTQTgGjQu3g/qMsWz4pe
gZebFp25AgrL43ujBwmaq7anLEcX779IY1KWFTM5RS8A0wzald+lPxrmkqs4M5LFELY/MkPrmJ/U
0LTMSF3XcWfuCoDMOLOgz886cZEppXaetMHDZKTwmnHjnUaoD2oTjPed9aMpg2Kp5O2w6XzFXYU4
O+DP2z2iiidu+2EpBfpM8l2gk7poa8Rtu41nJHgeiubGFjUyPoLnqEFK6IZMqd029Zb7371vhJlt
Y4gkK6vKlZ0fuqgQQd0wsqq7GXp927WOe60B8144LBcuVDDs96S+gpWVFdWZLLZeYgNBbOwFLstf
KhNmaxAdhAjRJUC+KRnbBHQhW01Yf6KYHmlf1cxPLhWj2Qe2G26N1jVWrh3gOuaM466MnXsvj8ol
PvE5SNF1ptbxlTp42lKw7QGtScf/uLdXfga6yQNckyRWc84GK9q9bjadGXldLHStfbNd7J2H9F6x
0mfitt24Qdw3voBTDR8OoOBNklbbCaGYx3isLpoovROsEpa9WWO3YFqv5tigcuh0oElDZ6kibX3e
QG9ZGF26UjsQm16Xiqu+aVitgloHBvboWoV4wMVG2dnubOk5F5mlVJdKrbwEw6pJs0tX972nNEq7
VZe5xcHzy3LdaBh8sEVMIiv+Mhl5doUwkrL1artc1BXwLs9wEOoMlJ3aTNHShcm1KdHzgNW9bKoy
xlTXttZp1HN31CsPO4w0zSFOKuY6hAiX1nW2bVtIA2FTMulW1DW7XREo9D7d+KO2LZV+BfflLMxy
faVZ3W3RoSZahvGVnyoJKloJsiswdPTA5Sr2uClMr15XVb0KLKEvLMd9tQY8YrGnq/T6RUvw90rL
ni19uHx5hfNINJ7ZwxcReia+K+7BLdVo1U3GmUDxsVSAdlvOtu6Y+/Skq7mRm69NiniYZd7CK94b
MZvc1YCep4Zyct4zWZjMh0Itl2IYzCU8KywwvW1pRdPdEPn+ooGY+bXU6sMUOyrACPUyKNgjK1z7
kdfKuEIbrDx3KvdM03Vx5foFGjgokbx0QkVZ1POe+q6NNwMqbDsDJv5trz9DrXuLSH69TJN9V7dh
/lBOSnRWsWjbguC2HkZcAR13sK5ap8A4pETUKCjb/sYvNTT3zUxdF6omviK2BxDB0F6absSorTRj
XhXxnHGuvUvu2NmI2Z1eeNQvBZRnXj9ZtnWgoi80kP1LdNd/4MN70ZlFtVbAZkDDRISyqvxFUDnG
0i6qgnRrIvyzQIh4lxa8uZdJYYs1azpgM5rW78As9ju8H/pd3PichWEkFrIsnAy5KJbLS+RHgf2Z
PZp5naIL/ixLIw2/8c0Gs5Zkw04e+l9nsmhOPJ2rAD2jyIYebA5nbmbWOxYt0+U0BOplRqqqNdIF
4q/DBlSPdkgqsTEG312p4/DoOMnaiQb9MkT2clz1nqh3rqU+G7Zu3lZqItaGrjjb2Cx4JLlFgKMt
Lw5hOfkjOIp7lsX9jedhvg1P4awBEB8s0KxdZgaOXOyV8kZFZNhp8+JN66LrwkjEE1kOa8VC3F9r
aWKjmJZi2MxWwrLukCv3c/e2LMSbqHM0Ag13frdNP5B419Y+ryW+4v6ur78i/rr1sdoNknU+Ojs7
M3e2E7E1ZoUzrw1b5rZ5YrUqSIeVz27pMSkYt6PfPdbZ+ARaD2WvS3gTfKdsZakY3FbNQW/6624o
vDO7504O27vRHJpLcy5MaVUfXHMR2fhFJ8KAKVnlq8wOq0OgOChsY12x0nw13rt+Bc1/DPeqpz2X
lT9c8EQV12WhQ8PIMchRCvehEjl70t7smKBHl25nmsssYlfKn9z00hT5wsBANrIhYBa4MYpErxap
Zp6PznCPKoe3SQLnfkyy6YLbYbqoevS6eVJOF2j8b6rae7MU+zp23QGFtCJBXoW1EEurYssa+SCj
Y5wkMMup7GWgdu3s11Nt1S91KNI9M0De1L2wVpMwSGs2iHxq+rCaeofMqD7dq07Eq8u3D74PaiVR
s/ue/S/8HnIIAQoaPY7w1q1le8saJMQCpjdfpSLdmP6P1DEQoS2MFwsjpiW0kmLTV6a7wHC12jWh
Q7pyPkRzMTbbK21A3VEJvmu8ORcDaqv4aTs/vGHsrtPA9jZ2FuDDYOjrocWONRPwbzBmDBd2J8Sm
VBBsM/2LsBxRc9N6fZkMYwjxKe6XeYssWMftHWbTuLXSr5l6YLNqM4v8ZqBXmDeOyJdWVyJMvzrZ
dMtOv9jksTZhxApezvPWjsa3bTS7bYkcJzKA3cpOp7sktW57dywAgcOF7dXsNXXIUpTZU6eVtyHS
3Xu+BOeoeqJFEpmYSysLXwy33jg8OUJ9cU3RnyEA/z2rFDDHmLCTkEPx7BqaGeN09V02iCuHdQKc
q9DYTWztFPVLNukTL5vwizXY9b4I28s8QlPL8g+KS7oKMMWqCktt43co58dxrmJbWT/GmAUNoNVu
zEkTXzwtW7KbsskUJVo1SVls6kkdD1Eketb5FgZII7z6Lg3THTQpGzE8nOIQ6oAxYngbQwPNkQ2z
oxvOdTiUKTdYenHoEAZGd7Bk/5wi/gViqzq6uoyMaj/1sXpZ9ei8G91l7I3nuBal5G695KJClvOi
cuonf7BmIXO/Ps+CDLHOHnNAW5hLnznM3kg95+ALBIndbo/YGV4cY3QtDyCb7IWpuE9TgIbCpDX6
hjfpzLyy+k2U1IfUxCYvng8IrIVbuwv8TaVPOLbqXvcY23W2dscsOwu8cPzCN36A4G21ccicrk+v
YQwDa9UEKGlFmFgyCP98NsV+jnhO2HyfDaPaNj4T3rJzugezjy76eHzMdJ57aOmj8Fx+K8KwW/nd
pRla2WZoFkbL/JAbTVnDa7ZwZsOHUk1zYPNmutYDtViYJWLMApMkd0i0m/9L3XlsNw5k2faLUAsu
YKYwJEWKEuXNBCtTqYS3gYD7+t5U1avufr3eoIdvoiVSmTIkEHHj3nP2yV0G1r43aPcAZfsdBzV5
B0SpJ5dAuLdbqtShxtIS4J4ZY8fTOmLyRAlI9SdzkHZqUu/nrViPvD80WvSBixvdrV+Xe1uz6guq
7zXC8O4cs9XCYZQ7RuAnnvupMv1irmmfBpo8rf2sMmob/0D2kgMI335fWj+PNg0B4lD8Wn28FCVn
OYRhi/dQGuW0c3sKE500lzBTDhbTPlCWNz8idytvHK+WodRIvJNqeBdZs2t6d/zdvaZVNobjuLEm
OE7GkDJDJm+r+rc+YHgBZCtK5Z8HrbHuLGs7i21T0KIreWfkoa1W645EB+NEbMZer/vm0lgONAgy
uGGKBHUxaXdDotcpSKaW348SFUfGFFhaZR5sTuVw18xtX1gyzqpO8QINxM6poYiwN0yxvS5Bnjb6
jRq8R1RFRByMJX3FbdnuuqohKef62Vzkc1i2qYpNc1n3nYRpqZTwHptEv4gBJTMu5VfHrpxwjhLL
qy6azfZbKxCJLPzeTpsmLaaqko9XK0Yz0csZEkd9o+ILnFKvCJvoGTVmMYp/sID2YEQimTNAYNm3
VQ0OyIByu9Gx79gur4W+JWTHmX4Ro5jGCzbHudd3gUbk2UjKwaHaZpgN3vC3TKoxRCoZDPpAQrHx
mi0tQWd2fTdkKEx5wnZyFYiugdpeTMV+aKoDhTVby+Q+dct1/sj/nqQWraMNE7bqtcjvinjamlOS
u49GitB5SWYGuMsNJVtynrr0T2bP91JUvwDQeACM5+xYe+RxSAaj1BmYddLFQ3s/nJEr/k7rMY3H
fgZ4Xolzw5oS1F2ZhSZ/dt+RY9BLfO3+AI60HMZqp8Zehk6BO2pIGLjOVXtf2ZG5LdkloS684C9K
I68qYZpplQoGOt27YaE3y/dJT9MVbsygRcZdn2J3rU1o9NbYofE3sUNcP9MyuE7K7p90LcM1XWf3
iZNTOQvRnEWJ4N/RzFscERhM6yzsN5IKC5ogIXDqF0/XAXvYCKq1acbjaPD8YGf57WC4z6rwgGaj
Pb+BNu9Tw/BqWYq/CF3M0U9YfcqxSeO1dNJoHjqcCbIu9oyBXh0PHpTv+81TMw5Bvy7ZS3v90OtF
WA2Vhjk5Xc8j9Qt6n749Tmay43v15z6bkqhPK+8NI9CDq2fNN7DWo08gykc+NkM0rPWtXcjpCIFz
ObK/O7vMEv4Tat0+wPJJBQgMfnHLPyxhONVoHOWjWz0K8tSszkt2cprr/YbOFuyJDir5q6+z6WvW
nSdlDfMbh2avbOyorgiKM/p6ZB/1mp2aa+cZam7JEcQdv2VGVIoBHYKzCsuGUR/0rk0O9VqvV9QH
AZDJVPz2lQhLxQqLBsu+dLXFxmetsP4mIgU42fWxVq/MFrt8/bSc4q+xWnR/LACMaBFxrwF+SQqS
5F0ik5+1tMehO3pfBBu4kbVQy22r44M8zOy71Vv+lvmy7cTarTfLwBKuMme+A2j9OCUL36InC63U
u+Miq/64Lb6KB90nBo7Z44y0cjfpgD6qFHzb6FmXjPkBJ9ANlOuGjRA6BRMSDPhh6SYH0RbrTi9N
LdDXTAap2Y3ckcal7Wg0K27qh1Ir0vsmp+Idffnwz6cKFsZJmNFE58xnBaCw6p4kuZ5nxJResIly
+vBGaF7rUGAqbrX12TQMcmPJbUBi99wDEt91nNzwkC4fdmn0L1ZekRuql3+kMd459vJ361wUAeTc
TcLgRceMbHFX3mpLd9ikaT6xplO5WQS1S6kBJ67G4cUUdKNap3zIikvRKDc06/KzEOqZ6EcZTMfV
ypcd3QxQ5VzBJ0B4+UlbnOxEchGH4DHTwxalLDxUC1W4rqiw54SjtZdHrUrR1nT9XiQrkdddowVd
PoHPs9XjMMGwJaHYjVE6PSQ50t6CNKoWe8hBHqoF7NIG0yeQtt3cdK3bX/zZ3XVOa8QKHx9nOZuj
c92Ne97fg1WOvyuY+KwOWqBtya7hNL4vvOoxN+24hosKqMxjVRJjHxS+fmrxZBwXoVhCmOl1oFgC
H/bqHsNrG02Jb0WVAXyKZq0TpB6prMQioLCTVYl2vL92kM4l9XtiDMuDqTP4nPzmYVXJAWRpe7Nc
nfZp4Xa3sK6Pm7NUESshzam2BPtZMv2ujRg4NvMWH8d7vxvFsh2zzt73Q1XtPW0l7aYZ3ukr8Jea
cbf4cUrY868J3bRQGftoA3uSa0YGDE+Bf67OO8XvAk4D0ITnFms81qYXr7UhA9H/nibQ+Z2c5KGr
ML8oAmLQ9e2tOR2DauzOzdD0e6+rYi0Zl4Pb5WCFrio329FaFhlKbELiirC0bG9v9bLPQ+WlgAwK
T7+Rnh+VXbXdeNNQnuQ7BJt8vyh4DBqYt3hcBDulQ/pJYC5KPwwYvCv8nfsm0cbQKMfDsIl3qY/W
q0y2e1EeiWbdngAriZ1yKia4CR2aSuTiwSmac4ePMlL65u/ZEcfdrOunUo7t2cnKNQ8TNw9Mt6ku
9Krsc+M7H61CyTkibj43DrYpM+HFahr1weRo3vsVAW8/Dz19usmra1bJ6p2nSr84K50+tQAcdOo8
2U+kQ4XKInh9luV9Lyn08mlvpsP6nlakDbn9X7/J6EPSMaF7nGoRKZzfRrXlO7zcQzjsU2nkz/n1
gzHIj23Y5n1KAiru9r46CQ6kp7nfSDn6eXL9+dQrkwTGjbmErtbKOM9kd/JlX1wIu0xDuSzF12Ss
ccGd9TFkjRVP84eg0XlTMpS+bCYhMulmZF9k2B9II8zf8Zd3nL0MMPh5/8doXf9YJb4Mimr5MAcp
9jo/zaIf0iax2XufXFrEyLnC+i8f/p/PJQUuSBwr45XmyIHKsTPuxxj9rPHqL1C7pA7auHN9uN8k
i85t8rp1Xrk3Kv+wYTs46APeiHJU3tEbr96RNsviqVO8TQT1PAqhx325nMsmWakxsHje/vODXUKG
1qfX63bByQB6L351Gx/4caCvHeiT1u3ttBxuLSVY5hN5PycmzoPVt3Chq3KfLeRVIFTFhyMcoLD5
3gFASNzbXFJdztsxkZ041uY1mY+Ik2ObcD+UHnCIRmdzgDApI2NKTdorqXm0UK1Fyio1Dui2cWck
MADHIblazjCGN9OKSgZq02lyDdpQ4momZOK9R1gM7GA44SHT/vnhGn0Q/u+HhP8fjf7oFjJW+09B
y/8Y/T1/L7/kfx36/et//J+hn/UPoXtEFzsG5FTbcvlm/x76Of9wLNN0dQ/yv+eZjNv+NfSznH8w
J7R9z9Bdn+Gg+C9DP/EPzxICaz6jOtfzded/M/QTtmC0+N+HfuyuTBxd0zaIvGRC+d+HfihStYnG
gE6S1cAhVE5P/fWsMab0iFsXzbcPEQWP/GOdJkPgb+stARcRevx4WvknZnXdYTY0+xhWSIJ5tET9
C+t1E1wVil277TJ9evZtowQunD0gpXqaYUcMrFFDtokwmTJODrScS430xFI3JXLm4VejK6ZAlJNr
H2FquHcMN7By44hrlANklxygCOxcJd+I2ybsF+xg2RF5nJDE3Fvyjv3CC/H5J6HylzzQeusCYJwA
EglDwSt3YhlPphrTiKUOSvhX4fvpzilNN4BlFdSZyRJumNFMJ7+qjDre3BsizfTAzY0u9sptjyrp
FVFpsBkcoy12bTopz9J3snB27WCmdxBsBAMHMx3XvZ5eO0z1zkvkZ+/R4x3sW9bmNljM7MZxeT2w
ejLMM4Yjo7v1mFd9faLBxi9g0lLpuLHPNXqBk1sQBnN9ZC+9ef75zBgc6wYX/tm73urbyuvctLm/
J6ILgKJpy1tdGAucGcuJVtR+kcmM7b4RbXpJrC0lTVLbNy0NRVboIh6qcSHgDCBpuolrar1q//lQ
IR284PMt9ZwGkLlmMcAw+9lFAHpsXZyBop6y89Qmb2mCq0D3U1b5NJ/YNvAj/HwYvFW7Rz6CF/U3
Jwf3kGzuaAZe5XBkTlt1ampz39lE+jEYpS5PeJeLnAFGyJZxnYHJNrJEa6W7wjSyU0c3kMOSYYYA
y7zbuXHd22EVRPQtHaC4xb3153aIKr5PxEgIwdvg5mh8KpQXCvTUmCkVDrq57Ku5uTBjB/nESO0J
wm+2X9McsoArxqdmEPaDod9NTJdtY3j5me/q+mdqkdry88AU0FjnltQAkQUGqvqXqfaCotHY7Cq3
Oln6tIUkehXvW6d3UJEEBDdp0TmR63Nija9T0k6/i7nuITPZ9gPxCsaxpZKKM9jCIQWLOhGuQuJT
qn1fKROzt3R3U29gx6y8NtZ1YEF+g1zLdKw7nxTIO4fpVdQM5tMC2P2PR+MwnTuVBu2PyMzJPtqZ
W7yigCnt+tphch6zuSw+6R6D/jNa72ktRBenupvt5Oz4AfHeyEGLMT30vM8PW9Kwu5ae+CTI/aab
StIcTPgB2nLvL+P8gldyQ7Sz4H+RlnwvtzauEse8h6esAn0erP2iiSTygVG/QqOxd13dkj6CtPG1
Li2Ps0Oq736+6jMqZThThgXiiEPZqfXNlcbbWmotKkgLUzDhSjdeItJQSDn9qX9pRpc8lpu0mOTC
P6gn/04uNPBSw/H3Feljt5lh0iVqZPecOWovCn40gVZa3Bfb9ExTXx6dyXzxTftsw7v8VWt5T+a1
vV1aQ1/PGSkRHFAWZpDcbKe+s1x06htte/rAT602L0+NaR6U8Ktwlg1Qt+vzjPVRwOarQUIJ/8KV
g38YJglDMQPI5NbrQzm4y4Owx/mMn/P4n0/xXpZ79uFT7ji0FpYGSAWEg/3mtVr883BdzSXosoTf
qk5PA8mbb8Io7xPGXg/wKsuXtQVUU86fDolK5xnhxjOE97u8ken9z6MFKyo8gSo9lNwTEGC9Z1ag
PMzqNaU1VupvtU5/ZBDiGV6HutAyfxVX6STgwsfWYPY9ts2+maUNUHoVsV5U9dlGuXvWyolWCfM+
LzWd8mqmyk+J+YyMez62SPJ2rZuIp85Gv7hWSf+d+XvVF9Pt1Ltm5GgdqX5V2ZybXg73vH9k0k1T
tnfXpDnofvua2pp80hqjPim2y6hO8m7ndl1+6BzrnnFH/sfzjHuv0rWvZaeoSqHZrG8gQcQRa4we
/jyM2glM7aB6E2SI7b5XXFVIFcs3m+7Jyd3ERMpE7b2TwSFDncsrwB5mxa6Ttu8qZssf3vVtTk5V
3vdXsOHfibPpo+kY9x207FdHs7Sdnhv1zTAlYuf7iAZsiFkPjSHawJcWCujRpeUx9fZlWCVOfuje
d1CNSDnz6wbBypCA9su6V5dEsbB2x/y05BSHbeffzygVwizFQcCvDJFUcFrJKsiDiY9O1E7zp1pv
1YM31RR/evbUzzZrNX59WghtdQuO/rbsvelil53GbV6ot0EwWyOa7+hoKn9ZiDwMbbeRN12f5y/m
0JdxrvMX/XwVFyjdfyqCertJUx2lpeMOG+Ew6sFIybv453PXhw35pXFX669Jt41n7/rh57OZ5IVg
ngRtzKWcTotrTqefz8qKmXS5dQZGuGSJrZTdd2lYnvSBtGcPhEmQm5CoGcfWQe3X/aUy5oNbyr9o
nIy9P6mOpto1pSBt2Qad6pg3SYqftK6CjReB68c7WLhZQy58iwMwg1BjhsmWHrJKVzd1m+9WrWBj
nwVVzuAmt1e8l9GMxZ15xO16qbWxftBYZUEAl8ZOc76NjYLIZlPY1zqA6dKU4NM4l4ZOrj/NSY5Z
sIB2ulmJE7ne4O8wUZFW2H+kfr0nfYfh1lTOBzEPv1mEtwDtpn+frjRRnVa99W5ZnCd7+WUjM7JV
p0JXsD+o0nHDbn3KJ8SG5oQ2whpHfuywBK5tY15xv9y1eN6YGvgrciINBaakZWAIlD1y6P8muUFn
etCj3tHJGhiNC2nCzCXN6Y+1rDfVAEOldvGcjJrogxbGxcEjETMUNpEqfs0JnB7boFfmznWWfjfn
XYIckwRNv/tKJXRh7tZXuBYb+IfYF1e2bVrHfu6/Wj2RyTXYeVe/03SwN8r+8LpsPxveg2rxUhfV
/O0qhpF9X4Psy5FwKflaumKPScHZkxmt86d/Y0VzAlFpoRqXN5F0X1PrTKGPNIxSw4WiwQCcRPQF
cFdG9sRGr1pA69WhYk/JJ/ZWIt7/4FjhYh4RhAzALFLFQE4fjP1oAj+fr8PECjvzlKdfZjkUgV4L
LCnB2FdfeTG8bzYz1AqM4wp7f87r28RgdDZ3jP6F8daO+lPilo+t8v1dDaLT1f/O6JtmCPSrFXcm
duZUHBJTO6bTeJ9sqIBXl6FsF2/Uf9tEqLQXgitauVi1x8nSfpUzNqaUzkepokJzDkAFDyUrMWLz
5ZnwhDRsNShHpWqbICMeKXC2sEUJVE7VY+POzwC/6mjzjAx8PLzpsltoPjlfzpxnO8/klhyKm94U
MrAY5sDR5M4mM6AvrSi1+5eWPKkR3/5CLmnX3xNmeLVPyNurJGnPquZmDBsWY7mj6+pH1952NEwh
EWlm4OsMrTLfvZd+F1iDFTZwE09mz2fXsjvXWWDq9F2ohNmPT+xS3Z/arflqRr3bSzqSgIuwtg/0
/gERM/RiMt71CR0mbkQfPQYHMTds/PViAALn1y+bcPSSOeh4e4aMSX9Zn9ACFQRT63AJrQ4hL+py
LnUmWx7W7i3VX/XWuiOUpgkWH8ZJL4qPrbfIb4ZYMEqPUMy8iDffXCjkpldZWx/y+n0MQ3wA1r+D
IM7I3SPIcc2+e5t7xNL6LzBhJHEoWYTOC3PzTxD9vwvvDzvAJRkGftWONjUD9EZ6fz1yAxCK3poj
WCYd6F2Y5epSStqd2BWiHDbnZHmvq2F/T878veb9rd19Y9AhL6mlO99kN0LylosqAzGfP4xzWQLY
7X4ZrdPeutnK9sXkGgFYgBvm0ym4ltkH9p5YDvQ8zhTM78Y8vaVKPErHufM6/6Ey1wvUkzpY6+VD
95g79/Jo99qJ0ojGw5D9yQzUAdcLsLZXfLctoUwKRdjWOfdD6RDTtMYpiFQ0UqlLYrAnL0lTclMO
DRfJJlTAIDWYtflChsSl6OxPoeeXlP3XuYYxtMvW7iapblNpH3pwN7HM81AvomKoLxPhH3vkdtBH
Ca8Z6vo+dRRLVrYbBmxemsrSCJoiPPdP5ihgb7btW3mA2oayP0nnjgBuAogSMnmnnE745pQHawar
UZnjHh3kxUO92VbDZ+IryLNk29uT0Yeov3bNkp9VPy0MBgxj7+RpZNi9flh7QVu5/dU2zhWZvRjw
B5Emct7fwT5hiKJak2qJ87Hh8Rr4zKLO9pUC6svs4g7Jc94yi1ulBanMIgcTNZlte1/pY/HkKevJ
8Zv8uWytN5QZpOrITos05EaTkPWOKkvekBGrB42vyDU0m3u7H9+MzK5u5wE2WZKj6irneBngL63Z
gXiPMz09/VGrnnOL1E1TdHZUQe8P1XTPyc+O0pXVJJ3IrO/9HDN65u8Q8yZMvAux1xYvY+12XrMx
b2MBOdot12KH6kVGeuKeSt61k8ZfKsfsZoU8jFyruscxaEYAou/n2ZOHlGB1p/ALihaSvzrEeJHH
0h8Sf/bpoNMj8825wZiVxJvn1YdBlB950ZrHgVFg1Ej9D7FpMCgrZJwz7Ez2GhRdZr3uKmPs32WN
+2qgGc3B/6msc/hsifPLtKw5TFvWvk+hmXboZfZ2YPZisthd6YIWLfk2dx+ylfFj0pBkwsTXqflS
OlivuokMTQ4VMQUDHfrRY35JAz5hgXcr/SyVNsVNkXgnXzvNbK9e7Y9HD1RM0AA7epHJGpKSlUeD
n7+Lqqp2g5jPc6P/ZQJfsZXlDeMihtRGb3OwBq8lld0dB2fqjtAuKmLp/v3450nLd97A5jHNuD4/
1013dOT6P//dz5cLPSfYben3P/91YOjZ5jQj/q9v+fNFPaEitBf99udb/jyFrTFaepfscY+NNrHS
5qS7K03cumVZnvfSEjcz3vgCkdgIbRGfagsZVX+n4XHOb/AVy8DUxptWjvf2ODBdMmlOjlPQKOcd
XPHvstu+mSB899ZQBWpNIulbKFHn761E+NO22TOb2Ok6SvXHJRyvAB+BgD7YbPN7XUPOlFk0dMa5
hZwYTn+27RpXW7ELMJW67VFtAxNumOlbpHmMfoZ8qUMF2yI4La8fprX812dblXjBNPfMpJSrDopo
z58v/nzIxrHebbN4oSmsxZOZ/0JD5CAkrQ7TbPccV92gWtQSLibj6KL1Z1RKqR4hiYZIayKhBduv
5PHnMWHb8gjNjTDAh1YY+l7CJaJh1c5BQjdp9bPsWDoVo35BdbaZ9Vtlb9lug+lCappBMGVWfG5e
RoShlZonfbIY+l8/mP/+zKH/RymVchMvdUmCnFnerHMXNGbxVNU9ky7rTnPFH9OhB6c/jWb6SjzW
STLAHnPj7IvhK5PJCyrCA9mJwlzuaieay/p2tvTY1BrEj2o/EcBOFmMbOLZ5m2p9bBOuZCo9yttp
ny8955moQgyRcG1wSAl9fllStxgmdCZjMo76bg5S02Lsp+LRcePR19CbpuwMbnOXL/6fbiUvRibB
tUQQgnJ2SCLXrx6UIU5ug7qsf1hSde6a/k7L052f46zTtU/kmBG9P0r8PhbEG/Uq+zQ2/Wz1dPrl
lk706BK6KQMuTFu/eA380+yxKc3kYKn5zl9Mepo2hVRFGop9gh/ptFlA5MitrRf7ehlq4JsG+755
bybFfZkufbgUygmGZt5PHKgDLb/OTFyu4KavnltF47KtjoJTlFc9rytacGYGb/CHSFEqOF8sR9+8
h5877/Rq/J146IWHggDwvKsuZnFj6SNwCKv7W3Zr6Ffa0Vs9eTKJdRAOHQGP0eW0+Bi1WPiDhaqF
fJcb4MlrgPC+u5GiJrGvi8mBuO3r5KXt0Nbrdnlf9G4btt39ajfefrA/QN08Id0E0SlRCBcXhVCH
Mqhzw0xkgrrROBK2ua+bjfpSFru5rbFxePFiWCKscqQRQ5Y/M1lUtVsHU88pgIKDSx9nXzc8bZT7
aDdHMxycFJexvRKYzuJtT6jhtf4jo+3gQfjmxBTUg/yyW/c42mUfF3nxVbS1h26JirVc8ZPNZ7us
PpdEDYiLuTibdIhtGGKjk2Vh3ZG53SbZnxWi4x3JIYca2epSso1VhPMUpYAnrdRzkaNactRGj2h+
7ytS4cbqe3bkm2GTSFFuX5iKAW9jcdwJ02VlSOabenuqkI5Hvq600Ia6KnTtxXNLP7KzFk2VMoNB
iZOe76sqf6xd/T6Fx9tgcILDr90Y47tty4M2vikkl1bWxbMi2a2yH4sG44vuGnczObhh1ecy9HAu
DJp11owkbvsCtiu44TphfiQNjC6rRQ/lTlbTd7/lH2lxsYz+rWpt0iU7QNp6A8R5dljRhBh3E4oh
AFDph+raL8Mpbyyp3S7oMZP0FW7AgzVRhXhWH6LbAMS5+FFKKeIY8qmX+pstipNYmqfUrCNZkYBW
laetr0KE9U81LDx7bH+VPaNrPWe21VrM+bATf2Q2zBXkrr+TwiHQzFu3sBbtM1aGp3rr/mYsFCZI
xU7DOJeMD5XOmuMat4tMXFqYv7d8+Z2wKBhG/Rcr1XlU3XF13U8Y459q8zljDtHVuxx2Lb1/xs5k
1hosK+VWBjnD2Y/BXgpgfdszqtWnqg/txI65u15afX6oPO+zS2B1yPyqy1CQ0126Zt4C3m99UfWI
1n1tj1fNX5B0zd9RG/e6CVPFSmDLsAWoFBKhv7WBTpq8sTa7dnN3a85RsNjSM1vfjm7bQ2UsZJZ/
mWxhXaJwAJgflnGnqN6ctbkjx+9mXNKHYtoekYgRw0OnWNH2EMDb5vJitzMZX7l2v4z1UQoLJa59
zg0dYZrlPvWFU4TDeiOsOaLj69GdNj5m3X/MmNqnXm7GLrWhnqIjnXv0xm7Fn9tWG692WdAPWamg
q9hJKXi2dnm4vsSq7p5JPexC2JOU8th1xuxL41wWrV1LmcOfkH0UG85KXzYRDHTCyAr/xVyM8+zw
oMH/P2wDqyfkkRtB+JWXf00Sg5WdI9ISQrv6Nj6snMQjEDyRt5WvQ1pUAUynpsU2XOf3PzfSWHHp
d38pPl7q3G3jFF1DMcIs671L7xBZO68+3XbNNENXNzh/gJhaddTvDn+UmVCzI82AnsyIeCq3M0oI
oo3LW8ZjfK8pqCyuGHb0PjSZdu0zpf9OMtgxJRz22fhduR6LvN9fUmPkvpdzvLYdd6XJCzgUdLCv
x22gvQE2aePWuboojNK/492/mZoGd0lKO0RbiK1MbdpGJX9g6onDyt4ROq4zRIl4Eb3zuYie7o7x
kuD2DKf5LzUuMXFPQk3tLscflaDGj7i2qiCx5jVg7MS+kntM/JcspY5cj8kAs4ZD318xOwytZ2+H
Ivox7fj5hJ2RIadsNlTT/F1fVRFXt8IqkrNQ6mWuFoJpdRhyvV8dRklmntRPZrVtQeVw0PZBL9Zq
FbRcqUslzSfdCwjfY+i2hRthfbuswrLFjk4YtGl8bMavei5eV0YwyNsBHPvXFbKXH4Qq/3IsDw/M
nKFwmIxbYp1JLvSwvXCpDEzfxcg6OkZLwt46LQ19dxMBxbaJlf2HWF7XCBl77RxlwDUVRcNARBkx
De6UTptXR92YGXtSTy+ulhGTvEIFYQzvIT33djNq7aDIs5dBWQsrFhbH0X9DBo0kZfxSPQr0xd5W
7rn03q38B2nSJR2tp7Ff3jrLv5tSZhloG9/p2MJMVDjS2uZQa7QonSxnn2VDy/P1d56th3zry5Bj
3t8NgjzTes6szPkgNQBbHV02ghldJv11/ybJf9O2d7mFNprpI9pi80NeuylsG38WT4/t2uWNy8oy
3rpwSg33McCaN+0ys33NbBWjHQfpnAFEnAa6yhsqM6Nu01tNgDrzucRJ7mMuOKV91NfWvrcngTHN
/6K8eUlhl1IJaVGq0FB61fp3ycavGrT2mLvUroABkBs5HCCTnd6AxzNG9Wr4nJ+UvF/qmLf35Kb0
k1bSOGH+IUKYGARL5QfVUL64W0kzKqJYUvad66BInzD3hVXaGsgia44PaZK96h2o135O/ZgJW02D
/Je9OX2YTuroIqAmcDmPbA9h/piR/rTJHcszrqOZczozqKOHECrXlme9JOcoZc3zWw5oJXmjrt/9
QluyN7L0ZqwXmljTt9eBW3Y4NxmFGcxG/bLM5bojG4QufEYCkNPdNKW+xa2x3mE0/MZPKHaatHY2
fX6jezVG5tJO7tLMy/Pf3WmR9XT0rriHbp+J4t7B0EFl4n0r6dH/Z67X0K7W0PEFaW0zgp5jfrV6
V/f1EExXXR7BJUHRpTlFuf/mLLziQzr9atSaB8kY+8ZAuLhFsAkTexR07gMH2mfSwH+ZpecSGubF
VuON+1G3PgZy3/bJqNJwWoZPWdHfMnJVEAtrl7GhJJuTcS8YFIrk6jz3WPksDftgl++gPeJF4Zos
mabEZsKWTsneHaTrM8QZHErQyjt0m6RGF0uEwlPuHOfPbOucYFwSLpQlo0Q3nKjAFBVNsvjTMzIL
56Z4diuOzSadgHBo8GA5NAH5ySYTgWhizBUtmvwUSZYHi3WFTCYmaY5eHhrD9ppqWsLag6Ng9rDn
gRG/6rCWL+XyFG65i6eyIvRIvmbyEtEY49nlcRRqi90MmUHWniYf/dngb0ECBz80jCFaa7KFOtIc
Q1ruj6v0k2g1NiylsPZjXDQ12Yv6VVRAMSneEtd6sJcUAEBOl9AzvP8g7Lx2Gwe2Nf1EBJjDLYOy
5BxvCLvdzZyLxfD055N75nijsQdzY9iyJCqQVWutP4WeU781SRZ44/OYj3WYNt6yK8k3PqIK0Gqn
25g6RlX9o9PqDsI8dTlUa3lhedhkwPpoa0quZJAnY5c7Coy1xFQ3sYE2coTDF2CnvrD/aL8zmr8g
xbwp9axN3zQs2b4yVeW+WJZTOg1oScq1jDAm2xOH7LMa9ntq6btmBOzJpxRdKGhDVs77rMCwVC1V
jG21dbe6lCE2VFZHX4PZG+KtMhahlZOrVxO67Jv9jD3J2LDBCJLXbRrydVBeCf84ZF1cbDAaHbrm
qCYtetmEgYrRuxok+Vw/yFIKHxY6a1HjDZtFLJ865IlzqaKgSRq0ntV9lsxr0CnOOR7h2CVodgGN
oqbJi1MdZw/xOFF4uLyyJWVqZ0JTBardZWmxyUEnfdGP9/Sxm1FVvUjLQWoltoQHWTfbNTsMen1r
1QALLX02aZKEbsmEoFCBy7HftBb2y/YYrcLellIPNDxxfdSXV0W6DLEFy7Yc7yOVLasm0inhVMDx
ZosNkaw/1Rwh+gBvfE2h7WqobqOFiYiZ5Ber1g9sofetY+8xNK9CSyCbmM0GbwibehPath3wKIZt
zi/4P/XOGqurljd3I409ym4GPWr0GNDhOskBj0wc7bNWkuE4tspNV/TH1HGe3EUFc4/L4kbJA2jY
m5a3tLsmnu5pS46KWZrgB4xDoEbsi04PoByt6POr22VcT4aTlSHgDmLo4bbqC6AOY/Y1/I/YHWBX
OlIkgEt0TERZRWuRPiDRM4IuqcctUfVEycUJUKJiPHUeDGcy3Wk7UlpOiW0iLPvVXEm7BHTcSw0N
aA/jd2Xmv0EiJ5AYr7elcsFvDQEmAka4ahdIBTA/5v6ir5K5BD0c5J2MMKNV+UAv++S+MtA/lsrz
ZC57o6HdmxLLDnSPrUf9bUxypigonwsI4tdZEIjD+KHSfKGLgxUyFXdSNq3vFXyTqzFTubqVHV3Z
pT5o9IvU0dXPNTHMuKRCbll3+dLeoaHSof57xEdXeC8akEiZI7kXxLZyM6hUe3qNSUxfOhelcI5Y
0UKCMgpGa+MbHkVoVVp35jSPGVSc0Qa8MR2kExF9EtiI1PTR9eko6sDs0wjkw7zgeRNMY8B2Ye+c
CsJnBbisBJ0th1DoTLLZbnFdgzEElfbTbkwEfGZHCLB8ZW1vwSe1LxLPuiB3ckRLBp6clTeeq60b
y3Dq012s1AM9L/VvQeithxMK1WG0jBktFUP5zqjhhxdtHdLTeYFXmIiYClZssqAoXBh8o/Zjf47j
5WLUpcOeXR3nFqfeYuzQU3XVziRxKNFyxlwFctreDVu+EVfaeA902YGgFngR9cZJzc8F0328jQ66
lhPg5XCvTD6JhmATk7FlOuWHeJ2eFt6NLsX7kn0IS7RRCQ8lIrEgTG2nRuZflwhDVU51OV2/pvxe
4COFzc/Jw2YF9z0P8SbGvqZRPRSoPP12TcutbJwkEE3xpaegPAgaH2M43NAm3kbgd3/ADB9MePhY
83RHJa06K7KWhHgDp2n+AFQ9r3LDUs7xmdr6cTI+O9p8HhbUDfHCuG5C7hzUDWb8Wflh4/vOyqkf
PV39iu2aipban/rWfZT2NpWGjd5wusW86eJ5AlenLN1BrCH1kyFuMDX6sHWL4avQpoLmkwq4VJ3u
buzMY4alVlThBts5SnwoNfj1YidBVQAKrzqPNH4BmOo3DCv4bshvQd+ch8XQ9kHF5mky0QiyuXrH
qUigM2BbctOZdd875OzjZAnn27aSQ4QRuW/N9JOtbZPIVQ2/geIaug+IV0kNiMScrl5wVU80nDJm
kO0JsIuJJpp0zJd8npqVIR/MbX+0nY5Jh+k9kPhlQb4YvqB20USVhEKQfIDPjWEMsHnslOtY2aJu
3Kia9ryqylefzOaBAPo9woni3j25j9qc1schcVFQ5DbzzoRog992mQ+3Tb7eJSMmGE0WxnM6X0i+
4xKh4xqKHr6dBaHeXpdA7c5E2slzI4Z+i44ZuaKbqD4a8zrohubFQp/zag/WfW9Yn41VvCaVRth3
vqgbVjXp3FsMWLeGV+RHqFEdSA4FZ1ML62yTcoBjrBswZupD1ZFNkOAkN7cvxbDO+xglwUG1uk/8
H7pDhdvuGI+3ojUECwMlZjMy8Gl7nGl70YZI6LepgCK5DG0SdZ3p10p5iRfSXjS5LOTS5Ce0I1gK
Zb26t1f1hsEB0+x83SJfzjsWY5VAmJ0wiWTMMlzzBRP6YCgKstWmgQJ7Gk5NlsdfaQXENnctCiVv
q9hE/cTgS6GqK9HYoZhgOLIlzvFytWlHycFp4Mr8siz2g9bExr1ZNntv6s3tnGgPGVjUblbR7i4i
PjSWTR5QVR8kwP5Bc72z4uhxqM7ak8aE0DLlSsyyqgRFPWkH3XA/8pax49Kb5WYhOz2xCttvNHS4
plgjzRwF13tbQ0Nnmu2p2bOGSR8Zf+JjKE3cVVlpIOFX4dIzIYtTsS0M5G4a8rQ9jbD0rdob9vBA
VJaS9xJKRVBNWJ2AvfcBFGpK74UkL6xFboeuIjxw0oJ1LD+kRdiENuLuWH1ivVE8k/x5l5VInWHv
C9QBDGNlw1Q6KjpvM6bTfcmpAKNW9KHy3f3ipONgMtuLF6UbvSiz603spBWQqW5tO/Zlte2/7AQh
SevhfIgJBmYYOjulPExNu0ayS/asU3RTdfoy5QqrrwG1ryKFfr52nF+ZK+qLmWVvbcO+XDGuzpS6
xq2CJEVO6p3hmgcVZtLe6KitJ+QOYR85BuXTkqzvBs3w7AC7tnkRqQ0oRiZeY73PIq8Qb4Pek0fE
CC+gQv6N6KzcFkONLEEIDDIyhnZdTYE8TguGA86mUjhf14ngXwsiSan2vFi99kj2zHpefw4M4Rxb
FhunMfFD6NQXleo+dPBGVJMeJv91TGw2eDaOjXiscAnfiIFAkTrGJNtKR2x2WZxkTpjKgsFzmA/p
U03kZqA3JtxZ5MYBSa/1Rk1Z+eCSdFFiLB+9qP6IYm4hSjm3Ta8S+eqtFuF23B3iynORUQJOa/08
YvbNkH1cETo3ZCx2zHj1dQ7cdnpUpSSUKKy0cCkNbuniAc0tENU+9ZKZN2qmR7L5Kq5yqzp8/8Y8
BbLm//82ne698H/uuFyf4edpWkqhwO5SUWOxVHfB9x2/79N2NkS777+Z47tL8HPEGKsKxHPXV5At
Kf/6fsB//Prz/H//Y7HY6O7+//kq/r7Iv0dkvxvW6D9vScw4D53OHMuj3V9lK9d3/X30vy/k+2i4
ijco9/7382mVghLi+65dYa/938/v75N/3/rzLN+/qc7ccz1wku49+Z4QXH5AU9zsiQPU90KbG5YZ
7Ia+f4vhPvz97ec2d10zWF3/e58ckhVTtf+95/dvyXWl/rltiEv0qznxttfb/z7D93//PvjnWD+P
++dpLOVK69ESLdBs5uhRNmoI9pfk5ueFdLoCAvH9XP/xazNwrqI35LjfT45oKtmgJHkqsFIsGGmq
y8Yd1RuuQr7k6w9yJmvwB378c9vPn9+/1cI5OUXtbf65/fvx37d9P8nPnytVKL1PLRi3/N/j/Nzv
n9u+/ywZZDGBv977n+f6vu2/PcQTaIC1AfkWE5Dtz8H/vt2f91aPLWFs/zzN3zv9t6f9PnyxImod
xnZrE8pyGGrKMs3EieH7TyfOgNGuP/75U50FHiv//HtSN/lKrKh3nbio/f950Pcjv3/8c5vayNhH
PmoFP0f45zA/j/3nUP/tfpoX85p+ngt+Ib41h/X75u8HmC1mGX/f2c8T/Mf//znI95///lvxKtxA
8zH6rx/Bz9P+vI7/+jTfd/znPt+3pTDIIhyAf4/ZaAbwfKERakBofj0JoA+tMnpxm4gp2/xdLibj
WUENGa/nVG9xYGN1aRjhHYgaJ50Gz+SUHZzpQxWhVVMYKdKy2YZy3cSKiAvuQ6A62IL+EsgIDelo
XX9jWtebtNg2AlYNC3HeM9aVjM5UlxyRuFd3Xppvi1k+dmPGyFFhpOnUNTDiAPtvtJNNG8ubQWvw
JGDjiEdq5gFF8tLKLxMDnyKFT2DkmBs04LDMALsrXXcJVbeDkaar8bbS1C+vnB+11itwE4EUUc0N
5KIeuZiGdFCvqJKS4lw1Xer3mdqgnmnTkw0L6pxccZiGuLBpIdNHgwsAiE0QlV1DCKAUBkUnsb4Q
8V3bjfuZ6E7fmVb1znRtfbdOvDKbdnV2XihNaG1EoUFhp9DR3SHZZOJaiYGBE+i+HflMw4ZehU7v
xtQ1OwDzUUgJFWC5zGMQtUD0X58Ms9zXbXuGpdsG2WC+dVN3aJql3FBAZZHF3k6FckoTEKk8ZexG
x96EQ71f0vHEVIIeI2cMqJAuGSa55qsGKEAszGwzdXx2ljB2sYspXQKGuLb6FBB7OYQtjfngLjdE
v/8ZHD4YV3pvYOrAo9I7JUuRBxkuB/iVqQeNJJkt2NkJl94U0hNxdEufvnTyTx5TQKoqFcG8Wtf4
FN9RWrETOvC30rvbzLT5pE3G6e0wmRG18TO15LwZOowGSjF8OdltRRzjlRfIY4kDL7aGsiz3ukKo
wTgpVOblGpCe+T5IL8WCBGJTqzAgaMcUT+BVm7Ym7gUuHI1IN3njCbzGXeHezZnX79yBFz2vcD4T
pAAHteaLbjdGiroRDNLw3cRVgQ24loROZ5+Sdh9Xa9jP5+sZpOe2OJfp+hsImzJ5AB7ozHehOPGl
0cdfXYXkU+fyC6ABSh9L9gFSr9MGJmHR9FPOCZhiCnu0IeZAKEgJfcswSfpcsabAh2wBFKnAFmG+
vMRZAZnfLgnMhniFHpgXzLFsmGRhLVYZjLNcDv1owaNTNhUZ9XeLJvy1cz/x0yCbTCU7W14ltBjx
TRp1mWacmSekxxQ7NstLv5Qr87WZU+ba8/rqdYsK+2SnkRbnIfjWMyPbY31ZYd2o3q0idgMDCWSc
ysdFc9GneafRpfpuFCavhcQsQSl+FZ02btaOwpjBY7tR3GcycWvGqlWMSqoeQ9zFmYWQIkyulBtM
AqurTNNukpnpRAX6OqofVocdt7c4Mhr7h6HoniDTl4HHpNImREkT8gKGVgWuITalkM+NGhuBOeRM
xnEnYUgj6Te0WfW9pMF3bQHuyJ10Z5mKSp2s3du5+YwJU2ciWysxpd0MVYdTSN4eCAJPIlUbd5oB
4bIslxcstj/ipOtBjZuvfH3FyBKrCdihaobIeNCf3C59kqgPjnWG+9B09LSNakvvQ8w4PDKuwr7S
CXI8S4m41//UJXxq1X7LJ+sCL/NFlt7J1LlbpU1nQ4V/J1YTyw8oLYKckBh+CKOpZVukqe1nWADs
lk9bopsvH4t6fNfGGlxILLdE+IXTiGbQZpKISIK12wQI62QNSWpkwNqj2OecCPpmhB2Xf0g+JB9H
L81HZrHHxiD1kWl1gaBHTFVqdmLLsLw5Gu2mr6z4DjaKiKbYy4MrhGzPVWjgyoZkjYlDWb5OCXGe
mof72NAzjhiG6qXFzDWwxBKWMyG+STGtod2rDGSwjSMyYI4GpXy2c/1OXj0Uhhdpg/p2WYGUEkJE
pn81SoHxrP5r6AymHD0sd5UoxNGpUMyMlGsV6bmZBpHGRartp0vyqsFSmCt4nZiePqh5d+mGJajq
5YSx8m9jYGClT7zgVN94A9I7Veh9NCs2c021vQG38rPGNkNiZelbk3nfaGwKlV8XdruBL8J4VNhY
Q2n7HlTdGRzEQyVu3QWDLcPZk9b4MWRt1MzmbeqWeE2q5S7VHHy/YoGn0hTD/3CnwzW8KcGNLezY
dcltyuG1T7IIbQXsBnLfAr+hnrG2UX65HQAfEWJbIzNABiY4So69BfV+NLV16+D4tW1MfUu22rlI
66d6VjemVkJET6GHoE1/yyxOM6V59VTMi2SQpC5uF909HODHyiqfl/Xqq94Pj2m//mpm+0Vv4NUw
Gq7sDtvR+by6oVMwcNUGqKyabZ+bFhpNM4CkNoAytjns0bnjTG1vp0xBXQJT7Q3U/p30mUe7HU+z
bfm5OkFwLXeDWb4VM+dELoaNPlIbGPKUrpCIFnRuas9Qq2j120zpQ6Pn+iyg05Y7um7YhyTVbrIJ
O1xeYcC1+b6I+T0ZwASdEkqo2zAmyEB8q+LX5GRPRje/yW79nQPSysTYrjLbj2b1CL4KIoexSIuq
dMwU0PFC4wd5MeYKIaVZMxkVGnF+FYJX00s+BnfYYxJ1pzHdjIjZhPohnN+DibUJzlW1PwooDLUJ
/KRCt1Dw4uxqtQ7jq0ZI1HdFotIlQYyIEEVtZ9vbv2F+eh2QuftmBqZHpEZy4WJiGpGxNyv6sStH
+uUYQrvp6Lsrj7pr46uneXEU1i+1QnikTq8jL2qvti9ZW3R4mZTPXq8cWfkesp64vXF0+OiTC8ms
sNf1rcin3dxgILMbGCHj90q+JROUIENy5U/AhO/pAjCIS+Qlc6/sBTFE6rDY4YzVbdM84I8Im0Gv
Ealw9U5u/Lss5wOJoFZQz/0LrJCT7onb0S0DZ5zuWpG8k9kODOIxhsLR883xPPgHiD2DYWWoZZjM
hlfOjcLEpINF7KXrtasjyRy5hko8EuZR47LuvWsaSXVBGwDbBjEQmhkul/EFr/vBX0v3muqEJRF+
9T4qHz5NEz6nUSWPjV3+bq/CFZIDJqjX41PGIH6H78ReQuhxUC2gMYB3XidYeQ4Ktn1j/I4MJmTJ
1Tc2GfbOIM9G751F0xZhF8OlLzM0X0DrhgKvAAl1VcBOdRNH8Y3VYshv8CE7fIyOg4KggmUVjrrj
+QMaduYsIKvVA3xqMuVwO93Aofatoc/uhYxEbItHNjgqyTvvS53H8aQtIsAbw9q5sXgkQ5duzhvf
4fwSXYAjijaN7/3gbRLpgmpkC/+FMlcypOlBRcqm6UJo81w8FGHYeYI+AZ+B9UFIrYpdtUp3TxLM
i0NR37KDj7KFB05tvExcno1kM8xOeOVuZTLdzF7O6dJl9xrLTziMXGtYZAETdqcka/44Q8Z4XAMu
Lwi0HdwLhJNPjXQttJ0DpTcioThzN8C95zHpjjbFYsKQTXrJhRLEz3vrrGfFM7X2s2sbbWAlOAhi
gPGLqRRgiyvni+ux1dhLWLjjR9Jm7Ob2nZLkjMftDup2x9UxkefC7Na6eqgYNlYvpksNZpfmJk+y
P3LjmeJoNRo2u9as+No8PVnNFGm6NVNYKeytDn2wPd4iMgXsVYpbg9k4mOsnI7F6C8x2Q+AvKOaa
yi28XGMA39bc+gkG0SedchdYBVHTqQbi73DSKH/0WP/I8IyJbdDBLBXH1rxUrWqSOQSZuKwoRFcr
gXBXuBiT5EG+Wud+9B4rZcSb8oBr+Smb4wjKe7iglPaRGkVCJrd4NZuQSLq3uc8PJD3fYyF2IKH6
vTMV2KoepDG1SZ9aE8ro3MZPLvlUfqcm1J2I8uHKIgB34XKoWAhATgFeWXfSXvystj7ysUp9OeFt
kdgElxvLo64iXsq5AlM+4cLMcGS0lN8WhJKwFI5Pj5hqNkyQ+X2dD+A+T6XDVVpVUxdVGp+TOZmX
ZK7OC1Lma5OkU44N56GwXhQ8BkxkZNBV5as+HBVtY+ODic2Pgkk4ofQm7RiLVIMw0EUHujzjiri6
Uxzh/MvCphhHIx3eZGp86raybGJdPqhLHC1Cy4MlKcsg66kILY+zH0MmL6IwSbhCCgoqg80CSl9T
GH8M4ArfJuAKUPt73fSzztKDRVfvMtj1fto5YeGB3SseZ4lj6R+W6/7OwJeQCjZ7Q592ctE9kAft
vrM8qFMatpiegXSuaKzrA6Iss0QIAWs345hiWvoSaJAiHU261AE5fs44ykIRE9i+dvs+FkcsdG+6
BtLfULZPOf7MqWofZN+Fa0P9PAkPDF4jdsUur5K/PPSbYb0wCnhtza8FSlJbrXkIYIVObBjvnHp6
c4bpV1aJ3QqobevaO/xOK2yNqQjqFX8gAmE2SHEBBDh5WvNBFs7dCBjqL3l1liiWFDBKv8m9t9yC
fwL/6TEW96OpAoTSuvt175ZAfXEIqHQuLfNkaiCfRYKj4joj1FCdm5auQ2IsEaagAp45PelSeVK9
sd4k6XKPwk2GWBvcVTF2TDKP97Rar6537zJrh2RSOT4pEQgWRE6BTYFpO+iScr0Jl8k6QBvzZT9u
hZPCH0L1XD51KEAPah6TnTsEfZsa0ZxjpwTdjrvqWR0pus3k+UBCByT3AZ1fkq2RN6I9rR3Sp9RX
pSwPbj/qW2Latw1Rpw2xy3gjO6SASfErxThmsYw99QWacAqMyfEtqkq6r4mY3j2VtLVXrswTmXkw
ZCSe+4MdUe8r6D6817oz4OC5+dfipK+4kkbLgiBZkaMR5J4O6Wp5acysjIiuK7Eh8WtZV/jjJZGd
A+2Z42tRg7DHoJ1hnPOteTZGRYM3oXbUkHA6O+6WX8lXdvE0z+zeVgOhtZ0oOaRN8JmLJTkgQA1J
yDuYzVcbY3hYpO1FJOnGKKwM0et8bAv9EyOIXZxi0GMxBGcY8otIgacCFttGaTzP77jiI09x6A09
LqVpGkgW2XglatUlS+B6ig7ki9ARpYmToMMUqZStnyOyC8uYWUiWfTVxSSQknCZaMBwTYwvj+mzY
pXMj8MMaHL9v9K/JQNRRPmlg11uIb+8ObBZnnZmfeNW+MNqvBgxo4zTlF45IH1TU06bT08uaQFTt
+BEMV/xeXW8wN9w5tzO7KZfiBaXyR4aDn27JP1iyXGIPnVfGGkV0TlRJ59nT5uPSKzA5Orr4xuhv
ZG/CKwP9c0CvCo/0wesoPG2XU2mpAjPyetxkEBhJn+j8tp2euUZhgxC5cF0O7ahPli2PI0twTMIi
T/daqT6hQcXtD/Tv2dThjkxdfCfSL29+6VzjBf7Mo1ONVJu4rljwLIIhJr4VUgeMJLiUDt0CBS/X
JpzdpsOJzN4Yb6p99Rs3nudqVPhA+/uGD4+hoHGnEGYeCtMgSNDytWSSOBeTA2CWXnJCQvCYrPZO
u/LeTMwbKYV9KgCbM4uvQ4dz1o0GHoBE3zKwuvXS5K79zcIb4yU7dcZpTuVdSSCNb/dYYuUE9cFl
eU37QfcXvblY+AHO8BQ2OKHe5o48GR48MhdM1gSGDWkCTxMy73kxHrQPqNQfDsrlQeXELKxnJ7Uf
cJkL0eefU2/dFgIJSrkchp6rJUE67c67wVBfR2F9Kg6UEN7XHlHVBjUuw5ic/d9ZM4MIZrnvxkvR
2WdSpyGBZ1XQC+0tvjavrpKc1h6uhtacCt1eGdwNv9oOb3BHeS7HDi5DCl1rwlBHVS3IIjFnC1XM
WDe4YamoqfDNwmlKfNamvMNoeMUfwKKnGR+c0jxCshgCQApqKqj2LoglL0xRQrPKf1MAaIAyusAh
tPmF5eUux1StR1tM1PsXCa/MqXoyOfHlSjZzttWX9lLYxRz0Xblv5YyeRG2jrrE+Cm3AQwsk1rOy
KC/Q3+bC+Ezj+q7PrIiXcBzTGwc3hGGdTrWC+01hQ93IsL+YjPtYKKgz4j9rrTzqV80aip1HpXiX
cBysVQ+URG2puXS4nRXelEL75Yxir3vZA444yb6piy+Bvx4fVPm+aPKlqJGq1AZK46HhPWfTZSmm
c5NnD0goPighPtQrzdlp5MZql/exJVwDj/g8UCqvCNK1wTBSd6A3j9+Tynk7s2SGxsJoVs30A6x1
pgnpu4ck6IqpnqoyOcKCvq/cyfQdVXnD4Pikdt4h9eqzzhKOKcpWNA0UAzyvJwiL2ZS9ZmVvBn86
q/1lGeVn3LYxBXxzVymdD4WNxcVGHRMj/rC741pPGMXSFTDRKwutxWa5eoAM6dcOHJIa9ssyIWFK
tfglx1wN5z+cX/AHP2araQBTQ6ZXmmRrd/UUqDjJzpjHOzifrolzLJv6g0C3d6jjN3gmu1HGecoV
8oLawYmUkTSF5pyNbrLV+zxwpjGJHHK4jXy9KHF9qEu5kjtgRGSRGuw/OLRYJY7NXF2wKOXOkjDM
r3zq2UVid31TrUHsjMPwBpsmunIqOs7i+myUzzjIhGnZ3PapeE0l3NfrKbgune7XlEebxOZEYZaP
+Xu8ZSL+GjsCt3dOoiFW6RL0idUJu8S8Jfi1ehCp/lbNNrEYIqWsndqt661Rago2xjp7gL3APqwy
lGF43O7oxh7EUr22Iv9F9/s4YS23d9CDGPUahzgIvFrtqW/jN8qDcZ+mlCgxg/oTHuhRD48qgGxf
YMWk73pseTFXWQxKhi45VYtyapxWudBrvswVs911dDZ9S8gRTIuJnh4iDoIaJuNmWezq/lw3CgAB
T4CHlfKLvtdfRvloZrG7m1fl0tKV75OqYIjpJgcCZWgaFRKslkEJ2hzSfbtY22WotINSwmXu1i4B
iXBo1NxU3Vaxtl0Wr9tbigsdf/HcAAVYda8sA5wanDnIY+XPv7fF1S7nugS+CZ0yK+ACtzp7lbBo
46tmSyBWmNTzq2tmZ4CfcWM7aKo6bMMbpypQHDjvNnNkDQG17xijsuP9bFaNQnU0sfautCqgtXm+
evlvJRV6P7GHyZ4BZCbwKG4+RoEFVGaz+6zKtDc16W2d+I/jEE6wlEBDHXPjdcCBO0exCfW1fFPG
RSBhorQnM+A3amAuGipsMnM+jdzENsdmhI6rkukhkU9VKFi9zbLk4nFPrADDcwXSprtzYudX6umI
X0w/X1iE4zHeG2t2Uk0mVsLTX7ziMkJFQCN87q6Hy64IjGFreMyn75PnPrsmjhhuvTPR3wRyyU+r
at9X7U2bY8MAs+aBQEW2ExfGeWsy0nRu0DD6PUki/Ww5bIY4eVnlXX6FDjylYmw490dTTSZUEAZX
hFcv0aiKw4ihKEbA3ew3mKlTXE9c1sa+luZvT7Xo3vBPgSfeFSmTUDu+xvS1A2eW4fj6gvAOC6mb
PpevczVQDs05skaj+jNl63AWhdgmjLdVi07ZSAho4qQEHzDQBqbqa7Y4Zy/5AwsqP6r9VYtAw9lm
bs3ymD9U03NsIEuRLj0aBtz4WiH9nkUDS7iBmeHhkogRH2nd5bzNM1V7wREV+YXApK5gxIIblLXV
sqM5Mn2xpXmhx3601eplqFzsR3sEBlLDgiJR8Apz9W12pcLlMDL5EhOadnVnMjlkSAVPk7Enwt+1
BCtB0twqGPsq9mW2imILM4hH6UcDLGyjuvbHiiCxmhhVxhJwRSY8inQtGqGZHk4xcFiqSzcobJsA
jFU+amVDoWp0KItx+vENBlZW+1Xk3W3v1dOuXK7qohLNiG7uRSVGqDsAU8PK8Imsj4+RIR+7TaMg
NmViRmjNPsnltYDW3ywb/SvTymTLvftbtYKzNOnQ267QU/zeMWFBuKRQu4oTwgFEgwgqryajI8XI
XYzNCyZzDDtHVfG28iKVqwVNNbaRV1s9NT+why0ndz92TPyydZzAyzhhPCMp8ODoQ8hzmN/1xXjX
VYBAgzXw1UzNkbn8ObHwVRiZ28wENWkTY01qqXafSyQ0dFPbtDOxHRgz9SyA3VGUsog5uoPGJjvX
pnrjtaaxNdWx2xAvvV9JPULgVRPWY2LJl7A5JIk5HCfm7YWLpCEv5me7RgeqiidQM77/msCDlYls
nA1kvDSM1elbwZbhF/aG3JAh3wdTV2cn4YCfdj1D+9aYlWPPWYwHGGaBAronDcQr5ttRbV3rz0ZY
x1XuMctVUMQ2z7W9Gjs0ZzlLWLMczOGKCfWq4o9ahW7LKXrqWhK1m5GxmplyWiiTqR/BG4n55gVF
RHA/VyWyMUcj98UlhEDHJcKaWnSzXKJDSyCGHd+UM4coFi5ho+ytwDRxLOYDJjIzfxE2n22sCRuX
PeLKuNiXsJqfe5t33FkcUi8QmM2JzbIGJGOTi2V5lgYVvDq5DCWPSXOnMkLhjALo5luJ0mLA5RFL
hCjm2MSwbAwcwEGdqbIcsB6CCWCCE/65M2ncfVUh/kC/BiEAFhspwQgeNMxrUMJAYgKZ4eK+IkNB
kqWAHcOplY7ENYGYhQrxJVY7QEQrBgJztnIn5Y9JJi9jneSzNewxdNzxkIChMjj0dK/HwIKxud1+
6aLkI1ryW3lV6rqx+1ym0t2hU5JR0rXE2MBBDfWu2431kbxvRi8xqikuJJxZ2jPJVSw3c63vHR1l
J2WFxTlnttrXnFgfqv5HzuvXWHd3V8d7y+pu18FWD0OGsHyIP+Du8WhTtxF0P8Y4S4Vzy5JZUvHY
yiQvExgz8Q5hnspoSJU3rzddqAq9GrDeQSkwFScqV/cXgfFgOsBeAcxYao2VWmShYqWv3eoNa2U1
L0XItr3PjXg52Ehx/IzWx6xHitmkmTdKq2zLNnsQSkmOjHurmwqFobo8yxmDqkFlKjz3T0KCiNhk
auhJPWADRFQYRtIrrz45p4N4Izl3GIw/OoE/Lt0+TTC7oiQK0NRpB0b0an7qKdTsu76x0pukQZXQ
YMHeUatMA3zeRr5hHgGnOz4XYyF9c/yaXAb6/8PceSxJjmRZ9ldKaj2ogYIpMCI9Im2cm3OP8A3E
WYBzjq+fA3hORmZkd9XUbjYm7kZgZjBAofrevefmcLMZIZWHmqIA4WoOiPMUNHKoP7Yuy8MwrpM1
WpBXhaV76csBclhg7JMwvFWMHAgNEHaWSDk5NQ71a9Gy5oMaR/E/Tz9VvXurW5UZi9XtBGPPNkoz
WJ/xG45yuOEm5hKyVFAQyvKObxRyVOErKkkH3Po6GM+xWIFX3yUqbKHS1W+KygkPGbrkpU5mMzt5
MeTOkeMoXYoCr41fd90lx5plEM5i96Cz/OZ1GLIrV9iQWbC+wFQC7z9L0YHkmyHMqhPOMqr+Tpjf
qGP+EVZoQWo/vNdUx136BaVXPzMh9JHztMJA11xTaxkkyju19u4FkDHdV2TsinFpK9psY5++Swkf
VJJrFJFvVEzOnFCo49aDancNphuT6luiOPIw34VP5b01qTzkkcW3rewHwAU9yRE2zAMkEBSIoo2t
OJAFSzKr84Jx2M3FQ9gEIceB+lzlfrcSmiaXHuhnC8+YMTrPXuADlSmpaWdV0q1Ll4VM0o3MhRZl
nxX7oq8eWpmPWw0D0roFptRHpEkwyOGwLuNiy8mDi9jGolTbeH8FnTimcIyxFip7Vl5RttbLqrm0
uX0Xp+zQdMSvmovyUjt1viD4x+aibyOAV2raG2RIXEt3oMhPmRFH4VvXCJikkrZ82Ign3Sok6o6X
vEhdIM0YrDPQZaW8JnTEVljYkROjnHdzZdPSYhWxUq0yoGUhpi3XarGGZ4eoJF8wSQrgYe4FKNnZ
s1irsCxDB5vDi1Ui6jECPbST50xy+k+GXGBs0r4RenlbNBFlGAsSx0D/0+C65MXwyhW8mWQyEd4m
LoGpt6s6TbyNEoN/K4T9Q5ot3sP6qa9RmhnlhO8eUNhWA+OzPn4Yvb0rdeis4Q9pcYCOSfxe9JA0
VFkz91NQ/aeDd+z0/LGMEFPUHFxa9dBH1dEpUfjg01yjM38UEVwD6RjvRlvik9cFaDkHereryZMG
nD2m/7JuPWsPPns45GH/KIiKWXi5Qrc9YwdI4wNuwLbxlSVOkXjTu3a46sL4AUIEfVOJkx8ZORq8
4drqdA9Mw/3u36BAYVQhOH5cN1q9UtryDHiM6KC02Q+teyVsxUaro6wi0SPVkWwTG9QzwPrPcgTM
Dd6AWerKd/0jhuR0wdGpIAiqNpGBT4uQg571CubN0MfSHVUYNlt9V5CFKCAmNUl/rwyjOJO0s9Ny
k8tAQNYeU9za0T+1SJ8ytqpnJSPHuhkjLgbsN404vQLRU2n7x5peGjW3V82o6xP6T0Z7e9gode2s
KjjKjuFztAS3cQaXz2Osz8ptZYi91cZcygEkr2ORv8RWgLWux66kKZ+e2bxGRvRWQ1Tm6Ne2XcHv
YhBAgw8q2lhjBa6WImQYJmtFCemg6fj5tAwkiIGLjQoDHVuT3dyiWUb4xAhLel34yO9/J99K/JIr
j3oBZVqK/pWj4jtkWWV6n33V31Wa/Mzj+tkeqnu6EFBIQ4WwIFnTd8ZdVrgsBwwxqXfooyp4ri0D
vJHqO/aiScaCJb9K11m6+jEvxJtwOzBLKTqxqZuV1h7Cl9gGFpbm+7a3jm15GPRhKzmDUtR7CQO3
aynf9Cb4UWo4sWFZ99sMUHPn4p4vP1NZPTu5RzU6za6FsREuV07G9Bh+3S4x2nMPUALvbEfzZN3Y
AZI61cg3HhPVIpfx2pxsLgw+H1L7pKFpr/3ROfdI0lapMN7jxLvFLOyTd+sT5TDOhvJzDiCMiXty
sgAFRmmRbOsBcjyyOZPZBcTG1NqKrvdOVZ0XG68q7vCBrVWTYO08Msgxgi9VF8DbSVkgHZzQbSLw
hjz89CGuYVogkzNV+N7gFA2LKg7TWxZhlrdWhg4LhO8cqWws+yqdroOBWPcyffDz8kZv9FUP1IGP
Eaw6fLQrm2r5sqTmZwHMXRS0y5fBAENP6tEptIpbD9YtkQk5HaueJkafhBSr4m1RKwBK8ms9qgJq
c7vBNQFeLWJSlle7jDxXvCseAcKQd+qebC1/PAfwq5euX6RrNa8Pnh3uXU9FqI7iSABgXMOveQ5Y
LMY9fpe2YgpQe3DgmPQDgPjwaOgVIWAFxyOxTBm0V6suroZa7xInJuBBMN+Na9whzKuVZRpnsLa7
m9rT33Lj6OmMmn3QSdphPxw0DplhQqxsnU851K8Uv4zCfqKDsu1Tj15JdNRZlPoe04je064y7K9+
h6S6a1B7iH3uxcmGRFyYFNZNr2GGozxVbvNCPcCVAW1Was9VD++moGBqJmBW6jZcOql1SUf93tXD
O4MxZWPLZhuV49bJxcHlSm7Y4bLJaJBZIJPCkGokFrgQi4RW9PoKGSX/2R6TnRxdTAXPWK2TfZCB
qm7FRtY1sxKKjU7aIwFQ4pPRlx9u2H5EZI264bgQxV1cNA0nzYAVJvuG7v4j6M3Pps3WLqRzXY3z
rar09MsIGRYFq3bLf6MkS8MeAxnFM+WqZ+ODb8qnUPY7VdP3mDKLlVJrJ+I2JrwsGp2GC6JZ4bU9
/UBLvS5U0iLKqly2jrExiZuq1e4NyfpNHL0Z+gQ4iPYUdW+xhGn8fuQBuQ7xQqOB1Uk8OlmJGsn5
7jdI2+l0nhQwCQuEdg3C2f5kJvY9XisK3In9qJbtqXGz64zy/7cSzZ+DKMg/P4LX/3+Cyt/JLKxL
Ys/RJfwpcFwH7v8//28G+F+iCi6v7WtVvf4prIAX/JZUIM1/qNT5LcOUpnBMXei/JxVMD6HwgPRv
qbpJGgEP/ZZUIAg1xxNs4sFXbZuoXOIDKlalxJPzkE6ugOqg77FMS/v30snFLzkFpumATFaZQhi6
rfNBjL//LX9/vQtSr+K9/keVaYVJOcBdK125qAiJs3YZGb/ZLeLr1ETkd01ILm2VQ4OvccANSo0n
ahaNGq9aertqfIkwzIodgYNYm8g08FnROYSMx+mtxxxH9T/q7uJT2eGVqsulhBNRk69KeMv4gHvr
HFUv0oANRzoV7YPDSKdS38U/cmJ2g5fa2JTGlXURRAkd9aqub9VmodlPknLgdF+NwXlqpKMz7Y9M
ddQMROWu61EMfOtMBE1T//nRMqAI7iHx28ktKFgVGQTCigiTliyBrb97Nga/TWXpNMB2lbU3YsQ9
cIeOXb9WvZcuOVcJ0r1PPX1jEizFrlW/MYsbrZuCLHRmGNZBmjeFtptg2hgSEQ2rwcZs76d2Uu4c
zOjt3z+FzsF7iTPlR/3rKfTe/6/3LB/KwPPr/726/8+Hv/3Iyr+d7zcPvz5zOmV/fyqx9r+dwtMx
/qd/1mkdAM1qPqfTo2ri+o9nw//rg3/7nLfyMOSf//H3V8SZ6Sqo6jJ4r/947nBEcrD/96fb8TUO
+Dpp8PnXV/12znEw/0MgxuX8YdZjmob8/ZwTmvEPQzVV+taWMDRT/kwHMbR/qIJkSsgAmoRGqXI6
/nbO6do/TB3z3u9no/h30kHm7I8sJoI43X/8x99NlY8l0O7bltRVokEMwkv+eM7VaHK4jDX9hW4r
eIVM3VD3MU6tmvdbL/fbx8zoUxSJAeLxgPI3Vb5yga4h3wZuQ08sSx4Skgq9JDu1veODtYDgB2K3
8FehCZY0UR2y0Y3hJVBsgCll3O57x9iBCXjsbLu/puHQX53atjZ/+CFuvr7B3+hd32RBWjM8mNNg
8csXM1RHkyx6VcNmYPnzFzPSIY8cv2kvngZKn8vKUquN99EoTUqeXkpbRforkTThlnBWyp6oSMje
7cXE0vus/ZHLWg8Z1SK1RxNxCiBQ4Qqstda5RN+kdmVzI6eVLgqRaCd6Ckglc86za7sfEL6Dndqn
d5lsBO1w4l2FVoGiDvP2SIkbU4kKVizzu2M5CY0Go6YmWXR7r8UsCYkwPEY186MeRQH9lggpRS9c
RETdjatAP61cAAxNz/Sa8B8k8muTydk+HWzl3hpzfZca9Dg8rwz+xT61OFb/sk8taVHocUwybTT1
l30aSN+2nIHG2TgAlmt8tBctRCKvlt4DaJelmY/DQRkNPmxAPleahy9UKz5sw6u2gVNoR+bDG8QU
6rVFP7KrMYasU6A+zPy2Je2He+AZ0R2tsQU7Wnt0HJtcBtck/apuD21Mx6vN2/To9fCFIQQh4mDi
Q9hyByiXPrhvhfc9GEPSTSMPDp+fs2TVkuxi9MKn0eiWK046xK+ZHV9b4inUpq3DVSFQlAxaJx50
yb50xptJlvw0eOaqpfi8qs3cP0ciuw4ToSinlxWgR975mnmHiRSMhF8nTxpAf7MpTroe3weUnQ4/
b0DA9swcw9+ClhgHvc/svzjGxRTc8+djXBq6KjnKLc5hXfvlgikHxesUstYuqfkWAT0/AqAifawN
FfSjoPpDVwuOrWFa57416DeDoLDcdI3a5FgXiPK01Lw0taGeCH1c676ydeqVUxTq0z8/F4ky+tPH
lEJKYUuduoA63UyH1R+u66bae0ZeeekFg3l1AMJIShpeb9OHTNQMlvMv3m5KVfrL+zmqpkpMTYJp
yy+nfs7xPxaln11WlSL8qyI+izpCrK5o5lqUgiDHmnZBoI/OfcEJtVCNamU5TYbBnNR5xGJ38k4n
kP6p1tVkr3Y6w5l8CwtgYHWgPGU+xnIX8fI2c1X6Vdg/ztkIfjjXoMNUqmud/8X++2VipLL3NFUz
NSbMtIa4mvx5B0ps276XJsHFNPQXGfv+UfpzV5yaV+57OPutSKUlZFJTbnPlpDMSHctJHswS7y4I
NG+F84k1FC/SB0bDKhc3801kOJ8CY+geY3i4hYoUrToVqn4/4kWqsChpTcnILvh2BGd3m66hjofi
+1DYdCYCkG50w3RxUANW3jAhY/DX7pTjF8pnJ8lIBPYPeNr8iwgbCgMs9BGs43KaqpFtm1cbL8eT
5tK0OysI3kXtqOtUaP2BRqO+VKrmR12p/kUpJw4OF9RVEwTodW1qhTlKzZ1nxdXElgX+biDV/ef7
3fzrgWTL6fKoW45mcCH5NTjLaszUNF3lPNjL2u21hVDM7tY2y2+drzDwtiFdoBIru+YPsDvs8FPH
Ka6FWfdaRFIsy8iwrr4SqvuoA/laa9K9CweE7MH03JZ6u64MH00TXYxI3/eaFb6EmT0sAHf4V6hh
w00RQw0qCSZYtSQLvhoCPqaT3zFdNSH7VM56aCGia8UATD3pTmM0NrQrHGXvpeK+0yKSDbTC2Pmj
jaYD5tlOMacsVaM3dgHVdkVhjtmjj6bMQF6MRwWodcvvLbb5a6zn5ZMhbym69M92ZdZnVaz/+Q7W
HPmXQ1s3dEYEi6AVYXBVYaLzx7HBKunwItnQzzXRLstCxOLo2IScq1Wv4kcJxDYeLXs3PzDf9Lbr
Enk6PadUlKHY/HyNcJX3fMzLP9z1h6eYEtUqKFte+HNrLVm6S0B9+epru/PDbhzyFn945mhhS0NG
guOGFRTlVz4la5Rkr2gUNOcP9PPZX285f0A/UV303MbT1336/Al+vvngRPwYrmzUfeVT5PyvvtPP
Z/+2XfGRePZw+PoMv3+Zn28/P/D1meY/v960yZNrKFYCYtLWrG2iSafvMD/BNUob/ND0//zIfDPM
u3/+0+CUjYqLzzV+K1oon24Fa1B3j4HQnB2WuKxqzi05povW6fV1qOTupm5JGeqYxz615vhjpG4D
GuxxULofbUahs4l0strHH9iMrRUZ7w91RNRvDxDej/q3PFHNVdhQUumkHS37/tg4av7oNvJCsz0C
cWHR1S7TZy1gupqZ4zltMNiXwts2aXLkgo88WsTEMqXKWtdcfeFjp1/kdZliDmCaELnaRdM6QCv9
LTGiZKhTxQugvNcdbcXOJXMAC6GyoHaNjxEBoOaWIFBUMp5ShtEGavGCZCOgveEns7MJbjbq6yQ4
GKlcVp1mPVe2drGCD3KOLiiUw3OAc42frd5EVnkjWu3aeM6wjkKkuGoNACixcJ/JRtkmnAar1LER
zOnZna83XJAsOER2+2LEL3YC6IW+F/lErb00Ye9MHrgcmDVSiUniGth0hxOLCDkFvUQU5WjpC2uN
74FUWkN8I7YcBaN+QMBx8bzKPyo1NsQ4G9a26TS70irXFXE3JxNNCHdH32C1LPyqjZAh9B+oPe41
o2xWmaXdhV55pnBpr0YnuRs9gx1c5dvCqXxIawcldR9cB1ma1wOeVbt12rTvsu9XZYxFthZxvaYX
pF914yWq8yVBRzolVJoGPh4Em3ISZrd0a3uWOJJb2GuCnssQoHbZKQVNet+iiuY0x6jBgtX4cbAJ
7XJlkka/aCW/Xti/B0V8l8hUOWs2o2Rm6Ltc9htPKOp+AE+0gk0aLlO77PAanwjBm8LNzT1wVfJ9
4AyUXr0Tocnl3S9OhTlsLdoOqB1CuoQwFMCljFhZepiSWoXAe2xCZjeUArVIPmKtmPDtcDHRaCaU
O5eKVjVrCaKena+igWy1fSkVbZF0yoCCo/8hu+gQ90/Qlj+srNlkoEXWdPDvqICXJ9uUh0yNhmXW
Ffam6EgW19o3XfqnWEEvpwR3Ndf5ySB2SovovlVRcebVKjCgcoluoE8QAwUTxzo2n/rQL65djtbG
bwhTqNqbsoBKW7PSG9Xs3tdzEmgzy1rjI78opgZuFFg2CiVcn5KEgrYwvIPjov0M0we9paJok4dR
ZVMzWDUyKPIxYvyeXN4amShekfhjNPAPaHlNGkWNg1sF2ZJKk1k35ljAVkiN1RNZe1AnFdKLB+ti
amqJHMxZCNsn8SVCqdaJYZOG8q1VvCsDFoL3KnoaYF6xssuHHdKIw+AO6dqM1EPiaeggJpEgTbVb
gyBVTi2yP9zXxFLqlc5kY4qa37Barw/qkG9syxsu7YMM46sOqFZlQKTXjuhiHGHXUuvs1mYfgm42
EIM1YGtDs3ooWtaDYhQnRVJl6iWnMsFtu5H55cJyskcmW5sQQHJneeGGcvVJgMXb11rxnWOoQBlo
E04VJRjck5wCZzfiBC7M7xAMKUqbbbTOkbRvoOJMPMyYZKzoBI0ehE+MKo4q7L3GDHXBZTulAETa
naYUyip07M8OVuOST5iulEAeWQ4BLSLNftrTCATGtWErT0pAJtlgec8tobAsxcAnjjWRU+PWDMJz
X9gdrXkkUcPEXs58Fkqw649myjgZsyoaQyMEo03jTxuqm2oOaDH2TUkr0IyolFsA+VZAryOApuQh
wRFBu4WqAwviS9S23YIdWdHUwEL/7BPuB6zOXpQSOFDZo4txmvoymFNupbbv3QpqbE6wZzf2AorT
bT0SOa0PLBrrxDmWA8ZBx6Hwr8YEEsUqyiDRLCS2imN77VpbO4IlkE5t3gdqjB4/KpBV4GQ0cMoT
+pXcpy46QXgDzZJ10c6N3XQrzJfGaU9ag5wA/8CDqdkn6fILj7VPALVvLwfXiVZVMN5rxRTyWRME
oGWi37T6KydYu42b4DFi4ISnUAGc0AhEYlY9RkG6hNMhVn3kbRO6fb2DBZNEqRzsP/+WMn8qIvVu
Qarq95RUIXOyQqVOKJake34ri/7iM3Rim9k2rtZspMw3RYaCpUlwJgd+HG26iGB0I1C2fUhbk7xG
In0mWR2pnvtOF8ygdfTqwP4p4GSMAJriA/OtHxrc1cxsFGBHSiE3Tu0cazcn+SUtbmiQ3AMq35HK
cVZb97NJo0/RYEURLUS9cUyWQvTf1BRLI3YtzjujQ9SYI8AK++Zc1JjHjA5WOtBhzCbps4WCdTly
kFOIhRNasmryzWLvJ6eKTDsGmCDXjfcucHbD4IpvmknOiqMa3RG0p3IhMAO16fSM+Wb+N8KreVUt
vz+65thiUeFl0+sFO+bd9njvdhyVO6zu/S5vY7n1Ii98CGr1x7yNqhvOStY2z1DX/I2RqNqhc6Ry
HZQ4BQjGNlL7tk2IaKBpTeS8KfwLasTqhN3UXek4Wr+3SbmetyVH9F2Sa/itpvTZnqVYsm0SpG+h
D/h3pC0sFdhfWiKOFjXJbwpO0LWtgRmg7NKdAQeTz6o2yYsCamR+KrsemETkUR7x24HVWxft/XEs
b6GmTV3waWvtORyq+F2TSodtWFWvKpDgg+0DDgNsit0xd77hGys/1CY6t6DIvg2NWq171fOJp67N
sxdxycgNZ3hBQrfu6Fp/9BJP29AUzT1TnmPPqnk9uK2za1shbtUGIcL8NNV41o0c1iPke1RMaXkd
vF4cTPw0m04tgydJjXx+pjkalxC04nPj2f06kL1xTJTKu/jIT4wUV36rvKRJtsoKs/ywPVpjqqWH
905ZKhgIBm0na0uhVq8JqKR8FwMjfKmm1VufOQADiEa5NjJzDhY6IEK4y5oVvP0w7yARFzdcrorn
2Kz0NedBdyyioryYsgtXGUru1wxh6fzU3AomHBmi/Dxy452VGe0ubQLaazqW9/kpDrNd27fdV8XE
M2ULVDh0VqKjosS0xOzMfHId/35+qtd4d104lQ0KSJ0ojLJjwnF3KXUUmYnVGK812qevHWkrKNDG
tL0T7ljtbKyMO9HV6p2bAeiYtwZ0Ev2mTTaFxzbMCr1pI4b8VKmFcYEfMSx9NcneO+NZGWPttXUh
JBRtqZ6yOKvBrrKonp+QImak44gcqiaFWSndU6so/mXgMxLboqfvTsb6shNviUWH2iD89jwYHUyO
jDy5eQvJsm854FQLW19s1+PZtWR1xkmQrGjjyjf67V8fpWyorqKIONvU38/4vPHpZDbX5EqPT267
m5/FlA91Be8Fa0LRT/MTVCe0Xwflbv48lovEPB0C9RLFRn1yKtBw3ThWr21L3W/6zokPZyTLHPcy
5CLEQyHBgtam/SL5seZnUIcocbIlxZXB0zz6gxaua4TPLxXMwPldTKfDLTVBPmKW08fakTkc0hZF
CkflvI2qBATNDvJvwPoTMzcNTdPi/rtFLtb8jLHm59Ect7ohn9k+jDF6jsGI/e/p0EAAY9/C1DQX
WmbtglAJWBsUI0r81FlzMA3fwp7W6PR9avQaeMWt6NYcyuLgcc1FCKCE3xAy7uftkL7bL/yQpMcK
3sxhQLW2MUNOL6YHh/kZGBsbDMOZczsWubHXEtg1YYYvXZPZUybIi+nH/jWwcWSb6hAcC6TDd2ah
viNZ6l85ecCQTEJPG3rPWfUpacjpBaoWn6hLmo+xprs71WJh4/pa9yJQ3U4v1MyQsDTqGgeu5/Fa
V33g4ViQ5wfzjCixYMitS2fa9aXPAfnNWyV35a7r1OYhLGl7mQVs4ywKhlcLkQtjIZySEhQC9KA9
wa7Fo0aBb/74qlWDpAbyfU49t7+KGOHpvEFkii+1KaP7ptL1Q5DZ4Xq+P8VRG1d19z0fMmYnaVjT
pDMBvkpjN3/ETB880MODOIV1oN+Y9La+tmjRpmOuF9u3QWhpx3ZgrJ43adHV1uLG/2b3NVZ9hbY/
RsfomxoYq3mT8NbpKo4BhQO1xDE3gDzCCVmCrK6cmzyln1hUhbjJq0A/jXWHWmr67n3u7ynzjE9Z
arI+E73chL0zfs8RVgi4Aze0ORr0Nm607pElHIIQ80pjK9+/PpXGgeYGoPrVwDQw5tAXmB+o/PES
eTJ9bEcr39dOxBq3b6LXWl3Mn7aZOBBFFZh7LDXoWTWXGrGW3X3tnapBFOnlFWO5Ky+mX/lfWy0F
2RIURu+l6OJDr8fd1w8YKyRUme2L7RXNRgdjSXMksx7tMmB5ypckUAGH6XSINV7nXufDbrBZGmoh
wSv+e99y6fbQAR4cCDRrnWs7hB8J3pswibqJ830ZWi8kCubE/ZgFAmOPqUmqt1uLJKEz8kYTMcYw
MhK2XFWbO7wN2T6UOuHtuLkOwhDbTkU8XjoNVEunta9hPd4NdWmcoZqvUWw625QVLJeYN4tg6hst
MJBhdZa5bKsOqVqPoJj2y4u0c9ozIhCs7OzsMbOdfRB2Pca7Qj/0iJDLlDVgIGt5ljqras+AG09O
6lqMmMKV2HihjLGLQ9t8ajQSPzStbXeNBUjen4KGKjMnMhwD8WGsCTV08Xl+3XiJhiuLetL0o6UH
MBlA1eY/exOqZNNqx7Iv/K0duMnh5/2/Pm9+8nyjCxiuX/82hr/10vE4v2zewHz/2Ja8x/znzzsZ
xp1lJk1j0cD5Ye1kRKgjW1hYRi6XZAhQLrCr4cy2Muw0Srxuo/QplUCEgoAVkK/U4zaz66fA/5bQ
4WJCnMQgqAjEq6bIu2K6iRqVuS5a8SVQN0SVLtkmXR2wc1VlZdoALmx20Sa2XmWtDnsFG/YhK/EV
jkYG862JGy4CPf339iqNxvp6wpz2NifD/cyIi44qxamd3mv3EY5qs/KrQ61+ZmBxcdEGOalP0w2G
qMU4ASLoxsDr6UBXN8mAFQ5gN9CPowxYACBHq/C2rw2zuCZSP0kP39K8ezjLKvh1HdDlqCSEVWHB
EBbt4/zlqI7mB7RNiZpPJcdsJBfrLarZqsJKZZNCkBFtzrar+gFcPSknES+ou5J9JVQVFnwtToHI
EOdN982PphVTdPgVK8iq0Qo50dKXJXaPVOJ/P3l5rS/nD+brobPKclZxGSo4MgFQ/fGjbZmOPRBK
O/kAlBs/cVtA9u3FCIMV9t0nRTr6eo67A8hfHebMO3j15TJLVYIErcY9uJGPqF6vzK/j42vrZlln
h/l9k0A4y7BHA4Tfbi/ccIeHLNqNIKTWHkMVLRYAZCNd65VlUnIIgxhE+ijx98GfXrZ1eYvjoNmq
4MWPYYNDSKvkCfIC7P8gws1AF5qGSO7gJyu7pwDSnMwKe0cAowOkGcmSGRxga5foddXyULY9RUhk
8kvT7pH/Tb29PMe4Q6DIsBa+bh2U3n3vquojlC6srwZ9WV3oF/BhOfw360rukrfS+u4J/kn6hXit
JkTmDDks6ZxR4leg3dS+AWEFJipGPv1pDBzrjN8cJbS8UUABHnFzMT8Mc1w3vPRcdW1LPim6q7JQ
WKeHprEO5aTNJgRk68pyVzUWmhNXg5PURsPWFC2RK61oCM0bw703tk9TcsaxDvX4mFZGfoeqEJ/7
4Fln/EP6JtTxRw2Nby5pQsqNC/z50Dbwv92+XuC6Z26BnPckuTQAQVOgF+lZerUbcwM0wD168ANV
QsUX6vDgGZ17E2UEjqB6I0FUjcc7JaXKyPsQedlQs438MDiIgQ5HaBZEEXVC7PIk1g6+4ZyHOpfI
XF2GE2mSE9EUWbyt9OgYskQ+zDdJr984FaH1Q6adgEnCIA0Z7n7eRIpIMUOTSKhK5d2LArAORIQw
AXMPStY8Wb6yrqKeZsPkNlWL6gDPvzrI9sW0if8my+fG17XiICuTJbgd7nydhc66YObPeQ05ntAe
dpAmym2nZ6ekHgiJ+P0msyaTCULthZJkZE4lDg4r/AO+ZX99/g5lPxcJosqbvPVXeRA2h/mGklNz
CDD4Z22/R8VYH6BLXIM0hmas9YBNp7vS3//CcYAOQ5pPo8IJGPf9AD9Q6NUhmG60QVfWMHW/kWju
g8subxKBya4isnYVN25IObjyYzh003EuifogLBMPQHsgB2JZe6O6J2FxOJrI8yLyLjGou0yOJJfR
Inaar5v5XxUNC+7D6RGV8rmVddm+m77JfJPoiklGBALW3vTdwzjd5F4br5OUGAKh+sRGj9kla9UH
p2SUJyCp/bqxwax//eX+/hcbQy5V0MuPwhpwmYXYfv7L6InM/fnv/Jeay1USEpniFRNkd7rRHQjC
UZE8eoYWbnzhlIf5htCe6uAyY/v6d74PHyqddd8zlkpRofLXWy4GIegB35b5guHgsfGw4rvE9GHQ
56WRxlDi6wi/zaTol4oh+/3YspIUeY4y1o5BiyYeaTZRT2nUZmzX1I4yNC1QjezR7MloRwo1hnrr
1hhJEjfPjh3wNAA1jBfe1INFWo7coZwapeyr+cZitr7I1CD52iVNEgH3iB2qlNNRMX+TCDjl1mW5
Dn8p1e0Gn370qjZT4l+L2HcQ3a6Zxql52CJ3h8IHNUMaIe4N5TXSVkbMdJ7f9QfTMPoDQheXbkBH
PtroqAek6N4+qlCLKi2DdiI51bQUROPX/04TYjJo4r3WhZMppvWXRkJCeOHkh6ZM17FOhgu1Ag72
RoN9G0sv3fhu8xB7Gtfc6VyZh4P5r1/u8ywORMDCdFw5Lpo6c9Y5aoNzOJIBHfsELEVZlJ7oFRJX
KOxsofiAr0bV67cyUWu6uyzGtMyAXBgVG7UP7WsPZqhhmftKDwY81qQxhpQ+8msQDdkVyqmgJ31u
+qChBOxxv+7tLOKwTjoqnoNbVJug94sXJ9HOAS1WoHYlGsFWj1fRvW86/V1ajc4lRWOQ6Up7CB0a
grpPb8mgJb6wPFFtgZQM164gCRQvO+A2iK4UCB2rWFdaR5sGLgG1WM08CRPZPBF+NwnJrTazd+JY
/MSjpBxOyxVpXlC8dLcaFV7iQQFKwovpbqVpsowSqrvzrWGjAVQnMwY0v2WRXm4XKTEstG4gPKBw
VPJvwjHqRVJMo3XYa9hu2+gk0ImROQVwxdJiRJi5N9KdsYkbSTznIW7Dj1J18/P8H7V4poCYYpdx
CDmhckzjuQf7OGAgeGkMxVrr/4e589iOHMm27L/0HLWgxaAndK1JOkWQE6xgRBS0NOiv7w1jRHpm
vKzK9WY9wXITAJ2kO2B277n7mBrqCz2LXgezWsl+p+zIIughtRJGUr/UWb3BR8h69PrircbIZekl
BjGliopHfUQAo0/WU6la9atJnn9XRlq6bKlzey20icK8ICcpNI+6ePBRD0kJZekBnctw4LhLtVDZ
qQXPZqcb61fHxtzA9byPytT4fxjTKskKKoDVJiSUs46yHhsqCBexuMiDITDZ0lnC7uIK/wXWiZSc
KzXigcx6CrCBYGPAwkNY6XiPLRLxX+8F0b37Qil+tM37BIP2ql1hsabfQ0QDjBnNCKtoKLYQevnq
WE3Ccg73pzCtQWBYNrD3aSwQxnYQ2jrsHoY0HqG5QTED6OLvHSySKbsd650aWvoWFtCPrG5VmHZl
+eJ1CbkNymGvHnjBpW4gOnNdcMqsG8D88qz8wHgDZx2I6Ib6MrjRXgxJuIjtoHpy9AEE8NChlrWu
xJPVsxCKxZsA7BVr9oBGTkzI/obmhKn1sLKTFO/4OOFR6DXioa6y9jDgLPHDSKj5EwIp0UoTLf7S
VflSk+BogyK9mFOM6GswzraXP5KZ0p+i0Gie7IhbQ0wNMtZ/u3poxSXnt7CdMds2RpMDBeSbHtmu
cYiwpBlJdY2cw3+NR11O/Vjangy9PsmW5iDaU9SKzI1TgRsNQlTEU3jZKkNqvjpDuqmnIvvoPeJs
fhcH5y4d3qoBng5pUWLfFnBNx7X0B2s+TN10hCDpHTIsd9mxONz/Kj5kHqWN92ifFi3SijutBnga
wYx7MODl7LqQbJtvYEVRIBbJRxLaus/a0+9y44tOsPKOGrWFU2rhhytYSvj1HXnt9g3dFSgaIay9
D0v2CYjhvWVX7jsVlNTAhm55JEGE42Tm2WvcklRSH+P4Dcf1lTuF05vndSiiUkCxgQtTsgTGvIbl
11wx3uYOis3styGIli5+Vz8oLxoon+z6AOeY1N0XZbPiRha+IYAM1pkbZvu+Vb2HdozZFw2vmhcY
z5WlRiQQeRDoGPs8W371sylHyXCSJLVYKhbCr672wM15GM0vkNUAhEC1XeNpbH6p6uELZWgo7vT+
38JSp3NHuX7QeellRAxwcGOPBa5JBNjClu9C1BLTzTogVxqNxE0I76r2Ny8jfY/EI3wyfRIBZElG
rOld53HSKGKuY2A5pjH1T/mGSmPz32rTfRQkk1/zfOyWiHcyJOCskqKZO5yhe95kwKZJNtRrtInx
sxkNbwDVMBjCdvirLtyHytWrH71dkJrxMYaeii3BHyqARAKIqwT8gbiNEKkFTCkZA4HRrW0/YYsU
QMMZgo3iTPoyADq1Moauv0Sp9pZGwbTDfKs5mZMD7TQuX0ru7FlsPne23V8zvvO5YTaYBASo3EdX
2/EhMvlvuMWqVjH7bkXb7EfTtg5l11yLKn3SKuzNYmN6T3VsHcEnsa8RTfQoFKEt67ZTtsFUdq+c
8yWpTYy4Kr4YNaniBS7x/mKUnBSvZItmmu4rrrLuHZUiiTDsLwYZ/izfDZWqXYxKbNIgVNdUk7cE
TMOtQShpS5gpWlh2b27Bh6nz87VYKXCUPov6DT+leFWnikzMlXtmgk9ikevOtR5NqJVFbu/TxCCn
Z83G0Ukb7IgeTRsjtU5xooZvYUCp4ZQqH6GmkKOLB/auwagsR+7I38RAsWRPDpZauJOhmCjmsXE8
i7h9GRSoGm6RWce4Fe91rdXXNChLqnmIb9pubX1134aiDDaisbSnHkT1wWsy7THn4XnH3TRl5Zsb
z9PkYHOjLZWQCj3btvXV5OvBToMPtRBxHG/ERGDOLapm11mGC2jSY3fWuLiuKPhZ62owHpHKEFeI
CmdD9qs4me1s12QqpxiR9op8cflY1gZE8abQMauV/8FGT5f4xD/ZGfRu10vEVxHFa9TIysbqw3Tn
4sDHose4Vklk7NQkLQ8lprI7TRNLo8NWMZwGBQPQbiNblk2hKc8UoIj4KBRgeUCU+OnSciLjO9DE
77WlmeuM//4qENHANsL52iOJne4SlmILJw+rc9OQyABP+UzJcr/ACsN887pnbO3Ho9270Ot8oQCX
NrPDOIpZSqQeRDb9OtTFxoE5SSbjvo99hIWKwdIimiiwKECahVr8HCkjBejI52bfGe8yJq134Vs5
Iv7WClDudfZjsFJYH6E5bUlTxdc029W1cPf1aFMXrSpXYQR8CgWl0vCEpzOEqFNusRUTAw44E4WT
+KBRIK+HFDTJzbTI2ubgp/oOIIR3TTXK7rsoum8zZA9wdMV5Nvcr3HPas60q598Q/RPkF58FFsZs
cf+cqWN7InjhngX4JvYVnfVSh+Em88bpbvC1ckfSuFxOEIZXUc65jQUhiss9J2r/GrGpetEHjNX9
Pl8NflW+zZnHrxGleEsz7u3VKEZWaBkJBH6b9IRVRAe9O/L2So8Zl1Xm34jwXpo00h+A/GIkTHhs
WYpY3bR448KcwBGsscU+x9T3hQKifUS13iKbvyYwBXHXi6rhIRmtD7XM7HkL3z8gsc8OJkt7KgI1
oNqF2DQdAd7E8J+DmXmDSVz4DRuzTa0MWxsB7KqIzEXhPhgGBdl113UfIChWdgs2n3hRijxIi+7x
DSR/7ytLVZ/aZ8WPV1jBRDzqfCJK0E4WBve/NdD4+GgJ42o6ZFnsSJkuuoLnUo8Iext4IBKhki1I
4QuMi0kCtXX2b2I0ZNU0Jzv2Lqsl3Y4eK7eMlil8s63ldj1GvdywQQGnBzMrwOoagbNT1LTYCpeq
aL9vkYuBGsKDTMcSywzNZekU6SuORYRYiNfnM4CZYK73ofKwUMMgu5bUINeOUEHN294l0o1mUzph
dxiLKDhkWkAVaUE+VW/JZdndG4YQAcnbLIWFoG2E1/AMi2aMjdPzhn1U38oSep84RbGxSiF3uHcV
Rpb3emy1C94C+SeNrRC/Nm/KeA6aCfZlHjxgAgX0AwHuigCW9phVsfrIF7ge7uAA1F9Nk42fWR+l
VDzLw3qlRAIM+NRp3FdCyuZL+Jo8P5BFtXp9kIYbZcRTvqjHXYAAf8OKA3qlp6crNU/rRcLIoXaB
ErFXPis2miy/6Z+HOj1VSWvsWJvky9zUCfPFoXFgmcXTTbyFTRXfD61VHdREwdpAT84uwDiecGZ4
IvKVwQNSw2OSphsza8RBi/ydpmbKvR9QuDt0fJVTomGvNZjkOG9fGiwv0ig7N66RnpVq0naNhQ34
3JUlGnJa3Bn1Mh3PpZ48BZHqPHUq6PxK8167qLYpDH4FeT4QOnmMKdS8U+xK33RDIVYlBrxuQZyE
+qwGh8ooKKdlZ9QQIRWWOpm10UlXvBswQe7iwnq37LZ6jEvu9pDC7Q+10hZGEQTXBPDNwmgoowmi
9xiYxLqy7HyL0djw2qBLivPBW2QZFhyKYoorNMwlGKBg63qBwEjNCmZEulGhdsmv/DUIStVNeEAJ
cxeMH007b3eNd+rvgR4Nvr/tJ2/YR1FyHDvWOdTrY/1NZcXXBllxBwsDiZ2jw+MbJgo/+EvEYzu8
Ungy3cXoKUgwOcMraxaElH792IKP08sgeWAPkS/7vAaAU9j11iKAMccOgpM8RLgAL60c0wcvaBa1
2ThP8pAQ2h11+O1RNrz2uCyvqziINxE+U0Fge5TgKOreD9v0BDFmWJk5ChhtaJJt2oTqPvF7fYnj
dPlOpOq+MfwviqUAvRYdSytuBXHL9tUFA37O3/WR213c4shs2m6xFqRzEKSkCrKtLt2MIDr4z47J
UzORqPHYCXSUbvOU0s5QIYAXKSZ79Sh7UrwEl1yitTEluPcNGxovUcZ91Apgp2VdHvTZSyYKVDTk
PQyfBtFe3mjaaRRsM4sUI2FKN+INIluLzyT7tqFPH1ooOad4NjWxh5AtJUSjKSPhrCBqcRy02Q1k
jr1K4NubOSdJZ+zNJGJ17ZKjIohJVbcAo5oG78JwvJcWntw+ZTmCRrTwX6YBKM8Lm/yc6pY0vyAw
WXWO3h/DjYbF/SUIq+TZCmdeltqfKn3OBmZCu9SBiZGAm3/Brlq7oGM5UHBX7YzWzp+dXNvnQwUS
Rq0CPNmHkmBFHH0M476JN72r+09VP/ZP+gQAok6+k8dqTooViAd2wBn5PQyaB3xm7rKsKCj2iauT
05N4VUVvoM1qSUGo+Cbnwom2STECGveB9kNXgAAyH2yBi2pjDBhdqNnRSup4yxpIOwzgZe+ywiI9
3KvWU9g0lyA3s6+e7uJ6C/7YqYNraQDt6tqkeMvLgASOY/0wSLPbOfjxO8NiFW95myp3430GpftE
mEo9YeijnpDjYTpcK8cmh/9KWOrN6RDWYskZHYrAf22ICW/J4BHuY/tOzPk+wugrqIwMRLHePhgK
lgdZTpaedWim1urXVnHR2ynkjFuNKlbYJMXOcjF6IVJpvKgu/s3RqBD+Tyz9hQJdbnGjk177DKex
whXfoyl9dkpkOl0bTWxfRbkmqQ0hoSeTrPtHAdj5mjnlKUwyWK+TtR8KgmRjjZ29xZ0OkD20ogTL
57VOVOcydGrAnkC82qIwL7IrDIW7youu3FplQcyQp2Yaqf6Kx2qyaMrZoxuZ5REu+DeTkNaiaJXX
rILA7bdVfx+ZwXCvWWWwxhTVJXPTIiIimxxbLrr/QU1f2PGdKVWqlnXUJlvyMc5dg/ByS/bdIPIR
2MdYry4OEogGbOSpp1zrsSGeQUWj8gzpcz0JqGSUpsVrQzGck91GBwTO5aNt8WWaGQu6YlqEtlKS
IiPByZyg6tbVQqBnfqEvlbR4hv3Gl2/K7isqU1amCc4sdbVnO4qqLRQJFgxagZZhxDw9aREj1qCg
Ch8KDA6VPw+Y+Xj7JIc5xn2q/JpBvjjIgyKgVEfUBRJy8VJK7XF81Irqithfe3DaItmqEVwAiAT4
ZNTsQxFAwMWbBtd8GGNyB3XzEM+HCnS6YqJAcip72ZBVXWraAahB8qblSBtH2KYrG6YJ9nyuRqjb
iFFxKjGamxaTgyzOt+SitVXqVnAThlK/RDUMD6r9MJtVCBuOvdJvxDg4q5pIKgU8ubsHgumutai6
trbjAj8b3YMXhPFSxEA/FBtaDravxRFfyukq4idzvu8GWuRuuqyvn5CGsJEXjQ6mR3zPbGQm5hhO
yxKu/R44WcwOS2RbVOp7r5xVMPlX4WfBaeykGHRsL33EF9NXn42ubU5+gvQKC2xlp2jB4zgpznko
WvtpbPi+RxSKfe6rO4zhFmSkiVGjgWvqd6/qpjccKPgEQ25YyyYCkaNdTGjECRHc4QEd7vVBMy8l
HFfkpRMsNqv8YojGuO/7732vtUDAAkoZCtRALSHYE3vJdaLBKmLNmbI79aolxKGtZWLXG5sDBpm9
qu70qL3ni0YmX8cv3W/Ri9q172ywGndOIVbW5HSmfd9VYuV3cwI78s3DIA/DmahPtW9IrWLIgZxn
i952D3ZVPWd91CzrPn/J9L5aIDQ23uxqwkrBsB8qm8IBzNOKwrC/m/iw3w1tPDzCzjyyOvC2wJWR
2xZJ/Ew60DtHs5zcNeq9VbO2dk3PfMzhnpc1Mb3ECPcZ4agaoJbjx2ghjbKF2TaQ49fz71EVsOWJ
xDmNexOoR9jtNAIqe6ftMNXQvUd00zEIwtDcyiZir27pUJp7P7nacShzNGtdbVAYz3fFUNQTauZi
RaTUBoiZqqdC7dRT2uvc0WMeiZoRiOvQvmWKHj3qjhDXgiWyEuhvua2qz5HNnyJQ8p+vZJ/SuTUY
QAN7GgX5JEVXVyP1ToRRurdpJMRVjh3CJq2enUM8fNCwn1praJAoRm1JIQbjO4HRq9HXwzWqsMrq
0oQCABvBcttnNbQtHQOIdDIWk+isZ9NFrDliRPiFX4nEWBTPjFL3uQ4gzPBV34QWRr6T2tzDzm6I
O1AChXMLBCsrHNyPuUpWjx0U2mGQ7lIVzZOaI94hGuc/mQLttB5S+R+mw9lQKTYLIzFXDhTpjiLb
eq+rmr9P1qlh9sc47fKl27T+18bCv7Mt7S9dbDnrorG/AyYMVlqbonzREWBVqao8EkIuF+qUJ28I
F18DkpOHfOISPbvxnd0gTyg8JXjg/oncPpG+NRE40JJUQQpz6ioPUHYov5k8Z6/3GQYBjgcgrnSi
ozxELQmOKjS+yghuiM5Sw0BzWbbtD51b5K4K7hvuXttEGdptTPyVfHrnAiEkzWwoyqog04a8WqMK
Mqpi1OxatkGJVQEngkAouqYjn4VFYKvB13UbB2xXrBB/MhVrAxvS3VqEfRdJTRqvCj22QGQmt+4H
NWjeQ0OAayFSNwP15YgVtzRjUVgElDXjYM3h4crs9TtZGfe/wpJsfhTnr9kP8f8PKOHbf6SS/AMm
If/6/eufEQkG838CEiz9X7YsJ1dVhwpmfS5y7n+I5v/+HwXd1R8UEtf4l2bCHzENj0IlvHZuRART
+xdF6YahWrbNwP+OQjLzGP5UPGxSaOuohmPaQFK4Mai/Q0iKyp5wD8zcBzd20umlw5JuT6INo6Ng
KM54dZd3dukVm1tfkHlw1XrERZ8jciJXKQAeuvoJrAnMtLQb35UK5yD4ZtNlULP08ncDJRDPbVzX
IHMBQB4Cj2pFeZBNgsiYaVjzyG/DehBZhFT1L7d+yMIBcjAEhH3ZFWc0BcWZBVlyx9eHwM7chPZY
/wMjwJoLNm816fLvZ1j8Fz0HKhxwC/2vBZ1W2dtRb07mgx14xITy8FR7YYY/cIuAysoFAZVfq6JW
4+8WobGmpAoUoOaa2kvvtF/BjSs/fLe8c7XA/OZNHRV8ZhleFYExhN6p9r6zooEbNZ5wrqng0hu7
1MRhGF8dcHbmZRe01cE0DP4lzfxStuW4PIB+aKh/NWCC/nXeZFIqbYDhpw6tQCIWUD7tB3F+cMMy
xlIMXoylp/ELcvAfUWP6P5TyOYxN8Z00yXgX58l4rY1yWrPbSf6hVva3Sln+sPOH3sSPBCcWCunN
34r9be77k+kkzYNbKc8NbOIDZLzuIOaDfEVWgI2FOlorOTo4ene4zfu7vtu5nok9qk9ewCGOC/nh
eXBr//RHiyelf1KS7HvVl8bn2NyCiYd5utnwY0uFiiQqwJBBdsZashy8XG2BgljfpqTM6sU0OtsC
8dDFjEf2BlqmsiD1BxezzsqhRJE3bxgBSC5RBuPhdvjsjEDMLqDXK6sYDRnmzEpyCnvHekDU9z1X
e+2hgGdPUI5M19i5uLRTyvXc6QCwG4wTfoTvLV5WP2aEMeq6cXyiyov0a6wjU8oyd/HfC5vtuTL8
L98CysUth/0ILCUPvMpv/yyqAtB2i658APtrz4KjXFWvotPeQzQI32JXfQOZrD1Z/B6bPu/irZaF
/dN/mwCAPD6PqlEd8z7l72dE7RrNtbiQCxMX1qmCYsomWVQJauxbX+U66q6s2vvMhp1GcUVxqIgO
PucqJbFZMRSHJtP1z+ZtlPyfDV0f8qfWNveKchxMJQYkoMaPLtv3XRZa1KDOTTngm5O9nO/vOAj9
6kOs+GHg7XyQXX5TB/cU8zphmNcwzCzr0A+RfZCvfNYWM0v2V/s2XIvmMczDfmOzWT/89/+Rpv9+
qyLBYmoa+2KD96YjU//rrWoioWP1uOBcHfvZicgiL309adZOTDKoROl9lAdC+LiD/f4SSG587HK3
OIzevSkbA4rV9d+ex8f6OhaJummUNv686t/O+/xRZkz0z+LasAJ5E/Li3PntGHOL+a2QyOWYQCXZ
JPbwIpqRwJ3mG9DRvPpBadX62FjjpezH+gEfzPrB+9UVWjEyG9kUbs8CtRQPcprs6jhJXkJ2/fU6
cqrrVZ+XZjdgHtHVZiLaGK6C4Qk6hCrX3b0Vdh+yBZFyfIijnKUbZd+YMcR1tACaLjZeBIPw8ww+
fqjbe+yCEtUE8qpZgCiU7GqbQYZ3kDNt29jtD4MweviUhLCWWeMoy2wM/TNfr3Gn2nG6tN1AvYRG
rV7Y1YpVHrJwlH23gUIfqJsxqAmXfXjeDOQDR+RGQZ8cwZ//+XDrK5r0K0weLBb++7R5VAQD4PlW
xzPQJlixvl00rMln/cNnd8a+/eUGQ229blk2H1oTcdX/WKaw0TWxvqzKa0lQrPqoVLwHRmEe0T6a
R/kqJSL8p6YcGJv2a4sEZPPZmudGMU6SeJL+OrdQ3OyQVtafun67XIzEo7sTmp0Rg7XnPQ2XUYNO
bOKgMA+Io/0TqacvzSwCaRW2elbU36nWaD11c9eUgRqPxIwWpwt+EuJvrRqOssk6yVnU5Ly3summ
UbM227rHFqC2n9R8MHdB5WXo7rkS2dJo3fjqQNTQ0QFZExiz9tF8kK/kQWk9iJtpZ5HiI4R9J1/e
RuQr2Scn3s6TlzGLDH+o2yVu5/12GXanFflZDM9+u5YuryDP0xpnIDExiJNHkuea4pOlDJbz8Nka
XXVphzBbZLPpk+xsVOVFtgJAVtdmftBSuDkc0symqY7aVtHYtshRr6yuHbzjne252kmjEFVkRbAd
CBCiQ0RZiSnhq54T4JMT5KEMcp2iGQ6h1hd4HihfZP9c+TBCJpiPJnBOOJ9uBCKHC98O8jzZhEz6
D89PFjW/f75BBc1rHtviYw6X7LcHaJy0oG5tQ1xHlN13WIlhb4nNzYmH33TIO4PyYtU73frlK3lQ
B2RxpYsX4q3vNo8oLspwhYTmbVRe+NZ0QnXGJdeH3/rlT5xqr1zaZsltZ35PtwvLV9TkTgcIEJ+D
t/Nvb7bUwAMmcMP/87sbFBIOtwvfzpV987uzy7Y+yNbtIH8YyfByqeAf+vkG5Km3d4EyfzrMVdSy
a6BePGqLXZCG3tddnGrOVwfa2aqguGqf2pRNdUX3MUf1sDzCQiS3Fefe8M3o6KKuXzoENZY2kVe4
Q2Sj1lmamUue694diZsiYtlO+a0yDbtePhdhx0fHz5msUKJji2yhCsiggoHU0lfZR1ZxJoy7YuX0
XhV9GyNMyhwKDO4AjdfKg6L59YqCfRvHYKvaiqD+GBRMVwX0pXM7H2RzDNVhV2nRw61L9uOVQ6rP
T5w9Mqmt7LJN2yYENl/ES738qPk4wf/NJQXOziec4eTY7bK3Hxz0r6BSk1M5OOY6R9IF9NccAWS0
4wlNxXiKSqwLtK5Kqdee6nIjR4ag+aECFd5gFMD+QUQZMp5EHy9uY+Y7OQXi1HRCWIzPMtq9ldLD
7nI8t/w125wpVGZwogiiBiQ5ewL+w6OGFdFfv4skijTDodu0DGiB7NL/uk7KoDvC1HKDVwXRFxCB
NYLg6FmfpS06qqc/Gr9GtJndRiMxtPBZKmDq8ec0ONkr4YRgi1u8mprMWhIky4pFjWnD0jeTeINE
Orw2jZ3LUdlC7BBeC63484xEkNeez5eDcloPuHiZ2Xr0eQ35E4qM+GC7LvnsHoY5QF36FI2t3aT8
9TKsAnKKRrbLMgcXXiqD5kKlgIx055vbzptmR1ydurACxR/LsrHeNrLdKecY3MlD6vWkvK3CWDrA
cLFKa8vXvvS9zWhVFKs5AdbHAdVPWmClezmaCutxJK2zyrGUXeRd6F4p0aRyJCRaF2Sacy2rINt5
rSAfMY9iFO0/Ku1JjskeD6PQuxKCIGr6xr1SgeVtdIu6GRZIiOHi2X0NpxqEkzVy8Eqkd59tzfmb
l3Ko1no8w+aTxsjCRVS2P1/281U8eRX5Ul41cX0CZmL0lh1s4C2iSYoI9MK8J0do3o8IU84lgbK4
Q4koDxmA57IysbfA9PdYRqm3swI33BW4pZy8YhRrsrTxgwZoD8ZNPjwXXq9R51y078AWn8oh9H64
qGOShtWvU5rBRmu7S2STNnRQZj0IEYijWg9kg2hBKxUPuaPXsiv4Y5bhleJocOJvXX+caOqNcazg
G541B8MQVVTZsdDdmPpnbca3990XjRJ6W+j298QmONoM2ettajVPzVPWq2Hld18CIzrlTup8r1kG
xbmbnA19ui+7TJwQPNUn3crsDbVpFLnSuvWjaSNkWSp3vY3pjRxUJzIjQGo4Vc4z0+HfQ+7VG0w7
GGD1riwHEpfYFKCstnPTO9tlH53QNAPcp77wowHPLKK6eS/IE6ysEZV8Dof+0YvhwmHOAjw3rL8o
eV48pYbjb90CszEQ9t5rUWqEp5lwu3aX2Lyx0vyHa1dKhxkkTpPrCX7suonxEutMol8tlsVHjJPb
JWt97YMiX+KB6QduwzaZqd47uBmSmGSmWbSqH51zfxzJPQWU1Eylvk/mg3wl++Sh47FAluxv5gxp
0u4o9rq4ma+vVCe3rmk4hueqtx56MjdX2SUa7aHuwOxBbLOuqpbqqyYy9ZVsVnYenmfj1zBhsCh7
EjO2f3ZFBAS4ZrNWjZQqFQpOV5+QusGoNUqjuulzOMsMff/ZlAw7LSVXvp5PlCOy73P48xrwZ8QW
f93gQyua5cR7e7c8skTILpqTp3oTtFKKjpNWo45ZKzaiVqLvis9myiqG9hqnlr+J1HDa+qPePrZu
xpJ9nvLXq6lCaU4iUKcjxqPQmlqre4PNykK660+jEZZo2cR24kIfrErGBXow/0Rh/nhm4VZiujZE
HzGOB7BAh5cIgs9myqxh4036EaGTdhJG0xxHQz1XWUP1YFdP2inxo61fYC1EGCQH55IFFzOjslyr
f3bFRi7u7eQkx4eo4X7W9ts4s7L6Lqw0NKuw1g/ylTwoGYvgYc48jgCY/zQgm4Ctv+lh1G9k2W3S
Zvkyzg0cY+Ykm0wKl2GKSlG2TxM5lpOcKYduk+SJfjISIwP6efo8R0608vwgquZ1JNGIj2b5EVvF
uChT271g62Tt+jHKNyRHzGtEUhSeV25/T3HZlXMB0vx5bmRrYt0m1SVHNITgcDjJAzfg4RQPIxTL
kbDufh6VfXI0mkdDOQolEBBAn32eG40ZUJysn3135YhPalWeYkX13lR7fWOJsdpXoVORkScyvZAv
2TqWeCHOQ/KA2qpK7z6nmuXP+bfhP03/nBkoHkUpbWny7B2ax05Nm0eVHDOVI2mzl82kaOP7yFYX
siUPdSpAflVIltp6nCELWIYYYWRfdMFzNXV19y3V8T6fg6BHN8mjJ3Kip0HLkjej2mSDXwBHcqK9
kebiOaY02tAU+93M4TP6IfyVSYuMq95UV9mP/MrBfr7tj03QxY9NpX6z5vlqiUGlQ9IRlG8POweo
E/CqwX7ve/jZ4ZTlF+qB4kvGHfaO5d5jmQN56Sr/aClBuVNH/RAbgQ/Zgi6nUP3jrSlfyb7E3NiY
aX/OkmfL+fJwm1XZ4yMuNPVW9ntFbRzsDPNnxRwWsaijD1/pthUi7NeotanvpNptY6veiPusD3+W
MsTA2NhG1hJyfPUrzz9gTBEPPHXQVAJxgf9IaXwAPPBdL9aDZ2FZopL4jCMz3rGKy15ApOx0UWRf
bZf4e4MQJ+m/5SLnjTSa+Tj0RXqEk/zW1aH1yI7NegzGtFoAJQjXdUk5dlnZwHwVrBElFlgeghDy
AQowMMGhIpBwVizCvbl5m/OnicDrmG5XhC1Ss/oWh1TXYciXbF1Vzf27PNEw8HNm7z482P27iqKJ
+8676zDbRkM8z0bz9Gv21GXYIGvBTA8IMdQ1LtY5wmfszJvAG50lC/WvNDWnLrB2HMlQtGr/P0am
eVjOwVoIo+64vshznaxMcZ3667Xy0g80yD+cUnas0eTMz05u+5gi9pQJ+QKfj86BqEIo4c4aYDtQ
6mDts1yBV+MawRt3Raq4q+xzBgWeGd42xbEa6uax7ErK3mMw0JqhiEfVapSHEA1hTqHtgqdCu0Vq
HC3k4N+dMM4nQJniEaGehsHbZvbQHFFYNcdpMsS68oz4TjblgDxUftIeb/PkK0TfON5gXcMCxDFY
jf+6ihy4NXvXhr4g21SrHTSNzeLterd58jTUUau+G8tTban3EBb6gyP/8/hvhytkkgZFZupwD+IB
x7mJe0o9wYCykzjeelntvlp+8iUswu5eU7LoKXD7WQbrvGZmou7tRthUxTAL5Uu9LF1P28nRKETU
jQvbYz0F+oPiTfcmfs0vmkV4zPKJX5PM+3mghOK7phE5bmcHQdlPPSMPKzkvzxWHP+A8mzdM3Nus
vofOgGHk6F8zvQUN1k5xy46VGdOEQHzthcXPKfIyhmF327iaDsgKS0BAxjsGsOYhbDX7GE4m8Umw
GPYR4E+/HPqQ7EiQVcT03PYjjniYy9HBGNqKjPt7Ufc/z/283OeoPKMt3ItSGvHGbAfACnCDd9jQ
L2RLHvqZZC1fyfLg/9gXzsXDcsrE3oX4LvegpaY3iF3nkYJvPS5XUcXQ5+uEwo2qre1t3DnT0YxT
lQru8MXWA3MjW7d+fR78ra8ObMR5ET4pt4HObNXj7TT5SvbZI8JmaLBoueZL3Qb+bnKBDdzC0Q28
zebJv/1wqtLFIanBc/gxXm5tGr+rOOAsLDRjp6xV1cde86h9CpP3EenNMrE6Z+YTmvdlOiEhcdKd
kZofmmD9xLL0ZxMXusG6q4nyX+Dbf04xq7637sxQFxfLnP5zXzIF4oJijjLEFHcoha07KMUe2UKR
Np/fk7GuAAvr/DZqGO1dFBJ4+GTKcC9KzNtVDKnl10ke5Kl1h0HRrc9XIIYPrELkSVStWJsk7KZF
waZ0Fbv2rGHv/h9r57Uct9G16ytCFXI4nchhEimJlqwTlG3ZyDnj6v8HCzQxouXPtav2SRdWbFCa
waC713pf48sMAyQPWdN9dP2Oirzma72oXSUz7iPDtpZtcuPLFiSirqvvgojTvYqSNdqPIFFtgurO
1fIwuvSV+Z1qoPAUaNTEvlrGqboTHxk6q1nAGFvaX340rGkW3RqsdGUFnDPDGmx65bGlDmhvWLSk
Usxt3RRDY33ONa04eW2uHsPYsj4bkT9dTMOES2gRKXgx6HFzfxVfrdG1jzWdjiKtDpzN+lk0PK/J
BhVOO5qe70X8/zFVZ8An1mosOQE+laEKIRlexT58LBLPhNTnTfXmZtDLTokvDfRb6BZvJbxvZm5w
txmtLqQ2VOSojNfEm3ULBZYrA10yz7qjnatAnhpTZ8IfUHj3DidC9WwZoID6NK/IJYibIxANQXcU
vzUkSVyP4yaaO5ZY8ZOBri4TmF1ehpIMfNV3hh5+6m0O8fUjAt7NI4agbb8Fehs/GpQ1cABtjffr
h1X/y1eT6BcFIqQPTg/gpnxKOSFnIx/as6N48WPys6CgiodLEQx/1iNvslET9J+1yTQfHHP8EtVW
/1mq0R3aK406XoV6aH7vMiN9EBMv76CbsAdzFlFnU+xGcq3WvltziSQJyZUCE/ZZ5sogw1kq3LRQ
987+XFbWrcZtqwYPYCBH7OEAhDjAYZ/pW+FBEQ7NpWy75GXoQirAgI87Z0aYvPQwWp4sqltpnKfB
ymGNd9MPjbkXUXW7/k6LQzh2FqsSOuVjl3dfJJR6lP6ZXcWTSG4QBy/jSfxkImpxT2NZFw+1Hd3O
zhA8mV2zm1pVew7dQnuOHcW+94rkUV1Uove7pRTTAYxGdOLGw0A9u6YLHPPiR2vJ8ADt+m0xFVQi
OqFzLJc3JHV5L5p0/a4sM+9BVAADlPdaEP8iNhkkyKXN7igin/HmI+d3d1HiujAQDh5s9l00eDB1
wUXdUxB869ggwoHTYbyIyJ2E16JL00+zHLH7sfYf+PS6vuy8XpUZsDPraLZuei51IWD/O+92ZmsO
gW3qK+tfoqCeFgwSIEi67iv81iMkbWN9Kip9+lay9ncMp/vqK9ChWlpVn2I1mb/Z+Hdv/pv+R/9q
ydMHxfSt5ff7nb/kf5tX8nsmfYjiv+R3Sic5gCM3XgrQBO7DuKS63g6Kr2WeUACYeuMlyeb868hp
djy66efMjsYPtQdEkeh9LaF1N0uis0SBYPibM+jVU1/aoBW34y2lu8VXY2C7iurh4CiiYingXAyl
xzKx6L549Y0Eh+HE61cAHrOkLie4HnnBV0+Tpbm30pknQ1UW9l3SpJwx0awngwJoGwjFizxMyTeQ
hRoKbpGuDDr/EcdZa8u99PeJWc9GzvJz1gSBCnT40uJ9Qz1T9sVS2amp/S56ZDMu/8JilxXQPL6k
dmM/9Vr5UdQ6gEa3E9sVe4VSqi9ZWs7HyA3ms+Rg+3eAJy1MKM3BWifJITG/J3Wv3ZlTwcqlat38
UQZz5yzHGtqsUoVg7qxFcJaqtsigwfsAZyw9to/OnNbG4WcBcIY3rDTNv3JqKZUdP4jDwR44nomo
nAc31mA5xjkEFG9a5AAKZTm8qPvBg163F1HFnYtf0Ewc/Wfa4ypOXZHSk6my4J5CZTd5rfMk3pK/
7O32uOm2OSS9+IH3F4KnsUDHMqOoJGCZJ5oHiFPl9tZ5huH1XsTZcbqJav/6MWYTKi29+j4w5/o+
X65oC4I8V+TUnsBgpyciAqgyf958thDRrc5vabowiW5UtVwDrvJtfrmVAWPdLzAfxQwVdwMOgOoD
nWYvuDABmAHUsc1BeScDnCavV32fYbmSF5/VXSLF3VxyjLl68pTepL0SadPL1cwS5PAfR0Xmj4QZ
JtgGMMu5Fq/DrmVb8AT9eFIUWWGre+Pov7yWPdFi/Ls11w6v9RwDyMkAHSvqkUY3ftnejga8UvPo
5h1/2VRyVep/enyCPmxqOOdZVklGy2Mry7xfaYPmpjubID0cpBAt6yr3KfLomZwHug2jpRUB1tH+
jhMuQHR/4tx6LuTFi3PqARO2Oef5hfID9cIGIscXS0mNDFGlJ7f8Zr7qpMyGrrXkFr6ycCdVNO90
IopBYsVPUv1Mt8XKHEMRUniYF+Ghy3X7ToN2CuxSWGdk4zJe4ARFhsAv39sckBxFnKfUnA+j16wh
V96pOYBdI+5entdHdtMMyBeWRD/OILnXwHczrClEqS87qRJHmr2E9L76Tfe7341YMR2Yi5v7tg/Z
tYcE9lEG1QYLuJht5cSpNAeXi2HtW5fLbqzWCEoELedgdkVwju1h2vGlpoFkSZiVlX5rSX5vCIPz
lmdNVg/dY9TsZ61ubtLKY1FmdOEnGQq1guKgrB9FEg/agF49KtMOF2Kz9x5Z13z6398Xw/nHyarF
vzHkb5wzG/yKC5PRFTPS7A6AfJWN82J7/p8gw7Q9JU2jc1eVC+kQAFjw2mg2UAiJ49zVQ+Hcibnz
XIP9g81TdWAxmIY7eqxA9RfDtFhXWQIlxSqzhcKhBttRu3UeMUV23veXbY40Mf+a3K48zRUYnIft
Dqii+XuOzRu8Lv22hqg+ZzOEWj72tS70OpwnkPvua0NN+O+qX6/e6XwFhJm2LuajGMQv7+l0mmk3
gy8hUO/8t0Gn7qeEZA5lT83zaWlJAy7lBx9TAbxoHy7gAbyt9gC5AG9U8SayXIdF9RBavn9eld5A
SYTEi384zOmt6bsH6HHNh3Qsl5Y82kHqjAJWrQAeMatV43OrR5cxB3Vl5qCInoq0g1gWMc6BqYdv
4qUOFYM+s+ieTZ2nUZ0BCrZh/DLo8ujmKrtrJ0qilYFT453dpYyiLabBdPZOQ0nrqriyiUOzxFql
3u5o+QalB2S0+CS5ZA5OvEm1ydtUciU+YhXxKmPDKRSdDPn+f/ttYe/mEIPo1j9BZhJlUCYc+DrN
XyKtVrlc/7QrxeqwAChmfeefKAA60CsPcEZflgd63ut7fWb7j55w2BZ61/mN04rf9FLPP01ZXt02
djYeWR5m9xVgk2dlTH63u8y9gDCSPynzMij0PUUGMK+i2wxdmv8eh76z+mZak7OVGBT02DjhjtOz
7El8xbDk9QoLFJvJ9Sllb53nKYmcZ/6cS1DGMEUtEuS+7ROwNbvGsloIWWp+etzI+yr+8RLksZFG
4a/d7CVADIBv8FLFEfxxy0v3fssZeD5c+NlvP2jgKcDQkYKl3aQPWtsZ50ibv2mLatOzhZNdiZVK
y7SWA82y+Ykz9Do6pZlLqhhYBZ4xFDIsqTY/MRbghB77YeIxe6j/orcY1MLeApKKWr0Podu4H6uu
CW6img2nTKwsR55gLRgeXNt0AdLtrIveeRNbkjjLYKkGbKgudUwi+vQh00HY/iEBhRe4H5ca+J0T
mc1FPDzOZB5io3/YcoCYpvM6CUeU4pA3mszmiXPr/eZh5oF7YFlI9yfpngPtXhDlBFuuifji7jZZ
rrbhP3w2eLo1zya/S7GJcvWvfpqRfoW0yDv+zK1cUBgldFai3xWoMk7FUt4pg6KVFgXaAax0Io9K
+6ULJ+P8ziWo24RdYR3vZlaaS9zH7MT+nWVL9U4H8Qz4AVOnHjaDTLmJW6xZfR101ssyy6ZepxaZ
7y8U67XxerObY6J0zd5Vi+KcK00K3ltSnnWpJDKnV7GiRZXdAkqlsthPQR+agQUzFOe+gxdJJNFX
VWrd/u+farjI3i+1OTjTHJU3RJVmI9hXf3y1pbbGZKeznF7yInYvtNp+qDNL/9XhbvY9JPXPfpX1
ZzVrptvOMeIHM1QhhB+m8bPLYTpsdaPxR2i0+zI2zb/M1NyrwR9ZSmUwKAlWQ4+oH2XZXZj0nOoA
wEpT53IpSnF7Jyp9x7NelGLeokWnxASTufQiete6oN9XSwmUDH1Cw9LBkRIoxQq7U+DCVVN14+9U
gfF6LZbNvRSfTTmZ83OR9upZXCjmDWjmqDlLLGqQDNvsdt19XvahZQt70eu1nlGygUoG2cZ+899U
cvWmlzyS4k2/5cllj3xq20/xMqd4iK9ELXrOvjPw0PuRlkyFcuaiyu9kgNHk9eqdDjIErwBCRGGc
shAn0+AccdaLw6pMFPAhdlM5v8b/XF59JbdkEX/X672LyZvOdfq3WxKXdcpF52VlefRHj17woIju
hGxQhi6fioI9HsgHaVL4+3Kz517+W9sPsMAsLjK0ERWD79KI4Z2uk6SRnv9XKa8nfRQ/7FI5oJga
dPlRSKirNPn9+NXJas3swtkIXmz4Lib/8zTrFLbB3NhBHAWYVVtXxQOAPy+dTxM9IL0pFGGLLmmH
4VzU3h9zU1Wvzn4CzDWvfOMLDCC03C8JQnhpOfmhd6hvfBA/UwoP9ylr4FOt6z5YLo0PhAtXpRal
NyGHNYCGlTiKUswLBHk/e9ODSO/TiN8a4lkjWBMh7po5JrdV4X2IB9948BvVeNDUHOxPxfgjSbTp
/kolLi7HkueIo55dNRfmg+i2WNEFCyhcDCcmsFA/JhU5y7/DnjDBJbXMU3QzVYCjbb9m5R203Nt+
Big8TUdncFqnC9CL4YdBAT2qrdL5KyAvT9U4+H9qQ3WiGm/6DUY7uIvoz3mum8iHV0+fLnYavQYl
0Tx/1X0XBBXtjyQ1kouxHDVSvuADD3IfLEeQohnkeFEuXbhJD1kApr+I4jMooX0PFxHHlz0MHMDB
hfWhd0eAL81ygsIzTqbXS32RRamknK7J1aajcOhoB2p+EePcOs2dXK25RP7H5TtXyeh01WNjTOr5
KmSbqpqCYDcGfXVO1bSkkNEu2bLiBIJCeH6h/b585BV0NuBNAwXMzNT+VEEUqO3EXez8bQvr1cjG
ZeAAh6XU4IO1icqZiR086oFlH9ibMeAdKUZqk+hfvvjU/axiABTjY2OnhykDz0ykNVhp91NcZVQE
Lxv4Q2e6tMJ59aHOy7E4R1OV34RRUAG7kvVQQrOko9+nXTYE6sQ5rHIwsuKPbd+GqTQbQNN5kwct
qfnYgEcVQJ0Rj2n9MVI6/V7lKGtPX8P0bWibbxTb1h8Bndfvk4W4QRrhc7+78md1cuWvztWfY6CE
dcv+VnNjGxWvJpZDMY8ZPUxO9zrkflENO5HBmnCOUaHPq/jOcRN1py0PTb2gxi5pNkNSauWwE3ls
U95+2fQ/rsqracSujnW06/rWP223siXadGwkUv5nvvizmp3gDayfAkWvectP4CMpaV50KDdZdWIF
tuPR9yLzrrPnDpDCNG0BauEsTPwU1QMta3YupWuqH1aXFmz7AyxH01Ey+z7pWxB0HuiGOQda7NzA
8w1ER1da+7Irp29eY3ylKRl+oMzoOVNNLAgljFWvqO78EYDbHoqqv/0d/EMNvfh3fE/3lFNWpdk8
5ort/wLaiEehx5c5GfiERZDOVcuJLc0m5YlPVXzW7cr8QvEpv0tq1L4FiZcd2K9BudWCq6vo7Q2H
7Lu5MWOW8aYFekbk/jqroEIWjuc/J9Vsn1S1nvi5C6iNMEB46mIl+1jB9gndru/+6lfjxVJayi0L
2/oUFMG3gacHhVao0owtEI7eg6OziHSI5R+qOLpLQ1s52G3pnmlxrB8y3a8e+tbowX6FuQ/IkKg/
iNKKK2oGhkq70f3w9xksqEs2leBAy+IvXhZ/20JxXS2y+BO/bVEovtUIrOfmK9ZlUWm+LUDXcIOi
fvGV9egW8LZY5RnI/MqbX68qyG/5ZJEqy9B3+cSjrlxA3sosPyZOxiN6GQLNTrkCT2141Zh2wTN4
TmKKQRq/VPcK/1aHLSIvXeyb/G8ZJKPts5HCvzyvWix1M4iNhpdJCca7rY1wU2k2z6JFdCxjuFtb
ERdxWAI2UeIVc2lU/LdYTaNlzIBUlnO4onBvIiftHwYV1JC3LlWNM6VzCJLDXtpPxUApcrI3bU4q
RCdDnLqnbORUeFX9nWgL+tdEMPNoe5gT/uSEUb0twsR5ZFObjTKATL5FwXhUtc7+7jXtX3k3BC8G
RV6nyIm11TUMkytXhZ5mcW0szkg313TqHIBIleDQVdO7rOIKydN4khuIoqi+4Tdg2G8LhTkL4R9t
oG2WJUJCd46zl5XB1erharHx80vJV5R8xLdU67JElimSL9sumyZqdkbJg87S+Xf1i5kSzdH6JAPv
5QCQNQ1vdqn1KXPt+ARMfnkUY5bbBmxC2pX/HNe/eGXUPMQX92IurRRJHb+oBiApuq65L5H5hdPg
8otNTeijD1LrTpzcJgX92QGDL1y6MerBCA5W17uXcZiLLy4QZanKDk1oFe7LnH6VmHkYX1N0itZd
GnqNzm2gnx1jMP9qgUFiq3H8jeLvAMKe1PzYFD0o6VlrcKBcu+zJj91JzQvlo9I0/m7uHOu3mnDv
73AfkNP34YY7a6e885Sdwv5FAvnRraZVnkulnQvOtw8a/Jzk+dOqfPOhKTZ7slPKHMWvqUGdiiMI
jqEdC2jt5tP7ODrwJi4SAH/z41CaX40Q3GWxLdLqmbWrTSRD5zg80MMPqa1D0PVjEeQYuNn9YpCi
R6ll3Fx0kOPuXd4FKrbw13JKcRMPMaqqsY8cw6R2nI3weu+0/PhQfEBzP0XkpnbU9F/dsadMiPdM
2wr8P9P6DzX04u8p/WjU2fb1px6coBP/COFdZyrFQ+rB90q9yFVM2f6eVk3yPV5iur7gjLbqgNrg
sR/OT3UAzJlnhvkpXT59g91nDzz+QX+3zE+iYg+UmqjWexyWT2wEMyhFK8WrfwuRo/hH1MDDEj3r
R0OlQlipks/D8rkCNiG47arS30uXj6cDqW1NYNSJ1eJjB2UAkL1i7YbvFh3TL28pRGuxVL/lTcPf
S4xWO/kxHAGE55P1qR9d5TJ0lsGCqYfsjKOgw5BQEA3KPOsAUYoZWmITkF7rEw0szo3oRSVGGTLN
d28ryuXe6TffSB/AEdPzeb/NuM4j8pKdfhDnpjcnFUz4qfqsNu4+YdMmBKfPhVI7ARDzxytFVV91
HLq/XqkG3Sbd0H2juAHAzmXgbKO5cwBiWygwkNdL0Q69glYulRJGpkLVgHrGXYYtxc9DxElVlOYu
jVKIU6sMALcFPYE/tvlQ2Z13Lryk3gncdM/S4oNcbQbxk4jN0GewqIq4paJA2juLYXN+N8fmvKWS
ybd5DQ2cfz02m7tJO+rLtzftnPhluBb6/qjzuvXSRpFYBE09AyrihZh5+f4Xi0DMZllisniEazcP
Z964ASa89ZSkeExnq3j07Uy7TC2sBAtCzKaXq7H3vudN2V8S1ugBLflv8DR9GQcH0zfVY1E2+W6D
oXnvs6HZbJapqz+ahaaZ4R/FaMeXsAL2LH4bwOKab62huYWuYzxT5drCK7BYxW+V9Uh/DRHvzfwu
jfj9PMVowvQKdzWTSZC4ipj0VXSkb7A7e1aQQd/dgPHsJMpzk1n+swsMbVGq8YNI4ahBidzlABzj
ACaJ8kwR/PeAhqX0t1iPHnlwwBWzfOIEtEOgOopYB38cJNQbMWzwHZuhUFLKmyXEoeFz9R6HgUrR
TQnYI8jDCxbIlttIoidV03no1RVoDTYHv603OcDyMIB1nV3AGKNMC6Y80VP7QDfMypyn2slOLZPq
LM5X5sbr1zjRle1flpvD/6hqJysuva8ZtczHXu2MpWpQf1JrsEekdB3OklNWOu6VhxU1/+EhOYwU
SJJo5C2zBiqCQpgQkhRACE1rcG973Xq9mjt/zGkP+FsWszi+0/n5MOU7McugL3nkKigWi8jrpWjp
LDL3bhtm+6tpw4jOuSv5bdornfhIiqspr27zajrx2ga5Y7/qq1Oall9EDz3EDzOuymXaq4wqAM0t
la+gURY0Bg5JRe98VMI8odjQNMHkJTp/sgEa7brqgb0AZ9c7+bQfnEl7sJZG/3JBN826eF/1qXcn
+m4xDmwITLto8OlCsqzbMIk5vhfn9TLIXAuQJM3ZvcslogyA0PDizgnFcdNJBpnYyJU9cBbZxZq7
Kt+5aWffytCBkn8cM7BdhXSt17Pe3Mvl5pNQOaTdiNIIYTC4kgvXLUlHKzn/j0vSNX8fsTacar9O
n53arm+b3KzBMmHws+ne0hLnXlS51dTPLW13Xds59yKJfvFq/qmSwFmLaUJdAhevLfAt/aqiE+nS
F5QpCHxj4uv9ntej/ljOgfaoOvRu7mjM1B7L+GiqVvo4m3DKQhSM1U3AJASvLN6PopQQSePW2ccg
tMyLhK5ZQMUbLprXfJbYNY04qyy8aYBLitPVdPSD2Q/UmK4qCZH0XdeXxw4E8X2lzSA8FYZ1Y7D1
eNsqy7tWCzwj56MOnI3qMqyy0cPceGUSWaLEUwZqJTLqNYaJti/+7xz5/6+pvcp3iTGbB2cCk1b+
b6c6QLmart2uryWHDIN4rzEq34H147TZRXc1pcijp01AgRXdfqt8t0EvuneM8l5UgbQbmXb3rGcu
ryBSSJ+DAnDMdEuFw3vpTgI3N7v3CFlbVujCSO/7lNc1lfZmSmod5Smrs+AZdCr/ZCdDS10tOhkA
hYcQr4r/EqlY3BQeng8p240StLnq5rfcqcwPm2ebBx8NK9PvNs8KOMyd7+bljbiJQeX7cJB7kfxi
mMNM+dd7qSOYondTPa/30ehpEKz3zD2YWjDe+5lr3Khxm+fAcAT2bUc/srk3A9O6tZdhtuF9g9KK
S8+2SnPfLuAsVwFiWuWcFlTKM7Mvopsk6Wp5n2q1iXYbrqaS+ddbkbsSp6tJ5Sbquobr0Um+NH4I
gu4YVb+2E50dPg+bD4Fa8Ivfei+iT8GNPXazZ9w0s1r+mud/jVU5fwmq2r71gjw/zEt0v0Rbdv0a
renKi7gPjTbzTvcRroR8D6l5RGWK1Q53tVyqvr7skCCXCZsjWQ+0NiDXKDcLOOQ61DPq41VIGwGR
sd983keviVIv/JMf6BSsKtl5YZrVsMn2FNU8C5YZt2nfZry602oKwabttJJTMYNzh6WPAvi1pWcS
BkyLQ7qz6PKlb2NzEXEbNpeyqojd5Hc+FdiFO5Cw2MpeEsrgqR3tH+soM2ymLY8FvskxDsLmXNfU
zVPVwyFSmOv0jXpNqFDpO4M5boCKvNoNTYs/2F403LhE7UJwaRWap1gx6rwA6oDefrCBtv/QxHZr
0pQ/3cw6qIxrcEqNs0dj3yVPW6DuzczhpM6kk+oOZCJISxXaIFYlHXs49G6VhqdSnNeQdVStLgtP
q2c7NBGsB8N3I9NdYHDZ6ZRhzbD6/DNqzbDqJUNvH5IeAOjr6a+D15tYb0juOGF5cZiVZKYFqOUJ
d/KgdHoCXTl/iGYOC2C14wPQJL/2MfjDYpQBSH7zONZ1fHAthedgnRX50tVwDqeJtswlwoG0l3/T
lO7Po5o0nOu0cXYMEtqGZzgi72Vw2VW/Xzo576vapRJXLlfL4q3UKU3GQzQAjvwWI1da21PDu4Yv
nmGD588TLdklZk2uerAaLncB5Ihx9OKgVz5FRWuwK0qRInWD5qOzDCKCQXiyOYGgMI+CRlHJoOsG
ZOVDDDX2m68YxK8p7RMrf/OODpY/PfhG6N3l/Rv8KOdBrmy70nh6jsVpM+jy7q5X5XCrx+GFvUre
05vlLX69lJip4YsrymqxjG52UynRAK3NGMcPtQbS4FJTMau29pwHIUcKEIH0Y6w961V0I5guPn10
zyaSQLcEMdJi2+LePN/i3My6o/P1mCklJC4Ut1m3Mlhu93o1Qul0pSvDBYpLlOLTOTCQNBxS7XXH
6MadCnrCQ+7TEcn6gTUZkqjquX292nQ88764GnSsSh82D+Lxzq3LK8ggOsg3xXA1xVwWX+uC/jht
V7fmRxNezx2wLd7nSFMmNpuy+dasQdIYgbnjd8pQvhlquW7tbr5pDaKZSt/16ptrA8Byzl0W9c0T
nKTKbV926tH38/JXdzBoHQMCEpBPD4qo/+FRuBNI2/QD/GuOzSNqbV7CBQluoMOCJYmi8y8Hr2u1
gHmKGLBG3fVmr790aWm8t7YqW2abc72Im7NYN1Ey1wsUqK3SUbPFJt9nL9NP29dAPu104TX89Gfr
1+PdF8iKAJOLqiI/v/sGNVHY3hpZ8hjDRvRIxaW99CsEWfy7kWTtjSqtDIuYOW0LZ6VHk4U1AZex
WF8xeJd2hsWlWtoX3ukkzJI+iSHrF4YHpT0JqMLE7uQJ4j9tB3VRbd12E12GagkazYrDkILE6EL1
xH6keyjGxL6REzCqhz57uuM+wekVfI4tmn6X47M6DsM7Y6ZMSMR/CxqVwDqyERbxKOjzTw4b6LJl
U+lx/qkJIBw0Bnq8i54aLs1Swv1g2/ykmZHykE2mD28OdKM8ssb2BqaOX0Unw+aSLs7jBPh8byV3
a8DmZ5UeVaBVNoOvSL53sWo2+Rd1dO7XsBlm6EuTeR8Mmr/uo9IO7jtIFe9FXHUpB5mtCZw8P6XX
BrFuzj+LpZbkuVBy8/yvoRK1TSbpKBR3z6PRPf005XIT4vaz0MRy2ELnyXPcrNstKq3dHGwVCqu4
asyDYcf2WV2eoqY1moeuc2HzWUSxiqgt2FibKNbN+f8pNs0j+zZT0j9zw0maP3Nb12+zsXbBDkxr
Ksdm6+ZK19BiSaEgPwUzZxCFcdv39Ke2VNsQFkZlsIecy90DwdTOv07sE8xR/OAHjg7UvMFrVEal
+gmidvUhtile28FeoD6I7CagBZnsuojKGZx51YuYeSl7DNbq3nkglayXYpxTZ7gYhU3nFMneRYpY
R1N7WvCSIGpIo31otPZBeuWv2uilPX4bthb8spkAGdU6eqIiYGR/5rKmCcdRv0BMTon2OD+oQc75
O6XGh6Spww+xM36kKDe8zechY+tk0c0JWCQe1BDHWtHCD6KToegt++ymSsEi/M1bMfgnCXt2EFPf
Dm4Ss/8YdHV4u4VJFrdxrH2hZ+WxyeHP6tlIodjZyT6Xk/OJs7DoUSR6xnsgpChlFrGwC/PCly7Y
N0aXfTZHo33O+v6guZ1D1WTDAfiPoXAX1Gfx7bvgOpR+x05Cxfg281Qr4aM75Pln9sEgAP0xXOXH
bp3ZWMLrkW7+t5m9rnJOiZJ9610Ir2Qwo+71SsRCd8a7dzoRtVH/w5rN8vSvoYFfLmVdb5m39LUf
Vf9Rq2a8L1VzVdDlPdf2PBV81X9C3c1RqVsRi5+XGRqAA5DVxiUMfDqp/kbi0XjCrpg8ogvyefVY
oXY2P/mlECtvEncrBI/oxCVaEHt6pzIuS6nO3BcD78BdyF8q5it38fTYVzkupQb7LcWWR3SVG6RH
I07hVF7uVcLEsObaMrz/A5Y7kRBxYZ30muFnM4nLNomEtXICGvDTCQ7scw8YMftlxoMXq/qzswwG
r/8XDfikXdk1n6PKXtoME6o8LBCl+ZUraE39IFKhed092DqfAF3jqL4LrWEhSM7Amvw7IGW6nRUb
/o1EiOFfkohDVSvuDQ/24UxVWX8eG2jL4RtKPujLAk+GKkhdQGutM3TV13pxM5aGpp4anM0/8qvk
Q07P8m6OzfpmM0gAffH5AbR657ClE8M2v1ECKRFDF3ASg/g5Gg0+y030c9KbIHUti9SMd+l0mVz8
tom2yQE4iKD8G8G0kjk3H7myTQoOOazoaH7hb6P8ML6dWS6fdRd2RMCPO/12KAonA9xz+VlZZM54
9VsRR82avDu2YvXb0Z3zC51/u1bVFyIiGcVpc9egF9qHE0Bu01SBqp5DrVGr2pNIGctmtlkXQ5R3
FpRdy6UMtN0ZN8DmXa4MMcvx1SoucR76d6JLJHiIfP0yAf4yvGURv9QPQAr6aQgIYuZt3EX8LjHx
mmZ1XKZKB4fioE2Wq3rQnTvnag4Qb6foMOvBeIiaia1KqaLpp6DbwWEX8Nr7d90NuyKFx77VNFym
eL6EStvHn0AS6XZBGwaQaqeAtoi71NFQwcG+LD3Sxmgb5SM0iOBQKsHdbCxw5FAaUmvaKoCQO25+
rxiU2xzkctVqSv/YdHZ5Y9dzfj9lfQ7863ZZVHV7Yvf/hyT1kkmcJJFcbTp6xx6NhdDqSrWlNY0g
YLn9dm8SnNnVkzvbwcULQUSinoFqWOjXArhT765UkVS1lpXxEIUhTDpBqe3yMdCng0TIMOh2CsIr
JI7+4qglpn0MWnCinLozgIVJjPuYN5b1Cui6j77SZTebCpblvjyUed7eV+6vrmscVSVx2d0HanmY
2FLNNIhYRZznwX1WTVrKptnLD6KTwRugLffrvjxvOjdvvlVJWN+ZvQIU6NTDSOdOzZN42CmIYaVj
XTb/rrWKizaPwzqXGKyh1dmKKM3Ddk/sjCcwYMDaKC6BDZq4H5j3FVhKd9msQHhjuzciFYvKgsau
3BlD0t0p+dTeiUUGQyxyOdmxWe7kUpzcwqD8gCOTowRuhk18n0JkGa6m5VPRQhWW8VFd7kLMoNOG
//FLTAvkj/0WrqZbtqc6ruG53sLE8q5ofLQ4aCr1Sv/UgWN0ZCn71PeT/50F1k1UBaCs99BwmTQb
R5T2QzIaq/Fu7B4dxyiiXQLzbev3/l92rF4yt9a/l7n+DP7m8LtR979rpl4+giLzZzG0+aMK+BLL
cT+hIKUPgNOlG9tN+vwjh6X5x9ov551XVdVFVbPioxi68RzSgP28ChSj3OouW9pbkO3yhhSVaXFK
KJfeWV1p3CSd7j/XZvVbarlQQYKAFe+TAFbtqHxebVBH3cfK9FHjGQCKZQR/DCFar1IEX2TdvrRn
B843x1L2PZSBp9aq/Gc2GhXY34rfbCet7oa6zk/qUNYHmFipsfxHfo4ePq5zu7rzmtfWP1X67DxJ
yJZeZpc5lrvOYWA8JOADV/Ep92OLdxffWk4koGBi48DsaeB2wpeiM5tDE7WQwmoFIMHBlJ9qgyNB
EZMU+qbB9cPDBEDzy1gZQEf6ts5CG+eg4x1UnZWvirpIY9o/g3F+EpsM7mOrGu5nufYrANGL7LYb
y7toGsYz4HPmbbsMVlWANQjfd7C3av4zu4xnv1iKevaNPYcS2JOhr9UbsVEKa93qZQaXobitl8nc
/0YNtndc862ef8+2xV1N6ap6lLN/tEwvaqrM0//6ZqzY5z/2U8Bb4ZkOlBWmRUfFu69GaPtqQ+FT
+4vWczY89Il7B57SFzqCgnOY8iIBuzif9Ekb7XMQhU9uo1t7Di/qY2Sq4SewcJNHp+clcZFGo6Dd
ueW1z2dn90Z07uJBTfHqAWVW9AnMaVAamnC68UO1uHvt75/2MF+4jxB4/gU9dvkFiHrjJmtYJIvI
9mdzUMyu+j/OrmxJTl3ZfhERCBCgV2qeuqoHe9t+ITwyj2L++ruUtJty7332OXFfFFJmKkV1VwFS
Zq51AOwXEu+SHgnkCbuyxOUfK3dFUtto3IfRYLOHRGfm3nGwryYleXCnrDqkJdB0JNJR50OYzse5
dBVnzmo+o6Fxxjpnfv9tDUXJ1Abmpkb6tScVbB4gsk+ZqfV/mVEFCOiwBdlEHDuPqDJ5tcgYKrBM
I3o0pX5sFSSWNeL93iirX0YZg1sCX5F1GQAnSPMV1CAfQ/BqC1WrrDC1BtWUeW0eyrh5P8PI8DI7
k8FMjah2Ws60aye08qwnioJc86/UkLwBjB1AKzUd4QgoxrLSZq2vvqhxEZwXuYukkiMedp90ZdV2
nbFy4yxDVVeV7joe26vccKonM0mqJz3hDSIROj8ggaN6qqLRM/yCPYyplt1QguAg0y5ud37OkHSY
VfkNGXpAbrTDM1ks8iYZHEVi2u7ILG0HMKiGHLQ7yBlbx9IAxE5Rpue8CXMAPgv7U92D3V648Q/w
N4beODXRCzCJp11jKUChKBaPuBvgzFGZJCJeBb4tv5I3I5PiYhtjega2Qr7JlbcS3hLAVf0wpQAG
QxFGLynXgBKaVT+YKb90Wp5eh2liHyN8RbIo054LELu/TAwc423GPgbibMgBWy/QqY7RiG+ganrV
5L1CVYxQM0GjIXcftMl9tUiMJEZBbpvuZy3y100vCHBsV4J7Hlk5v11FWviCDAv3SOAVBsJP+gDc
2AXKoozADz8mtQnoUjvQPCA1ogqPp+OKRYkaa7zA25x/nodvboS0nMss89Pa9Vqbm7vFbZ37OMi1
tZ0BPNXHwEcuPZIg9K9Rkm8dDcRaUxg/5l01fpJ9XK2rrgmuDYgBDkDGFwpj4f0kkAT5P+0wfWys
EfUKtc3sXTzmv2Rp1gfCdw064DyBDGGBch0cZFkPEjeVqMXp8MrBd85L8MqHL2S6FXlqXfEPsq4y
z9MT2IMegJ1jXStpm7N8ADLwtjHAB70oSAtwJSB+pr5254QUTcP3I4B1zotz5L3wM8KJWzJYHPUV
IOq0bjDAQ/T7QsiEFRYDbiU4Tt8pfNY8uYDEwk/v92XifjY8cPfrO996iNtXHKHALCgbgIySOqzb
YQ10H1Vw83s+ffypcn/WZp0e3sn1eI9oIvanb+Yl6OuPTGYfFxF5qFK73wSOK+7+UKTobGBHdFZl
75YZ84d0u3WU9tVl+YzAbTZORYxKKvX3WORmHehITw7SO+fkA8Xr6aoqJFjA//wLTpl+csuMgdfp
9182Eyp2U9Tr5S8FsNF4W6Wgg0LNoXFxffFVb/GqktUhCEdIFvYM3foTEjn7C0n6UBqX2YKDH2+P
+r1PJMNey7gYOBAd1xN4q9YG76L1PJ8mkv4/LrS48MFbjcVIMF+Dujjq0YK16XxaHA5l2+N1KMRt
T5TJpYpwXOrl7GMogHVBIhMZkdFu7ADWWNrNJUFwq1nHUZBcsi7EpsDgYLMAexgIMxYV6alx8Dv3
6oTrG2TUAbpx0VCvc4IT0seHw7wydoLAgiKNyTITTzHQuKq1Ul+sEF35aQsr3dFNnx4EIBDeMARd
rq16DuQdaMGsW1VP1bGsys9xojW3WBSvjc6nW+6WDaKVv+VDZyYomHJwOkJmSpEKzbxmQCpVkj5A
jv6oGr8EjYGIkN6yKGilgtefl0VoglqpDSas9LZ4IATKWdVK5I0UYe0AcrNAODgE9IYtigms02J8
QmbSAPrwoMDfFftCkgXhcBDYTYCLFhY5DimOgD7JPBpSMwQ8w+tRW+1pFvjN+sfSeVwMkOUR7ICR
EawXGeJof7E2Ks4k0mpUyWVF8kIjuqAyAngfdgVIvFQLUxO7uTfmKr1HiTrOjT2yFZE+o4Y0q6+Q
TSzyMDuSLPGd4DoY/Y5G1CyfcfncTjceorS7/4wZ9sR3n9Hn4LY2Bav2NEvLquERN+1l4ZIZwU5L
wvDuMw6xfvcZjdAyzlV3AO575bSnuvjOnWfbQCKCr6CbkeiEY5266Px5bLupDyMM62SYonVWvDDT
Dk8oysEZzWxNE1v42xum5MmFs+lFIgw2YuN9C4nzCL8z5OAjm5SGwp70KxjR95liQPIVixKehoPH
TF4eaSiwfzmkjW15CEUL0NZmzoaVSXnTAlAo6UCSRwGdARhONZfcuWWyJyWtQO7a7vWCZI+Dfqot
D2xk34JdN9hRgflcfh69CfsRlZYbFnSvRjOEa9LyyivmEgTWjaiSf+hdK9zlDhhbnLwXh0Zv9jLs
cEyiRNQkLArvhmTmopThnTx9m0CzwAcGb6K6MwPsfNx7NI2WSNoLQova2AODMwKfjwsOe0LPKmJ9
2lt22YH5u+bPYJ5jT/hCBorTkSRAQzM9v9LjI3ATAaAlQM/1zj7Kn8iUmsgqUVut/P+TvV/17An2
lgLjmv2HoGmh63HtMD67cfzUxpaPjVzK+Mq2SpROoETTQdbYXR9ZD/6Rml4ZJ7wdvSpqp/W90d/7
eRhq87R73eJsXijUHSwaUwuYqm94DKIYxwFvFBi3jBNPkO1jyNCYG/2tRzLSkt27oSmKyotNcLG/
UyxD6v37GsBfehqrBBzGalnJR6vyaNr/cBlkV0qUzaalcVg+xj+t+E8yWqLRkYzUxMflqt992OVD
LCZ1meLXMP9pYnPapwKnY//9bxkExdbQm+owKUArphqpgLACtdFFDsKx8c1xTyJSvjMjhSTIqmVu
5LvVDuW1L7P2zd3ihXq0xGKyuPdj0Xh5bcjNrCX3/z6ZfFk6csD07LpcyburXZagnoX6ivU4SXcb
sXDHGxcIBgrLFGXF1clg5Y874FKjQ0EnMMC2i8xsgl2Cc/h/mlRUmbbSeOx4KUi/LmASHy4W1/pL
0QAtk1mgh1AjlEsOF6OfrH5tWnLfG9MHoBjEt1gv4hsQr8qsr3CAmlSPCehebxESP9WAxOXYp4/V
qX4zISl4y0VhihvZgSu32vIOzybLbG1EwEBjnqkbGzWJ6gVGBdLgf1JXho37W63unk5sxlsARAOf
147crSuz4a8plAfmFOxbE48AuMYW7jqNsXaSYcHXjczLb03qkUGvA80yF24DViKzviLXB2lIGte/
jTbYtViVfSrxvATWGG8OQ+Znzyh3+kUzoyT7lho+f8ZhWnCgtXPN6mlt2zT/tnY+RHyNIrll7anS
X9cGGnZ9lQjjrVgjo6vjIPU4qAHojEPwr6CORrymbrprWlXJ0WI56tVlXrzYvZF4QYL6UdYbsy0q
sU0AakavtprD61Wn+0+UheB3AJabosTZ0zDF0de6CCRqy6cGGLVKuwxHGSLe8Wa8zEWGWPfQDJoP
lP2iWEuRB18GHWASrmkA8tJOHyQD2z3JTQBGejLX6wfXdbvHTsu+V8oet3MQegG5+YR9f/YBsBo4
lIC8Eo276eKQ71OcrH5G2IjEFsiWdggFgGLVRmEdUFmqVTxZ/EGgFn9tFdhiuVHLH2Te56aHdLD6
UiChYR6SJlXWlokKDjABgxSeDEnTouzulAt2JIdkN2t9C1BsPjPZDrD/pQsQdMfd42zp6+yrzgEx
PNr1S9UYIF4MsO0bShacypXLcOTSNlHzxJqI7ztZCo+G1AA7wwdHdWLshV5Z6yx2jHUjQuMgu3Bc
0T+mALLuoVVDyhZZhvR/omETZPfGgw/o7GUuaRdjckVa0HEbh/9hrgzSdd+F1qOBCNK+5268w5GS
/NQN/joD38ZX1B4nax4O+nkKCxwfAdcVIUsoNF7+5Qy2eB54ah1KAK9sjLRwvkQjcuKgL3qwfftp
H4DJLs+e4sHcFFHwALSd8YvOHbyMj9IEkpqRPDq5BB68Ajso8iQH/Vr0qjBShF9I0QRBPs9wA5xC
mahJAPGIWZoh0I91E/QuoMalHjVGUw/rsinAQfumAOPh3+xm42T4FVVMzJ7I7J98zrbiFIkhPJOV
LwtEXUm+NMD30HYAWHixItEgDRCUbxZyUhzUY/XAs/TZPm+Q5ePpSSuuUTFmG97X5bqOuLhSk+CH
fp0087GfSue4yKVfsVOnd2cS0XTqpTkIuXEoaoBgNb42da8YmKtK97QQMRPDzkWy4u2lAkIVTkHj
/Ak1m6C1MlBePw+VzA5aE3SSk9gssh5vgU5ftWeu4iS8zKIrEte3i0GgRSidjrt21YNL9oCIb7Cy
eDWccPU+sjBj43NjhyAECkDyJQujvdmyQTxtYOxzVLJsjQO++BQzVn7MfW1Ncn2y4t0YlvmuVPNr
bMC1IO8/ZlGuHdPOBASYkjuo0kCxGQg7gM1sAYNKL7wiVnzWNbDE0wlIjkU2FlfW5gLw/w7yLyrX
/MI5B6hfnX3//1kw5cP8w0czPDYV4nPEUZXwGslJKVJqEftQLFVWMH12Hc63uhrpbvrrvyCW/Y1C
Vcee3nR0IC6Zpg3ksndhgjKzTKDV8OS5leY2Q/LQyhjy4aOtBdY2TItwyxFy/lhIcE76AIrdk7az
AJ1dpwyvuErr+9WnAlg9V1IWk7H2x6B/Lqbef7GzwJvFvcS2PS5vNGXC4/ScawNoz0q3f3Kx70Fa
IRgck8rCSfPAjniYhs/UVFbVrfySJ6CngUxYkYGS02m2oEkOspxWGu40+zEQw7pjJTjP/twhtQyx
N6RAjNtFQRseHJQXcr2oa3phoO1SPwXZZgqwrdFFUp2aoK1OnWpoWIoSXBPdyG+WycrdYkK9xY6m
kaxv7WivjcZxsX1nBt5Y+CS1O5o3PEheHS92r8uqy7Ccaus6rbMHKh7SMpeF6JoT3Y62pRFNVxQM
TdeQ4Vlo2WGxtfWojTehVvwElHGMWy9MFrtpAGKBVY9nI/WdVdPr/gZMZTW2ghrLziOCDVPb820F
QI8zNVboPmHjo9BwA76KVLkl9s7uURNc35lJfhqLVrNAkoHSSZw4ZT7gwGHTUw0mSXOGQJD33mAM
wMu5JylNGHC6LrvMfq5NGV0Qyf2aI8f3xaqs9EWAW2DQg/KJREWLn5hpudmxQ8XeS1C5oNAA1J3Z
u+GNqaZ0wgZHx3Wz6ochvFET9Hl00yL3sZgiH/X1LHdBRdaFR2R9fH5nhsQ3DQDO7fW//BzNd9jY
LsNlIQXYsXTEs4F38w4bexoLlMSjCvgZCIDtGSEw5Neb8iAQp0a4v+jPNrJoW4/GTpyjW1jgCwkt
oEAsRtQL9aE/zzaumjlPN+09MJrkgUaLfJk7L0BeGx+5KO9XJbeLOfXerrPsUdUVcJSZh677yyl8
8ZLqbNxmvJqOuibcBxNhizVQ/f0vMgVctQRBZgxTSx+QTl+54xYh7VdTXSvA5W4m/heW1Zvez+wf
yImKeKar7Y6zXgByks6Pb2IzA94oGFfq5Ty2ZksaEiZO2mFf8mrZEXDOYuVr4uH17KMDc99Gy+MS
BHOIfFLDjfBSIMr4QCObTx3KeexitghVlLTStPM7i0Lzi1U8lmCv/QctrYBzq6QADsrfvNPcwlIA
FLabAO/pgwX+i2QVgO3gKMwAT0ItDJ4cvQmekixwNnFtTl4oAHjRgcQ2nQDx50c5UtDUkNhsiyGY
6nl818W7QBSta4DQgr6oOJL5ANge9kjduYkGuRIJinFo2Hr//s03DedvZPVc4OjUEI6BrA4Gsoo/
AQD71C0kQCfLZ4sV7tHnhYVy8JGtk7DJkSmYGFdqWlZM51zY2xDkktfZjJWavyuyqfHMuCuSzeDE
/brjyK+jKb7fvk5G0n2OkmPZ7heHpFULIVPrbwsFCTaKb9NpEi0GDP7Go2Ftf4vbujtTniPlQ7Zl
WJwS8HuTiJq7xE+WWzlpl9zJmbORxm/auxnmFAOg3TRALKzKIU3w6SF/QHWRz2kfC9VQz7VVoSRp
Mh2odXro3mknqotElal9bKjYkibOUpo+Usnl4jOZig9BjDR2hMiLCzXjIBSyvtVsfT3U4llTGKB5
KkaxJ5OWjAdH61VovbiUevCztwpwDmrdro94ikfoUDw0qpmLLVTFhlI2cQTQayU3Ch9HCQ1AVfoc
BZSOL6Yd5QqYKR5E/SDlhYaZG69wXiReBmByPpo4bQCJCBIMcLc+Zj2gl8iKfGi91GcfsUzufUxT
ArZgU7yUDuoeZgQ6cwD5V60AyakhyPEyDesN6G0RcFKKBYbcrpoRjDQKw3yBL2fct1a+LwG2hnzz
zViBd3tobaD90ezyzfc7ZzSkKbFa6p1XgMtiKbK5a2oLlJaIioO/uj7QJy5H/3PUpeY14JrxEbdK
+rOgRo0/BLUE4rRKw5h07CV0afE1InvZVWtCiQMQ90swdfln7qfIIi/L5kUHkQNOQvrkFsaattWd
WJ6Rt8cPIXOTQw/UhkuKF6kt0IeDR7MrqnU65c0Hq2wNb8iT+kvCnJcGnHc/g6ZGTT3CYd4gfOCz
tNEvgdQtJMKcI5TNnihMnMUBTrFrpDDNQWEAWlsefmDxgQLH3KncxzYDbATYQmlC1HVyjx1RjOML
yKgBeuJ3bN9NsMMOTrHrinFcE71OaLkRkoLluCYuntJo7oe5UTtbQ0TZrvN7+eKXwEnF4c13P3c/
YV9gvfCi8ndscJP9nwZ9+RnYQ+apJipI3QGHIzjuo4sZf7sTgUu4eBhQ2OhZLZIJefytCwIwrYx6
DuLo8RvpY6BY4m8DNkW6H4DLVUiAnM53EZWGPVO40vi3cr5X3OWDQwHUttdZy32GJiHgYQFkcgIc
RqJN2wjbcgSlwHvkARAoP4PztTjbqCSuEHk4JqRIlA1pc10PNuD+s/GygegtNvbZAAYC5C/RvKnp
XP1CXbcB15KvW1vHQkpRqNn6hxx/Wi8r3PzXRtgy+9UNZYzsmHz6EHem3IBuN7ukvHTBNhdrW5ZZ
SHLDHxzggCbqKmpZbQkq1KiRgse7czApUsMFXLTGDWlds4qv2ICj4HVX9huWAaIdmdSghjUUStDS
TArhh4Y4XJu8CODK68ocplfDf5xzp7/rkhO7rX9J0+kBhpj+QjL7BNoEwD+fdODXRltTC9OT5neo
p1JCakgmw6Z2VtStqAt8/CsAckHK2gpU+1btL+KaGTURGds80VDC6oJr7NzkK62QTYZXKSWbjUKJ
rhzKAAmhjYeQttKQfp7vupF2yGpA4Ntglb3XiKLElj5HRbKiu4uJRS+l9u99ObnYbASKB0/U5lFj
RgSSVQdphSiCAe5SmlYguFfqNM53Mo66owvmTnyrCzfDtowla2RmmhdXZf8izcIZPRrrLfiM9CjE
AZ8c6l1emN0pDdp12rfuiNx0ZPnO3bB0TOwhuPDmcUwGQhkI8PJ6vs1yDzvFcGWOYX9ta9lfqadz
IKtOHDERGgo8mmxPa/NfgTv6e7JDURtgoHM+3rqxZsfZhKyRVLsFOs8AGPHf/kiugf63HceHRdxk
eIRV5ffINrq71Y1a5GfkvAASewg81iSVR3GtOA3LBysqbhTqonhaG2bPLK7tyxwo65m9AQLvuKFh
4QA+rQ6rG5nSpDd7EqWgGNn4ozOA6wvBM7JX/m2irjHT4hnwia++kzffc6ANNL5407bs6puhxcZq
ZGO3CoU24EQKlRjU9EF3nHB0cplHwFd+sGsk5ysDKrXQitzeAXmrQtbD70n/yVFVgGeNZiEddXaE
11l7bWJ3uGn9YM+GgSM9HOgo1CiR3+T8QugohK2iRGUlrIs2Wj9ws8PVKUSVWNd2rrJcgFn+9GeO
1aY1W4A5KzKHtEzwfpvi5Jg2C9RUUgdaqV/NIsLPJLmq8ltJJ0Dtbzc5rscKP7skIH0kT8t88lkp
uxkzlPzh3HPb2KZWbABj/7rkMo9MlCvyMu9Qlkt7Z6dcTX7woS+sBxGX3clJ2k3V5gBdKkaQSaSG
W3q8KwTAEpD+fjJjH7hz1J2lNInGauYwAK5pVtxNevXC3IOOmPqJK3JRfDURnfdTd9dbXR9i4/F7
rBs9QuCyUtSiDO+KSAtzdrMw5O15yCwwqZTJh9Tg7ZEyFrNGR1LjCDqy3gVdvcpkBHvga55j6uJF
Hr9nbU5xXBQxq/eBZN15EbkcYApm63wlH9aIYhmvNYxmJTS32tIyRq5jSwQGDtA14wnSIPR9pl5r
yx4XB+5kt9MTjxTc6LG9JvXctQrc2KzYjLYklG0PhEpb39fKzeKLeu9ko9XIra9cR4DewIFn3KP8
1kL97sZMnfjk5iK7OQ7DhQE95nvUJ5v0Twu78Jv9NFbhWQf4jWcamfOjDJ792JffzcTMAScYm7gT
lUi6DzILoB+u81THvAf4qWm/mSIVP8f5/7YRiLgJL2wqZy35Nh5l822oHLn2GxZcgF0ZPYiycFdm
MGbf/zAAvDAKnWx2fU1ZAB+ugbtFMn1CXA78aHX4o7BKZ1ua2mD+VYbJD9ALOFuX4wB4bTqmXI+F
Xq3I2PctwC+8zSNDGmWKIw1Ef7+13dJVHrPUGbd9vJliZ0QhbzbdqJcFP4DEVF5pQA3O+lHM6tRy
Fyir2VR0yb4PYzwK1PSpHabbaAt540+LKzJnUdsjeWiS+8XSjZxklyMNEhuPFBieOgAgUViDolS1
QNV2NYI2KU6pkU/dHbpoGFCEgailo9jVqMHRymtvEm5aeovmnbqb2E29qe/eyWn4fu7idfFHMl+k
49pICrbScueC+0t87vBO5nuWwfRV2FeACQIkDECIhskBdF1ue/PYwpHGAzJgsJtW5oNjmjcZ4rav
XNCImsXN7BYgHa9uWlOzkeeNil9dYQx2KE+vVZ064Yg2f4xclPjZqqKd8EcT+9WSRmqe08nnQXbd
PpQWbthNhCJa1QP46XiJa+A0+h0yfEhBMtJSo9WwSxBoWjdN1a4WB+/s8iDjiLQ4/XqZuzjo3BIE
QflfdiKRj+vnxl7yInvivZ49ITl2hTKV9EYiUBGZp7gFNlrIvTK2N8AJd681Tl6fVTR7l0041bJN
sIzVZgSqsdLd2FbjXkm0WNAEkr35WCzyvnn18WZBPv5pFbL411XKFifcRtGXqL3UiwenDT9bSOPa
06hDTBCwF0qBqsVZUTMHiJqt4W6LqdVXoHhk67ttybwdkU2qA6Cbs/W8MeExyFzcKM6ih6mO3V0Q
NrvQQDEcSEiteI34hr/RMh58RlBwm4DR6wPwhfD4zS1N/cjCz6DMNldD7g+nbrTzv4oYuJdK3gdx
CaD/IJ6ns2mKvLrugTowWfaj47YfyG3Wp8mWAzV1R7PeVnEMC1xGuQt4XbV6Z4IeefpjFZLTKtg8
bwwhDohkfp6yNnnyuygBgJrQNi22sGsazoopRBmfPgCvX5kgL/1m9aE4N+53AInzG0mHNjHANpJ9
DpFvhXO9Nz/zeAjS1gurUj/YfWNvNIGwciLDW6Y57CVv2uhou2BMxt01/xqzATcSP/g8DnqHU3d/
2rW+aX3CcbtHBjqQFTcA3cmPadG2L1xkjzz2s69A3ZpWWVuWFy1gA77jYNclxaiBCG1ydesWCYDC
WF2yMQucMlSTzL/+eRkMB2obkqvLUGfc56zv+63lBsc47aerg3/bMxd9s85R0rqbh70egjGXS4+G
IErw8V76HDoxfyJJDZLiVZJVzYGGEslUexzx9CsalklkPWLHOI9INHIgyes6wLAZ93jfJw+maqin
tT9GEfhnGuD99lVsFIAO0QbgNI29dVjkZEaN7HSgatk9cO2V7bv5GmrTV5HsxHpRLHZahnf2UQNe
3eIZWb0DQqsMMLKObfxaFlpMNPwej6NEwjddXWiP+vxxtLQKH6LdYhkBDeEi/RmOMB9zeQD0G0js
QIEUrpaxZX0HoUGDmvSi1PC2pqUO23ZaW+N1S8El8W4A+wGrrTUJqbFi6bKtwJ47KeINyoeQIIvX
1o9a4G96xfPrOxY2kkru/CEPXMjJXpo4rh9GnOyoSUDXGb849jggWCGHg5s3szOSL5PeFsmxdzul
fKx2kUrztczyILnNzp1KFybR4Mtqgx1js45UZjHJ+rCqHoYA9/l4AnYOyaJyZIjrguB6HipjJ+vx
ljxGiQfOZgb+HuVVrREmAzsvdjLKqw2SULCGugpqRK1XDwDNQqwLIh5ME74+SBcK9d4GgHb302o0
hCB4Jx5b234u7AilKKEzbc3SKXfaBKusaC+AmGQIjU6AMo+ai0iALE73b5llw74d8mLFRoa4ARIr
LlHjJA90J3+vDcfyvbbjNWiuB6GK9H97rqQ4W3mRnkXfNhs2oRa8UwDho0IOp16Uf278ILy20fAq
rjpQ9y6mZBWkY7BJJ8dZtaLRwZ4xRiCVQ0FD7+Fe/2jhtWpvK6440WRTtBsYDiNcC2eCyu7O2Imm
z02b29sU7wszonMROCB66XBwcOABW3PCdiY05rtup8U/AHHNtjhQ6s4A1e/OelWwrW63Ad50cQ5P
imFs/GYeu37W5OvEtj7GWTXuaMoQAcwrOJROC9rQzPoOvIAemFBgmSfyeOaM8tSnKe4WBqiepHD3
eBfrb41qBnzDdqFug9BKDUmBUFaOl0tvkVBP4MTXY0lo7BYF3PZ7wfB0sHFz3TWJhTqEIV2z3AGX
RB7FHn5NMgZp17qJ3DDxkBvOJplCgsRIxNxR513j/NIt+lSxXzu72m6Mn3VSngchih9paT1WneZ+
K4b8k5UDjb6onZ9WX+dfbIYoa9OZAt9GoGfVwShXvpb421408YuL2m86FKXRhPQIiVSuD286Oj9d
Rm86Zfm/zaujyLNlLk8IN5nVtylEMFniSArgD8DrVcQxITZaqyqzg8uUmz7Jk068ygFOEP5HuQtw
1sUPt7T3fsg/CwSohYZ4p1nRlfKc+NjG+KlGV0qgctToT10ggisB9ZClGi3zEpZcKXnKGHl8U7p0
6M0zQ13vagKqwWrUWALG7T73UBNZf8Pt+pSkEbBp23ADli6UuE2ovuyKjH3PBIqlrKn6hKdeudI0
3j9rwA/wghR0hX30ZLLG/ZTUg1hpWVreTKvOgac6jocmdduHHqG1ddzE08fCz3/aeO78QlWVH3a/
eJP9wk69/dj5wlmj3Ct7CB7xdcfL18DNm47C4FVWGPZf0h6/qpv1L3DTIaUPUYI0aR8n3prA4OPV
ygH85NPU1d02tkR2Bk6+j/cP894Pt2LnL5H3b35YN8BPhdMY5rTGdoqaaR+2yKgEn5LzOej7FORH
6MVKFoBI9fOiXXr/bvdO+x/9kR2y6VB92NkgM7ZcgDkVIkUSAyDKAp/dDxdtraDR6pq/amm4aLVq
RIFY4vogEgdLyAHn9vWxqoG8QLtf5CQCrzDB1x5h/x0RdlKDA/8PSCzUTguHp91egiHRcENWRKG2
0V6cZjrNI4VJkAGg7yAj1DvdzQkY2wS1hii3mkWKQnfSFS1nq2mk6Lr0QwvAgzt3kXOm5WhObQcd
8nqH+XIa4K0e2Fgknjkw66p/DvA9u7oMwLEkcO1UUQDzb3XcITOYZG2O7x+C+eM6C6WWgH6++DUC
EPIwNLWfbF59OFMcOd7b/Nl0mdprSCGzp+aAT5ScqLHUwblNx+kBiFlONF7UU2DjoN0HACKbCnNP
isUub6R7lKZH4tn0ncXiiXqLd3LyTtYBOhLHI013s8NqTQcw+FJHXlwHw0vUO3wrurg6BpabXxFb
cVbpNDRfQ61a0wlM1nBADjhT/1IkEarCQNJaBABxQHisSJBOi246ZigLywNEDq3antUkIy34UZMz
9dpA0YYt4zBixxwhDhRusk95lbVzLzDL116ken0xsE/UIzvSglaMfXpnt3jJo/IILqUfDlCsVllm
GHgd1/DspdMZnw50rCDUVm2vGfOBznzKg+AJsukCBFwdBua7sUHNbZEBBoerIcms0rJBp/OBJBXQ
lmaxXtUCWWgg4yJFj6h8xZm80ByR4jgzdLVXPzRrsCNH+aFB1OUvyAQYXrRHYgfpUyf1qh7EOlGl
2ZsOWBTnLG60k56xELAi1vhS5ghZdIKxn9pjqSjvljn1kDobFDPLY96DY0zlgYAcegLbrO0caDjh
IXyeXNyzR5XgAVzXey3ANMA766RX4mk3s+4Fz3N2AhkeWIvaBt8ZNVzY4nN9uhPRJAkrplv6ictS
PpKpsqqa7l70py9HJum2Chlbpy0QEWtgzE1pUN0qnObQCC/c84iwOt28nkdcYXz+afk2It2bJSI+
7jo2iuBB1uVNn9roxWk4OHp9FL6LMJu+KHlTRNGLyKOPoRumuwHIIg+FJl+bsUVQGqexADnrA00H
Je1vjc1tVG+DFmW1yJbJmoxQIs3jbNaSAunvAjsqEIdtU5kIb7HGPeF1PaRr9dtR/LFSkcTygDro
58zJ/IfcYHIVDTHfzMNmACWkUlhRz/d+IL+/k9OwxPM4xLnXOeBBibRuMewVQMIN9M14h4+0xqMh
7mfjjXppdBUdytNIEnKIRxNfBzniZGgxHbV02Es1nUzuFHhDDZJ080qQUzbph1iRRMwUDzj5eyh4
Lo6hkk1E+8Ahq10QudxRQ7zJADntAoaAfeEGKrPBR3VybC6fqGmEQIlz3wGj6k1mWsVHN80LHJoj
1P7nJBIZzHydJPE9OMncRsrCukAwepWXyBLAP8ewznPXiTWAM2R5t7oTAlYN0HsCRVp4O7XO0Vuj
TcmjkeZyT8YMlM+z8t2QsU4Dx7bYkpymz6u9c7csHhkaross766DFkD451Fgt7hNSz4Aey3QXRdZ
p5yvNdMWWwuHmS8FSGqOZSpBsKGGBuPJ0/8x9iXLcePAtv9y148RHECCXNwNa55UkiVbtjcMt7ub
8whO4Nffg6QklqvdHW+DAHIASlKJBBKZ56QgZxrLAph7tWi+dprXXYxkKF4se7LXkk+3rjJANSC5
gohhekw78WfP9OYsuehfXC7NdTpm+Y6Gnd4jH5AJiZA2tBZANh7ayHyiETV68SPQgvgZKU7QY1+L
6u73yYqavU2WiLB/+d1khjMhDKxpON5NSMiZDBtZCvhm6F2EzLI60L0LjTOGG0zbDYydx2pEhD8U
1Cs1T9vKGg/9G+fJNjAFFwiX8NA7zTOSvjOQbDPwNt8GvAkR4gGLhZQCTAZ2DBBKrciRxOeiIBFA
ZenFckEH7zPVZTH7FJtA3xYDcnBQ0AdZq+qs8aJmJzuokTKPUTgYVn90WgBc8cis/QrptRcyrqK8
iXdMNxHSTUJQldMy8wpTPSjam45tm7FsjlOemv2xAQLRoQvtw7LWvDa2Qvkm7ozATwqAyBqNfTUr
lUOLEqjONzxdkUSAkpUa0uhKzfM/O1xxn3owc3bgUFEeqiGzZYhUjsgPGxxzwYYIw2WqjoO/seTl
EYnt+S4ZKs1nIUesUTVJOGSPQeeeK91RqeTvIg1Fl7sBNc4+WSwOAfjFWJt4x0VUpr2+TyIQGvdR
nt/My93we5Vk8THIHMtFkQWwNgZT/m2qZcJcyRoJEltmu8WhLwbm+hm2vMcOGCQ0Pc1HH8ANw8Z3
R+RT0pAUORKST9KVT1OaYiqSuS1HHAf31LtlgjwU2slL7FPbOvFqklm/o3viamjwpAU03hwLCwB/
cgXSKShlezxuSauGZEvXxQ7gislhtqCh9NhsQWY0xzLlxxz2IF9SM9C/DBZip71g0Rfep6idZJ3+
KIpR2yLcHZ7LQvTHWO+LvQ3AhgczbYvNIFz+jLt4xBJ0jX1TvH7g/By+p3la+o4rxq0RJ+xxUFcv
URXbOyOUuNSk+5iuxBW8XXSbpo6sdqMP1YVzmZ9nreGClItmAGgdbm+0Et6VBtRnI8Cpy5KjtcXF
q7jeNCZ287LLgm3oTbi+leNXx60HcG1EPTKEEFrBZ+nONKQeyRrHu5QAcEKlZui2SO+B3dwlw1E5
92Uc7fW6+LS43ZjkohpOJfJDBO5pEShCfpku9PJRT1tgK3c8+kNv7JcEKIUvXerlh6Rpu23f1v03
I4xAAlOu6zr2nvo6Kl6GLjpzF5fPDCiUL3HOHITAjHJPylwCd0i2qJZKxhKJ4zKKHq0cE9JIOXy4
k73VTkB2rdNqHyH0jiA8knDrhJ9cJIl/wg2B+5gk1hdzMtKvUZsYu6ZLtA0NwaYt/BQM4g+9OQIy
ord8psxKZHGcLI6oNW3XUXmA2kQzwgoWSj/OnDmnHk/ax76pe+Q9pe4l1ACaTLISQHmPwH9DJFIg
6k9DUkgNzycgGX3PlcWo1dGhyZLvmkr0pGTOsIrBaWNT2qg5SeeIx3/DVpQJSlZhBkL3WkMsrJgq
wVBJAVdSz04SuSDeZp6GZlwMqEdNTZP+fpVCWohbgGg2vYyU3KTZ+O9WTRKO8Wn4GGY9B6SRWfR4
NEGRaHFyqpOyBp86WcfOezdF1HnXjNUrdxN3XwIZfp0q+CgzdDoQYSJ6HqshbnJ+tJPorlXpha/F
F80R5WvYRyidNJK/yEMLdX4zQVFpIBFXE5BW6nyeIGQgSA5Q5r+aVDFIQiUX2mhmu8njTyj8rk9C
NaSl5k42e5AGXyAcOxbLWajmapDQvchnF56yIzA83V1k9a2zcvEwLH1PjtHJthD1nKrR2MzCusS9
2TaTffZmcOsx98lvtnBHIC3oQBDbAaft9CZbJif1rXSeHZma0YlmmcdcfZDl0whwgGOjBJsbf1LT
mDSzIwnJO6BF5x+hc3ThrHIEwqIE0c9e4Wt1kT4+utJ0wDMyPswcOSQLbABfAATmNMuEBBxvDICq
davcyPff3IZCsBNZkO2ocRdxWIejehOLUeO5mnMa7elhEZGtWpXcURyin8BlOD8T6dFHIWh68rWo
Hrd0EHbfyUlJQWrqkYNd2dPW5nE0h6wXBfkuw8U3absfCBSmu6koUGZ+t8YyfYon2QHpzciJen+K
zx607p1b6nQgFs4RnFwmWH6gOxlDBS5oq/d3ny4QDj7P4kVLNLwGJBpuCOeXSVCNW4F0qnOrriCm
MB6vrrOf7xeQL4SyGy/o1kgCTsFuhT034FCsAS/ng9eV0NKdxWJCfhVLtJUtwL5GL68INWx+Dt6r
HQ2poTddAPh2P/VShOTV26/kNj/1Rc19wxmujhdOQLV18uvSuFqCFI1ID3aLjHrSESMSxsBPtigG
UJxejSkpNmOcBgD/xJC0pKg6HPI8B4Dpdx4ZslaQTl18vpODBts+T4VcL3NoA97vvpM8sSmsHmja
KT5Z1ZBdWVg1l4EH6yzogisI1oIr9YKulRtcFGorqQ9TDvoN/Rk/8XRc7CpRT6em9s6R9cqydhr5
sRaIAjpRCwacABBdl6UxOhv4Fkam4ZYeu7MdaQDK7O5DJEkEuf1mHJV2iEtpEETOzgAAe/MjD3fq
flYDwAgNA0iQYLqyNlUU8gOq1qpzj8e4fWBOX55p7OSttkL6orFCfm95XhSdocF5GZPaE2Z7ZJa+
qsKpy9bIiSrWtlPlq773EEMMhMStDpKxTt0ENOk9danxYks/JALXgcqw1QIYUncxoR7y096nsPq0
5qtFv5izQYMmAb0Gkq3YgUxm6xt3kk54b6AuVn0icp+tQKOZnkgoJ/1RRg7eNGS4LKEhndTb03j+
qUJsaQzky+1yjo2KptcDDq+j45yo0fTEPWbmKymbuGtQCoR/SlScKhNhhu/dWZfpQbkNLfNvUtu9
nID7oywnl22GAn8gK0nrs60adTCZmw5bRjeuhuOdvEZO9o3Z7KBkI9Jo/dBxOzrdnO/mBELQpeuC
dO/ynJ0EarUBG2bgbBeBVesEtg+ctMPhSApqFjsa5shXq5GQCL87NctKFDPJpl6Rguabp74zXJzJ
Zhk2+D5nCJqg7PmXT3UzC3mQntxyJAysJyM7sxDJ1n02yK8x6k3XcdGOx7iL5VezfhVamb0mwIM7
e1mToQ4CYoSn3qw4/m3PE/AjVsLFftluRPQNREQDgBYBtxDkvHnmJe5klZx1QIBATTzoQtQwz8uz
zSv5DBLp+iFDUMoHm3T4LZNZuU5T0NjwqNO/puYsrhstPvZ2MK7JCkD0DagXWLUag74G74gtzlIO
n6egQGVNnwBIWTUkpyaL2tshyfQAO3J1Hl/M/tXWqc3o1LTgBlFLUUMr0Fq/k/XFmOy7KXn61ynv
PlI5gvYcQcPeXxRgMSjWeYbt7/RcASr8GPZFcqKm6QM8a7shOVEvH4W1d0DKRcqgezejYRfUbYk0
eAjv3Ej2O5fFLtGYeHMegWS9t6t4XuRuvmWYSCS2amAY01vdO/ZD4x2pJ9WQeg2eigAWU+O5e6cn
H157t946wkh+YtTW+k5BxqaFnbq/LEg2d8N5qX83v9HzEUgcehUWG+T3A8wb18B+qQjceqorAPwl
9sya4o4jaYREgbk36387LtRMbW0BCJrcU6ppCA1FBkcONJ8Hqo7j4OwzjSOCzfXx0AngHjnCBqgM
SN/CS+sOOKl9aGZD0pgl+N9AwDzNPiSjBnSJUGRFkO7iWCZ+0qKwOsRb1UflZezuDK081C1qAVuv
t1DMyoJ/qHmdfWqjAHlMqURtZiP6bayO5sueBtkE8UqC+2g+sy+KQh/CFcps9VmRtQJp2TFzAzxp
a2tbhqU4OeAcWoPL6mutIKIR70K+SpbjhV4rknY1JAVHEgvK7x13a6caZEqBN8D3oJ6aE41ILsZz
0NbxEw2SVLKzWQfXsdFQmTUVCbiQqwl4kMqbTED23q7NwEvmaeO+KpHRLQuQHujXANAbAJdH9QL+
CP1mSB13UytUMRbmwPawvGetBO4YiT7sS2VgC+3WHkFswDNKkKaoyT7seRw0DzQie9PCHzsb5iVK
Ppq0hEwrwEBwb7gmthSItIJx3ZKtu2ZjaiHLapiMEzWACTBPCMQOq1bLndWiuDEUjQXua1LdSBcn
HXXhJ6v3UL0US2AINhWAYol4vVU87j0wen2WeRUKg2zA3aMaayZ4pyFueZ1zUD3TgOwXK+oFERhg
8T0BCq0V/JyaSdvS9SHdLlIj6E5xuYbM1YUkD0bQaWtsv9xCznaLXxl1O51LDsCbFgUItYY7OgfJ
R0iGGdP+dNMdrbFeR6mn+die9Sc9lpl9Ji+9msYVAv8pIq4AgsF2StEtgGoqOCEAAFhA6hrRI0+B
zkxKloGUaL3YUQ+1S0iw+PCFQyXwa2uLNN8iwjqWuxrg7pdUrx7yohEAC8uB6YSYEuozZbsZLAtY
xKbT7rWyu+3FbdzNsvCjd2cnf/UdjA5HiqL/UU96tdZyK8AOXEfk0evAOqAP3i/jxlGBo6xA0h7Z
x721QsWdp9AHK44Qa4NbRBpp9YhbriTKN/OQ24gOTsD9BMwHskbiENmeZdYdQgWLWACa9Ng5YevT
kDwAIgrmJ5wWAoV0GGvYd9J0ZDHo3TxdpoATy2kEdwbHb6cWiXZAUtHXBlXdHIyYiQdI0MZb5Vmt
b6QCotFVQ4qx1reoW3EAk2W/iT78yWCRL3OQop2w83ijufHGuj8u5bRZEU5gtijzL9FgNzsqfr2r
jaUhKRY3kikvqYdidye/KcclO871S48kqz1N4vH6i9nIZke62Za6yyxmiK1RLkYE/W8K5rLMVLk9
4YFK4Ki5KaqjsXtfLTdXzi066qmJiqIOD3NF3WzDVX0eCOsQ81aMk/9dhM+tezoF1wQSjIH7Uq6b
tmfeleDXWW0MyBKMPlXEEoh8QbkJPePvqhnZd9VB6JN9Tyz2NyK69kuqj3JtS7s44OxgfYpGls8E
7m3TXMMxGr9MrVNvtaHZ1XVVrRb4yhlkBReCb3CWTtw46zbKAEP9K2zLHdjlYheASWhj4Km96j0O
ZPbWc7d16xYPjMj6qMtZ3PvM6N80SJtAXZ6y4arkPG4AvhSzERkGYNEijqsUj9mzM9o/I8W1NXNq
1a+NZ3qfaGDmKOcww5ofaYgKmm6L9LpsUxrAAyn7MtxnqpisrrjYthK1c8gMQPwi1IFJUTXDxjRZ
i+syt7n891/Osf/xlwP5BGqKwUzlerhcUbgiP38AIDMU//s/xv+rY14muOQGwnZpuudBw8UMmAAr
MEBb/LXKNRQFoZDHSgVgUF0TdAl66QBKlbtIBxb8U4TsfGQMB5V7Qibrp45yFMwpdE+9LZ6i1Awf
vQip59QzmwkVGVRKBbDuR1c1pLCR98QAJuP1iMn6QYZ1Bt4UK1I6rUzxm6jjVxsoJ7iPU0NgvWrH
GuTYgZqEdwKhI3Ab+cQOC7yQdsf7XvNdYocFaAu/Jv1hpo5VV+qhukDXS7tH1Wvc7mczchMD/iDA
jAD+fhQL58q12W3xNZWbXdTtnveV4p5twTf/338VT/f+8WfxHObqoPV0uQek3rt/KBfhKw3EoeFz
0Sb9PlYnfN41aAT4dFdzV40XjZ2oc15aHki5yGnIvHIs/cUNHHIYA6wX7dxfdPMSpQF4g8TSkaD2
sfitF9nb6iP8fhbL9bJ4SwYV8s53sdbMPwHKEtjBBe9lPpnBVeD+8ymN+x9pltbfumHIN2aDbGoa
RrhJDgAlP1hhcdQHTa5JDN6WFBWwkXYNG5Yt3klt5hug3lSHhiNXJ/BwvMeNvuFPUejtCN95hoFu
w+KgSRdba5WHvSgAeI9IYWGcF3lpMaSKt55Yk4warZmANtjhkt7IkQFOsnkdD8n5i12Gq/xDPmEj
sSBbk7bQxcG1Pf28yGu1TpWD3WSBtu7NoKZ1gHODdehzjrgO92VfvK3T1s/gvqofQgORSIWv8iM2
+bOqAnlx01QccsQqtrrh5t9F8pP0rY0KNCOQT52N75UCnwlVI5rcXJmubu9IloZmdlUWxM5BolpZ
4Cv7ZqHpIZBG224/Tunkp7bbA0ZCEchY3V9YQj7O9DGI011CTz6wQRHSuJnUdnhiEIG1NvPSsDwE
tGihlduZU0YRy7Sa+XciNetIJDEkf592llh4/ifx+ED0NCRCHuHb1PPCSE99WqZe5vl1apLjbJ4Y
GYCB4x5kHg61GkNKL/geQDraxoc2jo3zLJrVXcv0MzXYJ0bnoT7QoLIB7oKzoLnhbpydB1RGRTGw
9LCVxp6YRKpnf/TuZAHCBydPAP/k3WoxIBnrelCeUpca2VTtMW/FShtMD1Txg/69AYRJHMjme9X1
0woXFdZjVsf5XmjAF3VRJn8NgV26RvlD9hW3LS+GrFBoW8TtFiwb2W5AIQRQF3Tn8yRKZ4taJX2T
uxH/LDWz26J0Lpi1wgYmaqvJaqsFMMZFn71pKqZvyTfQcG0v7WFc20CbMbMwv1iVmV3ahDHUoKou
CaeWuSuBw+Paimqwn38Y1k0KQxp3brADUU161JV2MZl7ym3gVbu3cvt5UdJ07TRYb5MgFR8I5c2q
+ynBzLNpERy56okIwPdSGK/lVGi4pu2tKzWpNLsrLtJnA7LtkBB/mDj7YQnTc3wymzKWbYAWU6xv
hG2HK1EtEumebDC7d8ksFE2kOdh8i3A8ZrwoPlu9dqRqmFyG7hqpmyOAcPTic44wioUj3QnlS+Xa
E2JaSyv3TmUUOI8CqSS+GMb4j3CcvupThRyATtcPKLpLtlPf5d+9Htn3yoA8J/zUs6cm8c5CHmmM
3NvxK1hQ3dkzwnlwG5t4PihPMiDPqku6LQMUJIiI8bbNhYaCo6o6dDKPHqmxKmQhc2CjNSITxcZC
KQdgUgGQv5hQD2cTFWA0HvBgxUxCRMVOgr4OpFcTMFxnm1L/o5ky89ArTDUSZXU2nFonuJBo/hRZ
YtsroIdwJGS+2wUhT7FtYE1o7p0SSKrN5Gjaymld/dQYmQGoO4ShfODEoRqrUgKSkt6pkk1qDt1h
Ec3W9+PZm6Q0RVZknzqFkE2iCYR1G+SyYIPEgRRiqaZ2KnclwdizWmRIeRcnan4n0xWsCFJoTk3I
gx3qhmQ1z0cey6QTRwh1kf33fKRdjGndu2GaTF9TvJXOVZXg6Tc5mQGIIlc/YyebHPPc29CI5NYg
9VlJMl2ZUa8zkvQICK5NYI9+HG3dDPwRFc4ypzFNo7lHMkcpqGd6QVz6d+rfudzJOCrqSr+y3XoV
S8NYkZpmpLkmric49YMxDpec7YkaT9HYATbYUEX4ENJYU8JluFgjvp4iASZJ12SHyjHrWAFK8ztO
Pz+tKBqehRXgPwHlosDNrvOv4NZDBiZDSMtjoJLLMiSlxdL55CANfJdMaQZqt8B6ZC4St5Ny6H+O
2qNhdM6fZNoiWeDGlPOKzaZpFt2bmikQgBJQjOWmlfmIDcR4qoM62JJIQaJeBYD7jTaW2upOIVGP
eXBq/kK2ANgECzGZmN4rSpyDyyyS8fDgRN10HIGyfLMCmS4r5B1u1RYZ9WiFTHovi3z5XFjFBBLp
hXTczgrQj/76M+QiCldBAX63bV2B/QOAUhdVb3skcCNCRpIKHol6QcZn5SJazMDJOivJdJGT7a/T
krLKAItCvQ/ljL20uH5MuYgWV+U1ySA89joyaHGPmJ/x0kOlvoaUm1KBCw+MX1Hblr4IHteoagNa
AsmBa3Stxna84I7OWxF4Z5ioBA/q3o8JpfMG55PGbsD1DQMyLQoR3/FFFzhPks24n67TpQdmJ5sw
7U39M/k1qKr3wZeRxAdmRX8gu2VM41UbIzpB25kRiWjn0NBWGbKnj/P+h7ZCi5aLWO981/Nmm3kL
JT52RzRD6rbazuorF9xgkdiOSWW9FoAY8JE5V1/iybReJ4Recf39GrsCfwukLQJTClYuKMV3v3Mi
La5gfucUKCdTrTQx7Ns7dxiQmv2O+i6QWXl0gnIzEn8FKQJDgcCTxkbhTaIiCalXd+GOI+IPGCiA
hQsHG6046Y7Uo0akGv4NlzH1EmXYgKgOdUnJtCu9hO/Ib5bddMn8bsrcHNvj/bzzeG7nWRZXIVwz
8+89Fn0auYjzR4W3zlMRPDSW+ahVJvBNRWBbPskAa4oSnMrKZxOSzQoAVZzGcjwuolEctRxsGMgv
aIPVxM3+VFZmgJgtUO5QDZ5UaycMh1NNQtKPyiirAhGsSGVEhb02ZdQ/WPmwK6IyCn3TqHDI0gKU
jlXTCv8pgHpjqCI3A5PHyI5/dKMSJdo26JtSCyQZVegEhyAO8uNk27fN72QCpbioxDDe7Gi4uJHi
TuZh94McDISI7hTkdrfGYjKvUZrnQLO1LcDMm2NiJs3RQggSlLtqPHdFxOtjiQ1E5pPBYkrDRca1
NtVXpNYjPXnrzpOQ1f0kN1Zm7+2GUrORq8DDR+A2lgfEyUK/o72TkpEitRK8CWqQgDa0t1MKV6tQ
pxwbvkN7tlYpcssG0loL6DaaAMXoiNQM03QMIxafw0xDxgaula+IW11xsje+2Y0pkRCo5U9tO/a7
Js/Goy7T7AJ00mljAFnvJeEOnh1FYf8ECwFeaijoY/rwbPbh3wLJu3uU5CGdtOO4gUIR1M8p65PD
PCQNYs0/kkLWt7IEkLuNXYyHxBsmXFypegbPFa9uA4Z78iJRjJPdtc3E58lutDd/knl99yximR/J
lhowwwiwAllPTc7bWV7WxfG/Iz6mrSI6N7SbiJ1Z3PCQqck8gCq6xB1/E4jLorgYG/xCn5z6S58k
6YPOivoYR6j8jivRfEob8ExwgF7/gdtaFFWCay8Lgy+irrpXd0xBOayn2P0Weu+nAOs/s1ifej8o
ULqc2tl3klFzYzN3a/1bZ0/PAQ7xqBqNvB+4rwJdtmZ8wZE/2peOI3bYy7qvXZ/jmIEgg47buRWO
MMG5YC2/uoDC8IvcUhyb5S5NQdW+Smwuj244yaNV1vIIGlqz3ztqTEJqkObtAo21vfbcKt5ckG5c
53gzwLDLg8be0ERc4F515Q1goY8HZvlu14lT0bQPteVoVwMxbRwlWiteo8ikB5e9HeSbJjdWUxA4
F9ADasjazPCN94Zyjxes8GcTsHUDeC9EUILmIRujDgCUD5TwLm8t5DkomjY96PtNlch4ZbiWcaGG
FLNNidRrn9WB2C7qxYZ6TR3ik7vl6U5OQ29s82MzOAeak0TUZMRYh4pxfVPVo4YALBa/syFZaSIn
H2EclDMqk6YfjEM7pH+6XCH0D62Ng3cDRrepHbcZHrkvURiUfgIyzr+QYMTjvPsThUcWSCHBP12i
2lvLVpOOV6GHw/3oo9QA93/l4G44D6weODeaAIJO1V5UIv8G90jlyqum9hKmlp7vPPwm9qj0+BwM
YNg8aiBOPEfGcR5NaflnHEffai9OERUywSjjJfIqKpTJBP0YP8U6kKU8S9NxLSDSddDZ1Qsw+/pV
BpSSL8zpAD7VeNNFs3tnK7Wg3XWFaQFv1ZD70YirEwBlnQNou7wDGJLzU+Ikxr4rs79CswdT/RSU
x6XRiwKVisCi1DeLEF//pNwvY+ohGDJOK+qS0516kTGUm2bzOgULksxfVPcT3ZjedG+85u692zLh
zSefu4vq5vMuH/VmlZtuQj8vud4seGNw06W5llXSZorfflWL8GbpG8+bH+u3H2iZGYVT7uG/H6/M
/Ac+Oi43DJPbHgMPneeY+q/3HImTDzZ4MZpPvGcqkVNLH0YEGR4E18D/AyDBda+G9li15tqui2zL
RzBs4nE96T5Zkr62k2qv9cYfNAOry85ce7nBjpODdFnUZYKIVM09FAzpR7kHCJzNMNh/MRQEPegm
e+SiiY6mGmlxynDphF5b5uMuc2WNrOUA/2qkIZvKdB5N3JMcZwXJgr4dd86E7VHJO6Tef0zdlV+A
j+Al+cVopvXgGOk36VXOpmya6dgAQempTIEIM+lW+DOMkyOPYxMgA2AODllgHPBqqj+FIS9ni1KG
j9i6lV8axyoAHZMliHWZLbIx2EFyhOMIBmtpCC5Lq1J50cwYhRKjcyIlyQH8CXRaEIb0F2/DWAPw
V5KTRZ94yIfgW2fCY8WIrdFb4yoNQL9SdFtc6wMmDXScls8TT9v1Xpiru34UWaoN7dJ48XfRZ86F
JM2HAc1U5FO3XUypV0/gBKXZ5iVJ6OjflknAzvNZN4IXt67YQ4Yn3wOPrvUwuhdHSRYxsOGRA14C
WutGpuzJTorZiWagBtVy7EEC6HadKCeSMSv92soiO5CSRHAE37p7oQF4od1jGpcnGtGKYQNAMDLv
rEAzfdI01v1q9JloNbUdmVcjU1K8f8QoCgZUq+ZpiozJEFdMU5bOsJ1p4f6Rd32J+AZAOb2wq55A
wUoDagB2CLSmERCHi6xqgRlhGBMC4f8yT4zis2sTI8apkG04ClZAMflgG073gMB1/1A3enswW/7c
gZPd8ElLjdFUxSZlqFIiO5xv3tWG7mE7GdkRaMnf54pagQsg1802Ni5UT+CEVViDrZc0ayMEcCcN
Z7zAXEEH0tiogLQh7AyQnsp6xhAslXrukpQaB2/TG8ubiQy9B1YRE7vFmBagufsOFVpIkM0ANGp9
p0MyIlYAGmvmSwWS3J206cxNsgbb4Q9TEi8H7hK48+U693wr+yuaEgPn+bFs9TPPgMKVVW8pYJQM
Nklun+n9HZij7XtVA9pyK09RDAcFgGM2fV0Bo1OKGoX8k36ifPkaz/lj6fCvNJrz6i3P/FYi/RRR
HlY3qKJHivZLtqK+qQRxGb0amXQvhhMML4EAYJ4tMrkv6nRfIaB3ZTVS0PUkfzQBOgtoLhAcgbwr
ZVs7B5ujSEAZiatfyxzcJ5JIfTR3QFyaVjSslUHGjG9mn8VnEplGIc5mHr3yaLLyVcU6turNqduR
FrVdxsYCy/0qd7VoZwFVbc5W91TW+ZJ6PuextzoenVph7+8z0ykffZlh8SMFNfMMTM+ejDi094UX
/7BcpNekipSVD6AVNiqgsdIwVrLGlqshT6vHMR/BOdvb5QEQT5ZPSpLlNXjs2qQcDwAW1LBlHyM/
67L6SM0Qd289W4xlhljk+3ixST6sF5cOeydEM5TmTr3YLDO4tlsdpzExN5Kz4uCWAUqQpN6uQkoI
iGqUHt+MRSPyXZcNLQAqVMLAMi4H2TwxhVKwzAHEmeZJWHWKvSHY2rQMhBmdM30GUDNisb07AfSP
Fd/jKf8EDpf2Oc+M5sxyhb+n5PhYf2vgHXwKCy95aLCH9UneOrhSynCSuYJkAieCukN+N4rSv0v8
HVAd5Q0XPXO0p9oMf7BoKM7/vQcxcK96f8bDfb7j4E7f1R2Ls3umCsNRmBJO1n0aG4HrMs61Y6Wa
0WRB4c/jDiWRKIrY5p7UjiRiKIku/Pvx7DPr5r60UwB4f7hRL+td+M56Wqoz2LjMf+cyz0aLkvf9
mDTk88/Vafah7n6ArKDdauCe2IZBE/qa2xlA7gXW61s3L6rwQlJqOq8E3TpjX+LGxE0NU9SnBhA9
wwt1W6eEZ5Qn3m7KkwdyyaoubJ5m7wrXzdLpt3OiVV8f3NwaT22eI2vlfUR5WQiUfre7OMdhMzc2
ACko91bYyK9j1xyrptSfAZ9VXvsI/wQkJ7Pmw0xq4miibuUZ26FbM8tMV0zXEQKmp2jKUJfi1dWZ
qYdtopJuI9VoA4DplRxUi2JvIvMdABb45pcpyJgtl4d+S6kzNAaWeOjP/yjLmMzpP8MwqzcfGpKC
ZEitCn36X1rmprloSIo6BzWcHP4yTdlvbQTtnuOmK59ShAp6ywEWSTS0+toGMuGWOLNSpTXyAamX
MbSJ0pJvyHGrltbtyTbr8Nmy0ngvR7Bv0jAwzRBZCOJUtg5e6spilFG354NZrUhJMt7HD7ltaRcS
odbF3uPtBbYSmnJgqxG1KEZuFKuKF+MrUq7MTdihYDasjPEVnLq4osiS7oE5iI/gy7Mpp/BgIb/o
Kwods62ZjMXRa+LmCZByE/6q+Er8/1lkoRPtpdD0c4HkilTI/GsCTMaNWfUodUpccUYBVbNB2XH/
Gpf6E1Ogym5WzqaxIaJNMWa3pnhmz6aVAlVWph3AhKXVvSLP2dg6TjNEq7iQbHU/jsYSJcFRddSw
OVsBvdx8MmXo7EKTTwCscFOUp+f5GpD56TdcQFwqh7O/ekAI12ZXfzclY6vKLuPHRLO8fSfsbm/E
Cr8rdPuVQPH/j8x1t03T5nsHIZJ12KDWIzLtCCw1hVEdnCzfk8xWNVXUs1SPhjpVYJGQGqcP/7BA
GbAlExKNSCoAdD4QeMG3hYIr4PAdOvV8J5yaMdDfZfT1X8akJkOSAaczBa2k615i3iGouOltHSB4
Q6C+Am12Bceg9Qz4+oOp/qfDhNf7UqsmpCR441ckD6DaZ4hvzJgyC+JfzMBogTREGW9CvDj3UgfI
TGxx/pmz0t47JkKfk166n2NA9+JXMo5rIHi4n1stM3bYGwbrWhruZ70Fu01XlWJDvnqa6ltb9M6G
fIuwQbkFCIa2pM1LbENEnYMVTfnaDra2HhJyd6RFpZ6zlgNQkWnYeACsdHTknWVeX22sytZWbdLi
epXFKllB3bSahv7eraZcFfOqC9dSM0DIHGh7MifD2efencaJqqBLUD2DK06gsycqLTr7aGLLKra4
V4l8qZKmSWEJFA/djEmI+hvhE9kVQR5ZxbDtTdu40giUb92uBlXFKh1HwE0qbfuhHZUW5IzeDUVW
GffbegSX0+JvKQvEm/Fc+pg9s9zwWaTDrf+v6xPhVsxie1uhRtAt9R3yE7vXqC+QrANcEdxRTu1r
nV3sMBBf8nqS13zUfpC0ZYD0MROHrWmIKt0EgG3/R9mVdbepc+1fxFqAmHSL8WwnjpNmumG1acsk
EDOCX/89bPfEaU7fnvXdsKStLeGmNmh4htTZXvok01n1XXiaisZ5sKA+TSNn3F3EbdTIbJvbMHGY
HXyKsv51kU2K0zYXHk3XBqwDIdNFda1vIfJF6cqUvzJzN4bc1/s4VKWUayyqbFigCUyJxtp6ISZY
bsKjIM3DYk1Vz+vOspvFD+3BPs1ZxCrj0B7+kBU7zSVrjD37BHucy1iU5aXYGEg4H5/fs97HUjND
je5IWVT9dxZ1Lrz4Vo3D2plh+9cvGn29/hTrc6BuWZ3Bwen9W0lf0sv3lYINfXWv7R53O2wl4t1C
w14yE8EEuA2Z4w8gItwDKX4Gfp0dZaxP91AJwPIvzp2AGtvJtU99MQVxB84r+KGdDo1YvIepdYiB
6MNyK1oM8Qz6YFkF7JiAI+A8lA1p+WACZ2BNyVVm24fcGV4uQ823bcrMOtpO8b9ve2mcMzoc1ny4
tVt48OQbNe3yj6A7zLfvJaTk7TLrdtT1T5+hL6cXyocX/XT953tDmdzIyNx2Mw9DNW63p1IzV/8e
G2IImWCCCRrz3O3/1fdP9ygb/A7KLC+Wn27uEF2EulSeAsBSa8FDdVNMm9w2OWGfLD5jE+A+tzzn
edILHcdxU7lW0oMsT1VkWNpytspcPEJ1LE7PdAHuGM7cVpJu2iQFCKSp4h2DwP+xtKb4XMcwIbRg
Q1vPNQphFwhrwiy0oDOOQUTSa6D1lUnAo02ROlDptPtqbQ2p+1b27Q+Jo47nMW8kjsW88V7j+ByF
KKpb1tpqHYNcsx8M0DnVBCZJC3zMjefgxdGJNj83NtbMXV67j6nS4cphROm3SfFDDS+NyP+v+8lQ
TvdJnmTLNqnqILE7KDDPYhRhM+GxR0U4ZrxBh1OsuOOWe7pQnEqsiP/JuzZTyX3PvozVsEQtS2iP
4ATMWhgyFifHhNt2BPeJDTB95akrmLnoKtm8wuFxi7cd/yGr6VDVlnpxXBwsxSqCPx+2Z7b6NMDP
Vo+jdT0UKxzYw7h4vhgzaaS3NXOZda2LedNvDVOWvEIA0MUZ1j/xegjDw+9jhPMmZMzbMhiKWB0F
lAKO41zyBEzjys76jhNyGNNTjFJibkxrXbjfxRCmsFh779aU2BOxm5lwga5zBrV1fYW06+gcWEoa
mO51jSdqBKH2Ovr8SSilcA3QjN4/D/Uo6N7XEd67ZWEN3Swse0dgmHGj+WPwcSjt3fsAl/Ey3SsW
NaYUi8iDU5fuWE9lCwFRPbXDk9sP5W0EXgTVKI5vbXgy7WHFDZj/QO/N1XysWBJg+UxzS3l0cfBc
WzAdVihtUyBHFHm1woLBXVxzkmGctmrSUuhm4W7UYMKk+shDvrrUaHzTLXwjVe0t3Zw+RiXiJzud
ov0lzWvGjaXDKCYbYCvo924obgrrDGN0ge9I9PGiqWLbed20/xT3MlDOypRhfjV3KOxOh0KCW4pA
9hx6IO+j0KBAczmrOkoc/9oAob5h3eahdZwMoKOnwkpvhG4Nx1hm2iJtM/ZNt75zqw5fa8eQS7cO
8z0EQ0zYmaemPw6G+Q1Q3UPa9PajUCxfh9BGw2lVIR901r/E8whSq6HcrAQ8W1Q6bMGth0B+24tn
KOSvy7H6iUXJmUEh6ZRUnXVKe0ctpsacVtFcpZhSxrgWEzZCemVbJ0rWjKo/Vmm2phqzAdg1BgbZ
WdGHO1Cffl1GzuxiJlCFO2qx3pupatZjtE5G6/SpG4C+/2OUKQGzHoxE3OVD8TJYgTNv7Gz91pVa
FHWiYq6iuxRnzyvK05n84U1CLaNw7HegJ/U7d77A6RJLAyrCRgNFak+pSFlUp3YqXbtfcq7N1+wP
LZcxP9zpemfq+flG1+Go5LDpB/xvnRDau4nlLK/k3wtfeGiF5ds41b20FDOT+ANpOLN4dLzmXJjE
FIyNEtzh/91+vRGVaAz2fp9rqzFBrdWCkcKiakG2KEd8++DtHG+FNNI1S/X80eWQsYrS/O2vGaM2
iUvGWNZfLLyCNlXGIRowNv2r4fKz6fX9fRq14Z5DBzsAJKR/ZVPz2Fi6d44qLLVdu7YXFC8z8To2
aXWGW6R3aBxNLWicyWm+S9tld1kIyfsCpr+XuCFtKGbnhbgbjekF1Kbch5JnvaOL+176U8wtrA7f
nzkny8q3/9gJNJx/bQRajmdaoOZCBRqf7JNbcwrWEQ/Hjt9hNtAeeN2kR3gNpUcqQcDqVykHNlTA
mXZD8f+ZZso3MdaQs5uHEDprBt/LzRS60BhIirrZtRXOG+baNf5pNAMk67VsjJ+XNJhyDj6lXLsZ
TqoHRQHdzU8N1yqVjPnbm8eTvvzwWWBuVSwAhisDT5nlmoFaH1ysBmD+vUzV/EI3W3UW8O+sDHtP
FyPShm2ulUtjdrGnkCCneypmuZ1DiOS9SSZRu0+MgDHAifymjMa9aIsB35S5SJdYdvG6MLSHqS9/
hShehdY6to1kV2NeAgEgZlfHVtM1IITlpUYhpYGNFZSY1YELXP/AW75bC/jtHam16XQIUlKdwWgI
ZsowErsMqGRWr9MUAhzhWL6NbV7e9iKXTxvmRuVThtfdbRqab8MwySerLaKtAwl3mF6hsWImyKJ9
EW+pWrP/4G4a7mcKoIldAdPRdQMXQI8+H41zpeddAgDonYAir981XesAUVikO1u3vpRZqt9eYkAt
xWtVSYj9JVDwXrZxpgdu6hhBYSTD1svAgQWbwBLjwobe7gkuq85tgkdvERrY1+iBH9E0haOfuZEu
UmPJiYUDBBt78Lbf4ywECEekePJQbIph8O3jzKfx8zGpNtfEuszZIWRsHebzPRwwKX2ZmVAKwVQe
KI7iMYoSlKQnH8FTTxc5hKIf45jjWMxVzSNmXt85qwNSSL7sSPV5GdiABMHNkNcX6WQ1x+DGpy01
Or3AoWAZWGYN8x7atRrq+FcfGoc0l6+xT+OAs6YtKQ/oFHvRO3m1dIpcHSsJEHDnhlWAQ9/h+OEi
B3WpUgo256rAmntQCvWdBhzt+21r/BqBu5kzfBiHOkLi6beOvY7paT0PHjZatNC4kTfJusIiA7oR
EIDALk/oD0xCigpQy1sNawVcFN9YOBGkOF0oHpcSv7Za3wpT8yzfC4vkYBj8R2xY4JVoZbqxMlOH
qmGt30isim88mbB9mE6rT3Gqhhb+idDr7gPqQJd27kqlyDTALNfDvT6AwweXlATMxjiEzmw8arB8
lN4qBmbSL9wC1fmSw+Fomq0UtOMlSsUPTdjNgy56AhACBYfUHH05gCmnAcp8bir4X0BIT+0AWTXO
vdeLm36E+mqTTfmibiFh33AQ4i91R1SL1or6E/UdFDYPK0ja+1WV4ZBSmPV/QAfdf71MTBM6rDoD
eNBzTM/+9DLBfgB0PIrcPtnjqKCT28MU50COnzxsm8AE4hY75lC9kLVpw2y1SDGdhOIFxXorWhWA
mQLxz0Z0TlW/NXA8tSXLSLKubBljkIJTb2QtSXEqgRANEUE9jOESNzkMO4IwC4GqNeRVDGg2rqp0
+PZBMeUipEISLN5MRqcSXS7iKtf6NafA2hdCsQDWJVp6mmY3uETTbsykyk7GXItQozbTbtkXzYlv
zURPL21zrbEse+256bTQMofjGaUNsK6uAc3I63RZO5Z6KArX9PEEbL9KuzpMHXZMoT8Me56k/wkd
iydWwPgk1HF2ialQd9aMMFtNqtQORlKnm7/PDKzPvF/TNB3PcxwO6i8cp9xP/5fQMQHvqw37u8Lp
cJzjxwqulqo3lqGXdrBaEO42j3gN68iivhUlmwLDzsUjtzXhc96U3w2vW/RwbYl8BtFcqZLxayyl
45u1cu4jA/vNxqh/c124EOleCtg95wyCoWmHx844OAf8fJoqyIoY34pI7ixHlgCUurlzuCRBSr+H
TCP2H7WBf5WJtRSZkC9Rx/C6T9twx02tOeEsFTA9DXvkZab64IK1r2fWPvZh1KGKVx/g98x9/Ptf
kZn/fqVZrsV07M7brg6+3Cf6NI9UNNW1ldw1KRSqmgrCrp2rzqHMAby2o/aWD53aN2J6G532zXYs
9hPKzhLyBHn61npR+lSGWHqHVpPdDpXON06uhxvlNemt7pUqcOAI+zSgK/7c3HehjLMJde9Ns83u
xYg5JAnamG+r2jWfe77qHNm9iEHGW95X3ZKyMqG+tIMpMOExYcJqwgcpV466iawYe/lSn8B7SMqg
4GXxkMPC86Ysu7tm4PkDS1X+UHn6slVadEc1R+gCG72s23ZzBscjee1iZyegDtokYfQimzsajDq4
9gzBhkYT/FPw3J6xSrot65sc5Cmw99kFS0TYIiMui2CQnv4BOUQNGpSq5g5esh5HPO4c287uMDPI
7jKhBwpvf/ipeSpaVFl2SgVQ4tQoui67yyP4X+gm9miwTEOKxtPQN0GaW6dzM+U4bg9KYcizFWum
McJuxYRDldCb/QmQQ7czPQjSeJx1kCCYx/Ew59qEsYQu15xDNxz1OtxB5+T58mniqS2PTV6DbNip
0y/R8izzNlZZ4bijlpiJdCb0xA07vCnnGoWulz/FLn3fu4EOFu4dT4R7luj6Sjqa66fC5F8S2S+s
soRam/LYVofOUtDCb/k5GQHqkWDLHymtjKEINMfjXGdbWFXgK5Gr3RUCRAChC9bHcoG5NrXhK7VC
Rrd1Vm6YZGC4l08yMb+7mPXdFR080g1Ldgtinc5xBgTen+J5G/0xHrpwbzDgVr8gMVPSNtVZAp+M
KLu96KhCbQkct76c2Q+YkfljVvPNFHsS7Ie5TrKpWg6sjQUHpEvMjWOJbfM6CUBv/Q7zKe25GNgB
voryh6ZNNxB4Hp7zVECm124Bhmu8GJN8u10VSaU/RMrMfEgXY8Fomq9dMrhfuOikX4c9fxu8JFBN
PDsJNTG8wRL+NeKAOU/5mD0IbEYu61Cax1ZvILbah2rDuZfcpsD6B97gyG3u1s95ASAjDLidfTor
GFKJYl4kQdwddAYc9T8NTm6W2JGau1yKlEn1D+OMcL13RqfEU/Y9sa4AyASWZZHSoiael0B1ExY1
fBxRpEtbwAAwkw7YpnpdxEGjW0/QiW1XyTTZO9V59i6phLOjaiZh0OZf66lmoN7PSZfM9z4xtVDw
2kzV1m6xDde8NEbBN8a8GAkn+y2r8+KW1iLfExHmTwm2zG45h0jInGEODEbsSaMCWsywzBsDQMu1
y0rHQ38oAeW/+o+OVWBTT5W3ocywR360HHgq9TvHTOCKEoHbThdLtw3gqKvoVz2bWVJFKRGk9vJT
5rXnp+ZrAw1B1euwkwzHxd/fRNz615uIeUATzbMzyKPoJv/0QucQC8fpd9rfxUlUgQRQOVCWgdP9
N4icBNVsHKNY8dDmLn+aqmwM0snWYIxorvECi0DVx8XyqlcJjaOtK8xfIYrbDZhUjTkUwacG0ZXR
DptG509xD6Y7t7BVChSHRQaN0Sb6ksXmBgAYLPMk+EEhxFye4f/drQZgoNZUzVz1xI2GnyyWdufC
1W9iXlfPfQzUwCTyaUnVKq5b3wMg/Mbsov4LHp1wgEdaA2eh3dhlUEcc7eq5UuDhZ2Xp7KnVThcl
prZPbRd3kJGN132KL3ARJJ66S5M0XStzhDkLJAz0fZr3NymU9045DMgvlw6GZr5jdMOmcqTgfm4M
fAv53G+UconFrvXq1WUCwZg5JYNF5QYEptYX81jXAYXdHd1KZhvD0x+S3gFMK9bOiWPVxzYrBdAv
wn3REuzcli40LbDXPd5lqf2VmbH3EoGsFbhgiO2GCY8jD0om1TS5LxDNslde2K4APxkWjgkBoT6C
nlA7X6gUCTBeHGPq158aKJlae5wEranHpwHAGsr9PE2wDe1ZxjYxp5t2Zl/ib2wculm2gqqXUl86
QKfrcnmNUUMz51GJLkootTHh2NIsM4gLn4d0qs6Y7cltyGHp63UjxEVVN/SLWs/N9aVu5/3CK+CC
R9kAvfYbmZ+gAAhPM+ByIb3rMmBK2rjYG1Ftby7VvrXkocbOAXR85ySqU4mHAlwfr4ILl1vNMr9z
8yUzNrppU5Xx5HNmaMswFsOzst01AXyyyTCxEOzju6pK+92U6rXfc4iiYHKB/8FUc28geW9gxwbb
BLDESb55SqxjASg8zj3rdQMwzYarQjzKejpQwtRHOcjm8Ie99kz0KL0Hpw3rzwiLoJ7FP42meS56
ET6Hoq+hrWizc+1CfhCghf7IWq/e6l4ktthXtI5WPrFlCw2O+96FcqE9VNVLgv2Iqseig/GHYTLH
tQTSaAuQYmB3U/FcRwC8TGU9rsGWbJ4zHF3ant597UHvCXRp5Hs9rg3AoLDfWufdVyUn5usAjGLP
I+oXeP9injajttq0jM3As1R6w2vI7QJPvUt6wYs9qGZtje0AakuaKjKD1lIn1wOU2Y4hNQHLMo3j
FCPJcY6l3U4wVv7aw4BwMTCzu2lMiKw3OdC2IIWZX11tPBWhqT0IEES3/SSLla1x/dVND5rdmF9T
DxCQsF0UgAlChQi/q4tsv9un0bI2RePHEArpTtQiepgMvzphne6zuEF+XxTOhk0GaFl4/S4GrDwG
GH6tsXad5o1bt9mNcCdvvusxlDM1qNEuOiNrob7RCeee2rEQQ2rn5KdmyiM/x8mooxIcHKe2/aAX
0/dSeAIOYsJ5APBPLcrIy7aXRpz0LoEy4UuYyjgPBvPybdHUw4LPyXaiyeOkDLzpUHOtOjs7kBOg
nhQCPuTvd/I4nvY0lv6/7kSjJVA2/V93uiQIQIbe/00wdvpug5cimKOvzBJepdZ80QBVvJRCyG9C
KnWu0+VSvyZNoEJ+SJfjohub5EOEen3Igkjo4qIYltb2gwNM5VLOdr5Y2oBlkEWPbeVGu9/jImHa
F4UZ25/iDbRHd6yMi6VRR2/4imp+7FRwnvBCjBpqz7LFOo83iTqkcxzKkHAcbpIXaDGNf4rHY6/O
DRBfl/wOyxcDh6aA1+mxFS1yzMn9RAfAtIPpLMR9zEisDMvAfhDVjaHrDt1Q4OVGxYicTlolwJ2V
5YpirMjEr2YxORjErhMoUicf+10aKJ0uNQvrZQUzI7DI4Z1CsUsOWaFc7phP8Vc4dmfry2ehzBp7
sLgZ2CLrognPF6gQ3kxNBN5RTcAiitFFzDCka/VDTCTraNCabQ7zFWg9vjYyrbFW482zBzukCYtE
0GIq6wZPPulT3GpztvTMKt3ket0+89rFihq7ZW3b9CecxH/Fjnn7LE3gLkLDClfUqeqnZ6FGBx64
Znk2Rue27JoE+P+2WMlUTHu6eOkwbgb8JKgWVzjKzboc6G0F82XAiksEKAplI9S9gf3qSMGi4tCb
6rUsuHSioMca6NrTeHiLl2sbwMRx8AtPvBqTUd7azWDg+BDeSJAGYNGyh8rsQuhFDsNINF8vWMJx
rNWaEnY6jRUtI9kbQdqWPSQUGjtaDuDuLiT0YINwPpfMgOJcV15x8IBTsZYcHq87BucVa0nNIKOB
3qR9jvaijB4ogTp4ysV2Tz61y7Dl9lp3m/5Od62fcANQr0JE9UIftfZIGhNdUctgADImcGKvvh2V
+1rZnfYIBF+y8xpYZlC1Bft+CbgBuBAwSnzsGGQDQmmByT8n25O47XmR341Twr/AAteek2jAIrJf
qUYD2nrhLKhq4nz/MiBVtRLibfCm9mlQCs2DSjBm7pTq+ZfCuqE7//4pB45ZGw366VNSFfaj6YdP
qTMQSQB7vAxogRxcldHT758yiadwkSV5D5ckLM/Ton0bMjGtaMVOa3yKU+k/Yqr63PXaH89c+OTY
Nk4MuByhGQFke2dUQDp2CsScMbL2olIxMED/tGpimE3/8lQLFlbRly+D61jbqgndoMrq6iXtyp+A
w+BtnIzjKS3DHxpEfV/KTvAAE0O2peoGj8ZfXfswxfp07orlwE+7E+oE+alhC6nXcoM/gLG7XiZg
kHdl1dvOkoL4SUIfn4pxq8sahkj/5BsGIEJhi21RvU8YBBKaBdegmweHWSBNCl9i63fvzdYuWYOf
wQFPf2ixK92IVpEAHaUaebFWhVvfglFYbCD2ie9EDKNgH6f0zW1Z5dVmENC0iGfqvpoEWqSy2w3Q
8tmvIPWm7BSkNTyMU/+SSEOowZ0gHRDDNHXA5laZmXeiKKunoRuAgoVZdOIYzjLVLbGFx8uHeDoB
bQX4htg6c3zCGhaL3vFVzHHK75yk2gEK4/mkNtoCH52YGtuSHulVgHTE4w6n8LOMyHsK6ZGyDML2
TLSYOfhg7UDpPYBwtbEGotwJvNTwAsyF2lMbs/YEGmRznGXxQp7AkJ4avBZGC3Vu6BvBGkgCJoao
A7eBiWWiykObyxxvqLnYly30aByc0VHMGgs0V/izBh8y43A8gLY9bahZTg7YCXPnz9m9J7oFNoKL
ICpc3IHaPxSpE3U3JIQARvObpbU28GbjuLCmsdtQdXLHEsxrW/epWkgHJxDeq+Pa7flTPmbT9r3e
u7/y41wlC4D9K5xOTbBr3wo+TrdRZmlQJI5vJePTLYXo4lkA2Xrgf/jXGKVMpgNQD0S4Amq4dsPT
MfTxteWrayyfB1WF8aWDJOnuOlKrpH5rQrYCDt3RzXWgOnG8Q4Kt8WuISpHLBJy22ffr0BS3Hexr
TkbdLqg6JUD6wdALj+NR2eNlFGqhG7J+hi60VrehGI1Fn7Ack60LkdXDdXhPz7WbGKuv9z8LZQoH
4kSJNX74S9HQGjx11jiJnCDEAc6mXkd8l+YC4CQQDL46k7HthwSmjVCMWnRNNH1PSi3xmQZ1CMOF
RbELANAp9kBIGBoN4nY4ezg0ZlutYhOHJdIbqoWskulF79i5asYhwjmuDwZQAq0XBwoTaek8g6E4
QkDAsO/6VJorZ3DhtFv2cIdSZbvWAEs5qTpLggJLLaO01Drv4WFjmUNq+FRsVL52uJD7D7Fszhkh
Qq2XhbWntHpWeqI4tr3LlQ4/BqwqpwX3oDiMA6TRz8tGezGE/Rqq1nib0mYn3XGKfGxEYP+psmDa
HP1sIXMAzZo+3oXQAX8L++KVY+H22kJNDyj42LypwT3UZ5KvqxUlUBVJ57dE0aVgRtvthn6jZVO1
cytwie350knd/o+zQYv9S1bEhp6I40CQ13I5LH8/nYTErZWmxlT1p0zHppI5083LDkoVoaygwdfp
mbfuimQTt6zft1UHH6trcyimmOFYtDEOWGkFsB+EIHJTDoFK9f4+HhxxHo0XLLH7+y4s+vsW+zAL
u876DVUNQ9l7s+HQnJlbHWjE30N+FHKUMT9Sr0yW3ipt9Efsi6c+hWSR52fTfqYK3Wds1MdRYzwJ
AmGAPB0LVh1k21at32AeePCwsXCgUjq38Dw7p3YWrql2yaMuVKc8dyhfZdzX+FJo46oUEGwrsdB8
MZkF4IZonnD40e2aXB+xTe8ZL5E2vtlGLe5YFVe344S1lDV0xkuqBrao4QiwB51QfMlYsaFxaFgd
MNJ12H9xi91gZtq0SidotI+pVRw0DVv3NVzRG6ggGUeK0aXAfBRf3JmvOCdf+lELdS4k0xp/7l1k
vIN95jxsmRbuZnJh8zkKBYtDbG2Msu187AZoJ63u7L2M8L9IDV7+LZqAwDWTJl6xwmZbbqXs/g8d
G4PZe3tssVlZsuGVD2884b5dTckNwWurWawdMhx8M7jAhF4ht9QAPVOoFQoPe9TvWFxq+H0QanR4
F34epGZ2tpde9sowr1Rg2jx1E0DWePdj/T2/y+d4P8eHOe79Fr/mQzHnQ745WPpTOWFPWnOFthQ9
v4xzzafxndyK8bFzHAPadpkHkVWs89geIaNku8aK+OAX2/K5JbaGcUtc76ztIQDaMez8RQcr9sqn
RsXjSglmbou4jM95xBo/UXb+9p7BXbANKCPEuvNcGBCtpwyoSx2wCfKXMSRLg0iJQxpyd0sTIEBu
4WM5z49yVTwCZOpuB0Pr4+VcFXOaIofn95QPMTKFfu92sX72sHBYhnjsw2XBtuMsuHirwSi0DFJg
Y5cRea8JrcpvK+tMxHCyWusSlZ/COS2e00Sr7CPEmCKQ9FM+QoSnHW9GyVvtviqcaAOqHsdkcCq1
nff7xfLcI8hpzfoatwro00A+KwKFFnS4nVMJCB82u7ieWaQkzBnxmXk6008dEgGlINWp5MnjMPbO
EdY/ITOym3qy2U2KVxMEOHhkBa5ZZwEF6QI1IrTAf8Xu6+wmSiHeQXEctUHLY+4gWL/puwR3fz81
pCWEMTIb5zg4Fq79S5nCua3lOGcd3OXflxxjCTnHugcHMzbEDBQf6y6YmO7gpC2pbAgkol5pPQwe
zVDzgYiElC2E4sFh7JU/eZq3NDMJayaqU1M/jvWRSngWdnuPq0VCrdQAreZfrVQFjP1cO+HeizOg
u5L5hz9fCtbPRJRw0BeAMYcBBZkjk5u+5Lik/oC3Gp7/tvCT1MrqBSR/oD6IxT75pxiTVYA8Jds1
VXWAbPYmfoJ+DM+Rc8iOYSjaGhon4IBeL9hLrIIitLNFpL03t6IFT7SaMDmmTKpfSpM1j1HkD1of
1WsOebndiLN2Q2JL0IXlR8QO+tiah2JIgOmiIvYeZCArY1qY8AYGEv7aXktmHipAJf0y7PXlh3bI
M/3TX4rk7MZjsfnQTB0/1HFo4g/Qbt4Lm8D28y3ADDUvH4buCO+vbhdxC4dE70NfPmUPoda1Ozgv
n3pQtaR/CM5foqVZ1NFibABMYswxfQhrG7d0YXoXHtPa8ltVmpcQxTPXjLZVjqnZtaGeU5y2kctJ
gu3m6ZPlAD6EoFtww0/GHgJM88gAuVf+30/PXPczTNbxYEgPZ2bTcSzd+AyTVcLJzAbAhxN42CBc
wNLxlgGfshlsb8C814EVTzHxILOa9DHnOIsW0D/7EcHADtjbn2PfPVmGEz2bRiSCocMTMGJxthAZ
drKtsRXHdNaeVAzC2Q1/1JXX3nTKxY9yDtuDlQLZPsoVValT8uOXRmazrQDs/TK61b5NhHuqcWx5
rVFb3EPPd26TnhGvMKkCMHXmhNOFN+YLpgX9NmHS2YVtrvbYHYP6NhjF2GLuoInvQF8vM9r0u5Q/
ANEuvxnK4nBPKMebZOIjyAxsXAIuqD3h+3zouZd+16IaGC3NeejY+DA6caHuwDUYtrYxQt4yATIo
9HIDENRJP/CC64dPVcgGTf8BaDI/A5osx/UM7KQzB/AAyyRdpg+ydqGh8BXHvOJBgZMHmWjjEA9D
9YK5hFp1fAJPRSXVi96yZVToxhenG8UBbkbDQuuR5s7ICQGIzHHkOgi+6G6X09ZVuVl906Mac1kF
+oarWNBbvfkltw7QWG1ecCS7w65v+YWrZNiJwoH30mR4//H9NEzj0xfUcl0oQMEsB6IOBmf6J1Up
+A87kQy76MEt6yXrkofOYwn48kV7H+lsgz0d96mDrsbO7CwAHGC7+BRBdDVoYeuwo9bES7ZJPVb3
qgFOXQdPi7LqqZ02YwgRlocOwiynhk35IYJrd6AnevyNuZMvc8t6cWVUrYDwbrYqgq6bllSPlCB1
rOgYjMRO0KfPg1ZAy71UWaDruTwzzynOjYijjSt1ubjGsA5KF47ew1Z6TqGGsU8X3DLEyRRxvY7d
xoD9IGTiIBT/RglSFCMI0NLwORwzDtyrEnOF81m1gsJv7OOBNLQ+lC+eIIMLDEjhOS8QUVpi2osd
ex3y8q4J4yG7Hr1HRwdje44XvTUtPd52W5XbYlfFCgxKtcvmH+Y4yRRfB6z9qOoadbHiYynWJApb
RQ30oRzIDsCIynmE2puNF/TTCJ3AvYl/bKiyby6H5ekyZoCmhrMuZuKEbwPPinNcNKfEgCSPDcEQ
vywz/aGZNC/o5Vjf1iBsrLXY5btuSqZ9VA3l2s2T/GRk2j4yAVuI6io9DGPQ6XZ/6JxmOFAJ0Pdf
JYqBdIWdPsuEeDXPW5AFoff99+cmnJb/9b308JObOQY6Hpz/ghE2SrSjlHn8gFPpfF8I2zy6rNuU
ZCVF1TGF3FMcwjkqLFJ2zJt2k6u8ucugfXgbRXIB4HR/krmnllJa/SnK8H9GJYp9aG0cmMHVvbdo
zZzfC9kurRkIAsH68TDBOd0352oDSYF1A8Tkilq7ZiwXlQtVKWod9W6f51Z+BgsB550jQJthbuya
xDRuasuJ70U2ZJtSdv3CYV18H9fFeHAq71tYFb7o9fxL2NXOnTCiA/Z7tcdMh7lyBmNyn6rCbrq1
CdmcJVVr7G5DxDCZ4FOL5DgZflSFZkH5+v8o+7LuRnlm61/EWhIgELee4jl2nLFvWOmkGzFIzAj4
9d9GztPu7vOe5/3ODYsqlSCDDVLVrr1hTVeE9gTf8sTPxmddIP10LgB2azZ5ONE5Fe3SvBEA10vn
nI1855lPmK7nwNbKJz3E/n1Tee8myutr7K6nSYw2sxE6Z82m9rWbHlBrvygXhHFRCJJUCPWVW+yj
IKtF7fyV4uvvDBUIK4gNTAaSL5Du8YvXfASGhIS6XhHeofuBYW+yg/gS29EuBlqoHvMCvASgrg1p
IMXiNp4r+mEnBbC/NOiqXROxOygCoYNm+q8HsV+d/ZS/U+lDmeWXK+zZO3p2sLw2BBXKsq+mmWTC
frmG3gXu2qgDDYqDP7bohk0BvUDQkeIOJniMFLoTh0mFfLphDnDuqgUHBUTWcugW8O4zsFg5G+o0
eiIAZ0AeKasObSTaLRL+/R2UItS5CsUArb+Yv6VtduSyoD/RUQa8iFAfqQTO25dWCHmDwlq62OcA
CtFnO4XH9GpEnfeB+SWq+fj8vmcl26SJ678IT23xX3YPosnYoS18nE1mT5Q/wz46WBqfFwEZG0E2
HAtmvvRGh756fVIijZc4E9+sfuh/FiFKf1AzYZ8gFZqPjvbeq5LZoOBw+3tHyHiLHw4CyCgJPppY
JZJyVvo26FO0W+3JdCgq3jazzmqRzsDDqEpIcmesa8iIIqxWUdqfQw4BSDCy2ateOu3CfFPM98Nu
5JxUJT+hPbc8N+bzBu2W8Wurhq7BZThm3eG2VwM7SLVCf5aem11bORwTzZxliyLoiygh3zF9GN0U
eys7sHLIHxSgn6oLDni5nas7HpXV6nofxmKy8bsUSjYR+lAbsG4tojIbHyRKEa5VPpo3dea+FVze
DBAtlI9m4YQwMwIJznrvSTl9YeLA/xZYDyDDADN0LSC70Y/lT9fFBntEd3Xgq2cm2/adVcCVhmmS
vWXhc2vvnWb05kGZFmsvBM9CL6twRUvE6DYZn3Mat4ucUftej0OypspJt5CHjA9IXfJl3IXNpc3R
AwFdofi9RiZv+nQVXZaeizhxnkQmwUb1jzWQdJvLgEAbZMTbYape2CAhWvIwEot4Mp1pS34bGHkm
FnifoMDRTTv2W7QJNFMy9D/FSdkvNYoWWwisgXtxOovKrlqME02dSUMYZrkb0dw1K9GSnZdCX9L4
eWarOX5Bd2ZpPNK7VkcbHfnk7WfA9fjWEx1v7FLqpSUK+pZm5Xl08vhS85gcQAAIdoEpOKsiMWdD
3h+QGMsueDBA3QvxkLbtlzwr0pmfRgz4XGRshS2K+TiiN63uny2mvE9RQ76EllF0AWLUvuu6Id94
2GupnDQ7K3EzCINE/iFKAMgxZ8anJ188+cyZ8cUc0nGAp5//P2L//ZqWLn+/o7melVjPUgpg1yfC
Qy8e9H0MqcSrNdEZuqK016mCUqPxmQPYV8SCTqwCN1/vWidnEjQF9BtAfRUXYDREsrhH10GIbeIa
uMhobafO+Cib4K3Wpfz4rwEZ8HVo2Z15yk4+kbHdiBIpdFDcABJB/XRv5zI8kKhUiyFJmncLArCd
JZNPv0LpZcQq66xyDZ4CDYx4L/P4MZDokqwd4d43IWEzWjUMGw8UV2Kp8iclIgePSzfdGJNAx3sB
/evuLqZR8SSzMMHDO4tWZtSV3ngHsTl7YUa9EJIxHZK4cxWjkT+XXojiD16FBdbU+M71A+qHff4d
LKazLpTeJ5RSgXQOU++SA1p414NGbWNigxRk4j6ghX/FFkDQXsoptptig6D0V/++lvL+3oMife4w
6GsxyrkXMDJxuv22gWkbGpNAtPbl+m5D8e2ugIjfirBWPJaojs5AUp/+GJIP9LtUH9AcwB9cufm5
T4EoRm0bDSdlX56Tsknmfus3H7z6dp0ChD4U6lLrwmTDVyBhrLcOXh1Hl4/pIm6q5Bvv6rWJtQZ1
P+BL+72PIdTDK15daE/ZOi+sdUop9BvA9EhAC/oOxZHHjlL1GBZoQQiwTVwavw01z4yqd90OAm9C
1W3awN+DKFPsdNi7SzBdJSfLrb7OhsmnIys+qdR1l8N0FoVvue2getzYydKQyOCz284qvypQ6WDu
oy1rqHhBdTzWyK6asFGQ9r8sbykP/qxqMMcOqEd8Aoo9lDcI+jP+/KcQnWfYanZ477UpdrWt125o
U0cncAGMcw86N+9pXS2g95398FjyI3Wb9ilxRboqQYC2w2x64LbtLCwOcPmYqSNYDD/HUSd4XINl
aYhY/ELBj7ssBpA9GdP1wWckOr8+GBPfl4Xi3LoUyCY9uKN/jRK1W+5d7YGRwOuhatjLcVMP39AG
5T2hGaI7gaH3EU2YxUtfyXDjaA6eAOnlL8IqJBg6SYqtF0aLLn6xrUtbOuKSQKDjQq37ptcCL154
GqAfV7Qfo6Vw8SXFlu06SPpSrgWWKLPAztI9NlZfh77oX8qO4j2ddukerGHJdRCwRF3PbrYZNtOA
2YOqgxP5y5LlKM7TYDwqwIbnwN/nWONKOYe0HX/uSWnP2JCNry7IgrHziupvVqM/iFer77kkl3as
08+iCHeChPFPXRcrm/SJmEmfgObdRe0+kViEoqO8IVmFL9OoXzjIY8oSPIlgI7YeWpRQjRsYQmDL
e+uZsHrfdZ3O75g39geg0Olm8ilU6vUCq1wINAIAD8wWqoc0/OBhGM9ZBoH3DDrC6wTt7GvCafvA
wZg0M2I8FKxyIEf6O5T3Eo9aUNqgWwrxwD39Fe+LBIR106XtmPO1Daan66X/CE2ciD1GLf+Ix4rs
hWyHJWl9NKwp52celN4Ppp8z0qnPvI0oWkVIdrGwiZwVY/zUCweVOt8ONlXUpI85c9u7eETTagcc
+SOgQSgk2tY9ce2hRn5IrNHMWZwK1uZz2y3lHcpn9b229B790WpnLJ8KaCoURYf1VePcgS7/Lcss
8kz7/p1NygJgZcFDRrgfQA85s7pq44ublHzVEulvRZ70YCuKE7DXYNKISUaOoAcBSdHrr0k66vCm
aJCCNvxbaccfwsJREMjOxQVrarUJxMivg39G2Ej6HaAwfBoci+4zoGel6kAa+sv0Sxf7VtEU9t5r
+wOxRV8vSGFb3TGPaXF2k6ajd60FuQJWltiM9cS7Dz1v3AGAuDcu5OorKCZm9bCEUHgwj1vLu4+m
gwlWPj6hYHASm0FntT/TVhUhh4NOOOQ6z0aQEGT+W8LAiGJcloUUqMDDx4wZF8D28baGvMVvk+gQ
uMsKzXIAQ+FCpMkW4HZFbb9uD8QN2T0IKhj+lTiUduPhu1c7c7SP0XVPkUUxT4K4iUDn1vvtyioq
ceG2KM8OKszmyWAOGUS8FkFA2pWZEPGyOIf09whzDZnnbNnJbzaeto88Empb9nhDX82mAVNmX0NW
SqG7KhDLtmTpoxlzvfSpBXLpaCy/Gss5tmSbBjI6JyjAhEusPtATrqFAMPezoplVkJzZXO1GvbEx
5afBtZKHpHXHXdKxt+vYba4ZBYo6RQfDP/OND9rdwz1KL4CDE1B5ce+7zvEjJzqqHpo0Lu9AZANe
2tFJj9AqwRMauGT0VbBn8wFFDhHIuH8mSYeUD2EWIH2NJkus8eXRK6xdF4WoYU0HyZN8MVoqWKIx
oDrSNkufBU/mbVt6l7ovxTOEANshfZbQPLyAugnalwhR0dCcURremgmEVNm9h/dEHtjJZUS16BJO
XOhIPUdbYxaM811VpJ/G6qcIzXI5S4Bu3SUsXkRdLlYNT9CAyLL4nHRjMid+6X+wZGOeXUCrk5lT
se5BjbaFTgCEeq0nrqE5iuwfwbhumzQFyMqHvgk2LwoaaUtVAIPdSNt+UnRAfTChgGT/Gr2Z0poY
LW/B01yHF4csjtAS1UUeOBIs+81x0DGNR3B+gHBTdUmUPBm/RXu0WnGVbJoyqN8ACIAYYrIkea7W
bVuB+m4QFQDr1hpdyvbPkg13dUrYe52W1kz1pf/QB9WwYqAbhuQgpF3bPscCJMrWcciyNVPEeXJ5
2AGCK+TarpTzhBwmYArV8DWayVQvFDLiCxLa6WJQZY/eLeTs0Tedrq2++90MJrOa8vs5a75Gb6aZ
W7hZe8kLvBy14DvHkQ6orQW4mgYRvsUg/UJ2cPjscv8Hcrj+I/omvFWc59m2qyrn3m/BXAJGW/t7
on+YSDsrhxkKLPgP5qFzBw3Gfl6hqRDMwOiEKtGcPC8m0/iiVHyd/bsPubTZGAE8gVWGN0dmR+BR
ia5pEOnilDOvnGvVg8sQ9elDhBaIgzkzB4nl59IfoIVANKkfWts+ekTlr7q0ijVFR9OyKWj+6gPg
M0vKnB+krOJnNIrPTFjEcxeoRyQFuwEqBKbGq8uCQhAY1By+zfpv6LbngDAQfbSh93UyA6Y3kYDD
ccZr62sAGYBypibQuBm4zTADATRr0tGVZ8Fr/gDs8wZLN340VgheclDaI39tTHOw6uYZS8fnAY/5
WSXkT29C3uAB6V4Z/k0rLBSxoE/Sxpubv47TU+4DjUcs0DdYxLcfkeRC2wLxvB/gKKN5+INBdWYW
dy5/JBaEMJ0Y+ZQcO+QucOeNEtarZsEDOpX8n0H/WZax9emh8jur8Ld6QmUgWoKkSh1zh/Ub8OfO
OZKGWyaVPMSR4FiTyvG15nSvrdD7JLq4WDxPX8IYj18ae1tHTNvvvFDQ+c3XoDGdWMEluOt0DlLg
VJ+QIg+/YWdAkCDJy6fc5d1iwHrkJHudzezGfqnBdHoyhwq13ZWfldX85jNno04XI+TLDzd/z1q6
VFCfWZS/5ptRN94BCanv8w6f9Rkg08EclOgQi3PtOcU2UM6DIPsuiXag0tmOD2E8ZAcLTduj440P
xkV60i6YHXXIGiPCDKC8MGu7wTnRKayC4NqauTSctrAdaLzxHJKg7omKhJyIRqEsCNtwkcS++i4e
BVPd97iP2QIUfP5O9GVx0uDphpKV3X0nGmiA0CPbKqvLFZQWi3CObF0LFpjpNCVusq6GYsdIDDPE
MnPHp4M5M4Hm7Dps5UO3CzJ00oGLP0rXkaV2reu1SxUI/2CJ0p8PGWuWYwqkG9Iu/9jAzNdLBpTv
vvQnHh00c+/b3EtesipeOyoLHlQwkEtd2ku8+5IXqxXRAa3SUJ2cTD+lDJmSDGJdg0pfQM0aLwAC
tjdm1Hacb00Sd/dm0EfmyYGukLYScVY6Rb8Q4fGTqgnkOVwrP6VYq0H6yU73oaLZtgkdIE+7wjq0
iceWFHXqB/QgkHnpyv6lIwlAckDCf1iuWie9P+ADmG0DvwDoj1J5bw+0ePegAzbrRew+xbUFZHre
+aeRBXRlaU3244h+Zx1xscF/rj0kORbxeS29cyI8f9476KlvweyRJ6LeR5LUe3N2O/ihX66qAE+M
GkluZ+GKGk15MToiOuy3yB3YVr7soiX5sTVBxglstlpUkxM7hmZfV9ljRAr8bQC7fyDAbjx0vf8e
S42NTFT4D6MPwFzK0p/GMgeAc9nMYWG5MfEJNJWPoZNd4wHW8h+Q9wJhLMDhdyr3mzkHlcAWfFbD
gpQk34L9rHtl9dqInNfMBvF/36hllwyAf+fxe4Dm6LOfgO4WQJoBXRQqhYqul7+hxkoXrefE277s
g9e4nvmTe2wZ2Qy8CBdXkzQ/oy7sTh3g3ngqVZ8cS4M3r5Ux6DoT1J1R5X/r2LIPBHlVTpVvUxef
BOOuUKMGebNP70lLBtCW61dU0Wts3Ljec2dol6Po6FpiK/4ahnrZV6p4wtergR7LpJdcjuxV+1wu
bD/vt10qvNdBL8Bdmb+WHcmBGI8A5JrcdZhm8xYpkH2cBqBthhbVMkSS9LnHy/65gCrj2RvLe+Ny
BZrJbOytQPuJCD6GyRryVtF1QlzHaNzAq39tRk2cNxblXe0DMhiW42ssRI++bhufr+mQovSjojY/
6TT2z17bqKOgUFr/FVBUjb/xAVpBz/c/kyDHU63AXwQKbnS4JHPap1iy0y66M1cxgX4qf+btaEMm
BdOMX7jVQtlthQ47N4P6tYc23hAaW3sPW2jkVNBPvByyDLpint2rBdjiuj3yt8JdQb15TdnYb4xv
hJa7dT01c8IE7F9mxFzNnOkYPMkSOxj01LanSILTarCE/uYwGc/xS4tjpGl4UtQFL+M0AEWwfO5T
azi0gLafg7H56eRaf0OxpZ0DZJQeKl5Y5yq2v18v1E4ra3lp0Zou+HhE/stb+ok15Qj68VgBGA2K
lek0KZpnpYna/OaLLAmNcB7tzNwB6n3egiQOile+DfmyaVrkdHwVVHWA72NQnanvz2ktxf2Nt2ly
EeZH6NyBloTxE8jYmCjjGhkq1zZKjncomeVYjtd0Ztcj3wRIXF8qAq1LMG3h9eTTpACYM3+mFgv3
12Bf1Wu7HZq5L9q0QL+PvcCVu5MZlYUfraByl6Kk3OQXKZLswXWBAZpCZaO/I4P8Yntpcb2zdKr2
6MYMlXLc2FyhyouvH+Z6QRrL6w9jTHNA/9VvP1AFMBw66u1mbm5prvTnD9X67T5qosMogvQERozs
hA4GLB6QzuriMTvd/G1NwTYhw2J1G+BiKI9xzmcmzPizjCRzVE5tiGngkVjaSCh2Fs+wiYEZjEwe
0J35ALBzh0pDhWUn8kHx2oz6LgnvZZNA+qnZ5UpXWwkG09kItvIlELrQoEPzZb8UifDv2hGr9DAX
8apWLmRApkOfhdmiBM/Rb74soOkikSJbgVfXvudDtgSDLIpQTlU/e419QWdh/OnG9BHqyMA9kgia
GljubIGUiU+xcLCuniI0fqEiJx+0ZpN6QdPeBzaSHACyxavYs63nPHFOVaLjT8r4C0NW8qkDr90K
BELVyo6dU5k34p6zolhE4MR4VTE72VqEPyqnWlmq6d+1J8o5+lnLM83K8G7I5LAxk8AHVywye0QP
HCapvA9/dE2x8uty+G2SdOLwTk+TQLMm7nVMALucJv26kz/EKw2Espu91cFAl7aVBlvfxne91FhL
N3EqP3QULP89YkBE9b9dIwT28ANUx9drpL21GL0ogwjgW59Z8mQONpoFT2UYqwUo2JqlpCmfJH9b
cY8wYNaw3jdxUkgAmaoZOFCbI8q6wObkTfZsZSAGURalP5JsKxUoeZCSf2lYHr6wkWSL3kV7IB2s
ek0toKTMbP/X7GCaTUhm/5odcIC4BqQ98Pgb1w2g7TOwqwJbgjZvPIyc7EQjhnb5aSCZ2kSLnuAz
CzEGWWTkzmoTtkR1Lpk3mV06C/uhjtEfkNorwep0TWiTvnH+ZLYsVY8FTA7hcKy7/fTN+939R7TZ
x5joRFPwjtflWxs1zN3gear2zXRwc0ssa3B9YTSv1lQG2DBFeHxgfZdmDzSpnTvWK3ZniqUjzT98
gie4KapCcek3C9JLHyBKjo4GnTZFGktUbf+hrEuArcg9EFUASbXVfMQe4gUFW3sHcFl+NVsN1agB
PLxrM2q56VOaaf8UtIpd7FbddXbgvcRQXtwWdunN2yxB3rL36FxPP68pdZpapjmQJgatNXXSWUcn
NHLhePXVNoGm3mkX6JyA+B5WwBD6QPowY0hwBcmZDPmCp8y9GJcHWB5QtrLYJVMEkR3KTn9OiJhc
aDQgXCImqmViQ0oSJHgjVoRk3Ech5Ieh506RuMLnupEX7WTsvScW+HgakFGrsu6O+ADgjSHkm2aD
BoaDiAvSFsOidoJ+ZVKWdiCTcy1cAEYmFYLbKFgW46UXO+hHB00/dlIAL0CftHgtW/1IQAh87iWx
ztwPTz34gF5BTxSgxG+xpYmysT2adWCkOdZuOkIUGYANPThoKcUlPAWGEOLzcgFwQPGaZhYKAK2F
rMhk+ucAF9uWABovWmQJt4XOvw4lFk+g8v1l09z7Gqm4ix1g6cglNv/+9jZP1YIjI9QfbQVEQonc
GRoF0uqhww7oHMiHsNfVg/FkOa/WygfDvjHNwAiZ0VmhYnttfOag0NA2YOPM0g7tNuCOgNhVmUfz
kXO1ycuumEUQLTubg+ZhutcgSE94VIBHaqj1vW1j8WVMit6dVZbaALC5NVs4MTRCqR27/SwpguZg
DmWuWoizk/4uCoJP4wonodLf4vwwiXf5xMwyxZqQDLmcTUIi7D8o32KnOAKWnoZ8aw7819nfIyZc
eEM2Z3gfzk208Zmza/QQt85d5POtE+XxLgK76s6c/Sfz/+QLks6aQbktWdyupzRAC1lIHiw56IM5
ICWhD/lEMFk4+OWkAinnr8Hg15nxDQRb2Mzy5ibezASuGKSR5pRooN1kXs1MrJmqWWQDHKwEOgVk
RJ2loSFpJkKSyBnDRVsJAXwJ2Ea8etKN9+NubNFTT3FuApAfjK4Bbul0SEU7HD2SKmwO2NjIh5hY
KcTCwNDAObBXDZGbkHhkZrupv0/w3i+iPABot0YneuuLVxQtx1lbBfqgkUh9CcNdjS8mqDRoss/t
KVkpivi1y9EpS8CuvjFm2PZ7dAKRhxZaaFis06k8K0FI/C10en0vFeoyXgX9OWOygibeLGyt15iD
zt74fM31fTAdpFNsLJQ5dsYy/l6k8gj+/5kFsMBLHJdiN6I/ZG7MtuJ8URDO1lioOihBkkdwl/BT
Dk6a3CcLOmQcykG5hna7q8MNGs0eKjvHpKHtY1CWq60N0uGdi00IXht6pDsoWpDdOa26l7aDGvjg
6OgBpI36DEiDVfPoQcVZ9JAnrdghf/VpxvUUVLZptuo4x99/ijADApwh9Fwk/hMylsUJ4OLoOe8v
6VTBRKeXOtYEPb7GHEiTrwcAZZbGDKZEhEgdQK6m4OkSICbrwLepg2Vc0nwBhT76aqX9dfU01nrl
QDr4vYcQ3JzFY34O+8i6wxasR9OtE9+nvyaBcOU6KR/66yQHaR2Fldf0AjBvDAkuOTsQ8mwsJ9Px
opExRT0U7xTGO7VD328xMxOMT4GQ7DZhiKrTFd3UuvKpiZIPSdLxW5WGACTaDaiW3Zadkcr6LKZM
pQ+E57yzGnXowGN9boXzw8TbDa3mkYPy1qii7lxyCFaYAUFIMS/6GsCauCjOUMEUszEGr7xQPFhR
pMv35qD66AgpE9QZefflMn5j1izXkPEaVLOgEiTwf8WgUxm9E6GG9rwn+dLMk2lVA1EEulc96zn9
PowNcPCufG21N+WNsFIuKYVmdqfJRsaWPEa+wCaPJuGTbEUKuide/2gIFsgT4P6P2X7liutsAYzq
b7O7Jqpm2HUMC5OEsdMyP8ZumB+rgdqgAsTisgNYn85MOqZshLdsHPrRBJALguaQfx9jo792pa/X
WDChpO4IvKfRKPAY9Ay6qv3G8GoxSHdCzZy+VdNE4KlRCIR+9XWiaIfuFCTYtvY8yHd5Bi3QCtl7
ivYagZ/EH8/oZ9Vo3Z3WfsSvrr528l3Xh/gLn41pBjOUiTaRm2hw+S7LmPunK2IyiX+3Wr6wSsVP
N0QkPANEwGodF/dgQ05AC03klwCd0w/LGjidq05dG5JNgcz7xYSFOaqGwE9CxMpN2Twq8zntPPuJ
SfxthTPovSmDOH+aZhQpS73vU4UGEafFG0C6zwMp0ifUe7GydGskoFQiHgvlfAA9Jz8AtXt2Svsr
wLZAaTTGDlgso/pcopZ1GpqLV1EI8v3ydAJw9giKZmYclhmqaRveOXqwZjz2Ee4hMQQ0i1pnE0CU
ke7LV8SFWhsTAl2/+0DtiuxVedQ64Q9xm211geK3sXowu66rPsYrsAHx6Zxp/jaGUu7NqO3XBVCZ
NtK5XgfQ0VTb6chAN8Y0C2ljCh+jN9OMKg849pqlB8exT0zY9X2K2+z8ql0bXlHjMmegM7N2MoI+
VwXCKkvpEo/qRKxByRCvgTHvHwOaf2sFcKp5xt9UE4yPJoBoEa+7shoesc27BkDs/K0EMu8aYK4g
0OY5C5tQ7f9nFBgQxRq7zq/L+LiPYcP6dZlbgPlBwH/5zXZkccHOCqoWtYUGtSyD0JfjpdiZ2Qx4
DfSHQY9pcqa9vSoUKzd/+c2g8V2nGTvk9t2obNu7ayWl6IWA+rzwsDZxIAf0htYwfybtPj0GHRod
sbR81UjJ/ztm66+mZwbEpuswx0fPCfUpajF/wYNKrxwo+h7idesPLyjRbEeQIZ5K9A/xGUG1d9Y0
dn53tdE3ofZTDCptb9gQeigdlPQcRUMIxNpIrmfGl7syXJgzUdchevDCf0ZTbCljnSRLs8EdUiJP
2BEBv2Exub7tkAdI2+xSWT+YiJp7/6UhBQy3fwD/mUMD3+fcdagP0BqgUX81pFgWd6peAgQSF4Ru
+4wjqV+HS2pnxVGhEZ8vGqR2FnWYD8BdTvYAPqyD0hcbjGXH1i2wFqp1RuZeCAaiqx3EqEEEZEQm
vf0npqqbCPqM6K5zVOEfBdrC1hWV+q4L0+ARykFYLVnjB9pWHjOsvZ+GIgjwbm67DRDsHghgeT9D
QZl8RE0DrgBRv4XCLpZjmzg7ngchuBVqqPuOevzgSE8BVP/hhSBIlxVqZCAaQ+rfZXzh5Kz6Vk4t
sC7ulka1NwuYtk74h2fzCJi7tRtkF0dm0dZxsgT7XRxIBclhofDIb/uRLwH0j68+M4qSawvkkBOh
6bJr3JlxCjx1wb/KDlef6uN0BmSzvYk0+I3RnBCvlMo80NFgNTBzYg3NBVaGZ3OwhT+rPSlOxhp9
UKx5rN/doCKsgzhmnbnB7HqRngtAPIrWX94uwvDpm1FkmK8Xzsqy3HgNeCHUgFaYgUbDCrlt6ixU
Qosj8mtYzaRQWpDowjwWk6+RiaT4o6NgCYGr9TXajLhN8hL6bQDVqmnuNMMcjOm1LuRLoQloXNeL
mFOsSDe0a5wt8Rxc2PjMVQLbec69GJ2ySbLrxlAc+18HG4m1o6UlWkcbu139NWBMETWgmC4BWDam
mXGLcz0QrkhtH//y38wWBBV+oNz9f5quPZSlmMTy3UzwW6DThUDxwUgqmQOpfJDPC7mLvEkA6ibU
NA2E08DNdZVjYgeJVKki36xc9u9oAWazui76e+qC6w8w/G5uBkaJXHjK1ZPPxhISixkyA3Yh36Wa
mXEOmi8QXDhrAg7bYyr75uj3Pg54tKCpBg1DbDJ5knB3AQYNb0b8qF6xKPXdhZlDSlCz0srauJzb
dGbCAccvj+LOXM44rmOQSvE2rtecrkHmGgp4vFUKDCyW8Lh5V8tsrRxo0CLv0ySXolv7NrkvCyDr
6zRn57Hn7jl11oVLUbWdDGA+ggNgMBtjtVOQ1+HLh7eKhKgETONzO4+tpMLW0phmAMWcApKFYba6
+exM6ZnlanW9nrloAeKVXufW/nYLJOlagOPOlTMyYPOd8VBE3bbx4m066HQvLDv0sA8Uw3JEv84c
iHrnvguJc2/OSgk9bc/mwx1U3BBonKDJXNVAhe6vPt9KGkDR2J0ZvPrQjABJuVa5YDqfbmCGatbb
c5AUs6Uxf7tL1j1afVptoWf6dXc56vge6i5FX2EpZEKLfCg3Tic+rz5Q3h7+/d0Y/NmQyWgAZnTm
UYK+TIegf3FqHfsNz2yDMoaHKMKdKIh6Qc+Dl2Pne1tzRn+d3XwN8LsRKH/X/yn2Fnab/3/ygUgV
nBtZv406yAYk0QjUadBDHcDY/nTWJtkj9jTh6i+/iTC+6zRjc1DrIoU0Xew2bi6jPZAlzqaLdSkJ
V8ZnQjJzU2NnbfSdBUnTQDFckWihQISzLf48pGi32WoAMa4DTY3Kx+wWY0ac0vE2ffN0c/81ywwY
nzkDgyke7jf7f513C+HaRSKs6YdVNfEWpDytlwlkjud5H4GkwMMjSAAMelCV/C865liq/aljztBU
aNvoHHIoGgwBxDbjv32G3H60AVqpfJQMgbSL+oXqmPxMVAjUCotKKKhnbO0EADP3IcsfbA+crN0E
WwGeKJYlsgxjt2O2e8in3XLUJGi5w2bvBKiPPMYhkkRmwMojEIplyddAZmVfA6LAgLBDfRItxKIK
QIhTssHiqoakoazJoixyHw+20T+5teJrURXQU/3lK6vGOsTDiNVa31p4SiJugMCda2fOwVjm4GcC
KaihpKAWDv2TmZ9BBAulbmzbTIgzTXVay7/ewvhMXOd35wiNv4CY0lVqUX6JImGdgkqADrV3XrqU
+mttlT7qPzATJInmyu/DrTH/5yQw2TczlfGP/0falS3HjSvZL2IEF3B7LdbOKu227H5htN02F3AH
F5BfPwdJtSjXdd/omXlBIBOZYEkqkQRw8pxVyjuv9jhssB+gupBfKnf4kmug2xCQeQS3AWqnG7wm
bxsGvkwQErtfONBeYOz/OkH3DcqIMt1R5TWkdr6DX8x/qLBaegBKAacoqiKbspVA3YbpFtu2fjNd
K1sDKWVZZ58sVGttCgf0qiM28Gjx77X+o9Px7OtsaFCxLgz24HYaOwxNUZx7L35LB2nAW/rstk8Z
L7DFAXoTKPk9GrofP8rUzT9lHOtw5U67YbqCvKXdLFWj2OTFa3s57Gi0dWMW4FWgPdNoF3WPlppj
+HsOMH5tonT0oU1i40Ais3p9O+Bofkssyihkwnq/aNzqDtg0fGlYE29tEJId/CwetGfwokPGNT6j
2qN4SVQjQa64kZMFfIjVQ4nB1xRFcl7uKQQIkiIscKvakAndse7ZRGWgyqT4JgYUS+nYnCK6gGDe
uO8zyZcieHfoj4YvwJPa5O7F1MoyoD+Fa8d5kDuWdhnxOvyCn+REf+AWt7SDUkk6UEm9Smf6wO4S
ICyIK5ropNtM0bTEeOlf2aUTHNJdzfSVfg0UYDU4TyCTmrjw8avxSvaWOraACTmzGE6azeWVGpMp
xPBcnHoFwl79ozJ5ghfkzOlQQ8BAjAFq8/lAvwijLAYw6IBBmn4lbasljwxypGRRBIvko+7h9YMs
Si9Sf1rSC+wMnVrU4m18b9jNnn8u+mp49nvRYUPQzUD9bE1fas21djjSA/qzhtiClSShQq8+V6Cg
vk+aKNvgLGL+UjjYov6nsLjB9halt2o21OrlUxThm5RYcbGvgFwJ7b5pvADYsCo09DGuN7nq3tqC
pUm9oYSli7qcT7yfrGWSxUeZQILVHlSNMcmHJLKdEnqJgEClk+1cZ2cCJFIHJMLtQGBjq4Z6Zo21
nNNV3lka/LD6e4MJnGxNcRcUIsp2FMcyC0QmlAdGaHm1FJsHZpduCj+FkM1snK70IEQB+AH1lNuU
J9VZdlIeIuwXu6ogrlGFck2K+uq4lRBCVyYNjL1ebhph8vMSogaEPGA9ht1PMqIoC/9pnj7+q5uj
9tU1Z/yfa7oRcq9uPwsoDoG5q/mq6OSO3JeA+SsTJA33rNPS58zJyruxxAvwOLn11zXdk7Z4ljI5
xH35o+DuhHWezS91jJdE1GryC+DH4CVabepRjMqonWTeUxz5ueHgrc0Gs+logpqDa1H0TL2ubrWl
17736oTjfCFyIIIbc8DjWgGQ8FBbr/jiHMQo02+Ob5pYdbf6VdYzdvnnOQ+Iy8Fu2MXqBQdnq1cs
mXMEIoSEv0gJcUb16W9+jtWkUXNy0qP052s+1+YZtLTm2U/70gqqtsSLR85BuzMPUYrCdowvTjti
GKJYQ9GDLvZbwvs0npVBEVl2f5F2JAlVtqC82piZFPtVT5IUKW/MPskemOvsCw1s1LKPqys1Aop5
S4/M3hTVyZ2G643/JpYpDvEEIgZ7sKp/zPdawY52M3QPo8C5NrdH62IXPHqxRHSg22jXR8XBa/to
T3dbvzTB/+n0L62Off2iVWB79UBc01N3jF5AbH5Ioj9Lz5BPhCR38V6g1fknoWDlfxsEG4fBTTP/
9HeYxbovsvZ24F2DbA/zPufuVDwaoHR7AiJoOvWGLjdkUlNrU4uzrjw6gCipeyIfkqSDrWhQqILU
ZmRRMNQpoA1Z8rnCbuIzGMj5JSW/a4JnIre6bYy3eLHhoJq7tAUDvbrPJEgSohjAFTOuA02Z+pRq
h7H07msKIR/FMZEjZbUL8zVC9WhIHpp0mU5Nf+Nbrgb1TSieYGMIOHdHOwKgP4XUtBw7EZvVBk7v
F1szprfICbSNwOTMPyh49S8z+FEVgNPhz6xlVlDgvPppAOLgaQKL88bP7OpMZq+71QMDqJ4savik
N4ebLGAT/uA4xgRKfMSDHDxnPOUHB0wzu0miXLUpU24DQjDuU02OZ61ru+kM+qodNDLrx8wpvWdF
UA1uEuvTu2WqHXqyLOzS679Y69j/Lq/qG+zV6RqE/9TRppsBSmwNr11mFNc8cQGVVm4BHt0duIKL
Ix2A2rP/5Dl9/4iV0/Dk8O5KUXhp9Y663WlgMEESdChT0GwlLWhMlqmZXg+vTIvepoZ0Qf5sapMM
J+Bq70bV9NKKoF9lZfs8bnTUsqmNhGzwxF1lRC+NEVensmKTefA7cMO0bnaliCU4ivM+nLBRWM4V
oH9LbjO7YKowAL4xE90EV6lMdgBIYJXdzwYuoOam65cQOFwuvVzh/YIUUowtylQaSzvgte8QxzFq
eLwifWyS8dmG5A8ETjz/6BuRDTS/YK+jNehBPcw4IVFv6DVEyCmpLqf0sRzMnZBfHKwLjkbnHl0P
kjz4i05eOGDhvTT4j/FB0zTPUKBQzpi6TmNewBZXveWs4bdzLHYZJX7AUimhFIk5aE7qWQC2pts1
fR15/1TLBdcQ6i3TUncZbwe3C3WIM/j5nR8x7bAqquJcFsQiSmD1xkcDN773/EapJVEENdioeoq9
DLr2rmU9eLKuA4imxQcyTVDDPVSxU4FZqOMB+agxsqm8+n56BEUOdKvJF3smKiNwFipdfAk3fpW/
TUWzNAbYnqeYPdp+Ze37RM5QQkyyxwGlFlCSIVkiDwePBvaqhGr8wmEhaLaWCPLrvufdsRy/bJVE
DfnT9Hszx/b96h5SDXW+vrysrlo3M+iJl9aJpqeBqUd5rp8l9WG9rl439nZ242oHuakmDiz1ee0Z
hHPrXPR58V8nNquPA8QQZqnzuP5YqDACLX8HqYSse43qMf9q9qDhNxML7D7KdPo60JNx/mzUFQs7
kCMGnvLXXedt7F6ikBPrjJcaU5Cfzx0/NH4T7Sk9qccwErX7DNJwFwsx1DWTH5ocTsBiNp7qIdpo
ChehoRb/HrorLaptmmIfKfjDOtBBPXpjDI12oAFPjVKvHq1PdlkmgNn8PQn5UwfFykCwXW78hTxU
jvTvVnc8p/21Z0BQqBmW66rPgltKHPpNd2dKs7+aKKJ1ISN1aVrxsSGf66VvPg+oqXJk4e9Cq99k
ehPoyHqv2a/TrmFQZTGAxf/1qiPIRA5tMn+98d+YE+XSrAX4ZLbcAsyETDkL75yAaBvn9O0JdLjZ
hrTYqOkKTT7M0CoSeTXdrX4ceQwBRDVm/GPo8mFQYRycSbf5BcvklgO5sE2gbXvBsU4JWuyJx/vR
yAHSmSbUVptm61ygf/vWyLjAUVfWGCcJSOGJBih7iV7soQHZO7DQhJvTZt96wj4FGQSsQ+lEuzPB
Dr4jn5A1e8rzD9XBZT+3O9Q56yh5BxCP4Z78pOqvLC9+rnUoFqPGpttUnYzuCsDGjqmENixD8SXu
ZzgPaAyBt1/wj6HMC02h4pq5BfvVqNV78gkHG2lYpyE5Vsk92dhNTTeJb2KVjz19VFJFBQ/XxvzV
pAE/GnjYCOdL32N3fnWtWUbkg3paha0+6v3jdJSxBlNu0mEv2+1Buir0Em88qkYaipXDAUhbnIBT
kfSgQVbKxl8xKG3xhqbu3n0ErqYB8qGQAXKZxzZ1r7M+R2dDNahH1O2AutRYkrsQlrOa6Lx016El
tHRjB4u+yXub4EPUNPftQU1PObiLm0cUkewLGyUQGp6p+Nba1gUsidh4o26dptDJa1LUGswZCg/d
FAR/HsR1N0tXhceTYBcHLEPnDNQNNk4b8GXEGmRvjth+IN59arrEAzgE2JnWdDJIfbgsvhJHP64W
QycY5nsI+cnldr5/ADb2ydcSLIKm2Tg3dmNAQx4m9SplUu935r9Is2RhFNBdG1/7qHoeSss4dlis
3XneqG1bQ68/gSIT95Her76bVounBgRyN0NWHOZ6kt80D6Swkz0YL6PtVjujZwBp9UV9Qph3nLQS
YstqJggv1J+81IOIdl7Z+EXh4eKYOCarO/nWQJbK3KXCnTbko1GcpPn1lmyA2dmlg6LdBoW19l7X
DPydnAyHJD242Oqt7H0gBiC1ShYN0BRS1CkCf518caKSsj3GzdiAh6E1TH3b1bEiSIiHUBM/yxL0
2htyUQNIWQa4ArgvNNyw06jWL+Rf4riyoReKlAT0Uz40YM/ks0XH0jNFcmyjAPzLTzxwWNuf0y7B
2ndAdcsZi3Hohdll1x1FHI9nULtF1s53JhWgxv7DS44ewHYjpIB1mjV+HFhvBBTp47MFEwrttz0r
BXTa/HZpBpxmdjMUG278ZIKxApyJSkriPZ78to0TKY/1wY2fzNTvwO+SWk+LJXAmUoEuIpoDvOKX
10SbO+kArxTXJ6pTzGrnXtec8XBT1Gi10LzZr6WNi01Fj1PL7kUP8YAP1ZAUSBPGoCWJgpvqSGeo
wCvxnrgUR1LM0qVMmsMzXAh8unm3PAGiDmtWSPbc0cNh7pP2ODsjRNYUlwQ9D2ymhcKaimCMbLGL
4n6AvHXBD9rUNGBYTIbnPKnnpwnfz8LBfiF5crwipkxA702ZURplF5Sh/UVWnGAKv26eR+jGozpa
WSDAXSYkE3v/MgRI7Atq6iD3hG0xaAUBV2uXBTbTVEMmNWOMWmxPhUingLDwMqKk12lEcrwPT6Th
vk6xJq5zr6PrBdYZJFBQE5am+BDUUMykLr3OwHXji+ws40DQXA9FdUeJt6xV/e9GDJDAuxSLar4l
dnVRFpnUW9G+77Hkpyk5/u3Ob1uoTp+NpyoVL9j1AQno7CVgsYv8ULKofnbd+oXqJFZ/ZUz1s4qn
ynEH5aMo5geblTOjFrJmh1ZgCYOpOmimosdG3odZrZn1ZrWptzhpfM0hc54AmI01HTpO75PRgCOl
9TZPrUZoeHGuNjkpnFvSOHqauXym1X/7cejTLtPYEv8Vum8xvw0yozHQ5w14KHqQC6uGTGpAQhlE
qBU9rS7qAQ+Ns83VKTKrCZllVW9OstdhmpXmVxMKYD0DTf+i4cb+2Z/8XaGX9ld3iKx9oxXGgcyU
dZuiYtar0Ir4bHdQHSL/ZOafUX7fPgk9i+/w+/EAaEV6WQLTX1QaeJZcw3xCTeaLaWfOV9cDu5hQ
z4rRMO68pDXu6jk27tJO/6u2y+EY4z7ogqy4NM5WnoLNExGLr3dYB5WQcsLq39HNzToDii6jBEWC
lMpKU9/NjoY9M5WLrUOcYVEXoK9LmxnyXAAYAw1PdV1QVU5HyFZ8n3Esc9frKMGROCdzL8BKp2Gq
4PkTUDTQG3y3yVlmFd4+qUsNDS+RZGNF0QRZOinutH87xzrRguDXwTxd5pDxmrVpw7ErtgNrZBWA
Wi1qD9kIinTHMb+OJV7ZIqFbV859a9p6WaKHaZ1uKaKZK3alHoVQb5iKt6nIpKasH1Pzc5rq2VM3
iLs6QSk+6Ouyp1qYyT3qjXc0Rk2Dp9exnCC3vfrE1DtBlyTJYfX9OpGBl66rUToH0EU+aSPH0RXY
f8Nx8HnoDDi7CajbaxFqe6hL417fcpQkgXfSngp/OxW2jo288WPzv/LhQOItl9K68zRFePa/z/gv
JqvLeC7A2YgPQbPpHtbfbTlcO7frUY2YQm+BR85jF/U9QCFz8b0RHNqW9vhaoMZk70S6CWSsgf0v
swQushiTcyri4YVHUbmPe2zVpSBzeeFVjAqRopEbGtVHbNj5PjCG0Ht7oSbt2AmnDtkDxesA/mxG
E2tpGrTxmrDMJrjfneIC7BRO2UHg0YUIUjhrmgipt5oAEPQAH4P3jHyma4pQV03ZQy+7AUHIZOd3
1IDdrMIZ+lPtdTibI1eb5RusWp3L4ht4ewJPvHX2rRpvd14JFQPXSEM+AZYArFu8NL3UDkrfDlAd
+KtofvNTBODvqAAWKNRKIQUeo6bjm+ATuJ9iUd57uWyugKi5Ae6X6TeoWu5KMeRf+rLEc9rhwxFy
5KDp5NMdBQC9+JYZgQY39fXmWitFoApUYkdgHv8kJDfhvycF+Hatajq9HQWDOs/WNl3fQ1WMNBzV
X+OCV39QCyRKodHPJ/8wM/5MlpbC1ZFC5IfAEcX4gP/Pw/bDUNTJ5phVqJxVB9HUZDFYTqWwnQMd
Tq8D1BuM9ofntfy4WEpGeMnSgfG0hPtnp/F+GcyUy264sY1bHN0L1M3hoZn559J2xcsACO0OiHhn
NzWDeAFfdYRjoWTa0Giue84jbjXBlORzF5ijuPNqM7uPyqp7YU4jA0u63pFiUTw9HBoQ9m5xKIk9
lyY5xY1rNptZJGbIODNAl/2rnbQuQGI1aDbU6Bo32x0exORcGr+GIpTDk0tU6RzP1W6oXlAyoOjW
yyRQehDXtSkgVreYPTZbQ+iILxGr/zZ2gILtwNmhYPg6/C7sX1yLdTiRhLKgHlSzLTdsbtKdRT+0
UiAhGRJqyAdhefxiVvtmGEQJcmOqGWhAq+nXBvlIkHNKrdilevvKcZwBFXHH9S9CDNGlLG2c+IsC
rAsjQwXInEeXpQtZvOhCNje0QNdSH+XPeHPeUvJbuDf/QO0LPywmzbgMq2TqGV5iBQ2KDLY0oRsZ
9UVvjqNvjtUGtPc87LDsqsCGhZu12dtZSE5DjUwURE4azu35h1FxV9Hl4/b/2yk+zLZ0KTaNcTOA
GFC+b8z+M/HEN4npQ1+oKS5JV2p4WInPXMn5DIX8rf838TRP9T5Pbs3tqYEadzC1cqtOHD6Bp9/G
WdK4nf3YWi0wKVmfimlexiAf9mb9mgfkxM0sa54ayw+glpvXWdcrqtE1Vl1/td7H6LO5AIoMZlnG
m6RuthbX+g3Iw1DqIuamCHvVGHaZZftuAnhV6nMRUs/rcxu82+9BbimnA864rw4NuGIGxmwN1yFf
GHimRCVuN4prZQ39ngNTAErkQlzJRz0pHHGlnkDdVKi1WAiqBEc11HObfAL8W6XpzRxalTBOi2+d
hXptDHn4ooT6yM3Aeg36GG7h49hezbcOUAZd8/1jtD7kYYcaxVXRrLOzIexGP1IXFR7oolCInSE7
U795aQi1CynQZnbLzm4uAVWjLgonWmh7610TyMqTAaV6rWZr0JTDLMuEII0ETjzHO2+sJ+XD4PHi
WLTTsMmnGrUI5AQg+qlwtST0J7N4IBdux29xZFJDowko8TIw/oWrn+b0vR5zGqJc8mlUxRY4ZQsj
MCosfqwP/76+io2GGTX573FrvlP7+dGwjWFDV10H3mNX/zonxw17h8JvG09KcDi2u3EcJQiF7Q5f
gNKtdwPVfReR2hn4YE/q2AQUD1sAQnb4caaQpf0UUm8x5cy1YB3RjNEDkbTA7aj37DNvcuecqobM
3/koZGTTJ13ToUX2HnuTSiblUwiPHVBtYmHaZydex/lGg6wo1l7O1SvbBJCb5GPzwTf68SmxvCWC
ZXMoatsOcG/Gf6dtoYSrqPSHdJ53JH1EjWdWfNOmpRkuvnGoD0BQNpD/ae1nLdHFKYGoSeNpBQpP
9PaKg0XzOhsj6hoVNTt/Btg3+raO17WF/VR8WKwqp0hj2zEpq/tS1OXBkW1/8cysPaW8jU7eoFmh
kXXsMBnFcDeYiber/Gp8NAcT2ICycF+S1IOQtzcOXyrGwdJQZP23aeB33TSaPzsNf29XSuAOx8+O
BlKfjR4XZ2PU5fdGk990zx2/pjE210tov0E+2PWDBJ/hKamnbrd+LKD++gtYlprlYxkMJ1YCCPrl
Y4kIpcpNaUIAALqMJ1QuOk/MUEJUo3mplNWllvPUNFa8NWrIgeQFbtt2FpuPRfZCYxSVYWtkxyFQ
u6MAGmCgA4RCfIY6W8wTiz4/aqwSAV2EfIk9fjIFcO8Uj3dZ7zy7wDLQHBTRQ15i40iUhJDZ9TWE
srC7ul7FLr0YzCZpfqCIyWjNR998xmH4BK7uCQyaOjYHX80pwjo80x8TCYk4PckzQMNx0I5nPvTx
NFEc3iNYP+QBZBv8/ejlAwiemap5rP32Qr1KAouusUYLyMT5vFgG1rgemhbBf0eYG8CT/1qFZOou
GLOBErYYBh0Al37FmONbZ3s6FggPrZ0dJx3qTKYHKqMhyfM/ndh/mCdUizpNtqnmzEuAE5xRa1uk
PyJX/zI0uf4Vp43eBhR81ovbDvO2nxlo6hrPBbv0KC88QemelFF1Mj3wF6HEjgCQwKlusjpPX0H4
VYBMyIm35G9bHecF3GF3U5sMT3maPxOiR68id2cIs0Nxnr4pnMKBSFAxgZ8Su0rYLvzWt3O61QCo
xv/7VN1L1JAHrRoozDkEXGz+XEL9F2sl/WzkUMoEkMTBUWpX3ruadZ9ppfPigQLrBbR0qA91Xsgz
sOSC7dzovhKu/eKnIFcc583YJOWLo8f5XV7Vz2T1ymWCaQhnu+0j7gXFC8qMgMhwEvPUWl35Mud5
d9C50W0pweUgycymNg3z2a7ucmaNwBTbxc7By7+19TVe3cUgbAxy5bSK+c/KK38KzsBHDCqGNkLt
8KBt9K7VjyZhk+xTAx2ZJ9QidE8sspxj1tSooFNIJWoo3i5n/djpCbBMTVgbRfVUzNhUmXAEaBdu
AMkOUH1Kjm25ehJLQ2bMOdaiQE9gLdqa6JbD9LOvesh2qMBZDdDoTd4/mstUlEbzQUjop6//6A2l
HNu5gWmDCcPwNedDs/pwZo4awP8aQrn/Iu5fhKDErTtgAXv5F7HrZcWMx/ZmsX/9pDfTNOPF6KR1
do2uC4dI60LqUcNRsB6C2agLqUe+emL+PhfFp9V1k7oO3KRSHB732GxdZ7ZjaCW6xl9DmiVK+B6l
HaANgRQFGur9f3xt7W9RAFmcGrf7j+nsInd2gqMQG+QJY9D2if/HMOCtR7ErgRP3rvLb6qsH4SZQ
AvbynkkDJBJlXh9zPXUeyqm/K0Zx4fawb8G5HW9SkAA6jaa0TZOjP2tOtokTfN975cHYEmVF474G
NftPK3fCMhnB5C3tpzxOhm+gs/1zwg3vD79MwPbZR/wJby1yDy7M6ro2bj2AN5fH6VV+vfGuJvV6
LdeCEbexrZd04H2kzKSyYwlKJcp3yM+gbh/wThgODiZGVNFDpDrZGlzTz0TSP5RPDhYMr9Bsbi46
3k9BXg3uforymPcTb7jOIuRguLEXRBYqKbhSfYDST7RF8WN9sEVXg7sUClycFT6YA+fqE5jYQL4N
YqElV1TOmwgE5Y4lz7CjnbEN5Ro+dpUi5mK/Q+WiojfFjdH5o5xL/zsz7Httxg2d26D5mqFAcsZu
l4e7K6shbMi878a0n+KSf+8HyYK6G+y7WuhTKCDUvsVeV4AHp8RjFcrxvo7nDjZO/QecDxYgiE12
qwuccj5ErJNdW4Kcg6JoMNJ7sBWpOVaf1gMO6Od4iUCxoP9AcUWDp7JjOmVAcTTdUPhl6FfOy5rq
ZU79kGQHm3vfOw87nia2W7BskfMVHLEML3zzKHZ4P8oAPIOTmh6F5HLbNbYViCrCm0JT4DYGQga8
8INXaH8bybTuJXF847gEojxi26ImJ6Q4NrrzFXy77DjYtqO21rux2trJNol5+oVlA768oEALgE+c
vhSmZQd52vOQTKfY+k6VfNGtxA2nCkyAENgDCXgL/qw8HfhZjFDXwfO8grhJBPonB5ovDB877ibr
z7JJWODYfn+/xqKQ8C0WNfHGq0iM06JQhiKubCvyEcJuigHABBr+LAFA5ld9qi/SG/9MOV6GuWrc
sntrhlj7aNIoxVHI70waoBBH4/YpBYOu7KHYtZlyMA8NDhbKXvm5qFt+ybHpi5Nz1W1B6XShiLyU
h1IAJixdHzKpG83zs8ckcrMt+F7iKzUOh9Dy1rD0eg/GXUV8MXXxoW54dEoGlICzTVWgqFpy6G+b
3RC2bttE0FJD12s0QKnXocWuK8/c6S4+K40sTor/YEPZqN942YxDMsNsB5RFgCGnVwT1VoFKjw9O
n3XuhYa1wezOLbZInIPnRubJMP1nQhtjCdI9NS4qn9oIXL89PeuBxL/2kK65Ukjsj9NFJVj04rAG
0+ik4Q21bI3zigMfeYONXg55gAzcybsVG049ijMr6BcCUFfJTTMAT9qCxRrn+VVYq+KLtSGfSQUY
vxtGfd9bNIqTrU1WzVD2UTOswTjtCEe8Xh9u/LeTgiTxl7RUL/b5OPKHskuB5q/YzxodbQR3HdOz
A/7ySyeR8LzHqKHRdYzXAqK04Kv1BuZtFkTl0P7MOAOtld1CzG3FUN5AKm+Ql++5sR5VWN3+Ddr8
MAsO9wG/w5LDuGOz1pyxMSBDamqLyzDPrDdzqgAK47WiZ/vFTyYlUOyNuc7UFhbYd2nYBixdDhqo
X9TFcAbxdgkyf+dbQ5x6CsB5V52F+l/LegO1ji4g82SW6p9wGlLIM5O9dGVj/DSbbtiTT5fm0RMp
aNsGlIIOVPsJ1EwTkk09KMQ14T/6zBHnUu6n30WuiWBc7XfSsTvcNlC/sJYogIhA7rrBdW8HKG4N
horlTmSxhZ2LX/I1nuHBnqpZGpQfLbOsuTgyao/SKzpH33ljbgSAsokLqJ/FZaojc29F0Q9yrQ3k
JsCsp8LWxlYJogbfIMoFgGl/H6WB1bzJnYHWAEFqjGI5NQFddg1ec9eBGCupDbSdQX5dNto262f3
3KKu9GSMfNhDwGLAS0gb2oObf28LrEYgTe499qXvnCLP7/dYCA6vpluHYoREFkUAWD8e3/6BDLBZ
B++AYYIKL6jhfwQMDwQgvsEdE4qYYMiCgzMwAbYwjIbYD33sh4VkuiiLA7/O+0iE/b/TCKnTNYQy
qAGguTxUPrM22K51AtNo2F2X+XjvngyQdE6O/Yof5WoxM/1L+PJbV0Y+GMqBWmFWOZ7AWpc/5iwH
TldFMO1HDxDiN2w9RIHTYaMGJBPRGdzow7YqkwIMG652hJQHA10bzAya5qHIbNCbjnr+yeSpvE51
/BcNtpA1eRAeTrBUqB936XNvOdA974pP5Kqiq5ZbkODSOrHlTvRiY7/ymqpSRlZLvIWAg+bQqSJI
Dwzlp8Tg/oZGx6J1QNA8BHgMzsdGIRNrrGv3A46ptwtGcRz6N5ugh5BPFDh89v54k5j3PYC/qHoM
h4nyOClaDKoVI58mUOqgged7Tz5qHMnuAR2JLmSlSdHcV572oQztZiIKgz4Q6IDeJwLn/85mgzaN
G0g4lgCXl/MmNXn5AGIwH4teJ7ofh6xVPGEwsYsUAWfZvMW0JojSKMb2CzAc1iCeGzfgCnmd8nH6
MkI0CzjT/KUCz/DdzCVQUMovKl3stEnMx1GZ099hYEKw75Je/oHd7CG8YcnKi8w659I+kR+iVqkB
kUr/VYgsD3un5FAor/ylfjYDhfK+AI0J+PNjVNk6cRZw1zYX1dU246caCsdPvuTNc2kUB4oaUCII
5VaQLZNJcySp2e3lOFevls+zIPNZcgbT9QZvuVWxXfUHHUOMh7LtP0cRw4YUaQ92ie0ae+oaNeg2
JuDrk1ykQYSzrgdqZFnN97J7AMXo9JDYaMjNbBB1ax12Ez6EoprygAKeFDtbf8eZOIO+Z2xJIrdt
2zwE8d+dW8+9YnPfaunUnSEe3V/IhT8Jvv0e/gUyz8cNnGzsSMwHvSs/k3UTt/pogKbi2pAGJQhc
tzTKYul0WI/hIkt3zfF7vnyE/4hZL0OX17L8M829fC76iOs0iftSZn6TRMA616W+N9LyAfwe/Fr0
snvqsim5TjZ7GPQc5U+qieKx2VVpK3ZkOo4tnoqkfrBZ/JZkAu8GhiZzSWqzId860KzYjGonnhpb
bcdTr8Y+b2ho7p01auaB/DFYyzQQ9KkQCRbsJS+BfNgv3fekdcbIE8lmGiO8/alpP6RQzBq4zEuX
4NwByqiwDh98Hy6LAl18mDWzx0E6sAIRDu15d8JyHtVYFvjZDSw+FxN6BVZAo5Y66yNzHaXg/2Mu
9DyhMFVV4OUCjlTSWUiGY/R7lDbMOE+Hs9Jy6HDhYSfucwG6owGla7sRO1j35FsHKDpRyf99oFaV
FGKGojAUY1DTiD8BgJg7KiMtriaKXaB664hdq3H9bPfl8GRh6xBFrGn6Lfa0bAO0M7YnBJ7Pdpu8
J0JfANoHVdwtiRWKxR8s4UHn5JBVor+yCiUYY+bG45bsYYJsRFdM51mPcZyNUlywsFLXFMlfqRPr
qDFUvtzXhm2ipshkgVpIcIfvlsDF+T65MZvYchBuG9C11quucSXQrKjcx49TzTquqvZ4Ds7o/+i5
N4fUWH4EtH/Gh3rHM5wYtg7XcbDkT3No0xB1zQTClftOqw5pF/nHxaR8FBzNGihr/p7PGXWs+vSq
rneQGew2NLI416ABGNrwwyR+CoGgDfakDhU2g44U+OG6FE5OvcmG/SjnP2SC00FT8cVSr09xALj6
TEBQZtfkJ3Kt/tUcVP5q/i6EfP8ijj6FumJl9/9xxQL0qzgwVlezWZsGvZ1kO9SR6len+NqiuuKO
GqhFsKVngC0l6IUf724GKMlnX9ZQp9Q1cxMlIkh1rAuGpAOTQ8ZOpH1NDUlduyDLD298vzNR4rI1
a9da8nvAyj9kUQKv7X6bs8E/ouL7JR0MaM3gwOCq63gw5kruSsQiCSC1Pl29ZtaeRJ8+kX8GE9aO
j217mopY+zJnB3J7zQj+pA5aqQWwAl9BqximWDG88NgdLvgmYl+eZm17cHG2ZXzvYY/occ4sIJtw
NWyuojLHcUdUYrfpK4qelnhPRt1BVCbKdNS0OkSecfqVfeZzlKNeXuTbucK/s2bXoCrlbbEHJ6sG
oSq3fI5YC4Q4WwxplNUz6yBi1WoNVCZUQIJXxHuUqB0Fm6tncnFoSgZlr3lHMo2MjxcQ8X0li5oS
bGIbD+U6IU05z5Z3qmxwlNFoJcfmASxHeAvwv5ZePZ9nImFJxP+QdmVNcuLM9hcRAQIEvEJRa2/u
tt0zfiFmfGfY91X8+nuUlFvlGs9344v7YIWUmRJUuRq0nDyngkZVYTf7re2kSEQrWQd2Z1bhVGJo
MGvB1tMn4lgZOguy4k4CLioQvcQmkA5G8aJoWuTgXBfrmfxkz/MeRMYAEu/JtjG8yIswoH4CZaML
4fG4K7BZajfIaMgjcCCCiSi6UHMwVt4hWUGW5Nr83MtDrdNXcEb86HPXkZrMHMQBuoGfp0HgNFEW
dj/b2KwBjAV0Gn3IzfqHDYSifMRGqfSbErQ9asM7dYTCjIV0LPKboHr0PW30dn05W2cXb5atWJHd
fy6xFql8qpKHYrwamvOb8cZ/U01rHTt3aii3QU4fGHzeE91ydzwBLLUrn61uKYDpdArw2aKgmmrq
uDzUooFdorhm4ibkTGSXBDLBrh6V582hRWC/ZNFJDacGoRqAftpRG/NnPYOkFZlS943FXgVNlJ+u
fndNilfDUi1LIRtbdVg6uXxYfSgmOECNzNYR575fqGVbtfM427qFk8dy+TvimOs4xTReg8ntgnyV
emzBXS4eMQsETcPwCihJ49PhbaHbj2NbuF+rxLb2ejKOJ4po4hF8pHIt+xFhVcLaOzW7jaD1MKYD
j1lmOfdj6BrOT+3lQHv2hcP4zukAEqAmVAp2hrX2X9o4sx85lHp8skcNpFVy4fanRa43dMgG3YVN
0u5Z2Pj/tzBLjkbdabSfLzov8bBdFMLa14uqe6PB5UUprNNwqABu9RmcBNCEioxafMqEkZyF1uCP
1G6dd8f2TqReMbjYBFwKb7mJ4AW4m1oQSUIZAkDljlVgooAc7E4hkBeGXfJ6WCGiLpHNVEQmGI4q
cwXxPnqJZbEvs579pgJKfFX/x0ALA0FmM0A322bueip1XQpbD/Ybl8WYB8nk9G9kmcDGGWga5NWr
mttvKn4yE3sLMeotfhoMaEUV6zFfx+EBVEwmZD7Z/MdU/0G/FQ4kSZA2CXv6lwCt1ESQWN01gGPB
XYMHxmtnAAdwJPBq2iDOGZJy+V6765n3nfbuxqsW5nZtnCHv172spRUDx42I3i4CMebRa62nL4WZ
ZQ+NCfYj+lD0UbSsPkyYIL+QCQhcscuA8NknEYP8Gs7/QydHJm3klNYlGTUwHqg2Gakw7RnqbN1o
QMIJgarQBtmF2r/qB81C22e9vRYgFNAhlwmwMnT1+u6YOxH40GSh89V68kotO5UcelXSBLyvPKiX
Vcew/8ZKoTtS2GBGmF/ETZVTMPhS8eAdkfdKT+0yivG0V0/2m3bdJRWysp/oBbE94vvS+ecLYmbR
42jP3rkxzMCpY4guSUgYAam4yBMkoToQjtK1H7gwGQeOrBhZCdLW1QYHcc+hxds/GPGm1J/6qIT6
Ip/TvdElzXSOnTF/rCBOEc8T5EfJlg3IvO8N5O/m4FrYbMBjFxCPBda7MMyX/4z+wBnoP9jhPNM1
dN10IEqsQ4j1joPWSgYQWC1D/DxBCUivHA2yuTUwYSXjZTjIff/SjDVtz9s4xovDY4GjiWZn8jHG
dv/CtIetSn7bsgCDTKDtsBk9hmn7ornQkZBpyQeCCRAkQGEF/hU6MM6QU8VZbh6oHncDbFCEu7FA
7NyDUhMqmcjdx5t6LX+/q1nmVP2e9FKqEiqj996+rd6WtCr2TEu0i7ZaEeAjTTft23qKLmRstAbw
gzz2yavs1KTCMpbnvi3ZCxNhJtnn59ZLDtbAwdqtee7vjhVi98f2RdJjGWY1yGWW0DHCjyXVK0hd
jFeymBxTwdST23MyoHTd7JwnpekTNm3G2+tijeNfNnSToDlfNBZwb7oDJUSzCsnYQuvz2bON9BnH
h8YhAWQWD2LYtuiiK9JHvR8Dsi2eh80o8KvvG6BonqhATrUVrBUEoQCPaZiP7f6rB4mX2DJ1xstK
DorWvV6c8rp722z4rxNQ6kWBPbQoQCKYs7sfxgUtQpHnQMIkbQ56zqY/xrkeP01ecy06LOyiscfB
KyygUo3xUpNVuS715cbermmSUwIhpQoT4y/Z0M4QVQHjMM7CxTcLKil6r9dfwGs2n9MZfICFxB1L
++Rhhtzj+P/Qya/XBSk8kBGRfsZZqP2W6tBywEYaKPKkt4m76FPNZl+3I+2VIWFDr2Z2igZH7JxY
TwMOtTmgelIQhnBMgOh0LDEaHIyZVWeCMGNAcq5MmhjcGRdqIJLnQ8G7PxYrBDahqWSfksy2Py9j
OoMXogfZsmyCL3g9Mgf/rfXc25+ZLhnjK+i/URN0itWnRdO3WC1Fh0KMIJKu8TqQ8TPLfpsaPXqk
wehSZQOu5E53HklAmArhxWu2G3Hgy+1djvzbgHjSgVQYnl2GEydwrJzJpLMZGyEaWAIvTTluNiJW
NxPWP9eQSLzgqOFMpmrEE24B8/ExAn1/IvNryhwQK10UxnMTGwKZgGsVLjIFp8Cbas8hP+Ybc4Hc
KcDq3qPJXB+4OSZvTtXap7Uy4AXysQ5cc7nx2tJLffXFQ18OL77u9aGz+G1fd2Yz3roW8zUDElDQ
W1lBPDZ5TmhHDKc4gyS0ogLbvfVjXYsayGPsnpE3bqz0kHIbtBlZsh6cCmJfmpbpXyOI4jkyrwVS
eG2QsHZ+0qGA8dSn3RJQJozojSNfRPU+DiWET4tp3W9rk1QuWOhVRIVVQDZ719vuHJqDfHzS0sU0
xZPTSnIsHKRBsbJ4VIk5gjOcWVMGjh5jkxhAxM2r0nOaOc9nn0JaeUK7JvjxjCOIGHqkhT+b8uFB
taZNcZQOBVfHLkCVSzYqRmQgRy6QXiqW7JHRgQgGMsJ7FUu1pK4sELbhEnLX+ZTU4PGL1glU7gH4
d9Owr7L5YZTFXOt78Bbx04SklodJt6fN3hgdZBYppHTKKbRLbfVVjDdDt+OmDdzberQYtDwqbIDt
FqkmYtpQILeYDq4LtKiw7OHPvodgJZDCmAJG9rqv0u5/krH8sgncbGI3OI6EzA3lwuLNq5k4j9N7
aF3qYxU9uGDgDzKzWr4YSOPCroK+fMG50rW2StsA0Op5yJm7V4lxKk+uiJcVdBgypU65J3ME/nrR
8H8pHTe5dXYENrRruOqJZHf8FCwWQu9LPIFyVDytaTKFWeVit2GF5izy2aRRuts1/wYuTH4kU26Z
eJAjm7p4SCJrp8KoFiFLwIDsJP1eqIACwRukqLpjJjPBRnp4kUP9Cj9Ctt+a+u1R3Ix8l26c7GNd
OexcYCENMSPUxlHjkMaQ1V5VyT9AfwbnjsMv/Gu6OCDCk6PcVLexboZVw9Rl9RynXIPs289XuulO
0WlZnScMdIzc0niIxKo/gFHhWjiyBpGCL4D+8wPZyaQiqAN13bxivo9NBGhA7KRc91JtwAfAPXvq
l6p5z/JvPQiCvrB5Hl/wnX0mKw5UvRNW8zHotXj93q5WEaZuWxzJqzus9GckqGM3F9Byz3tlIkfK
A6YLWN9iWUwL5G0xXBXxy+Jkw0ktmlUcs1esPJCU4mcAaEHaEXo6UOyUe7PRc0VcJe3PzYzFm5dl
yIgMZPDg8ML3DA71jSYDSppH0KQ8xXgO4GSJF6Fr2025i4vuMVklQ1swCy/fE28HkXoQjQeDFgjC
kz5k0BPud+S+coCAUXFzkZEKRf2hbLocYjaqPoSgNd6yavCtjZTj23E2Iw2EeS5S3GycfAs7j4G4
ENq5cxwNAAzUyAaRnXetsQbgDWHHedw1YmFWVIHY45/dLNFqFYCHiLypqrHVGNPQQYR5Kto+le8l
ZE7JCSdAdGFmiPlUVYMOhLOcj6piM7Kcv+px3h3MZOx9MxFNqCj67vj3lENx8v0qZO4Brcqxt5iO
ICyE6MhnzZgqaNGI0h9ks8wS76VJnUNj4Kg4KKa/gKBv3nRbACltxV/TLq2fKLIXVopzbi0+0zh5
NbQhyIpXvDM6/tnM8v5oW1m8K7JVPOeQc0sXAW4E4vdP9RygyTRt9sg4BQODLIDegq4ZVbscrzNy
UzQVvJ8ypI0bX2JsGlwcHduoINczvkSO+YfTM3BG2PNBW+zsG8v6ZgegffPk1dgIaN3hvXVjLpNg
ocona6q4sZnCC+bcjgM7tuz74Ju4jwHAJ3s71K+uIXiEPz91uV/FqKGdmX+/pot0NfJ18X3EPq0z
cMLfBNk8zlA5GMpP6dmUCSd1E4MCYE2+RSN0OxYwvFymerCfLUPkgWl2yIjUpFTuCILVQnKrIlWF
HUVfXupY0q3KgmpUrBBWhK73h5G6McMGjPFHj191u7M1WfySg2/qOS7n6tIOHCK0vLXewXMkNaEr
/Ugqa50ov5oQdsO2hlZ/tmOB2++T57HS7EMuCSzdwgEzpqxR0YNZabeYDDIOkiNzo8Ikuktqq0Dq
t7lH7cAWBxi+j6FuGDX1gqfYE0GeTDKLFze9jICMXkWLrxZSMLallvGAc1gZo7SOxTWGtJDJ7JWO
iiHLj5G9zP3iTVYXM7nqwJsdGqDPeIh5QDOszUU44smQJmXPzYrtoqqxdiNW2cgeiL3HmsUDVC9W
DqZ7yzx5mC0DQg5CRTo0paaHDAesIJEFOQi92rx04EpeXuRXb4Y8r8YDbU3JQIa5NMWJG4kbbAsG
IFxObS9AUpc5xfpVA4H3DqwO9jNbDGsrLJZ8QqYxZAs+7J6+uI9WkwQUpezLUHmHXORgLJPdlQNi
d3YgUsgE9m7Fj6zWfoO2PUv2DiSML25Z2+WXhbMuAJUi7oXaTVFUgXCiKs+PEAdokeyqj2doXjiF
L0XbgMiO6nCJOWBjdhT7oN8CafGiJaeoswE4tkEpFuVL8j4Pk3Y0oWgNQVM0GR41YV0xpBw5WfIO
cS6cBdRJ+UhNbcGjGnCvN7PtkReSgO5/SnyIGicGcv5BAzexXZ0B1tlBqiiYJicJvBn7/91iSNFb
eR4gt8QxA+kyN6QqboybWxT5t1ByZbTrT1UrxnzItaw0FLL/iL0wN6ShyZ2ArQaIriYLIz5jYtdW
Ir4kWlzz4L7qUoBXOPFlq0KF1Ds5OPv/dSSztHdPpE5tvmrxUoH3IQF0qYqx+bnqkxZgKl7nu8Fh
ZoBUTfPS6K+iT8CItZr8mRtT+m3GlBp7l+2KTQ+93eeGNTwwz8SpSF6shwjr0Re9tNJdGa/zu5ZP
33UAvP7COLxsAXF1dgNEquK0Xt8MiRiQrRngSdUSLEf6GyhKdJkKk+LU5oh7BFGwbFK2zJJOlo9c
tPRENgvoqU+ut8v7xnhesf9UYEaI0/EE7/G6N7UzFVubXDft0QIC3d98FuMsmHL82ihqwA7aRcUr
G3VXjhq6LhBMTkBXsK8isF4WurHvkR/zjbnZGJqJyU6rZk9Qyf6HfY6m6NmJ8/aQEyg1kfBSITlB
wQ5nX6h546H2Wu2HEhQ0FJZG1ZuwYmQqfcST/Zc9f3QfsTFycwHbmF97o4i5c6qSRPfB/M0hKVrT
H/DqN55uN+ClgNG218O0ZN6JLZlVnZOcx2dDq/aUBd0003gQrfnEDfeaGA2iu/JCRb02vPYpjtxk
pCbVyJYsJjKmqU150VSjwp3sJHCWtkp2VwFUrxPZLlugLktFO/fX2p0tWnhyMUoHR+dt3aC8Cyd/
wXSgz+0I5OpynJvArafXZb/VyIiV4gPC9aDhAOmeHulx9KinArmX3rORL8U+cZd5c6hH/9xkf6fZ
UkMaAu8Gii3L1XiUY5TaeB4yKE+Vkm0Bu+3dI/TPugU7umiDCG9n9Xih3dgohrzm7EJNOp3icKhF
j92QuUVH8kv1+KNjFu8UKFgMVptu/EPBaxeC7a5jtYAc5CU2RvAZEX5XhRA+18Xe+4bkpaaybV3w
97IfoPZ5AjfxHT6JDBvwqGsg8Lt494gnwhKxyPkT5DrfkfLqXqgo+HCt3dtSiDjHHjLGVVz1c/C/
96Xh9emMJzgS6GTrLtYWXhHGUT1uTw36C9+eDNtTgv7uS/lAMejZQgHdftYm76weBxRAobfPlq1+
90hxYg/5IwXOScEAi71vSsLeqtxiyEWsrBPZvLzMkOFAidv0rboT4DgVZ9+9vBIHtxynoJGM/1Rk
ut4GBjY9DnyFfgDZkoIfTQN8LGRKVu49VlF3xq7DlAc0SI03cGNCF8yUYEYkQLdhnLvRYZa4RDDO
y1NXgz+SF9xnkI4Zpi+uNlovpam9xlJQxLCgRSByF3mJbpuFdWbG8fis2RAGoY3IKZm/ty22vGjj
0YMkiw32neHGRmG0ESntQ4/NM2Wi2oedoshEhRxbxatOFcMGWdqdTT7ZezrPvjvUpmPrWjjrg+dA
W/Gnk3byqWPulg/JHms7EMj/fDCu4sjhIcfZpwvGRpqerN75in/G5yyvrRBTiXTPZTNG6jYoYucm
IC+kzvsnQ4Av2BmNz1Pcdp8FpFlkJFkWzl9iMO0+UedyFGkghIZEFxcSsb0BDak2wRto1OeQElgz
wIMfIIKb+jPWrH0w9OBbjPQ3SmftxwynaG3bX6iJzbFsb5fdOeONHm6Y0lqmOpccvPB+mdgChIZI
bsf9QY9Neghymljz5qCW19rNqdBNeZ4fndMyabVwKGak5bhDtCNjojvgL6XqmFkRSB8Q2dbltbbi
yFALledmIDIutrOc5s7ddBmUOIPSjbiz1cjQ3zUuKOnJUck1ENWo0GlhpNqk7AAQxm0X8jpjwXcu
CB12TtZV7smKRkDdYmiGrrPVPVQS3N+krLQfcUrb7DEZyP22c/HVkZ/bHFsrEx6xm0sHwRmYBmTX
uRaesadetSZyf2vzJO2BcsVxg8gB6sU6J744NNUDRRumeqrNPGzb+JuPzBSw5Hly0b8BdsfPMU0c
VT8uO2/dqIO75n8BhJHu46jFw5weOBM9ZdLsk1Ha1tkj4OeNw9KjJugap9xnnjldEmg2+9Yydm9U
eHn6pbCn8pFavXDdQ99FZkBNJsMm7EYZ5up8IpPJkSTRt8hC1IYUB1Gmy58hwLAn52pw7GUCW+iP
kLA8kY0uqmObmE1iH2PHETu+ibU8iMjj1t6eOPJNLezKDblrYasaniqptGoXDxlkHnTQeknbjaMd
IUvOjEQ8VE00Qrgj6XZk64oYp2WZ6zuArf+WNdmLh7yp12Hppk+lNb0h96X+De8Tfhg08D3l5Vph
pmDiTyuClK62DPqXOpkxdUHvuvXE2c1AtkFNrPCwUEjW5LI1E6QkpW7zNQdq9TFakLtFo8WWwFl/
HFdHaspbAFI+wwaVWPexxZFlKIuqmZF8NCHVHppvfHNo2DzAuUmBROie4yxPhmTcMpm/RZtZs6vr
aMFSNINRjbP2UDfUl+TRKQu2DU3OMq6mPWSoHH8cnAxyjSauPGrlm1hnA88H2aKh7L6HqGCdvtOF
yEFDsSZYBRufa2sM2yjNHk0IZj4bsoiQcgpJVe0Tmeax6RyoaQLiOOBdslNxVLPG+s+pM8QpBdPq
84g95GfQeE9PDBgKClB2DULAhznppSQmYtVAWbYUgRslxl4Fk/fj5pJoeVqQCXw0I9ZdQL94LbCH
LxFGH22qqRhjweafC2EBZVKxZMPh1O14d3HkvbPRAHHr4r8OKYA7NcCv4izbnk51Z4a6TP7QetsO
80lCMmnrV7W3jWIQINphYubjDkvR7hP1gU7WP2wUN2C2tdOyqf9EwTSW6is+rqds/3m8DJjIACeY
SPPaGTpnNzJaJKjFbbO5xEu0J+EsImzbhMXIkVnafgtjZf2kFLgmF7loH71UV6r97KQhDTc+QiWy
OavTxLqaIRxW6dgm//mEETOmdgQfGfTYGoMdlXc7caQ2EsJvO7NmQtoReWQ/4I/YEcd63bgjG4+d
v03wr7YgK8y8xzl1WgiUTRF4fCTBQCbJBKgG1WFoD+IhBdLvWzs5qSjdDEwBd92Um4aizmSLkMDk
R9EAaNHHNVQwlxdXTZNICKj9r5dHmpI24yhMRd30UkPd3cavLj64i4fMaQag+c+3oYKddTGgTfjz
nd811Z0aXg7Z4no8qPEoVn0b5CBbTd/iv7pz+d9g4b+BeqxgwMDSrfetCfSLg1w/mukC+lJqa2yw
QN0prVTctA2K2mK1btSDUph9wCwc+iFBPbp22Npcjh1lGqhSt25kcBbeJHuqqotjWtcuUnJUdtlG
37oIq8W6VCxOGJX48TrV+tRm6/TZNFwRgGjQwW8STZEjMY2xFuqGspkXrH+ARksKsipt+mylXvaG
jXjyUSEH66YBYlYbG9IsJG3DWJufqFh59K4DdHxRpgwTmtiOs2dNaOanmbftS8b+Vn4H8yDMW4sX
ZeoGrTutgzeA+0i/jszAPbvHsgsJa3IcCgYX2LQrZ9fD4SXugBwQ5OU+qAemI9kgftBC2pF2Gj0o
kgqkyLTY80uhNefiVb21xyq1LmZkYQMMDGutr9pkTNlkXrwEuu/+WOyauukvNyYKocKQI1BtC6ag
VcTW4bpfZHie6cf1V7tbPUzwasw7gKeABstiLwBX1rPhc2izhVi+uw9Wzuvm7IIXYw9KjRhZVcwo
3wpj662v4L/UIHSxA10dSOUFRH4eErxVH9yBuWE5Sk4DTbvalLeay2zyKTCOV3A5OCYgMYBNTT4F
ZcA2NDvLm+oHINdphM3bIS3eN62FhyPNYScXn0WPpzJ05eyVZrcgQGglRpabPhIVy9AYkC63zYnJ
Hw1pcsJM46kp6ujFGHDq2DXl1rLGNXoRPR7Brc6QkCcjqDChSh8YHubZypZ7DHmirWUE1M11XO/F
gSLwmc3ZX2SiWGvCz95mWrC15BWoFg95yKeS/fgVQ3fJ9dV7rlzAxzsOmMjSa4/ec85ixIGh4Vmg
3pv2hy0VEFyYcs/GsaptQ7iy5xDkSpF3Tm0zNVBdbA3H1XKCQU3yTDJbQuuY6XvAEO55IaqXCcqt
SKManD0OeIFWtJoJNP77KmPG77Y5twFPjf6Vz0a/X0XdP3j2aJ6bptEPetfrJyBwRcAX/UC4nA2c
05Z2sJamjmxYYHUgO9k/G/V6E5FiBzxYZAR1+IiIe54HwwomawXt4GyOgeuS4BCCg3h6lAL1k897
irkiPyRQ5CYyMyMQw1riSY2DVcxyuGZegziCBQakqS7uvF4Le8lBX6rawmHjBUBtCjM/Ym96mTht
11LSKF2A1g3HwYKqQZoaD4MNcU29XM5kogJCBsALyEKzHCCyKK6BoOCpMabzjW2rgsuzPMwN4Lyf
sGj7g1bAZQ2xszIWJwe/Y/vxukYGb9iHIy7idHhdJFuYtIHVAxqXI/7Peh3JafachBARgECr0w0n
6r4txg2gNycPiiE3+Z4A52AVmQ5AgDrQA9myRUcPep/QCV+Qb7wCcJM4+vTgIcfxMhvJT7a4nh/I
Gw3RhIcECqqtkKhEdhHE2akJuUf856rANvki6q5+aBanGXceZkd+lkKHV5OMOwUWk5A4miFEZsT6
Y1TZcrLU6HuwqnFIURvpE3NMB+86t/jedAf8bXR/Ig16gAamsA81G1IMBLrtBtNNATmkFszbRnPI
gKUCEhCs3OSNaxBZ+wJpw0foTL2m1MQ3eHVTDPKyDTB0xdaOHB4EMI5XIAOWLIAbSxosBxCLE1Vn
d8EWFzamFj9h4MLe2uTKAdossXAfIADXj/t4qjLoX6OI8JMH9bTV1xDFRnUc24jjbKTUT6POfXJH
UYGjr06+0Leq6imeIxv0IAQwrFpnfiii8Ao0lJhD3tsVABXSIXI8eJ2yvwUj/nBQ943SY0GuI/gL
W/OQAKHC3SK6GCBQ2bO4zPwk8YCyJmMncQr37WgFUIE8eYzNIOpDTeVQne9s21izaYldYrOuWd+Q
ciVVZLr6zUvY3nby8pymwnuwjaHtkESAqrFR7EqpgYax8MYDkRY2+aPB11DXBwYtRTNtt/6xienW
2CN7UA5BRYmNaN9xxjqkzfxt937buKfN/q36D59mRNEB3875H0FytmYUi8Bpm6yunXmWeOKjQnF4
8rtSTSxFLRCsY8uWHJjk45sm4LHdtKhSJLU3hIjsXafcgurcyoI7hwouHTAj2P4GcCOtB5BB/mnl
WFxozADc7RYAR/5cT78vOdiGb/3kqSDri70kHDvSE9pxcGRkCuO37YG8PbXvAHr0PG/t/h0r6Pmg
ntLqOX9n83IjmJ0Jh2EFTpB7NoOboTWa3dzFXeWTkYr/tq1LVjnV/f8aw5BccxREt5DPzRH7f1ia
RNp4USooJMby39vGshdBk2dGcKfmQkP99za8v6/jbdosWTNdyqLEvu9gn2j7U22Wigh0lY1rD6Fy
gNnqx4bqLzdPaW/13mMtLWSnulHs3WoqTl7euBdHFi3XnJviV7Y0BTYQWXjgDfq34P883uSm+6lz
ehBB/7jYAmGSpWTtn3OVv7ZSCKmWBdUcBp5PqjUeg7i4xZxA2ZBSDvWju0C9APpziuIT2amg8QzS
VKI2ZE7aE1QMz2ooqhXgot93YzEiwRxU7T3bpfJItrIlZdANM5CL98/c5VlYkIeCtiopOuYlNtNv
4+Ug6UcnNdDNwFsfQOSRfZkAy8XTtcBrETzsPehMflIFS6VAWFN461U7jNokCjbV79VSgj5Cqott
/W6qv+xHfupsr5WwAyUuBo6o8QyFJSSwi13qAcVPpONEN75Rh3eeZCYnAxUzMY4DsjhBZkJxk1M3
ULZp4bzw7xRJpONk36LJSO1tZKQPJuleWf8xJi+yJ7fGkbO6JxpTdVnkS/dFkyfAWKLh7JeqcWtW
1yq1qQC+AIIk5InAXnuhdrzoWlgt6fe7uKpmYJxRxhJco4crK4lhWi8OGEKexyF1n3qon8pGa3kg
1qOaW0b7ecLSgRyGx3XHzwoc/jkFhJfIWEbQAjKG1e7xd8KtBqzvNXh94mba0c1ljRMn++0jeR1Q
+D7drroh9ZGodvOJt49I4Xm5MMBHMSgFlYAtXqfeTokNZG3KLxM0FiAFn/bIWrZyvBORhb159KVf
hgeyUqSlJcVFpGBdDcgIwRoAyaEut3ZIeIY88nwprUhANRlTOC/p8NdDkzQeR+OhLiD8vhnVFI+m
fm25cNDfZV5435HarfvH0Nfrg1YXbbAixXGXIs/rssiz3dy1J+yof7SpRoU5dtDe8UCELJ2qoG6r
7HtnU82KL1UIgVCkS37EQYsbJ1zOAGgv16cpLDKdl4D5tgCdOoX7DsKIanqhCSASiQbgEBop0oN1
OaXlZ61lQRAO2tqYs4HXk4xuGuWXPGMgkBlt7LOnOeh1cXCxBWYUSEZsG4KJRZjXwBGy2mEkIFDo
giD2CAXll5v0lVlmhymSuJ9DlJ166EQPhxzg/pDlu7Udyt/XajrXtcn/B9jMr6wy5q+TkdvhZHF2
AYm5/phMQocQHgiukUtabWutGmfINRKmBPbIuvKk1l+LNeoPBrZW9KLCYWLM2M5C1tzXIin+ZgCQ
/N204KYHsxu+x2+9Nk/v5Vh1u3wcpudhqQxM/MEt2q1lAqGjehcvE1T3fiEOBkJqCHbh/DqYEkMK
82ExjOyeHwJi1KVlfN7c9w7ZmWxNqc0BXYQG/OWV5EXUfWwX/hiAmjQK3Qc1N1Gy7RZkYCUvotzb
CFLHTI2l7oNuS/WlkLtbVd67z0UXSuVXphz3V/v4TtTIarwt+OMDU1N5adAIeRWnlWOh+PGp1MW2
/4aWPtvHhW7+b9RY6lZvvi01kPo+wAwNGaNOkp1+MHLEwJYgEw0IWmnKFYPGRqZBfBtbdfNt9Ql8
1FemDep3Rw4Cphac6HEg5ECb8rhOkDQF+htJh5LEoJ1YO+2pbVNm0M8x/3BTZOy5j4YcZ+tCNuR/
IoWRxvw5Bmi66OJA0AgSJt6WHrLlg8zIOSrE68Kw8FYZIqs091HDDiUfkYRxl2dSdCUI8HIHO0fU
34ROtK4LcFiYrbeANKApMMUBh/Z2PzcfjKpUUFBbAsZC9xZnGTKiqEruscxfdejX7CMDCXy2pFZm
ckZPtTubltkDQIkyBsSy42GwB4DO0FJx1ARQ7DoUNf8/NivtnV2HnScsM4E/JrwxqGm1cyL+JMsG
OdakU0V0IFHpb3rEBZAzeQ9JgTjuSgDxP/DNOGP/gWqmMcwMChVzg+/VlOJPXdq1B29JPrlTJGVV
pHrUViX3jXUGf1qD92SkhR6oiv10Ci3Avp+TBlQdcVyWlu/Uze8N8s1PZCMvFVHE6h1HsunuzpGt
w3IssSflq2CqaabMUbpewQC9cebytkk+LWW6hsSHqsWQc/OL2vuuYzdrT7ald8bLKNlWqXZnA9Ez
emz93AZSyIuwcCThCey/dzOQRgJQ8JDajm1Gh7WfxiRcCyj63Pvv21M/Vvu1Z/GXaO2j0DHG9mjN
Tfs7GIQhISJAElHrzaVCYlhQTWb7OxRCZuQxmfpTJyBdCZrUVxwsuk+O2y6z2GtzDYQ0dgGdQ1VY
5SWzvZ2OjfITtSpwBwFpIx2iRIL6bDOn9jeXNM7SSB6y4bAjwryI68txjMfD1iSPVrXVRWP5j97U
8WZ0DVSxDvLjMOZqNdA1bx0QPt2NXmjY4qGrbSOTP6VrbqF0d2uNx+Pax2W4XUSOeTP81lXdMwVt
d7Z9RHlR9Qnl95Fhen3ahkjMFOfrPSYo2jQAP7yRiBLZbyH5RL3cSwHpTuo9eaggB4TtsNIpnQS8
epKMVLn7kqd+Az2s/RZDni6Lfms709mrPWCq0Y4vQOZ4TEU9nl0fO8ZqK/hm77hOBX5SykXhqved
Q13gV8NG0CvzGz1edroHXUkl/ghu/79a09RCst9rSKo4ct/1VU2qkZgk1eSgq3wA3NmVkqWKJRsO
taFdqdyqH9k8PXvr5jp+cHPbeoPCQQtoQdccZkq/LG3jYpYVqJC7vOgkViXEn6l3niLjkwG0+KOe
tCEy5LU67EcwLHlxghUL8Snwtd3ciaRhoKKUojgqTpuApvKBVZ4gKdYFhkhWo/sjB/+kB5Ku8/Ys
yNz17aYJIak3aFTgMEtLIbAOuuDJAmEhiIJ+8BZvnMIQJIb1nl94a0Nf6ORWXnVUFMdUs8r624QM
N+TlIR91RIbBjyUbaNKiXepm8+5uLWdb+kvBVu2s7F47m5cowTxAdm/TttuzCWiauMQRoUG7zabc
eGblvJy77I3sOgkqIHWdZ6A7Bbq6jKFpMUcyZ4rl2q6AGk9AmVJJ3S2PVNtSqpJOEr5KNyVb3eRZ
bclXP/emBCzqTd7EKcrgumzVuqnZayb0Rdt1eQJBwfDCZcG0utlNjRhDw0LSgx8zSO+B6ApIiWx4
oYKCoxRcgL0x9SflyJ3JAiy9sOQhIfpSYJy6oHjQwTzDsSFCuyKyWCwLbOgZWPrIpi2ixwrY/NNL
jfbsgkH6mLTASgOUJABQG6BP2pSrj/0PUFzyoX5JIc8iiS1dW6sikLBkuj+BFguSAogoogmUl+PC
DmkGHlayLbERh6YOELkJ4NZj6gzOowsdgtCR3AoCvKgrdD9ssBJ1+O/rs+x/Kbuy7bZxZftFXIsz
yFeJmgfLcRI7/cKVTqc5zyPw9Xej6Bhq3fS5575gATWAtCSTAKpq7/pcxzmGeu9W6wk4IRctzVYc
KODJCoX47z0pm8AVdsN3nWKTCJjjnjg3o6nIsTHFWDX+7LYMIM4QklqgyGVlRl4RKNlvrb0Ej1NA
yrZHnpvgHufatDOB2fuFhli9TTtjdIG3KLUoW53vhqS1uGi/1D/U5JmsYKabKFhYrEVXesuNxfgo
sRaW90g2D3dWUHkzOf7275x6EKuC+mJetlxqWU87hsnDGxUAz7ff7R9IVoZghwL7+e337Mu//Jed
AwMOkJj8w1D07DpaFrvahJEHaoV1L4ckI63vpe0F+RYrkisHGvpAGpOn7tqWFJHTjRbgagpj7zjJ
Xw/GNOcUISiRTUCIlZfmFY5+fGB970aeNHgOgfjNLpAiieOq+IrYbq6vQtnVfVRn19XXOMnjq2P5
9oQEZGRH1iI7kMxH3cO7A9bF9tpuuBOQkPmiNwI1dYHl2Rqrm3JNnzFtkJZPZYpqoFuM/uvDh79s
p0jrQUsft9pXKWOjiyvAYWuLBZnVEjQ4rs0zWILYCRw5oGrTAZkcIwUvkg31RqPXt6WZ4J9Vao2+
nq7KTgdizjrvax85AVCQh9L6cXW0sOQ8klxNPGSd2BppMaI8ykJxMcgQiSGbyLGXEImM396FTD7s
7mR33cX711w0TSoqVGPQZF3zfpEqmxCh4nzuzHVfsmzf1hrweVOvuPWyoR7gub6FUZofaYTK7vJm
I+N6bzYJSO4/zEgxzc03jeNFNyRzcSNR7SeAmJa2wqg/h9yNDstTXJXQzi1yL7uKWRv1JqAHOjX0
fCcTo49tyaAxLS8LUpTLC2WKUH0lynf1u1BegczVBWhIV8Fb/UnU3lOmaVhgmR5A+MPJr1bLOAYd
xiWrLVOsKg2cUHXlnlK9hSXKUgFhItWe2cSAqbP6gIakWFysYcpOTtlv7yej6yQWwtU8bsXubjbO
RtQt+H8n9R+0krlbVtW00qHlj03c3HfrH7KlccRC/LDGH3cmTopDqAZ5oKhPynsdJ7lz7a4yD2e/
FT3xU/luiGUzzeDASPtqB1I9dlFy6pFMt6InHeFyHcmh3tlPe3OdSGDZSDbDCJyZzG4LQF9jaElk
WqVoGbbnJKNmlEC1LZuqvVKQMfkqRUkot+TyMD9ZA5LxbQozEMgCFj4K+qm1kYmGBtz0NnBZrfLU
6f9LOQCe79TJhmyxe0R2Mo1JoyMWsALaTbYltTJUQ1YxuKgx9ajRWDtshB11y4RKoYwX58jnf4EL
x9lMLBRHavDZTzhalWMAfo8FIHFAOD0xE10rMYX8cn4ZvKtgautNtxpbFHPeqRenYZla+tOsyomm
U8O7y5NmcX+8/IP9QDdGrtSwcAt48/oYSg5LtjBfIhHn6Eu+zLuxY+bzDvR9p0XmPZiTO/lQj9TU
Uwo7A0kaotGYF4saYExQd5EqJ+S5oyLRNj+rpLa08qN1WSEbmFNi3L+nsS16SoybhNMey2bC7xp5
ceSiEuZ+m0A30eSVwwaAi+YnAE+88hovTOSojGddsj8T0zM1RPdMPVKEgJU5tg1fP8h/Z0vTjbHp
BaDA0Vb/OueD78ftgBSiPKOKtNcGIPRlXnLGyfY0b6lrz3l67grrDNakfu8m5ZTIWtdkrXeCBwKF
J2BNlT7cmDqE86Q5QywhDSYjygHY5acAprKE9qymc3z8nsEjskoKozEO9mQZK6S5hsB2mXC+hiQ+
K2A1CgeW8cMjKDY+56bFznfPLXoqkRvK1Ky1enBRDwR77LL04i93rsqMXDu9sJCmANvlsvQwXK79
fkV1I4sFIo84qMCLQ8PDdN3EXLuUrLxvpim1j65o90ruDHEoVjRunekZu4T68DvXtteMoE2Ei/Se
f8xJxkA0sdTE+YcFT5DHsLKY/qyhROegXJfL9nLSpBnuJz23qH/AQaQJTJvcNc0jKu7M42ygUBC1
g+guqiIagJHjWB3bcGw19qwpNqbndBbg02BEaurd+XjzoPsnpVrsUUG7ipou9hswUBsW6iwiEJBH
2DCdGmfcAD6mQvYimqb3yisNP5RkquTUIyUQvTYPcpqDlHiRLMoHdw1sZqvZG1pkmbJVZvnJLe69
6FMJRvqz6/AnPaniT4tIVP2Oax14B6QFNVoyC2wggKiIoOC7XeIaNx4bFtikYdZlWX3zjWmlnDKD
h4cpzbCht9osWwOnrd6YHS8ADPNrEnPA2xplPs6B/EhhxGzFzCq9jeOo41mSldMI2m6Z9IgUyvMo
yQg0nGXtS718phHv8traktYiVoHG7rr1FKcdzq1/uTjaOHoXy5u3FgoVD4vh4tN7SRnw1mm2XRiB
paJw2M1ADf+t6lFOAwqtbkOyRdFMxV5zsA5Wsso2U4AqpAclmv2eAV/DQSHnLK4kJ5GZZMAKwCdy
iORl2LByjQk4e/KXoU9zjodCP++iAuQpK1XqYEoNgmXzjgzv1A7X/+GjayJCuc+HtJcTP1RVkFbN
RpdZpiSNUWCLeVd+IWcgGzXrL+sKd0l37Rj6DFa3f9ZtSMf7Get+5WlRh0ylD8AzHNGA1BvPZEIt
UwogX1uX0sQpxD8R0miIouoXFB6FBxpVYsJZOSDskIcIBP8NCTOtFPtuyWE388EBDGyEda9dXf3e
9Y62hMpDBv0EsmnRLLLSAVHICvlsi53dpP6RvKj5jZxEH/OSPYnUvCRbhnRFwCUCRemE07HqBN5F
/YkaH9nkT8OW+kbYv0stcGCdPH++KkNSmmM87IC3jWOMjxmE9HKnQeBtYpjBg6JDpRqeQynfqdnJ
Q8OhXw3g0RMi3M2l7b2AW1X8IrQa+W7VMB1p2OmA/S3G6a/Y1uMXEgGNEmlwmnlvkRfiL1KC8Cd6
6UwkzNAc5BW3lXP6sCCztopvPapFa4CAjMCAOzg5nkXUNKH53lOyZGxjYHYgRYdk3YfJg3HVhOW2
Tiog0H7MpyYVvS2JuhMgWjPkdpKvmkrZKV+Eyu9uT8zz63uuf55EwwFA83hX0AtDNqlswAgBaDES
ggcb75qwRpIjeOWXESkcpLHhrf/hqOap5DuKFCS7m6xT8yKO2FjrB1NyujNaLlSwp6QFpRyoea2j
jjKKY1z/6imZAYiRoDUG8PJIE6Vo3cEvFiFpHtT/L5maldyyMQr/q6kNMAlMWowk4hogHAnyoeMk
/GoXbn+oRl3fFE537eumPoM35UzYOMyb5tvHCGCOy4hgdOIIz+m8QJ6cmUxVdVjqYIEbdHJHMzn4
IJkj0V35bN1Z3zNQRDbZKcHOGElmeM5FOsCnaq060Ei9kellbNijg1T0Bilrv97s6kX/oSTRg/u/
TquH4oD/U60/hJHf7WzBURUkG2NEfZCQDQ3TaP45x7mxoZGOI4ZFTkMyIwca/heyyM4bIKrI6d8v
ZGFMjmoedXXTwfJEABkIBE8zcndAGeLneQhcH9uIAy5lvW6BHwlxCnaihrtDtfO74osSIZ/RjINl
BuoqVVaiIElEAw+U7M58arnRb+k6SFsPGsvD2bQOiPcsQWLOAltCGCQKu+QOp+QB6kTZKBfqjX64
Ly1W7cmCRA+uJCPYk+YBKkW5/NbmY2rSPtxBO7io2LXs7wTfwqwRC0vqUlMCe4rx5EyDqvbqEdWz
rnteuoPVtsFcojpMeVDvcZoENJUV9jnK7NHCmMFT8Lup6HKNI14qSbrX+XV24cOIoKuIvtUo1kl2
li0ygCOiMWMeB+aoR0GFA52LnxszkH29CqRi5Fiw+VtrIhWPrJUfKZXsLSmx9iLh3Tw0DsXAweCF
lcS6YnZznNpEc19z0OlWmS/OSYxnB3f64YuwEJxEoDj8CdQ/7ETyn3nidSsn9vPPtfCqbQcAZ2TY
6/0umhMB7EQtRwkPwKE2kQOKhkgvTMAe9eAaBwbud7eyAQWGdHkwOkQt2yxjaR06KfJ07SoNiqwL
r8iTD6/US7QUxVZIYNuSrKtqB+ybNdZhZQVIQWW4aAYAXRXtcG3lBIuIZtAQj9kuY5qWT1gx0gyL
UM2T8A2Y9cDfLO+DLpRwgKUHdevvXL1LzqBK60BhjmI1A4gj5zl5fdyG0g4yQ2khok6zDQTcCVta
tQUdTF5izxjzFWsjlFHIlQWtBYaq22VYxDyRCIdZYpfpzFmr5UUMdJu87EB/K5cSZKHmIC85Ryot
aNR6JdCA5VUMS/ILCkTQHhLg0iExjiZQTEhOqXOUGEeNsv2nmbLAjjkDGBIKOAZ/BLYWWJ23SN0Y
UO2cOAKVvbO31TWrAViVM0/7HLghu7J29i4XxpGabhb+vIx1q0Z2Yd95BgBYkwRICh9Wyp7Ud5ZL
l/SkUpbU862p9k5KaDV4rwAjKWK7yHT35GIJ2125DVB9VezH4yXvz2qsAlsANEL6J2mWqFHH62yT
G0jvWMJEYwGe67ENA4AI4kSDFeFVNTVCCZeUv5GElyXqf/mMPHizb7QdCTsXJEerIQVlJdDjwlUY
FdchLI+uBHWkBoFc9274IOtzvGL/swl58LQHsqOa9WEaGtof1xzDvD1oNVsc/nX6PEJhUTtXYBmS
J37gk7GPrbwhGppYmZUrpaEeqcmQhtQk0lkNSYukFjgrwwc/fcRJ9ujofyiLh6laruOEUN2N0313
LBzBUYauqqpyDXOVc2RzLNVXS9FVNzfuzmTNX5Svu8gWfdciybkVAxiTqJarB2wCKIIQT64JGGXU
hhZHfVUMmKEKRwwTCj8DEtopfulbxKfAIi6pU1MtB8Uhk0WlixV5AaeOre7sl/mGhm8zE8vpqQbu
AxCpC5SJIfqUV814jWVsioaGqYM6G2vEDclIq+wsvf+UdKYAS+gvV+rxAqAmgxEtUyolzaEuOLRu
hEzEqtiBCdQ9j1le+ts2ZR4YWflOZOnQBKjEcc9L160zsWp4Ym2M2bXq6yQB1nSQX4cxn5GfgWfV
yuhBS00+NGWb9ChB5+Onu69uSIXhbdSXfPebulM5fvLNFQLZSw3ea2v60pdJHn4Udz7LD6xyAEFt
RNwPWomWYuclYFdc3v50PJdtlyFpXDebz9QLJcwKDfOowMusykFE8iEjk7bA9muZMUoAJdMkf5CF
ATzdAXXkuJLyaHrUWfWhPmsFXmd6edAlgk6Mp06fav1x+Z3Q7wBw2CiNTKHpkIR2vPuZcOlC4wy3
s4lBtB2CtxGFjHofrZELk+w4D7s1YsAYawgnHIB5BPZxGptJa8gI/qfJ8LtoPRrTcC1DJ4gsK322
2i59nqI4fW5T/Em1cZuSdoiABqnvAIauX0hHpro3vYWzHh4Xi2HUOd7ZOt/THNQgqR0BX7+bt8u1
WuwhNi2SJZaLafgmrmHsr8zaBEMUah1wcspapMtF4CKUMtZ3UMgh9UhWNzj44BY/PZiRUpdefW7P
uynT//zXOUiRTSJcJbp+ddJiwOegIXPPmpMq0LIZXIIPY55nf3nJIM6z2wy3TtQXU2KZCjma2xZL
O7BDdqGx6Nw21s8ZPlFQVxrDLsvx7zz4+MHumCdaH2yOBlLZIpAFaByA331in5Ew7u2xzgX2eyhR
v6lBmo9+FmGab8MJPMGghGhXVlNbe5+yRAANne8swNmsNRoDtrt/KqxXlsyAs3ZdnH2Osf25qLx2
o+hw52ZGDdI8PpHIMRP3nONgk0bEoVuas721hh57CYnIRo3rOAxPBBcZBKaBRQfP6+2AvLpbL1Om
kknvscbGkGRIjIpuxcheinjCC1/KSTTY4HyMXOMzmS4iqayQr7C2tBGvxc7PvJXwnPApW5PBOM/x
TdOS/JIm7aa3zOrIhvqi1/jdWn5+34Rp1G5HgMKuHhSGtDN8APQmwPLaKC0paAj6m1fLMsM9TezN
rL+bvbcvraPrl0exvBlQv1wsFxSOOYrPeZYwcDL37BkoSdsRtb9XGumFEE8heG2BStOn6ySMEIUd
tL/I3m0d9jwYY7TDRk/GReBOir4HKWydTcO2xNF/in9tMCfxXE+P5AK+BOwbXOZsQpCyYoNqNc6R
mtmLgf0qhAP8WfRI1tbe38jymjemMkOdErDbpZ1yo96D78OQTNQ0yvdfp/L03MMevsgAjus3gFqk
EhvVTNO4BmnCcEiyCvXTpPBLx/b3VJbj4mSzWpHUpm7VIRnbHMqv0YR85bJLUMwki7eXam3qUtPi
iDENEd+iKm4SYYtYXbDBb4IBVSirBsVHPt9ZEQqX8fZKmm9smIEEpQOHuBN6/c0v6p9AhDFuAk/K
21SEf5PY0B03iIbJPTiVlX8bN76nFwdksyB3AqQyQdWWkqbFtl4BTH9xRpF98htufLL66tSHjfWa
ZW0CilXAzDqsar74IEUUbm6cee7pZ1RU6kuPZCwzp5Pu/1A6M2ybje8bBiiauvJm1q9IiwbfjsxV
DAUa03K6zSzwOCMZNdjf/LTE5OxqgHEdYj6eC2ZHF2pQQALgejWey2kxAS8RFNmH4W9MlIh6qZHE
lzYe32emmSbUlosaICYAWOhlM0gsBYdQF2i8dN2p/bttJb0kVfIOkp6DLJUPyUrEKiXn823xjQA8
jZSSamOZLXBfhY3VSuejvMHEfwww3rlbXzMfeAVAYCYTQ9q5iL9ssFM0N5rMWQRYRmG8lE2vj5ui
OtKCHbAwMw5VRbEr+vl+rR+DaHAnJn1eLQv9u+U9dcl8rMuV7s/PGhAqwE0J7F+N+eAnNqcdgQCT
KEHV+LZORRfQkBRdnv0YcPC14R2PN6NVddshK41XYNwdTQ5w9XwaEV4TzHou4jQ8/N8WAJmp1rZu
iJ2d2caJGtHF5tL7z7JBJC8I+jd3rkao/bA1TwccbvJeNfXPAits47+a4zh/5WNob8AlbZ0iz/i5
lMj6oZMcp0ZWIZsAKsReyj2rBmVf+A45x1HOjKqCs+hAdQ7RgwWQs+9l1pQgXyfqyt0Q6zPwRrT5
xgGHsusix131ckgK0G2UN6BT0CDSmipEBgaiqmXsp3ugjX9GVPDF/EATH53KRaqHhhr3Dxn14slG
4M/UHMC4/4Iep95Q9usKVE4X0DcBGJo1PnAk8+Q20lCE8cpqkbieiLg6z4AgPpdOXyEiEAeZFJEc
aUhlHtx1sc1iKx2klIHf+1CRaVpnGkCbXKMFW8OIRMAYQIeDhPReevLRfzeUiiYP44B1trcYV60A
qCFZO02VIkvgn1O0ckgyTzcBWTvIKUfX9kFEJ7t30oamUg56AVSNd5AiNwR2J53tLeeO/wqfrM4J
H44W1ZmgVmEBnWlhs/6d8dSaa2/Im7cuRWTC74xXP7fdKaiSJN4WUTgBWajmpwcaijYTqF4tQVmM
miHHXy1jshQNKsG3iP0IcOvq/Gi6+V9+wcMXJOD3e53bxq7z4uLLGFZf0ygtfqCu/q9kDv/dACUG
QBvOnV0ZjrvRGVCDYxtpfO5GE0U2shdFXobUoo8xCfUWfK4Zs4bNg2JO+hjwsGjIbqYZaTxm2F8g
c3g3dt2wH2Pv6E06zuYaMCUvIf1lTIH9JXpP0Xyt0XtrTV0EC4C3QN0lO2DpyghQr8ucgsVt7JHf
MRl6iCXKh8PSHYze2A9FiOVPNIwvwEMELgdI6UEqD+zJTowgOc/sDSndubGefMvZkTKKYV9mNrhr
8Zs/kqz0DXaoOs/C0Qm0LpZcZh1v7vbUYYqduHCRcXLGA9cA8Y0Xf4nHLTEP0GCotsQ78EujSwz3
XwPSuAJYC2UCzkVW9ihYQnYf2poZFmDCEYWJfICpUJkTFTjlODpOD+PYZZtKWOHKQA0QiOBA4luv
BHsZBeJgDspmVo7E56Yhl6jiA48RZ5NaavqPnlKQnT/kABX/zy40f2LHh7asRmR4Rvwt9TIcyLbV
NUHo9dp5SFwATElpn6QCIKEImTegu1zUEzaVpxyKDMwOu9qPshUD0uzJyn9Smauqel2QgxTa0C+z
O3AhUpIb4Q/REIcDo5zNYusaS6fLY7LGIPhF44ffhYc0qWvYXdBJOUeIj11YeqSYE8gBf4g+BWCq
xMlQ6Bhl2m8c3SoOSqRQLvzclCVdFR/Be/MPN5K1vqOvdd+y/RZYKnMsERXaZyFhIq2h/j4NyPBl
OOeO127U3Q9TMXw3uHDBOoXfw/rDuCkBUQnCkVb512aWPIc5qrwS8zD6AFfm/VD9YVo/44HFf3IB
tmkzadhpQMLLbdCRO1xZXfznFEbfYmAuvNg4qz/4z007DsjMAu9Y0afpzcSBcY4nzQuJNGH87VQd
yFakqEdZ1nZCsAAJhRhqAFNW9mSRDPadfafp4dYJkRXmgUfpNDW827A5ep1G1p67zNA/CdaV56TI
3irH58V6sGpnHSIpZWdEsfEpBv7CJ8QkSDfZCWCjZKU9eVIDSPRXy/XndeU1eyarn0AkbZyop4Y6
j1A1aBvO5kGhhsp4SvLqGIPBiTLBcQ7CESn9nJoMxBi/Rm1ZzxVST+S/RVSvCUuTUjpUXkca2SvX
Ari2yihRZlFrrcYu1yXZAAfJAxC8hfCfRtmYAFIA9LF2dCVsAslnnP+eQlM7kUjJm0gPwcE2TAHJ
fO7qOwGi0Pk5033ziHoxtkmMXD96wGO7zWZor3rhFj9CN961etVdgNNsrReaBfAc90HoggWWyBKI
S+F31AqkVSa8NMS6z5A9plCBIoIBonFv45vG4bqEXTI1FgydCX7dD7pShQqkZAtykBp7qfvupwCC
qAeMXJlHOOoHp3XSW+T3W5Hq4wuOxscXATgmicwcHmYpcz1knDuZK1aLVsqSud/ZIJJ9IlFhItEd
66F5Q8O8bx08htt638c4oO5C/RM1o9/2W3DGTUEfV3qxLo3mWqPC8TJWjfFpsC0gTNttcufR+Gax
NoBotacJsJGKn+Wc3BHGuvP0b5E3mQGLLe2UhFN2c+bCXU0ok/hTC2OE6+zuq1akWDCIOtkDkt74
klb9jQwS/GBWsd7Yt9L2h1OXi2hT6l78Z4dCWzkDTc3nxA/mbhD4nP7U8iS5Lc+WyP/+r6PE/97k
fXLjQ4xnFPwMq//TA1rDtqvBpgkI1wonUXJRRGNqXB7O3hmgKldRONaOZM3QUwpnu+lCu3zNp8/E
8R1ZsTjGrpUAXMXnb4yxfD2UrDvPYJR/tb07q8TxYDUk/M2MUR2mrPr6C4mRdcuPtR2ni5Uos3er
wgd7EdOL7WyIERTICcrVmzl+CU3LvNYDP+osyuOgkcj22HrSJnTZto56wXf6kH9XW9THjS6ZiKi6
M6G9K8i0sb7TonMsCS8Qn8EZRv5Eg5qYMmoQtSLECnw6aaAUet2hygxnHbuM5QZbhWmzSlH2yCuk
zhjjRuUGP6T/CtTxosR9/vaQQkwOGao0cakUxWs0ZkXhA5ByjoAuDUTj1cNcd+aaiNc4ZHOP5Kfm
RiCmDFAMh+VoXk8rJxqSG8DEPISvh2bNwSb+HXRHr50o6pewAMtWabgG0hkgz3i1S0fP+eoh1WJv
ApNnm4MZ+7sY1p4Y9T+AvOdse53Ve9AQWa84JQlID0bAZKPhkPg4lm32efL6TzSfHRUAjx2L4lK2
tnvTJg3rHXkhU+9Q4xw5yQ3Fs8eyGAHyJBC4duqavxV9526AOJrsfTsTb6zRT6YI65emt+cn1EUj
vh1b72a8nZI9Df9ppufOs90WAdYAWxxKOp+HOa6vODAYFg77JET8NJrK6EA/URtmoBU1kIQ7VoGd
WNqLW7Zf41I432sGcmXfzq2nqZuKC/fxKCWFE+f7vu3TV68R/q4ApvmO+67/Gs32hgzSOslQA1mL
M4BVuptdIYDMeeZ8R5bv9wQF1i+mlXbHzkU4neQuShGRnPM9KjR3Uzs1O/R2o704c/81RKA9LvE2
n8FE96m3xbyuPaSlJx8E9zzLTvoEDgQS9WU8XGs8kNLUBI9G2SIYPuL7XWegP84QuMcEBQiM7ybA
Kdl/MwFNH/Z9d03sfNtJDOqkx7q68PgJWenVZZAiktOQmrRBOWjP5mqtZNRTdlzk7XnWwd3bBl4Y
Tke1yATVOqsCWm9S82HCiFvVxWMWIJ89yqvUolba4BxvPlZ2/HeUuTi2/ViI05I8IU4fWpPTGpzU
aki9xUat4KM8TNYjm+NAGZKf7Yag3VriP6YGSANWol448rpmE8uKGltW1KSy50gF08A4RQqSkVYp
JllgQzKlQBLHu0eUMJnqmWbYlXV2hcQ/KhAyrYytU9AdHjOt9W5tl6G6VZ4pmTNOeCbNeMuq2N/8
ziJ2212NQtg3S3NRwZxobRCGtrkDB8xh6jIBkuEx1ILMi9kmBo5mgTVxHRTMi29tkxmfxqpMDrxr
kDdC1kiFbJDLM1THaLD1T5GWzlc5V8RLxLHqstt68rBWHecuZ7qpaW2NGSfX4YeWxT0QjZQhd8qr
OyDfjUSePaXrcsaBqGsjRJ9IslLq2fjx9IgYKTGIG5DR0RUFDwasttczKogEoiW/3OCBCjrEmHyO
alus2IAYIpXj3L57tFJDalK4hXh73z5g3W4E+D7sKyEkIefGCmJHywJsj3/BJhEkEqIvbQIMYTJb
MJUyaew5WR6Q8M4DxtwJ88XYmJL0+l4QXTSHvjOHHXbgWLil4uYVtv93P31nXuTIJONxg2rr+S+g
PX13PEN7a1H4vC76KfocYZkHenFXPDl5gk3EUDuo9866ow4qh70wa5RBFK23GbNq3DpNgeBpZoA+
RHKIAMjKO9RauFEiklMz22zuV3fjfhR4iRYXJSLkZfKNdXB+I+NtRkk5suyjXE+uuPP8y6BlYIty
prdZS7sDs1s3GOZ2etOB9gwY6FRcdPAOffFmhFqlWcEcsBClHmgitGJ+qzwfJYia3eL8DpVuh9Ct
wnUF1IVLWiFJVk/wsBs6A6hUyP318jI7hHqLsg4yoUZLIxz+N5m17tzOHnfkB3xN+XB39SCezGtl
+1+bGM97b8Bb05S1zLnAs5WGhqx0VkPSVtI4lMa6NH7wJW2cZQEwWxDJrRngH5Y2RtbLr/7kVh/9
Auwdrm4iF8YfjBM1ljz6VUMlu/cj6Yfzco3/pSejtMWWh8fZKS4j62LMI84P9Sje+QYAULAqgpAa
T0Lg5kiO7I1FoKSUcpHVIDXJEbwHle9vPPuJ4ewTleZ4Wf6aklI6Cmy+ObLrQdvuAPKMLqNMUE2c
bCIbZT+TE1ZrBvQ8RBXA3JHX8fiUymYaEM33I2AYk4IaVPyMT2UGFPG49ob9g0fC07cUr/3Dg0OE
0LhXYmOs5qCeNrXbMOHTmUZdisDmKmHZysWRwFXZlqaBDCFk4PSJRM2XDc7IANGL9ewyJFmYFxKn
VwpJfWeNBVzPQEf/wZYV6X4JAknEDok8ixSD6b8MY9yeSYTq6zTwkwj4NK3LNpaNYBJAeaoL4iJ4
mFJXNcag74xcq45KRD0mn8GLLNXvZyGFL7VZuU9whvPJD0f872stIsJyY4f9y3goCqxlQKcJMh7f
HwMD5Zw32vvpOLzfuDEDOwBIXF9sIyqfCuEf4nEA2+zDVHrdjIexMv1VP+Pfo8hMd1d04R45QPEL
SBbjF7t3cYwDvp5dY7tI9++K5CnXvMWCR99QCefmwJ4KQwD51eAMA/lNCNwm3UXqfKWHZxqXOb6/
wY/GDQ1NMKRqW1JzLIIDHO02axp6ZQxHJh2VN6vmH7attXuVkkjJjL5p4tvLqmqHlymSU4peT3cT
Q1UOr2JtSVfsIrBmVVP+lvQ53hVjbtlX7Pnsq+MXfyOhrNvTSMmLcU4O+G/4phudfTVlE4IX9hI1
rPhaseFrhqAX0oBWM3FjVp71pcXK4C3sNbE2zYQ/AzjDxx8XitOQOhO4Akpt28LzGWXG2O/yynor
5+7rHMeNnGdsZ/eb0MwXOlJAPsJrY0/hlkaqUcyOJKv90l0oIh9Mmt5/9HeRnToAUpW2ci4CT9Nq
2e61qbYqW6SWkEZtAXFIx9YhiGAkDUf3ZNpIh3RwLqaY1VCcapxBTbwrTEBWaG3h7RZaCI76+Ags
rQEg1sfPLs+MS1rwN71Kwn6NN0julp+JTQLZHUB8qeoL+fnC+v00oye5pFo/P7Csm/aJEYsdYk/t
F3NowR+aIW6gpT+NzHZfFgN3xGvExRGfbqU7w29/EM87o/SQ3zHAf9gRC3yH5LBAFK2Dt0FTNTEo
N1L7ZsmmNPhPGwA8h4lZ1o3k4VB5QZ0ILVAyXuGV6Vv4ZnF4oIUrvQj1m4c6ZjhNzIbE7o27iTwH
OJszVhBghjYF2/Qi8Y+T6XhH6rW/GSoTsgME5buHcqvSbtXGln5QtmxqXxG3bbbYjutItv3nJZQd
XVENqfdwF+T7YDeDAG5ljW21diXAYt8hilWUnru15RC8adPSkJZkygTfGfBuWokIqAwTDrxMmoFc
ul50B3yxICOZPbHnWs0Peusgv8Tvx03n6+Xn1MYqxrLy+E+WmvuBRaCutX3k23mG8wPUyeBtmpn1
pcGdBn7ua1eaCdCh/JCPKagq/HLcmEh+u/pxXuzpye+Gforkb/GFnvzUVDavt04VtsHCoMhkKjNo
ypGS5sRTtp5ja2VpSXUja6srMzWBkQJuTQPOsKMB4MrtQX+HPzou+XQJCF6DmjvAk6hmf5hDzq6Z
FhmfQN0+NFb8Qk2NbeDGSW1zkyKd6QVr0O6pLr9XZe5iNYp1T9CHQJVfxtwBKPsMuKYjeEOhB3bi
imdu+OQlifbMGe7C6wXq/pvwOR3M8NmrwL1bWojK0JAUvihEkHeOvyEvu2XpE2okdaTkIe4an0Of
5Sdsh89W5XRP3Ty8N5Xn5Bu/yLbRUBln1ng8GP3U+z5Pz93UFD98AL3jjsvh6tshaBhM3HsRIzfQ
YHmznZmHx7zrY4MastZdq/Q1wIshlkw5adSUSMzwBW8PjZisdwW4bYslE86cuLHF1/FVb0ysI0x2
Qr2HTPTKe3ZycVPjoXSBSk1jG9wjAR+Mbl11yEQeR5R1svCP2spw5iFkHiHR9FGvBc3qAThm/8PZ
dyxJjmNb/kpbr4c2BElQjM2bhdO1DJkRmRtainogQa3F18/BZVQwKro6e2w2TIgLuGe4OwngHnER
ifwFY+XqueyCaqtNo4vj8gJaen2ZrG1H9N+ypNtqMrB/qVBu2eUcGnX5BIyY5EdktrprL6FJYEP4
9aUY9HjnxWO2TSbDfJk8nKBMUy4v1ItPM808+8syKNZ5fjdNRQgishLcg+6cV6xao+lOOAc6p1DU
BGL/va1Rcn1z/WP8XB6gYHAKU3jimW7Fzz1+Y34kp/RnGT87o2t8NyYs2fMoG869ZMM1gSaWX0Km
fqvHIeSKVU7IU5LmvMvxJqgeqGwRlWAvCgPwgQ3+0uFSRmmpU+nzFEUpxi2byp/4q4QgpUNGZ7lQ
m6dEcEWduGs8g996qUPq0X3YNeGeuXJE2r/lSOpAkeTcjgUsp0qgDqgN66a3DipNFE3FfMRTJeUx
HMe7CEJhZYb8pbKYR46kuldI1LnNUv7ySxuWxvLQMBvprCWGunM31a48E0A1BcMjNJvGbdEHSGzG
sbxopVvCsUmLvkhb/lEpzolmPHWWVv8qwEFbAYs1PsKQZ9waQ5ad4hh5ZWD7nw2try8jEn/LW0vC
bG5a3hk1FbZ78LBsu/7zH//z//zvn8P/En/kd3kyijz7R9amd/h4m/q//sl095//KOb2w6//+ieg
jPDlsTzHxb8mLMAt1f/z+0OUCRX+P8KkqrKsyc1rCuTrjqR2SFaHmclWZ+A4Lk2kvLNUZ/WdCD4t
uJdvnbiJZkEeivgk9tN5HgRemWUA3RfEZ25D5yBCZtHH4zQ+44wZHzMVYeIQAxeGGKrSBVYXsd/G
+n00WpafI1/5HR7lPv789q8R/kGrtNCKJw05qK1e8+RopGNzM60Y9wQD8m9k/aNxnO5jryf2s6Me
1bGzFPuEspdLfXbgw0omWAk7CvdkjjcGm8lbz88/KWK5LTRdh2dEAUAi1StVH+2U92uApbVzjJsb
SJf3mesa91EIK/RqdG5UM9NouHVN6zsCCQO/g6TbCbTxpyXe7GO+h88iKN8UktZhuk3tIF/TBHSB
x5BcG8NQb+v319FhaL4yQkcc5qmjzHqAyFlypql1ZkXX3ougUOWFj5Rf6Mr8mmAle6GaLHQGtx+k
Lpygz/3ff9Mc/V++aECXusAL2J7lMMO0//pFqxIuxlh401V3DHEiHyW7GopwNl+a3ZVysPuiCMcr
czecZ05Q0s3auR52LA/Xf43RpyKot+Bk4u5GEoY6Hq+HZmzEKhiN9I4UDakjboafkA4zD0gXwK5p
jNhmxJdqq4lVKkfnR6YeZEZjFZcQ1vUXj5l4LwBeAt7It7PGNw/b6GqXh3wAJWsnTCjTidq11g3U
w7cmdI3A9iql5lO2CaqggKRTaqmyEjiKjunNTpBmmWvQE552lUjKM4xDy2tjACxImzm1e8vNrPRh
MtrM27f3CH1kae4nYY1eK3rrFfzb7z8q/PQ/f1Yw+MHNwATgw4PyqKP6P9wUuk4b8tRyhytgmYE/
TO7Z8Qzt0Shr9zy5VuEXnWBfsQk1V6DuFtfWjIsH29CeqT0INbmZcnM64JTQeA21o9W37Csoff1+
jIxgQ1E2tp92mTgb0dbN3kqK+pYBd7JRiVafqtKb6luoLm1sfuwowMy7tBMyyBWTvlRP3ADOd5tM
FGI/ysJ86SPoEnoA22S1XTzrLbQaVdRYDRq8YjAoaKdXJuoG1OAY8Ckd9521ZlaeT0ve3HNxAht6
6bpm7jlgev+1bbXAr53evEVuFR7gOIc/P3azd4yV4I6V0/QtD6NDoW7+ecbP1phtpBaiv3frB88O
41XuNuxIVeaN1m1IOxyMAo/uV24qdiCzBLB0KrSDJh2cmEfG61gE8ocqQI83/hGh0KsWVaCW965M
n5YYdO1YlpQn2i0uF9o34iTCWcO5J/epw8StZvv7b4/lWJ+/PaZtA6EAGwXTwFOFHjkfvj2jETux
CLm8akDc+aXtWhdujPhJefBebkz2a1CEJGqiTmqnaib19GSG+uZTO1XpEvZds3baXJvn/bu4hsWH
QQejJFevvAylVxgHmAQ5MXv51E7vwcnc7igLseOtdI+muugpcmNg/tjOcdAGFKlrLlIr1akEjQn3
uLR9jqHplm4qgWy4F2D37pM+fMTPydi+vd6/nerDm1jm+jT151emQHp38+wUvrzvFAKzqXrtpf1D
3PIqyzRL26BFz3bX1NsAH93Ri2MYwlGRLhLeSUds7/Tj0kalT23Irg9QVFBT0OVDnaaY604ZQaGp
wTHU383xd230MgADYpX+qTuESN2q1KpsyzzgG1ge/AHMHdKR3vSlSSroUVhFf7GHyTkCjglPP0eL
HpEGgE4iEAM/lXVK0ljBH6xg36GbOn2x3f7PQWqRUhZDt20K54I1fAItUpZkvpPVE/gvOLDTMi28
xj2/MLqfj6o3b+O33rQrIupFpjh8pAFTG34cTxERxutIyG17N462A2AVZ8cwEz/vIJ1dRXiKD0YM
+y3WGk9tawJyVJRfsT6MdrEJznY/OsVXI7P39sDYEw0fXWAbuApbhnv4P9NwZLFCmCxjXzcD7Zim
e2uYiuP/+o6xmzF31OMyY1s6WbvurDx51evu6tSG/QuJ1numxf2LBWGeTZ9ZDTSlM/ecmma4SWsj
efWGZgktJSwrmtB9dsvCunq1A0GeBrqfqpY4gQmhpQmHhfbIdB+g+HJDcdRDF9DHwEnHiE/tE7zG
fX2spo3RA4uvjaKZs1xL5mxJcPU2x4o0xaJE5cHm/BnFdSaQeG0g38bSiE/JMTUWTxgYcGjhjqwC
41QDcZKKHdJrzYpxsambSB6pLS88UN+oo3Am7YDnhg1vlskrALxRjOKSl+xIJa6qVFo6WsU/7oh/
TEWKtog2TEGgUoNBvIxsy6RYjV4NgLU3dVsnbX5yteoqWf92mboIrkpU13HGV61aZX659A95AmRD
CnxMphgUdKkVNaIivgXVB0DWVkag25tYwVeWQDAItYPAwfv8P6b/fORicWPjxjF7JabqDzL/0Zh8
66G/FPAozJeNQoV1bX7KmuTtUgYelKWXOnWPhgKrUiPVYe5ibLAQjFZzz//PHPNsdl1tpaab8cVN
iwTHxhCi1TzPu8NZaX9kWJ9uRgYwB5AaOwJQU0SJ38qd4UKOhyJ0CGiuiipL10AG8DMkVw+917UH
qtHFU+1LFWTC9liKCjhXMAULS+Tgh+jDZjTbslyR1okdteNprlMxLHlWbKlIlxR5br3MzS3EY9v8
QG00G5WioFCQcTU7h7gvjlnt5pzV2JTLGliZe+pZXofG4Ji6AsCv16Rf9Sw/EMxyhITAoXTgIU4o
TWrrtzUP9Ecqcx27Owp3lcA5OFAfw0Xd1b4dJIUP2WjPNlZt1/2amIlXwnp9RxTFaIL8GFWZQjqb
tZVuGtU7qSr1GjLJd8RgHNMghTa58ZuxSzCNdblxzEXirirQfE+x+p5ZOJGHezSy+GD8qFa9mDKk
xsBD9KmegF0JPpfqoos00m7TC44koYqktj6LRLylOk26RM9Dgr5b/35pxnT2eWlmuWABGoYN30bm
mbZaun1Ymjl6qNk4ljAugG/J5uB+1eWr6ZT+gi79BEpdwKb/NgS5Ye2gJgkN/GqbAN7BQXfD2VJ+
6fSkAf/Z9c6x19+n7dA8UFNrFPmGt3W7oSp1/M2gLBjvKYAutRrkqEHLRO+DeqsrV1iwJ/O2r7Cg
Ppcn7g/a/6VwkoBs+hSGK9yHywM1MgM3fTl0HchxqauJzb/YeOBp4+F+eezJ1IPg8Bkh4alowFdt
61iywAMtQ74udn9ZhYMVQT6+5AIyCgY0Qe5NiHxvY9GKcw1NQvhjNtZOTia/ddi7A8TK7GcxjBVS
cL37o7UhLo1DZAGEvbvy+p2HHcYJNEEYtC65yETG3tqqsUMMcy6G1ZKgnOuNgZyvGhjBfPv3XyDv
XzaGlmtbtqvbOnPAfTE+nRbJIG9K/HS7i/Ag+iNMMHxX5VSC85onvmkKVLUyhQu142aQ/QLjBErf
BYzUktRaUyNdNPwydRwvTcEaxq21H+TM3DjcnLBIgo7fihJYsoWGcptNk09V2L4CM6QuFL104I/Q
3Chk6aA4GrFMFSrrLr3g2begzpH0BBPlsY802Cu7EYzGbBsEKpCy/EDn4J+lr1BEKPYcaTu/Vsev
7btlCpWoDTyTeGdr+SNZqSztfxf7ISQJjG3Xd9NKjmPkj3Wqnwvbcr/U5h+2wv0l8CY9Zg4yds3o
DK8UVYW9fgYRx/vCsz8sFVWOgMwJjoQcRWErpmRNMRdFYS5qXqJoEM3FoLV1/v03g1n8860FqWKb
mcyxHBd+9OzTmYEBwcg29Kz2Yk21609KWZsuoWSwFLShkbO0USkdBx8SLPIaDgFsJiiO4Sn3IQ47
sPTOqUYcSNXy2rqROPStVa/yIkkf8VunNDulz13spP3IkPaO2oDN189OJ7/NmffJrl60ytTOFNsw
SPAk+PjXFFtlZfmYnefIPhSe31aVOc/TYol3rmXz1Y0BoPTHKH11HahG0zx6a0y70mg0qNw41Tof
rfpQQy4dwGbmHUZHi7/gnGWXl8b4rW/Dj+0F6FHU7hXZx3YVL/V4+hYk41eN148Nt66gnjcP2IcG
dy7LXyIcF73atZPvlPrgNmFN+WoK6/IGipKmBdiY+JVDtOFCuBtVm4QILgTKee/jU2M8v9cIkvNe
ex8HCcEPs9Cc7+OgthBcqJYJOb9CGgPYKQRArGqqfzc4Qfjv3h692fe3QJHvb29ya3/IWhDCEocr
23mjcGAY62o3retTODHz4lFgV4Wju6Z4zHT7rW3pXUoUp3W1+R9+C97no051qO5yx2G4VeL4g3/6
KbQ9wPki7ZNL4YAxxpoOy3zKQM1pKUiX7QyrmWCE8Gd+yvRKZMn5cNamChkIsE98iGbZT5om4gt+
WX8IyfmTNbrBfWMPa4cl9pOnLqB1w5NjTB8owHPKn1K3y8tcG0A679omP1AoUp/ANIZMbKnKjHjc
GFb/FTolyQpqhuZ9m7XmfVXX6W4INcBqVRtdmrD01nHltJulTWuD2B9Dx9lxzt/iAPH9ZbQeP7am
g4NmQFp3SSCKK41K6yy9z7EMUq9CLTiJKy8AbZ6WGcwuEcflHcWch4AoiOw46aCC5nXN70C169VZ
qcRpeDZ9H1vg9+ogefFkFO2rLsp3ZaEbr0mg+xQAl2xjPXCwDgYctTyYLr421EFTOq6vaSEOoldZ
kDiH/3BXND/fFQ1m2LpuWKZlWeAG6Oqr8mHBVXaRGGDCpJ1DDjX1hUTCkeXjyPXMhtVL+0Im+dQG
e+5m7boCFBaw2FZhKqYPcq4LmSfMYU6ge9Y49y4dpBlrpLBEoLFLhwkQDltRD4+SBjTQ+q4h5HKu
A/kUS2ClalW0gG7depYYV9St4ZAx3lERdtOHwBDiiPfWHXUP64E014rXAhpQfh7xbJu33TXHrfuX
4NWnguoaZFH/mqbmU9eAlkl1/SUGOZFkZfKh3Fcb2yuLG8m1urRyKNfUMleovdowLNNvf2kBYk2u
al0BF3Kv8TNFfU+V1hVdsslmZwmlo4bUrHAuC2WS2DF+lLnm7D/EqWEOQM6bjoWtP7lAI7OqYps+
AgnKHA+Ljk1UFG2zInkk0rVZLordOfXFtlN4gaCowkfew08PyzvAXFUNjhX7AOc8+CW3NuiocGZO
ElgZ9sDwVysq0iVTjVRy3QmiF7K1N587uvHx919w2/z01DeYgxsct8FcY6bJP2cK7HqCmp8DMEAm
cpwQgdD+3OfWayENu/Yf4EKVPEXQRHpqMwYuLZf81Jht+hTLAmhHWXLonaCqa3CkAAYzBeDJBrGi
9ZQiZoNDBZnoHuAgcbmjJA5dYMsen8NSnmgdT2keateL/AAiQzzc64kMdjxqtaZQUjqbUPs1NLgt
4e73XXCJ9C7QxyAuvlepFxv27817kjj+M2LOB1MEVIjvI+z55jwMdIEY0JlIKVHmxjUzdu695GWg
M7/ObBlcx7q3XtkM7Nyit/RAufn9p4CT9X/5GDz8pj2DMY9B//hfkmu2yV0s+XFS0sXWBBoilMkn
X8RdHUIXUS/B0BF8+FmOurxW2FI/Gkm6gVYrbH0AQXrUitDEVqztkH0psXSJ2LTJPeE+yAyc+SFz
TFgU1O5DXGjdOcZiCvKXXeZPXinhhugZewrOdMgOQuln38XlkPlVN6brIhPBdgp056FITL4FVNvR
v09Rpt9bU9dsIYDX7qcowGoW4hk18pffwrBocBQ94GS86sdXcMlWCfZoc/sSn+CMZ2n/azzNk7Xx
r96FgQbxWXV4De8snAz5nLisS526sxSKfbwzAvj4DsVZSFz4mMFQarJxkVp/yPNkR03UuYQZCW6a
QHwjzohA3nZbNz7lPdeBZsTFBJnm2ub6U1Hl3aFPZLHjmYltqhBTs/ISvT67VByaRO7asfo+V+Hx
dJ9PpdiOCaT9VxpOFI7Z5OlHbBdQsjw0Uv1D8UPoXPwQMA9TEyxTzUOpJ6xbGLyUQE0WJTtFUfu1
G0Nz28gGOk7GqOFKPQBDstOH+hyuxlCpMiHT0OPGtZmrNHyeBAalkOUqVr//6tufH7BQtLO4i/SE
gyWXpRufHrCANnSMJ+A7VEMWTkBMgoMH17QCLr/MepbvpXwM39qW0r+Nyy0Ln00UdPdZ8IR9Q/J1
SsHJ86LO2MZTP35zy+fcHpKvTDVHSHdvtdAsL12cQdE9FwF81lzsNgqr+WJ1OqBZIAUGXRgdGTYJ
a6mYhEbl/nAjbsSXRC/HG59w+/RFAMtLRxPVRaQwqPZYa94F0KC/dtAUQKYTL+3lBYSoIU5/14Ko
9aGDRsCL623EaEHSlEYAVZ2uRIeOCao/84gAPvffEikxFdIbv/9MPE/l8j+CSmzDZJ7uOjgn4Mx2
7U/HBA3Xu9608/EyJkD3GDDixjlZ5OYnuoxxUsCRCpekAWpoRcWRtZshg58ShWhpW5xseDy9jftQ
n6PVaIpcqnUQNFsr0MJVqvQ3I+R1N7lT5jc5sPxGpcaBVV8eBsn6U8cE7bttWGAHTR2xWjFQCQKG
AMpiK47j1T+nStR84RhER2kOj8vsFOHB5/acmdP2wxxqpI3N87VNd0s4TUNjqj7zU0inwyE7ZieZ
DcO1LNIIWaccTyo7BWZLtSVGnRgr7FpKALgBSUsZ0lB5Opq/Bh6tKmlZMF3KHvW+s18LDoQM7EmG
u6EH7aKGFeCGieCEfG9trqsq/yb7HnxuG3eg3d9UkWEZ93BbxcoQwBNfG+E+FaYF2w2eoWN9aetQ
01Ssb7vpIVoPi8VdaxoQ9ME3DaCz2xwB5RC2a4tJX6VDgFga8D5qcttp10CO7DrN8gOm+dMhBhsM
G3AUNLJsTWAi6E/jFI3wRlRfumeoUmK29lbDrqxdQRNzgoAp5FAhMePla5d4cfMo1ylPBZKjX+u0
83wDGN+LYwC+hQxUte6iafjRGmvCKrcqQFcBcOwNDkwK90SIT9hMOlswNfBQHBSya8GCzgDRCb6n
ALIjY6yAtHT5EBi+dy8mbtDJxDzSSkCPh2man6l8hxDhixZOsASgmjWhSV1aSgzNISBj7g2R3LzB
dB6SKotgUQNSw5jhwTyMSbkZyn7ajL10HyjEmF5MPL5XEbf2Jjf5Y+Ba2rrOQaAooeTzGCLZee6L
+hsEtOAkmnVIfWZRu5albeNkBYS9KIH4HiQZpuNgd3fUFHrwFVoVqdMcLY/d49Y3IY/nQDVOtt7D
MopKY+tKaIfFT5/a2xqeIqD/PX+YEmIDIHs07hd60YIMtCrccA5tkr1S2zyJel8wKuoOemx95aGA
mlRdA6JjsfJ7p9iDSxiQxMnBtYIfXumJXQLjghVXGb1a8dngpgDenBYAcKTZ/qd2iqC2OBozv/Og
4egQNY4aQ0W36xgsMtVYCv7QOw+2m7dxFEzDAJVyfAjsZeAKR5BQqLMfpuAwk0hb/bkJu2GNtI52
64d22A2dhI9xjj0spMXKnUQG9G4QQ722mkB8Kd0e1l9ZwX4ktrGHCFAUrtpSruKk1/7wMvM17iPv
dcyGyrfjtLyCCAnZRqhM54FRHdrRfCHFaLos1I3RS7c60gRnau/qAMq+FUTHfC1rqs3C3Ji7rbY6
OAF/meOW+dQsWdu9zcLjbVHuKKet4wkEBqkTzFWHu951AraXOi1Kk5f2xwi7yoKriNvDkhfX3iOo
7a9zVIoWUxjFLw4nEZxdxCfgf3EMD7SzHptg3qVOMrcRDNrpBrjFw+BlZXWjC5FMpVvZm8YGjJnk
qLkpO3tNAnrt3B0o4UrVnQ7QzkqgEK476YXVyg47To3oZEqc/5D7SFrB/1PW9pnorHkAJ8NeiySW
o6DC0oU6pAER81AgQT/1PQ7B31ixfzbm9BswMmjkKyHVWT112Uf2evBi1iP4q4ty758ivThl8jL3
JRp4tfswbtZiHTGQqYFzNKC96QrGc5B76aLwoYmhyliG2VOrLk7JXkJpDBcTy8+nxsKhvqb3YM2Y
TfZUsSQ96qyBJISKbZI2fCibCBBPdNKAvw7XIlApIgF4vtEnmwCiQ/vWHcZXqCVtk3bQn4JWr694
CjSQ5UI7U2GuCutVta74NvJi/QmMaj81k/4M7U0ICOja+IozgESpynn7MInnGaWasbCDtxmpnV6Y
wrQUaKsEGrA4HuueZBQqinnxwjQuLjFOC1aWI4oXQwTVzmk7e0NVpzQ7P5DAiFDVjb0LVHOMe5oj
T8Wamkcuodig5jDe54hybH8rzV6XSa6B74OTBzqDaHModuChPzct7TiIM30WgCpNbfO5xJACvsZ5
8jJXJxjAl3YP/WWcPN4K85AGvLtmlaPDflgMVzeejKPQW5wPa7ad3MYG32WQO4edUQNpsE7yXoKs
3YkN1hVwZQlbaPJ1jrjRxQDHeV/UWrIq0zAP1m464i9p7Du3f4vw6hRE6yy2v0P9TRzmKo2FtRpb
AxuEh6yK7qI0nCeVWtsfOtzkKWxpp+rU/HdsSQsYGfhYVuBu7GC8hOWIgBH5AVzWpw7Uu2ugxfl1
7vBkV/id4SJpDQzxB+tyDpBK0BZQPCRw8Sc789m6nLpo4Hs01Yy6PFVu4B69jQlF2A/0dfp5vrXi
4VXfBvrVepBQ7ovbzE2n37W9husctF0j/izqXFtXjQ2wO6DrY7iKaqsFgGYw9y6L2suYqYyohmQl
HWiYsu18G9TvbUwZzIzVc8xy8AHhwWmHAxjYCSgMfaxg9p+E8HO3P0EMqTosyvdUagBZUnyNI+Ry
78EiG59y8A8fZBvDvAu1ruXjU8/lJUji/kZNdmMIXx8qAYwJOgOgQzdYqtkb6p1khTxlk/0qeJxD
7ibuvtbdiLU218Upz1vvS8dzv+Fj91XmmrdrkDneUph0xRn3ZPEU221yQWI8nsM0r478oekK7O4C
+zHOoGmZ4Qtc6I5zjBPZPoiSPXejDokmcLMedBxQXRzdOSe46Txk6qKVpb7JOx5tljbDqB8MwfmZ
IhIX7JEM/sfAfp56Q+fPg6M3Ty77SpUOkoKPIQgDVOP4TB6BKYVqemg/RyELHoDrWs+Rbt094I6E
X3ZgP2EXWMbQ9ojAQSi0CFtTN88gcm6A6U17yFhHolbgFnZrHG26jSlMMoLcdJ+xq3heJB5yEeNp
RHIOvQPV7mBPchBwJGiw6GWluQMwYlpBhfIOOffsi8yZRHoBGFUYEWsPvGniFeFO4sC+MwGw/CKg
5jZHFGMiHsum/H+OUK8ScLjiGbFebEZQ11ZQftZh2l3DZqhrIAMUDv2Wx4MAWxEP8TUSSOOmCwd5
Z4UpqImhK+/aw1A32o1a6ZJnnrnRDSy63yZS8aOEI2pUQpxd1eY4GfCdBi3iVYtfT74Zpf01aZPw
SNPOcbbMjz2zX+aIIkrMVdprsJIAG/ftLfZVB7lRNQGkRd7e4lzXjnkbabdlOuAWzE016EgK0gDN
bna5elNGMoi16Jxyp+XdN4fhUVXAuvxZ1fSy/FCLQ62+1qlhPFt8mPvqoDOfc6v+u3HvfVBtyleR
1A4td/Cda/of0uuwB1A1GNaLvRuA+03VgedfUhepomrcZAEO6kalGtXVOfTVg6rYdYqOPPIRvyNP
e/Iol1mF04+4TqtzozqlSN4mnHt7axN5FiYq9N7PIAq5swvcR2J7nFVGF71Rt5ZYOBfRmRRJqb00
oeWg53q4IRFSapu6ZDhpdn9HYUv7+/Ak0EBCTIt+6w59DCf6SfvaT8ZbaWn7VCqmUHyboCA3j3Cr
+uak9amZCgtewKPxBVwdeFNowwM4rTi1GV6cKjG+qEf/XRHqj62KgcCQeUqg+bGybZldkpDVG2C7
q4fcGM6Q0LZeYEfnHMZQYEeqtI21yU3WLABMi6qonW05tA9p1YGGC31uS4+KwCdO1ID/efAsugbQ
gtAN/Jk9VZlZvB8diGriiArsEL252OqN9boHKJYdPthWoT3LdketMqw4lEy0G9VqaHyfQxPcfqom
eqfvC9yQ11RtRMo2+OPn89CMF8hwRIV+dHjl7jUbm0xo6RjmCgQGLChqiDwMEPL2wO6eBgj0wByR
qpU5eNfQ8P6IYm/Y454H7hVMTY6dB1mtvqr7mwm+9U2CvrkrdFhWt6pt6RjxEcJ0HGqmSxuVkrKv
1wwioOtPHa7eV/7oNsmWOpZe0+qUQjMOE+glqYNeDZm7H17clgdqj2xnurjeNG34+DUAUAvfbSc7
U6mGw1uzoqJo0RN6SKysrCCNfTZ5IxRy0EjddJHUTcUu5TiYyzptbeo54KQQya7dku+pJvoxhqaT
undT3Rwc7yQmsYpUB/UmUE/7D0Auw/E+n7CZHna7rs65xz3wpj6dsDmuF1p9MUYXvcqH1Yyi6uFr
iQVetl0wU00Oyf1S768EmRpBt1ROXd+WgPTfDAKUyN42SI7DQECk6yABeXfR2cZZCTJf4c+lhUpL
aABle3dFYV7406kLX3JoUI1GeBONI54KF1K00wBFALhbh0/IVemQzR8BHlC9k+UFjwB9qC5qgPgr
jja02jpSuO7WCe5pEv9dFQ6nDe9aNvaFajQKXsCXzpsSoDhMtuqFFDAywFee91lwrKBE/1zDw3SN
DXK0b1QVVqRgXFsQ1qNgBl/7vZmN3KfqoANlENkDuIgquKiN8jZl8m6OrYEfgUnlCjcQ0fttgqcY
cqgP9DITS5+5FvRXCu0YfrN47McnmscO7VUNxRbAdiZY0CvNFDxSxXr8a5V6gSMz5l6tcj4Gg5L+
sfp3Y8sc6gVxB5vyQMfSHvY/j6Iv+cmLnOoeB2L1vWriachPMXYV99Re6Mbc5DX1OiticJkMB2pv
kO3wbr2AabqrVudx690mdQmjHDYcg/vfFLC0Y6/WQaY8SLfUMU/yPn4JDmuoawyT3q5nWKgLmE3c
y28k30lNYJYdtbrKbwQUjesRwOmEN9slHnCJb1QrK8nuzQakQnUOZxNvnZg9xFEPOuDFE8jFgiGs
Tt8oKGuYt+2w9/HbPExvvC3UFycfv9XQOsSfrx1vUFRMb00SsVWmMD0NDkXnDhoRQdz+wwh4t4+A
qqU2zuBCfUe6uzjewGLLewLFxXhusg+VP3sorNT2FPbnmKGOHoAx8OCvAyj4yHvzhckxP5YxDoDI
iAcbgnxvmDWPL3LSX+nxTysDsIG3mq0HN6ploBtt6EJV6lARtASgRQKYCQynPHp4pCqVQLAHopAW
De/T0StARvBtOgqO8EW/uQHuGxy/ZDvs8KsMmXtoGzvx8eRwnxxZTpfUHL5TzexSaEha+gTVXic4
RNoYPXVap2OBpQA8qmrFaXELsbjIihY4wXiKLokJGwAT+ZgnTRjFekzTfteVWvQ0VfCNkCDXrmio
GafZeRyHNaTo8pMIARkqix4OKJosqDoGBk5ZtCxLd7/PfzDKev8l/+HYDvOQFYekjAG87aeklFnI
guH0Ag9poRVH08DWxS20X16gbbW+gwALNFOHFrhDxWMGodyC2sBkgrGFDfFP3B6+W5onvlkWvl/I
bfEvtS5x0pBp/HHstGmdAWd1X5Sd2BZu3V7lEEyQ77clHt5lexDlJI7Ms7oTnCHkvht0C7vPrN2O
mpbfAQArNmYVNj4gyUAWYLnpO9XQvbiALwMXYxQ/eCIu0EUdxSpvH/SmiKAz2ItN6aVwV7DB3TDV
kosFivzn1M9IeefrOBjz+7Hpsm1UFtNFyzW2DwdWI13ZQ19lGtjOElKDJBASEUaMVXfSmOJgc26c
wPH2ViyojC/W4ER7x2w0rK1QHXQAu+N24PC4RRWW96DL4tDsRFXPM79YRWncqCbddgW1UevJrrr4
sQrllpqFWRXXCdzT+QX6nB3hMWqVPzi3IH+yagxoGiLljDxTG0OmQYHiWk/yVW5P5YlAaPV7tQ9x
7IpDxscgSO/bIR1ekqEHjaWdQGNxIvdswJpoA0Rm/IrkwJWx1v6FA657wB76lwC7gk0H6dczNCyc
sx0lbG0q+Gdf9TsjLbO7MdbTOxN0GNArRlhi2zgHAAs4vdM86Kya8EnZUZWC3+OkWbY7XQsiGH/J
YaNlyOcZHM49VLUgpQGOE3DwSy/B4l29gn6PFsVneu6EluaboggfqdZimbrU7Ems/y9l59XcOM6F
6V/EKuZwq2QFy0FyaPcNq8M0c8789fsA8rTcntn5dm9YBHBA2QokcM4bSlx0Dm6imqAzk4s0b2Ly
tGMD7CK9PeS3Y2PYq3HM8m+q9v8cEZduDzG29P7tGrE6m/8DKWFon7F5tgcegZKxYWuQMFxHlC4/
ALJUH5K0UnHh2hhQlbwKK0jxhSjRknXsxogo6mgxNOJwUVmQ7YsEg5ykaYaao3mB9oJsy5ns8DsU
mn6LNUAij5Yt+PCVbwTqwRUHNpTzQTbBgAFal6eyUw4n4AlWdm6j+SUCbcMjRp5eJ366znWyZyoV
miZpAFWddM4MSXwhsbZdZIAxj5J+K5toC+YPYzIZexFXyTg7nfIHGTeQQd5eOmUMWjtPF4xuBDx8
6Q5ii+BPvyRQdTSaeqlrQXtEPRbkTTJc+qeIaoPsnzVreBTxEvCqtdrHfhEPgvZryEJ8a5e5dlTq
UTvKMyEDdAy7tTdO2YduHGpnkqmR1+/CrL6ToYHiY3hoOA/Ayx5HOxodsIKte59RLV05KCCsZFMe
yq7JtoEyHfB3z58oZc0rklMpmfGBpk69L/Z8bxFWRvZksNlDLsJa2iJWTgDj90wK1D5epyeVm97I
+CkNlR2ape/TtZDkhwttatfVPYYZHa4ZiL2tsrRrDiqMgIniOKuoqLZaRFzMVxnWj54yLZRE86eF
wS6UhTDK+3KyPHwIYpl6uZjsk9e6xsmrupX+Kvs11Wl2SmDeqn2hlShbK83hejDisv3QtGRTHSuS
hvrqGibPZOwlQlzk01QZ8vk1ZEzYBO7aypNw0ee6Wi6uE1vZbpSYXnlhOTRFIYsarBTYvXanJHEN
KB1qv6hctTs14oB9UbFUnTnZyqYcKDrcM9rwJCcJN4dtaVj+YtaD/tKHQ4kJ6mFOdjJesVC6t5rL
mFuBDI8d485gNYr/TNN8S3Rj71tmHSxclb1i7nU/AxUEZod9xkugWyN06qi/jyqv2M4sgm/4s7eB
zZYEnJaAhhfKVxUy+CyeBkXp//J0333K6mze5Kxh2fYQOhiusrQr2/+KasxaPjhc7EhaCqb1UBrP
KFxMd2rtfunNXn+2E5SrWUd8uY6NnvWlUl39WdFLJBb+jvyXeSKSxzP8tCa8CRyTYo4TTccYiVTI
jMjsyb7rgCVGZdNF4hmDQx+xLNho7NXE5C5Q3HVV1/Va0TJ3AybO2Vd5NUC7hEarouzy0rTat7Yp
/b+6qFyEiWn+8FAYhChSRGffsO/zfngOXdRCF5PSsWIQh1Azmn00UshefD6V4xDumn0ixy+TqqC9
zLxO/xAjTyMkQP57pWd9fpo4qmnaOpQYz9YcWO+f+FT9ZFuIK7nNbYs9nKG74T7Xumhx0RiR7WIe
/25XGcvqUoxP1IkepbCIkUbjFmrsotaN4MIOdpXJuetrByfKFO6wie81sv1etVSiwWPtqECDXbam
tbnujBC6CRdJoig8ouHQZX4cofOWDJetFNCB4gGtUDZK9tGIa6onwknskxIiZgfTZsqM8kIocq8a
iVeCkY+NH051za6JTfXw3+/lP1IaDtl5gAeGZjsqLifapyezjkqOhhBfdvuu66Yl6D9dnmFuwE8v
9zJ/g9qC5y6mGdUZt5/en1Ly0UV9ZW8PDvIa91J0yXdD/zbhgbaQ0g+BniSbqWzIignBpsYz0I1h
C3g3ef388s9JGeI8yyEci+0gIKG+Dvl8UIJiVwoFIdlnNUp96bMaZITkQGD8EdeJude+ttRrpMBC
vNMgRrvtxnHIR3pBdgLbGdzl1eguAt6ftyxPwJAZrkulta1OQzW/yP4uS60V2cl8bzVZ8ep15XLo
fPtNa8Q/Rk7zRjZVdWYXa0WvXqhW+whM2EpOFy+nZlp66pMwvLycjK9TXKLky2U++Nv//mB5kHxK
Vjmqjayl52qWAYHlHxpDSV/ZpgOx/Narh8Xsmct3zZ1Yj+5HmlKhR/4cvP9LF1+85UWYR0aIa8jf
kJzJLye+FxGyNVTgwvmcDyyniz1a5MlGB/H1BTn3rc0+6Ieh4q1gu0H1GI81EUUjNL3yL3aoPs5h
1TwOZYTlgh5u5RcH5rXKr3bmFeMSqXdsJDDQNJOdbKKi9mGSFsTbwlCUBWz5dhP7ApH956HR4CIt
ZCfm0dnWaofjv8Vd+yo1PwLONO2vFKGGRSS8bmLbNLZVPn+RrSsBX3NwwwnFIGuuL3hCFHey6xom
Z84MXvp943EEJLJwuztpt+HOncDBKvUd1TXjVi2NcVWhiPF9Ti4BDXDnZWhX9V3oQJz5rwDbr8rd
7HmrCGqEmm3/+1v1D4yhY2jICVlSZ8Q0DevT7SInf9NOrhYeMN6hnrYYon6fdYn20prOwo3V7slJ
ivnsx/oqLA31ZZgwY9Wr/LsfV+pLW48eYIUcHRQxx8tggbpOUmM2S+xUZf6KV4i3lytaMJtVax6x
3GGu2Hiqvq/e/3451XdWxojZ6RWkHhXjvPLQUV5f+1JPt+9RZ5M9V9x6quofQ+WADG2Gpaz09gMi
jZYJDZWfT4k1Sm7i7tiXagPvFlyCXZlvbc89LB74XyjMyV5UJsy7oCcXPeDF8QqUW9vOGrrOcjT9
8xKlo10u0WmjvIQmLhyZ6vsl5By1cdTLJQKBjrj+FYlb/5pVP9hd8VDQ5R501wYUJIFSVwhV6Okp
DycTI3OBuboO6GHyPxIxrvgOfMzDODyXXdDwhqfZugpU+M/Nnl2Fpj2Xc7Mn3wQPRKRQO7HhR9+H
zb3ItzZ/NsGjvo9auWp8CG5q87unIgYUl2a+blU13QS+Z509xUfi30xeoXBbZ2TyrDPKKkfHapGC
FF3YbL7Hy8EE+O4xbqNX2fodn7PMuLtcsKoHLIIm9LoLu9PwJ/CjrSSy6KkCWGs0vrZoudzX4iD7
jTpvZL9sDVZa3nl9tDRaN984g56cq5ntTBLrcKVAbABK9n9lE7ohKrYrfi/MZ7LEOetK4q4Tuyc1
0TnqngJtd5PhhCBuh4i62FP8ZmTTKcdQ8FeTfg2LOPtr5Ca8sIwmfknhz65SD3kvrN2CXWg7ygNW
F1/aUnFQGfDjjRqpzk3Rj86XFEaako/JUxDbyv/4yI3PhBRXg4FqOqal27r3Tzx4Mg6mNudUqNze
JQ00KcdOg6WQhq26nnJXwbeTvuvB74TGmxn9vHbJM4WU/0qHOLEaiullwNfor97z8d2l8L/wymbV
xrb/c6q1r37Qhm/6yAoF/LJ5niNMxpquSe5rxbVu+m5MD2FbxocpNDKS/0Ami/9xLySt+OmLDt3W
UB2+gAb0WxZPn77oiWX0pESL+mDCGryFquFsO1CtuzYogrvRtcTqXGufFI9MLho98XcV07qqKjvy
YmW8omam/MgzaEN6A55QNxR1pXZNdZ/bZb2dJtfFkMepjnDqTNAN3XweuWMuokwnVTmTr5JXCjs2
D7hz/zUXWYhSj+W+TIFVrgze4gdVH5wbvY/7Pck4He5blG3sprNOfoIxmA8g9qvraPdWZiHdpisP
veuHv7w0+x6GqvWKzZi/lJeI0OWv7/kl9tg7jNNNAdt5ebUcU/TqP/oa4Uomg2VcGWUAbi3szqD5
u8uqDkFUjEN9AqNozbX+6JtJfbK5le8SFZ9UORaOk3uXjmTB+CjLl5BKBxDpqf/Ge3Bf9eC+Fpr3
7GuRw/dkoozeuP1P1Ia/+RXfE7bT0dKlTnSHVn68DLPo63XxWDQ9AAQ9+SqXknLt+GdXnoA9K5Dz
vwnCellUKt/FP89iI4HeOBYV5B+Nsw+ja/ZtYGH0emhOchspWgh+f2jJMbmpzIt5bYpIuan8Pa8R
W0wxJufJsZLW/9u831f5PU9eBSqDt/M6Y1zX0TQdHE0ZD2Wupou5K/VLXwAZFnvVvw8y7tqUZ7Kv
TxH0Jq+7HTDYqaAccL0iHVOkOnp9fYmbqp+u6kw71RnzkwPx7CYKw4YsAs1+9vJTgsrgMnTndiv7
WtHHT2Dh6Vn5ILvID5WHyGx+yFYXxDABVE29QeGOdEiAnYbIXMmDLpNV8rShxHjTkSdmgyXyXOms
HlU5LNudFgJXn5oILwWR4LpeQ54FCew4BJqiGxPa2Y7UOulEsMBHG5LTAY1za2/V4YUPWPRJMO3a
rlQ35YR+QeIZuDQ5bbmbjAKhscBNj11enkMT/4fUcIPzNUL2ZSICQPFZxssD951/vUbsFHdkvZ47
K4q+G0azcuLR/IL9t7UZXNPalrWWPJd+/igDQhzSFqNG0j6PHbQElTZaYbAbfq+0dgVNzfySRbrN
ngb1GBYfMCKDzt+QcitYRdLUzCA6Z2Av3DoDgi66uCu+R8hB2fdnhLzGZFrFCvB5fVer9hnMKOoa
WkQKMW7rhxg8zdIcDfc77lykKBD+dRv4xvB0SszXxvfYcgqt27HNtlFaj8vJYU1upu1WKQLlr9I0
QYr61VvrteFqzK3pvoGbsqMKWG11r8QpT0waxKQWchs+kO3JBvDMB5MkT4WS7dTctr70durfJNYY
bmqSjIgnzl+nWXHQNrfLR1cxX2U31DgFTCPWDxhL3XvpsEyNynnUY8V+bAvL2ZeF9bNGeTBGvKIG
r4+WqO/G7i6EgfaW4JSio/6VmfNO00Anp5hTvKm1/rNIS+NBKfuGfEFPxkuEIcxurQykH3cwCyMm
53PSv/73al4zP2dSXERpLH6bnmPpSNN8Fg30LR+fQl2LD63XG0g7aINwogjTNeZmCKJQtlq74ej+
sBM/WdRmo7+oLYT/QEvGB8MLYdUZZnPw554DSYwbYcT90JoptgEzZTY9a57NjgIhyvH5EpJJ8+z0
c3+g/qwuEtGsHKC4tTXECy8P2udW7cY71t2vcqqbt/lD4QZHOVMxLeXRbz0YlEzs1NA958PPlmrO
qglDZ1WORgHThEM3B+WhjwYSX9e2nkXwmq5txWpvVTsZagQtwl5b9kL1oovG7KG19ewGJoCykH3X
g57Ue6ONS2pJxMrDh1hM1++qVHnDPctbxHUExSdr9XATJrG/oGqpTiwrJ2V1sZBDGNw4VNxvpSuc
lIW8WgzIpjzMVFYOCuTya5ec8ClWhlm4q66sMVWVhV9r7sOkGcem0Ipbl7WDglkcDknQEVy0U0Tb
BmKw5r4xvc9x/E7ZVkqCf03H37kIilI7kpPfyItd5rA5XAaOMd15auA9yAFUnqOFGuUGoKyT2cIn
UCU6YSCD29rD6eJWJ/ty2DQrK0Oz70NnNwxQgm2FzIHAMwicA9D9y9xrl+yvfGHrHTv6/1DJlTuS
jzsWl3UcC1hUgXVKyP8QaBpgxAVGO8UHJ8vgQFckk0khZ+xTwwot1Dw6dYIoXijC7jlHOi705tWF
9IydOjP++3dpft5BwazU0H9VPSraKh6wnxaWcWRZJQkylIscNb2dgDjwVeUgz67NrKiE0VVJik2M
cqfpNp5b1pTXJ/wUIJHf1Vhky9b14NrdYxaF2FWLKHmIoawu65jybZQZZJoHxS63OZyjRdTjnJJU
HgXcVOjQ1e2ob70EomYJUXMjuVbSB1WeXQlWpqn+HSI0/OXoh4PoG0Lj9N/vm3hzPi3JPQeFJJuM
puZaLEc/v3NN44/wjNpqn9usfy3updbat9Xh2AiYKLuTYCGbbQYy1KiRITZs0uatgIbmWCsvErig
qxqG/QLxtPBYxC2FeiM7uHkdHmUXBTgQ3LJtZ8pJTUb3MSx972bS+3xdW53yoqsTig5Yye9kU3HU
ZJGYEyxwMZric1J6bv1UNeV8Qk97a4euQjZUhdtScGeUTTf6oWLltzXDOl3GDQQJG6no+wJYxuQ0
0CVqq3/iR7aMwk55lAFBXzaYu1T9QQ5CA0YNN23HjRydtUSDoZWhK5ErCwiKxSu8PH9TU9zfSNKE
49v5sou5mctR9g77qEzrU5Dk5tnMnbXkUnA7wyxSJERwAzYOIQTJJXoVivmDwufPeChxuvAwRZsk
Ib9+jdPaPkl+kYGIyLr3EfmtOmNlt2kocMQvgW3oYKHy8CEsBhZTkxG8FTlckgkQ3A5gYvimQP/X
+yx+bfpIO5S1ri3ldDIH4bLI6ogFWZc+g0Hd4HcoNoZKsO0Hn5/rACDFHHBCmJXM33bRkKIgjhb1
RZ5Ma5I3dyqz/QXrj+RntIhtN17UilfeQE6ZABWYjyqWrSd1CvQHpR2/ym4sy/qNGaXwwgTPuM/s
RyMKIhatRIXd+HUQk53M7DfyWl043fgkndljCfZVk5pLRZiNh8KPXG9XpsmXSTZQyU5X5tDXN7Kp
NFN+BOb6nKg2HkVjp3wbBqO99YXVeaepa8tGVXueYnbHQtahKqPizo61E0KH/Pp9V1n1lGsfE6EI
oXqF3P/MO2/IoQs1ZX8zDTieRO50p1hKjl57NJqo+A4v/myND/KgYAv5UCT2Fl8l9/YSlkUGAPk2
nNbpiP9RYURWFLD4r14c9rub3McoCntd+22oo78KL04eMVbBVQTuy8IcG+fNVFGWDEwY262Rtmc3
ah5wEnTeIl9DnKn2u102Rj1yzM/yMlFceDeKYY8b2QwM3n1Pc59bwGSHxDHxw5hgroXcKBckDzyN
THDlbQYv/3FpBm0Z4jmJdEyxaINW22ldCCMvDSce0Zr2ZHS9t418f17iqao9uU2oHvXCe5Mtc/Ta
c1g+KzGRsoef3S2OGPq9nGyZqbVI82reX8Izq8ZSr1+aFFnXKpbxp1JQJTRIKDWq9UfZpdrBeJur
xRPpMBVB6kQL1nKCZ1fYTTrmSzBZ/YKsAa8S5NF9qc/UrFL0GuSAUwTG/QTd915tjI8DupihKJhR
fZpxHajFpRIh8dDE5Vr36rDbYQR1EyaOuwnKuLgrCvUfZ/Hv0dFOe97swk6OE7DrJUt4cvx+8wLz
AIetSkcOKamDAzl7SmCkNfmAE42dUhn+dJS/IHP7f4XUBfo+eZ9jFBDwqcwFLOJqEz/UhjmWq2IZ
Zl7nJG3yo58afz/4pIdbl3IOrHpnp7i1DQcMg9VGmKa0bohggj2+XiPMMrAf1cj/HFFbc78GH/+r
HvElCvUBEw/LdNpN15AUcbTpDGJPu08gvRw7u8YZprPUtyZouPN05XCc2BWdDX9+UPocvXU/n9Y2
XjLbcKDprXDWGd90xYh3rgacV05m8/WITnpwHpTxYQCJsUkbo4Nv5NnnQOMjrxzL+GmnR/k2pQ1A
NdYK1nPmhXiEDSN7uFBtDxSjVtM4bWu+PezvyIL24tBgcYZxq/Ugu7yuKlbAcJsbmekEhDYdJgct
DGvQfjieE69N0IOLC/+4MLajLczNRrjJqka6wyE3ub1QlX10NpAY2FoeaoAA9VGG+m0Fcml3wSjQ
usI5BDdLGE3GkG7adm74e4Z4foFrCfxBwKQU/6Rhsvok1UFz46x303sjqs/+UAtnNFWvvpfNYFQ4
Fjnp/BJ1RfmSZ/B3rM4IjzDrjNe6QEIuMF/63Brv7B6pT9ntoLSCCFaSbQZjGPmrQ7xFDG5xdjlN
d1mu6StobvFKNk3RJ8/koTWnhyHxvJ2aRsILR4yGbubv6yDaX/pqKG07C47wVvMtjdUve+ko1J9a
agVPnTJkVAi8bqO2MaQrG4FAEdBgBb5yYEffFrBlHno4veMY8zRWqu48ZEO3hqfGRrnzx62mO5FQ
dxxuIZ+oeNW1xWPVKNgZ4Iv0gnxwxnMeo/ZZEPTiJsdcDviXa2bxryBVXhREu9/MNE6XWVqw+ppG
H9AUi4YoKQfWg4qyBabSP6kNvNdBSayVHEUvMsdxPkoWcjRRKu8U9CS2xNReHELHeOgDKhxoRA34
y5LF7bhtHZPUOqR9nZwmYQ9sKhBbqwY1Adm8DLi4nMsJsk8e9Bm9LGpAd7I1prgQutoQLahboqYL
gIFkflA9pZqJDhEEU7+c9a2TFzjRCoKpqbV/FdarFlr+2c1tb52hEHRLIsrfs3HAJ7vWrEfwlvXS
LIrma5x3t/i/mL80eDJdnYU/BkD6C8UMzL0W2T8spbXOzveCJe5ZnnvBkC6B/Gc7Rwz10TjsorZA
V1M0y0HtlmqnjCjL4OE1OHq/LEv2oddFsFzwmnWHM5uLkm2Qw28OSmjieC+/n0X0DUBOARjEwGrl
2TXuz9HIrM2FGfbNjVM15rZNlfurt488kz4+0tYHNUNjVzvWNsiwTYvqGgznWMMZS4zsj3bvN866
MXhtD7vV2Tu6UE2P3sCuG7p2cLSTuWhWEQo0u9p2jniJ/ND8uH4drfnJaNXiXPB+HxIWbquLMBDf
EnXgdj+3GnXYTAtXWMLGuwEYwhJQS+DxNSjCr2YHYfZ5rPRvs+O37RmhbFydvC5DyIbqvRFM7XYu
XWOBpQHo+c4Aq4UTjYH6JMOXVO21T5oHyTkyRl7CjTBBC4QReRXbQPEFqtyrqEIbFkQCw7XCrY0L
3ar2M/OQtatMeB2V4o7WiRvYp6YcuPaVIzDWXOt3DV7u6IEPyrMHGFxqIFkNYsd9ZAT7AUzZtd+f
kEi+9rthvpVv2TXes5BCabg1ozF5L4VUAx/hDLcadrJLyqr+7h8pwO5kl44Y0kYVOSWUw2KSD22A
AY+ePGqW/q2Pp+oN0750XadBvUtk1qnZDCn2FayJs72rqPNqFFFskuPFCOunrtHdt2qtJN2tJQ9d
Gn8jE4aQa83mQpXA1rE1FloW9geJl5ejssmHgvyzCL6OpiJ4EnMNgcGXzcGv26XP57GUC9O4aRCj
TUKqYWKdOlNvOciFqWwWKshze3cROEM4Nl0UeeYd0oBkXF0ggBJVCEGgbGsdZnGQTXko86pctJM3
r1PgBvXiOiID5ZQ04JEbZ4XJytAo1Zo9F4azrxbIn6PiKQsHNOjKzlgySmwCDM+jGcUxNNjAONk2
xXCBUeijJt4LENBKRqGeUq3KuHrAbScbHy9LpUR1hT3XnB9L0uRruIv6EwCudqEqvfejC9OlzdPs
lwE+Sy3N8a3tsM0cGyt+pOw+3kBb6TCKLr7hlWyRKMfzAAAZFnHTra1O0fcqmoYV1QqhWR6VeP78
HdCUt1E8xN9ns/kjQE9O42xzV/G8HJGLIn8Kk/5efitVAx+Bf+nXeuRJ+N4U4HT5oES8/NZrStOt
QpcnTeG7c6NDKXOj20EZDmSfkZ8XBR9ZCRJdRlpAz5ceUL+bs4BnJVbj3V2U6Lqsy4+jn7GFoZb6
HdnvhSrQfBCTW1CBXXHuFGW4gUne7bwyyLdTkNmw563axnKv1UxrX7r5xye7ng6bvFH1w/VhL5/9
CRsg5KmLF9lvBMbfj32otPqSR3m6llfKnbTiBmxOC3n/ceee5R2Opetr5ehTn7wR2b/jZFMGf+5j
iYmuDHznAvDTbq6UbyxEm/uLJkUm+ibD/de+QeitXEUt4qpQb3zj3Od8c3rXi7+3LFTButk/rWlE
ImecvXNgt8mNmQgipa2b93gEzEvLLXdWbxkPGTieVT5V7QMcaJ6idoLEClq3eyA8ClvSKblXUpgJ
BdyQJ0SAHJTHp/ZrW+iPdSSW0Jr1vibJm+DQmX38vZv4z8JwcJ7HOX0ZfRNxrjHtbiREPmxxoWhw
9rmRK0PZlKNybXhtSgB9E3vvwf9fc69Xli90nRv++WfI1+UtdO8uC8+GpCHgvwa1HgGbAFqBm6Wp
j/kR6tgnJMUFcjGS2VmCwh5XEpXhgX05TGa7bRrFepo1UmZVVz7O1mQ9NTZqMbnrjbedGIxnJH/6
dla3somWNzfpsRzXMtjrA3Nn+iX6f2KuNmTeMW25g4tWG+fuKfXHhZwpX0pYNA/wc9+9h23nyRPb
+cBiJy/P3NT+VvZmunf6kl2/pdbKOqkUb+nLLIBtJNMRc71N06vWHtyStcysBu6fWHlljmFD2s2L
o2I30cvAX9W7qIOQkrN3aWKvLu8eD/vHZhpsOEABN0PDcex96PMKiT7H57xog+XgOtG6KN2yJ5FJ
ZOodTRtZhTIYb7C7SB4wP2lWWIfmL1TpCqF0Uf1A7XkzAEKBSNJFKwcQ6s/CG9FcDPXkNa6UYGXh
V/swOn14I4oWh0EzooO8ptvj690onnOb+wkca5us0+h2+k6ryORQaZ/PkBEqJDr4wWjYZIZ6MTxm
3uwvrVY7OEh13JkVTm66XpZo0JH7ki5u8qCZGKwKNpgSltWzl9i7ug/yR8lCH1RECmFYPUqm+aCZ
lzEEtKtN1MLpQKkyWKe2lR3mwNQfbdvIF7JIV3vuT/hL/slognLvOAPVZLctvykafg6U/9QGgg6q
Oo9G0WqXnxSKEqxDRVN+8WVzmlSa4vF7bcqfFAqI7koN22pTxJhmC6CldEasIvvRN5DNvPok8myC
gTOFtxd3RhEqujSYRZB+vfeJoktOJGVY3tda9NwpEPxsux7Cpd4U8Q17sj/aEXeJhdJTPVPim7yZ
yL/l0/vJ756PJ0qhejFLZmQAzPlIChYnGh0kmKIGd/LPlX+N7CIPfBfINaSvESGa1/8RLT8SXm7g
UfdDhWyu0Acmk+msMLC0122AMP08aNjO6em8IiVjDZfJpoCeNnG9noN+uLyivKjoquGkX6J+d8mJ
1zcojKq17ArFx1QpKmjXalyy3TJeeURgeUh2cCubiFQ9k8WzH3ycHiHwphvZjd1EdFilUGbuW1sT
f21ymgHGnSburVvAQK6w4ExO8pAi7LrsYOdsrn1A7h+iMHeA/TIrD+PiXhtJg/AzAPwc6spypJBw
k1VjePawx71HP1WkyaBYyJxPV6SPMKz5ws9ls80Ef1WSWDtnfO+70lyNuCY5NUqhyIaljqFg/jOT
oKXEUb+18YNMQ9VjZl26szGt3+B7y24ZTTLPlSkAFTpzpGk/G8Fz7kosjNW6OSiBkn2DPuORKptG
JNYaPjt24cfS88K9V0TZ1ozs+b5y1H5log770ggIVa9Y9p2uJr/gY5l3E6J8JMR850Y2+8zHuCBQ
FHWnD+7ZnKjuyQF5mH0zXaWJ+uQW3vzo1ckSBfuEjSZ60bBRK29/2UFqg3fTW5Z72TIiOxmsLpkQ
9jMbCZzVEsfb2ljyLmRTHux0fu+7QtbDvH7vk5Bdct5o3CdduK1V0wKfSNG/8qz4JA++Gq8QB1Tv
Ly0F0awmNB9lC+u75NQOpGjHAdXOa5+Rox9T8TNIqYpuorjFmlccoK+/n/WQ7oPIOkYmyB1EMhjU
Ic3duB5GONfY1IsY7ksKAbm4lGXG4zIdUrGSFXJmeZ6OtzEUoVKooU2NMWBO35TfYrMKdlLDrClK
4rIwV9dOBDJPdibJZG96q9K2nhPFW7Nk0aLNan12+6I+j/i2GyWaOinbpbMRsQXzSdat5WDl+Cib
qMpaDspJAJCjpdUY0U5GINpooIUsVi+/L5m5/os+gme3xQso4kX5eG6LKocTrEfqwkEsYFWFbe0s
K1LkB6cJuvbWUML04Ob4v1JNpVceZKecZBQl5DvHz5NkC5JE3aXoxWewINNoU0dZu45MjFRnk9pj
Yvl/lZn1apkqSFJrtFdKGQd3baCiRNY7ZLhcpT+5WQjQsCWfYQ/lshOUD3NyXvU2L16rCnqgnJSb
W5vk6GTAympwRnuIR2oR8qB2/O4KFcVOeuSYya5ynaUo4LgkDT6EakjJ+kWt3V0vEaaBtw6dAYqa
iPUDC5C0luEZBJj5XPQIYgoE6JiOH1q/xyQcdNLNnyyDWNV3/HyapNef4DLPyIxP8XHE7nA/KwVS
aaYyPFpF1C21rM6/Zpp+W6iB9ksFpQAx0/quwgZbwDsGKBel6Wau4gI7ir47BN1gbOIOIOVYu+HS
M/XhW2OVW9+x52ccaV6d3u2WRc3ai9yzdTaLON6j2ov0nmjKQ5s8up6in2TjGh+UinnWRXykkZ2Q
o7PhnRtdzY6gqddzk/j3plDWswoAE1oaYr4qmlI8r6J+M2CIfS+7/BSQWRNnIbUM4Tn6L6OVGL34
24mrN3NPJb9ovqWkbTd1Aig0q6cvXjbrP/Ha2Zdks98KgC0LFwjNwqDsua2dHu3BvH5OMt94CJQq
eaoD/EFFd4P9+UHx+2Fp15Hx6oa2vyLXZ/E4gOtMraliqQIE+RViAVkFrR640+buVhrbWemXohyc
11rJtT0/JlCcwu+uGjCXz1q3ueduaT6CgX61rfILHuyvnpnMXwobQgJ+I6fOB1YBLftnhW3XF290
MnxiYVn3Rdgs0sxoN3N/l+mhfZJ3V4q9aKyYtb6VzcwJQgwLZnMxGKF1LgrbOhOfDxtq2tUx0VnD
7ps+zVZJ08QLPQWDK/9JtYStoAAEu5FvQUlCdFF1uXpnWYP6Es13spsqpo/+EJOg8GwcHqDDtPHm
W3bUD5Xew/lEmC5/MM1qWjhsg7YpzBtIMy7EdxEjOBFLDFWsi4B6pMQ2ZCx1uLlC0nkz3EMXvgPa
A30sd5fCTG3XfCPAWaCoFX2fYwUyU6AUp9KjVJeZlLFkhjlYKH4efE8Vfr3oj+t7Upn1SU4MdOqN
Tp5Hu6Z269OJjD7VKFGXAkhjbKHng7KVVSizGrxFy7pqa1uz9WiFG0vybMySZJrfHy/5uJJmYU7D
Ue5mZ7szV+U8T7A+swJ/QA7yjM1ysoyMyFhf+yog0h9GLacg8SNmXAdksJzriFE5IA8UGN7jrqPX
K6t2uDN6kihRMXxx9Y5fkB9jgheYwKjiOo7OjV8N/4ex81qOG1nW9RMhAt7ctne0Q0nU3CCk0Rp4
7/H0+0O2RuDorH1i3yBQVVkgJXajqjJ/c0tKc2vWWrdRMrO+A9Kz2TQ3iC1SnVjw6U7tote3jMq7
S5rrqAT/H+Yivwm+bK2ihrzcuxTEmisnrhDlku0ATPog5VWJ61xXOQ94JksL16QEl7nmJc4XF6Uy
z1Brnt1xe7dCdlVURRJsvurZMh7zgrJP2ik4QjWZ8w/bRYgvY0eJzy2o/Cuj5Y/nsXBqaDtFT5Zm
jJPPgmRqsrnFvB3MojS9ruDTW7buVUNf9o54avQM49+0nU66VqO73ZZfSz3HGwZ/o43tauWrFJWR
mDc2YHWgCi6pPPTw7YM3sNWVUb4256ihlCJSn46hd7sc25itaH1Kn7+IfMrFXe4i24xPjWO8TFPl
k7rx0FMu7afOzzwObJB91v6q16v+IJ2+OhaHxNeS+fOoF09dXvlIMWNQYAS8H0tfu+kcBf5wazyB
sW1DdcE0KSkEigWnxY8ehC0CqzM7OgtYShghK4OkbKrL8v28WU6Vn0y3jza/JYglhyx9heu+U92K
j2tueY0dWwtIIcnLHdju/mkInZ8Jb5/t+FPNX+P+fXPYIlkHO+4ccgKI+1slXlR1qX6akrJ7aWu1
fGmG9rN0lyS0d3AhTnE3IZentkb2R+MG/bNXpAdbdIbjEO3qYnLspdbKesdb8VjbUbvTOk6JiMQ6
lnN+zxAI+lQXMXsc3sdR5o24JGcGWt4024xX4QjD/EGj7IGyLXp+SVFFD6VabEtthO6rllnw5OmO
8lj60ycXOM957UIIMXjyHaff8UUddhImozJgDDMbb234ZALZAWmyBEvIgKqR/BiJBbkRkCnlwqHB
2nR2akE3pHmf1iztYhn50Pnrl5SH5nz0OgR27KR0r6WtONc5bZ3ri9yundL8b32/hZiWrfOlRN1r
HXB/PXrt++157NDHE6f6W9Q7/gZlYfOn1PE945SqZoYigreXnNK9755ukvgwMsz70L1T2D0yh3r9
PlyEku9z1ozV+nNIdU8HBLzVTdOPGruYIThCOLBfeUXCyinr7i/QamSW2FfaSJCo1Yxnmo92aVvk
xkPUaBnYSfaFdVUGX6CGnRRttoD9lelbpsc7gTzNWeo/mLyCNtKsJ8M7xRm5aGmOVZvsq97jMLPg
o/I+m0j0xPYtqUPnEuBnvA8QR7vKxVURFA+cLEFcn4HBDpARkc777T0oTUn7y60zTtUVMYOf0+/D
bqcd9LEIdiy+JpSofw5OTtslO4hC80GOSTLQ6c1rA/f6Jl1hEphAf+3tOqkd2ADJg2YzfImAotxk
VQxikhiopmVbxVxqWGu7k3qVtMu0oCCG2c0jh5edJIjDupuO0r/miyUW9clsK4/+7flSE3PrmBw4
5fojmVmN00NVH0Lo3iQ4Eks7z4r391hX0/O9r3GQ0guVFHV8MAhymaz5MVwsd+O6RAohlatljck2
ybx2Pyw6CvdOXm5IKiwXPWu3ISnoq7TuE++BOqalveZ+k1YQAQoxsj7YtjnpkYcGa91NHbjWPrOd
KNxHvT3a1s5UUST+N7BAwAQ5K/hlUGvko6jRfQjJdaU4FZb2NzDn6YgtmX+seWl/RoXkEnRO+F1F
qGUb6tXwqPpj8GhM/bj1kir6Tl38BP0//1JkRUzOxnu2NT9kD4RQFDYu3rOhRFRYBu9Nuqb+1BZe
8iY9TpI9AhCYnmQIMHi36YdMvcqgpXKqzhJcDGW0sez6gNHBvJdRrcEup0IHcSujFS+oG1bX4eb+
YOMMZKL0nZd5HJX9aGfNDZYLJkaB+Vz25XhFtAV9I3C0t9FdfIyl3Vc8rl4KlyyHx0RJgK3giqse
pe2qnGqtwigN5IDJ3Rko/WxqUvvnye2szzna5BuFDzlAFppx353yQB1fFf4wn/hjsYOlu47i6ckZ
i3eShdbnxGu8SxeDRpPBMMzSY1m11l6aUdeVuyBSk7MbIiWXxDHHRTU5JLjH7AWT0qIN8oieNvgW
8CrBQunzw+lz3XaLBUfVXc2owS8SvvwHFvzS5JS4BUhZX9d+OxSZumW0ysJkP4O8Zp/9z9yst8qz
oY7XHmQ41Zuom37e9m4yUSgc2xMwsrO0WpjKxfkewy71ek9jG3M3HgI7aF58N4mPbdlzgG8Ckplr
G3SE8eh7xlZZKudSPpdLZqTxBaP141pWl/4utfxt2Qf+bibh8NSCaTYHzl7bCNfSS2DidZB0uv8i
F1f3jX3RlOYu+tUXpqTg+6ZWTxIiA20VXuJ+pkq/hMVxYZ+6rP0PmlX7oDPVV7koASdrjHozQBTu
nG0nxT+OlO0eZdSvLO/saEm/WWe0KeAy9A/QMq4S7XWYIOEORbePAz2+RrH2SfZkK+X6A9taOnkv
3Zwsbk6/xVmd5e7Be1QbtfBI3+juWO1qJdW3q6oyADxGOt15vwOtC8xOz5XpuU/O4mhRRyHn/Nkc
ttbSlD4Zdd3wbyiCxXntJ3EH/yf2thLAYkt5Qx0fUTLTOKfm5WOuNOllqNWWI3ibvNoJsstj2c3f
1Snc5cXo/8fLpk+elltPQz8ZWzm4ycZQB1q2i80elQAVaOk6cA4pzz5PlXfTAJyQoPKsk9kO5iOu
a95ucvP+U0rBeTOi2/aXhk4awF00T9BPPFJlb753io6Hd5eNb0oXYTtdQyw0Y6vBrDCc0VBk2xWj
XChIW6vkfxM9rHsqAT0LJP+RbduC4BmpEIAyH866X6r5xVWNbutqbL06tJjzCxZWrLUDFXR1fJdG
yAp1G5rI2VQZqRzUK/UWkDnus3nZtxwucr/bZm0MIGnpHCsYljt1va2HwrnKRTrhWZz8KlJO0nV/
mtzeJ95vAxJiejQ/2AhN1psPD7My7Em7Max3+pKFRcCt3wasZHtJxUqf3EUZtqH6OG5byd3eU7Z1
+pce62hFW92wd8Zm+up2AQq5Yf4X60OwLVM3fQb9l1z/S8TopMFWT8b0eSFdXn19trd61eaPI4IL
z3WdKixqRgB6iqZc1BGNIS0xXvUoNu9d0j/3/kbXPPLNv/pJuo8bGBLdSSKqInnUk8UubRGmH5MH
Sx2Su0C99MjFTWd7Uym1drD5LHo7BGSNI6WbcjPn+ejt2mz8837oiREJhxVTssMyuZMCiBL8l7bd
T/7+viHpOMLtktb/NLEc3JcWbOnLbHdfZTIPZeOx+xGqmHH3CB5sNJX9JVCjM19d48L+qDZ2ck7n
nXZWlz5NmQNts2YFdIJ5cxmX9bA/S8gyQ54SGVll3PMIv568Hvv//aT7jzAUWKQ6P7ooM3ztWfV1
kDko7YXpozHgfIh8UXNf9eE4XdSqtz6H+Ksc1b7Tj16fRl96Jzl3k4s6lF69GL6tP0ZJ9n5PTvaD
/hgb8YdWzjo4UdU7GV7Qw/Gt0CKPzbDZq5h9bmrdhh+QlEZ1m/KnO+5hdKytH81sK8UHLeV9cW9j
P4UBVfdr/I6JsCz9Z7wgJiA8Fc++/uga5ox7gFzlfCzHZTPMvSNS3m/S1XX1vKc8kvNfgvRqBOgU
zQoIuPKLrH3SFMiF9OEbgRbWL4yG1drGRvrkF1jnOk2H1po4Bc44XF1aHOSOSRoNBzkjgoz/M5td
APD8w16D0nvJphSM8h2ZUegcs2ugB8JHqEh7niACLpw+QGParOmPoIpfhqUlXZPyI3B95VUavOTB
Js1Feac/pGFi7sI6S47KostSa/3NnWPS9+hmflggEFm0HmI8j2UdWBeOwENHzh54i/020DavMZKq
A+vOa2Gm9svoms+h00fvtHDH8ydSKa0XvduFxQKcN+5tUcL9kmFVF0XvldJot6jVqZMtc/qohcYQ
BepJRinps3LyZL98u9fRWmcwkwenecdSVjnivKy9WUb/FShb9hdfkz8HgCJvMxTXE0ZmM44b3bd8
2YFpflpsxpbTt2zIOqowiaOZr4DAnLduItG/7NosH9Z2ErlfZQ76bMZlcObmvmvTqzA8Gq3n3ndt
ZNaQ/yz18szrN2D718G1Qv2XDzUIg25gXzAGpDDbBauQRXnyiH73535p+Snij3qSok2l5MveqDpG
ZhG+yGCKNOymKOr6Js2EdPh2wGb1JA8yHGVY7MNgouUF9rspqBB5HepstzfB6OB99evlCnlNPSgu
1aT1LWpUYX2L+OuDyDKf136ncKmxNtaDdMlbuukNZ8caXzyEc/Uti3PjCO6geGAblCScefHaGHXz
i0T4y4AvHvAjB8UduypnG/bpN5/DwfE+IIFy6ROOvUHsfEEqFvXQ+xNkchAW30InbUgJZ8CZgwyy
v25O+bnyAauDd10Obb6ZvwzQJLGrXc6Jo5m+1CB32M5TUnc9itJe5V5ROcd3vlk8Yu+3AAbKvTKO
zOiCAp07Lp1YyK4xk44VsxOxdrl9eq1ddX7CJ8Y7elmWnYomrd88Z/qG3F32V2jM7/XU4m4M6n4B
DnwIEJmaqhzf/TTNXwcvS/a5Y2KosVzkboLTyVtPi8IHGIXxlPU3yFUB7gM/qB+Qic7Hdy1Xqr3r
gxc1NT4/hVMmO0VL9W8ezICy1OIfOLOD8PRK7YXkQHK2CxUp9lwpySQof+te5z9HPshCzwk+ByiZ
/gHkOL1ZLaLvaqyjQsypNcEOs0Eyk/fXYI0XCoGP0ofsFE6zvy5ON9yirsKO9FeXhLWe0uy8AlFv
GTCQ6YFMcbTNrsJkKk/+SqNvPU4TP7Rq+ZaNfvyHolGjCLDVOGuUP55xnUA1zAVnXdn9Ay5b5R8w
7s/e8tLIMXg56ygI7KRJ2r1G2dHXr9Ks+m9x3E+fczQOHnxu4aAxCZIBjieY5RwlCim4L7bRa89h
YrOBcOYvflz2FG2UDqUc7qg49Pc7hB++DKprHKTfEnX8NcTDdajcKMXUX7NwSK5dhPdhkJWnSgSr
UW+zNjDE/9XOSSvsoh7ocTeY0Px7T9sIpjM0wvlqWQsafoGHrk2Bh0qwjFZZYLDPiT4Jvz3GGCFm
u8aRFlJ5Mkz92S/IvcugXMJ/IqRlosZ2tg31Z0SYtt0pGWPgR8H83U2q4erYVvOqhL35qEbWsVPT
9lW6gALUh6q0293at0wqO3vXN1/0xW6gN7uvpHDSZ4j99lvW5FjVYzuQKjkCohjibJXWNL6YMOf2
ejjCkAw15xgXY3Pgm1mgJNOGB01F7+5u4RdA18BrZOldMhMgkAkSQ2i5i+EZ2FiBHOsYN7cRwdLP
yP/MRxx9h700i+WVXGVWe5amXYF3QMVterwHu9MmJBv+Bushep065aL5ffCl5gRy4/VlbTx/PmlV
/5dvJAqeHvAfu8lTd0rh+UchPPZKhKqWNBc6pDTHWTM2s67iBHctq/R13XDJHYLmuJ4M1nyQDZwp
XoXrSETqgNo4xZy0DvNDV+Tatcp28xwM32zfH/e8VdpLEaNA4qXR37JZMw0kkNUocF8wq42umIHF
+7xno17jOOKSdVBj9XNnZdqjgskrNTPP+GJTkj8Obk7dTkAzZYLg3DT4N2kyye5L9xD5DVSB5USm
hIrxGKN+JK31kOYvbseFxZbp3rcU1mJthDVCBdFHTvlsBxZruYA7hmRnYt5wJwfYnpJvdTsIz131
rUQv7lhij/SgqLU/4wrELfnydtvXfbrvEkN5kD69MHCNKan7ndAY+PKzuUSvMYqT7O2sG65YZgYH
1wl66GodhkheSaZTblVSWMCwufTLyH/rGzoqDqk5vf4WW8pTpNPPbmVVu0Dz8QvHaIKyyKSSXc/i
5GbrOBfG+gWLYhiQVoXjWu9Yt1hP8ucyHzZVPkyP0kqlSyn0vW2VwU76Wm9askg9S2FH3rZoguo6
SqJ2bUtnEsz8m+T2HhTVxpa3SwsMnjmBBuVnA7Lw5zOks0oOVTaNT2XnKJuyaLIPFVRdT6obJZmL
HMvlHE4ibUCM3fE2sthj+pnjFXlbF2/pXptd0OW7AK2q7TpwX+9DhJf+ATd7Zh7tu0odfweURwsQ
fb3cQed3lLngz5O65AOxTATra+bUzfow3qccsJ1i4wzWhFRfEu0/blhl19on4CDr1I320lwvDhok
itP7VxXFAWeTJbl1Ucv4dQ6T+gFDIs666riccMdnT2t/aJPjnlcfmVbB9yN10NqVMDD603PSmA62
KD9nzoPdn01gXt5RK9zka2AXJAznqNgnAdsYxw+/5JmrHYEQ2Ed/cMzPip9eBLmYsQHbAnrAiMce
k8dpxFhLBEnUJDmz8Z33ShgnRzfu22tnzOq2nZzxPWzY6ELKG66DovfvmDVYSvGGJ8ex1KPh2Rvh
vy7U2kQhs5oP4IaFjzt72vNQ5MXr4svFUp3OvA8Rff2seO13BMnaI6oH9VHMBW6m3Q1/2kunXjX1
UYwFvkpnNmK9U/nwa7XBah9gRCsw5cA6II3UsPkF4BOObf3JbtXDHfSAGPxxUCPj3qzy4up0dfwH
/Jt7DSHj1IPmlnmRikFsV/6L87iWF8bG7C9sMWJw06zCW5gH+LkWbr2X+MYwRzzpxcoqogKEmYV9
mUn4rgVSuVvPg1JIlWa1pHhCNE0FI7b+SJ2P3A5wkQqqmcqHDCz4MH8BikkXaX7tyQrC3TpJIGby
oB5nhZ0uQNfE5UxUhUOTfMZaO3iF8nFfu8N5OsTgBZ9k2a4rozs6QeBt72v6stjH/0uE7ASqsUhv
bBpud7hxjj936U3P3aSnr1OSvUi3TQXp2GJSdxgKNC8W9vpOBDymRWgbqovRYY3Tx4BKpGdehE2U
Bq8L6ctYvHNXUx+SYPwcLGRN14+ifV5l+lkFuvne9Q9zB9WzVsLuVKJFfJBmYfW3KsmjN33CzMzL
LFjMy+wONDCcF7V+7NhFvS5PLcOved1mWKLzij6USl2e2sBhfwnb7yh+jZ3Tq4ibIk8lTXMsyhe9
xaOndOBuAzN6dTHxeBQ3x9Zqr4OQSdALNbB0wcPE9tzxXMQcEi2dpTfVp3RfLU30Oaar3sX1Rka1
So1fSw5nMiiXOkZWh5P7k7T4IICnRThLnw3t1rXpdE0d33h0q5KUW1jBviriv6XL0mfQCLYMWNlX
3E/D84SvD/4OylsQREX1CR53tfWPZVdOfwK+ro5DZ3ZHIzG6P/1jwCr6J7Ws6jiryN1JLwmtoP/P
jLC1XTpecyjayHmBzYsYrF8Hz3FalCcrKoAVqvz3d5w1big7sYUfk+DQNCp8wWWgt5vhJncADuAc
SPt+W9n1JXX0+GzrQ4DS/DJ7nYOqhZEtDgVDGDsvamf8EESNk/j5xnUDRMncOr/yng32gsGx3IPh
DsU3wNPaPraM4tIAIL30Fjrb6IYj57sAyJGA3bRRVX8fW32EqJT6T5M5mmcf648jrBnjD4ktu0e/
w0PSVy3cDJLMvWmZjUVnNmyx7hhvFroVN2O52DPazofG9dsN0D6gOa0VNo+ph/ubFrK96a1+7NGw
gJimenjWKXOq39iz20guKCABnObKBh+jLhkwyqm5WsvFr41LRH7yGPlkv7auX8fXQpk1F7szbi0/
bNHCrJP61PQotOKjeiVHjbiN3Fpe2rF4zXV7phT6IXtvaE53nTR9c0/jJ4tPYqiVZPTl9tfw6pFI
TZ5jpLRTOItZMCNB5pnhCTjEe2ZYFUYm/1w45TbjRtqTR9k27anYWP3HEMyd6/uMqp2yrRuzt/ww
bX0WHKzskFFH6JwU/bYYQDAicADBjQpDUjMpzgKy6SSznHpZfpJA6fQX+PAdorNEq6qbn40lUy2j
chmGLj/VyMdsZEAPrXMN0PsyqWr/OCwXNzBiMuqlt08R8HhcB+TOD4tL0nBalcEwVLA0XMJaVbGv
loIGw9KSfomXZqexRs0BIlTSlAG3CvlahtD8ahBvT3D8P+MvgdJeU4dPcpH+3IIcXeIfBFbu3wOq
WpyspMTmeBmQYLkz4jJ7tPLHHM828z4o/c6Un+B7Yk6YGqff8rhyhEg79T2lInGSllzWM0cXTO/Y
4LnHsSSD8GZ6Uba9Z1Lwh31xGyfZBbMVPSpJGdwS1y/3pMTmd77mF7fxox9ax5EJsGjxRhEVY8O4
iTEFmPSXzhv1jYQgAkoWRpu/ydNIxNbbdvaLYxE42g71JeWTNsc4jzdd/KMKrS3UaCo0LTAq/G6N
b2YGCL6yDeUPNCewHSjqiYSIapyV0WNpLI3sKVWLeYEvnoOQ/V6ca+5VKCHtJFDB6GOzc2tgKMtZ
TYKh8X1szrU2bqrU6i9IY2nbwIInhm3cVtgqAA8531hd+Gb7QXQMgMFceD1EFz2gujiNGeWgrrta
Nga1xnKRO1frs2s6c8jPk+Gx6vqf/TJYd0Z6qFVqF9JcR2V+oKEb0FCLPqyj61N+/cCa42bHvvwP
28ZipnHa7owHRvC1rlGxSIYvGcv41e8aeyvdFu8K9hBe/QAj2HoDbnK0FgkYb8SRBiA4qK5ltptG
b0qrhq9NhdaF6eCf6ixhVoFYgjuFT5IPkeTGmhn5P/RJSK7PytkpbRSNSaXc8yRD9xLOsUYlDRqJ
1fCBLsYLFR323HbMnpE9QHr4LZmsF+42STvtYe3PU0T2luqk7OADSzlQvKsucxJ31c5NaudUhO5D
n6SAzOGjwouqF15U3qGnaKXleLhH6paNht2IBAZqmdNzZbcvJHPaq1C75JLnebLX8e7drZwvasjZ
zcS0QybdiV4FU81lqvStUzXMHXZxwjuA89nPaTK6xi0/tVXLU4nkzFU4daUfIk0bJ+WDNOtfTSEe
JV7yc1SaH0YXzrC46axzJVjN7OJBWEprcKKV3X5WJ/51izewy5ZY6cO9txgAW7sPjfCIbxPG4G5M
iY7EA8f3xNSu62VuQv1jk98ChMCvmKwgZYT9+1+zDKhzH+3ypnIgBKrUKF5CffQvJgzmHTog059x
MDyoHULTTVzXRzmq/nZylcNvuCCZZFQudpOl+7b1UF37NdDLUXltS6BMbmsDiRjQtghVIjpQLz5r
2Nb5Jw4RL9KSfjFdk+Ya0RvtyzSCedisAxKnzLp/6q3x5YNhm4RUE4atYeqcyQa9CVrdXnDrLHd8
MZqkJRFHk4wt9rNO9SYtuSDNSGlkxihbZrVFGz4sz1gj5Bnogvx8hkQsz1h/yvqM9acsz4Cc4lyn
0vyPmmvBm5e6n2xAEA+4woVvUQXBfurn6iCDEVjZKzYh+CIto9KngNQsqG28SpfHKXc7p9F87peI
GvU7MmbAcmW0CovmuVpMD39NhxtybCzogQtLO632vpWHfyMTQd0JC/PPaqyZFKlb9bFQppJjlzcB
MirnJ76MVGK9TPsSz/NXj5ThxUQKpPreBJAMU6rdhvPFLUzSW64//VkZVPHnKcFlHc3Tdo5RE5sH
pHrodxSf/rQpryqyIHyk0QzQDD8/CCYsjeF9GpqGc65gzMiD/ast4649eFvBlpl58BqaTrwDzTJa
G7/KxstUBi+mX/DF6aOeV1zpP/NvUD8NTspJubaNbdrU0Xfbs3jv9/YXBSvVYzp0xSmLrfAzJ9kH
CWgB9285CWM/huUOxj3B2WlhqLj8mR66EIMyxLGcfep69Wc3nr8MU+v86Az7HJtF89VRumnnL6Ga
nc3XqfM/hIpW6L9DWTKjS0fuo+BDeXOLttyrfqm9D5AgEq2Nf7iOEcA67vI3xOeGo+vP0RmWkfkC
QgclpCWkTNxNGjrjt3y2UrY/Q/jIRjAkV/TemHm+pY4DWM/qiz+VJvSuiHWPr5nqlg9hpTxZrPyv
0qVgx7ArHTs6/DMh3wPBU59kFOQi0jIF8POiV3NOcKOlbKi+GicZNg075/zx7T5V8bQQZBU2NTIY
tGiqNNSoD6jsR6du1jNQBVr81NQ974Qk7dVb26CgvfRh/tCb92HVwwey8nJsjJtI4V3IRzg0evPY
Iyr6MybKVJXdXsVHap0oP0bpkeZQMNoJEaa7uaoKXZgM09meEmTLB41z+ZJdSlqz3FW5PewVf0Ed
5ir7VRd4uV8F+ZNfYiAYe0X7jOJTyNfF63B8ojnBZnpGJEc/ouoK+FqavwYSvK4VuDQ4eS5hS3+g
RujSZjBPYteFkKjyAbrljnWRJ93j+gZ0Y5O7gOv7zksP1eT6F02d/UuHKhQs+KWNbvrDkNYNu5Nf
fZFR/QyUaIn7MFxROVT2MrReCt9Qra3XJPnyBUrh5ETs7MvEUXG+1i33Ygd6n9xCmGQ+H/IjL3us
50lhkIhgod9OegxAVzGcB7mLNNtHhWn+Y+1PzQHeecgb46HFpXiTpdl4tJPcmHfx0qlp032KtD4M
DIobbizPH44yIk8cOk5CdkEdm+RZjDDKNivGDv/3cHy496S5MdzbQDxyp3uYlrFUomVMLj0QRsZk
3trrzl3JedHbt26K4KliUWTFKv61VaoAYaCDUcBIAjiHfLAfKBEs5aWtqP0fZT3ai72M+qqiMHQt
RudbEyL8seWgMYEbbdpjPOwkkyP5G/xC3aOBK9NGkj6l+KmhCPI0tV17lZB2yf1YXeseszxUP8i5
ylOW2LZMf8ZCYr/yb/EexjZpcACzk4v8Mro1aI9Ucs5x46uv0jVYMM5YdUzYhfy6AxopryaWVIld
YsW5dAUOgBIXSOtmnUUZ9q/G/JG3MwUcPfVf6iZ899pJ/Upyw99Zg42K2dQV71n8qegD7WvfaLxT
G8hJmE5qX0lyILaYVm/5WM43LTLarcz2jYI6CVy5xzztnkYXNYZhc0fLkavlgxk47oUjtLLRFm4L
NMqfTfFZXJsyugaLKaMT4YGY1jNkzHI2jlnaqpSmOxDfcMe+KWazZyX0/6PEE+Lmc/5eBgGiIUNK
9S3prfOISsq2mAFKzJxVLv1o1Q9RAs846C3nzU6LZpPoXvwDyYCNYxbm33GsPTuDUn3NNU/bVthc
Qahy1KPjoY3vWA18fCfoLqx8yjlIzfb3uwS83qWvA+X8/49ju1QcBmSmcOvW6hdUkGH3fR8F1Nn6
6dIIy3J8YL9vsOMPGstAvAqlYjBfl3vR635tWvfWYXn8Ac9k/WI/aYl/K5cZ64H2jodaBlJWnIOX
estfyy/DT/AWD6EeWH+nIYaqVLi/WWgTb3urq17bIrIPamg1V8iy+S2vlOygkdv6Y/Zda6OaZJiW
6Q7Y5z0Vp/yg2pA+fuCq/mrjR1HMnnW2c3+C0EczReByk1IIeGR3VyOrveCLlyrZetGG7o+gdQDf
L/1lavqHzDPdrROA8rCA8t035WtTtvvSrJIwehDZgbX5YZQi9IPs/mW0L9S/f3JhG0eh3u1knr/P
XdO7OCk0lpPcpkt7mEY0KOTWz2L3Z1SAbs4lKTksxcb8MmBGkkPapm+wQv8CaMM+FMPwhzPMiDcs
F3NM2OTLrWq6PzvXYekbFOOrXrY6Rh7/TGvtCJa+GWC2WLMruaADgm+pN7fXMWntp0pJoYCPVvZX
5HBIUCvz0XP078BwtSfXVJCAdCGd2ZATbcCsdA4DR7cgsd1DPZb6k/TJxZqDR9fmTG5VJd+belT0
R9t+kaj2VyhKxBCHzfnPdbYMtpZDebGyX4uuJkH6D+wrafFQyZP2doebSXOJyLB1bgvEb+BpgQBd
LnLavB88/TSnkNbHB+lbQ/KSythmbSMNDd8LJs9eAitEsCkRTx6SYD64SDctzIuuwjR08yLbD4lf
IyufxPvVrRrsiPfUz/MlL3Pliq4QhJwYx76TqQUmNEtev//JcHAaBMMd+mVZbYYFvi2XD+0PtzLk
FHpxGRfZpxHYjjcMu8L04++Lj0SvAE2xXPCUWB9UsFKT5owhcn4cNV17M/v+h0Q4DowgxOLfcxAp
+7wsdDKfeffoaJqy1XS2+oqlAExz0nwLx628QW6vv9jJ4vAEQ8sYtEuc8T8hzf83KoJG8I5U6s+o
aJGSlSjqctUNzLE8S7r9wdIuuI2ECOrz6DWq6p5TaGznJBriVwWAFVYHWvjdzQHg2FTX2aNG8wUF
kXbfJ631rf6kBkn03TAS5IF1w72Y866OOO1Dv4UW58QdfL2FeSeXSGkhZqeKt1/7yLHB0FuipQ+J
XnCJEhj3qb/3i8Q5joX/6X/VNs97Fai3D/9w1TWXO4Rcg4e7QnpUoRkjMfGCKuqGoL4ayKYj7pQa
AzAh8tPhwVny08DMyU+bkqWWjlDS2FEJjh2jSWeHAS0a95KxTpbk9X2Co2tQamNdB0Zd5foNEcGj
0nfqSav1CUjtki5HIIoceQfqDK2kGo3G2rJPsMvY34zTOwtRfJ5Rl9wHKgKFXpXgFdbm6SN6sOPj
2HjkKIz+GA7I34tmiEiCrH2rVklr+T/jJESC1zjpk2DpmzgkkP1bwGJrzPr89VnxgI1hmbU6xUT0
i4QYJhyyOdHiXZtD0ZamDNzJY5Wuqg/R9zXUrPxsM1pBdugmjrvQvmL76mLEsfEVq93bQISv0id3
clHxy2oOcmtEGl+/NTzQ86LeyJDmhWm3SKr9h21KdQiXyrlcEqmUyy0idEyfFk03EJ9vLBoVnq8E
foipG5+YdbrcyRS5+zXvPoVDwM8f42TjX8XI0sEpkM+vfJQRxXIuC/5APuLSdR917qjb5YMPg8K5
ZBCf7p/7+zhfrIYsPH41jtE2174nAfDxdrSNlzLy8qOOZtBVYowwK/Sb3GqhnV2CMZrZbExO7fG/
EmbNpu718DZELeo6v+5c9sEKVLrzb/2xzFjj1rmxx+e2GpZU4q+nrHFKQM4ROZZ/iVXkM1Igi3iF
mjZddIgVxzvojfJa/BK0+KB1gV4U4RwEx20vK2TIN2L3O0OnwyDqSu77zs0Rgk4iwMtOwy9jAPC6
l04XO4r9T/V2qOvltlGgGbRBn5+kUIlaoXUMDbxJpDkUU/pAIvK7NWf9W1D68RtnQhmSi1JpX7xh
Nh+kJc+KfOVNdTVj3/Wx8sWuim0M0vxPWNPxYZz+h7LzWm5bWdv0rezax4Ma5DA1/xyQYBRJJUta
9gnKtmygkXO6+nnQ1DK9PH/tqjnpQgdAIgmgu7/vDRb+neAxMaLQd5BNrZVYNp1RPIPpjdmN8tJS
L7KtX7akCkgIH0fkYSPkbnRedqMZu9EEwV5cypfNbtlpHeBZRsvzpl+X9pjBsSSwDvqomfey4APY
q7LvuVGWNkerzPu5Da17LzA3plehQfBrbIrMxl1rjne3JnlkpITAnL7D8nkZC0SmxDjL6n1YeEAk
QXzpa3TgJh9NnvEsizYOrVNeaj07Yl2spBw8Wep+bwBMJiKALV2faZkf2+N0kNXY9N7GLgsfhBM3
r0pxjBZ3utrNOpB3TiW+2K4g1pihzTwlJHN7owfT7nWs1MzWYb6lmOr45yBS4yhrsr2cvHWSu+zi
lpNQA3QuRBw2jWW1+InpsFcirUDWbDldnkDOeNwKHdlFeYbb9iQtk8hi65/2UXWoc/TBVvg9Y5a+
FNe6AZ/cUmCQA6nMU1/2XA+TOSpYYVfm1qqi9wRjSTYpS5tg0NYsc51ZC20JQABL9FWqvYa6VflN
jHjare3mdiD1YeWQahky2xn3mDs+RUTPjrELC1VKeoNLfAGnkj6HxRydMkwMkXJEn/tXe+ogs/Xf
tKOyFZ2iNrmUY4iqmgNZt3P1jRSDvQnENjKzKuumF2i4qTHvKSDgw91tpDw7YBHuQx5wiQWp7KUl
J9MDN6m3azPnueFMMLZSowe2ARmL1Pwm26ROTy9FfuoAbK856Se7rnQ/LifziI3A9yL0yq+RVV4P
4r8PfnUtB3iBVV9li27lXyznSxkM53ZBKKZ13T4sNYlmzP9R+9WXQc9cB3xPhytQwcjHnwrq+PiQ
LspeRYwa7RSbf0ksg3BtPDbzvVRbjHUkF4HWdPXCIA9SwPq/xBX/bpZj5Gg5gHC/HD0OA/HT//cC
cmQzgk9wivxnncysXE0oiK5Zpnu1L3Hh0KbpTh6ZRkjvdQxuE6myls1Nnpj7YlCgqzBc52QiJSlu
q9jtfVzwtxPloFtxu7psg2CHGGn21xS09VGgBurLZFordECGFRLaHR6Nz7panmV7NGYKGKEk4hYh
52YazqkJEMJn999fanskj7+0J2Ff+8ZctUeEkpW/3mWjEfEfk+TeoQwfQ1xkYctaGisLi33IAmp5
K/QX2ZxPUEIS6M/Xzyv/0esHk4fXr+X2Qa5fjYZw/9ox+EByUI8y00armnyVDWJoV/Ng1icjblxt
a3jVizLV6s6NRHNKS3YnNsr5rPO3qKBYz7gjo3VueM4K9Ix1wKXbfJ5qCOq5Y5dr2dsKCA5duSGg
b3v1GkEqBMBPEwLjJ80KzHUQNNa6NlRUg3913KppHs7NCmeVee+E2jHEz9hel/kU3v2nQxfRfNDM
Q1yswPnPx7nbyCZ7aZdH8hLyqNIRPkWjE2mgGU3uD/5LI7Yg6JSTzDTKDKQwevuAlvgX0xzYYsmO
3nCRnQxLY3NtLJL4wSxbDG1B41Y+Cr2rPPbzDJ+mGSkMcxUh3Hwfz+M3Pnp4aMY0va+WwuJRutfU
Gj0Fa7GcX6pOa4HVLvAx2SSA+UhUOOSAp9jAFdgMvv9xMmkFG0wOeo8JAP6V7JWXqUZvLf8D2UTI
5oCehXoyPD26Mwp7sbHQHvqx0IKVG5h+pwTRpZXVNJ/TdZmU6a7IAvXBRATxAQkpCywjO79+OU+e
nOZucEFO56NJnluW7dfUGcqjHCYLl/jHBh6J5t/ayKde/wtQMgtnynsdmxqtXs/Id/GStanRTUjL
L7IVw5VfrYatF18SFV1f2dqVYhk7673yiJV5vWoKBF6acdC/lH19bp0QLEOBcD9ustmPXoBCAIUa
vOadXvpx7Cr3wu49vO66+hjVqnNy9BrcBc4Dz/JKZsOKMu3TqhEgZkFSR0vKJMGmZmsqbvqJ7U26
WMNY720xr/Nutr4OCisFL4vH+2YR3RVx/60d2SjWto4iqmmD4jNE+ZgWHeJHAoWrJSGI6wrSbssI
Wf01QtbkSUNiqH6Ti4cGU5Trq6FUgleznbNHHr/hUSTR9dWgt3gj1EK1tnKjPJb2q5lV+aMAHvrH
KJSrLNyPcF/I4pTV2PIuj7LwSUvyBq0WarLJWF7rJE+euj6of2vPehSwmgGzgWExFZym0B78we7G
M/rC49nL0HDNhU3AE8XJDS5DY4TBnvPYhUZx3Z/cNiC/bUjizMI1SW5GrodZspi1kNZeeTjHrya4
7w+1S9xOhUC3kTKiZtITQWauXXRGzbpLEEmI5h0OquMmNzRrPyxa3fH4VRtH4024s3G0e60AAIWf
XGQzh7hJW5JA1JxHYQLwWfzk2sQCJTAonwwbfIVBnOgx0RclH5cQoJaFwaPKR77qnqYoFAXzO6IL
HyNjL/0YibIQ8FWTqKPEnOBQ4bbqezP7OuGG85X3cKU4aK+D3eRnvNRgRkgmxJX/oL1GgchxQcEh
D9G9s8QUqOaXuHCqe5e9RLAq3Yp5gvXW7gpRULrQAm+1xO2uWrVxrOyQ+wSF4dnpSbKXwOPjTkXw
4kmYqXbI7GHewijL3gjWnOzSYs8pnbpQNSAuWBRvGYTiE4QO9YkboTj1hfMWSkI8ZizWGnmEZid7
bUudn97loSwI2FYgqBJn3TcJqYtErd4I08CErJVTbAK4WCXDnK9x7Zk3npIUl97rnPWg9ouwBrne
nEDOA2zH6KIZpljLtV/Szh8dOtmOy8DaeW3WpsAUdtGTLSrU9/NAeyZTU66QoXbe24Ggf5G23xQY
dOteZGQgw8g8FNpc7ARrPR9W5uxr+TDcmepY+vL1YibVox4azrNsb9nfEPQh4fyrHYzlGWWx+rtr
pvlbWfRKfmgdklSO2uZnwNIIpy1yfkTi8vNYgwOTaYN+WlkIx1wAigR3CstbieP6E+61dIYurPOF
CHNDeonBK48oSmQoXG2GhVulNqRkjdwrMULN4/1Ypva+MRp4wUjPoSFDrue5DkrkvYZRuziubZ9L
g9So0kL+xYhxZ3VF94adRb+r0UBa7p3m1TGAtBZz/gDuYFj1U1r4cNtNoOq29qZV35tZRavOa6x9
Fo4TWTyqBppKBIzdx2IRkaqDvlppowAMvpzdCISJLKgwH6RdAQkFikq3v0ZZVSv/qF9Jv7y+P+q/
jdcNtdvr2WCsx7acEISMwWIASfd7He05pyvCbeLU9nbCcPPViDXSEMzEB9lLjCFBuT23zrLXic29
0SflUzY4NkLbezkI0pXzoFXVvawZtpjAVEdk/ZbrZ31NjDVFezeHF9FZTodtg5c9q98BqPbP/VKY
OfKWOjpVO1nta3cGmV18kTV5ituIN8dUQ1zUGA+Eqd/FyCz6ovCMPe5fZEGXPFxlFNAnkqhay3yd
bJN5uMGzgSygEX9rV5RI2y4h0Kstoxwre/ME4O0yVjblaQDmtprY/POdr0HOv1T5OGHMCp4Bj+H4
WrUFnlBkDkYQ+XlwscrmVaYgyFAGF1cpX2W6wo08T/bJbIW1jHQYKdFH/815y1XkyKCAuGqRH9sK
NdvJ5aNcNAYKivWOHcUnucyMgijcefk4+rKXVWn6MBtvg46l8CKkLIsSWetzoA27W8DPRo9PNl3j
fXhBeFiZ97ug9lCwSYp0n+rFW7Aw09LIHPZ9O8agIOGtWREQ8ibSaiKfVCHIbsxG9J9yU/QPFpYS
lfjM4if44Q4/EqAb75mC21I0W+UzdnjGVoBjv2MDhNJbaC3OFWnzGtjldy+eZt8N7WaNLHgBfBX3
1ljX7J0jRWfAj/+jLvvTpb9LdR7hCrrI3/TXue6LlSTkVVHXPOGhwtunnM6yqVYK5BVj/VkS+GQR
LplXwpDowi48v2vx/3lSGZFsHCUbV43uvWLm38liZxM3nXtwpd6B3rmt/8HQ7QFxb53YY3dXtBXA
lUl5seBQy/iv7drmAVWdyW8m1iyYMYj5tY5AB6YEhnwpfyLl6a7Ce/3kk6PFbdk2rB1M+mfbLJyz
WAS65BG8KefcVrz8o7KdNn90yCEDeRb8mxxf1vIMl7p0RCQknUx7EyHPtpEECukv7JlbBEcaED7w
LbRS2zekC48ahmnT6gYRG/Pg4IWlOErQ1yx75aGEkhEGANw//qP3eoWlR54nLzU4sboxsX1lte8w
SakKWH6n6jP9ZPTfRyZ3ROSJfLKyYDFvyMMlUNpqBVKAbDIaQJvaqgmhh2f9pPvXm0nWR8/Q/QIA
t7q79V9vpiHpL1fBi2z04J5oCHmEfavcxbOmbrvEDJ9UvEfh4hrN58Fwn2KpGs33lxSW+jNw+s8q
0sR/pVEOv7sW4WOKfd5uHJxhP1r693nsnluJpGrsBnMRqtfn0Ip1667Th2dRKuu51a86Alc86Mj3
teK35N0q91muEosLzrXXDde1LU2wbGG1UyMwbgC+DJtPwziqb53P+9N4I1mn45mRd0BKPOMNE1x1
K4zG2Mre2sVmy4wsYCNWB0bbLNFU6DyBcpyJ3cBiN21qU3RntzjHyl9ftvV1HK8MG5i8rBqq8zFE
VmUhr7IDSjzstVlN1F0d2V9mbyw+UK98Eo34V7Kukmz0qxQhKzSq23AnSeCyuPXc2uTRICni8lDr
MEhA7Bgak9CO+uAc4gguluMaP3RFPSWVHb7nCRAYGJwgzZJvfaroX+wqR2Ogz5PPdQgVfm5BjWkN
UCMYY/FrGCDlNxLY/jSUure2uxSqps5yI03ZUc0Rr8WsHC+aZ2UXEmCkX+vQ/Jr27i7NFjQfRHzR
1erX3mNdrmeN/QRwadxW/MN3xcQ73q5JCUvLs1bpkoOij3upRyabZJEt7kE3U7Tr2MVMSI4bTCM7
9Gmyl5pmsqlSptdocHuoM13/PEGV7RJsp73F2hHCU7IJogCUwFKFUR7fp1F/DEgjILwFappUskLs
NLP7Z/T86kOgLUnl5UolURD2icbi8gHkVfsFdL1BXsPK0atVDAZva7r55xvsVR79Ni7hvmoR35hf
iZgYyw7PixxApEr0KLd0SY9cHnw1bodlRyjbdIQrdXeOHmUTNyoSgxlTn+ycEFQ/QbB9RVI1/ySc
fCbsBG++F8xXro6b7cSaRfKhcpxZ1mAkqoPhqdknAf51N85G5ivqoGz1yi7WhRJ6BbwvoZ2Q2N0G
cxger21BWj/n/WDcO6vSMAuEfzILCw2bdOCyhrMN7WdeFQPoRmN+GCzrh2wmW+bxlnb0g5EX0ae+
qnZ/2BBbQoNpE85weJe8tSyQw+kvY5Rgi2t9NMn2rAz1bVcb6ZofvweitljUOMSMTlIG7Oqu5ao1
DjOE2dZSJSy0BG9xO89XHeIO5M9h1pdFfe5mJ3zgLRg91EthFsJbmxbgAtkh22SvAFuvLuiOZby8
hB2qvCAMcPx/XCMp1G9j4WkHeaLsNPThBUk+Y6/1MHEKFwc/mZe5FpmFLMYioSGLxG4cgCXO4dYk
j265H1kdLP1nHTxBGc731x2eFiXzLg9Hd3VFmGvjJB5y07cxGms2aMQgALmM7p1m92HZabCBAXed
W89DE9rPIvqrbYLhSbak+TCCrmiGvewLyyk/KqVLIDwEYXndQ4F9nrc3yEcuJm7/W11CPX4Dh7RN
/krSKdzdhugjdstY36QHaYiHDqQFFP0ZMVv0asIixJIvUk+yLw+c0Z/KudnJXuGiWi+iCbldgOOf
FEutLpPQrqfWk1avsmbBQo+huUZHIid5s3iy2MQ0Dpmb/IjQxWg2hHIA5MfK+fodYpy5SWe0TetC
s8k/A9RJwTw+lGFZX2JY6zc4j2xX+SRw0BjroQry21giIb+NDRZz3NvYqRx/AvEGfozElFFc4GKP
O2VSCpaHhHS1IPvehGP1UJtx9wSO8l42izr+GCVxD/pc/j7K0O9lc0SWIkD0zo+qxkDWZ/SOeoAH
KctbA/xE2ayJeJdfwsY8ZQnGfW0/+IauxN+jwp15OET0KUs6d4MXYbGuJ9QlUbNtn2xUGw9R5zWL
1UTzJIuRyZVVR6/u4IzgtRq7ECNRvn6IFzR7Z9vmNd9mx2zEY3Oe9zLpJvNnMgfXAVwd0e+6Nc9m
EOKP3L/JQbf2QjjpRsO8yr919Fht/53UrJoAQlxZuH4AqmKNAhIGiAMeC9cjTUwXHGKfUgu53Fu7
7NTZh9wF3OaRuTgwyDZZxC6c0c7Rf7K37e5zB6RiacPqIs70Nqr9fEd4JlnjwVG+VSO6oLYiMNuw
m+INhpy7clIzO8necDa3njbFj12KJqflp0WQbGSIZh6idyuqgoPkf0hOyQz7cms5nrW+3pFuqNhn
eBvXE+SQdMR5WUG2GLNjzKRyO3DO8kgohXseQg39pnh2z9NyRODB/b03Nl+JN4VrTOrNv1Ai8aXf
TcBa1Q/r0T2NWqXfuwGRe0k3HxWMAWsteRlc3DCCprW2IRDttd23zgEcnbkOlSbYBSETJNNCexqw
UpZzq5wzhZhfUKLLz7JmLP7L2givUM6vxuLOzH8g+2ThYngFPEu6mgwJ4ffainZ93hmP7VLYrpdj
kK3ah3BmBl03mXlqgPuer1VPOZAGDB7kWKtg8gisYStPL4B2Ps5lFN5Z2vjtY7hY/KwJW661rmV7
QExq2mg1stHBtFw9VQJ1Lf8DebZd9W+ToWNAsaQoMwJka6ctw80tOylzkrfqbYjrJAQ+ZQ9QGzIB
Mt/pao3mT3OlL0G23qjeonR4ZI1ARLqejpholz9nrf3aliMaSJUZIMufmIiAlQtWAT9OYVcZ6VcI
JXlulE9QfKt12TmgpLzipM1DjdMgYV6bRZW1myfnz4z2NBTCT0JegvKZuhVwVz6xTayOskk+qU7I
t2kE77KFBA8ihmGNqZ8+e8VKNtaO4g9egBiWMcK6yufA2/dpfTYWHUTkXKt+dT28dhuYUvbcD6iC
LMNhkJOli1HMDksnujfmqF4pSqnvDAQc7wd0+szVPKFoFRsK7nFL43XgcmSQ/T0qev7422B52FgI
Pc5Je76NdVzF2jeu8yIhTRLCFGehux7IOa9zCXlC4Cu+k92yuMKaJMLpds5vsKjb8GujvKYcnjXI
d/PBvuIg/G7Lfbwg6ouC7/iuLrv8GI1LRJqINVxG7ENkx3Vc8vc4t5rF3lDH9+GXPHDLzXLWSJyf
FWG8m0Aad7IzltrC8nASenpqW3V1G/vH+U6E5ZVV5riF/brwFEcHDZ29U+P0yj0OJvIddeOndVE1
rkorKPe3jobVxa4Et7CSbZ3jzfdVcpb3egGbBDuv6SkgQ2sdjVqhqnVPNe7Nxc6Ocu3073/9z//z
v7+P/yv8UTwUKRN+/q+8yx4KxOub//q3bf37X+W1+fD+X/+2dM9lO+NYuo6almuaukr/969PKOQw
WvsfgKLHQoR5egTbnW0skUChc3nIl9iojKDLyLkBQ5dwtf484vTS6On4SWf2PuAa5m6wWZ+/yoJ0
pbshRKEd4ryePnlWjbzOQmnVtBSF/3K6aAH48HoYkcY1Y/Ur6qdP49jpez2ZbfhsA7SGI/p55hFB
u7vSIa6HffniKoBP+Apr+mBr56qiY/WXhyfUIbektEkj4Y57jdCFY4BdQAUDXMtFD1ZiqYoUuSUV
pwinsOI1oYgYxwqKZEIfHVhZugPukFzbxCTOtsL9L0cU1WxfRpyPbyeBIM328kJpivP8f/41XP2f
v4ahqh7S7ERrLNcyNH6Pf/4aaWIQdgF3cUwTcD6TFdYPqVvXJAy1xsdtt9zINlngH6Gdyya+NqEj
B2urA36tm03sk3FF3yWthnv4NP21wJAjBytaMO8CrEbcJY0GUMqdtpvE0IhN21Tv6Pb6HzIfpdu4
F6Udw3WkEl1GFAt6461OooEM1hw29/VyJDv0iviAbHNzByBC1+KtJxuvZ5dWq6MYsEstI4CKzIbx
usXMUcyYi48Np9Iy16ea8bHhRC4wBnVUH+VQedJkNmw6o844yikQTkVzuF3y2sYl09qzH2RNXrIr
xngrq+j5xfcoFl33rPK68pJgpY3rn5GX9HQlQOONTa/OA7T/zz+1rnruH8+e6Xie5vDIGRa/umrr
7j9/baF6uW1rpXWYVTSyItgW89rTshx7GE2ZrodpkZIjdZZWkn39oeQx0fQu3JqwNTbaWHmfmihI
V+ShvDVTl7mWbRG2S6dmLPOVmhrepwy5g4chsY6IFakwbdiyJ+4nOVLM4s7RUCrRl4EQCXJCZ6zD
ZCfZcmsd8eLYyyrkCGXjNZqykYPFCFfLDd3PDiC9dVBM9ifLnuZT2BLgkVVsnrJHXmLbqkcQUjYh
GblqiyhF14rxCDi+QvosLrKG3lm0FroZH7tuYpHhBM7RDD2sQsCb+BH4uH03dPaLFxeVz1dEcKwl
yZDVGfJZc+xde/XQs5nGu/IgB8+lsdZcWNQFCchD187tSw+Kmk1eme1l1VPRuuL/SlmVZ+1LITRM
5oYOpOkyWE87zGSzYTHLo6oYi1J1mIx+rKmCKRYQjFc38dlZCsCT8Xm2VZhXXufLGnnPj3Y57NaG
YzC0saRHWsopfnSFim7iUtiiKK9HtzZN0x9G4Tj7W9OYBpCSl0K2gf3gIS1FufqjQ/YqUyAIVYn6
WLSpdbi24UIDLQcd5dlKngmo5ec8DQMWymwNtkaMSKRs/K3nVh/Y+XqOHTI9cd6tuF7ByBY0p9k9
aKP+0TsXLvkJpDu3+pypTxOJkcosnmQlUV19N0XmtJZVdRmQ4rCpwea5k02BAF9ZWMmjtfCaZFNO
6Mln1TNtZVvbRtFD0Zd+yQ1WOuG93WbxKYyG4WkQanqYs9YkKkVVFompW6uydsQBONCAfXIiHrNs
kYr8ewR5MvIoVYB09dLmLcOEKH9Y44wk2NKko/N0qZBBkDV5nZFIzsZx4mIj24gWR75VWt42K+az
Q8binImye4pQbzgRDXqRtRIb4ScyvSYLXjJtsk0WZH8OPfv6i6y1rLbvsPf7JsfLJvhJpc93/Wok
Q+s7qtt86c13ZeiMv0YlnCHxZ4jzs13ibtfZuFSu+pI6o+HDLoj8zs2+WHWhHBGHyXdOkYzAW7qS
jHKEudmsPYjBhjNqzDlh71r93GvirLmZ9ywgsULXm79iwNzsaqY0/sgwbwhN9vsR2UIiMTl6DmN7
HDMVKtsY79U8tM+hFcQoqeLgFbu9c6k946WoCa64bRXdefwTntakhwYy6sYbWAIMdbarbLM5KfkZ
GlLWI1vq9bAYNP6jwd5rabxNjBILu8qKd1WREl4L8UWeZrFy8sh+VANkrAxVGY95JFT8Z7TXyhnb
r2Aueb+UpnpBBc+62GUYsRkvw53p1NqmHVPzPsnmdTnp4ZMsiHqoh7kTLRf/uy1Cr3lTk9Tf3NoG
D6k4DC2CA9Js0fXcsFlck9L0QQ5TibudcH+5v52kVjhItyoywLeTElZTaw0n9J1sm0gjngLovr1Z
FCniPlN1VOIINpusF2b5UZeNNmyQbTgho0WKOF1dSx32N9mPvjwmSo/hm6zrvVke5RF7SIbOS38j
z5KtH6eq5bgKsiH35UwkJylcjACLL4Vsu1VvbX+Mi+VcJruvh7f+2yV4WJ2PCe96mGU9mWZtZSGH
chyb9qMQIZyaZClix4rSlazLbtkoj25tt45E4MywunX/eYnb2R8jATDvKqMe8UcS8IIt91EBD/Qs
0h6XyO49bfv5Xu0hfJl9qPuN6QbbXsuC5znNkDXVdPHDMn9gJJx/nwd0Y3iLE7HG1mBfek25Z4dt
PvZDhryFaJN3LFxiQ4t/wIDvSV4F2bPSls2u0FLzYOBJwIqL5LtrOs3XeHL8WYUPbXmi24VEKHwL
sMcdGnnpC3TBgwVd5HOU9mLrhvW85mEeEKzASH4I4/BF63gyuwZjbq0PX3RcuxwTUyV06NvPyZxs
xs5UXoZmrvYCM6p2dIY7G2LVHah6FHzNDZYr08FL84zPrSSPBoYEvmHX3t7S84OYY+PQhURuAKxX
GBoZf7mK/lm+2GNVFxu3sQo/eGH2nHaZ3ZIKVTTxOa6Vx5ov9CkW5T4ilXhRIX6tUCKGYjljxVui
Julmsz8pbbOpMB/1AYSRrchxGTFC9K31Tjd87htcRRBb9B3WuUQp3BRxM0hJuK3tTewOVkHMvsDW
HPsb6Pk9StsQ0cdoOHVJ5dwzr6wzBY4v3MQfcxg/mp5ifh7TGG+M5CUlAvW1UaB9h26z8ro6vRQY
aV2QuiN4sMgCFq5yF4gufyVzWexzEvO72bHMZ8wdd14tdrkruu/lDBN4dOv+0VBm95BO8biNA8RX
G6W4JINXYfI35n4W5OYaClJ9B3sr/UudNrwFtfWcccOQCPZ8K2LFXun4NVZjfpe62Ek4VXGPiDDa
Sm2YrhvdMLHYMYr7XjM9fwRU5NmlPzS2seuE6V1sXf3L09F2YCXA3gn20SEOVNKQof7uIJh4JGNI
ltB8dnmNwcTPj32MM71SqgC1shADPsNwAfdgoBF0pbq3lexoDlj/NHa58kTaYqqVV34BBvLi2CI9
2izoYpQnlbZaeSp2X7g6Bm9dBYqnzTznOT4I1pXk/fS7ufZYnFjZsWtEfqzQEN5N8fRidFX+nB+s
QTz2rY1iFnFqyALd/BT1xbC1k1rBEVhxN3XGKmzS71EcUo6BgR/xmI0hqvjZ1ywjGxJ7sXuM1frU
xeMjgvlsjR4VaK6rKZsEr/ukO+l4OgfxIfjR4RW7bZAHOcqi8urUn+DDTwU+0US722NVAtquMo98
XJ7sLfyFcZHU7Y2dVB0uK/ZnlQGODrdviJ5ZCbUI8o7FURY6brXXI1lVSrs4ekshqwi/xrzGf43+
ozsVILOcEutZlP+P9UL8B0oz5dd6kxffIuubU1ncB5GzhnCuH4ss1Y+oDFvZqmB9m0YvgPWCVdSW
X6CHot3GWwTvFzSBPHw95rU81BP9xdajchuVmCoMMQYKzmQOPuifcZVXhyARWHdHvY7/DIzeOFN2
AiNr9JxdrlDU5TqOO2b9+l43Kxdk6eLc4RAH98B5rnnHz0nJ692Ikw2Y70d7ULm/1ZWqT8mhru1c
W49p9upkDhzl5T9wPcxZ1fIwtS9VmY9HLxzGo7IUCAynVQSQoujzY7AUcq6RR4S1o103legi2MiS
+cNAOlNFseQYoa99Peqt/ntZF5+g1OB0oSZ8A9UyxRrpYO0mZgSY4DW3+RBsZ5FcwCIrx3pRc5BF
IIgTKinmuWpCur6ZDpbgg8nfTzOrVwvJHgxLEYgdpjk/sgDCMLE/NnpuHkwrx69Yy9ijOQ28QKPL
N6baEd4EJ3QsvOyLUTTWJlfjqd5jXg8tqspfQ82rjzyll2L5Ys1RubNjlDlw8Eocz9nJDxaRalzn
JeaJGvKKR1G189FqSQGlbNAcyy2PYvm9Wcu7OycWLEhy9ZgsxPCsLrvr1/RxIb4meZTmVX89SgBw
HlqDfV9AXA59eB0/sQKTSJQo521jW49GkZEEDz1Q8UrUHGXhqlVz7JKIEEQdQ6a1JtbuRbEK27Y5
ZiL4An3zscZ/lgesatfAe3wlqu7culupAao6KKuHInuKqxS77451Zx8C58yNfqU51ufaVoJzPPbz
uo3zxyLORmhK2jdg4KCXm+EuG80JeHcIzsXO3VXmgBazu1OYqO1TlTShb9usiFDKbbYCnOg6TBwE
IiuT7JjYmuQIXyc9yLbEbGNf85x6g7qA7qMNHrLzM/1QKXngzHSbB+7XRHFd37Lb56koR38sQ5dT
vGBd63q0QgE23Ubs7O3ZHJ4jB3TROPWfWf6HzLNetUosGwU0h2yRN6kImzgtJP3YWU1LwKe19I0G
F2JL/DuBP1iZPg8VNDG3tvZOj/pe47UsDizEXCMvYpLIHjPcbn1DxfNZCUdrb1vEWEIfZdBwFeg8
E1qQjzsSCAZ/etRJA/N54mjWSDWgJc4bHyUgnU/ZsZapu30WPKRJCN4q9ZRdKJAuj61279rtyQ6Q
Bkyi8hAzZyGDL3ZdFrd8lTgy2wGaKCnc4BX82mxTzwVSvLoCeVkJL4nIEIGua3XDu9XeoDM1+qGT
viL0oG7suIygA1bQFMfQfhQoqg6ejgIdGIpN4oavmdk16LHWeEG044XJ7p5nqL7LI7SknP60TKsr
p/M+q6S2fdFWAPtdlA9rVt2+qzrF2ta0L72bEQ9u6+joBv3aqu0JnaOGoDOe9hunazvfC6tLHYlD
Hhkub0HzHsWXmInZM/d6hIOU2zSfvS5tdjyfAA6b4lEvyk+6Xjcbfqx5b7uZtUvtfgO8vtk1o1mv
IBlwU2foKUaC31WJ0VA2uOV04zDXo9iymbgsq/9TI0iGptNYHDSjZ2vQqyuswrNjMmODGndM9FOJ
nmsJVsEi/XWXquJnPHWZH/ZLKqQHckoODZUAjHkClXyAi1kvdtlMft5wHyaTs7KUmfA14kmntHto
sGnx1ZLP307Ju1VW+UZzFeOsWMj4EIH56ZkxybC0fmEzdTc3OmBcqwk2g4und4yof+nNO13xzmYa
FWuUjryjpSWDX2oEhpPY3SbAlC+tdx5DLQQYGolnJx8Dtj+ptXeV3vGJIVmIJLYPsemSpGd/ptuo
V2oC+HIE0jL2guCc2hrMGkJklwoo9P1sQYCNPaQ/q+mopN28M5XyS1GgBoqgav0wDC9FmkLOGJCP
YsGnbVhHDeu6tk52Gll7EOrAtrT6+zixXBGERu6YjS5xalV71L/Jg1srqx3+L2fntRy3sqXpJ0IE
vLmtQnmWoad0g5B0JCDhvXv6+ZCls6m9T3dPz9wgkK5YosBErrV+U+1qy4lPNm7Lmy46O17f+Dm8
nLov3Ws0QiMx6hbTtkFvV0Zo8owEiXOuZpVdf0b7n7qyBm+XE9XQZ64fepm+bjujXGmGlW3H0ltR
9HSeBDxSbMcxAvEyZ3lxI5idoHFb9RAqwwplClJbYNYW05QUhpHeWcuXii8RntCouQIcCINmo+lA
uBKP5ySzbRVjRoFnc+XYQDiOFD/550MNmis8ypXZBNQXzfiFuKTlNLP3keB+mxKdVzQV3R3K6Vv0
Lr5imWX4AVKtvD/04lCUIr0WYx2vZ8NeY+TX8vPybo25c4mYLq6sYHmS9UDqZj0NzngcMu2mh129
zXg9XzMPvevcEt2Kl0B0C8PiFZWKB+rXlw7V2gtQsAm28MXTymEbuL33aFr9Lp14/1RZZWxsFT3E
uhLZdVImjDrGbvn3cBTNK3va1mrxnDZ9s3GNqvMLpfuW5Fm7tV10DZHL19ZGCFk/iaj5Inutw+Wy
B/4jCPaDWR2Q0i0oYpfIxzaDuW4S93UuTOXFi5Vbgk6jDkz8TOqj3+pqTACEFvBFi9ot/qvaKVpa
XSuGi50ZuEEqoXW0oVUNSc4MEVk8+EW5ToePec4UP2dXu4ho1i+ZEqJaSf1gLZts2scRNiEsIsRn
tXmuPkITz5e2rJqPshwwqzO67mNs+JYeNh0f5HT71cRm/xHyzsZKLZ0/0A9AL8HtVCxRcBGxwGh9
eHPSrca8Nz6azm5XywP9YcIyR0+gdj60hJgHRID7wfGD6KcMcAxuNRDNJrmZUnGLD+Idnqi61d7j
BkOJwDCj94UXsDKCrEeKGl9sJxnc11ooAtbCfqi76tXOBX5pamu9RF1urK0xLF9Exq482ZG2drwg
348NRhjpYFtPIZIL/mSa4WOonfU4E5Sge+dmYVa/mWtHv3r2UG1D3ZsvdQgmcBSIoXqxMHeLafRD
4dTD3kTv6USWvYJW0GjHLuqph5ZoBbl9GGNn4AZ7ZUohvNtxup+GykAbnVdUluG4GmNKDOfA8SFO
8JVUtsUhb5BPFCphrOge00lFt7XJbk0Nq6WlxrtKZtOimJK/1AkqDfFcvhehqH17mtR1gd5empsn
W5gPUIU1oiDtR98Yb1jc/cpttDWhEnEIrg4J54dRt7E/q4R9HAnEO7x6TnM0/L70iXLM+S7o+7pY
NSf1g+VF4652pjcgCINv4SnGvjeaW9iJ/aZMs+pEdIIaLIwQzdHGfU7FcD1S2F+5BmLREzo+a2cJ
JWLLGA7mkD2Z3hfXUfXXXJl+Rj2RucnzGin7Tgnja40l3zb1nI8gR9y3tKzu1Q0x0AhwxNj1dbWN
Q1K6Sq23l0AxCMab9tKLwd2GXq4DU5/QQSF/2+sP6NXPa6h9KueY5EPTxtSvvOxgeeTWjZ4NVWRR
tM3AAoGxEU+TbgA1TKO30mmem2qFc7PlG92xFIqGyYV45MXlDyamTdrUwh5R619gKTW7LnBYb3+R
kMX8OWxN1BKFWKGriAPerPWbOe9yRNXqU6Q7ya4ItA96b2NCYR1FEkw4lIfUQXG1hFCgcAi8V22G
JWpMi1cSAISUYDxICLqkQPMtRhxip5tf9CIztuyPL1WPpB+O5sO544FfuQKVUJDHO6erk1Nm9Oi5
lIgpxvbwOqaVvQuDoIWL1n9Vm4KUAlKTsx2x941Bj9eHxqGqoYSe4wkoyvILri3FFp/FVxzDxMnj
wDC7ynNXB+RHBG8mpSw3Rashaujw4q+6n0mHeWmGd9CmK+zopXG3VYoaRKH2Hny1nFAN18gS1UDT
Fsc48uZbwUnajvsfik5NUXMToCZBt0J6/TnTv49Q8NliYNRlY/fl0YlS919eCcodVsLaAsfa5OEx
aLRkVYOMhYIwe4+ANOxjq08/6wlvrGRYfiHCra+A0tkyGkHSE6DeNfSEvh3yuTk2iA/4JgwDAghy
BVnVDKSKSFFkiCjjTlRfVV3lARcecUc5EXLkJTJfz7XaHTgI97tJDsuRuqo4dlFWZb7suH/AH2Py
U/RMPZoim3a28yupgvrQdwp1k9pdqwEqOgZSddDtWt3XStXew3jDi5wYsgSrpUWxvTOmTUIR6ykK
7EsKKGgt2s4laAdsNnrCeUXnENJbv8lN5HOHNhBrJcnZLNGqI3+zU3Lb+RHGwwGuS82LoJh9ey7I
4QdQZwS4TZUkFPLXBnF+OZzKCL+hvrtRXitRiW6rXasJqGhG99jNGSbhemke4NlvovAQhUlNmIsM
zJSY1UoNF8GHLEHRFLth6qLRU4GnBaeli4LYz+TZLaYElkGBvQ78IIheUGH01rpzbPtee+3SF3Uy
Bj+JQwwJiuEnNOoJvccq3ldqRPkMtz0xu5wra4q+IjTWxZg0a0WZsLGFVFDWzasIaipzwa9gyPMX
Nei/Ed91IIqb7RQu/rE2f4tlmVxsuFkHVG/CtWfbmz5QvxCHA2bNunnTOQHBbuN+Rf4j3c8KZDUj
7ikdGfjkZJUTruDS8VzVb4lpY2XqND8BYXUrJ55frBLT4PyjKiLzW1C1Z6QE4KcAZMum9zDLCpyn
sLFHiO0JCmy3dYTzZIzpe5Ej6yaaL8movQZd+zNPOad24TdVTL9cUeecKLyOykEYUpcT6gkpkKtn
iUNTdTvV7uZv8GLAXaPYo6c9kibVqmhJpSi5Vm21ymjR+8+1VSz+1UKbpnBVtOehB26SqSmq+VUF
OMcbNppoGl/Rj9QRsgTpJdBev5oC3SLLQcoZHKd66zsybzy5wkHdKE0QNHHbtTpx+ugRJfFmxyG2
Dr6q7YCeqDW5qy6bv6b8YtCPIx7pbkVleNsxK6NbMJrWyhGXwrN9QeD84TTjwcLgEMfjKd0BaHzF
F0Rc50KBnRUovKJaD8u60EOeMfymONmXQjXCQx4ExVNYJz8AcIwrV0O8TjeU03eHDYLjg1McQ0p9
mFrl6CN5fbp2Rzb4Pafu5JAggz+4nLxwOCzXBRoUpBRywIogMFcJrI/KKHNfKJiYazYBlYg8bTuT
cvFV3YTaV+B0Iu+MlnSrY8fv6lAMX3EgQOraqcUjgmSHsCmdvW3byrqIS+ViFPxTHQhkFjwzHuHU
uFRiwvKxIpvDAUl58yaXYCJN5uW8pLwZswqDKLTTvW410U2JC3wvlMgGdwhk5qoDqSCv4pHWDuO5
3thTy09Ce6x9BkkAODftHlqsGrdhMrerO9/1N68Vfeki6aMzcundypzT9MGN7drHyIIv5szBWW9t
v7URIUCMJ/6pAvTitB6R+9PAEkFdFub6rpwaTRSkyF9gPefF1krakNZhVp+mJCToyVWKd+g0QD/J
rRU6gPqrGpOo/pwsR2WTA+XaiuFzpyRyl8JwD5cwrHF6VKNhm42Bd7UX52R5wTIWMeXm+tmtGxoq
DvPAuXWepUTb76m1gpJdPCWEbmUH0BZI0INCppANchH7LzGTasDXU1pzr1Odek/1NJ5lt5xl4wx+
dwxdZrmEWde5sdwn3erP8KCnD5szpONR+UsMih6LkB2nveaxGwBspUly4vRJ3OnUKuTYUZzkIESU
5lF2LTNIF0EJlM3lM4xEP7hxEfGqthzsfLno2c8KlvEVCDHvEJX/ExAD4vg5IXOM2J8JuzYcuXpl
ZabuuIuwXVwLuYTCKsRh2OFySV7OpW/HCYUkO/7gVDU9l+1UH1XSLneslhaca2DKX51oarYVwMGD
ZoUToi/9WcK1ogkdeSVUzXOuNS3iCYOzkgMIaH+4ZXPuRgAdkwdNJG1wIjcBK+0UL37vey/azajQ
n6IRr8Agj/I3Q9Qfks0fi+YwzWb/pUDK1C8Mq3tIg3c2vvipmHm/2TbeFHGMRC3lgHabpqZzkaMh
EoFnK23OiR5g/BkZQbLTPBWqqqnETyYY/kuXaS+9avtKZ2pwdV39tQCTKlv1UPKY0prqRH/qzV5/
/Wtms8xcWiYifn7cGtdP0smdlzJbixZ7ZminSddwkJBkFUlK+QeXJR5tcVgEAqSkWF+gTXaXHIOg
3OxIoT/LgQiCPDnGRavsrkBWzCI+AAlZFLeqwXUe7sBXzcnXUVMbp984wH83AaBCmrOdbVPvHcf1
bgGUg62hz9raW5ryoiMPcZyK7OdnVyjA3aE0A68lMhVATcxFqmfj1NhlfE4bGzVauXlnHaikBzc0
Ibzb7JKpQzCqhP/DKjmQTINLLEwa5ltsmKtBugElmdDPw9y3fkYG1dejOr5qiwK0vBuFAbbdnarV
PwYme84fEivdyv7hrgS9rG2IwascOJH8EGCZSEsHiwZ0roaC9BpTPi+KrbZ+OWvQOLvxp4SU5+Ns
bUq3b3Z3/PmkL6YVmTjLUQxI1raj9C/F3KiPbhdf0Jgt3hPy/cewrwHGYCdLFIeZRhGE/bYawKtL
tnKbkzoVlsKZbyEvw/xAgs60xFk2+f086J3aPcrWxOvRHt60tNceK2AjsrNp6+IcNwgkSMI0AdFw
MJoo9LsxVt+iKe9J8lFhM137h+7BN8qavuI/FPyKuTSTaMrAzwDv1UvYr0NkfBSF3pzlXBUpST/p
hLuVcy1srO9L+4XlJJcSWv5e2vfWfWmMxeMLKik2JWTH2d7nkjVZISNGEXIpGldOhx5lECZXvJ6u
xdLySqG9zNkGCLm4N7JcfWWLSi9yiAvGa6iG4M/GdL0DUjUNrbqRowJDoGOtIjsedWO3DkkRXiHI
X4YKImSWaRHKnC1C307YPiTE8JtpHvv3MhsfXRHa//r7VNvVf0/tVbf6x9Rh6i5aeakSyC8l8Lku
rG7g6GzgQsW/JNvKmqcQHep0Ogx4bX7pfmXICHwp+yzgKELqW06SiwNUoW75shhtxT8W10KfDnJa
TRxqQX76XC0/Uy/iaCVXWzUZu75KlHUwAlJrlCjbayLwbm6k4DQVUF+uZrxeF0njUTcu3lyIL3Uj
Er9rjeaqwp5fIQZHHWWhIan9QHJkHvS1bE6ZIp4sdD1ki33Eeu6TAcPecB6PTahQwo2ddH5L0qvw
5uaKtUy1N0M1XeH/CmRTdlZFjhoHHJiVAf3lPnGqTbjYCICvU0y8VtgTiod68LIXZUjVTRu3ykY2
80YbT3EICkaPx+wlcmP3GT63bMgJZkmWjnoftuRNc7TQcSemTOaPNuTg3dSmfpQvaLu4DU3bvvMm
qQDitfpNJbrPtVm5SGMa9LPeABcrl3qxqVnGUKFRLgKhikOFApgfJhbStlbws8LrAMB9wNHeCMju
9+j+j6l6nJo52kE2N5+sCfZNqnTND4NNRsubW3nXYInHG1pdIbtussp1PxooTVJoJl2LO+Vyo/RL
T0kp5D/mqHCRt2XrQdF0BnXfN6Tem+VthNqDulcrDO0nLy9P9x9l2vgb9hDUDJJEknQ4m+F3NY/C
s+zKXYpCpEvA+C1/yLqtascxteeVHC1zoT/NOPzZON+BAm6/Ck2lXoJ57IOXtOENew+okEXUfB87
F2pJlL4VVufuKLBbO7v1yrc8y8/kNJvvjQMMIEeL54ovc/XQEiBDqfS6U95jbN4iVYKG79zvGy19
6ruMDLlT/hqsfF/odfVLJV/295tljuwZuRmcFHwhGhQ3B8kZPwMRfCiWkxalP78q2+4VLynjnAAR
W8nHYOpj248H/Ipl8+/TeoK8+7Sx+dCF9z601hBtVIR1SfMjF45sEbkShQi4Uwv8fqviIu8c/O98
U1PttTZQZKZ6UB9AgnuoleT64z/u+Hq/+4x8KE+AzdMbklnbmbjrSVooLa0GLcinRsWANI10xFIQ
W0QHC90+1JdM54VDjwXeGIRNUenT16ieHrII3I0UVmmxl99LdpymI1wllISsNl7fhFp9W55JCW0l
i06oEHsTHJGTc65GcN+kkGKLO86ugfNPonpR0s/LVgCyANMHXKNV98owEupELiX2ccZttQfPsKIs
bZfTdGkNdwL+xp28ENeMW7vEjArF2T8H5OjYTAWFVwfV/2W0RObo/gHG2NtnQzygSaUf63Q4eKMI
xVM2l9OpRagW2zNkRAeK1eCde9xBcceWUn1tiFcG8BqYdXTJy124TynjS23O0/FzrrxT5xlK4/K2
l02gTN6+cwq4A4UbPOZGs9UGAsBuaQkq3hc0FCgE0pKXGePug2GTCPvsA1uVb4zlIlfJAZeUzUrN
s+pwb05henX6fIPZHjmu3sCkDHLb3HUkkMueAmYkLQK6jpirHpRDv4jxp6ZwL45S7Fs5GqVBusl0
BYEC6TawfF6iR/0VMXM9VRCS7Dvksuzwqoyz81iRQn1MUWrft4kAhLA05cCI5gwLg3hjpR1ylEoU
eNDww2YfovtFEdMMbrNljg9ytrd8lv2YEuDeP1LkwsBbzE623rhVita5DCZemhsLF+P/rsXZB/AC
uRT57hDKJB6KAjr+LlGcyG8Kl62NM6HvjBXSvI462NQV4QpneoAP3nIZEarlLdufPvsHKgC9X5aL
zoRnFPxqmNcW0+Km99e6wKydXZnpXz+75N39Y+KNbW6jug5vrf7zMz6TPaiT3cOzrgnDW5b9SnMY
DOs5h59i4adMfXgIlHajayayCdGg+JLqos9Ee4MR7GHpz+TtdSRLkrbaNuaE/uDSTARujK3Qqkup
6eH75G7hthjvBgyeB2t06t3UCkhuy1bPC/vlvhHcdaJCa2wvGW5BSO7aKOItRHXLmqDjj2iXL9pl
IA742ydb5WtmKJ5nUtc+lk7ZDgmt6FkgxnSDmrMRU5lRpA6T2Mck5/eoUcXxLeAJlXPTNFLXvWd0
m9GoNbhNbNzArfqtFurJSjLVGwFdXd7Ji5xSZ18ylIU3CrnuI3Ll+rlNXcVPast9y7LoazUOwc8W
rA7ntP5HMuDwrYvAforJm+3qMjm1TRz4Ibv7s9mF2mEMgaolgM6fR220nltjnQMTfJY95PHztU30
e8hmSKxFaLyR0EOEd/weG2PtI7MRn5u8VM41xXrKclP2I+Vc6ITTHxP6dlbOZki1SK2n9qlJwwbR
HZO8aRj2ySG7dHZuXWcXHyD0c7MfCQll5G6jr0hplBtyTv0JMkXkY5XnXYJsjjidaPVzxKF+7802
pd1Js1+nznoq5zF5cFticCmxqTtdv4qrQt1JEU55+a8GZF9mwaSnQm5v3UXUPDLUdhWp0xIm05R9
8k5elEXgOQ1NFaB5zm5PMestXvDojv1vvZlE1dZKKcRNitSMfdcehQOaS86QfU4V2mtrgZUrTvAl
NLE7Dfr0gt/H8KKEmTi1wDp8LyKbF1X5vR/1oeiUNMrvfpf57TLfXvqzpT+2wwbiV5tuai+MV4DA
nEuZKPWbmb5nOkpw0SCsB0DJJAJTxXjX9B7xqExpdtbSVEfvUS3DfH4j52H76G0NG/LQqDnAE3pG
+8BLi3WLxIXfdp7SHkDTeABjlLENqeq69kOHsxZZvXL6Glr6twJRsKe6yZw/+ttMvfcLlfVDDy7d
zm0YSh52VE6ifnEVtNiW07U+tGAdw+FrZlTqWtVRYTA7td9Pdq3sUaiDRexY/HQDi9vEjpsrCC/7
mLnWBSbdAOV97JqrEer3PgpvHKCNpkTwUk3EzjJL5V8GT1b7grq29aQPHNK6rr3zoQFmqKdJVeK1
DE/TLKi39dyZ/K6IQyn9uaR60+xBNp3M3WpW7Z3RfnvW+Ft8aEov9qXQWL6kbAGzfeQJJaU2IfOD
b3D4qhbOo5tU4ruqj/ZKhY911dJCbO9HjggTyH2ot8aGIAiWnQMpeK2mJmrhUaccNNWNn+Sl9h4s
1QA+VRfJU+dhBGZr/Xc5JLssp11KHdBQpBZWpOPjgHRJxA4zZjfZJ+W1INV817TKhXuCZ5SXoLgk
xolshjTtcSlFlCpSNfe+uYArEAlxLNQYNESiWY+fd3NWun40ltZjyBHWny0cG+IpuwjNym5kc8dN
qeMlVlE7u0kfeHnxoASUSmhfZH+flupa93CcH4H0ISmZaI9Tb2HYkhrVNjA9491bgPHLjvM5Iw3H
3zOMojbfk6K4z9ApsmBPqJ76LAdtLfq5W9l/XImkccb1sgQoc6c+wOJrHJWsVYAU22xM4QEu+Jd6
huj4h4kr0k0/M6Tp95XAlYtExs9UDftzg95CaxtKsUkVpV+7RFFb6TAvveZbLdZWWmb1m7iGMeYY
xg3BLfOmL5cpQA0hLnkttwJqm9Hz5q07vYaRwTx5EW0VbHE7qdZyhewLlNF8WD4O/xVgkOhqEl4G
pHp3boUrM9mnRVHOUVbZpAYPsk+KGktr5rIZ8XtAyW4t+3Ror2Zmm9X3pG+/uQKavCL4fSxWEiEq
+IewzQJfNtHwJfVPIHI2rSjnTYy4d6OjXlbnU76G4IA0RdMgAisCBM6kYgcFC4oCFdLb9+F6nFZC
AOBojMpHutnbyDOCEvfN42ffZ9a2WOY1/QIrlWnbeXR/tz/PFnJdX9au36qae5N7l+YpF2uanbO5
7GSFN5h7YZf8PcndbLKiqxyVc6OoNPdt0CZrB5gC+BQKsCVi7REOpvdLtjQTEHhrhN0G/3NgtLPm
PkXrx3nTdwEIGn3oLuEwbbrAqx8j3OgpksotM6oEtePGMoBCh5Q8vTJ/mQvD3qYYifjGEpxTVqjO
U9186ZZAvlkuWTWvrKYpn+T8SNMM6ID2LtY7BfYOuP8o1OLbPKe/72RfvPSNS188WMV2BIL4o2rA
BDfeGB2tRUAUXZDqAQD6lwzJ0mfHai+DpSJZNQzsmUgMTWeVQkM/KCGPWgACtLGHrdTX1hBW3CAq
OW6bJdL/bN61uCuqydNIXdNr4Vv0aBFSnegfu8pAbEyv623ruYYvm3Edi+cKi1YtTHeNM5jJ+bdU
mgnqwpP2IaXBH5UF5s2XBvbyRSxfybZ0XqDu/5Ojp7Miz/ZNaLN7rZQoeQXghLYXm4Zll6gGTPCd
vaXZUfjbWIpGtXOR00JX9b6o1br/p0VTmGunvl7+gZWFI9VytgyBEh1ks17y2MqY/G7K0Wj6WzOp
XNILy9pEV0BGhfFbVpuVX7paesxMk1IHLlipqOc3VbEc+EngTpRRZFtTm8NDphBdeqVRPxUjCRrN
a+uNicTRd/y2l1cMgholnFDFPPaJVTx5EycDbxnwIK8qtQKqgq84e556USPtQ37Dop/VizNPHz0U
hVclLP85hhDbR1RjGBwKh2Km1VB9KSElIgahHu7ilUMUAnKfMa//dBnqkdD6L/vcpZAjPybq7Xb3
2xtoFlp5nLPqSo7DRUqHKpS8SwRJ7BwTmiX58ecAkmnnDkGL02d/AdLsZE7xPnOBXi65VJlBtYzm
aJMzuspUbJyALBtVe9jLRG2sI9EJjsdYywUTPOxrNhnHOU/K4zSkw1pLkwKEYxgdLKW1nvNA1w7E
Ld5qoOD8XCD+/zwkfqlm1bPs4b39PQa4F/aR9l3gHjpU2Y9oKIO1KnLvTIE7PWO8WflOTh2llc9/
q/M7XlSJ0esVZyqbvjysyqOs7G8TnLKWftk1yj/Xv/fJaXLVX58h536K1if9tAGHcwNdC3JX5D8G
wnC8XNqawucQnng2501m4re2zOhd43rPidVau5G2EPIiino8h8tFNsl972IL+PkIBnRlAiLfxeOx
bDIQKYuQpbSpCUDJRcN0M5uyuUtb0uNmznRrl+1STqTHqNydrjekiaE5cULqQP7d8y9qWRp7B1rm
SqZnZBZGXkYrgKoTd8dg8t61YYpOpUlCLxfe5fN9ojspyuWGd5GvD3nBh8ZP8ZO4d8mpfy28h6tL
s9GbY6vXANMWS8uxrqab3hTQA8FUbGWfNLyEdgD9JmkJ55Z597KtA7IGTT31otffx2kaPkTEgb1S
tVcqNMWRuEpsZA5q6de6/Hd/4qRiA8N6/vr3+bI/45R/AyOH33qEt2camc9j2GtnZQI3L7PetoJr
fes5KZaAEZVgDpb3pHlNDXtqjHErs+BzRd5LSVWMFIFTtlUHSatvjoC1kEqXLatd8oK2BYFiMbRH
g/npvlU3avs6uJH62AigkH/ckQkftLbajMhMkJGchvU8auqHSPMvWqzHv2zEFTvk6lclMLk8jY1v
gw6CIx0t+6XpCsUvei+4KApYvXH24gVpYFBPDSuw6T1AEhem6y/+MUiVq4Wd4HQ8A1XrNest8uJg
67HvbTzZRDDe9zq3OchRc3AyUGqufq7KwnpbsO9lVntPvRvpLz1KCHIRSNXsmoXWV7kG/tN8VMu+
W1vwNi5eVDxnThbgOxpWfj8gf9PoAYB52am2ZnOMk/oqW/KStyNptGWFa4ynKu6V42e/idwoBWlw
Ejj0oRRp9FtpeVYtYnHyLsRZRkwEfZ/9Vms4e8Q+4pXsAx7qXaVlmvyQyq2pZYTiRnp6qjgGLtgT
JU33n27nmXrC61E9ja5W7bKi+KixbmxX02KNECsplArsseuHLvTuw8lAUdKXfWa8OCeEoDn8acJg
Xuv9QVfNY6cEJCLjXk1O91scZ5PT0HvJSd7JizUAaV7f2+GINdAfvSEMB6c2j8Fs83Vn71QttX35
DgEGh1WXePzPnvsrp/zViyl+vIsrM1m25Fvl/7JcoVi/F0mLZx3i2le0zDuAoFRuZbNWtIikIgOQ
aMpjbILLMWcr3FMWWaENW57zeUDS5762wBt0hsSz+1wmB1I19wM7wngEVTuA6Op4kxcjIvs8tNlb
u+wTn/1WFx4ofjgPobJ45YZhiRL3X0vlZLnUiZM3uWpatiJ599dSRzrxlkn3e6nbatOh4C+OY51n
kBJXHKoGcXy4NxWtuAaFoCbOoNVq5hPf3PVLTw0pspbmEwbq5pNrf+9KTulyFva6M+64EYY3y5ic
BYLvGYqA+yBb6qiDvtA7IIzLDLkqsaZfGQxJUg/mYVhyT1hMwc1rVcyfE/iYpCTT5yTdyjHZo3Cs
X/1/zU/7IYBhK0a8NWISDsNgbaVCuR24E6SW8s/m56icLEfVBT/jLpM/Rz/XSnVzxdXBI1UGhtdz
q7/+Y+1n8/PnRiFI6Up3dtL+tUpVYsAWdVuZjnYmJ9+2LVTLYjDx4jXy4KHxGhfVfSQWzNjCPCof
kpUhk9WlV8VrFwvc/aBEw6PpYNyX53vNpSKVLxUNbfpqRJry0SXhn90i+tZlufLxOXsIC3I30bd/
zJbdY/8N5kVwn21GrrFBDpYnuobqHbvFOxydp6r03BsF4eo1hB8gu+0u0c+Gi5Ji25XlO9hwZ4el
QYMIcVe8K1lkr++fkX11aiSbTDcOY6Q0eNpbE6aF1ZrxRfWAZGGUaL2aM6fW0QmLn1b6nOWm8SvX
AIqEUf1R4QnhN+WQ3DBWy/Y1CWHsxP+9WvtrtV2O+U93fM5xnZSrYz2tPuKQNONcOsktg7a2H3rk
PeXqUIPmGLTls2YN6UsfRGAYnWD84mjlOwdu9WcDa4+tdoxW+Hf4s1Z7/2J/+6oMwvtoxyxD2B+g
z2BRxGhIdF00M1d2fal4x9YEk+VgS7pDra+9qoRZftMm6UsyvXvAzFbx4jmOisAK0KvyzUHizV+y
npe8182T6prdJimj4sN025PbBMANrfinw5d7QdKm3FWIW8FenlqqF6SCjSjBkRuYNTW7MjrFSfIW
LSCnVBPODUywfhuPwksBOk1eS7devkTOXJzufaIHJzY3/LHI0ftKE12TYkA8JJHrqhF2kR2aqxgF
SkWYX0MP6NZykxrm/QZMyi9NVY2vy83/es6yfF5W/e1z/nP5X3NUvOJ6IwqfrMDpz9AvPrR4yF+i
yiCWJspqnCp+ki07gSUUO3Z+NPU4fyGDzLEBupjvBmN/BnCe+EYSr++QOrfvngMHkuayI8SU7Z7/
GqPYfB+TWDw5prFOtop/r0N+A3zKKIqTlVVoHQakkEBTmK/23FxkUIYtYrQu6yi7JpRXzoWZoXHS
4Vmgoj5CbqZ5K/N+NS/sw7QYwVsUJF/j5Q707O872SdH5TxkD/6H0c9PIakDeSma2sMEaRxNDvyl
PYeEqS7qvSkG/KWNxypW248oUsxDMPGT5axq6t4RXxPkJfT+ggGutpL9FG6adZDU+oOOBNYLYqyn
wUMqOE1r7ckbUNGyi665WXqtHHUzVzdk28svYamhCuLlhwZriY2bsGV7XVnvZY2ZesdhqEm09qOe
XLH/zO415gho3X2arFgv0zhmG88zjjXXGsGT+7TZi3I/cbO1qkTGAsMsdoXd6v/93f88z0019YR4
4dppjGJHLuN//0mNih5bhEiRuaA4GqVp142RhduibSYLmylUM5oJXR0JscC1oN/Jf78e4SfYK9UT
GrPdzXXb767mtg9GRZ3TUBvtAa7ud1ngkUWcEL3ESDOgDC41n3JhthogTLay3INBUocnZhTsoCoA
1TTVfCvLbBKtKu9AXxcXaD72Kiy7P0el/JycpzXmZuqTlTTC8TSLrLFiJeNZth2FHIAKT2ybOgUJ
UW3iJW964VleCpSYz6RK1mrooUjzV/9AgnuvGTWVDey4pE9XJc+lRbzv/w9r57XcOM6t7StiFXM4
VZYlObTznLA6MufMq/8fgJ6Wp7/5d6jaJ7QALFDBEgms9QZFs0+ySx60tu9btMzUYOPgrIm8D1BT
7Dxr1M35zEhjDEe70st7rQtb6CW1gxtKTCoKC5F+etRz/Yv8XGEPkxvDtmD5mCNLu2M7130peiBF
kAW+Vzoqdx+ek+Clvd21Bo8TSQ6dW/slC++yaK/C+tdXvlqjgm4XYGbLfxTsZUzOdTKfCu8sS/WD
qzQbX03sPS6vz3rnGC9zXetbMI7OKSi5FA1RY1BY15U3YGinPo+yr5prYwwOcyfM+U5bhdXcuQMS
hU/tk1WhdwxEHYCraavBvrFRScHXrXlIxEH2pThhrPsJh1wVzLI6zYV1SfoKEqks76CKAOWNHcHB
mLOaJb2HFq44DH7d3c3m92yEo7/0N6r+kuujC4++MJcoVaw6jQJI2bWvaWP3UFDsLqpfDTe4O1Uf
+LobiRUewrApYVLqVG3EQQ7LgUjAyVU4VutSh6eZ9nXypel07YCEODRrgTSVfaXXc3uMNMo0EqoK
/vg+Q3r2LEPwkOzv0OyHncaEwmOPt2QyklFv75bt/TTX04eQeRUd6zbxGgRXk+k4N/m2VIt+hJPB
bqbVFhe3Wvi5LR5vnffUkU/aw2ZEeF/2ZfAmzraEV2Q4gh/GznmcZJJGVxz9xjUmZD8UhPs8KzFu
LHu4Q4UWd0FdDdEvk67yo4N6ovwkxCfmF3x6siUP8rMS/R7O2ku/7Pod/2d/BHrRJh28zpWUT93v
mxlnBEG140X8bonXMI4YVs/odaAGBRQH5zSRkokj6rPIjS9uB3+3qAI026gQ2XnxH7Vt9AiULjOX
Zpal7QlgyWl556o/QbgI/WMgEluzkt8vsIVM7y8yB9NpcAJCUmEHDM6ABOBpSo2gdfrDB2BAjLca
GCeZnxni2djZfR0unrF22EK0lIriYzwnG9foQfIJMfI/9MavfQCPVY80mghS4TzvPn7kTei9y87l
nCiqZNvGVeN/PZ08u1f2nAIN4ZCEKRrMfz/r1FX1MYL+EO019DGnWFNvBlsf9aPl6OY2L7D2Uu5z
tK/Ix/7+O3AjEO3p4+/vcRf9N8RxeD36gVS1uyDV+wyUZJTlCNNLIDpJAeeAbqhwFWSNJwPxcfMu
XovRHttdbADEQAAEZ6LscUGilT5vNrtVYGj6wbcRI7TINW+A1OjDV1tP/4p0Z9h1etuf2jHpT7A1
K3R8q6yEHlQ2KymQfhVDl015UHwKq7YzHa5d/xYm+wAA9eDCpnhBIkkkkV74XNoByK5l83rIMYY8
VyTNrl0SuoRyg3+bNgVUmDpGCgr8UheY9hFJC1AOPv+F2EST2qwg1NmTj5SpjpL7pfV+oV5LniWc
63DrZoq6ybqx/YKGzUY1RvuuV9P2y2wguKrmc7KSg7LPS0zIK66LvrMIqSb1rcEDjfr07HXDglHV
A39r+dBsLEPNz0WMboFMw3UhYLLMcOdLblT2Y+CW53AYKhJjChhlw5rQo578lWU71l7ekINwdg/V
nLxeb9TX+/E/B6/91VDvfApfNz3kzIUhYiDadtF9AFoLf4SU2kWOqnVuPJPm/jzaieZ1rhxFw+hx
DvBA1INI0CfhnMvlF6tv0mbB9GVUEK8MovhHPLnKuu6H8RSMbB3O/RAnOKAj4MdK8egVgfJTbXyI
pdH43gn4LdK4xp2NPwR0Hr89qHE731s58AIDcfa/xCR/6E+ahjuxzK8OvjNfxlCBZSyyIL9Ts6Gb
fht9lJJklzwEsVhKZ7O3jo1yuE28YROVgfVEhfKDljJQVrGsFhCXYKmMutKtULwrbg2nWcLkuwyG
ODhikvwfYUqJ5VglAJc+upTO+CBvOfGIfu8U+T9kSx4SUq7bDh3vrbyByT4MZsAGqnp2kw8tNHx+
rqWZNwcfivqSSpZvIg7z1yzO9JtQZocyBJa2s0sC+/o+48hQzoWJ6p/4SMx68ja+4rgbeQ+HAXcH
RMI9Gfzklxt27kEvcsm/7mSEvGsXZhQeQOEYy21e9uELWtzWCDxeVwR665ZoI2o61Wfk1ed9j1zJ
LfgM6llpD7YlBpaVTHhPppX7U94nun461JTZT7K1rAPaePzUJ5cBsD9xU5We4TXEQggQK8Os3Qdv
HuzjZHNH417bv7pFc5IQpH+LKM2hf4W48imiaYSOqNWi1CVWNFGsuOdCU49GlLCkkW8zn+NDk7b5
5fo2ywycktcB6bz2wY0J95bjF2s5K+Fed5zdGN6w0n4bhrx+1icy7DDNKYd0TX1HrReMn+5lZNGm
Ffys8cfUuHzD7BZ2k276pN9c+8BHOj60/MOWkJz8h5p73+WpB10XRQcXboJh4/iZRG8Z/ms3cWO3
NzU/yBu7CjAR0Uj0WXPWP/VhP56y3EDCJJ77pzrrwi9zoK6nIvIxsk/bc6O1011jJR7kfHXCOopv
WxCb6UMNx+2mw4Jpl8dqBdOyPcg6UZhkHxF47NQ3zf8sIumyCh2D7tM5vLlstyqGRGswF8ne1eJ0
ndtwXADL+vWdEr93kwMjLpmgxfohFnbLaAebemNWyS7TC9J4wt1MQSl0HQd2dNa91Hw1KT5lU9E9
T0DT78imfZdRRVB6e8vomMRb4K1NpygIWdIVgYrmgnho9wpfe6t4hONCX4B2xq6PBDddwJTVQsHr
OigRfvmNWpaPIvB+t6lmeQhcJSby9X8Dm2vxyCJptvEdL9t4AwxhNKqPjjV4ALpBkUB2xgsOuacM
3pAmBEGq/H7CATo2cvPZ0Lr+iEZGsfisDznIG1ztJ+xluvJVjcHFaZGh3krb9dCCvjkPL/AW3bve
tN86N5pvUUCAwVZVUJSU0Ptq+fqNaWVeADD5ffLS9FejzW9K4Vhvcxt1uJCY7ZeQDcwOIG14cXPN
Prq5qh6ifhigkBjpRoVlEFdetytFTc8SZTw9zbmqij60D1i9oWT+0R7EAlIGyj7bi/tlnuzz7QE9
CV3vdhIq0aZgUvTWYiHtuP55jmb/PFV6sIFOq6wRirCR31czBUMQhjPdIIvr9etJdf9CCc65ux5q
q0429hDWW9nnduyswC+EmDJjenSNyzKkD/K4RWyO+Wlqh6vCd2d8rPwYVZJA7eNLZ5fbiqzMHaJH
FrLwPBqGOtmzi3WFyNxHH67p/U0dWz+myFrrSEg/k83oLvOMF2SNf/BbNyGRavaWejSDeoIGyDcl
ix8/wDuiUizrx7KwbMT6np9CcC9blhapm3gqvZ0sKtcjiHFczH/JknQfjl+pjjkXTRzkI7VV3/zM
aw8h+b92j0tteFAb71vktB8RrVpNO6S62Ht6mIbgeCYWjAMkC7uYqGYP2j4Ck3lZmqmakbctihpj
LmJy9Bzu7brduMLsu8DRhjswAnVjaGfv+ZRZCB7MIw7kg/1SjqhoJk32Dol2OswDYj6m7vui/DSu
oOs0h9lg6iRtGZEhrZc2mUq+Rr5uPJq+9j6Zlv4y5vOz0+j2D9yHTvzsMBdPfH2TAA65WGPqnBCg
16neoLKleoaJGXdjVwpYshFnhjEsNnPRGjddXhuAsKD1nrlMJNugQ/Z8iTGFxwPMmWHPpXCGJqAi
h6TjiLjuiyfWjR/Zi2u+gpRzgr4fYOmzrz5NFsphTrxFYas/2im/o/3sqBFIiaTgnRYY+clO6BB3
vojZJVCEVmXVDReJUxn4iZpG/QrsILpNOjLnsrtUIY5pvdPvZFNOCrWmXlv9iGuPKJLlTqW43mrk
f7Ij29Yd51R7TLnEP6Y1H0xhIociALp/2ZXxOHnj5/5G3Kf/GT9j6bVJe2/pn1ArivO9nviQ++Uu
NxUb3Pz3AfVvsfWVR5gbEF5KXgf8NOR27f65g7Jy46M5tpFPpbX+cXDm4RmFyupTv4gPqYkI7HRz
yWs27YZvPliOGz6W5nSUV/bW9KDOdQ6gUWr4r+hH9+w52WXYZZo8fICsStYzyUWzUrhZ4KvbSPh/
mQ5qOmlDQWsALLtg/uSwPNhpbgGUz/Tqm186/rFC+2DjZNmw94TAwRyG03GqcSpIEgf+VOmmD4mC
ugz+H0+yK9UqimSsfWS8ilazXpc3KYmC85/3GNlGmE0jAVSjtukr8U7VG2U9RLV+i34okotaTFra
wnw+V7rhAJ12XNdjbT2mVjt+8V1+VTRmiPM3iap/l755UVc066nGHlE2r4eE4v9FNrMuRdMDbOMe
ZacBooDLJ2GxNd9VVJKO1GRenTFK+aFU8d4WsDmc3PJ71RO2aAIDXCj6t87ucDcTkA8JEr0e6rQF
sVE7X69d8tGQs1ZHe2O82EaKiqGJs15u8J3PwHObdr1yy+zYas30PsKKw33FcC9N17PN1FDTj3I1
e/FN9S1MSN1RsaKwEZ51pXnVhIMT/qktpcXgVxHE6Ul2FV6a3bVjvptFgOyyLV/dxYmSbfKwM5Cs
G5ptMOKMaAxWsLhU4BvsYjk22cdeJfm4uFQY+Q8FsXDcdJwHth7OsYqcbjePzfCqp+VJIteBkwEs
FcUBJNy4wgbhLbbikEQD47lWdUTzaBlU7JcW8k7fjRCpntGfENySgJ+G3exqVONTGOr6lykC5uvm
usAVg1ZDDfNYI6AFsJhmNHbRRkvd6Eb+AMQkC+eJ1Wy66A0PIcC92bOLExuqM8Kd5HfIevFKw/CM
LE9218kM36DtkIoUunZ8evIT0h1/WhueMu6vH6tVjkCU3flediH2E9wECXKHUxNXpG7B6OSKEYOc
tqrtMDnlu9LM755itA9hrel3DneClexHOxF9cD9sb9rYzt+a/uIMZfXuuE+97pE2SZPpLTV46Qok
kQt0X/8Zeayl30oq80iNAY2G2NmMhVrf5iP42Bd5WQkQp5DoByUqHLZpyF8AhZA9EhkRa5q3m3GE
Wf8xkJcoLPU13j9yQPf84ODjvXejo682BtWz3Blb6TqcaMh9MSPoXVbPSFLOt5oG3EW4v9vmgxa4
6jngp1fsB2OixqRV2n1TValQ081+1lg9ZLhIqsrwbPPNexvRW0F2Uk/vPbSaDq1hGkc8AuLbIY2j
7ZBmyt2Yo0lloYyB54nbnMuhemZ7iCirYob+Zm5qa9u3UftFHjSyCnYS25cs70hBuH54cCNLTy4g
ObS9mbkP0DXUO/mNjFP7ga+fSq6V76AYky0gb96XWZu3wZDtaosr/+Qo8QY9V/VWS3L7BrOXFheT
MH+GtPRj8DP7hwgdzCZbF2FiV98CJ0yOPamw20KLX6yqDJaWL33ORf8oDlYdvvjUC4+yPwFGrK3s
5EdtmK+1tLgVB4N7KCxK8XAAtDgFKp8zN1CMU52Lm/bdDMBJrTZ6FsabAq2a3QJHWmh4TlK/9CYo
4chjCST/kU47fW5eR2VBz/Co5PZjcNbzhLf7j28QKt3GBvAuqkH/HMj1Evv2oD5d+5vcrU/iHN5U
F7tqLjhrZxmXURyyulRQNo0pWKRwSD71LTGNkx2CSXmXA/KQyBnyIbIQ+TqPnXLb1f3HCaN9jJ0c
SnSGNX9zOss8+ELhKOwbFCbFzzEKnXINhgPWSuOGz2o47WU/6XuKVgoyUrKJUtcNRjX1Ex4E6UVO
r53gZREQ8Mrgog566LxPoQcfhBO6QXFKcFg/sUUPkC5yVYC+fQcUgZV6BHqV8Zb0QbmSDz+1lwmf
xjxXxczdKIsDkprunaO09/J7mYSdewfk7V6zwhpzsCFDvA8xuywry0sjrOqGul67lWU9ZWXSPJTO
jEI4FI0Js5sbm5Ta2nDV8tVHEXjbYvGwl5O6X3oHuGA+SQxzrHvWfZVAhvR75Ci6ybr/PRb4hb20
OAM7Ei28HUqoo22tJDfIpxskHrQbUOAWOrdj8CXOsttU8tAqZz4aPlBlr5ube7dC2cGcs0B7w4zn
tkFR8NafrfE+trOeS3j4rpjJdC+7lv6k2zdsCS8hBbWln7cab7jakw9CAOSy1GjCIb/Rev+Qj4Hy
Zs1Juo3zuDhj7wTW3M/KjUmx+atlIpAbZkAJWnhznsErZTfiHrgdanvDUnCNyFyU1Uw9+uG6yoHV
lX9clkGtY3hbFnP+TZuHj+2E+t9W71FfMsy2PHzaqkbkZkfzNLdsjG7KUYcJauXW2YgRo9bU+FZe
oqjRxWe1mF7lJUp2FaoGCYpc63Ilw7Grugxdc65j/UCCzXhv56gjcdUEt27h1SdmY7AD4fEFg993
uRH4HVqBnkVFPfoIbXw/2I1GEr6gNX8N9frKOc9G8lOuiJqwD5ZlkWMqt7DwncN1pSSXS5OtQU+Z
Etj1evJBWymVpyrwkztJX5Gsldox6q0zYTQr+8pcu1WU1j3Uvg5kzgkqpJpdfDjCxgE3Vw5Kf4P0
0V/TwH81lNa+vh4/usAHhfeSL6yNxL11nc6Ru5dNL1FHbIKDr7Il5zRF8zLFU3yRk7zMbxGby+IN
5UwV+5hZ3ZKXDi7tDMeFrEW+KkXJVR7kgHxE2i4821kGo2vyppWPb/WPfovLtv3DjLHd1nrDfShN
OKyuB4hqVk31IU3JWZtDnm6TGpQ6rkJPMISC7/94gJlHKHvYaSwP3LJyXi188crOy1A2TKyHxG2B
B0Z4XA1+G36r4fF2LQ4KFnV/iyXFjW4hrtqZ4085Lifa6GOtS7zO7hDqPTqsDb84wdA9akI6Vf7+
Z+6FJbYwK0U4WHazgHx1iBXI0SIlr2q3GReAMYqeC9Xctjl4JEh4MM/Cfd03BkvC1nvXw6VbRYZ1
rybpRzfRs+Ln28rXBmTQnhtx5WCv0D3RkAoIshGZKGlCi+hjXY5IPvrfjcCvkabEq+hhIX1ZXQGQ
zoaQU03uX26K4ELCDufW0bmUAQAEpIvW5pPbtL8QSJ6+WppPBmZ8bTBTOsxUDy/FAFp9P9HXcTtK
SJ4/TWCTYEyGxUWi1GQT3ebiIlFqc424mBxlb4oHcZxkG9PCvmnQ1e7kqLb3mMXKfcVzKk9R3S1N
LXHGv2RY4X1TZzAwc4nGrGBj8a96p8KrPUVRr+xLvYsPYa0i3ui348E2tfFhgA8kdxTykHqJtdEr
q9zVgl+LcPT0UHcfEbUJAzcXEbk9lSg1sg8JneoJvef8wTAtFlhG1FxYb8VPWGmiO4hjMw4r5q7p
0nbfzGBJQtvauax6YKb03TnOauTrertBawiUykOha7dg2MJH6Y7u+8hzkVyBuzs1CvahmMLI0Uh4
pwcKo9InPTXc4HFugu1c2cn9ZDf5cbGXp1KfHMIUsRhDxa1ggaQWiP1Rs6CN6SXFeNlGPvXv9tyb
+Kuh0gwX3AUACRc3KBW0TjOUnWRTQiAt7I7wGXiUPZlXImgp4mMRb2nYQlzjZYiLq+a/xBsZTnRR
WCSHWth+9o6hb5S8mUlYeDhvLhjqIsEZvNNsEi9apJznNJ/ORraS+9tcxfGxpLK1jsQO2GidHF6G
c5Y7YLnnxasbV5IqvZfxVoytQg7/+GAjbXuioPyOwJLAEKvVU1x1xt4rQNAi0dhoa8Sb622uavPa
bljLLS9Bz+wZGgarFJlhRMcJxhwCAFzxNgFbeOS8tPrBRYTktk8dAW3jdSt+tDTloAyTEUpmbWqY
0vvaqOHui2XkWGNI4WWmsY0ij9zM7/WlfMSvCDtdz4TLzrpzWXIu06bmqC/OiE2E/BifZjsF0Ibn
ZtyZKKJTzqbv06EYUAHLsRyWIdcBXKfBzPD9N85man7zM2rdsiZSWEG7wCC6SEO8XwzIAr+zGPiJ
TsePhiVaVkvksCeKp3LA0zDZ+lm4aVUg2pWVdyiAmPvBgvog/2Et5PPbuIju4btgrD465Q4lQWv5
1ykgO9cZBq3HIRmD+ynERGSYph+hqiCzLtbwEYr+xkbPM8SaX6MYrNQ3MIkTTAs2+SFfkE2sUkT+
Iw+wsEjlcENNcRm+JgdkdJXN6tpFZmzZHkyhUp96bpvyaT/tGHBlYUUQIX4jX4prrrBOiS9+hSiw
m1fKzrQRlkNXVWyxnfE7uCc2u5DkNQuca1DZLyjOBLgtNvFxCFUDh0x0dyQkK03d4ALmdjNUJQoM
sqko9UZGpID9XTcT2rGReSsPQ9X/yklfHK5dKtio22AK4yPUyjfZn2caHAK7Ru6V07tVFl7kI8S9
5q2ZIRx17ZMDpm5F65Iy5C7Ng+ykR/3b9TvdZMjWIQT3FokfQoROOSRVSTCEMMOvV+ndE8qWCfX0
giKQj/buyG7+p424eDH6PyMLSp46uMkzhrHWVi+M5qxqQEUb05tXGLtaj5oxIWjh2vGCGfOQjbrM
cf0iAWUSRubjnpblqHlAlB1XaVfau/wRAfwQrG/R3WVD9M00I7FUD9MjShn9RjZbkDqbPCjdg2w6
vvLDcafoTrbyx9mz8CKUaZG5RxiqtRHmyQwd8zOhmzQXhYG+3L1hDEm9roR2Uqb10Y1UVqKMmK+7
UN+pgscg2QqS0SAfLYfKMrikR0+y/xqm6H69NfKqhuBVNLdaZG+XQsYfzTSoD4PpZes+a4JHLijx
mpLB9BfSeZepEZ7HzhCuHGBTP2dj/JXy03gth6KA6KpEFHhaZ4+4aXtjJJ6JfxpOaXqpZDt7qH+m
Xe6lRzsjdZpY9dden8bh6wwwHoUo2JGmq51YRn4crs1CmtXLdu5PuIqww/i3ONmnd1sUFIKLvE7Z
4mIF5VznAli6K3lhul7A5KhsBl6gbzGD+Ai5DjQW6iGaeRdUU7H1ocpuUKLN7yXnWT6Kozslcsq7
azeXoc+hijCU/zu0s9LqU2ibRvdgQG9TMCEPSa+ou8G18rMyD9NNqLaYdftYInRYbW8o8fbPfT90
q5kV2beWS/xCLvItbWXYeYnC7fjdxV/utR4qc93VLm4BJAXxdKjsdQi+4JuCMEc6kISsAR/u/Kj3
j3qhm1/YFLOnFhHwmb6jkj88Jl7ZHT1/RgBa74y3zqQ2IgKmGMYpHh3lLTp4+sWxuZYBJ1fOLhfN
iyJwQddD1753zZSdrz3y0adQWF0bfMfG9bWPLNXGoSZ4H9VNues8wCqWnc+PPd6O9x4ancCZ58dB
dabHsrF6dp7aeCObdqmER521DajAsK3WRv+i6UP9RQ6aYi8ypmS7ZZNVGxe42fq2hPotOp0K/CM5
WDusydosOAHoxbyShNctEl4IO0cxZvVot2BSGJD0Fq1ZGNbLkHgeusOcJD9k/3KQszDMKdbznJis
qtT8pgAztbILtoCu7nV3Hb/IDQyb/hUxa1BIgfUrTdaWoua/UCFHPMafXzzP1EkE1eYtML3s6Mdq
v13SXzPpyNzfJMLJyhsqF2F20Lax5wHt6BpE43HmPMVdNL258TYTUZMz/x0luk0yJf+MUqJK+Xyu
31Fzj5S3PNffz1hH4cbP4Dkq08bNkM6d8br+0hVxvEcvGcqBaM6Ahb70MNVxhJ0vUd/TciaM1TS7
XOFZA1tcsaJ5ZYy6fgzEcBgM/a3Wtzdy/jKjaDDxgWO3S1GyZMa0GXo8cBYe9ViAeil7THOScSSH
H5PvEdLvxeljCQx0H30alLjlcCqGQz/8GCbjA4tSzHYnjG5ivXrosXLVELproVUOlCT/qAWA9z3Z
dmsd/7i1y/u77MNm5IR3vHWU6wXZVcXKcDOiqPNvZYtEM+7n3lYPNW5gw0qGAHvBRUFu2H8PywE9
LgpsPhyucnIUocpl8kRC+O8Z+K6ixM7OHK3a5DQH6HQvD2W7FJ3yUfeO66RyIx+bSpguvbaSE3+N
ksN/xMhmoPTJCX3h9yzz6uWtDX3+04hRBacU+JF++Le3LLIUatrnyyT5Rq75CjlhyHJ0oJ0JJcgy
EO5MqgsqISiOXaSHJwBRHwfsORhF9iEId9fe2q00fGtF6BIgh4RiTOZg+GmU1r4RQKh1N+cvqlnY
oLRb52FKIg4+auMsFpdGxPc2dq2bJdwfg/yITDWa9iI+Fge1MUhdtZG+kTPkQBAo+doRT9NXSn/4
cLcGtyAcD/Tm5OQtFjFu7yMN7RotGB/Rm9lJgFOL4m3/HLFkPCQLakDDxk+a8q5NjApMSJx9ryn9
53Gp/zUAudrOceZCR6B06gEtPhYG7teqFz9gaWoAMsJeavexvleGr8gXJK9+0pfHXliYSIkbdVRI
64zZqqLMscsHxwdTU2fOQZ/Sm7nsqYVqrrWdogT3uRFbs7LG3q6wbb6wjlz4tR3fxMFF9oEbuoHd
90YmEli4JphEQssmdxD7OquzaitzB3KExnXk77C/58ABJAWS5Ablq15wQ9txJbG7kk5dTfBFhwgh
ct8U8Izxd4wclkxsW8//Yx4SJAluIc2jT0rvyQ6cN32qs+/eVKD3XjVPWU/9AgyVty+aIlhZBYg9
6l7RDRg97ODayX2dcov7DjmCHH2MlWtbw8N/H9FZ2XNTxy0Wl11zt2j4jPCX+h7Yh6uFgJil9I/o
Q1RXOf8Rp4q+XJ20fag2bO67KNzlWhmcQ2UsziyqnW2f1MqTYcAj0YfQ/2nh5K0ZP43RRaVTq9Sn
VMyZwjk4o8VTnP3BdIBK+/4TbImPOd35jznyebwBz8nYjV40LvAXMKraFv0ODD5FEaAbPYoA6OYa
5Dppz0P+MxwT9mai5SMwMq3kPDbz+XkqMI/5HSv7lxDTH25RAT16bn/QtM7+kejWe4EQEJqbWrhr
KrU6dcYQ4g0ASoNarfkuQqt8nld+mv2iMuc1OC87fbtH2XXacrfGbkJDSYerYv0Y19bXXHPDb2Vf
YeAwauUDVrvDKUCdcSPTcZF2T2nA+itujPco7k1wS9p0UH2EZSJxU8T1rCSNgZMCEk3xU+6RP1Ti
5hiojgmblfIbdyyk4BvNqTZ2WLEUtSfzpe3AQoP8RpmwCNBVTKcMcUVwh8km0cmaz5GC/i8DbWcl
Z+HYtp7d0jqFmvnYGH70ZYDud0caH/cWVPzfhxDDnsqfuqNs2uW7r5MnC6ocTfQUqUmuKOF7OJDU
dC2juUSxazzhk7OX/WjUcR1MPDbR4mTiSVxQUCtE0+1DXfT+SR5sN/URhTY/mtUUw/DpdMy1fofU
oDaijTuOq4FXvp1Kv3tsuHTctCNOcrKpz3rPQg6vmCBRbsGs9I9aUWZY0GGmIwexCyIpZ9lrOSgn
Jb0eYCmmFEff7NjBmNXIV2nGIM/pnS9KNSRH6BXhPqyS5sWu2YJUefPcu/pw0wj3OqFfWIqDa/vR
DReMlFuFaz/IgVxVwIh76Flovt7E61CIFCL6Eu6XduZqP5Kic258KWco5iHevDbbWL2TZ0HxTL8d
4mI3KF2x66HJ3uAm9aONkuw7jgMvoV/kz2ZfafvW5soRx7P/WBvFvwVUY9Yd8p7MpOYku9TEFhaa
38/I98FPemAhzd6HyZ8a36IB7HsXRPrz0GDDGmR8IWLuW/uyzXWkP8b4jLw6XBFjaB5myOaA1XT9
FZ2UH4gVDLelqPjI63HYd1sj9rpFT9SaBtQThu4hHoWmfoTVj16ArE7d1962j/JNwURhJ5wih9zn
OIuwOsvPqkAhuLCTCjU07mUrryzv6EY24vhiEDBH+wWBhnE9lqG6v/ZhFvjnLMvQm5WcIMOs0cYP
iPXL/3dWn1PSgRDcCDgpBeTrjKUtnqOeuhNXC/8MODJ8HApv3lkejBl1SFkw4nnFj8nhq8d+AERI
rO5CciksYAUkZGSUTF7w0GjbgYTkq9Wz7wjVAaekzjuHLqJWvVCSmlOVopiRJjhacoEwCDPScPwU
JvtlWJch+UD1dnqrAMjKsEBLPs42/j6bI84mmyKsBG++moEXX3yTPXwqK5DcMF5tCka70UFECzwe
WwElFDa8bnCnYV/w7OvpWvZbSd+cJhNruSRkld+2k7bRp7I4ytGRN1OhVvnFnkbzwfZHYDGcTI+p
u0L6CrayWc7UwxW39k+yGfS/8KytwK/wgvzA2pS6Y6/qGDXmOcjiN9TUkHYw65cJYbVbRLlbpAKr
6K0eEa/N+2LaIycRvelu8q4pZn/v5G7/OJXJUXa3WjUdsxEnFzmpCka4hKU/nuToP8+txgVLdvGc
TWZ9Pjcy+++d0/b3SVsM/3ZuXbyCfhY8xd/n7vI3dSDHZhjn2TFCFFo4qGr78cgouY44hiJFzMLb
bMzxbJSBiGD4m9RIEPYT0QisMiJnj27aHKOue4B5G92aWttpGzkFTtBKGULzPJiVdUDI9SVC9ROZ
TyWlfIhcUq/WFt5CbZkflKJk9++32kbGWJ7lXvRzhxF7djI09x3PLOQexHR5SH4/Mmc73ZB5yTNz
3OVCeil0Wbv0TvjgmIP2YKbKI7tndJHCBpmEEpckCemktvZHlJwso9Rx0tFBdcx1yjXrxq3qH/lg
xV/Fg/LvByapAtkjH8xh90M+0P5+IIL/VzH/3VPIE4IuvfCZskRU0MJShnI6sAAY34p8PKR5Gz11
mahAaVG5kv0yzDcQGrBZPL1xczmEfho/gVP7jzBPnE2GqX33KazqFTZNIbLS17P9ftJpQq1+/OfZ
XE9tt/JJLcpcm1LBvjiMMCJLJvgNspAlm5bZKmdZ5kq5vCyjUm7hOiqFHCbF/j+dK1+GfCJ5Zuri
yvn6vNcXeX1eOTr8fhlT1PZ7eIXOOrFcMBOed7HiwbxTFdu8k4/iBi8UPzFHjFrEQN9FzqrydHWV
z+24l4G67GzqapPadXO5Tv6fnlQ8W1Ck5t31xG2eYGQrn/P3iZe+/81J5fwUYN3yaj+dVANJrDrh
51cbGigOBIayfARL7J9v//fnIk/q2uq4ly/8+p7/qxN/ev7ct7Ot0W2kAH4fJq9dGavYFiK/p7h4
6JLtDPeyCRkOwEdW41wplPiasvUfyoj6iFDukxGFHn6ajt3nf0x3q/zz9MYu1vJkv6fjQDKvyrhR
L0FHEtMWIOfE+JrNU/SdKinbWBSp0Yx0oRNi4Lgv/T55DCg7/0toYjcfoaMNH0eGTlr1MxmGtelE
6bNRmOY2naF+4MXqngD+AT/Fre5pFrm3up4GdiSrlov9zwI9qP9H2Xktt61s6/qJUIUcbpkpksqS
Zd+gHJGBRg5Pvz80NQ1NL+919rlBobtHg7RFAN1j/IGeLNs3LI9W2lzWmOaDITp/rfcm5mJzHcSq
OrhzqAGaOL0+yTDZ7wQWNjuKTsm0w66lRZX1JM+Wg4EHAjVH9z1kGfgjWDZ91xDrzAELSBW4vyR+
BeMh8L6hMFwjjPJPMwbOXYBfdfD765RpW1BRQEMkBTEU5eNsB9nfsHi0nnyUxIDK4cBtzmJuCEim
jyTlISP/QiMxfoYC3DxXyqvcdsuGUF7lhrxApfbfI8n4IezPORINwO/vP+fIhaZpGvWzWn+Sl7bz
wN15ioPu/fj6/zPxr98JfzB9HQ44eapqW6zl2wnDAmWNrL95I99hiHmyIOs+AUPLzp478uuc2Qqh
MD9GadoFTm33ie3Le5Q6Vd/SZspBwakRApaDdvRU33qKe/+NglL4rVWBbE1G76J0Cpl9nBDvk+K3
cfFzUN3iyzBPhI+pHWvED57c0H2T4yBZPk6MgxI9nPmKXf5LTuxBwe4i47WerO6mTnzMzBFIAjej
QayyeGUO/qv8BSuR96MRQfJKiaDc6m6fXNgtYdH5lznl8CqtKX7P6eY5TZgnl6EsspPTGNNOLw61
qeg7Fh0lbkKudeqyzpzlE5Bzr7jHQqpqn1MVKRcoKMHKq1ZCFP78e3oT6Am8YTNvrju1zR6MKU72
U4IPspHN4qtgeVEeVydvO5mzL+QwJHe1M2gUwfv4uzCPEsmlRGm8juJhvGfZ7x1bdGV3GfZOL7bw
3mSEZul3hQFSU7RflXw07pOZ6TYJDNmwAqB4S0v2F2GBMcHEa1WoDct0BZ/JnZlq/loOy4OtGlTv
M+WhkiFx/GmwMfYGFBFfjLqwj2UXqAdKHeOt5Znp1nXi+rkescUJQe19RXjoUlTz/ixhH2+a6i9R
jK9Ol8Sfx1Gr1inI/sfA4K/ZZC5mJW1X7eS9LQ+5LQaEZrnVneKbFeXNWaDAdlRZQKwCkhLN0zii
+u/dKR2pvG/Ikxao1M88XqlrG8ftPtLc6eRIpi9qeGLntLGCD+Zk3lJW1lBqjYJTXAGOHNvmpQqA
SCaOPhxiFM2eDFf7iUBGcR8kybgu9G4NtZXy3r/PCnNEAShIWjxj57N/j7JcpI9N5Pvov+MKtebx
5OKXOs/6MzZkVizn//uaf37i/xYXiHPmBGr5DYB1CtHFVB95myOyV/cD6sY0bStr74YCn/sUO9C1
X07dNmJNve3rhDZeafuaTeCdDO7LAM0ulcRiVSbaI0Jd2d5AaHUrqLEgjPiV5J63LRKjO4ZZKF70
ybrAsKm/Wm6CwDyyVRcbPuI9fk/tSg6kGQ/bcbDbhxxf1LOwsT6XV1IccQQFXqNHLqxDU5rdrk4d
44tpbpoSEB+aMeV+sHnnQOJ7IQOLhEJa/pCQ+DzUnH2RWdNWMkbsOgjn/V16lvj5eVINYqoIqeoh
GzWxGrueBaKCHx3TN8i+ACzrh9HEqanbuBo4O33YqpVbA/kBt44jwXGafBvPAIrYsJFRnKn98glv
sldcIX/mdmJ/1wLlUpY1T/jS5BbrDFAKIxDXOPVYSgQqnlLxaTAEKBDf9tb4QVa31hSA2SeBtW1t
o/wszHCfZ7HzfdIVKBOOmB6dCdVi9lHaPtaq8hkv75/WFPv3TpghcxzD6tB161sdVOSdvcp99gM9
3fZlLW51NUiPuqsEx94eWnamdrS1cj16sYSBjSz/Jd+Vyceus6eiPV+pTvPpXfw9woADVbU6WetG
Z5OoGsLbIhzRwTQH+6vF1tflkflKlbw9WNOAHWJQO28h5Sjz4GUXCb3tB2E8e/ZFqgXLBjA2OTIh
qDaPfAjLLhKgO7yP/GuODhkThhhPxGRAG0VY7ZZSi/6ZtPpGsjP6qgzXJRae9//viCkq8hPI+ips
EI5a4Q+LWUiOYXSAVWbP/wmCGDuXS7+NcCF2SQ+vScvNBihjNlwj0rI/qWUoPpWY2e9IsbWs2Abt
UTGU9D2isB+aXLgv2I+3+6Qha6pVpv/kBvn364e00+cmnPpnjWLuoQakuEcY3VlbM3sQkN99Zjjh
Y+Ck9UNj9M/UbsWbqiElRnKCt+nc1ODrrfo88W4zN7SeKxK8sr/QS+fYK1oDg8QSb6gWUEJijXaW
o95bgZ7fW6sBBilVXOJD1yveWkvK1TXDUc6BTrbTe6V8Zpso7hQXTWFsrbOXQhtMSJMFstkPvEW3
BR6W+J9yNuk9Z2Fuf+iLkxo7doFU3FKow/dabLJi5FHxuzQmC1+yaQ9FeG7bZw1q0rnUJ5J4efbc
DgLCytwFmLmh7jKfLiFLU565Ck7WLby2zR8DqVr0aKtjso3RLbyQvBTDKZ0PdRIMJ8uFbXjtjKps
XWq6e5QDS4iccY2TI46csowv4SBHXSQdgn7z4dry1EsTb4Xi4riJSs068VCxTvJsOSx9SRi/kLil
jmhVebX6W8jSV9f+PzGNFVznjcPwo4G/+VZhyVXia/ilSDP1TpgPsTKArxGGecyRwrzCtKY2w4A+
yfAHA+K1lHLlmeybI2xQV2dZz5X98vDuHfDP6DLwZ9nYu39nbVq+kR7JCRlX9XtcLrHkaVx1s/S1
8IcgvStf9VlCf+mvtZ03KMlVWV92wxdKeCDXzXHqZgFhMre72kXFGppUl+4paZWrazsaw+JWcyp4
Kr9HZB9s9EDDpVAvbuWc2MR+8toZwvLdxi0a67jL3Pl1G765Th9v1Qapi6Fte9zYEsjDYJg+Wb51
L1Hr8H3vEFB6D22SHmeOkIS2A0f0L6GVpthr9rrwZv20BniOfo4VWtbaiXGLX4Ser/rOpLzIFTCw
BP8xIC+QFvG0rrsxQXwftKLE+fRAw9B+B3cLNxBkouxc4IqWXg9rOygBUv4F4Cj7lissV5Vwod4Z
hxN7xI0p0nafDwBPNdfOH+H55I8JtFts2xSbd1lWPLpJlz9W07faDrx72Sh7z7opMywtHEtHXl+n
uA50PnS3vWiVZE0l/8nOjP4sLxcB7ryFDreTLXmB5VNT4O7bsoN0vij4S2n/pekVM8bPM+P1Iu0v
R2tUKLPMb29Cr/Jg20rGetVZ3/HeSI9NYNgrL0+1ndT2bbF3uWr+WkFt7pFVEqtF9FeeXePai6X2
yTV06TbBtq4oT8mX3QBIdZ2MGkbamQ5xcG56VVMf5UvS7Kf30aUZzcF1rlpHR5+Xfn61Yvs0/AT3
9C01muQtyhxtPU6Z+eBpzYxbJR3gV25zo/t4AYdYDaJJZZv4orXiBZfDfjWNQ/FtrDDY1GASr0RF
2SCN8PORUPYOWIBTd8/pJNqt3mZIidRBB2id4gM0fWpU86gGD+6+VSpuXQavE0iKt349XqdrZdBT
oITJmYVhdq8rcGnKvETJ2R6g8RU4W1a5fwCXM61lE3icdtEt7bNstbponxqXTAaRQaJpz4XRoWes
6nfX6ASOYe534000D+ptWG6rejC3ERUBKaFg4ZKwFk5T3cgmlhAPhuoFDxgFZS+xM/EeQ3eh7OLp
gi9ZtRr6qfiUx6W196aw23a8P85GX/3KQyBU8mAUbnMcMraNHSoDS3/6O0L2yVGES7HVVH1/W00l
z6XfM+TAH81lGiA6kvMw+jd/xMmQ5YMcG+TNKhu0zz5UgP3yXZYPXy4qL3Vt1qBL8hqZ7vkr//eP
sOZ/bQuTDUnTFj870CC1UtnP2Zjb69YYtUNXKxaJFbXa6djfbFXYq89BpOjHnGfBWjbh6rsXRbff
ZAtbBfsx6dSVnNnM09UAFH3glg8yQPF9EEumPZ6jyUI/UPC/USpjdQGyvsWwD6PFMQvv2/mQALja
TGaobWRTDsgQfep2pgtWb5kQalCvKbVCbpsvcj0MyKBVTd5gghLnB9knr1T884G6E267nqop+4ik
OSMyFa2v5VLPxYyNqtKwvbaFx1uIdbV3WOqntaqdQYQXF1k/JbOQPSAjcI3PFT85l7H+JIuzMiCo
0c8jTY9MqaUrt1CM1uyNq7MEtqKbPEt6k/24aUr3Kt4tR/WmQztRnl5j5OnvQAmNreTk68AMpg0S
/DWcKTA33WDGYgfqAOWGJrgxjADT3FoE46k1p0js5CnQ3fEUKhokesTHSKghSLqD6rkvXBd616jw
TEBxxbKxmC8QMinjVQGtNkKoBAh716CPufQNCDcuo8vZ/yWu+8vc+Xp9AAJDWiQHiY7aKtu2QBTa
5z/OijrRPw+qma2mUv+P0WHum+bR/x4nR0lYvMf98RnL5/4ZF6HBViDEP+cqpQ7IYDUbbA0i6uzk
K/FeTzawutGunJt1XsP+aR3M7cM2q9ZzsJPr4YNUFVmC5eWgKL8Hy1G9+cKCq70XmnnU8fV+jat+
uIW58V24Y/0a4X13Uu0RTaJ5MMIF76hqbgrZk9HUThxK8pqzlaO5Z2Hbl9mIAczB7TDNmIBQ3LCk
rF7zWAHhqQ4Bj+15NG4eTTR572Wrr3Mo3tbwFHpO8wJeR/YWeWM/+KjmtKPrwaNFykYxqmin5FF7
pkCbnTA2wyGJQuWjGhXsaYzG+ILOzskxevOX0XbbHG3ab5DosXYi7/RkWm20rYPHWSwPC/MgP+ca
GiRzS1cQUQFfAP9YtuNRb6jojvH22pwVVORZPyjOTR0Z+2t2KVD6cdOMPYJxvQZzD+1oPPXaWzOa
kOmc0HWM1m5oPHlOYoNQ08pwR/qAZahca/nK9CtTNe+GtU6zYp+ZnKQDiaUWxa7qp2orm0GjdFiF
9r8mnDagNFknLfPFk/QumcY7G4L2V9tj6RCVwn6JM2PY1J5h3YWiMeF7ataNUrTB2QrB6je6WUDL
Kt11UzjDpzL1f/bI5/6og2LterM1g+b0e1809nPfs6R23RHezVgcZR7FS/V7BGyHB5RLxdOU64ew
RZ5gct0emgOwWZmLkZNynImTCthttQ7LFOd2UcPwbnTn0o6Be1mahVuu/MRuzlOpmBO4RuLKOAi2
iWX06yrM+21SqO4Kw7Lq7AfqDyMKcO4bJkzvffbDZ1uejrYuME5Oy23q8D2qwbkA8OHT5rOiCrpp
/g/mXeMFNXRqOm015YUT1tDKPX64iCc4a9+1v9hNOdyE9eQ/FFRObvvaBG1VKg+yK+w85zBBnViZ
geI/yAEnbb2NHtTst+c+eRClXa4SHxjcQF0nng0TN1kZV3cB0tvrTOVXXo0kMgPxs8ajdtXanf2i
JVhtl2WT3BpoRR7j2mIDF5Kf3YTuVL65wnmxXDf/1VWA349KDGUTlcEJ/Qp1IJ+KlpiwsMvTrDh8
qP0YSyqyCUhPASwGLbaEOmmgcJvGyiFLuhAv0n9CuaqhuOlzZE7jKin8fhcV+DF1Q5WpUOyiNUok
TzYWbRiYqNVWL7Xx0lBjQeqstfaAZg3euom19n1SvZBeH+BRmb8UhIf9SGl+pDMlJclFua9Lrd3g
T1ayj8eV1qncChIslvcyfZNp9qPq8K9dIgJkVj5EWKb72PDHesl7naUbviD7DzwhqgLwPdglovuI
bwNp4U+55hhIEJXKpglTPKGGzHpuu4j7ahZwRCbVuPDzOGez/qPsqg1F2yChvg41L9hCiRwejaIa
H0NFIe3gWBfZBbqyPblG84MfYpGhaYW6k+169V7GyhBU2LUGkJRsBPFYHgwdjX/ZlAcF3CoKjRjL
y0leV8V3DrYMS0RewVk1yzi8fg+9dT/FM0ACWGkHGthOby1NKW9r2Inrzoqib4GvHFW0IV6hQdj7
orP0Pa++4FPqAmmdA+TM3gcc3KjDyuOO/61fKs+Wg9Q6RbfIWk+2X26WgQ/iq6RVjbMu9n5jKztw
mzgT59EHp1GBlw1CgUV7I2WqawS6DhAg1bVkFNX46TzG8C2ygAJQB4wPJSdkVJB2AaCPM/len5sC
d9Ktz/OERxqyKsuo1A6Qo6jYkK79HSybSVYXe5KhWPK6xcVVJ/3HfJKDtpUnQZAFT3lik3tbRWw4
bGtTtJP7apg2tXWUMS+TG1VnUDrxtovq+HMNHqJXYNcPMe7pjkbts9F9Yw8KxT6IKk8e7Q6zOxnC
rhSP9sl5znXWNoahu5uI2sMnw3OMzRhY40E2xwbVpxYi5kU2PbPZ8txVnwpdL588s+avpCmvE96P
lxjf95Vs+mZXH+QlK4P/3ncd28hw+7MNYQEsoNo+2GnWnLLexbmxRVVe0cHC6soXC5mRbdwrEZnM
Mn8yDe+bQJDhLcWvAW3r9i3G1Z5Sk9rc9/OhtSokGF1xWvrNvMpZO8c61Api5aEbIvcuKXZLjzwb
0hi5xBKO5zKQUhK50Sfxlrf6uOE/u1nrgeZM+SqtNOxPqgA4Px7tWHmEZrQvkPLuxx24VGsllYAR
ShlPgVO8yNaoxfXDv7uqWSFL6adrlGz9e6Iek2Zf/56kzE6EoxjU2yx+d7RGVu8xH3X/KEVmF81Z
15v8TZkhESQH6kLg7JfawOlSJ/wzWGS2fptNX+OQhLuhnq6CAPJlBkCuyjYsSROkanaJ2//CU80+
6a5nnar5rK5ArK4+nMqhqO/tk0918FCY9UV2BQqQUatnNRMmKva+UZsdUQdAOCamGdi8atRXsvr2
k+yYmjZAkxJbun7IWHjg3TaEG7MSxcrEZvWUsHlHFeJfZ1hbv/cBsPmP0WVG4KdINqoj6Ny/xPXi
vqvMiNIjAf89VH7gEvfH15EfGBjWG8IGw03h18pFHkoP+SJNaUbsV4GVLAPXZjiwYkwKAJa/Z/wR
x+sUj0v9snRjNO6sK5zOeEKUVawALxAlhdqxPMmzOJgEnodz+3q6jGOG0KyN2DKuc+SAm5IgXslT
eRj1yD1EhXZopsm7E51Z3cJkWIVwNLNtiuvhbox6vJlnOzwZIs/CAbFPJFiNwzJQJ+11bjdfaemX
FxFOla//GMi6CmzUfBE5IK9edilZCxStnUn9XDpYJcZZLQ5JFYqtNFKcEqVY13GknqQwnWdlm1BJ
7WfDhEH/l0kyyneAv3D3/q+TAqsyH4Tt/qSOgk2B66FeQjVnwIL8Swy7YuPZTnnR1cE4V+jacOeF
2mdj8Hbq1MY/wooHRxfhA6AhDn5IVAdBcfgcj8JIQJJqTo1OSDYd2x7Lln5+RFZ1Zt7lWot8nj7N
MkbdpQ3s9FXVhQ8M3NP3VtONr5Znn2RAE2ThOs2i9q4MR/us6kXGIjspvyFXtMr50C+U2ZXtCMXl
qPVD8MTj8qecac1UQquc1MemK3BuHRoL/eqk+2Ii2yMjSHZVaF0yCNMbnaAifI4H6+qAkWvRcNB0
rF/KGUQ36bht6S4cLLtXw+c2MQ+yX4aNBj5W1gzVU10N1F2L+4xvO4G82h9hUtJYm6/27zA9zd5Y
nGIKze7lLhkRllPLodvgJAb9QiaVl06ZVJa56GXAANB+dShcktRejIl0VkKGN1VUb7lVxn1hVca+
TEP7U9QaW9L901fFR72phbB1VhVFPFhhVqzCelS/UgVCkKBAIbfVTTSMQcRt5Iyxxd2de/KN4mSJ
us1N5Fg+Cia2/gKpwrs2pYzX0rwqQxnsujzL869a2EMd1zdd/1Tj7rVqYze7t9Mxv58S9KzBdL8k
aTXeLP0GLokHGcufFf244V9x175WN95j+qwcoZAZ0dYfLHD3KlScgnfPeWnGmO7Jphc5vGnnQzL7
NvDjXptpld1BpHYeWLBbRzFCkbLSFpZWSuZ4Z3l5uQmatI3XUwFkEOcHsb+2lVL/qvT4YSIe4Tyw
4HIeMix4hzIM7+UFYZuXt8gm7eWYxpNoWwSlvy+0Zq8WYvo1nwypdT3p/jn5zyHZo3bGdhr66G4p
QmThUBzZ132VXZN0Q/jdJ389GIri3s1nfIiTwX3j1HehV/wf+oGmAPnwnOpavJC1h0j351exdi9r
EtfttyxtpBArjr4+3dsdJe5VNes0TMrQ74Ku0NZdn40r1cHQKLXC9CWMBcpswNilIXKFXMzVENnW
1e0Q+jf2jdyvlFhVbjrbUS9+qzUXDEnYmkZt+L06In/XrN5fHgUshEMMgKdYeVGWnYD+zJXJqEGH
ZO4Mki47yQOWzu9nsvlh+MP0JdzWwmln1kDiwlG5oFDNSww7SOUyeaRdglwoOzni2lgabJxZBDbI
4CzImGu4HC98Q7tQOZeNa4/hrgIEUe59FKqQ1HFuJQEhBIh6sq32+8JJqFBv3vB/1e5kxBQM4sZt
s1tdoJGEXj66FXMZAxW0f5qzik4WTe9NibZbmhIh9yH499x8NpxSczNH7TRKyXRCHUpLGI2imMZ0
o0V+gUUA9+BOxaZ1lZSUfhowafbRHHNxphCcAImfAm+HhMW3a1OfR9B3Su0jum9oDvj53nFLZxcF
kfXiTD4VIDAYmd6+dJXrvMReaO9AExlHuN/pQ8RfbxXPeI4cfqMHiuBr0NTo4DRadtGgL6LINAyb
AF3jL81Qr+mxv4uxwbXe1/KHss/0o2sMzm4S1nDsGyghZZt/sUkc/LCb4tDbvv25UhCncCA7oTWq
ilPdkgpDONN7+R0K0Oka2prm30MNX1yvGlrvofUc2vbq+1WFPXy4akqqij0ISIdiGs4OYj4HVgCP
iKp6+Saa++SAPAyqGM6otg7nzDa2Wj3AlJm79CCBXvnn6ZjMrpdRNmzk5L9d6zrRZdd6wA5njbod
tvPdanSDdDYaNF5S/E3YMrbJuZtdi5dRaXAsR0VrJGc2Ee/Bgy/iTeegdjffaArIR4BjqZmd/Plu
lJ252Q8rR7AJXPoSeXPKYXmQI3/M+xADXr5b4WcftkdX6MZezLCpBALN3s0qFo+tqT5eDyZgPbuZ
zrKFF4Ryqo3kyxWUNXZAAFtdG/dyFOX84hGRSXkx2ZPmGUKmZaasEe9QMxCI6Uv176uVXO0K6Vqu
Ji8g2hFieryOJf6rYGO9a9wHN+mrfVWUzX1aoV0RRe7wOhpwc72wNL7HZbNtZBHQDu2NbZXBD83H
iLUSuvWqhkWKOLuq3ue5k+2tRO1OwvDEiTJBtW8cG+bHUGBgyFbjTh7KdHRwnu3y7dIXCCe8KzzF
3dsx4sl/DPBr0nm+so3+fRE5QTY1L30Kbds/ypbsb8bwUACpuckS+yGEllKv2zI46BHgnqFEDGRq
UpNdkFceYCNHz56uxMfJscVajra+Uz7oU8OGvYqfI2WMnv1RecsiuwAYSnw88uUxOqt2crC13OGk
C7530po1RmghAM22e7oOgl6G4+Or8E2Z2pp6sNdtKs6y6XQoCKPQ9yBbVRh9Tmbh9oiK1c5P0+lh
JO+wQRwXbXFSxisbkYQvrJWf0eCZfjqatwamBKcoC6OVlvb+r7St7oTI9K9TaZarAkGcVxzTdPDn
/vjI2nPYempl3GLBYSNnjspe5U7TTc86+9B7vnMJ5k+ODThOXRKyP1QochqdcG6RTDf3pWG2GNqR
8jU7QJNmY5mXrDDjHbbv3UMXxunGrVvtpUkS9PbdtvziFNNLUE/tT1/kyPAGfNdm+JF4ShSsFNW8
HTVhf0UflYWNnoSfYnAPaxFr+qP85CID8apomb5pyY0ZG8HKHAkPXpBq3Z6qxgvvrY7isdInPgVz
I/hsRoVNZgaOei6aDvj+dLBwSv6cKYWKDkyB1socliMNpqpW+dhVeXsHPZhF5twPRsvZZHqsHp15
1mDxq9bsT81MajO0ELxS2hpryVsbCwSvRq3XT0Vo5282LsMzzc3xuuKkdcJYSxKcjOogIkJHyos3
CwPf31HUzIy1ZLMtUfJabnZl0IEtLMDPE4UepboP2yHlNwkcJC9Va13EFn+bGSIiD928arJHsnXL
gAwO5hnLwCiXYrJT/OUyMezgE3z+e7mbsK3EWfUO3hhACZPXAjkR2e+3tnOsbb9HNRzLEEQdGwx7
g+7Z9Nivekb2CKO4e+6zELKrqmonOejogEcD19J2EgqAUlt3ROsSiYp5amVmzZ1p5xc5GBSKckAh
R1uzvHOuea/c9Nu9XznTVqbBhpSHeupr41E2K0X/WXaJdStbRlqslDrMWMipzsMEYVcm2PqyDc8i
NJFcK2yq+6VjsfzKm7B80eIXn+pbsOrD8a5Bse6Lhnf0uqkr7VGDOLCrTdGfNaQAb1DmVff8A5t7
o5niTcXy4JPRBT+cLMvfHNJbOOSQSULDfU0yZ6q7laurzaaLYUTZwRitlMJrUcGLsh3lpeLsIAB0
ImHr7Cq8KB4n3HeooAkFUV5x4+mm+cvRYyQN3eYbF7VWXiuUrTPZKtxo4e4yQVpb7lgoSmAzMRTZ
oaxj8yx3J3JAxjko7lzjCrl5Gaf8EOoWnL55FyP3PdWA8Xceusemw5BEqow5UoSs4qWw+2tnW8Xu
6hok45fIvuIH4il5c5NDCLxr0Sz8t+2FXiDegHgq2d3ZCsNAUu4mjvvPEfapB7dja9eWBnKBVRw9
TdN47iJP3MquSjPeI0JzFsaISvVcm+P7qBF6waHTbfPkhJGFe1OivWZt0R0qyyC1Lwz1NR9LdRvh
VrOXo21IPt0xzO5GjmaR+IU6RHMrBwWeN0FsBE9GgqxupPy8XqGoM/YYxdO1pfESR0uCT1OpxzkV
Fu3IgXQ3ipela5nGXpoyje1ofJoclWnsD02Z5P7L3Czm/pNJ7g/BocrSer5UMo/KD8qx8d6HfBUn
C+1TrlCekNW5DBeBLfjd5CBLelqcfU1qx7tT1TJ6cSpWHbPGvusJtn5hHOwAFZmfutg5AYjtKboM
4lEdZhuOwfjkRwKXrcDNNxa1n0+O6yQI85v+samiG2xNoRqqxtGxrfoRVnjzmOZhvPOnRIO7Sp88
2GbwWY1U7yRbqmUjsMykNOcmzIv2XnH98ctzo6fDl1DpETo0jGo/Zulpsgv807EEQd2qsZ5tvIBW
pTV4P3kboXY2pn2+skTgPEdw7LZJPqVn1K2T86xm6I7T3Zg67TYTQFR6aYkn2yJEIui6KRWxn+6T
NBRr284fcCJvb6XIYV9ghDw2PItl04q95ph7SrqWIns5tp4Pvq1vRcwbHqVF8ZB4M/XYxHTT/e1w
uXhdTjPQQpPgjGAytK1rOShaLZ3ylDwWqWJ5mrMyvAYt13BUfARMDLQR7yy2QyyMTzoPxrVfqNNJ
NqO02CApZD33AgVytROfrSgxP7mqIQ5e4B3G0X2iKnkTzzwRaW0kz6Jp3IdxW12W/kwFeOIZVfXB
FUmYqr/zKwXO2jxfHmBUmOcuLm7cDCu2MJ5TOLN+JRUdc+OEtrGTonJmi1RnPXrfM9eFq4X2HFYg
0BJlaWiJlVPViYLdHCsHZVeIolzg2sadZ5Tj/RXbkYyNd5ZJBDPz7P001fXq+icObe29LYdbAwgf
qkw/pGo8NLN0S3WmvGp+pw4E3lVlx08Vr/+bWndohlkanTVs1eSMMrK8u6qoINzVZnXo3iovV2D4
9P4DBRbtxJvnrS9c/wHUmP/QIa+5g/tqrWWfjAUchBpnYed72ScP6O29BF4TIljAhcZQNR78L2GA
+O5Vch1NmWQdtiV/lErrWRBwVoxuv4/nM9Rp3s9k3zIKlidGjDJxTn7DxqueqmZLxt+5r7AxuHdw
iaCu3eks6Omjps5AqUaXoCyOsgsRkEbhxYVHd6urt9eIOdYQMO1ca6qPS58wqwGzcJ7GGPvhrAoZ
Oq4umWGVmDyoFXIJc5vimX7TsZH90CdjShlTBvGzq6N4KfuqsqiH1TUyKFxzs1zXMnDdLpFCUlu2
xqaSKnfewI6x6cvsu48hX9Kq1meRZzhP/SVC6bET6SP7GlGr/AJCFp0PbRt/9iJdeS1tPNu8OEeG
G1bTzagHwOH1tngqDWiuXoFhhIe8SDY6P8tSZ5/WH1eaMN2rJYFUijcqlp5K5cLDkb8r2empsbay
LGuCEIb8vPxNyYHr7OtPbpkpx2XkMrvW3Q7hIb961YNsUyKr9CnV3OhY+xgOt148y0NNNhlotjEC
ul6IqE0DYHUzxmZ+Bl9NxhiNyFWdl8iZys4P4zIeuylSKmWwN229P8qQa3RtAYlPrBA0pdOc5MEc
4LOsJjs2xUp2ZCqiyrYxm1jLTlsGXMOu53jQNyezT9rTxzE5OWIbIgo9OH6Mj4oWlTNQIs2pr9j4
zipHGwnZToDloJCOtJcDnluCumW/BHHXnbrPgLSc/uiXEZqJZtA8Uw4u05sBawzF8n4EXqudjAQT
KXn2t6bsU4RDKVeeisTzNnHID0TOU9Ieh6HRv+fN250G3ianBkje9Uz21fPAMvq3Pk13sNooht0f
sSo6Jzo5rKG0yRCrzSGZQFWztszvWrM3DjqrxrPldu4ZdcLC34kGxFKGy9faaqwQ5Uu7H484blpk
AvIx+pm5aoz4nv4m6ZS869ZY2WXfrWnGgnEzPQLohsVoTv1NVU3uBS6au8HWIuc+MvON8Kz4cWqw
H/KnUt1NNSvytSiCR6U2Jr5CmjyOGJzclQKu6RwrD1rQ2wfwytZKNnFgdjdhB7gfhUuewUN1BxLD
eCmt/onNeXWnz4ueeUy25BgMyw+t32Mycp5nls6l64YUAKbRXxbOwsJvQBTmZzCpA7waIuRh0auT
zTmiqeDhk1T0d4nuBsfUqW95/OgvlapinBNUt9WcdIomkd//HhOJE5+xB4B2QZLW0nEkblWnoLrX
oL4qO3MnVy56lYj9QN4SlgzNZcCSeV0VFzarztGwZ/DaJU/rKGBHfZT6Tb2+EZHVfG2nYdyGtlPd
eFh3PCq9+lOOe9ks8Bzk9kMAc/OEJ+H/UHZeO3IjwZp+IgL05ra86WordUu6ITSSht57Pv35GNWj
6tHOYs9iAIKZGcnqGrHIzIjfRNtygOyDi4W5dlAhPI+ui6Z43DzIAevI5kH62Z6cr8pcMvC7TyJu
EyoFThYSJxikINiaY3z6pdLQ5fEqu+UGpek49jGJVGBsQaY9luhuDCHGhq0a6HsnHj2UoYlC7XvZ
NnXcYnoMMVr9RiYNYZK81c9yaRt57kM3dvPGWgqkRW+cAYGY58r0cJZYujz0u06u7iNkQ5ccuqU+
Wgdqj+eRQin/dywZZHVtss1egWIttnGgAMGMosWSrLW+zpnxKUut6e+6emVDR/mumq0D61TrryHM
qOm2U/s6DsGSCnPdR8PkNTEUfXZXNGF9Kh2gPxRhtXu5dtlH0Xqyw3x8Gp2wfUBm0z8EGMxsB56I
38iYr6mqam/cI/6hVBy2ero1flPoj4s6uSDN9qVrMbpqloOcycHplVWXuspJDLCkazQ7FcVRKmNT
raY7+fYhQuQeq7iLfHn5f1f61XCMouGHdOEnpKI6YaXaukwiZSudcjCtaVzZUfbZWLzs6ybYuE6a
XqJFS1m6sEoAiDb5BxQqTWfTW8MjxE82BGw9HaDB0bBXNFB/pGxr3BV30ThYmBSrZGmydvjqUavC
X/ILuiDRqTF9NKczpf/aGOFPbRyUR1WtUa2oO1b3SzhKmenGmYLojCK7+Wrb0xrt7OEr+RtzP6Pf
tJPpRdic9FrtPpmVYtxBoqrWMh0ZW55p2H9dik6JXnQf49nlsvJHKbk7o51u69xiWIMtWstrXNHw
5loUnOQAs3TGPvJZTJXGOFcOSZTgovA74L8mzc51kkT5sYKjh5u/T5ILOc5MublnRa978ZuCo+O5
ifvqmUXcr7TImu9d5+Bo3mnqA44d7sXjpl837Iy+x0n/nKpN9QmOeHIqq6jfygRr/qH4AJeBgAX7
qNeyA+D55i3v0p3Ms8Jo3KjoTJzDFq75jIbjQVwp0bC2KRHEFqWvf9lVVisHXZbHKW6qu2vJGD9O
fB2Xl6+6HGLHP3sAYU/SClTXuWtQxArzmLWOlzvbaQjwgVqatayus9T+3nmqdpQ+HmHeg6vr6cVM
2610Tcsyie0sm+zZwNFLQQBK/kg5SPrA7qZnJ1GUk/y1128QBMUhQTTQQCggDc3PQpkpAj94+N2q
5yJ8iCr7s5BtpIW3wLU1ZHMokTPoD/ziqhyNV71RqPwW+oSeSGF+kXRVV1cg2Ckw3Ukuy489beOZ
yH7KqEUN99BiYX7NdJXYOtzbJXDkhSQjB3KPbeYkL1k3B2e7CPtVCyqI1JvCLqovUOgrSSvJgDQB
QlQvidNdTGPiJT6r9Ys91iG1UFghMihhyb5EKBsRO65gB0W7mT38sSTcKeLp3mvGu9v15COLmPKd
gt7sEIXZo5GQ5R5yc0YsO/E+aYmVH+MYdzppLnLcd+hYk5lfRs2xch8bvTxISw6euXcsPPOkQa30
Hlnq+UFalu20GGbVrK6WyZY+RRu/7QBJLk354GncW+aX3s2R6Z7VRN33Bb4ZC+4dEGUdq3sHavnW
HON6jfWvyXKrsBHEaZQTP22qFxCTCgTQMhxvugb5hhaWmFI1MFP7KsMYxCvOw4Kv4wX+6KuO++ho
bf5aw/lOC+W1mCz4kaP1RVp9Nhcnw+r1tTS7LlwcU8m+XWOXC0ZjfYesXn/fh3N5nyvYYiLu1Wxb
OwbiGOdYCobGiMA+B68Mu52FlRVya9H0aLXRdNEp8lE/YqUDAYDcBuAVHgI0of+9NyVV1NXK/9E0
I+09+I+5EiyjfR5bGLqZ9ZatbXZBTze9NL6VXty6Nu8mdSPd0nMb65YA6eO+T3Yapu0rGf3jGrc4
AG4ZesO9vvsjblAb0PjKsM9CxelZK9vxDIVvavatRpFEyv7X/Mut8wP4RA/tZk+Ff14eoF3IlhjZ
AmF0lJ3j4x2yHSw/vAxz1mJU997KR7WWVqV6CcIa47ZEuvUCocvdOI41fxny+c5ayq1prr10VRO9
5a43bN1ai+8KJZs2jWv+6hfrNVc3hy325nCMlqYYG8Vx/dzkjnUnXQZUt0sQGvcy5rkhdkDittMU
3VujgHXt8EGbHU99LaDyXyg4p6tOH9TXssrInCmauZbRrjGs5b4Kd3ZQa6+VamBo2jjKQUbLcOYt
PLvz3bhcataSh8DLvEcZzJKDl/bu598f18Mq5JF+ylwvQBdxKN+6X54+KK/p5PcPZJS+m4to/2xh
yhirbbeRpjKZGqzpEsR7qxVvTjf8cizFOVLOVrblmNobpxgoPc5mjiB0p9ks96ayX4XI27LpxI8Q
Z0WysUFgb/TuaJDXA+qfQSQaMME4W1EHXSiIR/Ymy6njtZiutGTSPE+jQFbqb2LOejVvBdNab2G7
2yQxls+ToREpdxaISon/qr2oY3fW3V5yC+6E26NdpMH6Q/ZATuUwkT04s/JeSctQ0bvYy2miVH9N
oAuvV5GuD9kJilvAeEolAgto8/DZtHjoPqmjaz51GWbIma7quzJtwI3bTU6e30uc47WdOempa2ft
ItF9VzYwCtZBDcp57ZQTYmaFc7mG5i1wmLKljiyxckDyqth5Vl5gysmn2Zn7F+ol30evJVET4ouO
cs8l9tKO5V/Ia1ENMv2gdYn7KCGBawTbiD8RL1/LeQyWw0JoOQy1iS/qchUZ6NzZXywot7cu6ddC
FqZbn8rUWzvF1Q7OQMjXqeYnHDqHlRag9Rvm6UkisriqdvwegxMAh/kpUTFwIbee//9EhBnshChj
w225Gveu6mxSRwPYcj1OZhQdLUV7+YB2uZ7yS9gXuRGcr2gXgbGkdo+ElAmfTCl2PPbTT7YBGs1C
+ulXG5HiLvxfbWGhkN7k3WfWpsB7fHL3iJVp57q2il1QxNknntnvk2zEYVvT/+XVsNfKTMV0nN3V
NqjM+W4otfdJumJlZwsmyZWpj5xWuctIUN84+n/y+LWF/i98f/w1s3qVIM/PL1C546lWb/ywtF67
Hkq0aSjBLx2pZP4nkycHQHFXlbX7zfUUZTV5QfmS97wtAOGgTpf6SOy7Q3DABtV5kCvBB8J7JGjV
UwxA+VSG2vdymOonYTenSxeCKtcusfKWqKVLWhIqXXqHNVXDrSxdU5b/lY+4T8IQ2UmiKpdkV28p
+jbn/qbuxALu2jkn0bc4bZ3jLfc1lHzTNk93gVefCtvXBwCAdgTk86rNgbdacsDMeK+l/fyd926E
83o/30WZqT86AzRXGYiSKITo7yfPbhORW6pVA+kLZqQ+TucQS79kA+pmOUTmQz3Z0VvLTkFDg2rV
NkWM+bnRP9ZzfxTWab9QTwuceUhjv0iPXVUvKaW8e+GhTgk6IdCp65MMVgNCAFVmOjuZGHVOdMBv
HbDoQojl6euezQzFNZmLHEe+dbwYW7XY/dFESnS8pq1/U/7T1vrQf30PNoZ+7bvi6QRmyRPjRzvN
n3IFIpPThuFFDlGkfKmqwtrfulhGhZcp0RA8yQuQM+gBgKlQCw+d8ptdXGEoO6trs1OyGMpJf+8U
v2yfx9kwu+p2LjRvg8JK/CyHrOVhlyRxfHKW7I70pcbBaoL2SRpToKXncLB+3OZM5vDZgd4R/p2g
krAaxKRLKbU3DaLhS6SnVAig1yCItph0mVYJ4LHjMWWq4Qs8VAMz26Qj87eMplMFmcSwUZOg7NmK
3S1ruQzIZeGisjKiTuv01s/UuKsWQ6Cx6oNVa3XmZ9WJhi0oAedOdeHy6EXQ7bKwBWwZ+fdoxumb
NK6nnT528I+6OnmwZ6BkS0sORZoYq66jwiFNx4i9EwzHciVNmaXZ+qPSJM5Funor7PZu5YK3Xy6i
tFGN7dpx8rv5edbs+sVVK9I3pb7tAn3ai+tk7lqPfqYMT+mcVFQa54O4TvptMp60loKVNKsUrl69
SNf+Pye5KVy9aSkT3SblVJ15VenaukJnH5dc8A/iPo0CWnQc9DQHBF/jTe01zQukbXtGCefP2KHp
o+OMSuI6wCnhpQstiY1jkzSQZ/MkRLxV2aig9qr8EYiiu43RX9zBpuh5+OKVkrgYhuyFdZQaeImn
tX2UATtsqSfe+EfUH7OdAs1z9WHkwyl/9aloyIf6mfXPZW+fpdaYdRruqCrZtlaACTjs0w9XvLuR
fe7n0H4sB+RJfSPZSbflFvE588NxLTD4dIr9jd1Advg9Sa11zERzDOq0Of5zkkS5KapZMikyK22d
qv14Dh0A9NqI4Cu2J6Tyy+SlXvh5WZ4ZB4NS61MP45g1FSHILqw0Cpt/eepgrBvMhB8KPeL5rRf5
zoBh9dr33udBCZqfvJvJ3XXTmzdi8JvUjX4uIwOTWvBPmxi/ou/LB1OV6w5OyQvdyRI4TF6ZbS1N
HV+nPsF4oAKorY85Enk2Fi9Zo/YnGZ17FIDMKPAvMlqpwanxdPdJBu19OY0tMt918sxa/CghZtUk
92GM1pazXH7OGu2U+2zZZIp8eNip+roy84Pppsa30kdOfTGldK3uV0Jh+XPh5qi4+I5x6hT8p2II
t5vfocPUOj99Qh2yJv8Z6uTqh6v+Do2H7v2qSj8sOnn2h6vmaP/qelI+Y2RR7PQ2V/ZkJfGwBrWq
h1H5CpbKOGOrbmA0OFRfs6QjqxuG6T2aONkLBkAPEn+bHg6EoUb/n9Nre3yfbphWKtPlsr7nwLVK
oIQ3xSZvx3eNEREO8YzOxcgzfZFWo/umAZKFkKgyYG10w1kGWnuGpDQWLR7UE7/AXtrvgTjyoZrw
8mGyzPl9hT8+UseVdBOAhrv+LWYG9W+m4r+Kx5lqemS2qOv9eZqMxbDCitbcyHimKcFZzmZdfz+7
9X2YLcOei6bA+/sK3OymcvPpPvEDDxtmbSut28ECIn8PG7fcprYx8YQiFqwwvyE5dSrYk9YUHrmf
pvsP02IfYQ93INMMVErew/6IRo2H0sROmjIgqHUM6T8OXN/LecPexEthGH3Yr0qnG5n+7nZZuYS7
XPt/MSDBEU+50cuUc6b71UVJWSGVoX6SlhxytaC8ugzKoZmCHps01dz8MZCbanWRvoQLH5BUfkEm
inpsW8C0WcnkvsBqZXJj1BaXqtftcKt/DXZBmevWvsXAPEVaOozr62SlrpodTG2kYxYrWllNIJ+0
mPgsC4ss51+pNkISHrIAkc5ccTL4OnWD7bWW+teZvV8kJ3Pod5BtG8p0+MKIOczVAsZnOxaqWXhy
qj7T72T4aiZzHa/L6L6DYo17WKqHQP3zmI1nhGmGQWbzDFDLs9d+R68MVUiUlDFuD11X+cBBlnAJ
1MlVHouxXlnj0No7ya6bSoPaJ1IHO8m4g46eupXTRCqw5yXxfgtKe5ugMHcKHHvr72mlJMjUGJiV
xR674bnVP9+aIm0tzcyDxKgvnJbbqEhb35pXf9coBLWek0dBUrPI3Weoremr+2zbQ/OqZU73HLfV
vjTj5pU8fIx1tvflOqbayx9iqnwNBmf0E44pNRESV8xsAgN0wjiySlpGy5GMi6IP/V5Gy8Tl2edM
LB2W0dzABCgM/e5ORmGTvCKf2CMwxuAiQS9/WGwU3nGuleFdlEtqsFHXILcZ+cn22lyEud41upYR
pzTfR8pIAwXKN33v/FPI6zYihV+52n9eSEZmspzrq2eWEsO8x9Xa1L97qvs02TZQmNotN8aErqQ0
4SSZj1ljuYcYJZqVsTRlQE3VDm7/D2ncQrFCfQW+6pyka5wtzBNtPGYsMnwHoL3+2R5c/6xbJQKK
RjwAjyAJBjF9xAh56UP186ha5U/UX9YC5FGVXDmzuUP8ZQHwpDPinU7P5g6JHuMtt8e/SkszHlq1
LT8vk4aqbdb22JYvVqlufHcsvldgldcawm7L4gFYHhXinc6e9JMau+EK2x53UeAgZLI7cqa4ueD/
2zzD1GFXiShlBLN8W1RDf+gnDOcbBJK6sEzf6l6Jz3Fshxvpl+kJDJrciXXEm5tFcTkcA2SoLeTW
sL1FzMxJ51ffs+37vtJPsVponAD28wctOWhRAr1d0re/R31QZS9o9SaHeRmV4MAaG5YeIy1eyGEc
Q3F6VeoB/j8n1x6Gwmbp+RgzAJTe9qmCE0mmjI8ka1JKIL4GPBryCPt6WF/JHH/pQnV8dCs/81c1
6PTY0OOL9FkVpQvgL+eevNzW8Q2VBcw/VcZrscxE5ZPF7fHWH/PEuECUxAiYMuSt3/G7zQSWaMaS
PeiQ68oSM9m1Abv3NB8r1F/UedUskJb/iFhsFJ98fCxuEZqJEriehhrCvll16Wu0D34TQ4XwmfiF
v0XbSL+yS2/sUCsOfqhROx2FRCr9VO4nYDF5eB+bxc+o1+fvbFwhUJVV8WgEvXIXxIqzpo41f/eH
4Tgm5Yj+MgYvhpF6u9py6q+uPq4kQAmxsy6jOjyTalGftSB+6GTPBtIGhHZVdS+aX30XqQLI7A1L
fCV7KmPKYL6JFl27aBgMynPihPo33Qy8bdmP3hEp8/3Vxz41qJ9TdhrWSE6kX7MOCL8oM5MtNEvT
+9uqsy99ZjZfmhYBiYzszhMSGwmYNguWu97Z51jFLqbzPPuq8FyOCRqvxYz2IiXnl3zU641iJfYu
XPajJtJij5Uqqs3VJY2HdttZ1gEOMybQ3ujPFwcZESiKcP+g2/xn02313cBr5nMCWBRBYn/eA4BJ
vuVISSWYcJMeTVlao/kp3dyMIXWfb39EL/coFdYXBQLqesjqB9UK8T8f/c4D2sFD/do2TfZimGH1
hxsAIw6KrY4T3IN0NaMVXJYLZGqsrBJFV/fepGePweL2CWTtk9vxk021Jr92JXrfH9wBhTh/zKlI
8utMgE6gqrO86GNSgDjRKFtp3gakGaEAh0aWp+2GsgkfYhY3K2yLoB7rFAqMDCiTNN0Kl2wl0ac7
vCiMt8z8OZNtePVybWvbgdUgBhRpyL1DnxynBMgJ9jp7aVpq/96XL33+EhI16lYn17cZFufbdlB8
uFfoC7iJZb5IH7KitdK4z9JTDy4P0oJdolWEj1rfh3dwweqTDdwMyYhy+mbZ8amNh3DfmFT5XpsB
BQldxfcVEMO0R8g2QgNWV9ezEfdfwzp5TLPA/HuMo7Ueev4Pf+zQ52pC81OllOPWt2GaGI4ZrfOm
xaPTLO9j1cZljNJEsgp8ozl7Tti/BK1pHYZKLdZ+CTJ6PQAfHUDbP6WZ3b9A/TQ2nuXA+Athowwh
OiHLpXy8xFeDDxfyRh6I7MDd4kYzrIUYIANXpsFkO9vAGfk18Q6/ZN64Rkmd11aTQbqE+O6fP7Rr
1aesYCd76ZODVXp4ZSXcIHrpP3izxeO0s8pTaM3fAiuZHp2+5IHrDtouJO10kYhrWM2OJU5zF6tZ
4gY70vexqeJZrAf92elRqV7uR7kN5faMTdYxiZ44JPD/uTXBnHXnrMkfJOLW78aauopB9l7vbBkY
TCs5T/rBi7QTefXgUumL/WS2qNOOIPAox+rdcCTPf5I+OSTL6H+FDNQK70Cks1SMKderxf2Vw6Ih
H3UHTm/Vd+FfEHS0XRnp5aKIE3xGdt7D34gEbYxY86d+WthBuf0aLi2qkemzCy1JxiReH3+YaGG/
NOGgfHKm9CFH1/9BhpwGqYNcR51ZwlWTers95B6Af66latBY7UWUT0YnOwsPbuaUG2UkE/kuKDJP
dYhyUo5hg4IXyyZW+2BTQTW+oPhvXA8IpuBvp7jZPT4U01EG/EY1Lrc4NwQ0a1Tq6Rp7mxu0xb7N
rbMUUNVSJQ3k+Dx4loqsM8b7OmtBZaiOwyPXBHZN9xi1+mXu+2IlzRlt5kPUYTMgzXQErKmMeQ5I
I9PuLRtsjV+1xUrW9yxzkadJyQNONsTna/O2wP/Q/rA/uJ7CDcI1WLfOWEYld3Iw02hqVu5YUQhq
WwTPpC1DM28kKp29a26r2DH3npZClsP17yx2W2EEYwm0T7yS5uDAA0S03Dn2J3ceZ4y9E/M+zsvA
WBU4qgBU4n0jnUHMSM1u/h5oRXG5mmaPpHbYA5W+g4mb8xQuUsLTUkuQs1hqCdK+nkpvLfrA4PbH
/TJHp1S3eWcqx2EIwoLnXY7J52uNcsje8Utvmy5NXJjTjT9l1XHiR/yKQXy+1KnmizT7Bi860FLP
pYsohNfgCbpMmuy6egii8JsEQbNHC335gBBRuGMB0nnnAQfCdqTKL3qDcuw6amoLJkD3Jsg6ZbDK
TR/53aGHdYbqi//evI0Wtd4dAIcG6zypeBlMXm0fZGEX6XdoqugP12XdMGjBmh9gvZc13PtCzukP
Vt11K5nQL8tBGWBqbCUGP6dl9QcOIFiXc1LDIqsKZGpYfR98ErkrR1aMLk+lh2k653bNg6xvqMbi
Xo5TYLexsinZi5m5qQ8u+RHwCIbYmVP/wH+hCLaOmgZM7aPDwl/GIHT5CPkr8r9rKLSP1w8xCrLl
joWlufyZ8gffZl3/UIxBeVj+4HdZXr+HRAW9bVGADc3rN5fplMaig2c1T6nZHWOISLywFxk8UcQT
yTv8GFYJlLe7Ap79P/p4SyCbe2UTKe6wNsCyHCKnM8imlgqiYFEaQEEzlPLYLLjIW1P+ufLOMa+j
gpO8NWX0FmzzCn1zffdb51UOGh3NzrdM7DUMK9mVw+z/BY6R9RwwIojk8Idq22zuUaaNjnrlxsei
G6p7PXTxKohN71PQOkClca876n4KFtqGOW4mbnwR6KhvqwlPuDS5CFpURqU5L9iLwGH0FmwF6hPE
SWy/G+sBwfb6iW3iN9n1tGQqAG0E2dEeyurrYJ+o4/FuQwF02EhXiffmyrBj+6grqbvVOqcv9vC7
MMHNKHuzaZ+Y48MdnGp8a+TGkrsgHTZI1sbvtwHONi6Fp3z+cBsroIDZlDFNq4NtqBZwz0HfZ+HG
qpzkkExg4XmN68hqsX5BOmweeGhWOmga1JIQxOvualO/gHZodxEI/etuRo1SoIDk0qGY+pV/uLbj
vIvuwYqT0AVlee2TiXCTztH0PVsELETKYjK6t6kDVCotINXNUxZUb/kYV+erHIZTg0Rbmr6ipUfE
4VQAOwjNAO5u3U2mlOpKEAN/ggdAHqHH43bGvHUHVEijujq0YQEq3K+xJcl0Rd32KNg9J42vPjsQ
djW3xztkaQ0lTzDF0FHyK4CLrNuw7lY8qZVjQBHkOcpN5365Xo4V/cYZBhw9NngnAHBLHPWRzQGc
Ma3/JAcosLs+Vr1HaTmmpa+U2FVP0gwm1dqabeVvpZnXVXeajZnfsBcOn/SmaXbx0JgnHVO4B9a/
wXoMyXQDDUvAONMnBwCL+raI1GGtaVr80MQ2bissM4djH3Vv0ncLDhSlu89q3uaWzTt9SB6AVY+n
6yTyA9pdgu2doIr6cTRPhaUEV9aYwIOkeQUZNfbH0ebfzW5plmgmr3PDKe8SX0vmV+qZ2haFO971
ik9uBd2dRc3Id3blorl0O3SLQFMCxmYHoKzn3cWootaU+OXUHFT7Yt1/6JFumSXXVCf4OtpAcQMy
M3igLPEvUWh7FyyqdBxMKuriMiKdqaIQVCdIYUAKOxvl3Kr8nAhvo3DYACFSgN303uV2HRk1VZau
vJHRISP2w6XktPLbahU6ZIilKXOnsjnYitHszcmDUec0yEJSR7DNNjs2lu1v6sVoyR/A7wwoLJx0
s2XPNo3R9Vl/fYCnbbfmH6q7l1++HNTEG/hZlOPu+h6LvKDj8Ur1Ngrzt3cZfbZB1qU0tWwNJjc/
dAtISQ6QKkn+zE9p3rXPSeUUiO3r8LOXgISK3V3V9S4l0Tk8VpOlPFttmyy5oOxHoOiPM/i+V6vI
432BcHaae+5eidrmErMP3k6pbYLDsOxFOaX/bjfd6fqc1mM8kbOw+dngxAJ7l2uErbr41BvNQ5fy
4xoSldqDrWB776CKVSUxVsUq1sGp14EPtVwoZHXqnjIKEvtu8NUnuHgt3q1e9m0woovsoFo0LAqT
vIilgwsDM/hVHdpmqyQB383Jpoure8MhMOf6bgaeM3f1bmozgzUxaPGlYHI9k6YM/NFX+raC9hX/
QLeBSql9/uWXK8g8isq0b5e9XXso+VjfTA+3QbmMpg7qyWn+LgOMjbPF8bhb3I3n3mv32TSgg/uv
/j4YWU9KSOFni9xg9smJg+hi9ml/nMlQsySkxCJ9cijYD17kLI09A8vB4au0PsTdQpSBamqiVmij
/HGZ27WswHM2tt4X5O344NvAH01tao115yjl5jagBkO0NpPM3FCV8EECROio4yOE5oWOaoHumScZ
kIMKSwEhfDlKh7UEyhlPmOJcIZftTvYanna/tlQ20AX24wAFFhWdm0aHnP3fhTpkGNm/d+mP27zb
FFLf0boMwaTaVbk2C+71oEEzdKHzBSR/n0znGCsJmq8zVL3IMvOzFvvfpSX9oa6qOx15v430yWHO
0nYNTGQCyMp1pC+DNyiXxpIvWDkuIIVpZ1m+e4JFUJ/9klKwPrMZYFtn3ovPlQeYB0uRZNhZMkLa
PrqbdRXA6rmzsDup4nuzJAVwxRfn6t/j2LGaXVj2qa4PMKD99opM1nxnPmQ6JiwySim3uNc95Toz
Xjj8UX/RIsvY9GXhbvDr6u9t2+rvUbsc7s3Y/OW4Vn6QLnPpvw4uYWm5LW0tuEbeJvYscA7qWH6R
K2g+/61kkk/pb2Nnc7K5XUPpXrFOYUW/7KHWk1IiEGJgWZxb6IXkjX/QJg0MSKE2pF8Nd20YT7KQ
7AtzzQY4eZEtg89NKS2/V9yVqQUm/4tHva3WAZrDkF2G0bueUsdHY0t6r6dNrOtb1atRNL5FUWZs
ziw9p4PRG8X6BkPvcr3f5dgqrI0MkMNtQM8xVwrL6tKG3UuvwbeTsuLQOtBsJjiraqhfpdNu/Vpl
eHdKpF37pRgohcTf/dLV1iMKryWQtluptmfd60DVwQ0s8+9v/VNPNQWozri99UmIjkYN4B7l663f
c0kQ4Vyi8bta8LHozOvIpuXJV9vDJzmr3fFSao55NmfF2PrpOKNSmr6aZBF/LqEL2OdD6OAn1hmI
5nsoGmSvZWHYEhqArN7xyyj7Vwz34kor7gRrJog0+DT70ansy7+7TIUlgiDPpN9SvWvUrev3xBtI
bemSiXOKnUpY9+V2GoGjriZlrI6jqt7fLFAAGo8XURCTPi+xq2NnTdzN1Imvs+RUDlUV1cfRH+7r
RVPs1p9gj3GGB7hRaj1VV37Rh/czu65Na5Tdx053GXEVMzxEffrzGo3QzuKivAhz+S18biI8IET3
YZQiKCoTlkPrpV80lsGHW3/sZ/2uXLICYxcUl7ktQTcpxXpqSK9vpM9L4sX0E6jCurGqCFUAAq+d
Wc0LZ1VMiJqqTAr0PE32Mi6HIQDpDvEGPXV4uZfbwPtss/IO+eBDvQnWSRQkF/LNyaXsw5HK7+92
7GIyBkGiWLVemVxkYLRCGApy2nf5IqcFQ+s6sV6CpjzJ242+/IqQLjj6KZyg6yVdOVWa5Xv+62PR
faizoj71FKLPkzpn524Ks7M05Uz6WKKgB/VfMXhnkD83WnDPXCAaDeLk9HYF3dVc5N3NnGKXjWD5
PGhntW+6+yKF4zhkafJXA7zUbfzop5V7Nho+avlEnaQ5ksjN97Ze6J8iJ/0pEXbun0s9S74gRY4S
DWsgyXmMi14Vsjj4dLGn1v/dVJcmKIz3Uc9w34MNu+6PKIXq/IYjV4+3Gqjzk4sY1r7MywF4XkqV
LTKCb+rgXCyLlHTUKmsbvbEfbaKN+Ifn5acKw/Lt1KXenT5VAAWu12uMulz3KkBVN112UzEauiK1
K31sqCp0HJad5rjEKBXtqy7vEtjUoASkL5cYmUP6CKv0q9iqRXlynXpNqGyoSeorEIHKTl92P5Ff
sTdazib0D7eJH7nvgQZyowdVn36wyH8PkTi1aPRL1GfAAK3eXEmfHGJ2q1nb52dpRbMO/bRJ7W3b
QqsbwVTddVHEeqNoj9jBYOryu0siZBBjkoyy+HPGmmeXeZa5mUfyDGuzQ/nT1MancmHdjE23GCaA
qYQ6/g36kb6OnKB6rFq8NAcV4QO/a7AtiSJnHaSR+5UUKiJ7gf8LtN4mSKa7fFZqnLohpoZFPV66
vkLBUFisMVpdUZk3y4/unz4JlIMy6K8y98Z4vc69XiZDCGW5sjqX3G2wy9aCwxDExpBU7/hP6WPH
4LB6hz8HmuMG6bg15Uz9GPUB2XELQ/vudh35jChZSOqDPm89KZqN4PmP7Fhsdht84U4N1wlJwLO0
bt8DlO18gtP8IzLvIl0vXpuqjx7NvHnLYrd4S8iXHwMAMxsQtsWb3YwKSNwcgvTS7KwmXunsS+6l
6YQXFkcx5TVHWaHJihSeFVl70WrSJgvLiNp+5hmuPPhl9rd097AZd+PvKGSJPkRpQ/whym7JAkee
N33hBXgBk/x+rc4I/hb9p+u19FHdlYaPWVFlZJ8KjFk3ZhbG+9arMhTI/PAUZYULoJzRvqucJw8T
RhkMlq7UbV9dhxxOWf1qgVnsiyQf9h1M8E+NOQerflEun8YQzZlY+wJZvdzOcxXeFVoQARlr+R9l
j9N3aAvXUKQCUAxNcvNp6k1goF3js1BbFmNu3Keraql7wdYETB0injul+LS6OUrBxd8BOos4q/ZP
RRKG23Hw3s/m32e30dsZEkXD0wiqffu/iCsmUBC8hvd+Zpb6mzvGa6pCE1hGsN8qEhDrGD2jr72W
PV9x8l61n52x/zsfmm+1ghmbHvouuIrAfSzRe8c3Gxop1gARuoVcp1DUamVmi01viznHqu6B8T50
9su1yNyzQ7bMrkU1NGnuOq9rPiMvtGNlj3HnYHb73qz1nQs87usCWmorL/gUoU19sWufYtfSr6b/
Q9p5LMmtY+32iRhBb6bpfWVZmQlD0pHovefT/4ugdKiuPuroe3vCIIANpE8Se39m5Ko+FAVw2qw7
atimPI5DelGzwnjT7EC+oMg+CQxr5N2HrDugawo6eGpi8wnrRcq0vQgeio4qrYljixj18v4pbf3m
LgZ1ddfwwb9VbYZdle2/ICstX/R2sDPuBNpj31pciFJHvpiaPjaUyEH7jmUpFfUmg7w0/OVFfbn1
ZPmQlam6qzXYfLGDpRYEMGUVRFbyYipG/1SkyUoMCmkcaDBfDI8Mq+hSHHCH5eixA9e9XZtXxceE
rZtdtsNncLjcSriqcSY3Uj1U/cB2y3a9nQbRZDsTcPqYJDPJ1OdFS0TQc3KjpeT+t74IibFdihDi
6XfBEBFotEm3jtpYwz7HACk3HcQ8N3a5h6GwarBLx8Z0k3WV8aKZinTujDjHlMIwXtKyGu/IBR5E
Swrownw6C5rxWfTISfgi4wQKaJwhVUEsxTL97CTWUlrSkSW+gTvRFI9U+wF0J6zsqCiGqSlvB8rF
i0lThKdnwoYL7FyWxOMOult5AUZlI5w2qQPhnTvVi6fx3i5RCZ86RVAowZHZyVNbdKpN+DNmnrNE
prFJomeM9njrRee4Vduaijeno8f3EVCgclTbPDzoUkpTjIiDkxq6c1B01TrIFOf9ohnPcDwwGBen
UJJh9iktPtphUh7fD/8WOZ92gSVxeRyG1dx2O208o9UwSGtx6hbYX2DidUyNv20vtS7N/E0Wl4Dd
KhVFvankRZU192cjTdEWhzlSnJYtxDW9GsOVINqIPjRP7WqHdMEvQoQHi3vGoDVSOB7sIfoskGLv
hEPUSh7E4IwtW0b/HljgZ8ugn9jDIQ7Tz7OVpFhYxDmSiqlLUvM9QM0KfBC3/XKD/if5Myna2lXM
b6dqrlqv6A9y7RkPMNVSkk/5bY5QrcjbYfk+rJcQWyn0h2Up1A7WwCw2xpiwpe/V4KSTY1g5g9S+
WJ0V38NsPIpB0dX02dZ2zOqxCMf2xfFMZGIciFVicOiSfpuhX7Brerm7tSrEM92c5MOcyN+KUjf+
qdkN6CvJhOnMiC9eH0D7WXt9aj0Il5XWARbT5YODUBj6YMJ+xXNydBZVRz3MIWJg5SRNd/ppAzFY
vnJsMTMWqmNhREI98yJ7LZqaGfWbMPPKeVRu47trdspjFkjqo55P3Bvrl76z6yPyMEkx6q2PzNGk
7yya7VgPGPFBDO0g+6OzjRS0n26FFPQcOkB/AYg/fLR9pDo1xXDJRRL2bsUpDA+k4eMiLJ0riABp
ocnvDZX1pJOKq25oxjO2XhEka6pHgmbRNghjohIzD3oTm8K0u7e8ycurCBDxYAAB0E60DCQM9Jsz
dlckmY1n0aUMJE4cxV9VGUv7E86C3/Zwh0qoo6mHio47ITHEQZcV69hEwfelS5yhd7Sp9Ma9ipZY
I+eR1oY1sS+m1cQA7nvW0aikv0SXCPt7ujaQmJ8fGFHkTMnLGcaM8JOJfiGcUAFInnHIC5pZzqPi
MqgffkMmLwDnaII6I2iDgr5bJvt57oJ1jhIKsDlfDCBSZH2j9BIoo3LOcgdFknhKCyvOOZq6xLjw
AnWyERy8aDMo28XOKL9yyVDOc7HMtcuXd81Gg0Q6jxZd+tJoVnSMe019rBpYOPkEhhe1xbzg21VZ
wb80S3g7otQogsWoKDWWU7CYixqh+yQrWCADbgNgQUEN1YYg+DylUGBehPpVrnpl2AxmnXJ37BXs
4BmRELsfVvOcpHLXqOAqIu0yz0m4s1r7SYkI8DEPsmeRQYraBoJOHIW7mVe9tEUuSsSIs9QcyjW7
ruBnoGiLiWJ4yVxBowbwJlJHZkx2NrcpBs3yQ0KOyJUN++IqdnpCLGoXCcGizpGfJkrvQROyRLqB
u9o8Dy22I8C9k0jtiGROXNUa/Mi8OSzpniLsf/b5Rsi2UzGnb1fjNwdJn9rV3+ONYtJe1njfnnmO
CSJipu9ou9zgBimv7Te3wWdWHHyy4TdJsq3boPoPla6UJ6zp0EFNgL/dBoxWtrZCfloEiz5xVmUk
V4N+v0wXZ/O6FeItbBXLXVSQVASxwoOJh0ad7K11moekk3U8Jqs81zCqM7ychF+cnfm0srM4Ww6F
6/g/h9/FlGbJiNcq0amdRBanFZYQLcAkTa3ii7g2LReopraeZdnLjr85I4vRaUAjiXP8CbKegNt/
D+AM92vGspQEKELMENdFdAeyQ6kCHOwyxcWVPArwXW7i17FAI4o82s1q0OIfY1l9wopurbS+gjFc
epwytC8isqjID0Zj8ihaIHE+JH1ezvMwFEEnHBmZsxjEAKpDWQfNRrFqY/jWxm4RFRCjUoGAvTPh
okRT1VGHjnQUdzPxhIICwSu1ZHc4NcXTLUdUl317RPMpSC/wnUAaIccWnhtXg2qQuOOvDrvqv7rQ
Cne/BSmuHJ7n9hzpuFxx11ihheS45GJtqal+Kepev+gxxnzwzj9lU0uRFF4W+OlfpyJGBX+PbnQd
bEVzmTxUedCulk4nLNaADbyz6JpHl2hJBuonOQpf/701kKR0sF+7+JbcIh7ntvPZ0qdXJXwmK8Yo
OkzxevtjoJist2cKfDgYTSt1CI0cB6kaUOtvEJYyjKNPkn9AFiLCl8Ewu/nw96ircBmjRsVAKAJB
gp5hpF/4g9CqHWKhFayWzH+2za9qFiqPAp6bK026k2FubsSYODj5N3kKEA20YX8GiHhPaV9Nn2xv
vZk44qvlVdd4sWz0JsEXbno7QNkiery8FSLQnl6ZOBtVe6Wib3Ba+ucZS1vpvE3pJdFTZ9rKcHCG
tjjW6fjYShP3Tatu8VAmH+MEZ8BA8ZyLZXn1xa6zcpuNeFnmCJG1aOOsNXzHr7ltGE/tYD4j4Gx9
otTqgYkZ7WMH3/8DBlWrahytT0nW9PuESgm4A8JMcHVOitlNkyjKCY40JvVTWJApnzMD9Un0bklk
qigdiXionCFKi1F3xT5nMxhgwFs3OM/Umt9Om97x17mEWI7onKF14JvD30PnXm6A+m3UydJB0zES
7OAh7LSpaC7J9Q9bVt0HxS+tJ3JEV9tpysfKQu306tmBC5MmMS9jAroBuBcM+aEPn6sgtVeaI2db
jBHH9CTjLbyb0QmtO1D96rUPsroaIFZ+CK0oRKkIN1sSrtoHrS7sXQNSldQ1Ta/TEHpQcAfqQoOS
Ghf37RBqE++elK7f2FhPhQiBYS9nY+TuraKc92twSC8g6LWqirLk4XRv2zZa+OBYsXcIKd2cFN82
zuD3or0LVnximZQbxDetVwQ6ahSXTQluWGpsIEYb3Iu0ZE8LhewXEi44golTcQgrtWCP5AabpU/M
CSxHWxWF3axdjKLvXaSot5Z/ogUtK8462fU3HR6S7O1/wWhbpVBvHSLVomuBzEpDGPwWizawfizA
HxyE/pyX4Zjs+MNlEawbgknZTm9w2RmQmse1vjXljRgPChdIpG/9eKdxJ5rxGCbbZChxYF3gIAL8
4aCotwbj3WxFUxzmmKHxswka+KU2K70lkQOYxDfVtTvBN+ICsHTIHloIlIpD+iFOXfm+dBhAV4ai
lchoIIcqFE8ReBjXvisP8zx90kQF6GjuVL9t4NTQFH2JHhfnyJKeRZeYCt/wc6KHyBIlHqhx35be
OmTod+PQVDvRbFRw1kWLAoNo2pXyqiVucBct5wnBZf0tcovmnijNc2k00ltY9c5JrIdYCmplPqL6
Ufc4Vq38bTrJMm8+6f+t5z/EeF1VfwzIoY22hwZ/WLyZAAC3GnT5S2x06cWOAvBhgLFeK9v/1jnI
+Gtwl1ECL742KWXxUXM9bI1a6ITeqB7cqkEBOJOqtY4285ecb7ZfRM33oHQ/l3ba3LQG1PVgswkP
bTX54sL4xtxJMx4kk12UHFiARjAC/CJ75qsLfh6FqxY9Cnsy3ynj9MsQ6JseKNkHk+riwQAjuy9Q
e/ikG3exYCnJ1lYf0+6IWnf/GvqQ26YHymXNQ/2kbPBALPpH0wGS7SAR9RJ5/bE2NfPg+2a1GuKe
rWzVgPZpJH0rPk7xnRCfLpvuXRo2+nX+rKfvihF0DUJ5vXpY+ko/8rb6QBVeFsuVfy9vjCOFHjc4
zv5DS60x7GB52aOyF5XDpX8uM06j3UCiVYx6jf4A7CrbVJ6cX4fY77dhnOkvVoadn6yG3l8JGUb+
kPQfYxXfvdxpPmmqLq9Tbp4eqVWAfOYncmpMPVpHmqI+6IabrPxWt1880D3b0BmTS1IkwQWxG2lr
y5b6ktkFVeCisL57G2SMklfUTm7OlDR0p2ziWKNbFZBc3Np1TA7RtRNlHkFRnbYlIptJDGUKWiaS
J2rhUhb6fpL1WUpzg2NGx7qXYS1RdltqbfmYU8pa4sTIEiOaGMD+KuYtFT4xklKQWwF4+NT1tbcW
4AsBw0j4CW0GO/X5jRqw69Isxy8c5bmTiBFojiKSwWia0V109UFVXQeScjjmWZipcL05cPnx8IPI
o72kK8UtzeS0/UsKJfWzlqjtFktFHzbWoN3FIYe3eVWTdF8iITd3if7YGk4Fd3iXYFLTFl2mjpEy
3hNIl03TxUDhRPVeLMlfGeYh8NC83rXsVW53WzLi9RWBq+Q+TLr+3eBWu5Zc67oJ+uS+DPxrrBiU
NcCBLuYsaxGmtCl0RSkaL4gsTpwR869sUs/pJD1HVE5q96nftket6ot7ZJN0j1EefJIt5bntSudU
OpWarqzCgdRQ9Za7lWv516kImHtFwBxbkwylQBq2G9EpggrXLY01VuDZMUb2pfYj4HtKYbiX3H6G
V+VccUdzrr2HV+5Gm8RVB4WLfmrluEWUfdEdRq34KAIditNAMKYF+tI+e2UdYLw3xcVDF2wNjTdJ
xIwQKbl+pf1JMlJ5V0JpnW5Suk9pG6ANGibfeuSw0ARPk7uFHgR+pJ64jZkjBHjOtJTfI3IwwSsN
GLxvtcHHwNKbSVHbuWLd273ZDpoMdHOhRztcQd/Orp3go9saw6Zw+uYoRg1VO/LdKp6buJHvjR5+
zLIg+IhLl7LPLRvqtoER409BRiU4d1blPZSFGl3ssrc3OjvhLy1YOyHIJEF1Y1fsw/Pk/2MrvPHK
JgCuG1o3XjS+SqH3oenAwioTA1k2ondjtVRbt/80D2+ObqdwL44DoJXdfN17qL3AJn/XZzdTTbKb
6Bdn/zroJY4PLGgKmQaQzbGP9TRrmdpViXLo+/iTlaJE0yk5cu6gI5wJE+FrIbZW0xmiqTDzKt/Z
vBsQwUGXNXuskKLVMmNZZXp9lyj5vvTwhWgVkszx01jW+REFtWyTl252xLkRkcwoGh/8KlX3Y5WH
53xo63Mk582+xxcczUNEcGVeyascYrFtD233JQ/TKzYkk5zsW4G5hrcqjeghT2XvC8Z06soEAf/S
6vBbwCazJy5XreoqD/OhktUHfOWGjaQ2+ubdQAQCHEoF+ZRAcjQTctkUbYdbrQO/N/d5ratdbFRY
UThVHyx5xKYgksrgIB5JdA5a8g08Tr4GPA0ETQqi5ubyvOpUv81dsWsjyFHF+SYMvBE7FpoIwg+I
RaMDx+1xPAAPm8A0iup+Awqu8l8/tbqM3dxywcNK4psWgWUSXWLCciEM9fiD7UXFXqTtfU39ESiY
DYsWCUDui8XpcngvrhWm1c/KnVU/lZMMkIH1ZBYH5pfElMl6SEb3qNu2sR9QVz2aY2PdAMBW7AHt
8mNXS4+4Q7lYZbv60QMMlVZd+01CO3vaABUvqoMBYosJ1UV2WvWEvRQMk9itH0myo8aAaOInL0mR
BdS1HyEuAIhvP8Vlr147YT/RBsrqXbMq/HTvyGpCRgFB9ZD0/KGe/tLF/3I4mVJWiv4q/uCXv/Ul
Vgwssag9vYrW0i9iowAfSTvAe+mquMgnoQ6AL03ij2urgEYlmpYyBpfK8r6L1gAL7Bn2+lMdysO1
ddP2WTOScG9BD0dZnsHWTPun0JvHbLhQ6xHI516KNfMBY7DNoo/rVgaMycF01tT45RheyOToV0by
qejL+mls3wbDr2/R6CE2rLvBgbQtPsW+Cmhu6lsGTG54VmVR/uyrp7Mi1YKDj+P3agnmYmG7UX8R
0KUmM0xcfLzPM+LpHZxJAJuq0eOT890Z/zQI/BQJiC33k+lKVN0lM5JgY47RashSCyXelxxgwrNB
Xe/F67AxdcZQPovQXo8cyAqSMtF91C1WscZWfCim3L5Z5tieREscAMAoB9fkVS0f8SDtnGrwUBAw
uHocfwMkgkOFRasA5ppRi36EctZKm2CKAsuoWL0VHslQWhhxdOOp0BN5bSMGuUcXAu8gC0XhRCn7
O4zu+knO9eBUWx6/qkim6Qz6Q+6ihhHUAK4WYJz4pY7id2zUVbGjutFhX/L373q+fRVDYqahIFkd
GVAFp6KxPDY/eqPuLqJCjGxtuQ1tPZsLzGWURWfotZCypnpzmSF+pbjnLDajR0pAmwY3NFBBVuxu
ktQHsvQ3NnZBycbDU5+pxlVAZkks+ftW6IxxK6spkLniyZJEkH2Ti+rW47PokGI5Wjd2hcztNO4G
Afc3U7iKuhOU96kQPV2WrOlQ1HaKxuU2jnrjqg8Z1yzRJQ4xHs5Tv2h4+DjP0IHS4deUe8N5OYxt
DnEs1PpzVjZZAXWQttmViHbn2UnEia5lhjhzeplKUn7rKi04N5ZfgANFfLwBMYUlTOp/9NPkM+Cw
jvf5J31Kt8qnXk+6T749MfBcL3rqy2HYtYqPuHzdBOfaaQ91oesrTM4RG5oOMaSZm9Ra7q4McmUe
EH1iNDPs4dbgPBTgybwRXbVjkBmjEr/PdCc9QA3CYsuoysfM1XE67qhbz6UT0Y7K/Fc7LLv0JNpW
AYJqnUzxol1NLKVCb3EaqbxiN8iUUHSjdT9Vdo6YJ3qMYdyeHCoIn/tq0iVBLvveZ6OCjx2GypI+
Bvd/ndRPyo/TpISc3udxmuT8w6QedW6sEsIaZVIy4KUqqTcydesix/9EVlPS9iGbSEQYvCvEJfaE
06FxYgDbphcdlj4PeCKCRWW3EX1iAQOK1rE1YHUX035S9CnpZDFqUUSosFCASMtBnImDl2hYNpoF
VwxF/jmg9J4MnOFXk5zipDzcTU4vzBUDImRZJTeSeFXrADuXvner5FWHsEhew/P/tfCyiOV1NjTa
y9Ij1lmea1FK0THQxvu7/qhj8z/mYXgspk9UNydQClyX+fO23f73psZmpuvK5iZiG/X7oHXxI6DE
9pRDgF3NfpmuiWZdoLcW3En8Nk21L++a1K9n/8sOTuGu0ytrsxhoQuU6IZSY39hMy0/sZY5aFhvH
GSIhwBMzAqPYZEgRzciKsitJFTjKYVQCNKYSR1mFSq1iJVsPt+Uwdtpwy6xt4WTBTYSKMdE9ghXa
hwVkkSU+wPpQBXDOcoGTgI+Z5i/DYoXe34nllm5xlinl78u9e7BlSVD5d34T4WmuLIW2Yx2lQHt6
V50StSjAoE+xCJiqW0t5qol0aev5TrJeylnL6FytWtqiNBZM0VrjSlvxQGLUKteIfrt3yXS/mnGn
nOZa2yQ/Sgn8m+gSJT1xmLrqCgOmuUKHgMbcXADd0IYlS7knXuo9jJLlv+odu1Mq/dY5ULLgNSox
dtZgyBzFqBWOxdYLS30nmjizU/vpFWMjgpWRQrZkldlajHYQyIBg8XX1pqXaspPAXRiUk2kVfqw8
58ZnMTQvhqOKM3LNEa1Cr57Es4oV0OwkKD/0fLsg8RT+X7rWyaA1piYetsFlPsWeiVOUCy/iDC3K
4IIYSE0eG8BkZnxVfM08QSf+edCmpjE2RQoAl07ZkUykXu38Z7srvfLfT0XoPEss8I/t5ZFEjAI0
ZY3sc0sS4tdTsMQDi7ZlDTJWkOWqllzvElXUrB299y9LM5j68nGIIAOq/b1VOnv/LoSiY1yt5hix
hJhj9VqIGwvWINPSYooYfLe06FsGRByZoq+RZmu7pT8nWVvNzzJP2nFnKwkaoiBpTiFGiCdx9k/N
/6Xv3cr/eSn/T08jrnw3Wi1P8D8vEyUd15N/ivnjs3HUHNbpMNzFrPnh5mWgAfzLQ/8+9k/LvX+q
v8f/Niamzo/wW6949PkRcRGD2Ss6/u05/feP+/uji2XE1Cpq8DNY1l5Glr73z+r3lf6Hx09iQA/v
P6Df2r897G+n4mn9c7tUR/6vLLdgSxqkp3w6iLPOMJL3zX8KEXETnuwkzv44dwlZ4t492h+X+i/m
vltqeabLo/1x+Xdz/4tH+39f6o/vSyNJjwh0I3o+vfV/fLbLwP/8bCXcVCKYCv/ySf8XL/qP7ynu
fmTA/tv3ZFlmeU/+ae7/5/vxx6X++Gj/+H4sz3J55/+49B9DloF3b/eylIkmWRB5iLo02N7Zq4Eb
iNvA7nltdBXeo+DKFWCHdPoTOqZtoNtHWeJsRaDoW0a7NoTrMI0uA/MKIFkZ0QwQt9MyiDX/XFA0
PZR61kjt4SYx5jhWVOWm0Hr5Knlpf4kyT0J+who+2RS46zRQXx0MhoHPydpDOx2cwLQvYWyhfE9L
HAJo7Gz6k2GfeuGkqlRJ5jzDGwCzRXqjzNEiUEwhB0FVMstPywKm1HkPSDm/W9fRRhTUYnxA3d7x
3qpKMVdpNzbnotP8N0rABfXk1LyEfeG/mfbwDbVmPIWmVhoi5gDt8EG0wMGjHAihSLRybSQDhWaQ
WNWLn+XOCVYZ+gS7vCwmoynEsE6/nequV6rrHvjQz952ORWxpD8qxORCBGMCcIWAww10mlGZ2Nim
K+3dj57daG8JZs7UhfLnVo68D31t2yffD/GBLzWEjFy211qf1DsxWuV9uw4iSTmJUbUPXnsKanfT
NcFfUNRUpnJohsTrKgHd/gVi2zfEl5QnXw5RUfeDyQsh7b5Yab+mNBHskxIPLFfruwcLBdsHTBhO
QZvqZ0fO1WCrSUgLIDVzWyJyhGFulfJF9JgEmMg5t865rjFEndbJ20lHmFT3AUsP50pi8s0FBoGr
lNy9uAgDSVnwYpF5wOTuQrLB2umYnj+Yjg52r0ZHbyQhY/mZ+YrRmYpYY5dgEEjTNElHIxMFqGhq
Fr7t7oGdqxuk5Y1X08AmE4MW9+coupL70YtSSEEEaz06ugko3K0ITge4MkgoGT9Hh7HYhW0f7ERw
OkIfUFBo2YlgXde1LSoG6jwKDLXZKk7rIQkrs7KsxNsYCZC9CM6ywtnog6zsxUvQSGrhpyR5B7Fy
rDrVhm1zdRBzdQ1sdtYa2sGUcO0yCp+MP08X36Y2veTkEz44Jq4tNtvMMY2kZ0cysEicun09v4Z6
T812HMMPWlcFByMq4q0Y9WWs5iXU549iFAm9v2DbuDc9y7urU7s3ue3DjWUrLgbgUvnSQNY82FqH
8M7UzLRauaWJfZf6oXzRmrJ6aYdk7YVZ9BSW0psO1OwMTW3c61mUrdta73Gi67Alb9PuFDlmiuVY
8g0twOipBia+TybwfKzmsPaCoQt3YPzRWXEM5UMboY00qkl5Ec1G07Ft4JKoTx467pC9ZHBJcwuA
d15J2YshRyiGIoJwiiOYWfxe3F2R9SbQP+02xKWOFpGqP2pgfI+tibiS6POhGD9astfuCg+NbtEn
DlmCHlUdOSSEprkiTi3IylMcjxGyZSkxoJbOQ9W28iVwQn9yOHsatQ5pCwXWRWSd1Cbg6+yaPcll
J+NoofZ/FgcxFPDTnZu1nHwZKmzJfIBJwYh5ohEW/jMQbXZ/VtW8xX1G6QPTy89Zk31CZgmhnsHA
gafK6m3t6cOOykIBa+a0HNSoqvCvnjprt/o54pKnXkUN+nG9lpU3r/2r8dvoiqv7p750kr1Zopw2
Bq4OAlTd+MjwKLZ6wfBxvIdGvwkaMz7EQ1Xuraz2Htn6G2tVyvV7Fsu3FN7pxgeXvW9j81TqFTRb
cBJrLarGQ2Nnp1ivrUezNKxHKQLOrI7kfUWfkulIYfKXs6r8IXxUFGsfojN4TXiD+y52j2hISsjh
cSh1r9hLlpesUFGQrpZhtrs+bKoVqKu6Rm8bjsp8mmVUmfO2jbY1yiCXZmK7iDMRY5Mj3tZyGq1b
n3ySAugh7fSHJA3ku+ghxTAZmvgWaDgCxEDpyD0ihKhLiz7dUiLKcynmFVNFvNe/pdhC3hbbe7PG
VywA87IRfeKQpk5616xXfNWjB5sy1j3V1ikm4S92pL+EyCHcirguX7sJBmpASLtKlVe+oqUH0xsO
EJJBbM7dzMseHaXMHtl27IdQMq82kgZgAZBT5Ef3NAlAPuXWqG6sXJY2/lQNHPM+PUYeGAzdD5pJ
7ncFlLDcuqVtrm3P6852HZ7iorcfG9vpYUv46tatgvhTK0Uf60LqHv2h5K1EuJQqaJmsFEmiYpRq
A4qUwxe9c5u9AVjmiRqwr8ub1hvN77Zk3rHvQX4jmSqGpYaMvar3x9gmBaHXYfos+sB2XVu1QA0x
5xoYR1l60IJivMiDpO8pi4SOD5YjMbR7U2bZBm3E4M2qumqFU10Fcqe6tlanrUpb7SiEDNZFHOQK
j8ClKc70zEoOZKWf06JBBl30tcZU+DO1fhNrhrUbcCVbQ6geLoON17fnqDhCWkr8EU+mtRNJ6RpB
W+sQFabyivdYuOk0BDU8XTIe3VhaYxI1nlpzeodK3OC2hRQnK6kJXwd/ylJT3lXLvv9hDPUXzWzU
D5nngLer4+CAbEu6MwEMm/0DVqj9g8/911Gv6x5DdV/ZZHmkrU3U669aUrqnoUKwflQvCPkihmLn
z4Gsb1upArcwmJ/1Vosvxkim0vWwHbKyPL32kBS3XduNH6QaOwdlz5VElVZpqjl3axMZvXkX57Bi
nXthKPdM6k1wtLQ8tyQm1J0ViGJ9v/QNpZVvPaVSNmKWGFDCUT70CuqWSx8KefkG2uOnXGannAPM
enXj+HscNMp3wylXY9ZUlD87ZwUVJX1qAkROe0fG610lE5e1EhS+yMFJNU0/pZh35k6o31uqIXc7
tr4PtpJ+qhvF26p62x31sqV6kNf8nbkZhN42faotQ38pGxtsFeg3q7XrW81tBaLboOmMLoBvHtXZ
RoymLm7m/lioe6mr46ta9MaqBbpZ6Uhsmu1JUerqHiMg9DJmsDbNwOjBJln2we8Kb2uDCNn0cm0+
9OhI7uUxzHApdkxc2iAZ1X11ULoq21tFljz6UAsRc0u9b4lnnoq0bT5EcUkuL9G7o5wmw5Pd8fco
IuRgeDS8znmV/RrTF0hFh0DJvRekgb/GDrJ6VtIONyznw21cNeFZMSrzsbYt7jYRsfuaVN13R++s
pxZPGO4mESEvZbP4kuY7C4e0lYKT4YvWDVfP6ZSPipEqm2HUjCvf+uyMdFK6s9MA4LyPZJ6XYXWV
Z/06qazoawqlZ1JWqO52iBqH1ZfnPK4zkvlhs8tbpXoyfS1HbKq2Pg2+eR8rH6JAYl4VMwl/jEb1
FeaX+mG0bG/TUfq5hyr+81YlyXsU2xDQCNBp9Cm+SE0EmV1TgJ9p5Q3V8vxHq03y9DISaoOBSlWe
PCtyaX43ImNrWZryJXO6Yo1jVPIom2F4kA2rOOaZGm+bvInWtcsXVW0M/TAxkO5B2WjrWkkrrKR6
wBGA07jlQ6E2Lj/xWQabwHNqPLDL8ti0rAbWEJJAaRT86B8jJMZeYD9ayB8ECMIVdbZV0IJ4ULPB
Rc0/sy9eCs8x4ZM7pRDj+cMtQJl23h3tauDqCrulEHfrhyIyhp0TIB/vuWa5L9zSu1pqnhwweHfO
ThaFR9P37VORBz9ME9kYuZcuE9YVNQUV4fe8OIqW6BeHbopYwhrf/BJFWrtfupYw32ubrRP1XGQr
y3hJ1HRdjEn3lE4tvCe/aL46XDujwcjKV8u1BgzsKJr2IJ8p530dVT254e2W3/FA8dZNViV70Yyl
Jr/HKvhWUyfFPkWILjFIRR/MoNS4gBLiAowxgkRp4LWbYujqVVRp9qUL2u611Z/7Jqx+QMBbc0EC
TBJ8UjJbqHAhH0EF7z6G9de0U8BGOdpfDerZVlKjdR0aD0k13LPOd05edzMg5q/l0HzKbA9zQeqC
9rrFXH6CvYFXTqbe+ZRLxbBOvDHf4XXaHA0NeEHW28WbajnoXmggc0XT6dN221fsmX3V6lcWdxWP
KiSLRxti3apVjOG49GVj9LXpLes0Dm73KPoj3X80zDKDncFFet311iFGYfAqBvHe/Qu53gRobYrw
fFe1bzHCIKcepcM1DscVO/jwtWtjXNrd4dW1snRj+9VnAY1E4UxBrEnCRkK0xQGAGp257+1zX8OU
nhDRL7CW2DbaR8VproXc+GdNAq0tufz3clfTrwy17W5WnkpP7mA+8JtOPmUNyr/Y3QB3mZpO42xd
7koz/SKZScDdVNgPxzHwnrCySC++8z1LwvDchnp66Y3yroR5dU09xcLjVIGrrsivcunED01WvuQm
kiGdnd/HLv/YWoNyzYxMuUJ+NbahJJXrxvPDRzfSnvJCVs7d1BKHcIh5fXZ7EnArGzszrLgnHFce
NydDUTGkNTJ4C7HF54klsWXwi6+j7l5iW/9Vye1g5WH88ZC6zccm0MzdkDY934FY/zDEFX6Kg3N2
jSDdFoV70vWoP0TsHM6ZYVj7qsZAro/IBVjUj/LEtjZemxyc2nkMs8z5AcSnlQ0oh14H5wJy5bfe
1thZAwP6YMIEXP8fY+e1HKmybe0nIgJvboGykkq+tbpviDar8d7z9Ocjq7fQ1unzx39DpIOiIDPJ
nHOOMQZ8TAeT3yEyBE5cJdD7H3phvkkNFF1Q7btFVUKVG6IXoir98t0K5PuWCfLJdgKopQy+sC7s
voR4znXoDeUCdrfEqLgyTewk22wJ0ZhRotPk5iYsA9yice38s2go4qr7ooyH39Iw7gr2n6Erld/1
7B6ctnEjDuMUmzfoVDMRJfXjNEJhvnRj5KmgS36mueanwax+Dc3qzoRnnr0XRPdg/oPDktnmG2Ew
ALCH5rtZWezUFSRz637Wnua6+QFwNDiyllOOUdm6WTDEv1C4GN0hrsJ9rMY8z74enqep+ZbFDUGk
RFo+B4sqwT+F9C9zzQlMTHBEa6q8IMRa7YiLgUKsTR40uYYfQI3mNy0nRNHRWudrXze/OuJ+fuTJ
8BgvFjimOlcvcox8jVPH0mUwuxwqtuxXmXbGVy2OGzbbgXNO0RF4sKLoxYaTGIU+5UsTmco94X1f
RK4e65bFR9a5lVquHsXmfoslimXIUOO2SPZzzqpZnlGnyiP5pdIn25Vjp7vpEe/wuyIwUKkpg33R
AuEoEbLzYfya9qub9lSuLk7n14R08iOsl4GhWZcyNB03xZa1dwqLRQtTdXu/FRprNoh608ctWrkm
lH7Ij8GiB3AK9eke6t6B8DW5Hr8ROWp+J+bimlhL3qtKazH+u42cTuZ3i8bw0Uwemg3FZVKnyGW8
lcSOmNZDXus/xz6ov8pyEu1CtZ1OQsoKkL7ZwGTm6kOk+/wFLDwa0VEIXQ/BKUKa4L6ZAAhB3hf9
iNgVlnPtvJqOWQN71/NDHdvOW+6AuG+b+AcGNN1DV2u4a0BuNI0vGIcFDbFICRZiSRvN26L88ql4
a8riyYMjDYr7IXadaNXzUENMNMPc7qZVtNzOrZiumWWnOZXzBzWvi4c0NlDbTevvogU73BX6HtlE
KwJPLPahFoLPQDjoIahVBePlUh+iwpmfg7pBun6lLZtQFVTzufzBQhOQKNbzcSnfZgcDl2PF2N2s
sHpL1Tzxg7DST6JWl/svUtux/Yyz5Es2PorSQK3rS2rDMRz0JXEfUG50J6cjag0UbeEPuQY4ZeXQ
BIah/ySqk4Ugr3SW+HBJgZQduNHySRwaTT/MQ6JcRK5Q43aPhPQxi5ADcwyTroj43jc1PEpS1H1f
DJXwM01RTkYUOC9VOtxDdt59J3pt8gC3jHf2HFq3y5zHfmh36VerDPcisFlVwFgpBAqh4qdZjC7o
af+7xWLQRce4NM6AD19VKVZvwE5qfqm10Y9MegMQMH7T9FjaAUA1T9A7Frsm7g23AT7JZq0wvAEZ
6+cSGsTHGVpYXeqM597qWNJr7XetNAgIVJt6l0sFIGf+pTtrAH2qTK5YC9jwdQmQb5u2+7qNzgoM
CZfFcdovlRndEJIyPbJV777k+n0RFvWrhZHzmREGqIJSU02D+yWYn6uCpxCa2eCr4VQjOi/nldsp
UnkY7Nq4QZu5AP+JBBRolCdxUByoKtoEmizWhkPq2UA1/bCesr25II4p2tSjTVyjDM/Xeto4K/3D
epFoQL4dDUskGN7xWIZMQORi9yGPCIyWOBBVl5yD1Pl6leTozXupTErgyBGPXDLitzgNkMqAsPVN
lBUqmtafUqK2KM2P7aQSnE9pF646S//EQrVRa/QbyRmTe8IxDWyXabKLQFLstZW0YBmT6G5tS4RG
4lXqmO4NgfbY1iwCHGJlLMDiVrc9USHJKqYClnLS5BOdNzyJlIVl95py3lN/q4Ux+c4SQ2QIZZaO
lmvCTfgrLzDayUFqPsPbnR/mig1cZeoo3i6QYlhLXP5Y24I419kXrgodEhAYrdeJMdc0Iq57c7mH
fnhkXoXVaDSgsdLXiua/K8QZaizfJ0PyJbI6goriRHuN4Q47iGybq+or+x31UJd408EL+gvq1WeJ
GNoHqYsqr6yU5Ff2r1Fp+k8D9ARq8mw7uiVWzzGReXvb0uQvQbo8SSF0TVowvhYL00Xb6QO8Ln27
C3L7Na5lqwIhGSFpLslaelcUSXTRsqq95930J6kJvw1yQE4UrYeQrcIptuNvoiiP6uoY6agL0C8Z
mGH1E7mC+C5VYv1GLcoeW+XDaPbTXSygtkDSpjs0b8gTPXKGyNfMGWyHCOEsiNywpTcgaj2lY4O4
Z/JYzjPRksMKGIlVSKD1yqmfLSUeDmqIQlAOeP8hWYPq7Bl40SjNBaQFTN7ABNXXSh0sfyx05SCU
0GYoi33ZQpdbaJ2J2mltLK+Nm7Vx2xIir6ZTfO+UQfvQhupxslqITlbG03wK0ILNsse4gc6UHrtq
VtXWWVQS9Uw4bovnQNR2o1Ocl7aCZWs91Rnw4sBQ67XBoL3mg5Ttu6zNUOzgrUO8mO+XsKl2pZG5
qGQyXzm9cQPWEoXMNSvmMFkK93Bxjw+iKA+H1k8jm05qrdwzJdAgWUnaR3nQfT526mVj0luLwjDT
LpXljA9pmHqyCbIUU03xMrFWe0w0pG9F1LGWBV+kzpbv9DXuWKcD+lWrRQeRncw4PYtTpQnmuQJ0
rRuBIMJavKS3sqbDLrzlc61bfOJxoD9Yq7eKWMsrACPQaMsWWh1tksw3Bga0V0NhEoYTGduFliOA
isOzsqro1xL+VqxS+jcDPKgVEhJxXUdMrBY2d9ochzeZRSSW0UbVc16mOEkXM/zVjr+7toL37j/n
6PmS79D0bu7kptROcfo4BE7zyLau8tCFaQ/XmV7kFYeIuG6tdnRrYlmyTL7Wzrkv62a8FxGo4oDT
DnqlVv5TJmJLRbuRqKv9sr4O0S4o2VqqWmswwPCdepJELGgRdOVLqBN/KlLxe2qrlUa8EnoiY1oF
S9eNvX1fGaXD6ikcfmS6hTGhVb8kHfippY9LltBm89o3ASZ3GkwWQnpwBIaPUzqWWIbQxZuNWOOz
txcN9ECdYYYrpLNuvcyrrDYocBwc2gktw/yaEcX4JpKjVuo4mdZWW9NO1203iavsICrgyUe1L0MX
s9IsxEOkJ7FeFQ+a12nfaAOw1PW5inJRFLfW0/XRi6xBC1Gpr5LgTtBZNwGohlSzbsVaKHb06Bw4
iuOJrGq15a6FyOAoFkHahIa0PoMBFbV2/zvXQ+VVqZ3lYe6N5zyThlPhxCC/sxHWMVAFJdZ2NIOD
91TeyTheGu1GlIvD1kxk8ySFAKktam+rgBIyO2jxkrmCCDfsg+EOB6d7FUQVZYITl29ljP8bqmNR
tlXYEcY2k4h5byvDaCufxiT5XsLrqTiu3Nn3eod1RYSiiwh1EbAeA9Q7oxd5EUWiUpSL1Ai0Avoe
YCAf6J/fzxBNcrWMNHdrXa+txbW0odg3K3xN8C5OQVafNeiiN0pHUZ4KfS6414j/Bs1G3CeBshh3
f8EvsBwmNFoPvR5Ob3q/HK5mSULOvTBOjbuib/SLpfVEtVcKOkZWeLsQRfZFjpbk6CwAA/XB2bNA
km/ivrSPxTzKN9IQ/q8UW2j7+Ld2oRHeduJbPUM1NT2y+Iazp7yVSviQxILEWv0SgTEHJ7EgMeNK
P4aB0nqidpQs2Oec6R7xLRsuM74VLCcBxa9Z8ekAQtizxyQrPixTkQxe2yKzoGVRvEJQCP+XkF2G
yy25FT9hxLK0zxzmFlGrOXX2EMv5Qa9C/d7AGXZlQJ31u6hrlds/BKhkJWIcbkWlmkEBPsOxdsBS
0D71Tge4KnMi2NTIwuDUPZXpI4695lGUpF23fs9htxd1Up5DVOuYUM1lqAJn+tcWH365G9R1E2Ln
4UmA/gtzkfZKXPQgUnGQWGkAk3ina29lHMGCFg8vtawBMDeGty6otTdrXAkGMy3ZhT2tmqbrsSiO
Wv3j+knHtC5DcRD3weO1uNC0+7xW528121Q/yJ36ZumRv47q5EEujZv6D49rtvIXGItTXJSglw61
NZv7BCfwNxsdyBGNaXOqtH0+317VDZMBdZgeYrOkyY1bB4SqXyaJ81rqsB713AAK4S+CWAmlKHwh
enLNrXUipxqd9vreUpAsbbn/1KmKoSMRA4mQUGDSZnPyphwhzVo3EaDsS+vSN5BarUzj4jCyWv3T
AgQnEpXw//Stfm0hTtquIU6wJOh73q8xp7r2MKl4DxXgAgCG0rOUKMpLE7fLLpCmYo8BRIEtYq5P
hIa0nqg1qym9DEPwGqW0ldFHfFGsnagSzbumupcHK7u/tlbgptHgaj7LgRdGKy8ReotuZ03Z0RL2
hdoAGqv0crs3VgCeth7qlc16jOzphgWVJ3L1SmF9Ta2Vohl2vOkGEP2fFmt5Wse9GxdI4c5xZXt1
VMNGLyO1N1gEDMx28x1aueXOCAv5OI/OSz9n8p0oskArTL4RJQ5Ue4nBfDMDXamH1WBQPaIOMwNV
rGQ5vxMDYJlL6ZYV1qPo/6IIxje4S1X8Ptug+ctJuEWuY0i0cpC83AXy1O3UAtOs9/86IQqW9mn7
le2X30+y0nI4tjUT0JAX1VkHCXpuzaE6i6wmq0hOF3Hr4U7QEWueWCC2c7Ez6Xm+gXraropgEsFQ
65XAK/PdyAh0rVYbjuo0qRbGyHi5SM6/15ymz/mtPQ4nGSPcPlRzbn/9oouvt/j4G7GSu3Xe8LDf
K6Zx7C8DE4ZooWcQKMWmk+x7fFsP0zSFezqb4i0yXo1mzqMHUTFrxgMqrfGNMjvxpczxuw9z/GC3
iXRyZAgRY43l8bSWtXjzFSd3vAEGHq9W29I+w62A7y0vu30owyfrJ1og3+UrhCQukxuLRQRUDlrh
GiF7dT+Ta+22laH9Ba0WDIjxjV9LpqZbHfCxb4YZ/uMKAh98CBYW3LS+iIOEAOU11XXqwQrBGKqz
PXkgsZvLXBhYVKIAiExcQRRpsZ3zAW81ly5EMwcwEiTWg7T40dTUz2pbI/McyNWrpGqJF+p681Ya
7ARZ6HZ3aRZHXtQhzJAQ9kboR09H1mck323oPTEc4UwKvs0IBvmjrlRfpAo1hbr9GRjB8qB1unyw
IcrYE9Jmu/ai93epYz2nJgDidqqqQ4GJyC/a1IvCcgYzySHNlWkvx4ieizKEp6anPJhesjKR8Ukh
s1oDxI2lhFhDuWvae9b2VZhYxQ75h34X21Lq15LGbjOIk+shapz9ZA3B7RygfW446HPJsKifxSEj
gBi+zry8C8H9+XKfTzDxGM6XGlOIq6RNfqeGRfAlUfIDRKshyEam4MCJfNEq1LGsDKAdXa1E/DFU
pvI0lHN5rdUB7KDClEwsH7hGkyq2a41T7eZqpnqWkhfnELL6M3xTf1JbmahIyhWcLaotlVA6Ypho
Lg6i5XbiVrY1ESmo9QtCEq1516vDt1mbTExtMVcpa/O/k3ihuBU7Jrp2WaOnRV40FSlRJs0dQN9X
IMfdQXXi6uzU03Ayu+pFCxx1v91+nEaT18zwUnUlQYiTdKOrq8QX4QvncQ3019ZQcHMxfpWKWRG8
ERmuY4SSx2TRrTNGd65bGyPflk9aE0qKoshPI6EOmHlREGxkfNgCHiAuOi5q0v6jrJfGE4fXuCMG
5Vwp86XFo094ab1r9KiHdK1PjlbCui4pif3wjKUAM2CGFchfpAWK6xsRj048YnG4Ngo6lVdyTYti
0X5ryr7QPE4SqmHpUOTHdo1TnhUjz4/iAZZMrR2wSl7A2OP0RdR0fexwRBSoWhVa/TBrd2Pc4yNY
y7fHL16mKLu+oq16q9nKRGo7iPeyZT+162OZd95FZnDUoWVAwwJ3Pi94ayaJXiHyPVFF8/WmMyI/
Zw/PTg0rTTYQw8odb4ft3kVZ2Pf2nxNFXjyZrbVIfTrlU/bDH9/OU4aGm0eOkJ1rOr0kumYvO9ED
OkvNFm8A1+9Dq4EVqjOmbCdeF8bu4ry96C0ryrY3umUlqSIgbXvhoubzeY7t+EUFZCoO1ZK4GrmS
cbF2JfQfHBp8dPTnXGoXTxQwE3V/knpOaDPKLC/zgFlwKs8Gc/e5wX1P51yT4oDybP0xn8dQQvcd
dKTi/WyP68MwvyavT7dozN3gBDtL/TnbLPaHkK/2ekjW56Gtv/O37N/KxBmiQpy2ZUUZFrE/l5JH
nMOyNP4eUuf2OlLFmBSHfp0IRMoSoB2RFwP5b23+VgaVBK9lq/n8C6JGXPb6C3NObGBTJx6RdliB
1r+9vVMxiMWL/VS2ZUXq02l/K/s/L7Vd/tNpkWPVmGzCwY3XOTKW0Zz8k1zzw9qDxJz5oaZiU53B
bUHVnOckxakif72IuNL76TPhFqi5vReKlDrUy6Hts6O4eA1jqL9oOwm6y+t4FsNUTF3bR+FT2TaS
t3Z/KyuVFbkhuqJouF1GlG3Z7TKiS29ZkbqO+K3w009tl/nbLw2KCmNg+JppHWzM69f0Ovt9Topz
PxRev8SfS0WDD61EcmsUxfWwXCfyUcyxH35LtPp8VVZexWkIfm6ThrEGhW3ZdJ1YxOwiykRWpP5/
24lzxWmpnvlLorbH67S63fp1Whf397+S4n3EYiYXyZBQJwJ4vm8PQnxqRN/uFZR/tAHwuxyGdGYx
hWU41LobMUmIfE7Y4hpA+T7F1SiN9N3rNrWKa/11ul0/1NtAE00+tdvGmKhIQkfCvz3L14/8p3H8
6dwgl7BiyefrzZvFz7mSy9O6eF88yENgtBtxXKhLttcxtJBGxf4/i7UPy4NILDDEjWwHcddWmKAq
ru1MnBt78TC2mV9kP5Wp4ikSvSYWZ20UyTsxZguRtAmPPupYvw7SpH+bCWxfPLHaQkVIAu63jnrR
PHD6lzGCVTVu7Q9r0Ovdi/fYDor0Z6mZiQXo9Z2KBahIXjvz9qZbZHmloDePotNA1pf50lLMkIe+
PxHxj6+vUhR+yL+/RuL5tGaZTltnuvax9zWvuLz42a23ipQoE7V/y4qyv10qU1sd2hRfX/f24uZE
0y4t/wmJhmXPUPvX6Var2eFBLOAQxcsWLh1mF/qUf/t1dSdmIpFCNeJjtozyfGfmyu9QU+tz2mOF
JDKvPgcwah6DGEvD3VDbsO9E+GAUaYEzYaiPHz5prIr5um1fSfFpnMokXbyxLAG54kdwiT74uT0Y
kRKH1iD6Xyu6fave9wno/e0bLRHIvCdS8SIaSpOh+Oj2sg8CTs2l169yRlThsQXqBCMXscYIJcSx
+VS3DlDyqT6IOWdpMpYyJQjy3cAjE71XjGzH6PkYLabJPr8Pv0qw1iHBWeVu37aGL5ooLdz+0CDy
Ab4e9Ibf7ybFF09SHFgLwZ1hncRdijdznapmBHJhzbOfRVmdxI6LieXBNOZfEaiaE+d9ejHZKOX4
xH+JIZ6V0U5Jho4bcTx5Us9imDROf0x7TETLMt2wUMqxyqmob5Y/+GKkO8yNsMmvr3u7P4m45x0k
F9/RQ3oluEPatUhGLF6HDMUpkTHXoQmWuVDZfp0cR9sZ7VyfWejpOzrAP+LmP+zqrgvrD6XXoSaW
21v/Hlu7XkMlsCy8r9m2p6hYKZ6RrjuK4XV9ZOveUvRtcZFPc9B1fIvCT6dUEm7bqIIekb34jNgT
kjdiYRoU+1KHHRp1LHyHiEsxyYP+cvPR7vfzVD3qg44diChRYPtHY8wfcZy5Clw2eRjcmknq5Uv3
aOYPZexYO/GrKZSeq8fRhS59H1bsu+lBdJZ1cEEr5RpGhXCfepTKlu1Jpp/0qNGum9TrLva6shAD
UYzzbXHwqUwTuwXR5pr8VC+y//cC43qO6Aa4b/dyWgaHNh73oMis63bp/1x9mFoD73bRHq4TrcZj
zP5pusg4bH21MHWPmKHxKIrwqPM9EXPKNSlKRV6kxMEMJRqFKFiwfhz3urpAvoGej94au23iuC6D
Re99X3Krpdmc0mYq0afF+vFuhxDdZErM0O2R9gY1k30YgNssKgbldT3jLHJyZE7BvGh4Th5NR9Ej
CYCZgRqoHkQTwUFRsr0YfuKN42lz1SG2j6LrdctwbSB+O8Po5hdls1yXiuLOPv3u38qi3llds/Ft
N/Bl9qrJlPdEcd1fp7NmHPZwVz6I2xZXM9uwPOTdH3OKuKI1tTImpOibGhXKsrOkBW9+dljgSRb1
H77w4r6vH8rr6BFftetwEv/QUNr4vDybje53jVQeN8tHPmiq3y9K4X5YEMsqCpiVrhfXbv2hC35I
ipvX06L0w07rTbeFBe5Y5hYfCWIO9llCLxTfeLH/bVVsahLe7LCK9+Auu1MyPNdLbB6yVt9rhcXa
VPQmq80igDcd1Ondj6BZNUjqWoVtft1ZixEhfhiZygXHD8F4W/cTHetzF23H/ikvAx952uPSRCvy
7j9Wqw9P8PpE14+/SImnKBPo7bZTh37u+7Sl9+Xsl3XMtPe+UiAa6Tzo+RszPbYgGNbWJZFRmPFx
IqAA/UhmYbEHvSbFQm/SIxN3w3qND8klqDAS1EGMkF981GG09EVr0YOjsObRinwHifyKersuccTv
fZh0tlHfsNzz8ylUrw9JPJo2iju/KlTorcWu3sCQMNfpaQAtt3h6ok57FQe2GK5a3j0bekIgzPXb
P2JCQJvi24cl10z42i7tYf/C5jybnoMjGFOv2vIwTBTB1n/451H137ulgSFXrEFFtxSPmbs6R3Dv
r4oCTn/Ynr+j4EhK1u/dVnZdy3br/4IcUb3aQAql/mXA573LsLOdivxedAnRGyRnXhjWozcugISO
6LcQDcSMJH7ZnKx4F1kwPX4YNSJ5PZSGm6m1dczXHoNFztnVqN+cKuiL1wWs1MgHTQEMNM2Y3ZGd
1697f8PKQVNGMquydZITr0Ok1AZWRgjr32fS602JumunUVJ52YmkKBQH8dZESsOX7QX/2l1uPVZ9
6eMB/4pKknrd1NmxXhCuJlUjQaF6gPrW+B+bndV30qG1ql71RqgoxZO5ruzEfKTXBK4fRfJqqBQv
/5qc7DY8G/qPLsjG07bXQ/GAhZhu1u6nTeDcBZCyLhksmsryDP4z34XZ7GZmTtgdJqVI/q1HLxMO
z+N8MNb3CLUPQQSin4hp6/qKLeJw3fSm11fzg1gDrnbUbD0U62GBBG8Xh9kXUSQOen0zoAZwEs2L
6MFxuOVsXQVP64g0uwaxifxVXr4P0e3U3KtAQP2k2A+Vfj90GpEtEm5VyyI2olUmTzGBubBYCLP6
qBMPDu1m5OoNncfE0bdjs9W7UqOgnUk04b1mm+l9v2jaCZ7Vh3BV4oqTYjkEUvyLYDbTL6RB8p0a
NuCQwCSM+VaLqz0sX+BONbxOb/5kqwpnFlxEmheHhg8uPzsnvR0dNU2TDmYQ58BrcVSUi6099lVT
8b2McaCuWZR23mLVaPbqEruIhAYPy/yyaGjlFcT9PeQZ4U6yk1uo8eB+G6SZCxKY5+xjIIvP6fy7
JW76oRoq88Ho6CtS1vRAt2OYmu3Y+dICYfWJupWZ4ST3qgdahwFdagaHKoVAMbv5Fp3qm4LNQytD
rqLCAhBLsk6cgnGxk8XhRv3YmaLd0mtHKWySb5X+tmiRfED21/TTUXpS0hCOOAncjNb6RVFpb2b0
dQA51K7rYRSUkApYnZrI2uL4/92O+QH6S7DeQ/NbQ1ZO8hKFpS2Rlj4Bn4sPpVno1VlS+8u8V1J1
Oct28iXuJ0BNOZJI8LnLbpOU497U9eR2UFCuXjV9CslkrJbmpQhDt5qZHHvThszfSLqDgjSinyWV
hnBxWJyKRXnhfrTzRFjB2QlwPTL+ymAAgZmLI6FwErggw0FgreH3BBhRHMaMwOR6UQfPXK8gLmOJ
1nb3aylAKiDZnr065fepApgzO6P1Grf1F0PtwI92SX7fjRMRktFiX8xxLjw9Ntrd9oG/bqMgwU/9
BfSD10OuavVVcYHLzRtDHgLKvzfq+kq1lbAitKLMF9/tXg8cLze12TN7Z7pkkRJ4AXSRvr1mZU1+
AJ1QEeKjnqQcLXhUD3F3xeq8Q+RH9doUWBbQhZ5o4krZqwUckguyDfWhcDI3s3sFvcy0P+bVAAV9
PKV+2Kemby0NMFM5dlHwDS/boQd7dXaKnCA13m6t4zNjf7pizu7mwFCQ4YHLbZCaR4QgwPE1k4ZM
mQd7d+ypjhG5nW0+On2R3OBdCVzCcomklgbwCFabYtt+DDolAd0xJdAhXrqRaNvrYdZN1GLLhyRT
DZS24i/dkCGc3VWGW9v5KbVSRABCC11UFEoIq5eii12F3eOiN91jmzS7YYCUTuS0YlJu81E75VWT
3qbrIbOgxW/mh6UEzqM7E7G44b/EhhSPy5Iem9KazlOq7P414BQloMw+Jeqg3UCIXx8h23enqS49
IMERAswG3yA8N/vZpkPZkGP4elBNrlQvxsVohoNp5e2pGUuCyvjw3YjUdqiCGKSQlu7MHu3UcZpc
G7LKh4BcF8i631hGCR+v/VIiFkQkQ3ZxjLLxGht2XWNJnaNSy60PBSHQRiMPz5E2eGFlSz/T0jnb
KI/OUHZ0chf8hOA+JQShATNTzp1+SJLkoJUlKF2jt/9J0vhZKdHQlJZwQLWuxalnwTUwImEBwXIl
u10dQSW+kuBLRWUc0eDDVQWTn9eVRYizboaAMK5QqzSl8Jz1oVcUy7emUwI3ywAXRCPUpbX+rBtN
9QIeFlC6Awi14jXmvRnurCDQ3Krvvw1BiZpRln6TmmQnm1MNBUeMWSDtY/62c1sl/Xc9LmMYMwKU
ZQL6kmnic48L8zTVEAvTRctTmqstMkXOU5R393M/d8cekJ83InFwC8rtqR5wQkuS4yb4+S+mIktu
3hMVC6p3pQVgnsZqInsGQrBdKllealIcazg+GxC53b+dknsKGz7QaYSLJYF96NZ1QAuVMK6FFSJB
EMTRroHAOcS7wIqHmKfeIQmZyppfhZHrJFB+Kr0FaGjtjMSB9q4Kaa9H6L3jLnX4VKv9fHDyrnHN
klgWFS3ctLAMnOI8PqXIX4mpz6GWR/nO8Ls87VCFmh4xtU66Zd61egBTYQugB07t2FVVY/IMneCz
Nr+ztKT6EkndTwU4201AXn9l+cu9osFX83frgMms6SS4Z1tpJEocrFSohsEuLVzcAm4h6cZOaEEv
2n80ogeQir06waDQtN6Q6uwC08rvxwGDaV4yZael5fUSsG8JQMCQ1aqry4rxoITmm+Poxllqa+MB
tfHfg5y0e8vU0TVMPa2O9WOTY01I4l8jjMzIY+RvZj02R2N+yHVb2esokHi4vximRDy7II60c6Uu
qtfJD1lVdR7ToX2b9cqPeJhhg+gTgteCNtuVTZm8mkvAfgP3P3YMBYeYolW3iol+dabYJ8JYsVlo
c3i2QGPdyopUIyEP07EyAFdagLXkmIVU5Wle6Wz6vrlMZa08FVPYnAnN/Z1CEFEa3gT86tCb0kXJ
v9eNKb9CrDuforysfVORxkOqYHw0usG8s9ZDofePTV/flEGkntomAtWRqjMxffKPqgotYDyKtusL
nO2Qdrpyk+IoJ0juxmihgTCkhNDNJvZqNO+9TIOoVSsLx2Msg8g1zO+RYf4ogzDbp06h7BzFHvda
0h0Xsyo9Y9AjsHjjRLBHV/t2PjmnvKkObcOqrAHEx07sKEHrfstiNfASdX7IzKlDETvt0QtXnJ2c
wJACzLq7tRiJx1oyX7uhrh/NSMIsNKl+BsxmJ42oey2d+pYi3sqXbSZ2UifSTWvSdkc/aM5jZ6bH
sNB2KpZRKTTUnZOpz+U0LDcqolBuZkzyYxbiZw1K9bZoEHgwFmmkhyF6l1VjdLbUX9ARS5fOyAL2
jTLcG6k88RUY3oDNgumN7TOh5WggvB8Su1oalp4Uzg6cSVwHUPnyUsRfgnEeXK1N5H0ehNqtMaPK
2s5j7tnpnRy1zsMyPFY6MbktMAeCa7HaIDrhDzVvaJm0fs+SIivmDkJ7DY00tIX3QK/w2RmoTg2R
/Wyzdi0lDKJxC72Mqr1mA4Lt/TDap1X20ieeQKITZ6dSky9SYzV+VkuVa6CUw9sJj7HsTQ3DbkEA
zVcq7caQI2NHWI8Hvh/Zz8aKDyVer74tJ6AJyu/RGfV91vfSGXGo2VdiGyrRdp1mEzV3c+cbARJe
qxd4StC79/MB/WC5ZkacyuaEVgjoJjS6WB0dU5TEvMwon5U2mf0cy6zl1D8SRYdGCJCK61TDnYRe
WKMFYIXN+i3TZZzQRXbbVK19h+SdjbJV2u2jFm4cdLsIp5THirinXR0S5jaH+Z09NQCsG32szvOo
vRpNNHAn+gTU36wuCzHGp2i2CKE38vZZUczmOWXdK+dqci+KBtZr0HMjfywqhyodnwIDkp9ogKnB
SSQvbO0JExVnGvm83ElK86RPffNM7JO2c+aQFZUDSCNUinRfVhKaJshQ1FMfnJjR+GEi5dd4fOmm
Hyf50iYBQf12DT0Vr88XjUWZpvjmpDkEg4JCgyj5Ueuk5mQbFV7fLuORG20HAUedRH4XNj8ms4Bf
e3Lyi1kPluxOcogURpk8fSgTSSvLlrMWlWeRE6cxyNFoMudbZLVwXQzjcADoID+Zcjc9Wb5Ii4MR
tvDojpjutrJaMf/pwyC5dYjheqpjeYJ+dHzdGoxDF/pZAwHXVmb2+19IpRM8PhADb8tycFad9F+I
GMInAqHCpx5V7H0KHtvfyrSmBrzWErhXqFlMJFhjH8bAbi/ijKXUlgtrrYPIiUPXjliVZ1Wnv9rh
k2nbvmoV8cPQQMehmlp6UsG4PJVBpt315nwvcuLQGnDb1qAOjiIrF8l8mRZucm2vqnX43PWAFlBg
tg6iDDRBfw+E4cAqfm1Bs/9h7Eyb3ES6fP9VOvz68gzJljAxPRFXaJdKJdXm5Q1Rtsvs+86nvz8o
z7i7n2d6boQDK5OUCiEgT57zX8YSJyU4uPn7iFKk1bU2cDB7/wxGAMBu10aP1/fSl2RKuc5SxduU
7Y9CaeUDhFD54LTdsLHTsMbsHb8ZEPkD/jpKcFuGhCnKvBkTtqs2Ghhz8LfnOiPMtUC6PWh1TzEH
/7PVMvh90/eziHjm7QsfznXe6o+9ht8yQUDnyrk5yDR8LKKd2lv6Y0w886hOle9ihdEelgE9i6hD
NCmYd8/jlyGop8Sew4LXH4xDamnhg1I42VGMyB8kcRU+RPOmmKGllZHmZKpoLhs7YIVaAqs8khEr
YmxlkNKAcN+pRu4CKDSeCsxb3FTXiBirTH8imOs3psABdNnLCXL2M7XezZ1Jf/JjK7/Lh+LbMhaL
o+HBK4P3fXH/XeW0jFNQYultxeesiX7EKDZAkK6CY+XJ+p4Sl/Y4REG6CSCyJhifuNFYtI+12cf3
imTBP7eWjZPPrple0b/3eb6hQ2Bl7eFp+JHZ86bR8i3c7+j6/i7MkTY8oMfNslPFlvda4vP+6yNb
J7NW4EnFYenD1Ws8BrO6//KGpc/rIPgHMLjeR9iUBzJsKjdLczDC4jZ4sN3mo8ywzrxPlXCvtU7k
WsjnHVphqI9FAyRe1VmYVXYsHkl5icfB4drq9Oa2dFmhhdH6ZKW75Q3eYHXnTh++EhSJx6UriZw7
o+DGWFq2Ji0ATEq3WZqhxclSy25T5tG+1Cpx5xh1/2D0A0ofhfaZybF/WDaTHeEMYzZinjB/9hWO
7U65CK/vI8bcpq4Azl6nFrCLJAJ0QYtFtRBe8KZ3d4tiSj6qXyFm6y+cAHutGFl8MUoTib9AiB00
7OamNLjM5Y3mfBnL4GBMU/ED5+rjkCnhXe9E37xZi9khzD7LeWOV0luVsIrvdZ26SVnm9WNbRJ/H
QuG0+frEVZ4hxVFaa8UJg3UGNfkSr5YUQVCh4jGItNyqilGtDDNV9nblZoN2KTuBmFwVOnv52Lbp
xlG+gFM07rFbrCjQQjQfLJG/1IZz4N70t9JTypVE2KHLxIO0EahovtUJlk49Kl2IQ0vSH4F9yzrE
XwxHL5CG9p29+jGrAQ776nrENPmRr76thBVec56PU6w9APAc15BvHZaOznBnTqXYxKOJUsgUuXag
x1+6uLe2fRWRbsgzyq+m3OCqLDBxJOfaDIFx0uGK6lX41reaevQL+c2u49OUO+FGmyYYNFqZfPSt
nWprxHaYZeVkgV0nKtUXNZHKNohCSc03je+bUPkO4xE1mTJE6U+CsQy+cW9oL7k3XI22fDZEOj7l
daLgpVh+LYZUPcSzCQTrSVw2cZE8CNkgWYY0GsFoq62iOI6uGZQxMNuq9+r0R8+ykHrokvR9IzAO
LpUBXbGwmFZLOJ3oVYY9BuXCcJieegNdQ4n5azxk0QXPnYgI0co2ohH1do/IaPhdIu7hqkVo3WeI
ZMwFYIuwrfiuj8HwUo/yITZN/7tIo5fMtLGXStH/glpC5cEog5MoB+8ouyrZV8ZQXJBqz6mgIMNJ
HOo/itTM3BAA8GdHKs+yK6YfAuEZOTsfZV5C2RltAtzdx1UfFcmzXY7GegqDeo+SgFiZLA0wZC3r
6oj0IKGZr2JKEhd4CgZed227tnlqPKt5GmeKmJV2D0sr0TKWpIE6nZbmoIliU2hFu12aPeZhhwSG
wKptsvYptuYJDf7or08rM2Uba9K8LuNFKC0sas0CrT7+lGnE6Tboo2GzNB34oyf8NVg7znuDiqnf
NEe0i2gtG3zGLrbRk0KbuxjfwBFAoH5pWk0PJQ9M+3ppYoUznX0y+D8/TabGPIMt+5bjMwv5cbIy
7W45dq+3onVH8f19xJhWrMKdkSzF/Kdy5otLYmbPS6vpRn8dGHGy8kcvuO9wVrsHtBCv0qjJyDrQ
t2yizhNrMfpAPipLWY+w6fE1VP17zIHR3EdB9V5RlewoS+P6l/6lGcBENbtpPHcNSYLV0ud3DZEK
wPbt8v6e2g8YeyfatF3pXMahVHfVQN6x1iUX9NK5bPCWW3UqN/avLhKEziUHUO82QyTfP2DZu+zQ
IcYfkqT7hCv9Ra2KjoWVlutU0APr0gTj02ir0+EPfSMcpS0rWgQH5iGZVlkXUQe8RQJukMTd5/cm
qxOcitI+2M/TD0Wg2nSBdZSsvub36HXeXcjnL41lg/gPO5EkwWBubCi4LO1llzaO6SmEkaSlmnUx
5s37RwEuTle9JuRu6WzR54OfXnfbqEymC0q32hG2GhantJYurdL2fmdO1yEYD1AsS3R2euMZyj5x
UKu+t7Dz2xH1ebcmcIzn2Iy25WTlD8vISqSbKRmm91Y4lus6nJz3VgESF7eq/HEZiRP4qpqq8TH0
CvO51Vg4Gq3zvi+pvmsei9PJMe0TckDFc5GKrQwGcUt6O39W4GK3cVTfL/uQIEWjDO/suyop0q0R
U24w7Oohx+u3M1ehBk5Rt2ywnUpcUwagQJ34ch12xWM04WpXB5P+AKadFUOkzqnPsdojVZG56P1z
/XPpJSzu9lpHXmXshL/SbYyO9CIvD047MgXqqnWFgSTO5lDf6TN/Oh5t/9gPaHcuTZHnGrIyFsGa
CcwjwlxwQKjGRVnRXgdAR3cxMmY7ZfxSRVX4zSf+c9Epq68OyoIr+PwxIoSy2HEDvdg1moK5EmWb
Qkytm6UzuSXLTgV8cdSW0AaJHkvRmt+4Pg4sqsznziCn4MOPDZJY+QjAH54fXqXT0GYhOeVxFV1s
zTb8VYdDZGVr6lusKHeOp1ffUif6VC4yZCO+WXWKXR+JVX2PMdY3zEseTF8LUR0uYzACIr73dU+/
cwou7LkrmjfLK1uN9B1EkGjlwfRCVcl7hMG1Uoba2eFmPT0NeXPtnDJ/jaglwohJxUpHXMmVidKg
pieas6ZVcj3pEtFiWY6gBpWQ7Hz1UVrOfertrDSuQMSwCTGVgpu0zjNFwXRLz9ygSx+TEbJLXmA/
nhjtthV2sUl59rl+1/d7NfOlW1iRhnBIXm2rAdPaPvOC56yLxd7SoO9bYxdjllHukrQNN5Z+KIq+
ekJYijmmRbQSidXb0moc76VVhuZiSSt5HkNkoWAjQdiem7EStK4hhvEwjGQgG5+nZ5+oH72403fZ
lLbPGmIem1q3TLCRvfUYI6lLsmNeMVdg1LtbGmrJkzb44c6XXbKxknr74bd/+8//+Db8u/+Wo806
+nn2W9bO2KCsqX//oNnOh9+K9/7D998/mLqm2rYjDF2aDi8NU2P/t9eHMPMZLv4PJThNyoIDqlXH
wjg0scCdDIj+FZ+8AzLZ/VEklnc1FAAoTV+m3wwV5b6hHz9V6MAS2U5/HMEZGD4VaVCvsookw2IE
CVMP2qwNEk5l3YLGYMN1PO9drCCXvVMbE+jNHpK/Bjuyqu5RMb/akwImL+zDNdRfM3SxKuuowmFf
iaCpdiN+025k0zzS00q6X/qCsHoJ+0o7YcH8NU5675gbiXZ736jUmWs9uiytZfjyavkcETfsYARx
rnXlRBYnMGvypDtBi4xlhLF5qQgeInONoh5VOt9fzm0/kXT+qz0jateT9scB86jlk6f545c3Lc3l
1dK3NFsSqRvPIy207Fj+Atc1ae4//LH/6bNMrb91Wazufn3e+9H99RB/fQ8I4fW+0cXp12G9v+XX
kOW4KAgy/fjiGDmWdzf0zLuDkOlnO88tktpZf9Jh4CFERNGAwsnackYSSp4anWwUe06hpxOJLS+X
jekkLXm+edevzRSgiEo0XrqJEv7c8esjBkfqwfYve8wObAv1FHLnZTpcrU7/NuaOdxiRovZWUhMV
3u6a6kpFoT0ZyXgBXb2yOjhojf2JUlOxx5Nw2JIFGL+Y3VvcKvK92+7jbG3hurVLRQ/oZkpjg/T5
oDjnsC9zGPG4Si7NaO5bXr2PtIrCO2O2h4wI4KYTqqn9XS3L7wEwVtxqaHGBRuPKbLVwZP7S3jwE
G3/uWXbPm9DUa7eiMuqWMmx3eiOdXadHyUfLlrt2zI1Xy5GUhVPNv+uQVryWkY2uBsphr6ydPve2
6B7h8wAAr5oBT3T6uUv9tq9eTdtjWYOI0iHRjfgpVtLnOJ38zVSR28A4AM0AJSZZRDINBRLp6Zf3
Tps76wQ9Zrf0qdZkXDB2xmdvDFXqfmD3tkvnsruMnM96T4SSrIz3/xYB1aJSPFQt69ltKnf2aG5X
d5qZVVtmwfimJVmxxhKufs7bFABcq8VfrLR8iSnjvxVDQu09hIoMTolUtiIuhLbqRg557baOql3e
+1LD0FYhZNho7ONT05Y/d1A00NAfRUXemRquvmXc0rm8j8Dtmx+SZ4Pi4V+i6DzOOh9+gOiSh2+s
FhHNuboJhG5uZlnXBW6Vh7tJx0Z2kWgJZNgfvMjvlMd3URDhIK1BFvcaTf34hToHUTJOoyedtzzN
/W0R/uyP6vy6POr/7U/P+np59n/Li5EoH82APzf/c/eWX17Tt/o/5nf996i/DHrKU/797ZD14/99
+u1HXv1297h9+uvIP302R/DzCNevzeufGoj2hc14a9+q8eGNqKf5r3lrHvn/u/O3t+VTnsbi7fcP
r9/TMFuHdUPU1Hz4uWue5rQZ4/SHmXH+Cz93z+fj9w+Xt/63z3kV/4s3vb3Wze8fEPH7h03Oy5a2
ISRVbGl++K1/e9/l/ENaqqFahmOQN7I0dgG3bILfPxjmPyjL2aaq4t4MvkYyvdYoBcy71H8YgJhN
R+iqbTpMwB/+6wT8nLjff71/PZELvs4f53EDEXDdkKaum6rp2Jal/nkeZ6YtOxUS0mFU/eS+U1HQ
9xAnjAAK9206rSfhTe7oGOhpej9MixrIRHC9/sNJ+3lUfwwnhPEvjoJwAkcZm3MhbPvPR9HVqjKV
yDUfsgSR/cL0HjsnvZu6UWDyq4MLSqu7ypJuF2AK7As84szmBxjoYIdkMSpIWlWt/v6QNPnPh2So
hqZJVRqao9t/OTGVomuysNXsoBE3rGJCTEjLEyWYRH5PWQJck6HdM903O133vxqmnPEnlrVGHh8T
SvLTmWShmPU8c00TVAZTH6u7KXYzVTNdCVVvV+ilIGncQK3lwbrOZbVX+nrPUsw7Kv7w/PffSFj/
/I1MVXK12VxQtjD+cpJLRa15xFXZQQVIfCJIFhs7yKtNEXquXmCroXlVuKsxR96LgoR02rI0dq28
Kc72kD2FudTuM83+yEzobP6XY+NS/+tlaHKh64alzzfJfL3/MZxs6gZPTmSpcd+mZNRb617HWSFX
rXHnE2Cuamwx3FEvP5tOi1Uk1qgrrS8PiQX7WUfGjDztvY/06v92XP90YaKUoCLbxIE5pHTN+Zz+
IcyNVAXP6rpy9kZ8KBto8TrKt66pUBwtRHZuMCAdySlsQBlHs+bYS5H2LLyyWZnPnMRdipjr358q
c/6Z/hB5GzxCVBaimuk4/JYsuf58SGMt1Mn3hm6vR9iem5GnnKwq3aiazXIM/dPHxLsDnebfyj6J
njJhoeo0BJhRoE2VVt2AgF0xXDJE7wFQKO26GxLjOOr+Icsn9WNFfQM+TnU36UQeiQ1QwYyNJ2sE
32N16tFojS1CfNWdGO4j2zQPA4tHjAQ0wG+Yd6COgEO1N34F49G5tuIQE+XUI2vZzTMYSib554DE
02qodZBSkdgjR3PR+0rZ5nk1Xir0icfxRxih9agGVrseWGSsJRJDq6YdYIE4VbieHHQT+qzv0PK0
n/7+9GrGP98n0hSCfu57lene+MsJzlLH9qO0afca+bXFG173vVOZOc5Ji2AXRCVJh7i0sbv0hsuQ
GdNpMXKIkE5UWiROrQZxhEwo/snpqrcqleN2LDlBY/u9D3K++1h6pxiS8Snw5LcCYg2kn9Hh/JLE
sgzE8qRSfPZY2aLo7bjJoNW73NPksdeMa2xrT84YdIeglkuNWr0sr2LH94+N1bJCJk2lB6O1mYWv
7pdNEsy1UDs/9LnwNq2Vn2SdPfAztpekGSAgNaZ46oxsvAXePSLV7TVrUpTvYtB/E9KnKKkG96Bp
ylU/qlDmDbCONcIZWp4AqcCWu1DNyhUoz7tmjkUzmhLZoSDdaBhTjDpSEROdfR1bLVsPg/DvtCRQ
t9NEoZ0Jbq1aLaq3gFDQi6jifTDWxtnq/XV0jkXOyt7m6JsyCe8ESicEqv4tjT6OlNFRkADbE4gJ
W+Oqw4sGDI4yjqyq1attlsq6Kyp7LbTMOfdBWR0MM5fHRB0Qt0Mf8cDEHgHcSrtVj6nySQCRWFlB
WJ/bEMBZM40Qc4zhXCeAFFJAnfgTvxKvPdt4chyX3wgxswpNGsrNsq+bra6rn83AEUe/TGB79KaJ
2XF+0FPl4hdNBtEhkWdm1QPAr/AGWPoEL0I/ByIOb57ShTcVU4tVrpYXvcpxNVFKykUZ4seaB33N
Goyt0Cz/DEtnvEBoGy+9wtWiGeOwapPxrAFdNkiQlTfHCiMwDKC426L5EjZ+dq4Hka1ReCXGleCG
MHY4Ig2ICNXILB+hArmxOzgk1pBEZ2PesEzV914f4IuOJbMjGhRKcsFjFqUQpAGzo2KK8H5QAypw
MJHcqZ2RjVaVHBYvlHw2TvFwIAjDKDyUY/uKDMp4bVMFa84mfXFi6h1to2N0O5BYU0vlPuxJw88t
3VCfMpJuR4o56MkBCLCK2jmayXRofUfeLxuTjPXBsYFjL020n+z3HbHJ92jAdGyWPkolveQJNezQ
MZtwkuIDdEcN1yYynRsnDe1titCgW/i1f6vmTZJO9oGbJKBSRXOuRd8qPRjugEjvli5DzQLfRWi9
1mfAhmMH1Klj/zHOsIfxY0N1ecCA9503amQeg2ScLuo8IrDVdp/YDdyP4g4hHuu6bBqNE4riy7el
lVb2dOHrrQcCRzw9OoTiwyB5XDYDbtT2JGcxJ91f1W0zeCslQklUNsamStL0OA1lcQUhDg9icJpH
1Fw2TLDTWSkgAba68yIgScMjq/tHPe/WIvdfiiyV+wDfsn0LCHiVW3W7aSjYrVSnVtCgiqGJTVru
Dl5Z4O+Gt5j1vQ/j8LkZuYhV9CuNxHwRZu24NkSZg0CrftWW6NVAZvuW5K1zBdSXSO2LnerdFY4H
br0vrdWcDKvFAiuo9hYUvizzu/3YgDzH5mkdYW+NX1J0GLgvNgocUrPtk4OZmOWm7htzEyLehZ6h
swpJ+uwgWouNL6feRRYqR6q7H0nExdPW70kjdlEs0DUKf2g82rZO0Rs8uVp7nQDGW1cahjdiN+VK
4gZ6tk6rwbsFSfoF+k+wNXj4wpTISE619iVHXxXZe9SH1C7dqUVkuMqogTazEDoY6/KKjNwtVPEw
GxRr0/uUYwekj+EGIr6fIMG28Wz/Dum39v1sJsakHCayAMLUyBhiGYFv80ezbZsrfiHUGcEwLs8n
dNL1p5Fruao/2ZAhbsxUF3Sb+5MTUn4W9vAorR4MnEn+SproqtNL6G5tKn0ojn0/fDFq+NQQki+t
1mPC0POQmIEdBprFbl0AtDKiaR/YdrkXeuB2fMBnP4Fc5fvGOfTxGcTKJd/FlEfVoQeH5oTKsSzd
QNSV6wQiPfH7XW0/7E+NL6+ymIZVrJIlKMdYoTIq92aSwyoAh94SCu8yzANWhu1ZBBr6uJ2A8qyH
EIKsEuA7VyniKzWfini13WDlDbQ0a/NTRPqCUQ1EBxJOTWD3Z8Pf6CKbLqLtTlkeKR+naY9INhrm
WjDuUQOJZ+b7ZWrtbMuCLMFnJQu3hhIcWVBvg7j7CIWOcGXwnlC5df1YNR9jH/HLNlBXXI7Ki9/6
5OCHfAdeQq5H05+udnmrKMrCqAgpNBdUIUWrgaxqbCZWEHSAqWLgUkhykedK7tXUBuSdTHdhhPyT
F/SHuEzNY2GnROA+M+tY5OR/5jggVbZDAzzP8kFsTnUnXWSNovybaufxGswWYpttcVfO3oyq8xaQ
VgKjq38iqDEPsVm9hVGuuKVK/llpnHvRIp5tjlO1yawUsFoSwXuU+vBgGZM4ZdJgOsZ1ZEXGX1IU
HKpr1QJk7iBJvua1XXwOZfBCQds86nVlu71RhOs2SRXXElBCjBYUZusdKwsEo01tHT5FFx+QkaNY
v5EFRcWsxqtMqdN9FltXEaX5TnHWRYHhV+kUI4Dr3F5LoNIrW3rVYTn4GW0AD8gBfl4oR5KZFHbH
XHUbiJB3YF5x7KPUEzhPXVdWPAa68KA3A7O/bQR7M4w+l7MXWIMTNHjg1ahUzb0RkbfCrCcl70M5
x4laD7hg55Zth2y5Xt4nVVfth3oLYbo4gKXp9t3wVplZftfnoCYnr/pRQEVZ9T4TeGQW0GvLg4hK
ZWv7ebVPcl0/MqllG9z2oGdCS2SpSkk4iOWsHMyjsPWGj1o3MytGvgIFqHQdIzN5gEXHTcNnNJ6X
gekWJRJY3UFvdbSapohCouY3G5is8CXwsBn8hrnHBw/fJ9Y5zUoyvQWwxa5BaKIyY0jZcsNlQnW3
ccPIekuMcLrCZdNCKQ9a49i7KjIwWhvtYwtxahVQuNpRb1YxMgLXSp3/qe3XrVLaG7+oylPfryXZ
vKeqpd7tgzwd2vwjKtYFDjbOk9Z62PVNHjBkEPscDsVJh0ycbdnRczuqPyrTt1ZYIUUPVZtycKP+
2qGL5k4iLbYC3So3wFViFTVdgdkjfycxuXWbNmZqIq1u1ZLYVE+hvgYwKZZmC6zrzMzCKe7sEwkt
TBnMeHhsU2gLirPpyh7/syzoT4VldqtkJNtMmIr3mRann0TgXZU+6t50WR/IPdzZVYGym+HEbpVm
1olqCJ4Wddtu1E47Dizjlp6QWssJqaxxVcI82kRJWGCzMY8tlne1xanqYMoZqQxc7MT7c9X6oLPV
GPGptOlPlhzhqpPi3RiVRlPxvjtCS7agntRtaKZfgHApp84P/fPyatnIoAvWvSqxZ/NzpaJOBPrR
iQB9aZ0xg76UU4022wDgjnqr80M2Go4Q6nhRzEg/WoqlvW8ysNkgckqPkqYEtMHya8QOMFqbap7c
21P4WS2jcauoFJSV/GaU1yGxrKtiMvvkXvFAJdLcl2RwcG8ci4elrzWHyvWrzt7Vha4QSitiM40B
RdU4cO2mKa9LC2lrcbRsuDBL09+bmQ8y12+ydYkPzMYCmLnhktFvsaXptzEOczdOQFcH04jbLdmW
QwksZMb2QM7pm3Or+uWjz99g2niQgioqwI0UUS0Op6pECRYzfhZeL8+isVHi68FhqniFqH4gHhqA
4A/4crhGzQF6jWNs815lBab5G1JTPeni+faxs41WQJDU/Pxs8/x1TVghAL+Ve1E76nEEGnPEjGHC
825uy8JQVxI09toGyBKxQDopo227aCiO4N296Wgo/oPe2hWZ3sE+FcHQHzsCO4Cs03HZIAHSAkb+
73aAwRv32zBt4BXw5G1H6y0U9Yi6496SZVCsSvOWFG13lNxEJ+JyyguoJ6Rpgf7wQFFEBn61G+ry
onkTpgqhiZb7xO0g1WxN3HAYMivaZKGN85WfnrUWonxuwUxW/RMEOehTkcWnhecuV0N+WP+m9tHF
mcJLNYN9Gu2JCG8fifYyhBzqKKhsUJTlEYnNXMMsYJuwXSLMIMoECflSiz5CmFuJCSB+FIVPVsbS
q9IPOjFa58HJR2AJZHTqfDMn41VOct/b3bOSUQ7tps8pRYG1lYXQnJ8COD0rICj5LhsUVoB4FYKt
ghNV9/vIaHCfcT4G8wyTGP1uzLe1qpVrkPKaiA74rWlVcI0zajINrjiqhiCCyPx05fUzfhyYvGKM
h17Wa7wVjmqtvubtA3E+8u7lOFfEiWpEJQEZ6sicm92w7/D52SWdIvaJNVtsivCEnEnlqnb7Ziiy
3Vpm/Irnb7FSpf0RQYDmkAH29IjQbT+xDqTa3LFL1hE5paOcH5fLJjXXFg4yexE5b/XE98TWclfq
1kHY4LUMw7xZ4eCsGngDGm6zM2nIdm1D3fadDRNJVxT8NrV9ZCkPih7U2xxw8wYdgq+D0xLEz+md
FEnV2H5RNXAnnmWHqxJVmbU1QsAyK79Y5WEMAg+36LBjOZSjseJxquHh4mCpMG8rgGnd2eIk/gzf
Jb0Walq6fjmk2zmDjEZb850Hxz2PoWBV6Jpzb0MzQG9Alns9zX/05mC4XmRqWzE45otv6RenNA95
2DhkQC0BITYwWF8FOv4uxaeqDZNjWLAExlo2dQM8I84anjp1WchbLOfoK6u+hFlefOQnuVNQq69K
DFugC71abRPB1Z1FuHqqwVaXeG4YxOrK5BnCoj0+4d4JNSzRSZhRI7woibNuQg05T9h+27pRXjoe
P1nIqj0aO3tTFExftgdrQBN6hQuzF+ybRHF2k/rgTBdqMvlMTC5uIdqeZoUYKBzAlWFJ6m6Fpc3+
Tqsi99IzoCiNxdKzKhr1rGIcueYSphKOoGfUatXJKBvM8ypkpMykKgHHqN1hduHJSByhxVwfEYQJ
tjz3eH6Z6r2eCHkNSFDD8sR879DhMvxaqFjeTb40TlHijPtIzb6UxFK7uLNvCOLfTchVu7EpzB1W
ImKVdI65jfuu2SRPyJrKPZVUwIEFMg95GT5KI0Z4CL4Pv1rnRib5JE+dRUbg84FITdeynayTAeV1
dZBDXG5FJ5v1Mm/4ivaMUy1Ewaw8A8np13HN0SdGdLNhiT7nsJYpU71IR+/Xma/1UBXakkQ1mPIJ
2vFa9PFNKKC44P/kRyBUppjF1rQ+QVTb89yWa3ql++V9h/sZNcnCDRApCOORmDZUvdluqtyDw9Rc
L/NmdXqAWTEoEwAJCDjAahJtzryZynzryenZNu0CWzDEDt3lZS2Qs1/VHjjHpvhiw0SGLfAE92dL
rdMAR1Xb4likiXYMCtaUhTSgkHy1p+RrRILiOBED4kGhmTYlcNqZ1q2GIAwOqIrnx0JDkbCaN0tz
2RhYeqDq+z/t9mbNn1+je4zFtmMfgJ/OdqKg6ttZn2VctpBMEs3aWIqB3k4W77sydfbVPIDM1HHK
4aWU5riqnApPgUAi4jhvumgUW9R+WIPrUF8I1s5e0oZQz1NCr/sWu40trpy3zCvOsRPxfVI9ccFX
vSIAiEWYjnpsOrNfJu2+Th0A+5Nib2SMhrSwgn7r+xEgsDLNVtKb0q3o/Rvi5rWXPoaye65UW991
s9CAOrPcB5/qcAU6YxTTWt8VTg8IeIYLOZ39UR3S/MmZnaAnWawy3KDxBTwouYV6uW6Pl2AMy7Up
FVwxcojvToIMdZccPcQM9n4Dx6evWzIZY3YALKiQ0W5SDeiRkh5tXYPV6eMwyIOrKOKjk0/f+bEl
j2zFPBg9LkW2FjXrsBg/aX3jXHqgYrvZfZOFohuBbFubVZ2zAgRm2uU2ad2EzEqb+Pm9GdV3gB+y
U9mCR+ZKXitq5jAqJEE0BMJV641mT/EnDJuQVs9INniYhK1r6mXnOMkuusiVFyDf/VYSIxySxu9u
Dm5nc/mh+TbEwU5Oza6bGuMR+n++4xYARxsE2Uueedi4Rspr65G9g+PXXYY0SC5M0SyUnG5TEIy/
omnyzKrLha5rfO784AZPX76lQQ8CFPgZzxjAW3p3zvyoXFXquC8xqviaZrrN0svkd8UzcJ+0wQOS
/mQGW5K8LKjlOvdrGCRKr69Bm+IG7TnTDkp4uh516ENAd2pScxP2tj1UinLYkeKoj3VWR+inttbF
L/2EfCDUWsVqFZidig9Y2zHWLPZ/6GWN6GxkHaxSj2a3vvtYdOKJZNsREQmm+NTBUoQV3KjnwWPV
wOOeW7KkHNcu6DUKw6shnRTQxW2zMcbsCeukwo1aVsF+lYZuZHf5zlAb1/LGaN0Smd8G/w6ZcXkX
VTnzkGJ9q+x6PJhfsqFpLm24EsOgIBypaqdCLzgxoKswbxiULYBReddX0K+iLDwj0p9QHhxOVCfz
A8/Mu05E7U1LsefE/SEwEhQSyPheI7VWXC1gkhI4xJVWC++Hybj2VXs92NP3uky7veEZEM5Irq6o
W2EggRP6vqqCLQrLQAaHECSiHffrqG9ZJUzqqo+BNeJs+f+YO48lx9EsSz8R2qDFForKKVzQ1Qbm
KqC1xtP3B0ZWRVXWWLeN2SxmkUw66c4gQeAX957znbco6liij410upWlLE3Z0DbSHyTxo1bUijDA
kikM8Yte4UCNqkjZZ/GiUcWo/F6WOcemhq5nuDwj7yy28jw+8m3NO72w2AOlw+IXcq/ahjmPtmX0
8iYNxcWXOMEYIjJHR6u7pFSH25Lfj5TmxcKY7SDhtms0RYch6+4oc2p3k/Rm9Pn5lqNCpnVPBTrs
jkLe2rnKlNaM7bTR5jfYAqdbLlSYdp7G4d3PcfGaLSZKFF0/JHKCDHceX0JAGZe+Du6MqOcKHAFl
iBMtm3TWz1YFgCGVdTvFmHTGysmpRcdGHdcwlxJRehf3D4ueUknXvmtl8gp41e4YCiy2E3VGsFes
O/WOyqRgsj7OvX5UDDgVWuhOY/cljnN0WIjWApg2ldthi1YAZ1s59ceohjqQhVTShOU41qa2UWbi
lMSqirxb5aDNc90N8I/bVlhsG2MEb5kOvRObtQSqncOhquopzk3jrbmicsy1AM+2PDR7JIuP4STH
Jzwv8iHtcM7VOAen2dLsNKqIPhEcyWIXacmyvoUS4EeYz/YRBb2x7xGJtWz/KRVXL4z2rMLFxF+U
pHjvlt0cx/ue+LWTLtBrZpHU6lgkMdXE2IywZXTTJWoZDhVc0MA1BF5UDi+jRjFgapajqQYShK4+
9SU2IV5IV8LRF44fC1udiA6zP/SldcUVA9ZfbgLnFuNkqLPLwMMfEfXsQny3BjoqCZq+IPkh/1r3
iUQV9kX/EE9m/zrM4mvfMcMaJBRuIomvGPCZtEGGHO3CHnQPWZceIdzzvYSMb1PiJgALIhIfOdED
rlj4JZ16t4SVsbOm8lmVkuhOa2UszIWM1LAKEKPlbchJKKT3Ji/hxua0EPeTBBsMd/1CDieZrjH7
/0PbRbWtWbN+ID/DIdyGAO5BhslhhvVRI6h1P0VUTdeg0zjSn8Vc7bedrDzTqhAonpd160/r0kJq
aPjKZkt9Sebsk80qRw4+qvbUjbHH7CAQChCmFE4CaTMw9e5V4rP2lZpiXoxnrNlxdaesNzE8lrkJ
+wNZFJpfiUDxUDnV+1in2VzF0tOYZ90mSASSYOsDldT8ECqF5LSj8AtRL+L6PoBZrprDWUjTjWa+
idqsPbVCoz+RGr3txvQtFofuSIBNc6cR9GuM+CykJQn2HJGFOl381M2VdqrrhX4eAYEuoJj8kBMr
eYjCDKFwE6pOLdUF2RIyG0TiJoSEJV8kqoqbaXo/uXIY/xBKmvl9pKl7XcxMog+f85CspFhKAkc3
0ja3dSZ2yq0yd/FTLPs4rQCmU7IgU4EBgzc47WGAwgOwWsmfhpCin5HMpEsKISox6kLNSC7zturb
2iVddgJNPsmwqJhfcDaCqlK7ajxFGnb6JKMRPxTdVVbiEdbVKuRDtDodb8I+WAKLxZCctsbvhFCY
Be35NuxkXMHoUNKtMZ1pWrJWrzuzOBlyXp7USWqP2nSWQy3amgkjfFIg6sGHnJLWxD0jFn7Skk13
0Y36dgR2QOgYnIAm4zFCrfVyaO/UJNuYLGMPjT5pXrWk2S5KcnYKUUSX1WAHainXosmMU4em1xPU
IGHmDvXjiDdiO+biMQUqb7VFfrDGNNrVYjZsGfcWTyHFnmJs3m6gVXxEBklFoplbOOLiY9E14lug
LCAgRoxC4iJd+paNf573FRqUdHLauC7wfpXCvhKz91GSI9S81qEiSnPtmhvPeJ1JF62gCCjhE1SM
Aw6g+RCij3SjxFjDXc2vOVKbDSEaoydE8iGib/SG2ddd9E638XhFJ6kKg6M6JSHL4cFTKaDsB5Z6
klFKn+lIxEKc0z1gEVqYVP/gWTT0NmUqO6gqZc3O69Z6SgprY0WdM7J2vZsy6glDLu8lqanPtVie
KdF7aSpXH9Mg/mhh/6WVRbkNrHZ+qihPU1p4iisl3o4dxaXb+XA7M8iO2KgsOTz8h6Ur53mwy0Kd
6zyMOePb9Ko28ItMyhmbW9JYwc50hqRGWtrcQQkyFfpQ73j5JEdi3rBpxjd3YSI90QAX3aygnzOw
d/OpbLHto93p9HH7MKS5uoOg2tkJNFB7aMrpubC0H+DqPESo4O+0vAVSglss8rK5DcJKSVcJUuey
0abua0SWcsybFhISVn13LuhsNoksbFDJaselNZ6jsuyeCnA9x0iRn9P6Xqf//6inWvxkNRIV6iKW
NiS5IBOwxGavjlVFtuN69/azgqzp970Fauz+9mM0q8isYpiludYxJcSJtVNUy1icGyD2dlMU44vU
pJk7IcFQ15iF3qjo3GMf+sfdlLb2DmAuxeZyf7u5seWsddt1uyfekJ1lRwGcSx7cz4oLNTWKyZRL
VmLg7/tFrBMc3SgE0aykxxsZ8UYxu9385q3q9UHqanHXKv132uU1sLGVun6jl93AZrd7sAh1xnD9
JTE0aM/DSiX/ffcGi72BzGqD0Shqtdylr1ztJSat/bLe3H78c6MZUezVWJBZmEIju73A7QV/v9Q/
H2ugDJDmUm5zNmCLk6VZ4GnT+Hz7tfT22O0F0t809Rs8+59/fHvBtEKchZjx+YY3KnVCe4gfiv7C
HZUUTvdhBBxmRJThFgOiZTMrgL2sgPs/wPw/PwaRwEI1XOGy/0Dg/58A+X/70z9/r9DmSTFKseu+
PZiFWkbtgCSr2xd4YxH+/uZuP/+OJQCduufkF2lcxirskUbdZ+BuFKfTcgQZVroZR9OidPh4+wVB
/bTkttpNxlS1hxt47/a6Bpymv3CHN37g7ZnbPSkyifZOuq8/D90e/82QW0FyrWW2ZDqWuz8vd/uN
369J4nxOCCb6uVucBxW8bn+L87jdu93cnuhjduBZ2qtOXD1aND93XRVRwR30DE8tl1VW5+2edZEt
h0q2u33N0e10+3OeZKk/rBfVH97yDbo8rORlVV8dT1gqoYqM076uiIiTKc9T1OPHPze3x/JoYWeI
6SxJu4DgW2Do3u2D3NiIt5vZaEIvBKKKXMQsrlYyIHVCL4DPELqngvpz1TVFE36gxjdQzqMlp9xn
iXjFc1idJODaqflEng/4yUDfJCS5MkXrPngJxMHRVSqKh5Ww5o6Th+ON1WkUCpB3waK084YFmnww
Nbb4Uio5RPyUNq3DaxbLZ9gXpi/P6bdpsd+hEX7VS/7BvFs7i2A9haJ8MWciE4tWJckxCjetohxV
TjcbFdgxDWvUR9r0LNcadqUkvAtxtEfACjyGiLsg1WGs8Abt0Tbm9pNaHL1yGqM2ArC0CvhmeEE0
GSCTuxlvKNV/oClUNzsvyrIcUUuq7wJdOQYqVmqlP05rb7gHftHqQDsM66DObeBQrRu6mh5pP5Nc
2L+oWXOhYrbpg6skhlCrZ/Or0l46PdcxgVu7Nky/GK1dmoB8HnxGiWCi16rnr4WYHwEj9l6mMWvO
lmmHlXaVR+NDEDdimyfOZHRfZkefBfqLQEw9/YIAJImzQiwhf7JZYBqP1cyONJAMcZ9CoAhEr6cG
dAyD+B1CacbWI5NsSZ52OE/uEzo3Q87eMggusUk/MZxZyhcq1g0CQh0L5pvaO3RzKMiYpuyPFFDV
TphWPQp4+VLqkDqYj1kGPEDhyLXsxPaBPOyEsE/WvkLkV1FG/9yS3kp9I1tsszBM1GDRAr8dgvu4
OxXlrHhripVq9ZVtsq5xwYEQiuJnrZm4LL9oBOo0BxVpEyC2sae67ulYUZWU5fhoNcrjjLvewUIL
eX5JHyhRHfnsLXw+YKCIqRLfiDl6jSXhJ1+AUujFM1fnL6lzu4U6adLS4GaBv1NDTi5JkrfBotLD
IJ51GeIa+pn4yQai5ZLF0AJcQ0pARIbwAyhwTT7Yt5e5IzGrKuPPuBpnDIyE3YrEmCyaUfOBpYfZ
0L4DPSBZbF+lQuE0Hce4b0TZC0gpX3lZAZZadasi8nJElDs4+LGldVE3XeWsl/1JgN7AKlneFFEh
uk0NEDIJJ8tRo059muaVbi0Wh8WKUAPkufa0FFJ7T1fdX9Ztw+2hEHRX04/Sg1jMArOQZgEzWt7k
QNaOEK+NnZGkuYMTPqPgLRu7UJuMJ6GPajrogejTVyxPihbgJhT1ncUm0S7rggtUiQ2KBxqoq1KV
XeLyKJlWxb2qF8tjFFVuCUgRpU/AikfktLHQ+KFrQa+k0EajMtEOT9M0JyfQ5FAMSfW93XRQ7sDB
PCblXRzwSkmtfNemYrHHCsYnQyUuCYI5U+Hyk8Vxv5cxrF1iBU/omPtklcmMVRm4A2NZLxMhfggj
Yx+pClF1oW0O2nAAgkePoOuhqxkPSqcYD5MUQ9JchovYy4910XxFYm7xFPi4CVL9WVcxgo2iREiZ
lCqMGg1imxL8PJQVHI9WsynVVjlJ7OyGsugOCL8/WO+Ap6SMSN1vilkuquOdkTznVWKy+h9hUrcT
Z8H4hNCjAzk9jrZkWiydKpaFRPLVuqkeNXkGPikjV5zQNfi6AFV37BPNoYqdUfY3AING0p0qqff1
MNBd0sPJo1zV2qXwokyDflQ6825Cd7Vdljp2cxjYLk6Jym1iCBeI8SIPffjPDMUKZUX02FGej4Iu
v+ojebOt9ahFOuNK+pJL83gXWHN1TATp4aa6qbGOlnEJjQFM46Dzz//PymJpdQz8m3DbRHVlKBpu
DkkX5b9bLZZBTqzYUKot8WTpdhxoend5INhoBq8mosXHKW8btwHlqa3ijkmHMfU/vwX5P9wepmky
oIqSJmHaFJW/ydmtABNlgqB/mwvInYJePgNpKF2B8CCXiewNJnC5CgIq38J1fCK31bHkXHIEyK1O
WxNnnFM4PKxiU3GQ8vNghk8dzeUd21XxtKpAb9Wo/+Vdr4Lrvx040xDBpuno8FVU7/+ueMfNQGIo
UJptanW6l2kw48IhOEkKkc2IF9SNRkyeOw3SbtDnaMO2KX1blK2kpp/xON8F4EA+8K4Buf3UZfG5
pJhD8Uf7QaCiqYxfLIGpxlzaUovtnJD1/f/y/v/D3MBRxyWr6qal8zFugvN/MRHMLdDgUdJLhrqC
pbsqlG7ctXwIeLYpguodqozCQfI0+EtmvA56zPCgHpPO6rxSLlUPbf/daH5qadKAkDNfrbUCUifV
G1feJVkT/qaqHJ02h3LfJepJhXHl3D7E/xMb2P+Hzi3cLSLGiX96mv/DuQWPgT5w3P6rc+uvP/rL
uWUaGK10RTEYpm7erL9sW5b0X6yyNL5M0dQp0otcRP+wbcnrUzyOqcDgHaiYiv6ybSn6f8GbMrDe
UCtdX1H5v7FtURJS/n5RSLLBulVkmYV9y7BW/9K/nFRsJynUYDbEkXGlSG7t5mAokPSAoHmdQS47
AwVwV49nw66NBmWwqLeeWYvmij74Jg7314JkaKtFtJSFOW5uFLsxti7IjWl6ZZju+24FW1r7uVKJ
BZXbkaujF6hDHyop0Z5pCJrSV6iw3Vkr8YswrUpXY3kY28Vk86tKrO7E4KL1s2NNcrTJ66zz9Rql
X9PM4zZbusFXWhZy2SsO2npHucauBpmSCaAnKkwbaUxerNmS3dREjZlBNXQNTa29UMw+IM5nthTF
4Uao0Nm3SfZszuFyEJWdURQsNUIKKDJtYn0OX0d9L9B6sueiaC5yjixWYwpmUt3lQcfSeswiJ1GI
Ng5R5YCjlO86sVUuXWEGJ1obNvhKuI3zUGzQttINTBoajo1K3qJG3VWJoKVXKlB0TYl3Uax5i5F4
IBjq0+2m0+WdWdezB7+B98DRyOTRn3up3Ka5xdpBSBQvT4BgmxjcoRwLDyo7lpPGv0eeIkUUCSEb
mhs7nkcP+HjgWbpGbg6SdRubK1ISBHFeJSZ8wEXapur804wzulliMbNW8A0zKzd6ScVw6mZoIcDw
jXS6NBl4v2QUnAkbM+1QQXHaRCWGQcCWnSjWHpNHEIdeI6vAhqr2KUd8nJIjfFAL6JUxfCM/oqFD
n6QM9gviDml/M+cvIvLxvMxiT9X0LUUlujbdgtY6Y5GiJflLHIVnlPtk8IUVZVvjVQykQzq26r0w
0jSMVDYoQxkoF10GHFoY5jtm2dEvFDpePeZ6Ek0YtMtc5IxM+r1ijZOj61Xmgodrj6AS7U7RZbfo
FZfVioyhpcvviknPft/w0bT5pqfPYBVDh20blsFhdQ7l4i2AKFlOyEs0GYmMYGL1GgNmzJrcAjMW
FE8h9dimewVIYWD1aLQ03EBWwzBJyNNNaxJOgU3pdEfJejibKSBThSV+mip+GyqSJ/cKbiZhfKrR
A57yOt9RGofHT9HsMy06StjJXV7p7cPcVrMbWXnoxYar1DLzhJQwa0XHIpA+1ajU6CdJ9PcwpZyJ
Lb/gF7HYmU6zu9DuszuxsiB7xyRETKdw1C3a8/G91IaJN/Xw7YdO+jLzMHeFlmpaqgWQ37KtYBG8
ZAjsBBXmGXxjNDcOE/AvtZScMciGXZWzEo6HJfWWDpg74BCf/ph2x2qys/MsQlOklf4Mt8IhlGK0
4OEM6McW+Utr0idsroJviQV/3Yir7Nl8SQbKHnUJeC1S0eslEWCcenmBeIk8vAAKNFflBe2ZbxHc
6UKFt5wyRUJQqhpcIQQ1IWXfSWY5PoLYzP1gQuADzMY2UuGMy7t1q3m8spZlS99UmSO0fEQ9bhxT
xmwlo7gxpPFTVspnOaskO6+7rVZLMKDUEgcY9HYnmur2FArNScnvpzpD3IEAS4NGPKb6aNelghrJ
/GyiN0PVJ/9Hz2XyCOTvQoDfQ2lfvXRdcc4m9BZpW7/O5gLH2xxih8Cn0o9VxFsBCGiKeYXqR33i
aUW0XMQi+1WH42Ot23WqUtOpy5KqSuCawbSPlX46pHWT7Hol+swmtePgpZ9NVu+QsQxwjsdfTcG6
jvCcry6D0MtuFRo8TYyeUdPFEazbQ62myGqKTW8ZOFPz5BJCDbOTSMJHFDwSdfhrGBT+Sp01ih+I
uJayAQ22bISxvmQWbfGO9qy2vFgqYLcqC+gWychEp9Pc9ie9aq9xVtMCjy9tFnROCLh6qwtUvypW
43Zg9u95MMf7irKoye7AUYYMeYxuMFXJ6LMMwIkTrksQ8GQrU/RZZicP6UE11XeB8j28ZFFGrWEW
T3qncSFPyoEM5KNsTJB/5cghGXiTRJrsmiTEUwIQww08cyD1pvIiB9l7lgWxY4TzdxWLOza9AOqU
yq8H5TVMKxkgd/wyidIpinptI72iokq9ugllt1XRo+axCLclBhiq6S0WguQQ9AF5HCGW5Bqria20
y+NSDL96NIFBSx4iOCRW5hQ0ZMGJ5F/lgqu1Gy1zW6FlPFttaABrWfbSGGHONF/lTE/uSpboNtc6
O4KoVGwrGs+idTK7znR0OaavRt43PrfvxVQnp4AMzIZulUkQ0iyng0P4z0ccx6gIUMpIdOUhvupX
oWkf5ZGZle7lj8oG0mwS4aRAlpus8Bxq+6BGd4oraEAhpWFUFJbtSKfNlWUz8LNBpFHd8RzXR5Xm
1KJm3mT8K261D7U3JyTl0K7lTnbSsmVHOYBYzgc8Iq+JqD7MYa0e+8hgdTGTqCnEjww9Zsurt3qd
uiPzRpcRDmYtVyqdMosHmudrA340PzRheNZFEtYV9cdkBvLlLPVGLXSgoaECm9/qESUyyPPGFWQJ
g/CCWkuR3llGlLs+eaGGwncGBcErakK8ZmPFKQ7VibeHOlOZXctg4jA0aOEKIOMYBhB8fcbwsZ+v
CCElFyFdF+bfXKrLTgC57lmwgnS+4jmXWcrUxsZqxgInAav8Xjhoq1bbHIofRLH4/hA0I5gCcqmL
r8T5PYgpIoWwUr/q6T5A20krijZWn7MxiVlFha3GdsvAELXoxl1FtxhdpoOtc17QG3eQ6Zg3GLoS
6afPmUorXbJ7y1GkCFt3xMDTG05U55+ylZ07TTmC0vmUO+09bJ/xkR1k2iqFIXuayikLAT9ItyRl
XQcE814P9LLQidvCh8qJ7qesP5YUsHmDiwz8xzLLdltPGM3UB6kO0ciX34Si7Np63sudtDehC/Za
9SIRh+rpnGKoUJDOC7S6iUkSlwhGqTIgx4uLQ1yYn0X/q4NytSlbmWgJ9DCwasovMH9z+kV8wyZK
2eRJofFKlMexDbVv9tmyS+L2T5ydqnHA77EQoF4mE10zzXqjbh+4Cl5pHBiMffD0R5I88IYVlznr
DEcIDKSi1aFQsBmzQDhSqJSRMOLX4iiVjmHJ50hZaEFQUKSmKg+fi5X5i77cU43+DIfuqiMkICI+
JiRb2RffqhJeNFiK0KVzv47i84Sgls/U+KHBRJrIKgJlgZyQADQXSY5C5Mf5q1ClF6ywGDkCQhq2
JWxJ8n4KbEUYhxZ449mjkSA9l0Lx2knUTqycoQWK41M/03w0kQ8jIwJM97LkTb8uToOtOZklcS/y
dopklbesSQ6S2o1kJYsvW2OB6BezQ8xOgHKfzvrWxLFIN8wJIuklaxCxBoPk1ZaKgmzYdKr8Djn6
mITCpxGZD5q01DbGcicYaZWHC1kuirobqgyqUWlul/RRToXRhk/1RDcQuQTiuGBoj3KbSJuOMpc/
6M22UItdkzLQqXEx+3HW2rrCPEhFaaQCm8UUNMMNp0xMZ3qdZMQEo5Ggk6gEl55LZL2rkdfhqhNw
mGR92gyF+q9nbj/HdR0BPiey5fbbt5vbEzLHXoT9wkv8ubk98+dHQ478QJpjxLL/+JdvT/7LP//7
5/Xpv/0OAM2DAlF4k/ZFJ3m332OGbf+6y7jf/vU+b0/VmrQ1lTFisR7stbJ/LI208m+f+HYjrZ3O
Pz/e7ulrz/PPYz0G1T39Xy0IZmpg5kd++zduv6X++6/+fkzdi6xT2SaTONSuUUT9egNdTEJsGkSu
Fog0yG4P3n7ndqM1NBsncANOqz+VEdqVv/39nx+Bos00GrDC1NkamfznGQlR5qbmCJWrtPMWYBTV
E6tknAju7TFjmFJnzCigpxNk03ZuIXWlRHJHa78uyif6nre7vRCuTnU37zf1GN0Jx5achuCwaEf2
E0lyNb0EcmdnBx4z9d6kfP423iuPpT2cQVSPznBg5YKJ9prT0nOql+WFFamc2OUXzhivYLRw0YE8
STWMkfzRvNOFTaLvDXZBDi3Tn+RsnXAQLC/0VVCgZ0/mRUHb86UkCPL9BiEN62Enc1G0DJVbjX7/
w/XLXqVPbcy0GH4waB1KnazcbfwxMvBQ0Mo3OqyoPWgh7nZfhQa5jK4OFW23HN6nwKFLGjG1uMpn
eyT1pnXajfLCUIKsHtS83TqTHTxXT+lhGNgguyOdCPp4RMU+1nbSM6UdEXh0vvSkIuMi4ovCr+rp
5nDKQ+eCFegC5YQUuHTT9b4IHzNkMxud8335gGunfBBK5DF33Gp3RQR1FZ2ULL8uBTpoMHSzPQlH
biUDJJ3d/gwmM1fvoxsKh2nHvkffo2nbZJDJhC3EPLasI157rLXpnnG0M9lgbhVZYWu9l3vRTpnV
HRVqNTf4zsWr8EGhDqaqu2y11lEO2WP+zgCdXVBYbgmUeCwe6/vIEWzND+jkm264NWyZRa6N5fnD
8l8NHOXOBKkgmIliCfaZn/eupe87ca0+26nsRyxBscgTo1PlbvJBBsu28eZX9Vx5X2xMwzuLHGJ3
fi1MR3jP7PQOaY92/4KF7Aw+8o7i+rSvPOD9CJDYHsI5dC71aDdb072kDt5nHH3VelsmLnKzS/Bt
7gbbdLut+hY8mTsq+xv9Eh8RsH4Xn/wfR/BP86Lvss/4ijkw+Bagyr6oCTVbO7hA3LIXm+UXBwAr
I4iEd1QhwV5C0uT+4AN4yR39wqxYjra+Ezx0SWxG3fg9ePuyrubFvIiDpxEX6gEfD0L0zcjGbFm7
UESC4mz4ND8ye6P2tgFB0yuv9U/63gkOsZyu4r6Xp3P48KoBcnObzDkQDyCdjdLOyN3QtvrklLG9
ZlrIiKRdyYGzZiMSeZgJlbgGd9rpR3l4iGm1OT9d5TWfyPuM0k3OyNT419HjXp/Q12ouaDlQzQTF
OPH9FG2yN+SPOddSgeMQtZljeenA5kj4Ce+LM53Quwqngr1s0yudiOEQM+JsyC0Dy8KnR/BxgAy5
K6+kxYTvyMn/8SgFDT/c56Y3AHYpHvqSK8CnOuy2HN5wvxDMeOV1kzOSw5+8tjmXnW4ba04xupNT
Pbd37FBk61ndUGeh1uMsX5xsX8fkbvIbd/CRCMWn/ticu8dOYQiZz+ZxUjnHnwEb73BS+z/qrtne
PJQUiV3D+32m/KTOxnIy9qi2MbvNy1e6ARbkmE/UfJi/i85uE94KSRmdi8o8PQqnwFUFe7I5efL1
cubL5Cw7CJiP9+vBbH92aJzt8Zp6oOft4lwVxyDcGdQ49mF+EPfaF7Fek5PulnsShYMtOZiLvp3q
XXyKLkBiLMMpj5MdvlMkSZzlBYWmTd7Je+yle/A38Z59TnnPgokjV24q0x7ye5JvbOMzYZXiiUcC
i6KDX+o+7N789F5WF/m+/4UCg6MCD6Z34MmibyJmr0GndyqJV/loTzEAesSLTuCOzbv8nWIQkZ5Z
6VLKwnAcb6hPLq5USSh1/UrHEnknAM5WP0gJInOtO5IJok6uZb8vLhBR81csnnHYfkrAlrGAusJJ
q/30GrjTS92jJucRED4atgDDXnVzdnSOKG46XBP5T7lpBIe1lfI5/oDBIwKsHz2GsNjDSHXkZEFv
7yFc2K+YoGv02t+PyC3PHJ3lUDuYHEnF/sT8vKCrcuTCUUw/Yxtvrmd6NN+pw1t5BBp+bZ3kFTds
gaffZjdOlKpXhk5JA3u54xqJPRH1wrbd9FfJZUpVURfLnvAAMXzEJR3RFbb5ffIVSm/iqx9/Epfl
1TpjPCqfTJZMgbUzHTI3ZHAYw135Dqwh1fiRY1BvwvuYid6fPmdWqqI70Qtl+isnZ/3uKdWUHzAn
7GkLOlv8Vlw2SziKIn/Yquu5B+Zb6J/zzRCsX3vMEi+RHyhcZk/vLbPgB7yNx4Ur6oG3KP40j3zg
9UMfGXomYj+iLdfbLjHtYNf6QGGWU7cd7N//heNu+cS8dwg9v71OoksLF8yOl55cur/BfXEpr+U1
DKmMQDKxORLIRYgkmFNvIp31S+yJBvhZ1LPGYneT+LyDdNlY5CIDmCgdcWZKGkgDEDYkXY3X/IeZ
gWHkZcXnCw7zORCF6sx5zvQW7Gtb9EQv3HJaJd/mL52wHJmtJnOUzynUcq3UGyYon5mUD4gf7F76
LHyoFqknfco/+d5gOM+sLyN3JtxJ1OcyuvqPnUXz+xzvYenYhe8Dg9XaPbd74hpdeq2E2y+2bpyS
0OuIjQrul138o/W6k7SVVxqnykAkJj5HTxb5F5wDp/SJjfdn9yJeuVB/YFkwqu+VQ/1OWJ/D4MmY
gWsdZ+OncRgXNPy2Hx76D31f7bgMXsOP4F04KLv6EPqCSwEA7r3PFLsv2wsCZKry2UX+CA9409Dj
tA6i9dvA5DI4gXPyG2y7zxecjzYFOgKqGms4rTSNqyltOITO7K1forImfeJOflpP03ozUDWyK4iP
sDHo1tkInTW7m3fZR8ESjbEOzIBP5nPicuWbF6L7GAvZNAgSxQqWQ0v5XrCGU/fcivl2zi/qkB1U
5i8hxWvs6gHkcEdWkJpvjf7RMDfV+BhR+o2jxhbFXchXqyc7Df9c7EsPMIednw3+LmF7cBEE2Kw9
H4GWzo0PphvsuOQvfOWEbDd2/96cMVxYl2preJvAp5rlQuu3AY7Y4wNycMRL3ng/nYPxHNafmeHk
X7XwhATZmb4VdpOyYh0FdK7iPiocIW5dI7xIPYK+OveE52QhW83hXM635keYIAHJpo2w7YwPKDPr
eq9yge7b4JPVKvNEtJxo/di5ocN5pMRJFkKh2aqXChuh+JKfGiDymH7ZJgJ5MXWZ2vcx2FrDu+pS
SYg4Uxh28Ln6xTlxF3WrfDK2MZ+wkAbkajO0cfn3fHP5Pb6oxvJZrtRXpN/1RGFsx0KVC+/MyBPZ
Y7Tvf2qnvq4ePqeqGDhclqAsqKuBweOhVV3todbp3zLyQShjBel9LYcBAmtgm6rdpi5+RdAzKaVk
+Yp0hZU1KX9cY25X3MshS+Pmcam2la/+qD9CtW0d/WfcYE3q0rfqzHVuvKRetxNbe9hRMZFNUsEd
iv5UV+z8QaIdPDorN2F0m25PqQRxmcU6lxI07CuS0oFQt37MKMYVP9oQMQilWNc7mPs1ehFUgkov
gSDI1SqjA1FBaDlLdmxiHz4gWddITI7pu/Ea4FtST9Pgc/iGb0Fyfx8Pxr6MKSX1VN7zhjkBQzNH
OzsLbDxIVdpVjyxdKD+K465WkZNz4Bxl/S5BfLHHeE73CYrZyZ4zm8YTc++TOm41AFImK2L9OO9J
iAKtsmDEvEwHologHll+V+/z7BCJP4J6l8QeSc3v5F5h7RdZFiH12SAXTW3m6eUVJkt/ai7zFUH1
KPti+TDU6Ek3PZyG3hWvbbxdrQa8A51F2k5BwNE+zsJz8N+UndeO62qSpV9lMPcs0JtBTwMt0Ygy
qcxU+hsi3ab3nk8/H7VPV546Vd2YBjZyy4sifxOxYsVa06tJT1m4Li4ZtpRvHToryQaCGRsfbScb
pFjl++U8xRvLxcU1qx0CDLQA+zMB6nLIPfSCM+0M0Gjs8S2mc6n0EjsnqTtBT2LzT+3yMbsI6QNF
nf1c4yziax8tO8F4m7lzSf2A8UOrv01iJu2GCvu7O7h2kAyU4CFL3ILVoNwiV0bRDYYhq5lcb7oC
gOOjsRQYwgeDbEu57aUz4Qz7Y1ehj7Idv83vcbJbINnGRk7BMrxaddMeSKp8iPBMjQTkLfH+w/rC
QdW1P1OkDQcvQftb2Y7lRmncIt2naMtT4cfhGqmb/hd5AlJ05gUsZCVcFRtZpLdyo2hb+tHk2S4S
WoE8CJmB5czCsWiJ5J3WoH/WO6/Db2ch3GjDSqcck+a29llF94lfGDvJpce6QqOW3gWCMPYRzabS
M9+FtZtFR+BoaN3VeExpkAlakeb4+zyFyUZCgkmfjmoWMSL/kuyuo5j5yAVYPogG442g7xH4IoBI
b9E6mXsbna6BliGaTlgH1XfTuG1Etxb3bNmSvK3Uj/FNBdv6qIQt4Uj8za6ETuY3TuBK6cz9TrzV
HJ3iF2I/7OUEsUgagXzP3yw2Yg+f3B0Vl22a0jECP/iEzMTLwqPmovYUWTu6tYrnRnLy6AvKDbH7
FrMYbBvi6YGDZs3J6Bqu9iFYCFsRARNr3ZLdTfScPLA9sD9tujPzxtwrlLDds8TTfoTLD5Vm0e4u
+Q78altv6pvwPX3vjm9oyGzesDPZTc+f8Pj1V4tG+a8KsSjyNJLS+D1mYZpPXIRnWil2DNEnYIF2
09ySy+4gzN8ltPSDsYPMkt69C5eEPrGLzkl6V+zhPOlO8knYhSYl25hxfKjcSrAzdBYeTb/5GJ5Z
SxHYuIsZexKDeGq8diA1oppEFZkolb/FOT+le37QprtotGluWq8Z3XXjBXX/SASX5YZML90X56La
jffTV4/eXQPQPmxCcRfrGw0wglFdO3n7NjEq6ZgpXUsG9zCdaaG8YLO6ckJBJbg3bjrVj81jSj33
NrJrNKzZSKYLc4tvInP36keWsfKu95hwKcdXh1uTNetYXJi8zMjMpVYOXsCaPrEGbWTCp3GHhDJF
cF86whtklM3fsVN95ez/NtGHEdg53o1rIrutf4mP0h3TnW+BsTjcdnaffqXlJv+O7/I741B6qLbW
G/10PZ5wOCefWOMcLZdtrzwR5FfVLjsH/blIXhdj38ouPyqk0QahDBubmxIIgbB4LZj2jwoBlfWc
vJCTG/TAb7Sd/A3AJHykTpB/QkelrxNW4rpAFq7JmgmsOt0ytLozmar0THipb7tXRbRX4qh7Fn2u
OA3SZ7ASGgtAnmIX+R+RiJaTg8tXvJU+AY7iFoEuvBxdKvpZQOICX9V0S0zcxU38pr+29GhS4GP9
EzYpbadw6B6+saINHflxwix62uLGh1qZ+Vp6km160M1JM8TUUdJzo5/j/Je0sZ758m50kQYW2I5R
Ww8PSYdiDt6pjviAnid66WzV2rG7DY1Nfz9is+zKftBEG6JZVbktg534iruhj0wB8+ubAeQjk46p
Mb0+W5YsOLuLj2b/e3Ns4Ls+aJEnfAa04SrbHOLC4ISudTtQxKEpGuSltsOjXrjP9afmjcfxIToE
z83jyIZJ0jnC492G5ia624bd9tIYz6WI8t32fdonGF2y6+SuXc6ooW7pP6DDASMat2426Xvwa7ig
zFUyvKodMBcuviPkdt1mJpb6Q2zZRgdqf6yGl/Gd/Yyvecs9jVioe32ufuUdxQ/wJnI2VfhVtRRV
t+lbdnkot0p4bO+IRvo3ne263MoycmY276QdCMYFMGNHHAs60H6jOxJtmbOjZiPgIn4rB8+6JzY/
YI1Kftktdg+GKb/Kr9CEB5CZm/BmHn0otzNNnVR0lyNUEdklmWB7Li7EAvmbPHsPBtUwRiriEGtC
RxC2rtObGPQZfU67/k4aL3Mzuz3NqcejdC8LjKEJW+zt0p7EBazZQSsSpS1tlxuPVeCM6i0N0NUz
mC89kcQKE3Go2R7yJ7M7T809V/0kUgDusTXnp55RdMXL46NkI6jB4JIQFy5ebRzF+QWErtD3onHE
pk1bPvgHImNBwVn/u1GCA1Ypm7F6tIy7qT3oaxyKTxceoruq3D2kNZpzX/RLo5HEd/Qg/l7wqzgz
6j/BRizVQ/l08E3DaWjeAdcjx1/xEUSldoEb40hgBzYf1N4biM1rXK8Nug/BKzgdIXwB5kHES7YE
YFnthWDrc6K7aFM/Bh3w+bZ77p75b0XcdtqzdV8X9yWIc6Bt9dde2JF43TDuacdK0QLZkr09Dyw/
S+UQhrFqnMk0zOJdHHHJm7bof5ao4WYnVlS+BviarI3JjJ1bS/gbu1iLu0llx5ptjU982AfJJX6y
UHj6c0i+DqArH7Rkm5NtbqZn4YZtqETEFR0ftjcSAp9vlsNdDmrjyelNnNoNbq679YS8cUTtyEJK
IWzDXkkWzY4IO2wVajKd6wqYn1huL+Tq1SUnq9GTm+mDszU8E2uxrKFklGyidfSx6BGXBq/9Y/RJ
6kJcDJbLAhm7LEvGTk4OJBaH76yyg9dYvRBiJoB+1IRa6o8frG7TC9K0A6/Re3CUkaLTCRm55AKo
wdS6IWrP/JZm/Bk0ZiexSz/jxjN9SBSx0bkGmgkkN/V8UvvNFMMV8fAAH57FkZl2B6XCwHviQaRM
mTpCfG5NR7jhJMc1FuT0IG8sajin8VF1ZpQPN8TVtLu7ykd3gUt2BPCoQWsIQM1XovsMXJhuO3FD
KkRIIYFZESNg8JM+heSKsDocghEJqmpy7h8JYmnL+JUhJYJ6j74FcldRbXS0AAyGsARmRDJsBlCl
71F7RusWV5Rwn/gvwgVMlCXDS6M9kBKHtcoqesP4HQLn/FLZFOvZoyJR0nNFi3bicUYhptBtzdZO
khS8zuNJeUYnwWFve+W0ickz1qmMtQcThCalwR9hig/kcV7jtzT0WRo4mvxx+uCTWFY0EnZxww4/
9ucM9tSDTlKLEqhrlkflQ5UPMgvcW3QZb2JM1EEcn2gaJbEJTkl6RqqSD8vaC6uWzJkht7gou+GS
P1FJ1uZjvR2fsMZ+4/VVeMTjsvtI4SVfpgMTGbAaJtiNeWKAgzSZbD6wlxsZnaMdaxcSPYA9JOpr
OgJ3Y3ToSEksSkqIGz9pzXM+e5TaKIaSv6YPvBZgpya4SBHdcrnuXI1Bo7jkTEBCpNU1XKzbiIiv
dnjf2NsE6LuSV/f2yGlqPD7KKnysRErtmeoM5ovWayn86mDHwL8HYYr3YO2T/oZkjB7uKtUncm6V
Q649Cyz9HLMQ2AVNquEO//lJnNfBE6+ZB0s2qTXkFygSjMqC2q/DdUAfqTsvA2mbEwnI8ths7dmF
wEQNtwpgRbnj6DlWPpkbCh1NN+DpXN0agBRlHUYkQn7KI1/ISsb5qFhSpgeezZttq9mF7IAmcpuU
q3wUJ6yJHhKa5dRhR2G9ZHpHX9X0xUntx1fezves6YrNie5Iz3F5PHBa+UX8ropwZ+CK2AJqyoj/
Ua+nBMbTC/SatZ5jDLfshZxxzpcq7DhHiWijvUMYRI+TZhvIivSAPeTFFVcRiPKN0cln6tMd+14g
7ErxhV+dATbW6ROwP3c4fJD1bg1HNJ7CUevESsnOR0pN74BGNVNDnBtUk1HCNeO3kg0G6Ro5clHZ
5zmrMgcNoIHlFDOeijfUlsrlqtPoxa9ibDWEzIHN0XOMXCJWBYZSoLHC3QntJbMpUb5Z9OG7yWfk
wk8Yyp0o/FKB7U9muJPA0AYXnASosjedddCaCL29MFa4C+QqIwbGJLp+M99gdT6HoJJWw3RDPYf6
OILGaGxtmlUc1+FA+a0zjCCs2XFiq3xOP1/Pxl9c5oWC9foTqIyvFzTc8iZ+exLbXEZ+DoNeQVhi
xyTiGV7C5Ri9iU54VKKIAhjvON2n24z+Im09BRxjjFglKznGKyEaVchmwMjcMgjWi1RB27QLmG0I
fmxUclAUXtfyjTi3x2BPshFm7D1ESQAtW7O359P4xhcPF6oEAhmTy/fyc/i3tBc+UAfm0W64PODC
KVmzql4M7cyswN6OKZ8rh07zEW8AkEZf1uHHwn/jIvJh68RARoXJoNl9TbHuwUBhC46Py4VlgvAd
vJDLzi/kZ6ooR9uD7tV3obwTWBvw1MvvamiSa/0AGijRrz2sUxmVjB1qU0uAeOuWqFB60LMD4ImQ
AiZcGPN8eQDrWYDK6czGbdJtM9EujVt+D1Ka5DbKzliOXAZeayF1x1iEmAL8LK9DaqW+grgT7jBW
oXU+jt9a48Eb5SxzFLyOyyCZqCag5GoTcTfGKYIxqTzyhkg8jtaReh3jg0s5Ddsg92rJ45uouUdI
Z8X7RGCqUwS0DuM6+wzSPo6Kw16OFDaYFshYdv2BQdbd9vcUSMNmu87FZNs9ZFA8J86xE9WELbB0
PEps6D1bboj4SfQuFh5HxzzWIofIcerdNkE9GO88DDAK/x6JJJYTq78butcEmlhLg2Xm5yqd+GjC
IyW6aeVTx8cvLq19pehTGrcUB8YYimOh5oraM9eYwxyCB+ae0V64y89dGVzI/MQ74nLERFCPaQRb
Ghi3lLnWE4tEPxQdGWlUKOEMXv96+je5A4JT4BxE9lk/qpP/+wyzlgrdDk4l5wdbJ3JhLPjGwjGf
Jh+uG7+MjjQuCXOR86O1HhOuWKtO2+ZWfQLD42y0i1OmO7zeGYVwCgzZlgWHE4aBVpS7XDpOFFVr
JaL7280gfHJiWYG43yDeSyKFpR/HnUAT36Z0muOWqBJorIODCUm7YLVxweS++H1cV4ZlQN1OXfHJ
MTtYH3g18ptInBiM8Z4TS5rHIfH7V0KQAbloG+kOxmeYPJVrbgo/kl7nJn9clgNfvw6CAShzO6x6
yVvQcy3wVFBOsrINlQu5cCbLM+igQtpyQNTCqrceq+e2RpFHhgt0H+svTEbrEH3CUs3v1/GKLzxJ
qunPuotyDNkDg4wElxxYJWsrx4eUDsHpKE4YxwnPIhzP67QzVVdHvUIF81xXMlC+/I49k9BCaaHC
IX5IYczHDLutYVQ46wnXbZWKlLXVniJyB9Zy6F1UGGFP2QhAB/NhUO6g9NcP4GwwOSzzINHnKBUg
RHdGFnhMg3X+IDhCd5ps406ZIZe8L/sjD3Cp6/rQ1CQVtkXhHA7LTfDEGRXlE8yuBOQeg4fIKVlD
ZEREdhj4Ke2uMT/Wca3ccS0BWkUKopQ9EcrqAOohvQiZy8zCQwvCJUguK1ABTAqdK7fW8zYj48s6
LMsWqz8pfn1Daz2ookUzKTXyYaepXt7ZaeiwPJfqnmHIrxhCjwRaIFBngjYOPXj6G+lunfhWdIPn
PEzQUGTyOF3i0UrBTIORiZpgOb4LnzBWWMbU73ovWLvJvKdhG+F3XG5K68Vo7qrWhoO4jqTeh1mu
UD8lSDlZAoKah2Y5KOENlb2wPgzRYUa8Y3gZuoe16gWUEGGUTIywzZo9a5UM5NSt45q5mIpb9R0Y
waJM41X1joHJpWDIwvgHkipiD81bWPtgfQRZxoYpUoSPbEZmuWW0U8QbsQlFOZnEhpgj8ts74YP7
ZoQawzaMHnR+QuVz1djJaU4VzL2Q3mfUzOb1V/DKskLWd4vQUoUqLcTI6BBBtqaV19qtkTTzXoD7
+QoiwtcjH8rM45OpOLFvZ2yn21JmNFL0R46CBZY9OwNJ81lJICgvMa5kLsOm11BCpLliG7RPNQt9
61bDHtWpYHG62Gm7TwY8NZBAuWPq0iLIFzGgouR+4gdBdmBWoHK31LYuelK3p7dkswxcMDgw/UHR
duG4E2YXRfwotCvhjqszZk41HFBhA8jhdAvFHZ5PeKOxSLEYMVmr2+yVMcOU4shYiZZhvdi8iMHM
YsTKwSUK6e/OfC4aK08OaUXfsj/yMpbL9h1CCAsU+x2Keby890byZuLlbJvDWcu3pXRmGevjU2PC
MyY2t0N8lyvGzhr7sPcBlnGXc0hwxmzB6E5Ob6ngaBaw/Vpk4LLyrjykMQfO+MmS2OxoyUmmcVOo
TwJcMu1jjff4KEKQ1GMJyZaW/g4IwkkKOjww+kPMHHqfOQOelinv93ACKMkQifHrjU8W+VuwUZJ1
8tV1+4Z5AvwJswgXlJVm0LWw/nyYFoDJbM4NCFNARN5sOyTvXXNC0Y6mYrVAmIDFA7tqUKEaIRGl
7iZO5npfaAqqRYOmJ3w8CyyyR+2+b5CrbMKECEkfbxYzS+gU6oy9pgI2KShz5ilMznkUY6/S1bv4
7zKWVo0hq5hAoirU3Kdh7S3paKPIu1nepyguBGKNVvsYUegWaGqJ9aZwhCbF8Fs0hn3YB+HqDCwz
k0ZFpJudRXyyAM4aXRr3c5Oe8e8WXGnhirSj+jjqY4a2fWvQWDGxcnUqZkDRQ43PrpetoiDmEpR7
Y9G+mjx8HwM2mUphd46W3EN0OSGuCUOzQMTeou++szInNaTLZCqlq6/vvL4dL/LZDVLzfH2oSbEH
sxTxcn0uz9N5N4HcFGtbUCEjRJS3ercf65hT1g/oWUHWTP/+Rw4XiJjX+1e9y16uzK1UM3GbqyJJ
GiFLcv2jtJ6mlWwl44wvvSbe/7wg0ZNPc9Z7R1m1Vq5/mmFGRubn/vXW0DL88iL351WyJb7KaVxv
ZlfVFKHEc7so0I2uYXYKaTNj/4HGGD5izJEYvj9u3cgiXI/WFGCENnXaZdDsuHl98Pcb13fD7OSZ
nwerNPCHhhysa8F6GgMm5PWbr3+S9cqk18O53rw+qFX1syVSSZwUupXCXKzJK9npqvXEXv+M692/
PHZ94vqY3Ec7JdFjTzHGY466l1sMYQ3Vpa6cMSGRW/U19LR+Qj0AYeM6MvBVpr0gbEdbHDRtK+uw
zK1jn5i6o2UGWrpC9TiCzCyQxTRzhbcTkIFi+tVmYkPmF3yEWpoREdT7MqBzdqw1CiMLnLYECC0x
BggEQxGeCwGijKIupH5rI13UgnlWZkJI3tLZZMDjR7EKwb/e3AjzeFt1bMiDqG37IqvgNM+kRNlN
M63dhCY6uO1gLjtrMj/y9tJoAIJaIxUPIqWQmHRdjHNUTs068TS5ohACSIKJzN0sS7e1OJeeokJ8
rcdg002EJyhixJ7W6JiX0KBFSgA+V86uEmWJE6tsaeXQ37fwKitQK2w0g1OV9742+GIsKRThGnTH
pp6qIT4XkaUNuzYbwaEqbG5o7nPyiTMdzm5bdJ3d9AWEPeOYhribzmn9NSHsxvcRBumgbWFFMT0R
Uqr1bEL0HhpbqgqRLSVkhQJVmSWrWrdGbqZaO/XHAXwUBzW3GmGE5BIZRl7GT6XYYdGDWcxIgRaN
kE1pGLEvLavODyizCUCoj2lAmah/G0pOWlOPKsjrk2KROxQT0ebq/kazoj3kdLRNb/QHoo9hDDD+
FXQho5d6DgQSS+x4jL5UURZLPiwQIE1Ktd2kCGxeGcFjVFCA6QGr9IB61AK2I8bLCKcNoa8Fr7JT
XssXec26aIXwTSBEqF500Bowj6zzZI3MmkHAHyMaX8ueIxYEvKNadBz7btJuRPYuo4/2aBIvBPaQ
PasofTU6olFR+7ASSzuGPRtcrtFoiifGs6STGcJj7n1Bng99NEx2LeLPbSkDjRJiA51NK+1MWsN7
qQyccCyyE+1gYzkOx7YZFGQUqrtl7GFIUeilBWU5SIb2UssKVIJB8Ko+RhYKp8ba9LLVMmsszgig
Ws/xCiFqjoUq7iGfCj+Jy87vKw2P76o8aEJzMgxtxOO6e9ND1DDGsYarwuTd1oJxh1Qb+148owAR
mqh49QV5Dlq9oDnGF3Lf42YZ6W1LVPWrFgjnwlxxO514RBhQczJjAzJD3hY+2tOHyJA0xJdRH13m
HKYSNhMonb6msUAVaOmQm5DYf2f1ywiNcTc2NPbR9nGjDKm8RzJ+H5YZ0f8cvGuKTjtHij3uEIbe
/JDXhjuoknVsqvpIP02HP1uOkZD0S5lbGmgqgDO2AGoNEJI6DSlYKfGEZJCZrg6+Z/VeXO47nebZ
tm3kfQE5gjY/3xwMWGzyTJJUJdm2Qet9T4dUv8XJ9UvMyxytTt0LpIydoGkfx6Z4G/WMlrYeZyEl
u1lHOp26luhoQiajMDp/mClmKjIySXjjtM5Ii0ottd5E/K1aO0GRdmNc0dKs02qD+MyCOMQYHxB6
Af4ZYixJaPYeyYpX0iI0EKOmA7bWDF/oibc0uRRdOTT2eTWwsRjBbKeooGxpGvYl/Db9UUHUUo2i
XVJpB4ZI/pEFMq4ZkNe7cnqUcvK4njY3faSyNq42UFHzqrbTTjU74bDE0DSEtUGymjAXUMz2cRaz
yVdE5VhzaYAcYX+HkbWde+VbG8lv6LgawQSIiiRpvpmo745hQiIUa8tZU5VnpG1akI8l9ptYISYs
AaKauSMnpAlLr1L4ZvgX+qWkwxuMqCILLo2wil0qtOmItX6Z6X/dz6E6enFgRdsZobNV9myvZyWe
bpVy19fJQyAhWs1ijPxw8qiHpYhZfXW0wkU5yNSz9DSWUZwcKOpAxWoxITqMxhtyqF/T3Me7fIx/
zVG+gaIePZZ2SMupX5pvQrwMR2tVS63nzEtoOqZ7QHzPVooEfovtAbXAo1hVMZZ20VOhD+R5VDLm
TDpJwsKyaQ4jCuJG5GCK8sQo3Va1UJ30HI+MdhiJmy0tc+JWoAoYahdVaJxs0RDDmKrvZAqOSYt3
VBTlaN5UhJ3lGHfHjGw3Sym71CplILTZ9UMfDA9dIrd+SIcOhYcVIqF3OGyS+BSj064a+a/WkOgP
kD4DmtRpAh1H9Oji1NF0+bnLw9GJVG3yxqFCPMsY/Fqb2WpVWXe1kfTIaNAXF7MnaVDgaLTznWCE
FMWUYXFyJJEspK5pfLS6ozwpxLYsLb06rIpMcn+U8Q8Yx+V1Krtzk7dgBOmq9yUORzWuQq+LowEM
eryooIbnBPntTMJKSEaJPMdtyjZ0rQDqnKG4CAqd0XLgy9OQkVoIzb7TaEhqdUCFupOzB9p/zuM8
IcyY3giJbjnGktMFQUBfV3XNjgp3XkpAUBKh+MJ6yckSzSF+V98Dkd5nBvt9oUpA5Ybpx0TouzyE
1qFH/VGYrXu0ZeywaCxKJriIqJUtlG2yq4b20dIllnYBVFHC/QV9MfMT5xxAGLOHKqODUzVy6Osi
kGZaGJrfjc5suelEcigNUE26CKZp2YHNYd9w1kSp91SjhGWeDCe6Hqe0+EXj/qbnXLxXy0uNNcs2
RHeI7Ibfr9PxsixWfJqjs6nlcBv611mdILPOZAPoqi/JAaXR6dgIkwhv+CvUdALzsOmeIuEe1wRQ
BAt3xyAZvuJZDS6rTJNYYmSmInxxCsPhM2yNwBN8Rat2iL7pNAJOwAALVk85IX2KQ1jU5Oqdlraf
Ujd4jUy4UZuA4DjevcQBRIyaLmH8DZnGb0bbOmq4INgsDZSbpYAtaElvpOk0K3F07CtKqGaiuKNk
USA0SHJIw7tSI+FNI9QuyzKiVRLF4xhNPrl/ZcO5x1gVYcZVUaLyRuapUwWBdqwwmpukpaPbfMWY
xPIyoYrnI710mLOJHynT4KsB0CuWSnmwVeh/1munqY8awrnoqvb1CWECYP2ZgAWEwIyG1pGm6qxI
nY40PqXXiUacNEroJE2WgLUp/TDLIDk2QQ87KElXHWgg10lD4WEUyx2eNZFskyNpBwx5WteYpWdF
T89LP+onKWueaFtnnzRhb6Jsu5cxQ0K0GXBvLqzbVOdSIhQBq0lWsM6KqHPiCGXr0h2IWZflLQlF
nSMTUJwKtU1AwDuwOr3SnCxs98kw1E8ttEW3or6OusO9rjfAF2rFJcsI6AaRKn2N5dpxadSC5r3y
0iWotbUaDXd0dPkxGuA+Pta3bS3Guz5BU5fgG+TMaIcHHBYqr6UNGzowd3MzQ3A01d6wbEMpTW0O
I03GgJbSW6PW57xULBhQC1rrTB49RUAsDzm5aL6unFxCUiF3C32aXWStNPqxCSMEVqasb+yxBAcJ
EvWtJPZ1lFz8zpuCmr045lBCmugQ1zvDYpJWq8PWqDDAA8q12dhLfjBgjqKU+A7oLJMFwtaQaOiV
DdoHBQXhUz2A7CLPsyvjtQ0BwmchaRIy0zg9ioO0kxGH2JFPK+OyRgVQ15E4dye89twMQhgJ9V5K
m/QOs9HEi3qK6+naFlmWBuq/+qwcxSD1pHzQQc1waLa0yddH2o9MoyfpQw1hn2VDxH6VgkkhE4pR
hEJ44plKNtP6PYdPpjbAN00LesdK6SV8yQxa8BOCels3lvSIlCRB3Viw58licDMb6dovQPkk0LJH
UQQX0VVJuq1MmmFVQpuNivOZM7UmnfIKWhCqEbrQADF/DZZiF2FBRB/jdz0b8d5ayhjkpH3r9cpf
hKIFcsjGVWpvj9gYhSLsZ/cNMFqxSh2LZnjuFC5ui8JsLS4khpoIXm2K0MhmuBnYW2puWbQvghCj
SycPFjFL0vjNDB2dLALIKYb13y04WdD/0nY3gjyEJ1NMzrI6Cg+kuwp75+fStDW2T0i+xyA2GPji
HXBfFoYfFCQKRk9VUwzYvrOOKnph3JAM2UWqfCJjjOp7GosYO+UFZYcF/lb3MgTTE7CDRvpksspp
7Q4L75oGCqs6Bj3+JYuc+SnJPe5QDWtLHe1bKv1CIwZeWqeYJaElbdLS7AkLFhjdqK1ZqDjg+KlA
nAypGfaEzkUGM1RS6D6Rxtw38k65VcfBH4BHBgQRT1jdQW23alxjTYPlNFEwdNUwjiBOI9zWhS+Z
zoKDKcUvCP53WzFiNjJamNCEsLQPTYXbSJgkQXttJZbRWceBqApVkxc0r6UyohE3N2/iqDUUFWOm
aFUB/S0v+Ig+RvgxAghSljetMYD+T6k/mOeFAnX9FsW15ChTSJESrnlbQf+PaqofUYRVFWqJGEcp
F8EYB0+0ZmwOzWVjfowh9OsZ+yYnFvSc4KHJnCa6y5b5aVlmWsgsAOC+zG+Ktn1comInZGF4ybTn
dhg+p8SCRBuRSlbAHDaHW21ksFu5Ffctlg72DINEKif4CuZ+MNNT1BwVSXxrFiQZcsU6GKgNbCxN
N+HeDvetlQ93qTh+KyNtJKZGV8gQW9qmNdL0osXZiz4+VWWpfS3qpYjTO/Rxa78vFspAybQWnakE
tRZwa6qeJjYkBzTq11Bbw66zqOWhW4O3fLFYHgpKqCtLMBrRb3kXFioLkj46w0zvGT5GhiOlzyxY
g9snAUzJgvW9GuLPuMy+KiOsQXXr20YK+mMBl3JgVzUW88tqRcnRV2mQuFue3ntz9U/rBZw1OEno
VpRerQTwALCNjeVbqRl2RpqT04ydW7CCb3tpOg5DqPjoTBLwR6clLwewBIPSRbXsJtQ1ttM803bQ
IxwR634ur5jL2pg4rg6sc1cBiPc1mt4LwZRcnenxpXRRM3ejWn3BUvtbyYXSTfr2o9C54nIcVN68
6KuLEYh0gvGSQFRkkNtVJq00qkA3YF/UtOhDGJ9W9TaLvi2uOtNHjex2MuB6pBpQwRDJLNi0Cggo
md4MVvUVU6bsuvyXFowhDHl6UBsIzKw0gSW+Czl0IilcZmfOqCPHFOMEVadK03wUEl1QgenObV36
jVqyvKqkcsEQPfdt+zINy3LOtFt8KbtN2gsZgohDAXcRUSUBrVuu+YIfZM91bO+6FPeNaGz737bw
/yN9tmcMd6vvr/j93/5Bke3f//Fu+/t++F2uomj/cMcpurib7/rvZr7/bvus+/d/+5z+zx+v/P99
8n99Xz/lYa6+/+//fkc9t7BZVZr4s/sHrTVLRSbvv9Zn+48mXsri/Z/f8oc6myRafxNVUVI101BF
WVERBfxDoE2S1L+ZkqqLmiH9IbX2nwJtivE3UTRFHXE41UCjzfqTQJv0N0U2TWyqFFNCM9L8n+iz
SbryF9E/PJ/RepQs9GRFDkj9q9QiGETbTogDHdmPkWJB/2p//TPhA7eXVrsFeZnoMKjCgfIUEG6w
ArfYaP3nrfVuvGTPRaeHLh5VFoaNY4TVqzWzQ6y3GOU5mn/7qzZ4Py/F71s/UuHXx4x8RG/n+iBi
rL1nyZEvTjSGAC0+ROUQroMzx2OpkMLmBWnTo4wvhHuVvf75I131sq/388VCGWBQ82dVXmBLr138
jVAXexRdzHSjhwJ/tVrHrlSizKGuZY3rH/la5limhvs/N2Va3uJUbp2wXUsf16eHARhpe72JVPO8
Ko4ns50MyDfrcoLMwfWMmTNWXinmv2DEQ7a5Pvb76bHGTANtAazwcjB5DcV/BKPRP/+5m6EchHab
ECX7mj6Usuv2xZJqIoo13AxH9u7fj17vC/if780JZxRsw3pxu5RDRPMPv/znj6SvPz+UTGSf0/Vq
aAtWYQRUOL9KqMdHq2a8MSRIR5ltTEcFRn8SgdP68PUFP68aG/lJQ8jGAZvs3Lmu7+ersH2BKvf1
FlK7f9yKewUk6y9Pi/EUsPEqCYvYJD2gs0TLYFdxkq4vvN6Xh/VE/ukp5V99Juoo67s6SIXZnEv2
X769+v30enDXQ7p+xu9vut78Oc7rG/PKq/BSIdsEw0NzWfp9S1A7ID0ty5Xt9eb16eufesneTFUM
6GniHT9/8r/f1ZAI2WH6/PsVP4//vFZrJVouKy8XJMQrChyiNm3Y8Pf37evDP3+Mdaz8fv764L+8
/6ePut4E8U3cVFMeft5yvfX7c/76EX/63n+6mVhfSj6W/l+/4U+flOkzQtWDbGz/9O4/Pf/fHPyf
3vCnmz8H/ae3/svnr6/866H99ZWxnsDIyhQXFSVI7SbT/2d4X2/9l4/9nhd/fTrOFByk/vFzcHb7
Y0bNRtYva6jy51lUtWWDNwlYYrZRG5p9ZZa0n/f8vPovH3t9AoUf1EU0/1pS/KlbIpBT7X/uXp/9
eaxUg4SMaS1T/tPN60t/Kpg/n3t9+89dxK1YAa/38+vHXW9qY8cn/3zT9cHrn3/12PVrNDVC8nrM
3OvL5LTWh5frzSGJBtFJ2kXyxNHwlNXoQtewOJwXa1XR6bN6f33w+sfMZHXZ/n7q+qrro108agvx
JcXgtk5GGyn1ZDhcn1rERF8u15uiFuYlYRxf8PtjiMKpflXU5WkhK6mOrk91ApSV5NA0yLxg+wu1
DUTUEuhWrPTpI24QxFgqssD/R9yZbDeOZFv2V2q9OXIBMBgMGLyJKJJiJ1Eu7ydY7gp39D0M3W/V
J9SP1QaUmfJQZnrUG1UMEAQIUk4Sjdm95+zD5LAA6Ab+XH9PCYvcNN04bvvsD5redJqiaJsbLfKr
CqHW4MWnKisriqOIpCGM6PwoVPgs5r5HioesZ6AQRWBnTc7v67/y5WNMjkcOQtxEW/Kvi2O/XMfX
CMJ19T9ua5edf9lluTOsr315xb9Z9duISfubt/5/eBvhSYp+jne3vrO/3mzXv/TycN26vo233vfX
P/Af/yW5GR+jhD7kr/+adizRgE7vACZzJzOX6EU/H/Pj+qhbPsrrtrf7vD79us/rtqp2XYYif36L
N29r980//urrW/zP/sz6r339K69vs27zk/RLnkI9WqNjKOw3pKJwN10frdvWVe7gVysxp93r9j5q
B+6FC4zp5eH6VLLeV9fXvHnHdTVf75Dr0y97ri9ac2rWRy/Pv66/vGfkGLeTQU1ptjqcayUdHpsu
DRPViEzKE4KJM6HV8H3yCW+DHkbqaTREBSPSXUoXhZRJ9JCB0Bu6ADimouo71SW6AJOPbLBDT+ZG
ir6+TP19k+fUgnwS5zpr71d0LNLU+yqcEAVNTAbVV9fwDlZa5YfBQ4dSBgtXUb2bCjFhAjToArX1
czL3uCgYYWxjce+54XwN64BY8NHDzLogfuP6vakMZx+V7ecsNp6TvEWxZWkfOZyETmp66DFnBK6f
WoL6lrxHfytJXpJEWDqYo3TGRA06ZH/jknTR1tFzGsCVmQiyEi3VGyZ1tCbSXV5R6etHqk2Fcu6q
lIhvI/6ZErEFUK+kguO6Z6YIEWnPdJbbNP3GfA/7oZeCoWNEjsRJHTPb/JSLdLzPyUCj3bAtGbvf
Tq566ocSDEC986OGBkZZ+9ANjREr7wTZZ4jfuRYxZW6YpTff+iXOMtJlxC8JRcYp4+QcD/NnuLjf
VDeLrTV8MdsnHVbXmqwiJvEAbfNtpZbrHF63uRE018jnw3JGBVJ6ZEVowpJv1Dxu1KPjZne1qzl6
bQRroqOzor3yazmgeILKSTUDgC51FPFoiz8I9BXHPIj6D5mCzJRGGHkpTBdx/UXKYLzVFNE0tt8c
Q4ldnZJq/Ik2tzgaNakmNExJyBwqmFFdi+Ixoj4TgBY9UBUi43FqLsWUHoeOi2ptimLntDCItA/D
M7f1RtX+c2KRHm23YMwnGPK+i7NZ+iWsZGV/6aPHoGlQZRJ/sKmdxrutKiLvyFlwQqm2YuNmMB4S
wpaImuVjuUtw+eB9KSI7eeh1NT/qz96TOep+r+Aj38jW+GFEd0FdVHiYwb1TjNw3hBRmIfyEdhZX
AWSlLHahrBbtHmrQTiI9tIhL7KsInklBujkBJSjlMV1GRdYe6gRbXJzEWFY9YgKIY7w1YqC8QRDS
tc0Js/a7L2Gqf1bFRGmpJowgTx96s8u309RK+CLkFW761AcnLTr35IV0AEjFQlL3ByEHwY6IrF2W
o92tS1Mjs7YIUKt+FrVzJRPP2lUVh8M2aqh7O3NMUSW91hTpiZW20fi2NBWIgso3Ykl+zwNKdLDs
kfBlzGwcN7dIGe85eWbrHR16fIAWKHAniDXw5y/dPD66ndts23hhQNqa8B5eMZEHhGx8uhRgPYog
rL54MruLrfnUKbXLOT/aNG9uAwfLcpI8akb7+G8yFJYW2bABupDU1PnVt51jXU7WyU7I2ePz4IIM
redRUtMLBocqbDhVVwI0DtNILjXNBaT6HlWlMdOPFWcVmsC8525PK0eC9r1OMb+EQxsGWab3YR5I
NDfJq99UOuh2JMrBEJHOe1uP9blOuqdGRAAJ52NOdrSD5aoiI76UTMgYQlNhxcHoHfMIbP4oMrr8
TP966NlbKnofIkNTF52nu35IywN1+5tet2j8wqbdVvDT6Ll9I44ORdxQ4PrkxN+URlPuiJzNO7uh
yU9+jgxHNPTYsThQPxi6VfichXMOairz/vRVMBhxRVtwPV2wxB6iGLfhDeJ+EXuH/U3rEJ7tnVKO
xoNsAB/JnlBhLgmyqaio6QwbK9TcQZc3Ff8yam+IYQffuSEBCJhKBBCGCJUCRtL4uevooslkuKv4
cYnoiH7MffCjKKMLLOc7NxmfgqK+tkFFCHjnnzIDGUVlGfUtgzRIUmX3vrSxbURBCRLFyAhaEOKp
F5aDdtU/AO8ryI4ap+uwdHtEbOz7lItuFMEl6HKJN6V0EBMozEaBreGkzPuQxk9dj/eBcD/TH6Sl
kELPyH1QZeX8haA4+12tqo+cfZC1G01IM9xoKOLQbf1gVw4O89E0LjYhhOrErvdj06LhmIp+M+bh
h5jTFKXXN4toEwoolGOtGl0EhaenMfBxCfSQqqcuOvRJB4TAoE8XWjSnGJZ1fn825Vc/C4p9ZUd3
fkeAUB4g67Sa/EkEkBLCBhOaUeAxjeANuH4nn7JqgxbKPukHt66N08AJxpkm9uS0TzcevKx6ouVB
DvaJtifWQJqm29B97GfQaaTaIwAJMG4XtWEfRnn1dHcPFrG5rRXH3pCiR1syk9PuU8MoasOt0Qy4
3HVd+pUJAhbwvkUWQnBIGcARkOglbp1UIPmjub9lJH1oTGqn9tReUy8m5MpJHtNQ3nK1w0c+Tc4p
LiOwVyNdh1CZm6H2cETGyUXM+3LuECL3GnChgmzWw9NBB7dxRv/jtGgmnAx7faazDREz3xotTz3K
Czw0kBWK1KXnhlpcjVOMXI902oCZAKlQ9hNYaHwUAdkDmcIhCJbZqUGRdaNv0enGHJlYuPoM1/5S
exqIF30//ENsaggivZuUgee/KL9QUcsPc8+ISLuYd6T7YewnwBb5hwL1H86e4i4L+YUVajgsqDNS
fQecrWzfF9qBzyNmJMwiuocvuxTcqcPXFg231sN4N1MpFkXy0LwzO3uEulzuVIKqtOTcUGkA0XHC
P9v133qNDzuALBa7wVWoDItaCL/CSU3QAx09I8oXQxpPdzFIzX2bxB+DPMmOM9RlpZ3vTj/uIloy
R9OjbC3xoDo2qsZ5cu/LhoqyE+PPdskyWb7piqhuulZMliqufENHniNCgcID2iW8+I/KipF3OgwU
WuDbeP6d8rYpK5LPDHTwdl/tdVK89ygQaa7HRzf0d1FrDZciQRsWSFtvyTRH7GO621Ag755oh7eM
HOrabW67rrv6om6A8cAW6CjpS9f+aDfmqQz2o6ttrmcQgFSymAAwtNbpk06tMzvxs4nHUVpIVPIQ
IW7/vRr4Uyb5aYWZThsl1bHpg/pMsuc7sn77JYhtNyTRH+n4Ee3UcbLHn9lgTJtaGeihQuvQEkNA
TyAFBuDkJA64bbMZEXlxATHrDMm5cj54fgQhw4zug94zYKsZJKYqjClEn9NWLgzsLWkRHGqG0GZT
nqtqLrYuEehY+pGzLBhdQ2Alg42hYULzF5HRNxBOLDwXTi0AKqmRxqYj7rjGbXPLDy5ukbxDhPes
FY6T1MLI4vHFRVlMn8NoGPnoUx25LhVf91RXd0U2xQckzLcIs1I5WKfOJ4q4NUEqJONNhVJng6IR
jnmHjc75OpS1eGgJZ9rWWYFsYBzBn/bPhYloE98I3zguvNB7z4ytYlq3L1s6KiGtDL6Wd6NTYFwp
qksozHf2APlSmMWT1PqPsIV0Zlb0zVT0OUt8QsyAB58NB/9fbGvMSeN2rkcuzVESnUwl71PK0CPN
WtJQPjdx5N9wMYRJklZn7oMMt1yPr7sCAk06yQ0dk5vKiQiaF62zr9GUWrLF0lkPiKjMr303fTUk
BAqh8UmL8l3ue/E+Ix8J9lN4p2n+3Zo2EexmgElfx8kMacJ+SFxoKSE340gYB52q5FIlPQ7wPxrP
vm8G2/0kEK5mAOYRWW1H4siRyvyYZoGNp28YHPk4GDw5c4xCjzSUQ8Ukc24Yohm0n4NoE5VL72ew
OPnwixsxzt3x0bJhyCWBfW9UvEfZAcYOA/rjiQGKsU+CbWdlVBoG+C3aTE9EU4U4ombUbtMF/IW5
I4v3UwTLe180dLw18x+besUHOuiODZCf04vRgbV4PQfKHeNi4k+jb3qK35th6d4WwfDT7qyz8ok8
sqb+pxt+oByf7oiq+znko/goo1ojg6qWgeUotoMFYjApW31xbxMif+9CJzgZLWbqDmGWr6Hie8Yl
94fv/tSmFypHu1gK52iN7aVNsb43c3gIqTTfUaP/JssWrUg3S7ByBzcK5r3y9Y/KI6yCWNDIjJ97
O8VM4WACL/wYy/ygD1HWIfoPfBBX+IgmXDC1jajJ5aZQKf/ZNUi1B6RkNP5FqnbvNC53zKy7aYPw
0WvSjyUgoMHyPjht79/0TJJvhJreN0HNrwr2MBx5MzjuNwoTeW+2ZJONKBDQ2QO232Z2+ZFQt29R
OQCuxTJVogsDBA67Pp7vS/pyNwSfR3e97dj7xucnM6zHpkuNq5nI4FrNdXatg5Nj+MrATsEm+raH
hpyay8s2S6GHmUva86+vCm0oyjlJ3Li3eKf1iX4W37pZIfbteix+81NbP7WZM1wHC9OlgnLCRBVD
zow4YHCThH9I+MGoerTyAaPYhEjJbd93I+CCExGzNzElgvveGsPHbllMWfDYDLAi8vKkwkFe1wXl
SPhk08xItFR/30YqDiBDjYHb/Oc2PaMVtEkC39dIzEtPBg/5stAcjJWqr5wUeGa6rtmNuW1f52VB
aba68yY13ayrBJiLa9Ko+GHQyKz/udu6vXWdTzHDXyDTvNIzavuaoR29zYe2xFT7j7cUJPnBb1ji
7ZZdfnkCaxEC3l+2IHHNsVOVxWH9A+uuQYTQze8IfmG0f7tuWp+MU4IFpTs9rZskDPV7pYzbIYyS
R2qFELena2dZ8eNQjz/HuA4OaC4u5pRk53GUznVdeDPnVdnh23vdli2xQEErsk1qGgnafMouZ2GQ
3i1TeSUvVb68Vscu7Rxc5VPUtZui8CJ+VBKcQeRUHsaPZb1Br7RriDTbVOt6BJKekdF4TVrvYfa5
hvQz4vK41s7V9wk3kfEpXFYE05uXBVOrL5oElePkZLwjQeYtEDO0zK/7jSkCmmyGRLS+EToA9xTm
8TXHTXBfLRCc9YiaEapvxqi78dGLPZSMvh4dYj4f7aR8qoJwPK27rQu3Lm3SPGBEravrvhYWpVuJ
lg3uDa9at9nTwqEu00umxxG/QOhfCbj2r3hs5qMQ+msYNP513W4rBIruAOA48Uw+x7JboKdDBZf9
su7BLPC6GB8o23D8lSS+3hmh717rClN1VcCkIk4XMMU4q+v6hNUl7cGs8Heuq+sTYWo693VWbwTp
swYD/6jbtbkgujMG8JH2+LqW91z3jeoa7Teh7Cjq62RHwAE4UiOIHskgR0nuYNoXKoAarro6QCpI
9a2t6xjVMQuna7sDNSVgWSOgrLU3/j/q/u9/lPff8h/tn7v9/z+b/88YJ7pFShDGZfFrJ98nzOw/
t/73zf/530Wblm9f8Y/Ov/U3x+JC7NOrl8oUFm/2986/sv+mhGlanmtJZduufI1m88Tf6McrxiXe
EiS4pra1pe6i//4v6f9NkYpIRp/reA4Z1P+Tzr/vk7v2S1ihbSkC4MzljVAn2Jb7JqywpDrpm8yy
L978JWsxuU6VqE6zjdtWG4CUi5rCFOUVNq4Lc4oF09BlPSp0dXp9zbpt+OeOry+pXLxBbTecyX2q
AF6MDELGAvuz6DzG4evDNp/NU1JMCInRqG9fVo3KPClDsue6/svDlxdlLsriQQb1LckJ5HNmfovS
cFLndSFl1IMpX9bzmsAxmPI5Za5sOmVpaZZHq/XU2Yg9vammZrhdd6w7QcRL4Vn2wY7cu7fv0xWD
5I+N7hd3XkgsZLPekg4zEYmmm3PsMs7wYv+4rq0Lu+P2x0BsebaqGCtO2NDOBmnn647mslY1TJ1f
9pE1sI5OjyeJpPh+tt1zYvYXM0Sjpuek+ho4yQMVhOj9GHruSakyvO1aq/zq6vGrKpPkXef1QFiM
BTgIrepkDAlma5xOSwDjuiWVNIh+OdqvL8fK/yoofpVx0bX//V8czP9yDCkH8QqHj2mRRLQ+/0u2
n5IyaX0ELBc3tUdoFkF3TJdFq20BXjeyu2PVFfq4PrOuro/inFEyl8b2hrOgOq4Le+myZWvDbV3/
5eG6zsyCkdYYd9s8HM17me5iRqcP60IPVvaAwpXvtvJQUEvv6HU6lZskPucDskVfGues4A5DCheM
Orxo3kjZJGnGGyu2zM/NNKR40BBv6sAtPrjE5iaD/jZ1KX2ABBhqmHsBZJXcA0nae+fAlN75dXXd
RtNV7p3K/rSuvT75uq9BcBQTVzKtBnRlhcoJUDU1ITReBuFUBpx0r+uWHiivr+svT617cfuejn3V
/WNXsbz+9UXro1/26eiVHroYU7vhOg8tgYmXrEVsmAzOQ1ekCTMUN+32yeyBrRu88ZD0NByy0V5y
e4YfbmM1j13lYGGYA6xmo+ueXhe5Agb6uqoUltR4anFPL/sNs0DfF1X51nXwcTGO6L4WOkw5Wfvg
SPhncOyXhW04OMgVHh038aqtKlT6GE34CMeQOr8kpAm4OR6Q3x+6jv32yPUEXg8uznQghZQeGZy/
plL2o6mCUYrsYtmct+4QYptNg1PTkzChUgdZYvI1HKrpKa1m464aQvxRITUf22UoNohvNUP1JfeQ
wlC7PJzLlqzfQP/xss2vqPE31pNlPYY0aZ/oNlAFMc0AyoXlIx5aZFFYx3g41qCOCrtnrNyAEW6y
7iLCMfoYpeHnNkM8ioZ2N1pJF+5z5YSXmHvzIcWBvq5xgP7+m5FLHuef7gt8M8pS3BfM5Rb19r4g
Jsrgo5dll35q7gLfiM4zFAHGAxA21yVW5+rcN0Z1fllfH1Jl+ZSmabOnEkM9rIyHDU00wiOmWN/X
CbPDGC/mOJl/jKXLZcxoT4Oh2gfcTLgAekoI/mQcc6Myjo2bYwRZH45CKblZH7YozoBvLXu9PPxl
B1H0w2ZJa25GOk6G1zX35ZQ0971Nr+dmtIFGzLE86bbudz6y9AdLEqDNvC38UIQMMSP/R1qPARXy
xCnOEZHhf38Ym7o4W5XZQgzGPs8sujz8/uv234Qt22gCXd9DboqpXfKNvzkQiTUjbskb/KM5DPQK
XNs+vi4q7Pcvq0hysey+rq/79OvGN7u/7LluJDlvF49It153WR+9eZtJl/Tclr/c8o/99a8gTQbQ
SfmctDejO7eIQmEQ1MnW0cxdbwZN/NiAPbmlv5v3x5bumDRaeNfrMwnxgeAW0TH9fafRKIqDwj30
sm199bJwamaeL695faYL0/jOqNyHaH0b6qm8zbI3cxd/6/hkSzl+iUSxtSnjQyGfj+u6u2xcVzkl
7R2XdwoiKO4Jdi+PgexObj1RliPEsoGHEKOesWYQOVZof1ofrdvo1n307BBIKxkP2kXl3iXYNMvB
ucPQ8LCuGctNYH1EoOa8+Yvj4u2tleMCwai0fJtcR2H6ywXsl1vr6EssbYlQx6GZcqLJB/tKb4z0
h6xN71RYCNIN2WbN1rBjQoKvsMAWpEMBTCryKX/lsq7uNVPec0QGTrqsdYFMSY1cHhKSGZ1xwRBW
GFb3Q2pXhC6EP3OE/Eddh+FpfZTJwJebqhWcmn9+pnd6TtJEAsqKovlgYbiDtUhfGDMQ5knfGzwH
N3brHRu60UcXezwBenSgiEv95NuNf0yRZ54MtwIQ3lrBDfAGzIPL6uuiGb1fV9cnGDv4pyY+zPpg
9vl0ltVQHWtU8GQaj+esFCjT14c0ug1nVwXtw4g4kUu4CKMjrYzxXJhtuq8s52szguBx2vqTrPzg
lAYznM4gpBr0uj5O1FPWZ163JdEIDUr6NzJj2mZOFu0DrwJ3XAX5oxQ6eurHoN9VJpTFxrEPVW9z
4alrfE2/P0jeaneF53qelIr/WEjlvLl4MAA1mgqx/84leuq5cuZ3E+OWo7ksmmXgta6G44PqtTik
FNJa8IDm1Nn7OaS2zG2ApOCOf2eJuvUSjcq7jKr3L+sqPrPoZCix621QRsUIAYpzZ4d3pNiMXdFs
6wQjCIXx+X2sxicKhf5dPEusoxPqmZk8h9vKDMyN9xfnhniTDv/ysT3JvElgg3OXWdqv50bnlWFO
3CdwrraAqDc7w1NgzfE5Uc0PxwFfjO4+5za+Txx47tzC6FIvC7UsZgOzvGl/agpvuDhFPl6izPxu
BXO+81DVHwsS5Q7daNO0jTQt0hG9sKQ+1+VTfrbSrDjnofuNjk+yt5cDcD0KQ46zv/iUzpJx/8uN
eP2USiHxUL6U5A8vwu1frgCqQApo82+gEmkZKOCc+F4ui3rq1X6o/e9NkOrzlEYoBHqbS+CyaoXE
VZSeoDyC2lbYfnhC+kJ3uhgeB3vQpG8I4IlqgTw7s3nwZyoXZdt5D+uCywf1usoj8oxNlZ6Cg6pI
7qU/k38aOqZATQfPVvtUURpO/miukw+DN1n3s/nQ0jeI/W9dYU8foxZSRdZjtUtjSkcWLZT7Jmeg
FC0SFuA7f3Em/JtDgha9xQEhFJJ7b7nN/vJllSILqd7gBxlCBq95QUbyuiA7NQc8Bmih0F5/rIYI
cLnfQIsAAQbkgejQ0D2Zo2PeeBlgJS9P6C2K3rs6OvWuPMmwpz0zIAv2sbDq6yzDhsqhvQzX+FUc
WW4qE2FH8tkRMEB1So1wCYfd4Mb8/Wd8O2ZdDghfUktwlhsCR/6bGbtVj4zRPdQtgQ+u3xbAEAiM
wSvLdEuixcia87oAjkJnGO/i7nXbkNaAsSVwpXDALCpoXQJupMs86aa9SFDeRe3C84mDfZ3fM/6W
Dh1C6rzm4sOtRsgrXTzvgniszqpIfWg7o7UlO6u/t8MJ72JYALMJh/QMFYQ0AqW7ber61a2PxuTO
7l37QxRmAEjhzjvBNjGgC//F1/NvzhcKI4JTBR+UyRf05hBIyTCk3k7iysA3QaPGPpMEnSLBAqQ3
KOthNurhlPqYGTLlhvdy7Oy7Lsg/pUrR0hW5Hm+lyLklYll2yEyGxFctdresl8cY6jkUDecRlXz+
Xo7PZVKpp5FRxQIlskoIsHOfdih/rA9tSs3R8KLuzrOMQxC15D0TODwvdAAV9daVbuCXpMaoHXfZ
s2MVu6H0nB99Wt7XduJ+rVR5NJDpMNdXN5nzFzcN+80An8OIuo9v2jZpjJ7y1JvvaSagpWpk1u76
EBQbYnk6xO0kiRFPH8jwHaiZEkyXkr9QOzY+IlSrR0OYf/AZNeOkAN9xNzpnB77LYShHIG19dB8h
d7mv2vbeDPXPgRE34Q4a8CqfYZOrkmZkRoHVHXNY0nJudr//7ddr4Z+vlb5pCSoQXCltydDpz799
PFtxY8+AXmTYOuCcPBQeiOmbTIpzW5besSQDZQxi49y1fXDWDGxeFn42Yp6VOE3gCm10bozXuamn
a9PGsPAoHyTI8eLJP78uPC23s9sAfe+tk+mfB5HqUxKF4zluatqv68PJrMbzsCzmAc7sGNO19fVx
1GTbGqURnlFj0VCgs95XuibQT19kD/TMCAx9ajNQKdouYd3h4nrXAuasmvRslare+vYA+LoQ/ckC
XxUFNNT5qCPEHqYKRMXmt61FjzHKF6EAWSgB0dsw2bH1Xm1KSS+LRkfPlgnR5/c/g1huvG9/BpuS
JzMWz+N/b34GTUGros7cIpGO0ZelOSWMpjGCByJXxaF/tuf+c6Qa437obOOeuXlwNLR3jttBnCI9
XnoqEQdUJsZByen7XNpkui+L8Z+PdJfTsTNRREtbJMcZ7ac2dHIelkXSTO+LQiQXM5/0JVYQ/LvC
2vPzljdeWT/+/tO6/+bTUvWyTIZfvqSK++ae4+SR0v7EwTyI2QJ7Jmmj+lCkoCmkJFFNRXADUSf/
OYXRIzRQmYv6nNS4vieOBGOmXZ809KubaLw06jAYOEVn1wWQbOvywKB4G/RoJUP8fnuhcHwmw/hJ
JZl7Iii52hRl02xQiiNBFdjRYwVrlvJNeiL0Oj3Zwu3oz2YTiQsGk4hloXuHkJpSvQcZUF3WRYmq
7eJV9WWap4p+djXuxNBND2KaduRgp+9CpH5qwIGcxq17V4TM0+gwk9PoD+DYi/mjZRNWj2C1OjLU
7WmzGtTU3JIYvEq5WzRCJDcENJh//907/3q/x/kmli/ddRxmzvafT/gqwsvoDEG9YxJ0F4wunf4Z
GhBqhd1U+hlkVmvcq4WaZI3Vc6e8/iGmWVK53s5PueYXc1bf1iVy/bZS37CJi2WAd1OYvXmhBU+K
jJd7u2Fa/Oz4B4DSbEPDnA790soJnJPR+QcxWckhmhYsgjY1QDUomH0p7qSxMEMIbRLS304l1mWR
ET3uGs5t3bjFXT9Gz7//Ov7dochVT2EVFBZfytvZot2lfVVVebNzXCjtsv1cNLn+ljokDcJtSo+Z
6Z3DIEwerCCzNu7oeXvP95Int+31uWl9pA3FXe2UKeW+OrpT+ToJQoGM3lpv53kJRwZRXGMB+yBn
+Mpp7hPyQohGWEzfO2Xad+uNMOGQOypzP8WTOCpRPvoUVd2bAhM8zM3WOYg0u05QCyBjlBHw277d
1yB2UWSSSxXYzcv4CgjPV7yv7m70Ion7mQUKs3zvkNm6QgNByhjbyJrSGx8V2pKgPu3LoUJa00j6
F2ry3jVu4L0D8UREM1T53j71EwLgMkb89vsvX76Zqi83VGlBGDAxd3LdezvwALI0ydo3gPVE1UHK
MX+nwuaPfJTZKdYVV+tI2Ttn8JqLgxH9IALz1GSOvmuVdG5yPcdX2UCXqFFdgzKqavhRmfBtKg3u
AN0fdlLp1Z9lJ9Nb7mczbYgv1IzEU8FJ2hfO97yU8QVmw1WiRbmdvEzvuQd9anSm8K4peuVGpUmZ
q6OdXyE1d5BvGbUXgApd1GH5d9huZP4BHTiDVmjP3hT6J6zBT1EYWWc/aW5Vgt7ACfL0tC5sI/U2
SkGznW3t/kVXYf263txEFKZY/CHoChUXqj+f2lGZ6zqX9JfnzmVCOaB80RWKX70gZlPmITHpqaNX
fykHC4Kug1627FW3q7Ok3w/8xvbgv49Th0tyWZMmVX4MMyD++dw/NnaR7tDqGU9O0FSkY2xbRny3
yLqDzzkTixva2pvZQF4mrJGQLc2RHnej+1Cn7aUToBqa0OJX7avnuElOf3EcLXfHP31wxbjMEnJh
szh0AN98cM6mshp7jiN3ljurmPRpHGpxqHV26WrCyDvDBOY++P2mxU1wFrTXuOWRiD4NcXpbjx0q
5a4ST+n0fh49xEtmld91obh26WDeDJNPU2zIxkto40Wo/ZRafBDtRpVlD3XRVPfUZ3aJZOruhDGs
CF3HB5PraQdhgdAnLj9735+e+YP2pxH+c0P4I6id8blt1CP8QKQY2ZTtEA/2kL6G4imXN/bSnyhg
+BydXNH28Hf4lMhgrKNtMJZMusaGdNkiSQ6N5/e3VlO+byLpHHU+OMeuBs/8++/Ye+N2Bixhma5a
T1fYHKBX/nxw2dPcJr3hZrvQZ77v1P6lorB8cTVDq2BAt7WuMjKBSeNQaLzMYnIu9uO62Uw6m8SY
5QXrIpBttomMYgDOs2zzmFRVjB43sUyKx8I21SYwpN6JrC8e123UpExgL1yWPX8OLtrSOWwgZ1K3
CW5eoN7FfAXCAyglCcxnRI+ErC+wwd65+pnoCQ7BSy2ZjFKVNek3DhTS1kd6nB9Sz032r9ttEdgI
qpf9Jrf9affO8DBxCyG1J8+fImZSyJ0N/9gFYXeJ0OVvCzn3H4tQfy87BLwNPcToyhSC+1fcwJCy
Jr01RKI+Tn2vGcVQ7kEppT7OXk9oS2+3lz4ay3M5yY9eY4p9KEG0ZYYaMSy7FAzarLx4jkTt51mU
FXrSnb0Z5j+/EqkPPrgIN+oiQsEVseK//90t8S+zHoVp3gUtiKke5tnbho9TFZUh3JyogcmJLqED
ea+rs09C5w2cSEPtJu7rX9z6A96E5pvvQpDhfhEcqsyZ3xtxcG2FaL45LUhhgZX+YufzfTVWkuyR
yN+KsvXfjbUCwZ2TLoHc//3UhEtoIMEVfkYetZfO92Fvya9uFAMNN+3wfQh2casMvzpZsrulVFU9
RQko+Tyu79c1erM43iCkEpVTNg8MNne97iOLJDuH9OKwMLETmOW95UXmHUc1BnPM4BYQsvcUfsSH
ZY3pUnqx2v7TVBvx+96C5jS62FvWtcHS2xZhM85tnjTG3j+Zokkhi7I6eNSMakwNfjEJtLRhAErC
+yaBQD6E9HEZ3XqIdUUDmT6vyNEDNmSeMSmZZ5kNTEuihBCKYTLPmU+JBFsHjlHSJjzaqI+tGOj5
KNlDpDNOHcf1T01AgZsa3nfBHPmm85hfJ5j5tym383MXUJlyAh3vlTO+fXmeDs768ijR/nenJVPC
QwR/B1J3IbbHtOzSIrw2cezu6rINzq5fhAdbg6UfZn88cU1X+wSU6T2KWyiurWM/cq5nt6LV1YcM
ZiG36an8UjvVc2Qm0zM13wOHA2FBmn+80ZJbL4bsFkyS+yNw63ftZDVnV2hYq9hd8O7EI7GcDRFC
y6P0n48Azph/MRoBDvH2NoJGhCKIyTzYt3zfeTMtgbk+96Aogq2ugwGMuyQJNBZqn6dtcO8MM9rP
Nk4RnjNK4mChFHSb5ZNxyRwyE9llcP8vZee1JDeOrOEnYgQJ+tvyvqt9t24YMjP03vPpz0eUVi1p
djVxLoQgEiCrVYYEMn+D5nhZOk81JKnjR1POXdfV64M3gnf8MRhMrn40oZnd5squQB8F8MY8R/Y/
ZvdFFCwdrW5Wvw2ohUs52sclEnUC9O1/NEbY/tyVAzKWKL44FO1TN+g5kvp+yCdgis+IQ0Y7WCfx
potGVglFc3WE8B4UO6kuloG0rYyb5PsgImnjEcmc4VKMPOT8TOusTV6N3/pOP1A5ExQF+U59DXQ/
38pNuGz61kKiVh6m89qpoAa1TuY9OpCp4hDWrK3mzHJD1XSZGiR/YmFX5iEeUHTvYp9kUJ/H42I0
2DyM7PDqTebU2sLzRwCkbnbq1KR58JpcwXS9oRYzNA8y1Gh4hwBL4HlRaGLbjYZ78nt9N5qe+OSF
0JBitdSu7ADrXU16Ya9XpXbXRXhhKio3GiqxnwNIpLsyVF/UzrbYGaoFsGCjsNAP4/mcNDgfBX4I
gSiM069p9eQgV/u5aUoVW8TG33UAItaRnpPPY3lKCQv9qD5uKNhXjgPwEW1x2agKNd7ctwfEiG1R
o/pKI0fsrJk3m3O/S4JDHwb5Tg5oFSo4bUqpnL8T0w3A0kt9sPTiEmBwfipXsM5x2ml0HruW5ZSk
kdNkRrraGu5ahaXYx9sh1C4EY1t7M6URI1ZMRlsO/zRHHiZxCPhVH0iHD4ZfrmXQHNBc//Pz55+P
H0fThWaQcdNty2Jh++u6g2dlKGpfhSpqwkPRgoqt2NTV8J+w6FUzAam0Jv+ICFp2pVaWXuVR761n
lCm2snq7MwF6H2UTK5jcxYrCgiEsyBVOHktjeaj7foCdnUBjoOn8/CCD8mhAxhMcho0PU7JlV1af
ZJOb2Yl32H9UI9jMAayKF7WqUuSFOwwe697f/vmNsOeN+U+LXGFaGtACSzjACjV2TL/dnRJk1PvB
0+19a7EeAIndBhVI08oF/4/YHTKArY4Tn3Ia0FFd1jk26rrtvkygzI8sexGgnruR3bTbxrHG9W00
K7MVJLJyP7jQe0N3qlZ55VQPE1JmgAAyyCn0lLajnO8WL7I3xHn9MJoFZpJFINYyJhvgeGzb8/Fi
l0bLzcpf8Y641xQU2//q1ZlR3Zdzw+xeHcgS9Hif8rG/pP4smhd8CevMX2tNn0GqjLV7zQnxjtHr
4Iuj9t+SvlEeUpE9BVl4Qj2vOKcoLbqTOVxlA31xvDrp9G57RYNq3X/iVibMtd3jrmApWrT+82el
i3nH8cuHRfkJjSEKDzbwRQosv35rGx1PAKFiTVfEI4aproC7RFIal+75UAkKDgGmZCczD701iNx8
EcxdGft9uhMJUiGlU2Qn4YaYp/pBQCnj12vKM+U1OqOEOabUYDdmsBzFKjRWUQNEjhNknYzJBqHb
/nufpVV9Coxa34VFSuKV02Qj4/rHebJ/G5mvOnBV2cvmLbCSdtHBKzBvheR2SSlmQQpHI7XVOsrD
sitHLMuNz2Pyt+xwK6ov9dzIrpK4xkyRucLnaW6hj0HWM94mHdB6/4h9nA8cUltBhUMibL6cHJDX
lN1RoLdm2sCo5EDeWXDR/Kg75B2C2pWNK8VU9Cz2QixRu8K9qxrNfvazv2XUFm11tsMC8et5EtmG
YFtMLW4+c7dCWALUcIZPaWfANu2FfRVDryxIiKvbDjwWqTwbHmto5njnzcNyTlFTKjGz4GAZuX12
KPpNCxFrKIb34u7WlSMNynnnam6mBg/00A8ROW/btZe5Kr6ZNM7c2JBA8hVMHwRIUwejHQ3PFC/u
j6nwynOm5tV5AozTrXoWwcsOdORajsimyQGgLeThMGrW1sztT7fYqLOZ1ETDkjxUg3vUsTeTFoin
acy1p84MVw6YkQfZK6wyYs+ltifZhV9KiqAM/J3sety4tvDLkS2YT0Wu1Sv75M7IrYup6RSYxoLn
YFEZoAGnVsNjKch4ICtzsDFuc1KtzjDnY+CneW2ILYxbXYNU8U5oTkIPgAX2AsQv2alhjYLm3HW7
YFp1ZER3sqvpvJWpaRhn2QURsNLUrt8jccj/dEY0yKaUEIQaqfujEjy1GvWLRYhpjT7CMn0JEf4a
EzNp0QjWTNZDcG1XYWvaC+TyNcQV1C8A9Wu8iG12IX3/vcGtMtaS+O63sJ0i21WKy/Dr7KF4FSUF
YHk++4NDoKBfNYrIPgtFt8+RdogMflKwTBq+QHNIDvpZO0ILNCl22I39fTiH5wZTSDsYE3rzct73
0DxnjJT7gKoHcJfhTKqwvzW+Rdcwq35r87sVob4r+T7sKR7xP9epvaJYnvA/TzQbsfNiwjAJAlEd
ayolGBp1wEWlqPppL7tej+hrC7Kjxg4WmRZPw/yonDUYUNfFJIj0ZUmdeG+wp1jk8VPYGLCY2+Yv
0wDepyk9m7+hCjFK1bIjeZxxI8x8eswd642dyVL3kvpONl0DUI7Mb0u1F+KSjPHhAZ6bm48BGZOj
csDIQTh/nJEjOnxwXUgNnwW+ZfhcWf68fgrMjWX0AtBMGCHBr2qHPgs+h+z7T8EY5BfVrvKLa7mr
Wh2so5Hrhb4qZsjjHJtKKBk5Wxt9JSfPsXaeJ3vjfKo8PyBt9S8lAP33dBlwF2D15AeBK7K00n4v
AZh6CHJNoDRJtnBjOpM42j+aYFLOrRsGh9TX3QvpJGxubf+ubqZpmSaJ9ZBONrgJK0Bk2ULDXWuG
v/QuDl8UXMIxGO6netmkXU+VEBiLmNeybgHZKQM9eYIwYa2UuT7g9R5JMVN7BaoN/dO+8xo93DlW
N9zLxsc9ZioKmFnAkjK09/8ln/U7fFC30SYmbUj5SRM8v2d1wZ9xDyZ/gZ1TCtrodQF5GXXqjHQg
4NLAMgACIT+9yDIwfVFuTMBcU30X5CrfO7U9d0XGI8OiTJKQxBWBzg4A/E9lp8jzzrsvV0dIFugE
5PQ0ILE9YebZARLQB68/RBj0HPwIWwU3QPDayuPnGGWE/ST8v3zLw4SxwIw6KdX3HrGmtR/Y3UPk
wKTMR4HZee08aJDJEb+kvFToJ4CWxq4OWN8J7dj5lX5XuOODkSnizhTIuthJ9hZEEEpFpj27Qz0c
atvIr5oxBUt1SE5JgFVIPRTiriCBvO98XMK6YTrbvT2dkWeZELzHIAp+NWbirO0WWe0pr0Hn8eHy
GDyUXuW/GfWwJcFiP+osSFmBj+8y3FcGRUSBGYM8CSzsuFBrMZzZNWevKBWmVq+8oneKNSPVl64w
/cemnBYKYgeJroj3BC2TNYvDaPXnBdrv6zMqD+TGNLiWIEIMltMzx+Mn1IvtJDXpDJwHxkhNN71j
j8fxR2NltQOL1EVaR+BxHYmaQkLIXUduTcVgZ+ccG+B51/TRiMDmoxvcrwXJjiMACExude+liUfe
3qQMLpOn+BdH1/xLZaD29ef/kEy//rTg5D/EL9qZK3sUNNGq/C0F3iT6gMoumKdqGtqFl4roLJsg
9GPoEJBQ+aJZGxmDT4krIuRvpS2yx9IKUCAIWm9TQf591LugvTOKcKeijPvIjqo/IbcQ73G4GZfU
C91VGLr2+beFiZVGf/MQ97aaMvnaonWM8Jx036ZwdC7cEZ2LPGrBEWx5ygPjngdkk5VevLRH115P
8tQgmiy03ifuExQwLv3Xmmyysmit8coTyznerE5c7MG9ApWMskvLRwO+ZARuB3ndLt23es5q2wNK
t5KHsulcJMUEotk/xSxAEaRoM5T///xp2P/IJKE/alhUI0zNAl34e0GCPEof9zpIkclS3Ts7eYjG
ND6lsRvdmsLtKlSRjGz26vDvu8ZxT3YxHNLZx0UdkxyfUDVfU/i0EHCsWZcbQMVw2Vllge29gGRw
jk4T1rDPsNeuPex8gsI7qhGavWoauhgX+UtQEbOE7koZXHvlDEm6jczBfoowCNqSLp7w7y01+L4u
jMb5Xk/d2d4FWvMFaSFdv8XkgIliT+e27Un20FgkK1Niqch2DE1Ptt/4XQpxTqCxrm21hDpvzBuI
FCjXNHumpUjpqkkfLivNQG4GizSEofH907Eu4wmqo9VihKe+xPqooRKZ2UG1GNQYWgAyK+sqy5B4
0Lx8040ojuZgHlC9D4Q/W6So29nGCTXs+TuZjMr7nz/I//KzgrikkuUCPKZa5qwm+/N9QhtLo3fz
upodnrbRjKDFsUZQ+54BtrIPrKLacp95QvCl2PVxdHSbvkKAMrDLg/1xiJZRdZBB5NarhTG7fylR
gJXV7EMmj2RTQ0HeeM509gMLDb3bQBOY6Hbt8tEotoFViJ1f8aiF/+mtJ8cZ7iov7UBU44c+Yy1l
M2h2euqBfyzK1DgmI1aPwvoyjA3VgjyvupNi4bsRIEZ+kl30gRoxWgfQA+nxo4Hq2uypY0G/UAC9
eXqH3xM6Lnbv6YdSaDo8JW/R23zgvUhRV0i0aSdQMvuX57U9pzd+vcE5iJjzwKZKBnZX++2TMBpD
VcrJL8Hli/DQ+qBOJ9PLVgUyFitz5p96uoMLGInMXeha9VkZAwopVnwx0Cy7KDU409qHMmpNsDcW
MlghEHvJ0wrOfN/h/6VnePSZSrdTEVC5a1y0Wmruuc+s7cziBE8pPJQt7yjEVxzDnB5R+7mh6lJc
5hRK6+dnnPzyczr54zETdgkSlNwqT/UngY/Mk45y/ujn/iJorWzdzHDxfMaIY5ECKHxSKYmhsgKS
XEapy7KUsEJog5F7Z4zV1qkz7VSEpnsnQy7KO4dIG14rATFlIWNDA8WtS6ADy+7H5B/n26wYFg6b
g+0IPPeaRur5z7+af6ytSHuYwG9haKqmYev6bwvMALOqSLhWgVQLGALLZduujUb/1OaoDCilCqht
7ka+f84dZye3ttwqxFoZfWpZCIu3cy1TYhiEXpoU3dG6GNx3Vragd9G2U7VYebRQmdtJLpRsUHlS
DoOezvZi7OF6oAUPgB7ROerqL4gW7Gt0Tvb4xXX7ARUtSZCMM0RMDbd6MflYWNA0q0RRkErq4A9A
164pZbXdwbXRFf9oshjjQhwO/hOUc7wm3DvCmbbhvH4cJE1pbmT3IxanvZ0sPvofw0kT/41VHUIK
A57XSNDgn9nkzSZxMeRCUqhfA+PFWLPRunzjhtRM+BrYSJus8iYY8ZeK1H2TNMGi89zqvkITYEOm
DC0Vi5Wehmzn3lYz76I00xs7VuDFYwOcu3C0B0z6Fl6effrzt0CTMK7ffrJsMAzXhnVrW+J3bE1b
jcloN067SaPMW2Khou8am4zeupydyfAvOPpJAZCWjcoywmISDms7AcVCa3BeI+dOWCFSHT6hvNWD
FA0GbnsIz6b1+JBHVJnrsTyELqZsAWqh811UNqHI241dxu/seodLU/AWxoPWnjN3IscyzX7U8yeH
leYBlbjWaLBeFBBsO2uYTggafW9kN9X7K3ipdIcuZH0arbQ+8VC9BkjDba0hKzH5SJKHQUOOC5Y5
foE4eh0SzY3xbhJfGlcd1iRhSjFFp0FDIabo3b3PqhR5DrGeanvHBwFnljtYUiYWLlbsJ5pe8w/+
pB1C6gLLPO66A7Ym3dkzw62AXnPwKRSufA8tPjJp7Xrowgr3kvzJCYL8qLBIOlXYPp1ucdK/W83A
NAYxomqFvB6Ls/n7oYHodNQq3TdxMwBYnRN4bgsYPtPVemuhQLNskGPZdJaeHZumhgmTFcNZy3yB
YUCyLvM22oxoneAk3u1T3/UOmW8DjSU5g+MFCtD8gRAAIi89aO5o7SZWJEjEVEcj9ptiUdlNdYzn
fmeP+r7C+JZMRf0UlMonxQNlJ3vVJKpVoWQIiXmBhxhXgJMGn/KxrxDi7mujRvmyrh5JtDRnKHnV
41Qr2tZMIgczeLLBS6d/VGOAAINfPvoz/q4J6gktHvSjStYxGrLmB31uQvYpB9l1+/Q+zIIOpFXy
eaiEdsliu3lqcPXq8FbkixqhYhJNJ4lbZ1lvHzP1OAWBhc+SnwqWCDR55Cn/sqz8Zy0EHLttQtsQ
hmFRDvitBBDVObBqrAUwmuULq/UAqA3DGA7qjKKWRzJGER0VnrB31208iz9Fj22bnrhNu6u7yZ9/
Z/E07TKKf0fHQqWPZ8EBhxf/nDkX3FmVg66W4jh1TbPrE+NQzHTVYgzQqMqzJxPFqoNmsoO0e5it
FVbUk1LsBLCMuypHqMezcOJtPJZv/3I/MX9fAvAkoT7L9oZ1OaCZ35PqigkmtAqxIBkQqEQISy1e
c784xhjTPLQ1u08v5PaRWvkrj+/xZFeoY9ZDVkiB/a0D+n4TdEG5hcweoo5Ilghm22vo+8YehRgU
a37EXG6f+2BOEslQNB9lVvIauokCcLK7jcnwj3Pkdfo54yRDP+L2fK2PqT/ilt4be9nT9XrcJUpf
LGDuNwegQclCJeXx4MRd9uB2AutyqqXU/+nKAdMerh11hxP7wuyBqlVziSd1J3tyVp02kHgyXFY/
LjQFlPfj1McmeL6Ql8VPquZYW9WNS+DYNJ3flsdmblBLwoh5hlrLgRp44tGpPRRBZT8NrIksdY4e
qxo8Gk4oFmVtanuJTTSmVD/xSHqJxgKC1zCmYqHB/NrLyWqDmydLbmQ/6ma2kg6Ve+h03r3Zxu6q
0LDnkLGoFd69HbUlS+XSpCZJVw70bbdqUaa8k2elwRDDyTN2tl0CoerSYiWffy2mJKdigK2tWRSf
fnTlYDPfARMHVPE8wzcjZmB8cOvmIOHu5TQZIjF2x22mvkdq+lTZWgzfdK5AIzBYrbQcqyyzA9nA
NpKy9W2oZvtzG5LBihtnvpVBti5PnTp9SiIwKxe3hTxntvf+hEvAAeuD+l9qhprBVuXXdbMBlMGe
01uapoHagsDw6w4GZOig99hubdk4LuKpgJg2aV9Qxzfvb43Wa1vfAMAVGXocLVGNU1axgVyA47ZJ
tDR6E3yab6S72zgI8pe6r8Tx4xIVuJw+d21cBrmqEcU8RUB77rQiv4tqDUP6QNR35tzUZVXfpSme
X0NtHHLTb26hH/Ew8+Z4goXUr7FR73ZtF2r7UAu8O2FW7l2rIv1lING2lt2PgVGJN6rSKTwIhXsn
4tzc+0X3qHY6vIO56XRfHOs+Q95FHhooDJSYNbZXpWYJJ2Po+nVFdFU6z39HYxf3KS9Td7Kbp+5S
oZb+wv+6xI8HUboJ9Mi7K8YSlUYB7ckYwpcuxyanqoN3MRTjrhgC9Ornqw0lNyfrm4pM0KMimuZx
UO0V5n/DNdDpOdYsN2yqKnxDZgg/ba6BWazloAxlHTZ4xdBmexmzk4G7IKstlDE54dakwX3Tp/ZZ
voA5KulWd2tqvfMMzzLKR7xGvU4FDh+nycoUYbmVFwuDSD+PvUkagpkg6tYWpZarYyqfJmqmkIhV
81HNIkyPYZ+u+tq3Hi0sj+8SbTggQpgg0FeFn//bXHmqLqovk6PZrFi6GUiYihcjaB/UqY2+wYx4
NtwxfPHNsN+YENUPSIVHVzb2OV7zzOD/2Gm98VVNV3qM9aqbps51SoZpVyvY28tuqOcII2Rj8sUS
/qruneYvT4u+DNaEyJiFHFrGQuFUzA1/CH5n8wD53i8RSoX7PvRxP4/DZp9pybAIcIiOWUOjBxxP
XQIuoo0fvC6MH0BvvWYIVB9lj7xXd21hefs+Hmtxuo5dZ7pXWzN9pAC2VxrcT3m0sjPIJqxs5y6S
iMPK0qKS5VNwQQ6kPOLrO3lXp1PUQ6Qjvf/3wB+pTaJ7TCwUskEoWzvZbeK6PuLFnbDNqbxiWWfF
ZfDt6gL4FPgxJJBNYWfGSnZxBwDOmLJalT8p+UNkc6Nt7cFo+dZTnWf78Gs/gAK+RdexRXf4P7/b
WMn1dWU6xspJzWPjleYV1I94nnsWchRXM1P1Z1amtzFRZbocK6i63caaUf9/nCevqc5X+dN586vL
V/jxevIvo4xX3KlW+3kyH5w2m9XRS8TWqYedQ9RJECtI9RX4X+NTgyEavEHtK0ZzNhAnx7k2oxIe
vFDrMFW0ENuLq6ucgXD+N1svq6ehROh8xBqVhFkQPgr0NhdyRu52B5sF8pth4MGsF9XzFPakjowO
ZlsVKRuVGxnumC4IRJJLb8bUvAA6Qcb5zXNyvItVU3m2hs56g6CoLhWkpO4jxXQ3iptOR3kZCynv
22VKI9A+LgNtmsucPy6TVzN/T63cY5pgMJ+Pzh+uhfbq92s5Sv4y/4a4Vq0ALUTFlBJ1ouvnxLUe
g5jfv/wlU/eDGWhVFKoy81FE4YQcCXAq9BJjFMxcNziVYaQ/V8AhMVxUv3flqOzW9uDM5eJun7m1
v0e0Edyziccw+qEd2cIg7XZFmTcPssGnQu+B3Lswp03dfMTzsjlYIyVPv1CMxwoRkEeVfb9aevlD
73rhI37S73g+T5+7emwBNsbq1a1QvKzQWsRqiIG4D4F/CuVl6sJ0l1tDjIeM5761Lo/DeYKhhGCq
eoCPQHLPtzqhZqIjWaozGvx7nfFHHBiTys2z5+kly4mwVhYYI3fLRomyHdIL3MmViPo0chufFVX5
G8vM/EFxmwhCcI92AF+Wx7iOFq7ax88Yl8XPUU+pwdGzR8uL6Jnl2XGFdycntBlVoDqI/LMczMcy
YJ/nVAfZVZQMf0yxxaLFjmpx5fkFDsFXra8KorFGoGufs2zAu5ZB+PalZaySwqw+Rc2wyqzY+mqC
k4UT3en3gaiqvWewpiR5mT+LKHuXM6xgeNDThiyO1T1jxYJMVRuKT7jZfj/yTeVvGfpxIGcFZi8+
/QjdDu5io7buptQJngcDpDuCi69ZUfTnJgP9ghVl8UqSRkeqWOa22uK1aW2A9KXv7mNjXU2mfpnV
ytZuiae60pVzUbbS0SztwjOuIeU+TqLCuqiFD/uKwm0KhKOpzqkWfW8KTDT3JMCPH/FE5w2XMz5i
mL2dLLXAnzF1ZszEj/PDPsWWPVb/5rbiQdahYY+lrXsVo1LFbL7HFK9VdpmN05WcIgdcnvJnNQn2
HyF5VMRf+rTQ7iDnuVc5M7O8F9TsfJKC9mvXR+7B9cSbYwbWAYt4pCyT3LuGrJuXmaqE2wHSJaqD
oIHWTUSKSw7LiYmwkcMpUdQUhWEoi9RR6jMGvTuor+7tMtB+WfbNXpmec1Hdrr1mEspFT8w9vBpY
Of+nJ6K0lz3XjNurqkX1PTyv+r4bL87EIhMDYkqZVuy4d6XeZdc4a80FXrfDNkJA/Sqb2nSto2e6
J3VSl1WhL43a1p78yKofzCFbWnOvsFuNG3C6s4NBXGUPiUdwiFXJM3EezGw0VBM3SbBvpitsCioq
QjT4t5bvng/usjTTeEv5YngqhPK3hczrtzwGzy66+h0AuAUDc1JObp2aeJCDOk39LH4XfgYXjamV
m/3VKqn5hGG8sknCGOv4sGyurjLT11HA/pZtE2RJV4ami41w4/5g12IbwLU1D7JbYnA5ZPAXw7wa
zvIoGEa2FT8mIzxcmwcthXuv8KyRUyCybwzsV48VsNxLMTdeh11prhbWUkKQZUweZWXrIA8X3tDL
H3E5iHvQyxCrw76rPRMsw4xe/rjSmOM3L2O3ARhHH1caW9/YlIEpNvCBP6f54P01Ij8PHNT8OvHW
cfdPo0eoqDbc28DBa9LuwOKid9EN5fTy46Qmy4Gqt+ZXL0UTQZ7kIC+3aSFEY18kvumVKl6iHK9P
vxrfwiTKD2rcFSs2e+ObW7ACDpPaPP2XaWKelv46rR8CHYQwkJ85bg9Wdkhb/9XUmopbr1G/TDqM
dVgZ/dcSfd8c5CEZlrJeeXGWfxs8tHCiePBfuWmHqxbTZJAJTrS1VXM6orSBuTS+JZ45hY3DZt1p
r1g2X8OZPqIW9ar0G+vLJDwEdZ0kehyEMm7Q/OmOhpq22KJjMhJVevWkUppdBHFQfwuw03BFWaP8
W7+qQS5e+zxpV10aBndRZCgbKxt2kQkaPSvF+Mkxv6pQFd/MRst3Y+QNyDnk46eo+CbDXoD5yy9h
KtUYBwxT81C6+HgoVl/vcOTI3qpEvVCproDiW+m9P4TPhTDTN7eO2CbiubuRXbRjCjKmynDp0q58
JsWMOC9nd758+mj4U5RZ9uam6rR0uyg/drGePdQhUHFDG0jtR4X+mhv9drJr9RE5s/S+UfoHE/bZ
awiMZh8Wrb6K7OxZQykCrDV8xDQD1WzAfDCAOuCyizOqvssM8Zfs1VXXGrigJ91ZBxAuYx8NYNX4
TglMRJTG9ijj9hyScbDUQNuVTaku7LFsDmEbjm8F5ujcqF/0ehhPZdJQ1ZzDrR+kK4FcPgTBfnyL
x6//c9bk2d+vFY5fdS1QXjIRgMuuan8nYPfc+7YTbC32i0sQZLxA4ScIvwRms7n1SaCmCx8V5YOC
wul96WX2fThWG1f02sWdQ53eand9g6vKPJZNQM7saTop9lRsNbbaRywRm2PW6/mWB+h4bYKWXC+/
0hdPQwU/KHOEmfsQOQqPrzs7yHXRV/bXFGbboqt3QI7T5yoalFWo5jmVMl/dd3Zd7CbWa1draqOV
mfbJW6KpLwACjL8jxOLZci8yL8JfIENDJRNas1dy9R9H44/R/zlP6Yw3hMnqR0RsX1trKh+6NBLn
IEe2exAUe7MIlbImTdB3nYr4Xh+dv2KIYu+jGCGHJep49NrIfx41dy/nW45hrfXasfjlGPl7A5nN
9v1PSB8HOz9jywkD3Hls8/4CYmg9mGP8Mk6hcjDCsFrV02S/52rzNUrC6p5SjMkj0Z0Wugic977t
M2qiTnJOPEAUrIXvy3k+T7x0zZ867RsBEEeUX41AMd5htuShcxmQP8d31jcAJeg2UnhzbG48PTSO
voeA89yTg5ZZfz+qC3hDYW0mOxm7Ab+TcGq2KQq0tyt/nCdPFnhLU51dFuj574xirI8fDfec5n93
NRKax2lu5Bl5lJj7qc/wRAq/On2vnvmXPDsmOogIUcVH3NqS5yozrKUtKmcnR/1hzNYhBlgbOWoi
YrWpKiNby64wImfnKI61DKwseeadj0ALxxgbySvPr0FJ8+utV/YtMM/4KKeOJvpFuHTcZibYxz3H
8F19qs8bz4+LlTG0VATSTlsq3M53slvW2KG0Zv4ie2KekZjoHXStqx5lzA3qZJ+hrbz0ZAnB1OtN
BSntejujbIMNjGBssCoNIwc3Vu9C1XrAbcd9w5DNWvp8+a92mjnbSGnnUnUrzvXYFICgkIC347Rg
TZpP33T2jPJXgz7HT6ezGJuuYGi/n664fOUp2hVr3HHQM6j4eSlhYJ7gQCPYhRjFC4ZqPeLtuAiY
cxcJB2MDUt7fyFG9MgfMlfxpJ0c7Q7EXVaKB+ZsnF3XzlmdBdSeGbHgZgFAXRo0qVKm7TyxKF73K
DhBkQbmbkKe5UICjTj2DnrUSbFfqKWiTsBZ8jUq7XCKzUR7l6BQUOx/12EcStdWDICUgw2GoaYcg
ZqcpT/L9LAP2o4D0mC+ZI4ZGbb1b+8mQPMRRAMtMwc1B7jZlM02vbVYOD7IzpNkAJNHpd3ID6hfj
9/mhGaQVGJPXgcLeA/Zij30gSgXGqR3sXddX1yGmvDogJNO49Eg/nDLUrn6K4QJgAFsSzVLONnhD
L2Ju5ECFrsKp1rH+mENaV6rHGmJ4XwbZ09CYl7ZtnEulN9mTX6QhWv6ju5WDpTpF+2QgWyhHxzg1
952FG6HR9gjBC8veJEr+OLVmdJQh/Im+H8nYR9dz8Sm5nSaD/+0UsB/qDmIuX+3qSYS99l5hC4ey
Th5vKA5p777WHbvIKp6CIVMBbkzNEssv7b31wUeUozqCofe8+yRXXuXpmjskyyK2avZQEF3ywu+X
BcaVx3gSczbLWveFSJ5gaunXMZ6e5cPcHkOx0+KcnPI8S57k1FZ8lKP/PEnOSpFECmd1PHAv3ynN
7Sxl8NGVR5LwLI9E4Mc7S9PAW0J/Nsucb+nH5D+f+9ul5BV+i6EcH6+LtC4XbgfD38w6tbodOoMz
IasCFWZKC7G3eBqGK08Gb0M/nZDqY4RBVtesZFA2sCem/Hy7IApB/TbLnYeiUFaUFHx/XJsIVS7q
ECE8zD169ZIGznRx3HLLrXIg7ZV+D8l4jXH5zvLzrx/x26lBy2++t7mP6U0Ksq5oi/5CSV125Km2
Hsz4KuQEqXzwYtWPK1MZ+NxqMeoHc+h2PV2gfTv64iGMfe7kDd+XGMfoC3WISV3M2oijp59vPTkg
m6op99SPdWr2zP2I24A5LmlnfIPxGe0MeY2PKRZv7rIMwZD+9BLysG69bmUYMBA+Zt/OZk+Dko7e
CLzR5r9IvkJHif1SZ9ZDbxXdoqXKtpbMQMkRjGv3LvJstFtn/qBul/7ZMPz7D/4gkhnFWp6EzQsO
N1Vr35GATn87oZlPl9eweqNYI59Srz8u8uNVrIjFTMRtdcz3kaYam6hwm3OZeG/YOoe7Wy/P2rMu
QgNs4zwa2nx98pir1vOIjMkmBYMxAB5KAQurAo+4bPh5WM4u51MQkXW2YaR8ul1VxuQV5JQwcMpj
kESIu/x4YXkoR2tj1BeUlO11AxDR0O32GMx/lad4KsRzsiOo4dCY4/h3MfL1cEENn3XDMbqVHEUK
xVk26HEgbMaIjFl2ihyc7CN8OysnQO26BeX494uHQOsxptnIib0fvwA8AiiPAs9jmHsngEP/x9h5
LccNK936iVjFHG4n51GyJPuG5bSZMwmGp/8/YmyP7e196tyg2I0GJY9HJNC9eq324rtp+dwiCQAC
dcY85tms1VW+TBNcPLfJwYHSzFeDjWdZxXNr5f1MAoqSHSvlzfy+6Jb0ZsLeO/vQUAwgDU5e5aRc
5CsAf5T6vaXkvJNVLS93SPZBtvhxbGyx/6uiJRrr5pex9+z7r/jf7tH+jL2Hyatf/nsiXvoz17nd
W1q330MH8NBl16jK4hObsPpRZmF6u3n8h2ty3YhyjmgeZSjQnEfpkpbM3HB8/ddCeS95518LMwGL
5D/uJW/zK+p+exlqWdXt9n/eC46d6PSnSy6U9/r1DxKT8cmt5j3lnGP65ZaR0vr1L/jH/f7Xp/GP
e/3jH/W/PiAxqEAn7fCzLYqt1TrmVWmhsPa9PNvYwSyMOO82FWF5j0n+Xc5Jj1Uo5tIOUWuWpkjq
4lyM44u0JupUz3U+xgByw+62Q0WLHFXSNgyXvI2ROSZxV5JMHxaK2g5ipefGqUn4NsoZyVN4m2hb
2mvYtvIyk+Fpq/1cCaf8hJw3wgHSmc8z7gDRxKQJ+NNs9Zxq9iHSW+/RCSOGjt29klU63VA/fUPK
nr4stWwtQ+QEtE0oJoVQYN2WzWtNrziWXjmepSt0yRZW6Djrre4+ykV6y0kC0OWXu2ugN2gDE7a9
lD65smsyGh2T0t3cfZP55Afwg7hBfpXlKHMaX6QlS1W/LDmnNGAS50hZOpqtKtfz65+RtxKXSJ9a
SFcy0GipGD9FrhGtKmVyj2gPzmeM6AUB1t/9CZKdvjclZ0gv4kuTqTl8qnDOBVoTX+SgJmFyuwrA
+a1hky2Xf0/MwWUdsfu2zM+/LZj90oQSBMqhMFn9875zmNfoy0bwJyV/kVtYkIqjQkmzoGCB3tfk
qYepgTuEZ/SIJhwnph+X0hvHGbpAMipqlckGuc6Cm1cGBEbt60vwAjv+he52mG8VSZ8TuLx+mxjl
YHq7j3Jo0tQ7oirYdaDLfjrzTCHfAnLPF63a76OcBzcd7RHbqWDyinVuqT0sA7P3NifvcrtEw5FK
eNvvWk4Ll7qEyawHgVUZdeygzzR12w4w9qJrG8feJk72reS4vrtNDy2IGyVUz6LQwcIMQTHj2gNv
fZtu0Vo7T/WxhOhZX9zuX3nm2jQGhz9IWDsLvY82viNSeJbg2JY+QNg/rhQTOcZFoSbvSdxbu7pG
g0pXC9I6QZaZ5ML68AqiCx4daCvvLvqDw2tVDy9dPlp7GTVkDguECrGa2c8shwGQf7tFcsxplyp8
eJeg4T1oGUF3G8wUdcMGRjwK9X9MyGBXU86JHaUHHRiShuQVN/D0wgQ2vZf3kJ773RrLhurRNV97
B3ajJFQ/KI0KI+M8BIXij6jKjV/0CEnU33zyskZO8pgMyVJa3q9l0lQKl575plCWXcMG2iEnLaFo
0K4G58T0AgiDQKbdBxmmx3RW/+l3UCBd85Ttlnbr1pQMt5rkl86QuFirbNfW9AGGz3ISJcDbJJ/A
uHCC5nPajMtb/UJHseA6m7dShzQtZfrdBEX6u/nXWp9ZDf2SRcvf94Ha3vRMsVhfVlkX79RZEkzX
M+3o8I5eyFnp69PmmKAMc5UuEEHmWm1tQNw+68PQ6K4Cgdh7fNZDPtHFagHvDLfsTa+FUIcjUis+
WiTwtYVNwueSoYd6sX0vXUFUQfo4GDDvE/OVnE0DiInsiXrZSk6LIM5WsXTOMX+v+/OGyayuFOrD
1K2SSDE2mpl6LrgCFNC0oUvWNzuwqvE6lSgMWxntZ3MI/DQ/QmTxx8pdtDhpC1lqtICQGVOar2Hv
upsqDptTPBr1bQiMIl7AujDCktiH5OqsaqHblfk25bmzSXS330BHY7z5UKeCEkaTz416de+6MZqF
LtmgWA9MyrephTKcks0I0uhLMLfTFyWl78lNdshQN9teN5MXz//6/8Go8q+Qzhj6DYzbn1W0BjtQ
SlbD4efvHaI+IcVSGjeMlNzKyYHi829+qgoZSmd+fsgL7xzbbvmZDkKVCoGWfNBotF8BQrH57lTD
Vh9rNIbSJj+S7Bu3baMbVy3zdWSjKa0KMSOAayP7TDX6Esb6iwoU+LGrNXgr8xbZszkzb/smZZFO
+GfNGfo35+F2Woco4tzbNHPKU7pc0/Jnt4nmo/19TVEq/Zt7ISM2LTRR+pc4zaaTFYFZpTNU0AYg
mmeVjP9s3AajelaioJmrCcxXAZqkeg2RH2nxQx3AmZZ45WPgGu0jaMiWEnmxk79oTKobNGpoLeWv
ZA50lzfCTPfStID5yUXRmLbPJUJ20g3y/8cijTP3qUPQcqGkunUMjeEtbN3gaUQp96myxLSpUB1a
SZ8colSLaZ03kt3dB137wfAG9yxXxS7dssAA1vcb+SHM4XoQ6nA8cHM56G6oreqSF83d16bqfybh
USIMSlRARJCtqwzqefJ2kG9DmhmcpE3ind69mALa2OURzBBzkGNmAJvvQUYZQa9JF8D6tyA1DAr+
OOZ4GRlmvIoLNheIig+fGqPsjr0p+nDtRclRmsjKcL4xuw/w0cGQlVX5gxx8NKcfMiNbk8zpz9I1
1VZ7CIb+sbSiykIjtbA2ITg310jcVdJou8hCgSELa30DveD4yXE/0OaSfizzNNmRpPzhzuMPndPx
9Ksh1XZUMqOZ9kQbZ8e3TvX39myKTnEvcLnsZEQrrm0NXV6ra6Wz7AbB7/7XQIvpzkrEGnnibSc2
jtMY3+3+lc5mIDf9lF99JOE/2XmQ0aSmn1RlyNeD9l0djPosB4U97O0q9IJoZWlIo5MEbo99ChKO
RtjfH7i1R74cjaRNXIsYPmek4B20AWilZKOaQhkHfRF6gEq/RH8uWMvJ0jQgCkLtrqPTZNpLnxLY
kOP5Edx5LtxuJ6fzVuyDzE+dWxtLX3j8pnodPFGN+VYEivlp8NhD0s+PrlSWAxiI6DWRC2K189CM
SgH1diZoraBVEXjyzmlfUsH/ZY5NQAk/beLbbCxnpWmVyvlm/gqOKE0+Bn0cAHgPvhdq5KHcgJoy
DJPaS+eb4XGM82lBY7f24jZOgeqfs5eTQYcraLpFObT2k3RlSfStMvLkLC23hRiDJcc8VaOVw5OU
4pgdqBv00IuTI5o8XclLWFAnNTWOt9kgFiguRSovhoRX9lDHNoxqSQ7Cpvos9+c6YL+lmP21gDEi
hY0J3cGez8EHw5vLMWxJDcU+6utyKnc0q2f7Op1S2vLQBra7fRtE9UPvZ83SFpn3hZL/QtM6+5vX
IIBjGnZByaqiuPkrNqcYByOT4cpYSInMD6VKkjJv2lM+19ABMu1JoIhPFA+AavmjeFDLpN9Fueuj
3O7b18akQJ32uXj07YYiJ6ishcRXGbYuznpOw3rrC+ODNOVsi+LmzfTpnFgMjVEhBA9SokK9daNE
NhzrXa89TqQDEZGK8q+F3xwswzfe/hWRhRZNopPIqT+QH0/7Nz4AahOzIQeZD7f0LIDQBhaqvyZk
An3QUMVmEZuk0LjdRw/DHwusiHpna6OwOcrycM3b10KKtYHw7Fnk04amGuPNhE4PWl6EY+LZVAY4
IGmAdahvzzXln4sMI/Oem1b9bdGANo2S1tdyRnhbM6bbs0EOJV4mVqEEgVdB/d824rFiJdf0M26c
JKmxlj7ZSCN99/tAqxLQnU8ITdYp6K/GvJSN6h/CKh+uHn1J9qIKOqBsRX9WSny3CaU0Lulwui3y
e7e/9oYTnoZ02kVhbSPnPjTIYXvhxxbW0GhtaMqwrRM4o2XwbZ0N79La6GjPlHcGpcZPc6m0rSCa
CNdZPA5XGS6HoNNeh4yG4VTNYD7m45D/SFWNHBaBV5Om/EcaInMWmulkN58MlnHSJz8CGUz79Y+4
2+cpbWNed/+s7uvkEnmv/At0ygqUvdHJ1Gv7FHaafQrGkUTt3ZZXemEXqG2P1UaaQ5BVP2Ki5ZDR
B8G2TuzBeDyrRkXtyISP62LPQ6qEyiqD02E5yhnplEMD6AZZI8/Y1nnSX+pOiMttteF8RGG7WSIk
B5GPqkfvdffQ0BkPQLJWoePh85fuiSL0uikr9xZFFv9Dl6QKZcBJeVKD9CijRFzm8Dyo46Ku3XIV
irRZTrZtPNhhZj6IxtOgEOboPbvM2SX9tZdt+ybtztIvhxKRhKU3DO2WqjDUtlE3beAQgrCgqRPU
DAe+2rC4P959yZA1j9k8SF/TQIQmQ+SQpIlYuomPjIcbVPZlVgp8qaKWvjStUWE7GPSjEQ7W2ouL
/nVMzdeqMOxvZQqlIXJ8H/9naNnbrwqaYd84gpLDbX+EBgZEoPe7ZoEjXufQYr5r/d93LdveQ1qy
WFqgHh50SJVXTi3ytRSClT4pDguRx0gxBnFY6YNqvTmPqBhKbVfpkkNUDVDHKuWlsn3nwcjC4DgU
ydMwGc4mTtDuTGGaPmdWoZ2bqppGaIK49MbeW6Kl3q7qzv/pzBDUOMvwMQbzSC5g2Mpo6fttdTez
h8eeBhUblTWA2PN9U51+P6HpG6o62tEmpfQDO+pYpwIGgP0QiIPq0uIDTWD+BPOnT1lD85bSlBOa
rk6LzijLvfSxx8mfUu3I8bB5dGaDrn44R2AbWsg5GZUGnrbSu1RZyxA5kanKk6Z6PILmH+UVtIrC
zrG5/3TkWsetNiT97afLRb4J72ARtOPu/tMh+Fj0Wh0fVC98CXt9OsuhNsHLLCrAveiDk72fJ3Q+
BP4rnFkpCtKCmzkOgXpbEjeKvfOm8Bn9U/Xc2AhJQj9Km6KBHBnSIlM4DRc52J03XKKCOgHKmaTD
/vDbVYDAfeKgMkguUqbz8tgUx1EDHSozf5HfiaOf8e42glkNWgntkz4/hyBwtH4z/Vx4KydC1lKG
/Cvu7qspN+jTLF0x304OYr5yYVdEVs2+QJ7ULyySVPSt2uFz2EfFqa2GT7c8xZysmOaIgI3CQfp+
RUD9HD57gdfuozBDgormqgczN7KFF2bTp6oFBqxrenpJ6dvcVUJpXQhoyYwvQGii92lAVuN436XR
DJBYyyvXttMrrBMbNLiK090lr6Yi/o+oQmP3l9/tkctWfOMRYmqw2zTlUJcseV72/aYECXTVgYbt
xgLyCdurkZm3bACTs2K2PauXe7Hib8zMq5Y0jKNV6dLrdfIr6G/mEDkAJIwhL+u3ehrQjGOgxqWX
nGGljmQ08ywZcUTnhTD2XapXxkqj4e6iEix9MiwEKUnPWOUuZSpNtLW9j/zm5e+MW1R9mlS+5TEt
qU+ANWhTbSb9FY1Zf9mjOPzozb3XMALlZwhzUXjxm2CrqjU9PxMH9My0vo08T+ctR3u6D1kadCeQ
fp6+iZur6xvqUU6yP1U3kY4MACwDBzEPgd/w3ygv7ZEeYHmVZakO0n1uCZbTI3T5GyfNXp3eYFdJ
+v/Y1BCRA1/M7R+XXv2Rqi/sRDM7F9KlwTaqeoi9+Lw00SSvbhfYWzcyvK1BBvmDq6VXpw7EF6/k
mJo1yfBQIfB69F2a8hzYir8EazkfeLAlOFNrHQsKDlSb6IgFpdBDvGrBJNF+zMUojl5Prps3Iy5h
Nz8m72G+MsBiGybNUobcJyBxLie1O6RKFB9dH6Z4UIXx8W5Knz1PyCs5ZP4EGAIIMenRyGhXhbT/
Cuqn+tHP6vxIKiV48tPouzrSsyytaT7t00mh5WJ6lJ5eCPUYxd67nLoFxRz04rFJV/c1kZGHy74O
SGrNd5VDrDV7aubRRVqq7dkXXys29xvRI+PsYB18y5xm21LJvNbzIK+seUNHPcu8TbiDD4PylLyD
fdNJ1NX2NTJD5wrFZbunWQl5jj+WjxAKrpx8RDp2jr0tdw3jIYTF5PDjbg56jFEMBsQIEGutIjid
VkVD86RkElTG6QenoOJm2uluUlB6GRAIi3IY89zAnFa5+s2MVe2UUUw6T+Q4p1XhFtrK4kW2lpAc
r7H8Sz6NP5rG5jYR13ffptBPzwlH8C3PvbnPAw7lpCvYJDbFF2nJIXXQllvIy9EXoMP0ECoiVznf
Q+RVrIcZmqkTBAkagqXV1LybSms9p6O7GGvXeLRnS4Sps4RAHhjYbNatYqGa2p9zMTTLssyqTTZG
gDB9F7VU3nzevrYs7CZTADLb4hKZrfM4BJFzrXi+3oI9DmFHN0m+JnIyiZxHDiEp7InVs/Cj18SB
Em+hJh3oAmg6JF/HOFuSm0OyeeR8C+inyDPKLnA88FUOVrdlMiYL1X8um9k8nNzn5Gvp+8rXPQ66
LbB5v9YRqJsvdVMBpZ9bu999clqGOxqPYy/39JWMloMfgG6/2WWuko/pCrYN883k4NAqA3KC+gWs
k4fI6ZKzS7vJzhmBwM2WoSQJOAWugnkYqWDw/hqo/oT0e0IojvMeKEiv/mbGqOZAYx07gDL/iJMr
cuRxeNPxcKwc3zoqxUx1OCEATIsSjUXmRgnN4YRo+XDStZBv3C8zD3MlB/RqxwvgkeIW6M3TMgYG
hqwDLvxzjeWb1jodIdFqVYQgF/KWdH1XflVcIcHzrq2uvtgQ/h9s2n+vchibGHU3PdmDSOQ/XPqE
mUGw2fFe+M3ZePpLSFboAKvEv9eCvV0pkL8n0SVu1HI10ZvxwQlz6PVhTfStWvlAT+1ZdNb0UJY5
+5Yx8oFrZQvZIGn3mY2qTto8VsKs99XQF9vOibWXutS/yQhaD4+U0bL3MPPEGjYn42hnYUOmwXbM
Xe17ze6fUgg3VQQxCyfU1BTzhQNy/DchBTnzm3SC7TSk20OP98efgVOMZETlxVChU8fZxq31RZkV
DuTgzuoGd1NeiaajWwGZ6L/891gPHuctotVfpCsix04tXKom/LqdrvdAPmElkP7c7y/N0KGl3JTa
Q0tP8Kop/GQtTVrQtIcMdj2aMKvPd5e8qocRJXJ2xyG8lZDuFROfN+CVbZn56oMMCbL5EcDpbilN
OaFmvBJcxVjJmxtjts3QDAbmlyv7KI4frFm+nobw4VK5Oci7eeDBlqyQB9ZWatWW+kJOy0BjLA/5
gDpb6ASfxjCB00BqsDputVO9kUwV/KXjrMBaSf7SLPMFnUkzdG8IreHUleF7Q1XpbIGOffHLMFgZ
U5/tqngSL9Ew2tsic/KVnM2hRTrrqf9ZTlY8Hk+aEn3WULm46oodX8156DmU8fi3Syg1fk7Iq6Ee
81088rctTW+C91RehYNinybep/ImcAMC35e36qZwC9dUeAJdYJ27+L3Mx+DoogVxtOdBXv3L96+Q
Ie3oLIyn1f976dDBBZ/r+lqyL7W/iJnupry68TTJ6TtNk+RqymYaJ3l1n8jUWiBArGnohDJ7v1es
jmgtuYikhoNhwXWousU+FAVoNtRXl4M6ZezZrFjZdVOVHWECyY7yappnIBDYmA4Ybk+zG0hr4UOo
nA6C8jxP9QudZnNCLqsT5wQ3FqSnZf40auOLQgHxY+JoxrpP5r7VHpNk/KJLvYpGOxEc0c9IVjBE
ek/5ZG1bNEaO9TzEWT6We2lbvYpkSaf3m6jXo70jTRmkhbaPbuYcf7usm/zVsJNxr2kVtb609KnD
94kD3ABCQHY1ELZXTQYDtuUfh9mSrnucNK3OSpeKLcpjmbn7prS6VwCLYqdEc4NRY4qPOph3l43I
5x4U6LpVa2WWETCe+Ny/erCRfc7agndFOKQP1JoWat6ED5Pj02iv6nm+hMZ/WgVBfLpVTdu5QirL
nXHB9n9AKUha0h9wRFvQs1QsG8PRloaNMGeQ+ONzoTbTkX5dVG9V7z2OhuQKpMM6jkhdLyDlbF9J
LkSUb4OMGixmgvTDpqYLBAx8ai4tdzQ2qezCUlVaJ/Os3WVj6F+kT15lmfYWmB4M1CGgYmd+9Vjz
UJmee7X84TXN+vxw90MD3J8U393KAJQp+73QYd0wa8V7DHxAhTHsOyQKg37hNj2EwHNTbRuFCeRE
ykcayq8QL5rOaioj+6RBY0SVwZ82vDDClT63fZeFUS/UkAYma2r1D6MPNkOa91kh3PYkTTkrTbWl
26Yr7CT+Dz0UFV0Tub+zFH1ahTlNna6b9VDt5zH0v7R8FpHxZYjc+qrlXfImdkM/FW+2ZiprlW0y
r9avkwN+SDJPAE6lH8mcNndqipZiwEHvwZX3YwC7BdyoJbwoMJA5XmvdGDDSoEfsKoghLpcMGGFd
W2w7+wm6KfgsrJTnXxCaD0PshbTj0i0eWGX0AbwWPGazLwiCAdXan7PySvoKX6EDwqH1MdELn49Z
75fjMA0bFwpZOBED6JPrcIrgfVGw3W/ChLoyNKcaWtdW37edtvF9E9Z26cvoXWpRjPHqW4x0apam
7wWBf/n72kEdDiLeqloImLi3xkwjUDbTI5p/yL35mQpVpBOeAQ8l6wBV+KUSpNHZbhSq5qqhRYc2
iUgw5rXY5JmaPk95YS9U6hNfPCVa+wgO/cdzjHM7eDE4A9PkFcJPqFyazqlNtruYIuI51ot0Kdow
XyEvDx11mZTWdqSyY7JRPoxpBILMnt99Lt+IA53tqBa446V3s3w3RkYy9Qt6eHpOWaZyjdtWuQ5O
+B7lMcR3syX9YZ7Yh5iTK/y8BSTLnhU/AWZIULFDq14bwNBMTSWSZeS+GOhePNS5uASqpe3CmbY7
sWoOz/LytyEs3nKPc/PdNU7sPIGLOXNrwxHlgenahDxb3Fjpt5YadfE6dMfHBi6IQzzPyhDOViT4
1BBMQgfOuXWdPQxYF1Kgo0pxLFRp3Zhe0DOhmNZueFgqj2ag+I/QTgIJ0bVP0pL+rIpMVBodfwmJ
lX8Ls8QglmqVi62ME1XjXwW9zTzM3WfTgu0nDjNtY45++R6P3aagwv4lVGBDtCNzuiieV5/pHlaW
8nifCHeR8G382MwSzwYsi4cuzbojvSfvgQL1YWYOxucCqrlGlk7TCdFY1OS+tVFKdcqvglctNrXV
CKznmnRWt5tEacILFKGxOhgfGtNE+kdS8kBYFx9akB6LW63AG8mE/W2LeV4xZ4KeJCEPJtcDX7bX
5eRne1l3jrT04nIqOeZawovF7nx9W9eUlzonQs/IHYLDrdykBfqzTSfyvq0621nBf0lquLKhbat6
oHtan61gxIb+mg0ZWca2ALCpG+9mbOx7JYu/CYMkVxtkyUutBOM2AJC5z+IpWJUWhwtn1kg3STCz
E4fc7iBteZVTT/3hlLYc4MWP1+B5rhUN52NhuvUNOGWWarFStDhe5UMAXe3oXlUOwgjKiRZUxJBM
h34e5JUcPAMWejsOxeLGYlVpJC07aPYkuVRP79aNkapteJDnzqx1BXHBIFkKfvnuYXKV9M/3ACrg
AhXsNuW8hck6uClVSVMpbTnc7NBuYLlO2q+SIKyCFyJf6LNOzo0wjO3IQecD/OHko7cPfiX47EbI
lkG7IGjilNrKHMP+Kuqmh++SK4TpOfkbnbKWvqBS0UTP1XFEnzbqt/dAGe2Fxde8SfL9X34yTefK
FOY28KaHwi4/NVrecjgOjA9OmX8qhiSCs04yIHuQEsbBsEWQT79SHbNWShgZL+AJQEGgibPthaZu
gi6G5Y76wid5ldNIfru6+8q7z2iQwbIUGK+6Unv0kuES2HXz5vnU+oUDt6o0IWOBTyuJkWDKrOYN
EMWsJ5gJ1N8xDR9QVOK+em1WXkngfZNrasPmGVa79koGIeEWwwzI406ajdY9ZwDuQ71ULu2gxw/x
qGbAJJp3ackhb3IfJKABJ6EivEPumt4hnQePmiIvFrGlSYECPmmujReXM/BE017MmTzSNdJkKWfz
ULUueaA+Suu24JK6jXgJvaxYQ5far01IVB86IDmbjG7n0Q+vgIzOihp72xpkP7TlDPoUhTtI4IrF
YHeJtSDpWV4NNR72jVDfpTC9dFW55+1TzfhkV2mxgj4YMbysqoD3qf0l1bRTQwH/WbqEPyI+4Lrh
wWvTCDjJib6RRF+7atUc5IA0tr3lLA1NSh4f3Lp862tVbEAJNTdha5gFxod6zD7kpeYdulnrWg68
uLp1gHI2z42fvrKG/axM9L1cNM0r5WTJ8j7z/2s55ZJ6RS6SY3IMw3Ybw7QmB1cFyLWowqlZZPyH
Q9/ADKg3mOCdLmDqFiDdDtlNoYOflP0EnQXjoQ/jBYfQn9w9f02IgF5pF7nrPmsgUZUnjKmJKnGS
hw95zpiMyuVJZIvF2JJXK7NkEVn5+FA5NU1/uU7C26ZxeAExXni2ynzXjk6EiIMv3uqJHdGtlFhM
NA1bqWK82WxeQrO0PuS0gV9HXfku3epEIhC4hLGezGFca3kYr9Q5h5/D9rWjWfQjCg/Aa8Jfmgpy
Aq7MjzJM+qWugrySkyi5fpTWb0IK83I5CQ3KMhjbHbzg/YHW6P7QBsGPK60bfjc90ZOhj6Mnt54c
D41xoEWRXb+H9VjtU1+MD6V4oYYlro7c0dkR8LCpmnj9ji5vM7t5acoc6VoSj/U+rgJKkYXRbzpA
ObyZzPhAm+oe/EFw7FEfXLSoEjwUnf/u0mj5DlJy3NKUwh9e60Xof+vtAnX5kNbEpH2tgHRQN43e
3cIbj0MYtgCXWeXBU7ASLkDaMQpfDIgYV6M+iOM0FNS85it1Hu6+u5nWuVcu7jbrXTPXFxOb/SZv
r4lSlrzuq+xrM8Cmbo7DJ5JZMcydLmAbNWFjx5982ikm21YAB3ETiJekBVnXZaho3WYh3n/KbG8h
J6VL66NLklrZxQfEBKe7FdfVlib3vH5U3LZd6AYCY25PiVQODrhCpAscfuZY/ScGqfoV4NpLo7b9
h6IAdjMgcrV1dKM++DPPVhl/m1w7QfrKC3jtTTNOpjLejKnrt5mRe+tWi6O1B4HdSkxO8FAXqwZK
4qvdeAklM3vUNonS5stuzMIHp8txqiJ+qwalII3HAjloqakcECF/nP8j83Ue8y6r6/zgLcHTKeET
0m3Fts/azwEgo6NWm9vGnb/WsoQlh18Tk/z2l/7PKlfMBus4sUKWtqZUrXfCtb7d3vZlU37l5yT7
XgOjRmPHn2aVH9rKbBB8y+lqdpTaOlvzIK8SN7Soa2fqCvoZa5n2UzotpPMeKNxsV4egLKX/txAE
BJwt2MlvaqxbCJJyq99ChFa1i9rO9M19JjCpoAwTj9g2nboFyWcEL4dyNxSwSUrLEKNbrG4TBiJA
7KSKXQOia88DPz6N6ra90WuDp4Z0u4OdI0b3VDphnuISpqfhNESnmyUnInN8gyQD6Bb0XWzzk+57
kRwdu6q/hU5N0il2hien1/qt70fWfjTd4urz8Fohcxp+MpxmL9ekcfWYlBV/b0h0pn7yvepGQaHc
F0+J4X7LyaUcpcsiu3pxbXcvrTGu+iffhgaoQSxpXQ1N/KjbX8Dhqo96Lfy1Rn12JU2bXeVCMYxk
H81sl9GZDbr1mMzXQ58rR601t8rgrzOjjt76eHIOVtPzV1+KbukFmnWgZtxsLERy4LRT2KlC5Hnj
9dRq6q+Je/WhlDh4hcgPZVtvLEsz934GKa6q+eVeg3xwWQi0P6Axic8qMpCjt2vs6HU0nXqdzUVN
8LPtafJdZxZMiVqQNT6qcfMhSg7TfEK6m3df0FzHMglvc9oc9T9D/1peedQ0y3DOp4RHT3Eujqe4
PMFJgCXrMTbRTJvC4iSv8sKghi9t8GXFibP1dHTyg5z0Ww/U4H3ythYV671mKZ97OuhFkHzV+lYD
3D8m16Byo2MdojzYZnb+BtjyKk8B0Oy9O3zVPkTwq27CIPb3EBG0cIMiAKalIxpiAU93mOaqsz8q
4i23gkUnevuDgKrv2onxo4wyzMbbxQ4sdNK0OFSvXNp59tIUCeAhRysfR6eli3H0blGUW+uN3YYP
eQBhWUzWcW+3ZnzJqyBaK1NhfWBTBuazHPLvQ/XCO8/6jxuPHypU/N7rCN4zpczS22p1UI096Zv4
wjbzx+paj1Ke00Exr85SKD0ie2FO5VuSZ/ELzcrI2WSxtaktXkjZBKsovctfyo7mf6cS1kWDc/Kc
IKsLoI6Jhr9INQ+KT5OlmrB0lvXBcWtvNwwJ3VGprq+q0RTXtBPKdla8JAGQlCc7KdSNB0DkMfN8
A0Z+3X9zkvorKKzqewjs/cbOM6jUtjojOhjBONOqFOyR7Xrsj2Jw+qPCCYpC8LSXlgV2C5XSoIwr
+OV/xtzs21xmJMNRTjWaBvVMCEGANG9B8i5+CT9C03sp2Fu0SeTAX1N4sYer4kb5WRp3dwg04RJO
sEs0matv/5qQwYMh9NXgodjnzrd0rCpTqUZF4b5OYoG0gt5GxpK3yRlOa+s1KOLmFAV07IzkIV9T
o6p2tiEQp5xnPSi91mU8eVs5G7W1uwh4ThzlbOO4D3rn6g+Nh2JaFBbJLnH40pQQ7CeNHiJCvWkt
SHmABoXO2mvpJs2TXJyCsj57EFwFKCSgE+R7QEGq6LHTtIhkB0MC0XYMu+XlFpVb5SPJQecY5Q3N
25MCLabSGPFeBsu1HIIQ+25Nc3O/i0ERa90L3V7ZI6xuPIrCfIs+fbmkAtieqbWCP5pTTFOfumtk
Yuq1D5HBswNX/sMYiDXle3j7RosKWNq7+l4GKxz1DoYKi14JfeHJL2mghi/jW+tU4f7ebyF3yrPf
tPnspf++ef7lz/quPnqxuzMTUzv+H2XXtSQprm2/iAhASMArpDdV7d0LMdMzB+89X3+XNlml7Jzq
ibkvCm0jkd1VlUjbrEXD0kZI47whhlZi4tLj5N7qxzsmsYyxblHTu4VKmTiVuUW1Xe7R5noJ9JZa
18E2LK/flH3AtUr4yZTkPqUWaHikj3hbJlfKVqzJDJL1HHDXGQLsZRwi7evw1ht7zq68b91mP092
5xkjilUM5HKvQWqg3Yum5JR6U1iYqCxusrPARQ9t4DdAvfCLifqif+DngUl6QsMO79B6lbY7BaCn
VpIODfvLrpzwh0uGRm8mMEKXxrHEafe5j+3PVL3VpC1eD9xaJbK9SmSTnlT2BdTU1ZO6P189mzgX
W1RYuFvqyY0ALTe38fRM/bcsG+udyyJ3Q0aR5/kHgGKRbR0k2DwzAZdKrboiGIDVL+KPZKQ1qc0y
r3Ct4syZ8wNfrh/7lGko7G9vA452CJK3V1IXWiB0xKMN3UuCrt2Rm1kyQA2RHWjD464D8QeOTiA4
/jUg8yjfBWjIRHIhQzkDUY7c2WmKdo/gxqvMO0CMIRRVA6+yrXHY8xOO60xsCIDLDPnZLm1EU2jq
xjkSVPosS3OR/rY70QFtBRn3FK9BcwZl8SuAEEEJKdGSWEQKgUgzUEyVpZENWjm0UJAzqtkC1AwG
84baulnOonfM+lkQ9iBJevVTdWlTfics/1qxCfnNm1q2f1n/oMEea/8f7Yi0Qm84gMHQB2cX252N
0gZmo1gBsz6NnSuoiMB3kOUnpR9rDmbF0ezHHdPTyVPOagND7iLXIn6So4LiZePC7R3P0hHlzO0c
ROKLqHxks9DkLcWim1CMKWe5O+uHRqR/o9MN7OOky8CUjVrh6FQEYTymXhVE4VPYW/qHrFjAOVc7
4PquU+NDIw2RXl8aKZGHY4FTLisCAGHJBTQgpeFVPXLZw5Q5fpMN0xoEEa35OQ3Bi1JW4JpC05E5
bPWa1RtHB6+Ih1odYCW6zRFJCoR4S3PaDUGNwizCplmn+L9JVmQbgrd5RLEh5QPSDcHbCDQz+WWP
RrXODyv0YwEXssMXS8kkRuKLtDiLGDd2iCaCCBnH9Xsla60trpb8RF8hb8F5usnc+R0KMjf0pfPw
HUS6BSmmQ1Dan0iCa3UAl6kkYbYjM/XucEBp9TK/Y6hYupD3W5sC6RZI/PPgrt+VLX0hkmMqwUTR
FQBCKBRINzp68uz0SRXYS1UpVWsMXYqRNqZPeg5AySBOOrTHp91l7tq/1vyeUSyH3jD5M6X3LLxL
NkAlxF0cbEbopE7c50XWI+Uz6tRAEEgapRZW7+4S9A4AHQmuNOTd/Meia86eCvBT+bPXQ/TYkkiF
+zSjYS3Pz8Ia0X/wn9zpmhowYZpl4DwYVk9ADsNBQOD3n8SozHZr0P9VXHMENtph96E+AYyxw09t
trTkAw0c5MVAFwGze4YyolUn0KgDap/0iTwiZsVP6D0+opEieHLLCRRtsqEcR2AC3sRrXz8zhpYs
+qV6Fe2sDzYDwKB8MItEzzSwOYyf0xAh4dI2+e7BUGRRvosY8l4PhhHoJwhhIIvxupOG7iXPnSyA
g76Gt0TbnZBwX04U3sopDkBxLAeGBAmYYzn+zCSnLw2IrDTrjMRQ73+WYMraP+hJzC29voINBo1w
Iyq331rfzGXizykiOigbCn15DPlpB9pmnLL5e86zcWuYwHxC83UGCpDiP3s4QbARJZidq9C5aouF
+pS8QmpxaEH1E5i6VxUder2SKUOKvQHGqCVxE2jgDWfnpuMbHd0Nq4r0AIsdsA6d5Y2hVZdVVMtE
xb8FPUODy6/LDIm7ANz4FAWfXN+qBcqvtMJqOyKb4ZOVDK3hvHNQOHlUkK3lKJClzpPTiuwqRTBZ
xKf1m4ggW0OJ74pr62oAmyrazEhH1sC1APtb+e5YHFHFCB64IDKvjeiMa5N3bPaWGuhiwMD1dYdB
Jw0msFdBoyllYzCifT6BtaceEDzekJ22sHSd+Y2ToKNQOtIwlVk8S7ibb9FSNniNYDMyrDuucuUb
OMBsWT25R1C7hh+EE3xyqjH7Xlrc3ZrTVKKCKs6+z2WxMZBsQRwyTi74LkSOFkQBu1yvsn1dhq1f
dpN2noxCfF0AgC7BM4GMqwGumH3preL9ZKMw1YwTcAtk9XJ0ijr2SEdDEOndOwvQtB0gBVa9IYKf
7ogkITkY4NV0uMPRgIIwEhFg8zJCoxbOS0D/f9HRDIF/xJKooJVkcgwcfnN8qHR9WKx2NREsPIJP
d0/hukIF6Ob8j3GYEjRLI2xNRgrhkfhiW6N9yiMz/phqlLaTu1LTQthoP2X7536jXiCXwAqwOzm3
wChFR0lMdTsONzQNOtAJgrnlOKEUtd6pMOpb65QV/G73y/iU4vZC5q5haHGjaWDF09ZB/sOrGgfR
fbSmNpdZDsA/aC5xVUFJspUiroA6zHJHPmRWjiSug9C+zEPEdhNipghqYzBDcG/TDNDi/9D9V78I
VHtAyhB72i7snL8Wmzs7VLTk177FwcGjKQ0WCglLI5/3lXDzq9LTjHRLE+D8nYcHUj2uJ5cuFoDv
R/oSCTk8Q62l2UiPxHHKyxJLP3PcOZAKA3adMy+bmmW4KqA0EBAmmKFwxS09mtKArAIwVgAeXEqr
0r/pTNu4soCMzGrX3+rMkEWeHqMWTjnTWlpRMiM/8eEnDqG65gPyZjmDS9Sbknw4mVQC1ssSsAxE
PtWRpuRj4i2/4TUqcJoR5Apowc10kAzBcwBlt4cG2nIrm7JPileSyCVpKCXNpBLf0qlltAu5POjA
rSZTCznQiSR3pR6gkxzc3f98pnqc5jTlFtgFo2dLFAyusUOYA3G97pziCVUeEkpB1ovVCxg5peFe
J336lh/adnIAAirdpIp2opk0GtEEJJ3GE0OKENA4uAhMp6KLJRJteq5BPXybZuG0AAobdLHAio3Q
Q9omQFPQAS+uazPg+6NSM1C2U9i4bk/TvBcs+xMo07CwBidlLoebZxtpaCqKmu26huy2VQDZWSLm
0efTYpDwakEnADPzzw9OVoAvCgCD4l9EgzVLzBELhRWo54dlldW/WO34aMm0BCzbqAfeAbG6Ozet
DTjaMe3XWVJpZuWRvE7JvojEqvAeffHXeP9Xx5NsR1bSry4kNyPIKPx1KndHv0J3npzkOM9TfOpd
O9yETlBvJhnyGCYXTYQaxTgawzyxAok8svTNAFBDGQEhEWiN89HJcBSX+jJGNwmQM7e1MfKzGnjA
Ua0+pF9RDBPuH/S/FVHizs+0lFxcrI9QwLauV3pQxQI/wkSX7LikgMWOrQG/AzZv9k0zoJzWjJrk
GX3v4GzG/+DmTmkg9XDILICMkw/Io5JnJgcTucVrONW4fmIt6YXm6OcwLfbr97lTc+SLkHHy1dc2
4Lja9TufdOvbgKYuWik3c6Il/sPLYSlxmTPKod7MejVdGB4APIBaeC6ywifgQk04VCwTcj6wcpwX
iw3JqCpwvLJPk20izaS7M5P7pIfVPkumH2QtWlSvVEATJWymQoI20Qx1nVOL4iKJ0LTMc+MDaxEP
MewyxakJrT4eudFAiE7oJSt8xzIjkIQaqARFRwgoOwwtPNNsMc3wjPyWBC+Vlrtp6RQgrlxX0QIt
tMAtq6NdO7HR7GDJxgkJN7POSLfkcXCa0Hr+oI/kArWqmliOJrIMuPG/GshFrZ2RG0FeYKi26mEj
r5IDmpB/UM1Pq8s0nBi/UX0QGl1GcHBJnV4u38hjoZqhV7/f6mgDos9DTPduT1owZ0D3mI0EHFeA
Q8Oxb/nU6fMI0EL9f9QlDYaUYDek47LToyr+FgDBwasMRJcReChQPBBt2iJNvmlhaJ2ivhWIBSTa
56H86maSiQCXBzlGOB4FckAfwt96m7EtSauPjbwi90mhBkELSUai/7ZamUm3bq58tDRw1scoXQI8
hr2GZn5S8Qbc1dv1se4EyjJvnZMx0/rhMAux0yobBGSh2xtnJkPENKMBbD8/wMCz7Eg/ivLF727J
P6avi1Z/Wsp/3Vc95s6Hnti5/AdSVSijlR/nbu83l6yrpz4M0aL40bRRfKVp06eiMcNrhByd7+Rm
9R24OUigC4NfrKkQn9BkfSB9EWjoV3cmZwPCHtQC/RhBa4KuYRRW27iwS2SV6nuQOO9qB8C4gHNo
QbRsgPJH6kXb235QjeOZtx8zm6UbrUj0Ew1O2OqnOJ/G3HuUyaQ8lTkFyMdtjfJZ91Ayudssnm4b
q+Vqy1A99869TkPHj9DB4IfmZIOtJXHQ78mKTShaDtRy6GioZmGfRqfui1VJMlkaaaFZZIDT6nGN
2sLqesB0KPn3W5IPmFlQTaQjXKLWqaeqbe6eSh/lwWc1L8Idjki8eXnYm6dMmObJwlWL+TTtdFOA
NRewxvnqQF6F9CK7EmlW65p5ohkN6zryDoxpY/UtO9AyUrUA3MBV+HUJKe2WN6iyA68hmDA9VxZp
UmUmzagSk2Ylr42TElfvigo31ZqA9lhtj75qP9pKiWq5vbB9PTQh6q5RH6rcQlMgi29bgz+jnKb0
RkRLkYob2/gcJBoYkq3BiM9CDqQ04qkuPaDeAmWfFCaiybvCGn7crVRrUKfDbo7r/nc7V+hSPKM0
haHEZfrWhUhttXb9Dn/O5RU9xWAyb/Ca9JRc4I8UccNY2yndnQ/tALaedQdycalEg6Y0LAGKZfGt
EoABBQ/I2v7vvJ/rvdO12RVZPTQKySZAEgdjWboNko7ZlTV420/5kQRDambbwfGW/NDunaMXkWlA
QK7AxSnNOsqqgLZpOl5X6uV1ihGqHvnEffXBabZ+evosMnzhZOyiPuzdhw8KlFImccf9O+Xc1nW/
KfL9PM7mxQTJT1tMYw3mcxSLb5D9nM9505e1R1MaUBA9n0ulJJksXpWw6aycHtaQuC4EJva8OpKS
sbCqvbvld9qHTdb1odEjJKMP30xAN+6Z7OlJF9Ro0GDJokEOGKDVUBEZZwMAozslOXZS92BQOnJR
+0eZse0WdBVUtlOgWAKDaJbbgF7kUBK/Q0aof0HTkt57QZ2Xq8+cDyjdUO4Aqpw2nQAbuknntDdP
a+jnC/FtPqPhRp7z6BjX979AdCoRzXD8iOC9sA5jAYoLYtCeUeWD3wWB1TQNxw5Hw6ECzGnRZKsP
YpjpyrdNLrRuXWIB3rv1pHebJTfvxx3jvK7mnUDLJfk4aV6j409uCaDpCU143WdX9GgMKwyUxMYN
gITDwV5AL1q50dPS94tvZugwjRjQVMHtC/LyYQ453yHS0iFQa6G5IhQMqH5gnLvkfQQvvemQqhyH
L+smZOkK3p8KNkmUSGxMzyBDlX+3gLYDwDC5SyxZ+uasPiZiAsCBHAaXgZN+RuV2C5KFziPl3dRo
ewPaAJ0zho7ovFxTluVtdYqbGIABB/AMk5JNTzjuGWdyI+NtvVymHmqBWu3QhemZFq3ryfth+6ED
RjTYDXYoFEQ2PV8q8wQKXLxRfh2QTDBPDQ9vhjp3Xrz/fQlZUQFl4a1Da9Y5bUe2e+2UWmdhD8ae
yS/yMgMzvQdW+fhMMs3UoHQ2vQHIsq5RJi43mt3KQQ1Q7in9W9uQ7j+43D3urW2cDCirY5/+j4x3
zm9P39ricaVObzPSNmMWeO7YZ/hlevmP+f1/1N0jxwadsoVT2V6RAXEFnc89aLRBywXkQsBJiNcB
fShQKpk85wFhE4+mtJzMsQl4/3U7kslMM/UItc/dvg9PJJ8H3cOjjL6yd7wBwoP8nOoj/PaR5LJ+
QFpy93T1uPXf//CoFpl6YAzorRXGHtOs+gCSYnEWMt6w6NNwFHwEeAQkNbDYQHsUyeTcva7QhxiW
X9et3vqCMPxuta8a8rLZsO4emkXZeLgkoAYkMOLt+qscGjj90JSGUh5OajmY9DtC8kJHJGVHnV20
NbOxWRfOao+yi9toR56NUXIBom75hyf3o9m6E8l3+w8ogBFgwfJZbaOWMEF2ioZaGLfZv+uMOgLw
JvmwKfhPS/7r1g9+D+L/61M+rH0Q1VY6OPz8ONb1jUjCHQLdaHLWB4Bj5RxvC4BTl4BpKzxUAANB
203QG09T8kmBTXVYRvfTkgL0yhvmDCltuZgGwUEm3LaAfVK6dVfkogcwVZnOhvbSQtsEgRE9oS3+
h5BUsSlikD3I0yMNrTzfrZXAOIY1qMMx/yZdLw11gjPPhvM/cWzm54TFaMhFTFM1+goZ222WIUAW
CRgR0kgeOgV4W2CYXAQM5EYGmhGyMq36dcu1jfjVMPbFsmdj/hP4KAjoysFI9XbXtuIbYP/Bg6MV
COySoSrGId5Rk8GqZVqUrWvIHtTnoAbJUV+z6CPirdpx0oZZQgsDPSri9j4FqsUegEn5pUfA6hJq
NWKSWe6h2A6/y6QjK7rqbi6kW82j7abbYBSmRz7urIF2VW1Ga5RIC5el+rNNM2dH+lRHEKpnKPIe
ExsViszN+ieOdFlfLdVZB+j6k4NKsifSh+04XDSgdT/oyahzB4RsMein1ILGHrghoVrNTYuGk83q
KDe1OT/pYQRE4F9zRipdRAaVRyLRsYByi5ovAPOW8Vn5PrippTwvnsFF2O2joarPoGquz1r/MptE
CLQokCF9EnUe7MhKfsrlTtfhGOyARphNhoV+1lbbmeYQrKLehfyZDKJscyCJF/OORGVgtXUcMzO8
KJVuJ8vFAaUj0qJeWhrOiQJgNKOBAlWujFbRTBke/ELLWQDwKR3J52GJ2kbtigNKhARgVKHJgNrJ
maNVO+JjHgGdda2EAQCjEcTwZgBACpTdPfe1mSHiUIw7rXetU1qjQMcs0X7l0ZQGcHSgLvV1IEdU
I910al3ZgFimaabIJ12hISvmKbPaC73VLxbaB/UH5amKjw1eAWcaAlmWIJzsJpLOZGazK8f5f8bM
eAMYNbiQQfm9pXtd9u++6xMR9sYLVj4X1HX9xm1jZ0ew7mFedZeqCH+SROjv6Ep5FsDzA0IlcN9z
3B5xE9ejFSg+RRPCO3S7r6vJPzRQPaprfDrRgrpO4mOddMAmScXyMVvAa2dn1R4Udun7AP20z3Fg
Ih6ODqXvwKtlfhu2+Fjg0/nsNIAGGAvje5o6826wgFJFbrgZeGU5NV+ttutRZ7Ux+AC67dd+HUo0
l/GMwCUpx4i95JLv0sqoFw43eq7XPjndWf4xxT3nGLQiPHIQrVxoYK8z02jjzkPBNDhcQ5RdSIMx
ml0GXKrXqZ13IByoHN3vgGXSeWGDq+adnaYR+iFOIHX3I5NHnUe6OlxwOiV3vcbLj5QLOtQ9szcq
AA9gn9VH77PlyMemRp07mAmvbu2iEiU28bsq8a6KQcQ7VPmIFeCKdCvgVcqz4IK2AVLR8AB6hS6R
BHy7aH+9Q8j6/2zqIIGsbzoj+mNwc5RvWeP4ueiy8lwHbgRyQjmloRH4q76T06Evz8iZdT44j1GV
/upIBhKrABBNGfoV1n4RkY0u+gRl1wgKjhK0v9V/aLzm7rGSoHhdPTH0dy0B2EKrJF4dC2mZuWmj
HRuNXRdaTYODztMa1fn7hfD2yJH2SYA1uTNAV+qtVCQLkZnIYWU4WbIWwT/iNalsdI8BbbxAOxDs
xFWymkleuU/I/baUdnllSCF/QGq80Kb8i7+wgfOXcWDzGM10osHig4v2kha11ijMTHP8V0mbaPWb
g3IlHQgS4Kl8VlmSTBojkL3W7VCfd1vtcpNZ29Xpt3s+PEKJ6wcCgOEEnMFeB1PKeCzoyiyvxzSj
YaTLtJLTV3Mrr9AN3YSVmWaZ3IdmQCXC5XrO/gDEFlv3p2VkVFs9rCJRuSQLqBW0sgfTqNshuCYL
CXSzQjWBLEigmR3HiGoJy3D3Qu+vDy7pLIZb+QLLzVHz1406uXzpZ8trEyCjJSzi+KM2hh4YGtJ0
70tPGb87k0xV08cgF9pCfYx5zgVgceRiUs4JIERjK0ZxN21OyocPx3hubpsayAcNLyK2reIEoPAW
uDSe81Z0p8BN4vEv0qJNCLXljKNL0hLZtAGFeGeGz2RDXVZ/MqzBPc5aGw05yqiAenMKqppdY5RA
XLsKUDkVGqNXAhcN1ZGA3sIA0DJgz5rmlchaYqJ3WX36iEWgVcXX1hhycFDHyQn4yB5HCLnymG22
Z3A0tGdDzpT4aCaf2MgmMDqxGGW0OjJ7j98zSTJ8TUMbBNfya0Z9w9x9M+X0fWTysPKU3WXVZ+DW
53tgpYcXIGmHF5o9iHGGd27S9cs2iwPQKygfmgUjcowbtcZFgas1z0D9wKbrih5nHqxTq0cc5c7V
fOi6UT8h06cDpKHT9q1r7Uki/fBqVDqavSUiTgtgN2V+y+dBR/urT6DW/rtu/VhGD04HpqPAFGUo
YJqkaC4FcinMi3IjIILoT6ShgWLFSXFGp+yyqlUAGJs4IIV5GsoG9QJGc6Jbgp3FaIUEzban0Q1D
3UXU5eLhrtEhE+hlBQ6VdxeZu5uLutg0TsTOjr4jDQ1mmgGvDHhudoyL2EMwPEry5ljUKbp1fxN4
pwUUoce3C7620Mywp394xsvPwQTwNvr3WvWIZHkdNatO/f+Q9dWX9Or/9FWvVGATbfZmD4IogOnr
ZzMDXa+/Tms9rI80HbvsEgHO5jDZzYSeIuk52TXXfGDso1SjDl60QSWngMoQPpvLcd0pEgCgnWQB
Fq0ER3FcHxGZlAz3S3DAbT/5AL5iDdjIWX+YZI016XrWbdOyyZ5JSlseXzMteCIJ1NvVNRrQO+/O
9hXd0/aVZpbG5hOom7Gra1/BdnzTO9mAZgkjK8GgrPv2e5fpSO1ICuK8R3XrqM3dxZAivnE/WKad
vTPBhvTF4LqXNaL/ZJhT8DGMdHAqwCnrMnDcaNNnWpKNdngx0oXhQgUj6nuAtzpOzYasVrAcnB79
/iWQHQfPaB37AiQF+yIS3EjjBO0MEEjNhejuPcjSowoMyDLBsFVLyaDW0czkWnnIU/6BJCE3VW4P
vkZqg9THdA4PW1qxcUotkHTVdGS0C+26xECC4TU6syKAoxZSRcNogPSeoThgR76AMkW/EE0BNYz0
VNcCeWXaMZZ0z05sAy7Cjer3YLGNgj7yOw282Vyv/0jDxQC1xPsc7GF870ROt8szIByis2B+oiED
khKY0FLEvHuzNfba3M/nsTROwF3nX0TZHEM9KD8AawZ/DD2o2GPxxcki/twvxhfy0VAGeNbmCITp
g8G/TI5b7TvLROmU3AH8pyjs7bTgoHP9eQqX9FjIhAgNwKtKgSdmXHS8Rw+kGik/8+CCGv7bCjJE
fLlUtt2D8+1Vb8YDMJ0FApBcHxr0MZYFvzoCf2INACiGzGo3KwAAdfd3ZncQgTleCASglUgAWV04
hxm9S8BllJgApMwdgJxbDjrjFTIAKxb7WhoMPFOlvkc5IAjL4xI13eh/SM80VHIWZE1tgsIFFKwi
10K/m1AIVf+cbQ6EV+SAHGcxcaB0zTO6pvpwQ9NEyjQjc2tHDigcyanEVTLNDM27U5KTWsPrAcR4
j3JhhZ9aVpR7te/Ds/omcY91zvy5S8t5ZyXjvJ1TF4eQbEIXNL4XkQ9aE6GjZhwZyL5y1BIhl497
IqZLX7LTo7yaSHu34G5KJlrKjbnZAgMh8u72u1vfAhD+9kCWbTmoAlA0Hix3Qytfz5NtDjmKy2G5
yW/5vOj+3cUCS8+6/7/7uQFHTcr6TMAPbFwTHDlvfQTasDSAPMuy4CNr7WyXxTk7CMS7tk7MOagv
8xKFec5TFfMbpHAk23SGrDDQzAQsrG6IDllm5fBCxx616dEM5NLoAaJpmjK0siV7LgHnY6d7X6M9
5EqSUQ/xEW8k1I1J46sHK62/J2tcNujijs4KiZNmpDNRzQMIn1fzUPcfk8rCvXHo5rNTpjN6+yzu
98EhbBG5QnNS13s0Nbr46lgDPwCSOYxPYKXp0NtdlJtGslbNcdufTOZ6JKnBkuRYvxXJgN9BQGRm
AyoMY9kTBRwKgBxOYGptGbroR/ssiny6mkMXntDxfB5wcnzWqzx8zurJ3FujjkvAq45mGhhrQHp9
eVAXphNtjQzgSNRTuXZalt0o/HxCx+4qUzsmmM5QQSh7OMlzCttd5OKMDmDq/hhw1IQjJ301UZgI
PFs5XWU89sp/3KlTScUcy4EcMhzs7dzkR6UiDzKSzqy0CoSVpYHKs5dtydDVXXRpsvCLSP5AvAud
YU7oPrPFCDZagJu32882cGxH3U/HrNvaWdcz9NW79pNeoctrqtwLSeQXD3FyAIiWuwEsnbvvpmE5
1VaGBxxyrUOyoF1qHW8+nJ0ygztbQ/I8ZJJSgwyj0QU+twIwtkSRcU6q2jjTTKC1BN+yVrxVOjLE
WYmfUkojKXJ72neVdbKsSYB/qgUU+l4LXfEuXMCN4Dll9iWInPBMOjAqCBSaoYMVAayNLXRjOxCo
ii0QoDADYaBtagQdmkC+CLiANscfEXoc8Zc4A3rh2jh7JJvB0b0s81dwuf02UXSXIyKfOzmdwHbt
P6wEZme6yUoWguUOsBYoQS4umpmWO7Qpp6jceNGRoQEWRIeCfPjQwOOmvDAjRKXNlB3GMQhqjwUA
gZ5pasipVTGgr08ANZQ1W2274IpOUzWkskQLEVTUaUkfEtkMsIDeRYGQM4yWNzpRhu+EMPFxZmR+
mYX4cb8ODNBVyJO/yjRjbrmcgA2AQ2JrvpgrMO7EFeOHyGDtSdMxpKhpBzCF1renGf+8E81WJdnJ
k5SRE6PrdZ0+LCenmHZS/rQd/sqxvXpcGO30EkH6oEnHEyXHaEY/FppFr3lBZfitjlxKZ4huecGH
JUp801E9/k1z2DquX1u1g+Je1zhoNipUQvB4+vRjsqy6tLc0ranyTv1A77zoh0mWhkro3pSR/MNv
BZlyKteTvwaI5tTMV7KIUFyCc9Nx9SbD6vOwsEh3bZDY51HkLdg+wLsQsvCAGuWJfX0VtTSMuw+a
Yf0wgwbNOlxPEHR0UBFmMxfxBQyDjm6JVQ6LKFiVc2wCmnZKEcIJWrwGlXsBfItmlbUmgRMtWv3N
IbF2zlj/UTSB38096K7R4T54TALgr9O6A3mCACZRBjzDI0kaklWX2UmNAezbmJIyGarUt90x2EyB
Vu8A05j1yGGOgeZTUye1c9KswI9vxydw4SmDagVVVgVwBnqW6jDYdgX8YdCnTlNfbyPdmd7lhhsg
jo+WwCIwgTYm5q+EHDy2AUcjnYQTNgDqY6BT5dKU1YsO38zobe3RD0JgwyyyfjpdU+1Q0TueJgmP
NsiBZqR7EJWLZmJvdMRgnSlx1NQOShe22WVoli8gQu4vQJsBnaRkHGnHKf4zzrtP82BNnwTQ/Xb9
kNg+ENtL4N1o30e8a88AZkRBQFKi+jGRDCEkq4F85ldHCzS7gFZJJr+uy+j9Xsfr5T1NbX2J3qPj
4IjOdySIpdWVqrhp/8KbP++aco9DPHM/dMIB9RviaG3JTBQ7JY29A5p9uq0jRK3xqgHU5nrfToJw
E7U52onpek03cxySQKh+u5/Lq/pqc89owG9WME06AdDLXx0DrFbfMzOrDw/6FWhT+T2cHgjW4WEJ
6fp4X3QMcHQ2K0yflfV8Au5IhVNkuMyAkShqRKOllmQhlaudlGrIY6DTrJ6rnVxtWm/P1nRIG74h
HW00ozMFFKRyO5Jpo7vPQBadN5Y/66AvRvC+axdUG8jspZDF0V3T3mZKF1h5v3EMTUdqGPd5QH/B
B0iemuXTmjstyauJvAwrwYIgx6ETxwttyxzjh3DcZG/WTnNB7YFvamgMRuIbNTh1eCxQdkBSY9sa
EBtqrfBo2mnFTjPC6eyAxiZFwcAFtx4H6P04GtGQMEOyu036hsSgiAfmJY3lnuMUZfXytLQenJCq
Qo1qOdt+itqbXKDEFRmT+h0NmePGu6kAPLjSFSWqc4sJZcS6+Uxqs/o6RG5/mVoAiIgldLYx+D1Q
Fju2V0RB2ysZaEY6ZDIm1JA7+KuCx4Ob2U3TBGKHYT9q2RMYFMU+lGCxsRxYkAHFq80/4ODXYIu3
9YWWzchsS18g2uMPCL/pJNFAG8k9SA/eusHP297atFoQXoBBbyxosHWRe+DzB9KhEExrrzQNSgHO
87Q4tT0Yj6wccWYaSGwKQKXgEPbnmikobNTyybxELTrUhHdrRZ9UUIrhTgZltHla5dWXltEuYzHj
PQq8xmUzaMHPzBLf8j41vgDBvTrXuhX7UcX0L4M+OfvFrpNt6vQ/LOBYX4oeiH+T8ZmNaBonoQK4
G/L1wWeSWgBpfUiTatnZ3Ygws3QnXThpGqBikvYQ6uUngaoXUM/PIJ1MjdwLQBB4JJHYFIHOlXtF
bNx0BBIBbqqbTmFGzCX/UKb2AGQDA8Uvedice4klOkh8OEFQokomM1ne0rllX1frFqk2Gj4a5Abf
JaBStWbd8vcyWSpwPdtmeLTMESwErZYCrVgPt0OdtJtVrm07BsE1E6AMlnZHQ1fbmD6b3EHUNQme
IzSBoJUgStkpoSmXzZwk07CKjURgupOlO4l3yw3NFAe0oG6UH4hs0ZXTBB8CzdK3Ro9c0pqr/7U6
4C2dRen8ItH0bZu3tUcVAI+Oolw2SwMYEJdbYJ9E5r3AaRN8KD5NXYnRh/YZMJSQHDusODmaw5bt
nevsjNbGBVqM3yUGuFtSfdzUVWF9EQhDbWdc33YNgLHehQj7vQfFRehlLoqiWdMm72nIx0Xz6kBY
e6XT6qjaMNBMbYs5sjeoL3VB7MGDZx5rNVrco20nUu2ZVDQAI6rbAiIAeGtj6IDfQTrPlvGudADZ
R87cLYaDJVzbm4Za9wBeM1wqGe1rM+1i5KJ/b1R2+WVB9FWGBLtlBN5upL8XJNlFdnKL4HMeiq3F
+HzpSnlgupuGYdCg/rkPvMZxghMYCZeLwWrocMpbLq4cyJ3EZtS+T3YPwO1X/d2O615JDwge3too
iaa9H/ZZ/W3gT2yTMUbIT32s1Z8U9NxF0/CjydDap3zUZ7l7sPkEbDLkxOkfpz5aJtJ8nwJnE/HG
8drM9rzp9clEw0gKuBtSKgtYfkyfUxxjxMF37Ey2A9Jk9w7RiO7YCiPygJFuuKiBg1KM46nIWXeJ
3bJ7h8t3967N8UZCTXm5IR0NLI+Xpyqy10WVgYOmN40Agw9R/b1Xft2sg8Q4HCMvBmDqO2VQz3nV
23nxy3OkQStQ09QAGAMN1yOi+kXwdwFG44+JZswHEaXTfmHR8HnurE/A4Ml/5r39pkMC3GbuANVS
L/xsGsRfYYx0PVArw0/CmuN9tIQAPq5H49kOQPvWTkz3ogzYETyWsWwH0am+ibpdnLd/kqT0JNIQ
BRV6LmiK4Hq5qUQAoCSJ6xXM9rhpolzzNb1BkF7hfLmgtz85Fkdj/C/4X+RBusWcn02znI9WWZQ+
zhjJjgLJFFxGdw5KdDhIlxagzpKqjOL6ZCbiC6lUcBrdyIVvOAypMBmrJmtYBvpzO/pruHqygXgg
43C/QnaSWC/Nd9nKjfTsC7InwXD+H2NfsiQ3Diz5RTQjSILLNfc9a2uppAtNUre4ANzAnV8/jqBa
rJetmTcXGBAIoEqpShKI8HBfhtR7WLrY9HolQRS2mIbEC/exgdSs1lDOrIlrnd3NTPozZCG/9X37
OJxJf0Jo/pIzvfqcdGrOLLFfKBuhtKhvKXCAesxQJKn92ku7PyYOyoHmBEYjJRK0Bg41I/hBXDDA
zBHAPI/FVg5+ARgAvmMCjFCbvJMjdBWA8bF0E9rgUsERHrTHeriAf2hIMCBep/vOrdILEIDmPeYg
Lqwr0KzScPQmdqde3kHChiO06UUluwe6ycs6AAZJjXWwTuIEZMRAv5bAIKAu2S7OdQ04JEql38yc
RW9GPohbzKoXPHbj2dSr4igKKNMhwKXWSVe4WwjN95fBhfYiqSvGQkJCSwKLqbUayU6NAAoB6mc4
z4Il/WRnfbuyE6c/D13x6f+dMKbE8qgL2aqyiddmUdSbDzwri3Dg6EEQ1M+yaUMkLcSuQo0A8/Ae
p9P3qKhyFEQgTD1lMVLM/3P4wWaAnjgycntDNmpE34td4PcgRdcH5z6V+vSs+i1HjS+KSnBcpglk
4oJ7YK47NwaRf1AL0EhBiWppmkRtg9gF2+VvOzcgbFXZWhx6gIT1w4SqtXZVCzgHTXgybva54fWr
QPXV3QEd9Nb1AJUKLVGByD7xqntaSrZLutyYfcjR9+pqi2rkEa++0XyZctmsq1ZNW6VfYqqMzAtL
FOp2ljH12gGY5LqD/OZE065pwf33GquMf/Sjne/ouugXDoOEQpa0KOpFjg1HBr4WOu7sWA4yCXRN
HFUbHGJz3HBES09R3A8n+3ePhjRBtj5pAF5axjS9LFl2WGzUawR0iEzznwfz4v/wE80+HudfhVYs
y5YVYET+91d58KHhn35Hsll+6x5NdbdFgH+obsyuVSsoMbshLqGDuWbMbNZQt0TCGNoGr3Fe4NE7
MLUqY3N6JZtyLBBVGQL1jrX52k+gXq69sdzRpBnlcqU6H5zahilfBau/siYdv/k4cK1qkB7dwc1n
AoZzcTLLBKCz/D45rXGwWR+DjeHfpg+tFlVnqGRbbNSL7c49WE74Y7FHpRffndIPbogeQFzsoIUW
QMGThE8Gb8Knpu8MsISYDBlhy0ZXeeUW71i2KaPGMVASkvUHt8jAgKHdaSGkRMeLypNLTi5k04pz
Gb5qfer/laeZPFCoeYlEJ79j0tzHI7izwD+kI9JkJ7e0FOBqpnFWaNpmHvkcxztwxQ6NDFErCDhx
ZMb5EzUNSHtPtqw/BaOVzSayO/pC4iBWfwjxkgOJImgLoDSTf5Kszp+kmw6nPscnjAofFBh6gzrh
iQq4PKrNz3IMvqdjmRVrpwMIdJktRkiStZ6/9cIKx1aIN4PXiaSDlyZwwgQpTcTiFlusP/1ePxKK
3Eg3DxN1jrdR7YSfyN4PdrxzKgEAxO9Tx3K6gIyMAKdxLd2NrIB7J5/S8ob5eDK6bNpNYfKlHePs
PFaQy4KqhkpXQ2yN24hE5WhqIHmHRqvIdbrB1+kCikqg3lP9wAY1/M3TwIPccyLwNifxFWpwbbTX
ExUPkeBmaRPtl2lfQs+2lvfSAu3EBO4Md2O75XCe4nLPIxVAN67FSSpweLVxkRIFq6JrTbdiKg/5
iPvm2NqDuzGRLjh4PUCANMyL2LyxHtSjEJbNd00/dRAh1uuocY6tx7vbB3OK4Cbg3v3aZoU84n9h
vOO7G29AzQm6AJNfR1aE/0R9jd9/cL+GfjGs047jxQF1sdUHOnDqEle4bEC8HHIoDfxxmoxEHt51
CPKFkdjZebbxxq++U06fRBX6SKVl5ZEXhvnCrRIUFBP44MZYFmuvTnQ9azu2gFWBDLxxzMuAmrBL
kyQMYQ8L3PuBxP93V/kgzIoBRGlcJ1oN4MTYBW3WXSrfByZWT8w+njbSTOs2xckPbISaYFrstOJP
NmjFgU6uAhfB/4cz/Ug8DjbjEFenh19l+RHUM1pgXX1L/cPqDsKDsWu8JeawssFYeE6HInuzweW2
Derc3FrAz75NQZRchpzhlGOVLugbx5WL+Nqre3fMVZJ41sEwIvGeVgYAxRBocpE/2kFi94MdasQ9
QFJBDuS4I8vPU9ZAtLaOQSMIoY09Au7qgDvyp3nI/CY/1xNU09Mp+wGVmVWkJWQcwLJ07Ds4e0kH
xqPSnqCZBn7I3VB77bkdRHcGaKObe4tNBWYRIh8BpgXLgvrwMjN5o3dI7bpKf8oB7O+mAQktu+Hh
K0/dJ2iajV97i1UbsnNtR7hztkMx95c9tKUBBRvrEKpqr4y6vbo6C982RnKsLZDikWo82dJweCYP
Mlk6bY+7j7GiSWqioHt28B553GOE/rLjQid01OHDwot6MOh5sl65cdjtzLQBQ2fVpvl2ClBtjWBV
fQ10Y8+BQt3tElC8tG54ju0Qq91e1ftOVj8zGzAlaoTu5UlS7lAq1a1QtwX+52WaesGUx9cieDRL
zYdat5r5GTJjxSowfbYjY8m76vphK6n3l3p/2o98qDevjtohvjb8cf9BxDFgFdDYmQsUHkjx+CBQ
qpAO8R6MAxHYsXURw2M9w+z0UO9AQ+gS7asSMkq0JM8EoLuxf/Qr8HWBkOuCCxq7RkZsXVtie6yn
Vh0R7bpLFTug2NbTv7phFCFCBp6IRLt/WENOiYZ3hVxFexqiQA3KGBng27+hsyOhZN1yqresAePa
gpddfKhHDQFrH1we/OYNF58/bU3bPKyjYdSVXyE3XO6CTDAIng6OPM/dNG4zRLPKAHfp0vTWnZ6a
u7V+132wupUdIkCuHZy+k+eymLp9bha3xfSf7Wmqpp3nrt5zgAo20Cp6o/nHQWA1nRiDTMG/e2eJ
x9dRVKv1GBrNWaJ0r1zFadmeme/JfEdWJBOicB105alEkeKhGAZermiGmg/j2ZOsqd4kpf0gTjmt
cZif1vN4mX9c/2ErrwX9l2OAAKQ0UwPsnRAvEGFd3wxgZW4WXvhsFcaiXXErivfLTKJ9aCh6+64m
7h1phSrtX2tpkplfyhZVlDS3rA4mwz0jvr9dTPOPMuqMHXAf/bpM0E8KOYqtYuT5Ewsoak1odJbO
e1YCNDX5HsIQuhl+9yro4VWr2Q3Q42pF8zSmXjKATCAekvuyZNnmg5v+YYPsEIVdppffwG6U2Ai/
zNY0OzvSNI1pn/k3Wda0vJdrQLDwgptQJRwwIMhJrXkWZoaCp4WwW7xxQ1VfyDaLN5soqTg0Wfo9
tXm5D0XFrk7vRLvRC72jq/z81Y7sH+A2yr8bqteYfhe4W5uzUxemIMxCgOybnYIBDg5Qfca5UDB2
LsocjPYBMPmZ+WPiI3+TQCS+9DzZ1LXB38hUWvXGjMHlSiMxmQgl2vJKI28ahrXtd+KoDOXinayM
rWHUwbbVy3Fwyo9RZawbHP1P9BIXIpdbM27B3FvF+VuXJi6qL13gcfQ7nYNZ84XzdxqQf5L1Pywn
dy/0zh9ULLcTg7oaeSCiDIHAzhpWtBnep9Cy9YIVMuDlZ9vPEREyoHeHxCM/JKjTPHZlEd6cwkYw
wezdTzU3/y7Gof8ZPBWid362nfvNBdPxvBZyLeU9NSL3w1rmD9PG84J5Lf4owxUQIYhYatRzguTz
tg+zaLugnh0XqAdcrjOUgVuQEK3qrRNk4zMtaAbUnaeKf2NdOgE9V3wFUVn8Hco4IEMNhuQZF3IL
z5fYBoMHJlT0ntbKeAO1or1mk6leQfkRnKPS+SfrtYrGkNbv+Vg4Fx+o+VfThnZ2jMDnL19tsxp/
lbV99Sxrv3o1ognRA/BgbWkBw+nhKRVqy8NGrAszDLe8nNqLp5teF1MV+iBJPbKFbs7Woy69oonU
D6DK4ESD26zmPnkh730cs6E8LvtQb9nbjPl4TJA3xG9cgvgVydEOT58kRKhMJrh6UbeTnWignj6U
Fxpz7WxbebRK2xrgZD0k23/W0BSqSXHK4gixfFit17RDB5W2xjoQ7x7x8KF6JTpTj2wLSx9z2hLS
ft77g518/7T0webIL/qUem5A5N0jmO4gbAT0+6oXFW5QThBdrSJIoDYChux5vPiQjcUSV37grf43
ZjWiX2vb4BPypeEOmvIJoIMmCN8dE0jNbBSnKPUgzqfvs9QYhfEV+MjsIm0/AlzTFScwhP7y8Ay5
N92iEt9M6OWsCuBGIZxYpjhdKfew3EYsaSPwS+Pfs3RNgXY1JCBi28ffP77pkGvdWUiCPtE3NzIa
BE8HVoBxHZNpbzv7SEgJ4B8eElbYsxtQNPcOKOx6/Xsp+eb4e1+LpimO8zMA3+O9ISq5KZgL0UOj
ORWJlfErzgzbVHXevvCnfeD5wRM1pq1A3NWEX8xx+GWygXi7S6dbkQNkwRDYMLpmHzgGuLj1SvId
IA0DTeagOBaQMZx3G0MhQaNt+Uh+gZog85N2S8VMVLJEFU0B5xVOguZmMVGP3DwqhKKxicfoXA1l
pniEdW4E7pmohgJdmG4RQ05x+wZ/Etmoumb6PTGXk1Btjes46Va5UK6O+3xduVV+D0SU38Fgkd/7
HjIHTQQeettLA2dV6Gm7BEd5nqffyQ8RWkwYmbLORhMdl7XUy3R9jvD3i3neCNrEm4xP/EI7Lj/V
MLLXBOJ3EAfF77DYxymvVzbjwIf+noi7UOyNDKqGzDaNcybKYBuJJkNZiTLAtA8bTdBwachGs2Sj
YWuU49qJ2mBNNpRgGWrehsYKOkm/xsvCCiXbqqnq3Z+2BrtSuy0zBr52ARC5U7rNu+WbyTqc5PjW
JEGLWH+UPNs4AO5cFfhXSGXn0HqfwEWCIpZDyNS9YKG3Ku0uf4oZz57Ax5I/ubV7tnF1v5Cd42G7
hRoSBLlIzS7QtOSRbaLgGIqf29koGl5vlQnAGIEjWhTK3MS/yFO87f0bCqZGkKkCU6xHpbcFvtOb
NVag3rpN+ukb6agsmikfhg/6KzRTT4jH4F8N7RVUmBdAzkz+JknyEXRRApHIrhzqtc2RbO4sZd7I
Ro2jZ/HrdJ4rZjM55GBCvoEaAESkYAhZLbZ5N71HFSNQKKCaSb4ALSZrD1kPRILAhkbNVAWi3NWn
dKSrtpOWu67ADcB3Swk64da5oboJUako/MZSUCcbiXBui30KgX4UdvKDTDRJ/tRrpui7rRctJnIr
SnvneS5kFXToK9NBMBV30dwjG/5z9oUABTBNUrP40jAorc9W0f2NF1F+nNqsgDSfvSnMVLyCausE
+gD3EiHPdUGktjvUjD2RabFTzxhGnOPJb8qg7Jm64ASimT7KKoAQ9TbLGi+yu4Nn2v/bXnUlUEUK
htuNYeTnGU85cRQvuWP6rhykuKIhRNi0S/3saQDfsxWCpWUUef7UguLySXhesSO/cjKRUCa/ouWz
H2gR+CY0Rh2L+5cJY2HHwBMPnBgPLBhVX1bbMAwhxKhpNJZ1RI8BWt8XEaJ261MkAJ6MrPpuRUNl
b2Kz4JATZe3RxSPl6EN4AuVMzLlTM2nODGUj7VohFbh5mDBs/5tlRuOR7B6rnHuRoZa2xbd3tL/1
wjD2lYMTLOv9+gVowObFdIQC8pyHe7JRExl/jSISz+AXFCBC29NHQZ9UHHXDJfTiI5nocyN71YcJ
YLjTf3zBLzj79ihoA65eBJDB8LKtaqP64KrE/uwx8x0q68WTsjz2BlVURGU6+3OucmOPYnpIn4xP
bQ/RC07E3ohuX2c2bxA0yCsgA9F+aiCTMhtn4m9ypSaLQ2S8B6i/zfPG1Lcnlddni9vxJRNQhIxR
D/hehAHfxJEQx6JIkvdq0qDx0nsxrT55bjrxF3kBCRTuUwZJZRraVTGBqq7tr50Y8E4yZHj0WO4A
2FKK/XzO1odtQIeuMQ6yVzpr+47t37Km2gkrbKEqXTbFoYryWx70N7BHg/rcrUBrsZwllaomc0cH
QQFh1x0zg3y1nCAbYSTly4qPJmQgyRVQu1Ueufz4f2V4Ia4XYoJZXEZoJhh9Zc7kMov9T75k66BN
F5agOwfzesmcs9cgxGsPoBjnNVCACPR4t862vRuHEM0KMqXtfiwS/0YT1FSNEAeEmtLZeVnR6GXg
3kQRhqsldbETNbQ+jIIbrk9Tba1NQC7RWMkWNQMoYCwFJNQcUkD0tPZhUg0McuJkbgdoJZJ1HkMO
cue1Y3IkW5WVv2bnNeRNRhOKuluE5RCn19G9wE3So1LZHWx0k3kiW5enR8+a4tOHKN3ctTQNZ49s
zoYcvSJB1NX0Xy1c4jbCM9QRbD/256AN7kPRseeuY+LVS8vZXHlmfeqdAUwa2kuO5cdF2eDdA5VZ
z2FTzosio0hWECDIZLAHj9KaIaz+BYVr7cqtHR9kh335kqbxWz2Z5RcIa/Gti3jzYdJufGxXkM81
nyMkGUecbge7uQlv2vVAbX4NwUC87T3OIEXe9J9yNv6yeyCvQhGvualj7pxa3XQZ1B3mnh/zj0M9
0T3YHoa/XR62+v/YnlyQra3xI/c87Z07NabhOvemwelM4Fp1eJiI7L/LtupuixlCSdVpUN4bmVpE
Q+9udXiQ8BBSlHuV8/eFD37mjF/8lNJCITmwQXs7Dd+JI74kG3WpsZqua1bUJceeebNjo79VtdG1
+8lo4md8+vzmTGyd4O39PGgT9RJwq0cIetwXk28nz3hPQZLyt6swHeRkhI/IgrZRMyZOsMZVptjR
kH5KNfb+tmjtDEmFTkZrVLeqQ+ui3NapT3Xnnru0LfZ+70fXpfGqLEakvMUVcUqcv6OMFXuyFa6L
yyE5qkJ8pvQlpSopr5nWAJWaSsRAJyDzSRODASSH10jU1cLUmgZew3WJs2paqRiaojrr6Y4AIYMw
5YgvA6bDCZ7LXshNqWsTWRsmMv8S6CoFx+/8S5yULUSA+5e2KA6562Z3hFHzO/XGQcr734sxkn02
z5hTsJ9qYJkXE7kBBfLD4yFw03onashjaJByBp0QiBz0xLIqieJhA12LcbPY6BcQcux3qumi9bKV
1GtN1woPYc1/9BlHCp2cASxyzxAbOTxsMv8DnLZFJdswHmtduTfpaj7f8oxbVwmUuxdBdbBF5x9K
p37rYiBDqYmSYMIhmzClHeFHHY0sXRxG6zi4cSFNBIYYagGcQjz3UJ87QK0Bt87UFM9kcy2pVWeq
94DJ5iSE86PQrihBGa4iFAdeB+lzHY/pcxd57VOjDhBdbSPgDmHPvBCo8FSss7pDzAyItc4ZQake
F7elGISKRoT9ay60n7NEfXIr330ueeI9VdOTI9smBZQBf/vAs/w1D/uwcvfKzvM1+aow956ViuxN
WHb2loY0gcrZAelSXx5tkC0DfC2LTdG27G67oAdu2rqBFAOGRsHZPS7R+H07bWom7Q3PIarDahB7
KF07kYWRjTSm6wPJosc4Q2WH2O5fgN31j4k/VZBoEjKzVlUS1Wdgm4YDG9TBkGV9Br8JED6WvrDQ
mBrya/xhKOclf5pebJn5XGYoRZCQAmlDxPVDZMyukUaX5w371YsSOWCiXRsZKGZQkIpZ4PLQJR8F
YT7ctr2jVQNiCI2sLygNjV/LRHyOpsA7BfrIxSeB6gDUyU2Dra7cs9thRV2mx33ForVvi3qLoiTM
kBE5SWS5dANWJ2MHDTCB0sh/bbWj/xdoHJvIkuXxmgYAWgIZ/9uNhqkTI4mejBK3QgQOSgjfryYW
d5esUN2Fekuz2ECrl+8SkaEgEpDA3JI/gT/AwSSq+bnXDfUMt9VKviUwgbmdcFQNCmfLEeDBucqU
oPPUxrmh8by8iTFFXZpq8NmA36Ett1QfGBnpPs813V/Vo7iEbIyHKByhqsBAlwZSzzHb8ZTie2pl
qLtfEC++SKYdRA8BoNPoC5rQuPktJLfTDasmuU7LxDrghB+/4nIXXoFFvlEtc82gr4nMCbi7wvEA
3q0UsNPEPQc5+E/LgTfbybWhhKttTmYAl55f6b0fWCjh7oKOPVmehYtwDAoFMKaPX2nCgzIp1JaS
fVP7oLkTmrInRnAdJbO6WyS8814VcNGryW4jXOZjA+yzCBiclmZMWh/0mLqUioy4NiarnLEOCZey
OJd+9LFpnAQ8XYvxwSfTS6bO84FvB84F1WjTSXJvPMVVM4GjBsPFBu0OfCI0LkRxb2KUivzJb7EJ
VdnHwv9W5l57bYq8vZrDiOsUjVWKALurQH2cD8g+6wZv5vwK+llg6iGGh8c8EDoqRhMP15wE8iSQ
MtfQ9vh+cIvnOul2fjBC4iEx6tcOpwUITqb9kWxAiUMS2UFqOBvLrYTQ6VU0BgSS7AS62UELEH4g
uJlsQ4HT9wC1RpUN6gYEFsB/bSdXje3Jg8lChBXHlyXcQWEKVM6pkzvZ14cICA0rDQAaBvMw+ojl
VKBDQXY564s7am36TV3F5qYfPfwHB0PKt3jv92tVuKjzM5z8KDODv/DcjzZhkUhEGJT7wtPIep66
NxqQQwpg91YAerFVXYUXfADWPw3XTTOe4Tulu7FG6Po4I+wdu3laTBlXoOaV0OE94i62I/5QamIB
Xtx5XJf+Wx5E4pRaWQoAAWqeoCBea9qQX68lkfsALvjqjV5SZGd5PB6SAJpNZtTjElOF0BFC1FuM
eDRRr5HWN27XzhGgg2BrB+BrtTpDPEPSFO/FIrPWVtR/Rdy2BAxFDM/Mdfpnj+c2yB/lrWGBfUBd
YL/OTTfb+bWZAY0Q9WwPlvfwGBjhKVOjuXad4C3wsk6D2L/7jme+5xUoEjrLYHuIe8qXMBFn6Amz
TQ4+nI0WZbnHuhnjurtD2AGVcEwxwFRgSw27PAsD9QNdyo6ZEWbv4wSIkRe74mommXyuI0+sYgtn
ZhCaoGoldy5FZdofmgZaHpcQHzp3PHVeJsmXRSxsV1nvVdB9iLb0TA386acpQySP9ROWHo70bB3p
ibk8Zh+ntbcS7s3pxAZapWxvRX56m4pM3KhHDW66KCURXbQ19azdK6BYXZ7vkYwarkWf9TjnAp3V
0JdQ6C8cyVIqhVI4m7Xhvcwznd6dwjM1/gDg0JG60GgG37w52xPtES6TqEIOz1WE82k7pO+NWb5R
WWmN4zbE7gS0V8ci3Iu2Y2cqSaWG7FVoB2sfNaFbsuXalyZQm2ofHVe9kX2o7T7Y9Ngk05uQx7LT
sknld5vKDJoXXjAUefYQIIQ+rPFXDIT1JcmLcZXpIaqQg1NugD605umEtAYodgDNGHRDPQfIbRCF
pdl2sSVmLi8FqjDAlPnbkYzZ4MpL5YzPOON4e5pc7NRzTDwuDYVSZsTl2jUq57sNSDj4RaQoeDVB
kJiXgQLfDRqqjqYevvs/fd9guwc7/pr7ZoWTAFqaytL2iy+sfL+sXZYkrr0dGCqbqWIkGjvcYPLi
ACTbcCXThwaUSVfyKP3sMNuBqdogY682y6sWf1hIGEdjCWFmvH4NQ2bOynRQ+NOa1rmHQrWDxED/
68VseOm21yDrxdRnw1c+JOrIB+g8haxvD0ulIBUZQu731wQFyGmWJmgFer9WzJWHZAzC4j/b0ITv
ZRJQgC6ACpNm27EX9mV6Og5EzONXiDECow8SD9fDs9cWuCuwtj5CB90+x1Ngn6mHu5ardiUiq2Dj
UgeyueCTUDuOP9nZp8sTfGgIbKypEBOQcnOL8Ie3mmstH6ozy7yELrgAP0lYJuFtqIIt4oH8BNUg
/JlQtSbVbWaJM61kDQgpTk0vkWWVB7sbkdEDjB9qqHENvGHi2TuFytojpR1CP2OXeZbUUGlMM//T
70OmgmY3nT7YVN5wRP2MiW9Plp3yzx1qb3etnxfZtgFopUSG/sq0kDSpSae+LY/QLwPUkVxCO+rW
pgC0k3ykB5G11egg+IzX5h/XVSoQm16BzZLqRaTnNFfZsONcEUJDPIqOc/kIDXFAP86a0QCr/sdZ
r6WdgL1dgRd3NekQtyvH/MlEcq2avOJGJmqyovK3ZsO9NQ0BzsueqNeX8oMv2dPChrAVmJo8ndyh
j2z+vPV/BH3IqUI2vDR+0Ie/fOw0nF31f41bg6HH48hzBeH3GLqK13Es2NtYAZ4fGd50oKEHjSpo
1EzJloYsVCHARgOiuUCDvHHDFE9930A9HCPymKocWpHhnXGF+LlKvktZrgu8ob5MXdnvIinlEf+5
01vI5Bs5gAAFdzCrCu5OfuMdOHKXJAslU6iJgNF0JE5bS0ZlyDMgkURobH1niC9pXcQohXEAJlzG
cQhK8rr9myYNo8K7nbqP44LWpYXM14PJV8BxgqeZT/0TqhHLdZxK+WOyvjA8yv728EBbFWEFwklu
RIBUB/HrxBwgBXBA2dIFLZURuwSBUQg8WyXKQjSQuqM6LxypYmnwPY2oiaiwaxk7Gp5Nw9jswXmP
WqE1JX5Yh9N5Ezi4RPw3b0S2xa3Hg3fJGw1JEO1BoI1im86oL204vY6/pcxRedCB8ykDy33f9GKN
8kELATMF6RXtQ/rmiEdAiFA8M7OQl16n2P1JVmuzFtmx1UPbKrw9i4IUPOnIxycF57c4q+80stgX
nlj+PhVivNuRE29Km5Vfhsa/ekZk/JP76jD5ufe1UMmwRpDU2AVQp8Z+4LssQW98GFCqh0dokgwH
H+HRVTVy1A+S0ZtQfGTiODFmIXyg4ORuEib9DW/b5gko0vapsnBHyFHalrF6WxvIFujU6YemFfvB
DI1LaXWIZvmfS5Z+huBk+p42SYfEi0p3eLsk78mEPPAECM2NZ032KUZSEzj05F1zw58zwLnW5Cbl
2G6Yj+Jpmk2D4dBFxplL39mwKXnGvZxdwILILgAAIwrhElybDJFMqoP2AbcFHqnzPPmHIIaWuCxB
8SaACtckLoGQkECVvZXcQJpkOH87NrvXjhU9uQVAzr7Z5FfoZtp/lSVi+zTkuflxSLOLs6mdl2Ec
2mKPk+O0KQfVvJTm0KNmYTKPpm3UL0GPot7Q+Upz4AasX0QfhSCNiyr35maIQyVxsQVDaffGQ7s9
Rx1ArzSMWyN47jN3TaNE8e4tqUBVMKEyDYmu7m2wE7lu8dA5/Mo6c+bij+135pZ6rAKVXgIyiS1q
lsYzFJ1QHonCTYQTgPkyIHznj9s8CJtVDEXXKzWlW1VXhAK6dQy6xg3ZTPzC11E3y5DnzDvmtnEk
O3nQ5MMQpTlfoKAbQrcZ+5LHsgf5NuBS2001PriHCRqGWQkST4izDcCRNmW6jnKe36KktTYGS6fP
WRwjL8nDfzwXQn64rX0PkgjRurxo76NIvvZO9TbqlyCxsJm6V4gyhyT5WGzJtkyA2fqIp1R+me2m
uRWyZ0fwarDzxBugjqk7j+vYOtumCwj0JDU1B1y0Kaq0aOTjksfVfYWS7LCSJ1rjsEhudYn3uqhB
PQGQw9camJydADLjQMMISfwu/BLVVnUwTKPYSatNvgo32qV9XHwC1cV4AvEv7lXaXvDpLRqN6pZM
417xlD1VIcCHlYfkomm07MmQLnvi4A04jjkXuP3+a6MebsotBKyeaKXpOrgbFiaKOUS5aVQEieO0
YSdNuPIN5yYEzsAB92qD9m7HAFe8gLgxOpeQht3bQpTPWeSZ65zl3cZEGeCaPhgcD5+EypDh9aA4
Vlktziujj1eeHkFuRm4CLTM2kcJYFnXZFpxwqMkhQTLyovkG/02oB46zjZ86zabN7OjWSlOdVRhG
O2RQok9V60CR0nL/dqsJJ2rf/jKo4JerTJSCXpvEcU278pB9UaKsN37V1NtGk8BJXYzHzBgcI1lt
Q2VFN63ThR/HE82Tq2XxbA8A8p0clyU0OfvxAWrrWRr/FRjBP9Lo8pdhSth5aHEx8gNRfxvqZjcE
XvkZlCDFIQoGLbvqOF8m9ZXmOxt1lNgLPFhJ17xFKnz22qn+NkE/YC3UtE9z3qDwZvrhguPyJIes
fiYyzURYP8bQRQxOKXPv8N5H8DyBrkQa5P6JxnFpvltW2m1A6XkUtYrvk9e14SYYD1MNBPI8GhtA
M8c8a/CniccH3k7qWozTJ8sU4Usz5PmlgOz22rBsdqv96QdFQ6jhIsOfqYVI1hIwSaTdbEokUPHB
A/CvhYBDUv+lbqO14aiHJ31xHstXGpRlJ489t/9qCub8NUoDHPOdlfzsPzc8qX+mrfmzgpLFJyRs
YzzfRv/atVyemmaa9gpKes9xi0+LicT62ncA5OlFqAA5TJCj+IbPo1hXXeQ+22GMur3cQvq2NCBW
6/g1SpZ8VKFPzaCeqPG7xD7nUNwugrANVmRDoVGCqGlVHeve/+UH6ncF7jRQJCw2ck7DDHK/k3dZ
7HnZm+AaZ2BeqDL1RBN9YX6fVAlYGPgDjrwDbjkF4eprUKNwgfNME/WZTbVBlvSvVnFrVQLQi5tH
nN3TSuhissk4AKYR3zMlkN0xvfBT1zg/bKcwf07r3C+MT3HLwM4OVmhEhOr6eWokwOBjdjZ4VD+T
3XLzDybUnJVItICbmtIM9cg2QSch+pgK6x7qRsTGeGEI8AW8cNwVuYHmEIE9F9lE8iPb3EgkjWPJ
XXyfsXZ2ljzGv7Tv9kWPSrrAEbgTi/5WtR0Cxi4q0MDCwI5FnrwgkvLLtEwqE5rU/4e9L2tuXMfS
/CsZ93lYDYIgQHZ0VcSIWq3Fknf7hWE7ndw3EFx//XyEfFPO7FvV3TEv8zAvDB0ApCVaAoFzvkVA
SsQbrcqAGO/PMWaLFDlBmnDV2BkElv3kQz+l7QZ/q8rANNVPcH1I4P0JdBiPrnTYQjbySKg105E+
q4Khxwo8jq9nlRlkXA0kEKC1HDkr0MDFqjSTfNOjoDQT3K5v9GFEZcYrKmArGpKqc1sn17FI6UkP
QFU929ARMyAHxTD1ssFOPUXTzxPSIf6IS5jOUxZOYnCTBNyXl+UkD3iOuSTgvlrP0O8dbzLFsN8V
JH0Pu8gDUQDcPKKeQqwj8GhKjzSEcxH04EqKRLmC9fgURijDeXicM+/8o9ROj9n0o62cbJHmEGCD
OT0wFPqHa+ruMoY8aJ9bXtn7Pqhc+XfSYK2Jf7Z5GHhqHvB1Nw/IIDRLn4/Yg05t57F5RO6FUx2d
2oTHISYKUDBRQCsLcSzDckD1lUIi+WebnZTpSrrBiTqjWnVIKj8yBVHIRoRvFvh9HgsJ20NB2joE
ZQ1RSKsO30rH2FaQ0vVCpdwroyLYTpA6uvapgd/YuInbNFpgwmGJBzcUuB/xHipY2HHfZAVyp355
klOgW2CfJaGYnYCpW5HSg6MAubF+jJQNH7EF8YAk5N0dlLOjpYsfl+ezIesOpsihDlxYzVIZXbap
jaHD3oDdjREBOL2kJrISbQf+RvR0zqZENhRDAhv02rMSJjKg4cz0h/8c44Pc+DaAMjwWbMenBOlY
l6Bj5apnOwp1tMz1ratyigS2veVcj9GjYwfLQjG+2vjpIj1Dy+pqoG2+USl4YsLANrSSxYLQHmpR
U1g1YPnoV/pA0h7rq0K1npVUxcH0LWh9jxIEXO4Ma2SU8rnpBtY9bCe/hiqErMilNwT9exE3w2vT
ynbWCcs6mlHMjlnSB9c9lAcuTdbUXlX2LRJd/VqlDt+b3Arvq2xZEYfeR10S3RfZsp4C2KeON317
X9f5lhuJc7RHRe9HozhHtOX0PrfTL9HPPiOxkrsBLIgC6ClpGQ/lUIpr3iH/QpLgsW3D5soxWyR6
p86uiAuIvURsCVbxG20cPgfM0jiB0/1ORDC82MyYslBdsNftvErek9b92j66YP11vdthIkPxbLpp
eZAbNwCbz2lI6P0QCF9HIG9i5zL1/Ryp+6aIYv16T5AC242Ds2p7YXrKwQIoAA7tiaylVOppbPJh
W0INGF398MRUYkL2wK6Bq0eIgkeStE8jjfptkiejF6TJ8EQNbFkcMwhWVm1ggwfXDfCrgBDa6njE
92NbwoQaThRT/5dY0fAuxdMPzj3y2YqSYn85EOA9voQgRDyrIMQk+ms7dlQRHhbwKtQPLCTgWrCJ
Rwv5uT8fYpe2y1Ns7CFsLPLeY9ADeZbu5DlB5WsH/cZFEzXyChb1xm1oF3d6yRVWXeERztMDBKwl
AN4Bn+kOGhpvcJQlNxz3dUt8MPb9aQ0Hv/RF7FtHNQJTqJCq3HeN/XkwQbnfxxI7WtBBhmUqSwP+
fPqoBxXbYgjI+QR9qrSwBDLq9jyl6mm3pWO82+qXlwXSl3n3y8sqcTE0HbLPZdRlvA09GEEYnFkC
5zmLunZfxCh0ZSGLQUwiwbqaQrevA7BdkLPQvTxyGpRbwxfdGZtxvmcDweLIy8cYXmIC7ldTiUAf
Wq1xOUpkffMRu88OlduZ7vEVrJ5YFIcLHRatEsAYGmBUMdJ7HWvjdUDb9LZw8vDAcnIAjS69dVEV
vPUTJWYRHpcb3WaPodqNQfKCYsDcrkPnpnMBX8xbGBYYlWs98syXS4FPsdIhqPggrAYD8BosfoJm
cQQXE6faRcRdc7Nwr4nLicC00lYL4BhhcDw1Xg5gtN4HBmXzKIY6v2VYYh8JJQBIiJzzqzQfCYRv
EjHvKht+CrpbD0y7+CmDxrEXZ2O6qyG0t20CypZg1tc3NmRAvdS241ebWxvBCvbDz9qlpFXxNkxW
snnVE1CgrRaqyxpwog+JRcxNa7fHi3rpBY3SxIW97oz2Bw+KPE5mPYFbdls7kh8ABolB00S6DZTl
9uSPE4hnLCv7auTjqTGxJCoCN11X4wh9gInN4mMiS8yUXWsii+G69WoYIMp6obqYBWzP8O6vw4kM
o0fkVuZ7ZzmHn+efr8ZovfqtV8QcBD4UybwLjNcwURQrMksuNYT33DHa7T7oy8UF2qtfVZCYOY/V
oRE2ag3sRevBHwz0GawWZ1EXkVuONP6xM9uN08TbjhXlQyPGeu0HabjqHJ89Oa7wqp7brzxQzRzr
jmA3QkL2FAgpZ5AgCpYcGbp5PWWndEZKH5ws3oRV2G4uqSs1iQroTt12CaexKVIam0uTHqYv2Unz
h8yw/UMpe+J1lBGs5+DlIma+AMXBBhHMnoVuUK1qOyFY/0yxm0h5DStXtoIPpzqHzjRcdxRGlq8V
PIxmuk3oU6LBpNjY8eDrJZyEZBtMZ296oP6D+gqq5nSDtOvj5aK6PbdYfmWPwe35mrqtHWJoWXTX
SIpkL2GJ5AVAQ98bhnVEa/v2ra2afoV1QLrp26E4of7jzswqkt+JujIbu3pHpq4B7S63ry3olV4Z
UNABl4y09yKTL8F0MWzsdl02Vk/+tbHU2iVatWR0nGqtkCO/qJ58kd7WQzD/5kDeID03C4GqnnUW
RCrPse4ClK/yhtG111U63Cp8hhuhQn9f9FgvC2Mkz1BUSj0jF9nedob+NoTCqG4fKOAhYZ2xNRTA
zGcsAQozxxJU8mtZI2mu5/dmehKcZ30dQ5jmJQrxS7s8Is5PgyJxzW1rOufTzm284MvSJv6ulNOa
wDBaT2vGaVU3sxDQVZrbA2cVskmu8kKjwH3T0nLjKO0rYE7utaCcHu/nabQzQrA2J3zR5XCxA9Bt
v4WXtl7GIfCi6b3jryCC6GW2qsmRl0V6wFISfnACAi34P2Hx9/NVNwQeB0dv91t7ldLiUKRQR5g6
9fi09ANzpl/aAuJMrt2eOyTrjUXGuOkBy54cIt/etVZKcy+pFAV2rqKr3q7cGylM7GJSMj/3lpCV
mxd2XmOOQm8K3dybQYC6iODcUvZsUTgyXBivWtqlm4oR+nAOe4jlnsXlfuvWY4Rl16A/uMWiNWDH
jef/NpxEZaEwIg6G4QAlbkIdyhDAGOq2bNKn1a+iIG1gg+TiGzmdoQfrDh3mheEJiMvsksoCXEZ3
NEacz2MnskAhwZVZk14Piju7ssoIUEXlO8s68yZoGLlJCFRGnViIlQ6DUPJTCI7R1KcPFtDZSzjI
pHMAdcwb4kLLuw2hsxuyUe5UCI1UFEqzqfStW/TB9xk28KEY7gOU2EzoYBLoWvlx2W4NH+s8/Qre
jtNikMJE0oUisacbnWnMWUvtEnOTvpm0BOxMl20ofH/AjyvWHSyrN/BJA5QFeGC46qCocznotp/D
whj4Btab1QJKfKNHGhQ5tFfaxUNNv9JtEoZUJAbKQDdp5zXtwaZDRwm+Hlvn9tJOSgU8OSA4BskC
aGWOw6GDTeVDD8iCSTr/zoHEzk2PfOEwNWcUjE+skaAxNoUlaN0rp3fahVECGhX5RreRE78YnjM7
METZ7UBrZ8lSi8yrXtq3Xd4Z1zwUKx2B9WXf/jo+FHD41eN1ZyC5j1WKex6vT5rGJ9P1dXQZL8Yk
WmZtAaubKSOfu03ZzwAYfMdYstJtGSOQ8Zh6GQPHYNZQgKkgHmTOWkIR667LgXcgUn0uAwv7SuU5
QwEoHj7TeXqd+iU+ZwXAZ4Zo6TRU95+XrCMgPwkK89BDVdCVAaim2HAGcfjAjtsQO6pfY9WF5Qaz
tJwpk6P/Mt5vIyywLYOvrSk7UJtBtA8YhICmqE/xf5pNyZrUBUdOpxMq7otjGoPjP2YQ5dRterCr
sn5O+l4tdFvvmPsCML2jUni8Fc49blB+6oGywGLPeGhIBaxqjy+iDskAme+UDz64pegN055D1q0L
r4aMAUA7qPJTYV5CDBHL/t1Fbz7T018bAB/nQkTuN3SxXuNNnXZWkV3r03QF5Coy830MMfauhiz7
9EoffMCiz219TvpV1IX7S+c/HftXQxy36Jdhk2QAyLhYuzclyC4RqddlZCLLBQHIXUdyuUzKMrxp
GLBamZvLp1DCtqRX9INNbKAqgyMyEMibsXbMFQtreuV2DkRkyPBctQ5cuKHkDOVEq76LZHVPgiR6
ixU8xqzcrY6F31a7NDbkXHf4WDkUJBueLRg9LGuLF2C3xOpypsNMAotFZM1kTaorw57sm0mQveSl
ulYiqAMYh9yDKQv3nDz/XlOiHmuXx/PQL+qjZMpc9b1BrrAfgJJcaFwFmYuCYpxT6AiHZBt3YEOy
GgbgQaS6TRnAaqqc2GpRQnCwrQpPKXDZdJs+pPWdyjGPgO+DMlyjThCVDhYyGiTUsCIswHOI0yyQ
5P0zvvSPNgcijCf9nnRAywgTs0pFux5umDxfMZS0nmJa3gxF759KaCTjC+086+bLKAXpxyfK5I0x
pv6JR8MhjCvyLqGVd80t4h5t79b3ZfAAoaRqT13sdfXu30RuYI7ijL0hndXNU9KNW9WRjxD8z1vm
D0i51G6/ig2i7rnhgq+bZO9/MSDjbDJKJcihI8+3G1IH7NsOqYy89aF6MIW6w+oGsksz99EgMUzx
/H5YEKzgwVYm9m3WZmIPffmbehTsdhS5fcur9mgRfB9LrRRFYNS1hiluCOcbJ6ln0JILgR/DgZlx
uKPSdyCI27P5bx061EP04NZuAJXQMfQ9iqvAAmC04lBLBqmmF0m4dLs8v1Ooo28DijxekojsruIZ
u41NT/fpliymUPl243Sn2wwSDguayRAlPoy/nH6+2sCt2xF2F1aT3Zlx095G8QLrxmTXhvUS0mLD
Jps29PiyJTvdrkNAEjDlZj0YwuDftLNqyur1NW3nmCcbD/Y8bGcawJ2fe8SUEjzHtWOdABKr1rpN
nzfoNKGYMoY6Tt0iurKB6taX0U1hPwnhwbZhXo45wGCV4UPCrwRCnfoFKgJhehoU0JsNtonfrRzy
dW33LkijvHwAkCVgAC2NkW8ug9CU96OVvBrASH0v63qL9Gf7xPsqW0AyS+5Qb1SQGoiPPseGc2Qm
wKhVop6h9ZZCg+XZJm68HkpUznQY1eEyRlbvoa0VAzAV/LV4GgZ1zKcuEinAh4O9d2wVeHo8aKZ0
8lsbDwboZCcg/b/rdlnCbTSmOVmaZozNft4DJlOP7QZeF5+v7KkN8ojtBqqA/1WvPY3TVyE226cV
hUjLlM+qc3hixHEP5byfWTCw5EPItF3i7k2Bg7nTLU0MoE/Oy2CXqcKauWWqjoVQbItdDZ/HCW/e
noXw6zdFMmeOnQ7FUrQAKjcFmVx3s9oFOFUa9xC5dFYpVYBpjwqJytjZ5oO6HpAjP+qDHWbs6CTV
3BSqRL7+z3b8yiwsV7twfWlDCrmC7mvLvFbSfZkOz5rWl6bBY1xw+0RRU7x2DRMquhOtz+2aEiTy
ll5l7Wg/pvRZN7OsFuuU8m6hw+nsTKT8hF2YvK7A3P9ytsD7v3KrTu4SOj7bpVnfp6JdAq1dPfdl
DMuEpKVLI3XL5y5XW4gjBJCpZsC7ywD6E1N7XJvKExYq1/p0UJuRqsXpVew0X04Hjn4L4YXgbjRr
rIqROCgMAc0SkqySwQqeHeluWWqT2zqj5SGPKjCSp/a2sYp5bfn9lSE69lS/6dZMDNmViwTAXIeR
L0ABcCvrMOJ7DSUVaIrpjCYcNZ19XA6Q5MWt9rBmcfbZMK4uuUw9QgqysscBjAeTzarCKaETSY8c
SkFbYHseRcUmMkTclluHycc6Z/KU27U86SYfTdXUNIrSn4HxAxhTA3KC6IZi69ohWAz6ZTr6mLTN
+vlLmx74JT6/1K12lkjHcwZRbO16nBUMhAp35PQ9bOakG6L32KocL0LF/RBAHmnnZyAEkDqzn2sT
gvqNpO+FL4aZi6LfiWdKAShUhyuQr4w7xT3YfEmAhe34BLRcgB0g4ERpquzXDCKKQxTYTwlBPidG
IQ8AjXDVuGZ2T0l0A0W88s11oHjvh+5wzIuKbxMOGUrdgW9LCODtq+hTCbbZxB/CGvUUK9wFPSBN
6LNgwrnFG5GbCD/KZVy3xpMym/MVMr/mnt9mwx4O0BCQ9SsJTqw8CMy8K8DwQZy3YXG2GkoUFXlW
pvCVmWI7QLnwHA+ooq6sKT6vAuFvBkB6D2ZeUzngb/njeN2RLL0Gd8rEChJlhEsHoBLpdew35kym
7WcHS8rxOp06fjtDdwS+QEcpTQjQofKgL+VEypxLaE5sUmreD4bBn01g6OdQvUFCCkWbRwaUjRU1
4rnpSrmKuyJaRZkjntsBOUFYtz1ICCRfSeWSuW5nVf9UKj+4qas8PYB8wGeyHMBLM4xuTSxmrEF4
G7zOqcw7Q7h0z/zkWUe+svtbAjjU1KUPpeXucPvJtaEs8y6H6P6siF24guEhuWmoM0yzY783W+Fu
uQOI+xSd9SZBGYAhFXgN5/DXccw2uj0sTh/rYVSHvovYOpp4KgRknicTX+FZJttuR6cQZTBfuZCZ
gFcryP0+ENZTMyAW9QKpqmqtw75zTiEXcgmXtnaVaSaNxvRDcdXD1r3btpnZFauoAP2QQ3MU6DNs
NfxymxPggQjSczcduFeQ/xfFHltzc4OtNFs3lV8fMAeXC6A30zubww+WW6P/UsfGXriAJs/ksErL
sj6mA1KgoACCGNn68pi5TrnryqSej9YQvflcYH0Tjc+GY36uvYM6to7TXRgC8KWK0AQ6BPflcgji
atiVNvB3RY/72/cg1PMU397pJbccfPW6VKLonKuZSRvjpGjPNr4LBqkLYMEj5UChO9J6i6HymwFN
A9V0dtdAnX9B4bGwk0aQ7Ro6uos4zMSdmxb5rJ/EY3/0kFH+cGVYzKjBYYweAoDVl8ZDGvjGA7h/
7VWR4kukQzjXQMuwi62lDhOrgfZ71FRL5E1Sj5K0WxiuEz3HhvOaVbF/jFt3PIo4/25RFj/HSlUL
gRzbGk8NhKgSiTaLHym+yHCzH5mnz3a70plBJazbNyJv7nrxOV5JS636MiFLfbpJ0usKD53bvJMU
oikomvGbAQnHm7Bt2U0LYxmjrflOR1VQgCYzQiRah0aDEb3DHDyw2nCjz+o7AT1z5mBa+PMaWK+7
c0NB4nyoBTtfvIdbg8yqJQ1DSMWx8Skeu+GFRLntcV60OygIkpv0z/Zhand+tk/jfccfXnqg3b1e
DZ/jG/ySU3gjXWGxLud9q+BLxhxoblud8RDjKeKFNgu3+fQ/gTvfDcr+47GR1fBQYsU1tRYQSboe
fOf8f+uH9mDm+A3bUI95bBySgIBGgQEg5vCQx9BgpdYjNaW/i5sIhKQpjEof2C9o5sD5G6F0QQf4
Jyc1lj/pOePS+iS74QWeIuVfnYSSB7/1TbHOncFYtXYI/as4M67bKrC8Dg/Al1LQZdTHzQeUT+/L
ps8emziC6EKSpPusiMZtnLJ4WSc0unf7KppZKPR/JFY6a0rDWNh5iBKJIWyoV+Ngq5bvAO4CKQ0U
E2+gKd+5gayque4mU2wQASg/AHcRo3zpIr91M8oOfFIAPN/Y0C8IYCdQtE0OEkjEZ2nAmqrJuv5Y
2nm6tiy7B8a+Ng9d0dGZ68cnJ83ldSasYANFe3NdIJN6DWXscB6WnD4lJqykyFD/6EwUeEVWvA8x
TvQpbW5R4sIMgSTyzGygRTTUgRN6Iu29EXMTTKimMBHQwKsamFt07cmmsjhB94/YzSlK0vZkwYT1
mPsBtl5TNLXHBHY6VqWwSONrRhx5B6aevKuZWkM8pjqem0bguw1Auja6M3TgzweQlZjrXiZybCRJ
8EN3cvBe7r7rDpi1Slwg2/rK30BFVD2EZt6tayMWk7YLTI66GmwINb7m8LWFQojpX2FjwW4YdsS6
3R0zuBv0QQq8Iks2AFlAuUf1d+d8EyGMbDMyfoalas/hOVsVOqjUTYNtB+o2fdfNLdv3r1IymLuY
KneR0N64VRwrEVaZ4OlndM4tCCaWLn5oTMoX14FzhBkWH7CfLma1g51zyCxIXJjmo9Ea1s1Eddnp
9qIph5eh4Y9uzuylqLtsPqQuNj8xf2ng3QC7Mj/Bnr91lx1cTLZY/koIv+NHZBFnuHVVwGbMIPSm
jwns3nMXCt5UtVsTWl8glUwv1SS3PGSgl6vUaGZt4T/rmtWlhPUFo617EkLUHITVxtPhZfRvFTId
ZtNgi8ZfB3+psNG6gu5kXHua7aYJbWULVeWpgo6kuFEb8x68xzP/TXcHRdfAk32ivuXTGGca05kZ
DId5n3jIyljjLAy5u9eHSsEb2EhEv8De2t/HRKJbv2xMUW8gmH380nZ+qVh3g6x8svn9YljQMtAc
8sDT107Lodu38cKY9PstCO3AWbX60KL9+jAqOLlLJwSRwXLPAv+6vXKiRRHF+eEytAth5VPmMd/o
i+kTMgvZXJHa5VK30ZohiZpBSh78fg7u43QL8KPysQ7CTlNYlftJGtQ9LDXGaH7p/3ISlJhtr3Bq
Bm5gY2F9XfvbkoTZkbnMnoFa0r5xs9xbUL14MDgKLwNkstZMNta9XSZHPUCB1jlzMHEf/TyDcI3j
G/O6/RGYNV1QK3GWvaQo88UEBs98vCIAqV3p0A6Z45lu/KOshmRWRrF135M82evQx0/mzuxPSPuA
KgtrrbkZ5eHzGPj1DIpQ/CCsDgqMkXnwwRl77mTJl4qSbKXDpO1QJcHKh/iwJz3fXHihBElRn2+1
vq0sB1kK2TF/E42xPellOMwb3cmESMd477YJrb5+MMFbzoMUthW+8HhiAtM/temDKar0OoiTYRn2
rj+7dOgzsLRNrrADvdHtvsrtWSPzYdlix3Pgtn0F4oh51U+RbtKvxgxORVkx10GU9eoQIXF60GGX
xcamRD1It59H/OzEnaFL+ChCyv1nm36lB2OuS+ZuDmH5S5t+ldawczXwRuawBshnHOKsK42kJD6k
jWdIywGGKfKZy91or8GX5w4wVukG5cfTRKq057oHl0kWNosBqXWhefLHt3/7x3/823v/78FHcSxQ
Wi/y+h//gfi9KAcJNRL1W/iPO4jWF5k+5+eYX8/4x/z2f999+1HIb/vb5d2/HLn6KA6v2Uf9+6Dp
Hf28Ot7B5zucv6rXX4JFriI1nJoPOdx81E2q9DvBZ5lG/nc7v33oq9wN5cff/3gvmhy+GjcfQVTk
f3x2bb7//Q/TtvXNOt+r6fqfndMH+Psf+wJmix9Svqr/dNLHa63+/ofB6d9MhnQ4AeuGEsd12B/f
uo8/uygzKaQ/HcYE5Tb/41teSBXiz/K/OdQSgtgU6VWTOu4f3+qi+eziApasrg3ZDJSoTP7Hnx//
l3/l5V/7LW+yYwH3+Hq6sPXHNxSLp3/59PlsG7AL8Mwpt4QrLEFciv7315soD6bh/6vmaThlGvs5
tjHXwKOiVFYtSuw7DQjmW6VaqjJc9tydQ4Rs7jcPqLxhi8VWaejgkeXl5XXuA5ZtLiFAvRZtuCiH
R+a6a9nV11nRHRioDUA0bzvQ1kCXmVvYU9n0DeqTXosnAJB8+xY+R0iUHlpZYDHuAKcjFyxpFxG2
5fngLGKYzAzfU1uusIdamnX/ONQgisoWiPFsHfFn5WAB4dSbCGbA4ZjvfL/ZIht8BYnGYdaY4bqJ
xCxlEL6oZqS39zTrjmFAF6khZg7dgu55k8fBbSmCH6UAnaYfZ3QInkrDi8HwiDHKMLbUxoMaMBro
q27UBO8ItqguAMgE4D27gig8wJrp3IphCNjN+tpfwDf3qq6KzUjXpJPbkEEUop7TIfbsNESSMtyY
HbZR1baDxIBNu0OLKc6S4axti20yfs9ghV5yuAiUDYDW0P0toItJsh0Y0Ie+FvdJZjxGHZnKHTOY
p544ltlub9x11L2H0zuQ08BJMXEd4XZCCH4NjOUec/S7jNVJSTZnQYEclLtj4ge8QhY8wKeo4lOU
Ji822Io+xVPOok8Wq3APU1h00LlI1LXRAwVgxKdKGUsnk680z04ojhxyJ7ritfIglYytp7vibXTT
Q2pnBsrss2HYc7OqH0Ro3LEK1c5s2FGnu/3/M5Uc/nszFSWYPjCt/5OZ6vYVE8C3Y4TJ6uPb67d9
VDUf2OF/nbb0FT6nLZv/bZqVLMeilisYJ5iAPqctdDHCHU4w99hInvyctJiYpjqCr5nANEMc+zJp
Mf43YRNk8LhDOMcY638yaWFq/HXSsiiF9jCB5BRQECZkjH+btJjRWGGUt8hEFnm5oJhmRBc94u8u
qzoDt1GBLGaNZCaBHhmLicsZNkjxRhAXbiM+E5K0SFVVewLLqyXjgCSbw91ouAGgBBBPtDsMQtV5
waAKgsQx7NoiekCWFkKFRfqSpYSgwN7u+x6/dCQ5A9SA5y0wHjPsYr83Md10LntwwgJqpsA3IXfW
zH0rmjGoNbvh+OCacH0o2HBrDvM4sJN5HSMtxfrgTZXlyg0JFHPH7ympAd1hDiTjLfGGv/6RJa6x
CMb04McAftTY3Ps2NeY0ibCOcqHfzMwTbs0B6LGXBAoGPv0uQ4FSrSj2Mehbc0i3AA6D/U83OO+9
BaGZfCzmRmcRcIgTfzYO47iO4eApe6DfoUEWAB2nQFgtsX35DrvTJQAge0iGwrDKrp7SMnvBqtdI
Jcho/pVqJg2h2L8aWrE0MY0uMpW8hTz97ovgBMG0jwz8+EWXBAY0eDF1znyOQWPT/xAW8JYfjg/0
QJuDsRcH4HJd96V1HMF6XbTQm+8GfuhE74WB8QNLp++h79xVUPBe8UZcOSqdjwD3YReCcnjXYdHc
5QssHaiXMmbM24klB3W4mYGMuYf8IVBFoplD4An2RGLu90HsFcmbzILMo0ogCwlLJ6ASQRHhwZtg
9slpUabKJsNPCP4MWfjWjWIDAEbpQYgDlH9I90ZmBgJ39KP2+aEeIXJK6cJSyveyPD0a7vg4drA9
pDa+FgKUUWhyo8J5aut4PlZgRZKqBqoTn96HOS+4cXggNEC94iZ/lL3CFwZslk3R2nPlGNjZ59C7
HbFEl8Ee0rf5oiMutDCTJIQj5+ghxwb6Qgp9XauIUOUKwwULhx77NbCLRusEhy216EO3X8i6egkL
gGBrmU2EeVi8jh/2JIaLvMEsMg0Lu+v63lL5d5VGYLY5xqQq1G5YbKll3lvUS+YD5chc+cNe1Ukx
FzUeL6BlYNc3Qr4n7+FrlMW35shXyNFhPNhj2L3Ko22hi0oXEpKtOc+qBjQRP/D8SVQpr6x6sQug
burJIb3hbnaqOYMYzzZn2PAHyRul6SLoGciB8lD0EFF2U8gJp+UtuCnLCFRfNwyO0JvGQgXPsLQz
APAcjSvoXU2qiflRfVixuzHxPWBm/jKWbTfPbQ4tYn/Cqq9h8jpLY3kUBKoDVdI99INYIpPx8mUe
/lySfV2CYZr+ugBDdgbgZ8IoNnfU5NN67pcFGIePCwS/RbByoOk0E4W9GmK+RmrNwpc1Pa/lz5P+
X/wx0/yrv2Y53EZiC4tS97e/1jamaRihH6yEU0zODUcb6kIWbisDebqJ3pFh2tckuY5FgexS/fSv
P6s5TcxfVpvnD+sKwm3HtCk+8a8fFjVZqyjgzwIdqOQtl8LxArWDpo4H/fQBU4L+X2QQzvfTnZNn
O2MUy3/9FsRfvAMsx20yPTfASiG/vgNm2SyDzxxUCdp2z2i2C0K+qarMG1i6KPzkv7jhznS93z6x
oBRPP5MSYeMz//r3cugWyRbz38oa8VAJRbaSybUqMZPITsVwKIT8cjiCDl2BLGV3D6I2T7nVzCsa
XjXOy4A0ga1gGvrQVJHnOPZL1myruH1wCgcZpGRtlRWwjWzFEshdVKmCUVsJ+XRMdXljnbB8dmZj
JzYVi99qM0I64KWARLgtfCjykajzbNdZYI/10qeGM4M6wm6oCjirDiMYZNl946aQ9gglUjrdKwxC
77IAQm9Q14B3Bv6FC4i32V4U1V5G/SNw3KKS8P1wcswhVr0qG/MEXt1cynTPzH6WuhLIrQAYf01t
rZy7wKEPyeDcYaZxlQ0NkKiAorJzgPX5ACqp2NT+uDTwCEsb6RWY2qGtlHr6G/E/2t/uo3dZ1MUP
9fue9OuW9P96F/z/4AZ3+j7+81Xj7AOOYB+/LBIx/nON6Ii/Ye+KucSFS4QLRVKs0j7XiP+HtPNY
rhtbtu0X4QYWzALQBbYnN70R1UGQlAjvPb7+Deg0LrXF4I5zX6NUoZJYcMtl5swxbed/aMu2pLOs
a9K2/veQKGx+iB9zNBtumUND5/9Gtub/2LYlDMcWquXAK/uvItuTIyLLluPYXEbTiXAd1bL/nned
FqHfYvJtYeTt/YH4puwOQTWfWU44036e3v+5jOB8TJqKYFos4fWn8HmC5Y+ScGq2HSFiB9fJNsJN
LrJDZe0Mn+adJd1p7D99hC9Wce3Lq5oqVzRtndd5ctWERxO+Njdby3TYW0mChk33w2lG5I8g6h0i
MdkGboCTYWfDsMKtwjbhP4c3fAHVzarJc+LukXrxtZZpr1Gf0gIX/ew65ZqOxzukzkIkz+SvHwq9
2it+7FlWg3pUefr+QZbF79Pi+OftsftxMCfGIAWyPOent6d2dilBODbblIUhl/7eDpWX7y+hf3UN
mzoenhwMBmEtf/7pGsTYvjbScUUXSvx7OfSZ8HHcVhs3bbjts9Z39RSrSmnzCxImchz6rUhYo0In
ujS63FskUHMnH2hUuaum+4rmIhwLiti4mCEiGcqADu6CSsG6HlHjxHeAN5Y3rdVN5LZzjMlKsZU0
gLgtjPkzD7d86H9eoHAE+4skKDOX3e7Tw4WGWcyJrJqtTK2rthiufcQpXb3RZfxQpvqtXcS/ErTs
Op+xSNN1FpMyby3cu8FOI93NbLmpLWcdKeVOo1fYTiT+TdmlQS/xXJZ7eAZCSrKkaeCmZvUScdyy
E7xZJ/MqGodrethe1CG/+v6x/px5/nksAk/WCZWklFxOMZ8eS4Ela6X0l221XIPKSxhiNvAGEzlT
kBTdlWIS9ZkawlfkuVaqk9GhMVA/xH5I8KPShQkmwxu0fv39jS2Lxuf7Mjkyqdoy66QuhW6cjtcp
dooEe41tlK8z1b7opmanlQ8NmhvQO5tEFe73F9RPl7E/V6Q0TtnO1m1i8r/fhGxFNsV52GxN4plM
e5hplbHM5L7O4rshnDdiUl8CcdsR6ISy9ub4Vk+dC30GvFekjzKK7v263RXNtCqC7A7rrOs2Sm/M
VHhWgXWiH985mbl3istk4qBRdQfo3hsncC6EMj1h2BK7BvEpis0fflS9n3m4k7MRIbwq6HR2dFXj
H0M/Gb0DOdOarGe9pSz4QALPLWpVenuzS/SV5Zi1azT+xuRD9ipB2yw0z3KAfIbbpQi0oit28vQ5
PuRGehzzdtfrUPkT+cPXm8LNi2Qlcrv05gAmj9r/6MCNkQeT0lXt5KDGxLBpQ8/3988kvvpgUtMN
wcciQ/vnPPhp6Kp6UYuyRbxDOymWEqW6K2J79LoBoDAtTltlnjAymskHWKlLiZciYpH8VJwfFQE6
7KEcV9z++sxN2cux/nTgCpZ29l4VLbCx/PmnuzIzfDPSRKmhfynkYzO7dHNt/jnpxjMsf2s/dP5l
hEB5lRFJrwdQeqk9gMOVtgKepqAr7F4ZL/CC0m9Cow9cETtrjaDSC2dwN+ocrvrE+OnPUXQZpzGs
7LhOV9MUxNDWEVyogApyChduW5cWdN/6F43HxKesSpBhY1fm3R2dHC+yb1I3R0a8ruscMoq4BKnM
rHYeQsekGqUPltuGwdVotegG6xRYYbSdhf0TIuDv1C92/ggIpTarTajbj6Xp4FEZ3RX50uWXo8PL
mtd41rE9WOr/EibvBDWB8SCfzLAiG5DQSJ/BotxQO/jgxEn2BB6UH8den8mfiSKbVZ9T8MRVazvH
/WuSha2nt3eDlTWodvvRrXQ7obatmBskIj9VZZtkyTGX2sosGrIP3XhjDw0Ezsh6N3t7paI6c7XC
pzHHpkV4XgumqCuCcUWfC4XUpoHgYkW/4g7CaAQGaOjcNApB59H2V4mnMVZ+ItI6NrI45I5huPWy
sqdj+TiEa9Sev8bRlaV/L2t904BjgAr12JkdDjNWdp3cgHYv19GSKI6tmipwWaqumiAG1b2mjeGg
KffEhTOKgJHBkAzHaow1Fxyc7mk02mYdPZJG3+NiuEh5m/DWT/MnqdiwfjPbkyNxdnsNQnpcAXTL
ybtUtIKo7RYr0IvWh08+WMV+LKvKS3Rpb/ryMVeenbgGu8EAk3V3VLQ894DH7KaerHymJm9BMDar
CmZazBvoTGiBKEaL4nXsnfckc46F2u6hxqyFlmxGDVi7nMEpWWs9etbleDcXOGgJcuneMrymGk/j
Qavu0Gwfv590J4HmsrgZmqrqlHzYKv5ZCOiiN9sU1/TtnFs3Jqw6t0yN+4ATqTEbN5Ff/vr+es5J
aP+f1dTgJGpYgkTC6eZUZJ2d9llTszr64boY8t/JIA+QyhdsDlMyNW6C8q4cwahVdH5YU3SXp2Hq
2kBlON8BnQmDXQGYZ9WBIqmn4oewMBGZqagAknRz2tKzlG01x6JmzM0VmqL7eexufGVBXBv2S4NX
Ag318WXAwdstctwa9PQFXc/GzAJBfq4vVgjOc0+NUA+Ahhg63XEbI3zVQjQjTcNmrvYoYcaFT64X
OyuKX3JyXVKp3qEdwwUvhqMVJL9xm4C4Wdpeq2gv9cA3nNL5HsHdLkqiD2c2r6dh3CUlbdh3nZS7
MkcTCxpy3HGvO5qorxLZH1H8vJh0nrDibkgiBt5Y03iGnqyCmQp2MYrvkoiJHgV3namNWPV0jzHd
qoJsSaptBw5HczPbXil5nVndPX7/QcUXI0iYlqmTVWcwUQn8e9GmdWk06SCst5VRPmfDdJdge1vZ
F6LJSV8nCl3Kw7xTOvvQ8K415zgkwMHR4VHWMbFMJNdbYfpBWer3mTv7YuOWoA1NSpOqLZwl8vu8
nQinUrLWmWvMOwqcHkhtw+E5kK++7dDfp3ryiOyHPDHdGvQofH/xL94K17ZU6qJkbzg4/H1tpWji
dIwGDg3KtGtl/0j3347moksDB2BXM8b8/7ClS41SLfunKTSOfX9f0RwU26mSii3dKn83dBCoTXhT
x8M6mVu5dszOi0frin0sdUuUC3O6bbBtZZ/53Qp+IEvOnJu+fAO6scTRFtj902OThPds1Q5HDKDG
ak5/BSfDfGmYcq7icDoT4J6m7JZlRWqIHlWCfIODzcnTO10qWx/a97Y01ZeEKgOq5EuobySflV+z
md3REfw8DNmzTVIcW4hdGfi29/0315ePenJ+kSTRCBHJHMJnOh1woqrnEW77NqmHnP11afzp+l8J
upiiFJ4u285LUm1fSXqEwNx3TfyE6PQ1V0CH2xpgwD6OZ4q/RLKTui8pwKyqXtwndvpsCIoBphMf
jH7A+bqgbDQd5QwaZ6YFRI8ma4tWbdNGVDeqVKGBRGH1sfns3z/kV0dHqTm4A0tTs/6N6mWnlHZO
K/EWl9x7K2S9G3NxX+nQbfrLoUvAeg8R6fkyfMcj4oYt60FODHk/WLfhfFUIFGnf39JpnuHPt3ek
bmh/8qXyJF1r+Xps1oNTEX3Ed60zbE2nAXuo7eOkeBmoso1A4kYZtWeuu4yp08+tW7ZN0MMRWp7O
8UkqAZGDWW3T2UE8WDyT8TxziS9COamzcjGHpEPi/SSUC2Tcpf48VFs1Ua7sQgQro+3xHQ2tdtXI
fN9FTOc00/ffv1Hjq6Xz03Wtk0U9cMJ8JHCptkGevAYG8JbALp7t3qdyPl+2PU17japSZ5IwSePu
vZbmVRMJ07XMiLBW0zcSCR5s8ei61ykn0dRF3ASlY23aySYr9dbNOuW2Jiflxn5Fb0Eae0RIeyUL
AGDG74A8GUNG22Dcfd2Z2ZMGqc8tPbuYbhNhB7iGNUc63neFX0wbI0xfvn8Dy1Q9/bY0k3FCkWLJ
zp3E9lMjcjXvO6aywhxNx+OgV9hvhbffX+arofv5MidDF2ldKCXGG1vyJndZHlduEd2P8xNOGOsI
dqucJJiKTjsXAH41rj5fV/97syjS2ok4FTFl+v4mJys0+mu6NzZWGe/9nE5fuz7zQr9cN/4cNakv
OI4QJ0NqsFQtBD5dbYsiYSVrDkUbPlAuDV17K1CMdwRh+TVlCNpcix/joG9hiO56mwqTZQZ33793
7YtjqJSceal2GCDUzZMXgIcMopSSAZ6hWe/6oCUO5NA0HGuScAiDYQNm/oUiS4+aLGXHGkwMIRiH
rknHoX1Z2XCsy0md5b/LmL5nLVsKHqThmsfvb/WrVebznZ7sbGCKRi0M1Go72b1Hung9Befqbf9k
apcV1DYQaxlsn+CGlmH6KfDOZYfxcGmV294wd3nZu02rEsgmFS7R+a1U5F1b+7SI0j4z6L9D/IDc
aaip7XMQtY9VHKzLalwVocwoSQ+eQ3OtblT3Zg1Iu2Ei16FBe5vxvDinslO9LxOpUuOL2rj5/mX9
k5P78yQWy64qdNwx//z5pyfBWozgesz4rqX4yYLzbCrlptTyTRiIS6Axu04J33N0TzCwvMREOO3U
AB518g34GF7qqIloSz9TXvtP+vZkOSFB6Bg6mEaSoPJk8GMoaUjQwyWd2rws4M7XYUC+ehway1Ma
67pGaWRbhbYK6EOBhMAa0FAGh13g2vbwEdcRVNDZ2Zg9ZusGTi151ferMNRnjxaPpEfqYcHcckNk
S0gWSOOOVvkUNLD0VVxr3L7uPdMvfipdc5/HdbEaav4r0HjUaCqmv4TzY0sB2dEDD+7Nq1VGr7Yw
3mmBXVNp3g0a0XZ7qGrx0zSzmBCHv1xi90K3FcZtKIILOMZpRw9+gqNDr+ABNimboqabsVAH5BDm
XvYzuY24vJIxmZik3mTpfEyDSdtkin0Rt+q6ZxugKaxINiZsOExKL/IIZTxGAcXWafuN0mUvftdS
scsfwoWwkZiD6baSN1kV8bADiHAzj+VRlSSNwMSOsBM1uvdLw2F61xyOYKunI0StMt2YJnxsX7vU
FXtbW7zSosoIIREK4HD2EZjm2ixwxa2rX03iJnl8pXXJVZzLN0uUGzXs+VbdLlXCu3wIl37vDo5D
9yOb0cKJkAeMJP+7btJjb+5T/Oetbs865AUDD5zGZCL6AdkO/JDYnVHS1pWzpyVf2+hdT3b7bkiL
D3/Wr9kUVlWtvVnA9FcTonc/Lc1Hu0N02DyJ2cHw06pegijnc8rsCZPvK/pGLtqhKT3LCJ31QIfz
rFsw+Radf2Vf4VwP21N5C3r5Ng6Y5vlGgCEYg6KwuxeaMj+SOv8Aj3CFzbsXNcmV3qP0sIGXaT/S
yioImA0VfFv/Upm940WSLlcrdK3wlzDiyrPD+Eoodn8uwPliIYQkw/ShKgfvTT3ZK1FQ0/hW6eU2
oh2qLLT1FCsc9zLaROc7VE83atYf9e6JvPC9bcY3r22SUUZhCp1ZY5YLnUxmWyXQEhaQeY5/Jyuy
H6PUz9Sp3BYCgVBmWReEgRdFfVvW5gUtgQfRvxQFXTJdgYyjdJXxx5k7WJaL0zsg3kaTwZl3Sd38
vV5btjUqcViVW20wb0M7/lnYwVVJI52AXRfm/oZ+nTs9Kn8NbX4m0jK+iOtsDd0vsl6O/xBT/762
AT1+wjit2BZzpa3GhPCZXESNfZh6o3bjS6CXH/h443LdfESR5gnY9akkV9K8TiqWdhMapxetaZOt
7BNnnYZmT5FnqGkTDu6mXn7EapqsRrO+K0zcB0lVb2hieqR79lJMmrMy0+7DVsp7dU71C1/qdz7Y
8YPRyHpFa8QKJdRlXZHxEwrWwrazjVQflai/bnt6qavYOOrKlG1MmHj2kqw782W+eju6xubDJkrN
6U+c+mn/mewsmRwnKLdNmV1OZfyrVhWv101yl03xUyI8yMzqXjMp1E3zjzmQEM4Q1ITZ2ikvIsj+
XpSGbykv7Uwk8dWNmSpH2UWvvegRTz7bUOlW21nFNtMypL1ERWV3BUEeztz1EOjTmRfxxfkZ8eWy
ASMoJ9F3suHpTVl2QzEWWyWwAeuna9AZG8vRz9XglnPa6UxgSyX2B+citdPYrw2dqovrvtiqeuYF
XXRRiOQR8PJ9kigH6PSP89wfO93M6R00jlmNj7J2YSRnd/ivZqRczk+qaaJH/ecElQCR0Ee12NJL
nbo+1L4aTHhkHKDO3EzYv07FtO7p0yND2Z/J4f45Ov/zEkwKq0tILqV18m0Tu8bkucXSNm6gPIfY
22iygAOQrXshrgujoRcx/ciVDFrLcObiX0QwtNxR6TQWhcU/1bFuoqAx2k65Bd59o8R4hRtdtiTK
L0ra/xXDutcreR+H6hlB2pcPjWJC2poUFqf4kxFmDpQFFEOUWwtVpDDUpyj14QUjCI30rVEgXywr
sTbprHSB1z5/P8//1ONPXjlFKvoSbFsjm62epHoSjirN0tIJk918Igkm3aicrsm03/Q1aWWjMd+Q
dTzK5t4JfgRat2vKfmPOujuZFJhGpY8os9xO5Wh5rfXeSAigVdpoC7DuCTfYdD1W840jB9PTd2Xo
aJtGd0inChM+laZt7L4BRcCBzAgrNzett5DELIhzjjZmDCdFal5Uimc4c5xMfpX1/DT6zq5sgw3+
uq9gLO6txHxzAKmUqhnD/J0+7jVLYXGikalbYJmNiSQ+Llar2eEkUUws4NoieoWYfOi7x8Ay9qqK
88kW1zoOe31RYkJnmhSduKF8dFZ61z33rf/LVPV1hFQS3E51//1X0L8YfEu2D90M2RfNMpad+tNq
a6aGLLFJYFGzAkFqrQVdhDsOsAhgnXZAEiotV0qcbWZcSArar1dlau7jMus9oTQvLQk7F83MhVq2
tWfXyt6kjwTFmflWz/lial0cNQqMQct+onYdsQHNy5FZ76SVXBMvvY7lcpQttXZjUwmIjDfwslil
9jHWkxCNJtvrc4aEaC2vs2rrzJr+VbTj2OiabJ2Mp4625+/nbwMzCpO6xLs7yt66SDskRgzjp36k
QJGsENfgWBZdqcb0swTuSQ5M3pUgJMOakqN+pdVguposU87c1p+U/9+TQyD0QM3iSCnRUZ4kT9J0
pP13NlmPMosTb6NfdSMD3ed4DlxIeIEw3qohyD1hojDUGI35UAAqoI6A16D/MdMDYmbFUz9QaJ0e
Qv76PDb3sSE2SP7xi+p4lWpib7VmeJlVIz30ffsiJKmC8amaaPbHVtlZfT/YvkhgLKc9XZdkeHHJ
PF1wENgEldUZOdnddpuZneJFBSLEbLYw34jiTTLEzzKFE9nzzkVKFB32jCaUIM9tqj9FRjbTnu2f
edlfrINCGJxCHd62Q6vBSexedLJqHXvItx15tlTztyJaZNuYpQFUZ/Cr+6Cgfj2BpevPpZH+Tbvr
qmrTMkEB0XDYfZc806cJiJYrNM0+wm/9kHYlBZZpovvnMKgU30Pijlbum8q8zEz8OpbEgD2cEQ38
k8g6uYGTp69IOoaZmhboVbsDMvClh8JtRhb/zHdlaO4Tw/9vjzZ/X/K04GX3WhpaVcIB2Okhi9Ag
m7PhFs2Zg7b4Z3FbriOwBGCXYXmTJ2FGoGay02PebetXe9tgyRrpUsMM5WAuTQsGXhn++GwP5kPc
Tk9ZFL+2vbEzbGsVV1tHwSomLaDdRx5Q+N7IXs5Mhy/fvGajzobIQkBwEgdos91JW8ScvDDbsxV5
2dTdopzYNmHmpbjOqZGy7h3nZl70+fGOpWBV00I64cGO6e3GaC4ziKxO83bmxv45ei7vbekJsixB
iPJHrPRpTJZQaxEBBMW2KpXDIi8uQYwja16FY7U3dIyZ6wPeR55oooeqrfZOE78Uze0ok8eajOiZ
u/knaj25m5PXFCtKFIbUa7b4Vm1Mh4OwHI8k0IG3HIpJrnSpP5IpuEG2eKDtdRNGxa6Kym118f2N
fDmaDGEhCaM0hZbp75ka5NY4D4mTo615CyfN7Rp914p1EVyloqThAtUSdfHvr7k821/7wPLsn66p
/33NVuSZNfRWvq0caMU2JiZ9txowqMEO4P/zUieTxYe1RO7KzreNmlOAIhbAwkL0d9rZAtii/f3i
qUzhsLsJgyzy30+lG11ZSbQZ23lk9xpB5sb1CO0IeWv1qkfi2ijmo88elGFTGl4qWfUOEgw749Dt
fNwi0+xF7YNfo2Vu9PmFw7VnxQEImOmiaatzAam2nP3/+QZoAUl025pj2Sd7cVZz0EPBmm/RG+xG
DXQhHUFK0mzKBmIFiwioeq+X6kWobK3e2pehv55SwueMNu02/zNt0xBCTt4/Bx29tmBuTQROM7M+
HUI8WJR4o/j+Wu9ItHXdmV33y1Xm0+2fDFsLiFunZQwhaVI7JN3cLE32F32f73I1wax9/r/ME1Zc
WiyIqP4po8cTZTisKfJtMSmHRY9c2sZV7TeHUtcvke+uMuoDRRKfW+3/KUgsc+VPwwmKaTqnT0ZV
g4QIqREPGk3Ea1Jma/DcIuguZ9rNCkBytPOtSvMHCW4v6sL9fz1TlyFio8g2beRAJxHkOJvJWOas
Uko+rdPWX/t80aDGJ8fuzuzYXywKpikwfkKjIGxiqL+nT6AVQs5xyPLcSJRlJvGivgubZJ0o1rm8
+xdbgUl9R4pFFaGppxVag+SL2voMfmC88FNCl6Nb6lE4WKG53OsVeyugyU7BBCvHNMIA3BxC7glS
rBFb6x5vzzP5inM3dLJMdUZpDOrIKlxFkkwP2Bu4OogY777/nF+dy5g0JEWoXFKhPu0fSpHDgWpg
NPUJ7aBORENaYcarSAWabpl7qqsFYI7sxdaKH3N2pVX5uqEocuYuvhjTS9+FTo+DZfMhTtYehFlY
cEyEJ0HvX9YR8mPwbIX9Uk+hN1btIUESPiGSDoxhlzvxucuTBfp38aOqZROMEB8J0kR/j7We8DpX
YuLDscl4YA0tZl5cjwrVHsCrHFeR0qAzFVs9g1st+KW3tF3DtlxW5i4wqgdFv/f7OtoMU/8sStNe
1Q0Fj1LoFzQ2GEvTwowZpUwxMdgPUrtuK/tam/0VfaroNeZmQIxBiTObqNx3tI9a4aOSBque/n7D
qYodSNtNgaGGtyio2ukeG621qqf5Br/ygzBhZs71YxiOnLLsFcYdV2WnbRfeZ6T7t+AwyLiyBJeC
Hv4sWgdderT9hK6qxDiQiKJwUbPj1NGDkSGaBMx6BeD7NdO0pzEswq0mDPIQgb6Xo/pWxhcjtY3t
BF2x0Tt7r8JnLDrtCWdkfd9N9j2mEcm6VPPLYZjwasGSaRuMxzTOp2PShMd5aEtoowCvOtABvPFf
9RAj0w7vodTMrjLp0S7tpHpM5/G33Aot/qkrZnjbV7cpgFRvqnDybJ0Ny1sBx7Hehkr6bpvREs2E
ixiAw1M+NIiS6RrpjXXuZ69WMqxbhZSKNRbxpq513MEMwKdp/QZlWVtVIRhmsIYHs273ZiOU60wp
niN/ZMprpIDBg6/kSJNrCc6s8M3NlDxXg/FGP8i9jjfnrtLjFzqoASqQ6G6Is1wHRNZMXIeLmAK8
VTgTLbjG6Pn8IWgh6YAkWrcxTgxj5/zGdeej6u4sxV53yZKsGWndlh1NwDOeA31BD2lVRLTL+uOu
m3HCNeRbK578ivtuk3Trj0Rtne1gdoA6IJr7ySsH2mBT5GyMgbd88FBGffjKOB4bXX1zMvkYcxLP
J+PQKcXvMvGv2j5+Tf3qTdmJqb+pWxqbC/nTiqKXcHgIKQy5Zs7lMHijjGhNvAPrYPli31kJY4XL
Gg2/xGPzEEsTgzJ+o9LXq+TtfaT4V2aUGSts0l5ESWWGjtkJWAwSzCkxAUio6F4pjOslhZCSb+T4
COB0vWaFNRKq7BPFp4Rqczb7FA5pxqQTkFpUYIR3U2XcJ/5lKxer0UAMqxbP4HFQQR0X4H1V8jFI
8V2zaGF0Je/ESouHMeOlyhABqb1giY1efFNc4uqG4LRuVpgCI9ZcnHZbZks4E6YiU1Tt8L1cRM59
agIbM65lhhoh8CKQfSt+D2yd+qNLguG+8+GR9fVadxAVIaNAiaLkz1KJa7dMhqc2724mAbB6Sh6w
sJNra849PLGwK3PAZ5lZOuyryL8sWvt+0Me7XBd4TcsX56rrR8CNDCjTCT2IATVOROb1UObvuUUu
AfOIN0cFwGUn73leAMGg/Xoi0F5BMH8spL5tzfcuzdY69Q5RZVSAO4jhiwZN9ynHBjlZga5ZJObJ
e1jnHfkAtP2iHX4g9Ef6X2XCk/VtD1EEVa4bVOPODOwDGdjHqLnDEAyVO52wYQ6RKUgZAmOW4PTT
b2XLNQi9rzjdUkFO086rk/C6EPbBsqxd2as5fl75heA8sdImXJ5yvwMKeFVjg+xRm4/JjakrVvFd
mU0MS8RFdqbbmznFbhs/H5ennI4VZBBQ8T6ZTaQHqm1tGgGVc6hvtNhovf5B38muwosEqFxgN2sL
QHaWvqbjEKxwUYTPPW/nOlARkWdiY6XZbWC6I90dK9Irwi20fWjjlDUwiYXT36ixJl1Av1eDyRCq
fo+9ODL7oFFWbAB01PX/WTy0IHktWEB9qDHqXD7z72eF5dNVtLpHA6i/USzaCXglro4dMq3/4o0q
7LWclLU0Smev+eJJb8fkODhrq1IfYG6lm5JQ1XLke+3YdxkpDs69OisMuACXDh4rQsifSIdAzlhb
6IdWWmNnqxJpoNs0/U0ZNc4GA4jdWGrzurVwBI3aZbVy3C5MXhIrJD9iQqbpF/PqTnKkt53LHk9U
KuLLlx0NiJ5FjjmEQzhgUm4NwYFa9mNTTcPKFhp7W2+tSIsGuNDgthXjwFDw9zBKuJitbtqVw4jp
CZgCfRqY7cl7EATmKm7qNaKGYTtkcBVMx+hWSmdoyKizGkBGBbkC10l45UIQnjvqQYnA1NCRxiDO
OL41U5scAbMpuDNbIG2SwL7unMp3B9zgtrAmwcElobY06VUbSeofS/BoXFf6oJFmj4+CXeVgQ0KA
Yvoxi3rYNhkKArp/552tUcFvdesXHEW2H4uZRdaVVH7/FOPjXSjpc5Eg29XNCQ/ggUKjhlcwwy/g
/YVB/p4F3WMp+RspaxHwniOV0N+Ws7LHpUdDHa+LQXq6Mx7LXEgXq4PH0ldReuZRurKnyNk0xjLd
Vt0oj0nc3DRiOsZFfKklSEJFfuuYU7b2HZarWgNfVkxHCCf2Wirh2qYD0NWktQoQjyOrjlDXNfSE
NK+FY2CDSxmGIsidkhhPJSniXayH66Qvf6sOO1IvWJBFty5F1+Etqu2xb4SzpN0CTGUEs1dydI4+
8DmCTKCXrDCFz0YHMqFok1fU/KFLYUNshB4fZW8I17GTdEcDlDuUSrwbHPFz1Ef7ImobxvQ7em3A
4ROMkKYBsN85zbRFTfHWW9hJwo7tYcr7+n4AqIlUf7qUk83mqJLnxbeF+iaa2rq+jUGx6TGtqykQ
Wc9OrMuBH0qs5HGaWnI7tf07zKK9rocce+AmO2LZYdeBMkFPeCps5UYOwK5tWN3txIUTTTKjSJ7X
uvqS5f6MeF4ZV5ZMrsENsXKm5a3axDAkdHX2QGQ812391BqQnYIcF47sSYlYRZoiuxBD8xCAq9YS
GFXT5K/SwdxlWcRsmvtoU/uwIhwrfrC64gM8R+ep5lRf9tTOtpla0lk+R+t8ZmFF0nLpK+mlZWbq
Ye4uRB5Oh9o29jmVL2jBzm+wWHhw1y7dD3BUWiQa9dQ/hBhVIOzb0m7IRm1kcoMjJ3ZKubLIJw3P
gBPNnFRGzwqLDycb78GbdsyCLPJG9nOjzHZEnboXEqp5STdumrkU24huxXVtlZdAXthG5AQ2c65/
Z8SqHk5a9gpAStm2V3QZIUTyk2RnRMw7GHgHGjwgeHMujPbKxCZmAdlA99R5ck5f6vI9bRLF8yOA
9po2Xoi0RyhEWr3o0xvDpjeYNfeHNoANKMuE1EPQXADWbNZOyNE61HpOGRI/i0xfJXP6y6n6kkxL
+GGaeb/p1IuWvW0F1evGjBtmJ+a6K6CNoLIkpkFy7A6+GX+MjTF4vvphljK8SvPs2OLukSFfwrJ7
2M9dRJGLojngDuEOrezQZTmrPv5T/8IPrsxo0O1bjl3dFWWmTqatNyMadOc8FavRebSYc4hooBTH
Y3kFFrtz5wbTOuQ8N13htzubA287Jw6LV34RoYTCyC0/ytCnQGJ96I5/X+JbvJbxL3VocOYISLMG
4bjwrg9OnRyGrD9o5uC4QaA8InOI6VNB2IcCHZ7cTb1TjZuy/1CsWz++yJLVPK/MgG4oV+vcsbip
yofcf55YU/VfOtPSd1qYLE+Tc50N94F8mzHSsDLsKst3bYSgAK66o8RUjsFK0BcWAHrUh59+hIn7
k9QBpMy0987WWgR4Qnc5ZvPtPsJaPJDWNlX3cdMc6V5b6RTq8sa+YJe/grntIpM/FI510WjapTLm
16P2mMzlNS4FB+kr+zBK8NTp9vQwXwcpS12LbgI9w3g7JgNlOswfjJj0uHYUengUqdg1MS5LQtnq
DDZkAVSNtL1QbjoQcItBj0XURY6JwNg6pNq0z4U7g6MshXPRFNOhWKA8yQfbKWGrsjFqa6Wwo9rt
wKlwXBtRsilz0ETmvK4LGtD8/8fcmTTFjbZZ+6909F4Vmh8porsXKSlHZigM3ijANprnWb/+u0Q5
XpuEl+yq3nybKhsMSk3PcN/nXCc4ZBp5FDpQct28jXo843nrZqxz8qjd+tbI5kVfd/0y7K1Vxdgm
hNn5QXPX2reiq16k3scCql0GRnDb9vO5Utjs/Hzih/uDNad7vQpvExFfCDlbtj3e5A/ORKsxyYxz
e5puKIuftSqjl0R24iypf2paf4Cn/91uycyw+1uWNufYGMu+OddCf5eFKXKqxLGj7kY3q8MCKQ51
9SIyCqcMdi0vmZEE173RbC2NHbFp3SRadR6rxkPeZjthlftA9x/nOntIeVmVLPiTPLgvMp5M9c+s
OU80iv94UIpp3PuhRLZD4/mqfI8bZy/Lwx2CFMHAo3s2oYizeLF9eVcb2qZK5mu/kAiWIcuJecec
CkYjy0ksSpBUyP1I/VbKllvGmge46mKyZxfy/zk5CFCwwmsqmExlMI3E5Viw3R5kx5SkNXlnq3i2
NkmokcBMimSGYQTWa8VYOJrIa1NxqECR9y0J5cSmEWzm1HiqVNF7sk2QkMGYWaWOrP8w1H1hVA5y
jB2NbbqA8TadpY1S869YfeqtDrFZ+lPuHN1aEjYWIdLinGWwJipwUBawcnVISuZeO81vQ0u/6ktx
AZCpQqjShdJuGEokbuSzpfMehAWM2+lOt2ldjBvfLolgkqFDobvCnbaEJVjmc1DlG/Kq9hUfPeuI
KZKSXYjJsEVHlRQ6shSsyEJycwpDNDldQ+JDDoGj9zBf1M7JmTTSItjXQqx9SIUtE0JNSVoPIXeF
rh3la6UWF0Si7E2QA6qW7+JCPdSA99t6TzjSupHqLb2fjS/yG00TJGbkGF3t3dBIW/IgXIPVWBuQ
2SChutZjb8DPqQGrzqPp0oTavmKyRXFgrFJF9hoV2wGjmM8cWZUmJYF2Zybd1qwhpCn51mi09YTv
s5yofCih2/X7zt52pMxYGH98GoGW9CTPP7qMEgCbiiWeoB6MNRJSL57JghUZUmXVRVXoDpSkrFol
LbtaL8Hx8pkVLttYyQXL7NJP2mRoXBYIzr6u2djo5Z72AM5MycVqBwzxW8jiIOG4XGgvgqEgI0Ro
Jfa15WMzCBc5gje3gUeQjkeLBgyNtVa1bjP6oJ/jGLxZdhbrjw0vu89Nj2SVJXawFUJzLAoVoI+9
gk+ULTTW8zAdHHbsKzV4nCyQVGIrGnNTl8O6ZPnsazDCSdnNlnB59SbtUkoyjbSzIuFNanbv9/6m
81Onb+mr99M+SyfUDS03hHEjhIqTGI5qLQBNYDgxRksWqHOlrZPKWsWwJRuGsyAifZlcjPjOKIL1
7GjxvO9xj0qm7FWd5+MaafNNnNgkf3PlI0KeSpVNbLXyM9WTfCpHk/qE+8IDXufBqeeaiQ1CrscM
cLe8JrXHC+QLBhpqPq1bg+jVMAR3ubrjF0OPAFdbSSx3AGMU8Nxou3chOqAg22Bh0CI+ycLlJMW3
kRUXL5rb2fnBwlZhc6ySSU+qTMKqE6cuWpaGQM0KZRuVxRr2GMgi158rF0/Pqp5Vh3wHLXM7/9uS
Q8/zwHRHXQ9Tqj/dKPmTNSpATNw+AAXgS7jOD71m81FtV35FItxgQU3ZqvZD5Cbfsy5cR5OxrXMW
RAVVFy1x5SgDEVy6SQakTbAB5dRQWa7ycED4rLsVruw0KT2ego1c5ovlyxOIm2e9dQMtgvclO9ao
78tG8gq5W/ljfZM2OUtlAnmaRHbDDF8zQsykis6SYL6OADar8FQ6vd8YSXSnZPNWUxWQoewayvFx
tsxLSGS7qC1W5RAvj8GaVAJssCxtI1Sf8qZSiFGUS3qaIAo6JjwaYH4bbWqFDGVyxuEgucrEGonz
M4v5LJ3Trakpqwonvai8biaNDbl3qicsrHCT276zDKCsMs+UnohohdHSTnCk++jUkW0jKIZ7NQNr
z6dpPQoNMsq6n4a97P8YrQ4YN2lGMqkIvuLqJASzVIRszavZRW4vSA9jXPdKqNpSb14b0iO2pL2S
xdtSFbumnpdQ5kNGVy/oGO/1xcAO/a3HlSRFbr42YyoZ85KmUCGDTvZQYG+HkV1XksiYH1KHaPWX
VFAwjscLisiHqpCh1bBTlMatpkdIt7+WoXWRdIMbUmkPfH8Xy/k2za21H6FUHYCGq9cw8Swq0PBS
PHtIzys5PJSzemCPc0VYEUDlbNu3LxkilLLPLqXEuGahu4soR/d95JUJb0WXb/3GbdNy7bPGSER1
IKt9V8byhfktroYLmcsWMBcOJQqBsV77BBiyyZbtkcUSpOpL0Bwrv/fi4Jza/nNTDXdzOzotdi7y
CzcdADKtATppzZs61VHU9qAAgXnFARqoG2nqVgM7+q5rNr0WeWpbrFtSImIMgxoEzHhi3x4P3U1T
l/W6Gepy/+s/dSKXpIkmtzBmqzX2s2Yf2SGtt+VPv/4ahtlIIf/fffv1G0c/8vprpnz++QsnVR5Q
Fv3r76/f/vVzJ779+g8FTmwwhOaOAll/sINkOLz+6dd/jr5W+hHuoddv1y1FB4UkePfXv9HngSrd
r7//299z9E90dd5Z2Km2R1//7XBHv+qvI71+8fVnIqDguwmp2q8vvf7pr39HHbwtghYxRcpsZ4Zn
lW7cK4PRbYxUas/Urr5uNFzHVZmMq9Jvf0xSf6cOVOg/byZ91DlbuCBg6pD5onR928rR5bACM4Pc
ZDDMnaWQ7J0A/wHY+/lhPug30wiVgVCg7ddIUH97mDCO5LwpGAb6ptsDmWARwjuUrCL2ftPYQH0/
Bc95rytbdJFwZZDSLBpmsSg3ftOr6AXBx63gkEPQrW1grT5YvL6DMk3Md0iiVDmb617Nrizm5qEf
bqLCOhPJ6NX986xNp7pmH/TMfv84x2iYIqt99ipcaOSLh7JCflphR0ryi9Yvd50qqO8scmsKVT3t
AgsFbNls/8lN+NcVOdYsNNIo1dlAi3gYqkvNvwzjR2tmcme0qlSMOGO7//yAH/VLoRIurEVQtYj8
jrrvMmAFlSi9YuPXmYcCf2XKPUyp9EtsDGuRz/dRR6d6rtHzhQJzQ2MxtJvilIn/A5EOR8dYYema
zcdZ7s1vj0LO6jfPwYRsZDWyKTOwz68q+0muU/Jv8tvOSFeaNT+kMilIn1+B94ZIWMg4FhAGqXhb
ZPvoKSRCsY/Gmo54OqZeZ7QbFdAwyxolcSxTCZgm3KTAZqalxrYhBjbRBnmlJBads6Uu0k/l7Ty3
rKUp4mR6fNUR71umOSraLImJywpP6DSWTvmRruW3zwsr8+2lKqWcF1hwqURj7RbJuW/pJ7RbHygV
Fh0IT4VtQxY4fiiC2axS8BrFhrTeQ26yA77QJN016LV8fvE/0Ohgu8QWqKBm1sWr2Py3256ZxFr5
AyOAldR0X0AbJfp1QcewaoIDK/sTYo8PDwcM0EQ7DPjl+PWaWdfXiY5mEriWM6bnU5G79gRFc7tw
aj8/tQ+uoQ2cW4UyRXwAFoW3t6mO0nkigWpxC7Fgm3129unKIDTB0K8/P9IHD4StopZEj6gs1pOj
I41AouWSF2MzRoARMho+amvd/d+OcaQnCNQRUJSNTCbGGZfSB8BidmL8XT7m0XPNaSDDMXDOMAsd
DQEYvliY9RKZqbYMPjX63pf6NpQn+cQL/+GNQRyxuJSAVthHl6unJTbKJsfJxXzfZ/Ezs8rFAt8D
JPKPTunXoY6umtCDviJuhjVrahG+nfTuYEHFzoK/PyRwyX4dZ3nuf3uNpGHSRlFxSjIkbFlo11IW
npI0fviUGaDJNHBJtqEeXbZuMmvT9hehlPA9Mk62eDP/yZ3B1WejXBEMPkeqydKaLMQZnEY1LNmZ
k+vnxlqZvrGXOzHPfjDdINrGLwR10uCUjsZQubfzlAECrducvoRT784YuIlvg9KZCfO2glI/26dM
Gx8+eAI5s4Y6SXknaybLLTV5HnIYc+VtNdPmXcxZWurFfX/Cm/TRobBkafBKuJ7imGo8pSoQnoR8
7HK2L2yJGkGgoHCE3kcm7Qll1wcLR3tZwgFdFIB/xPF7O7SpYRdyvhlSKPTKYUVch5iDqyQ4IWr7
aIDQWV6Bc1+8sO/WZ0pdmIHRLwLF7AxoOVGpyVkmohP+qo8Og7sJ+C0uV+7V0bNBlySzAloyG01A
VyxGp6oDxwTK//mI+pHKHRoEFi7ZYPGFqfbtS1vlI4NdznGaZrHgUFnkWKZ/W6TDBc4QSFLpIZCj
tU/11GwqKmHmD3bsva5t1C7bWhWGdUUcBqN34aCceBVf/QvHo7GtEzizyEGB/h4NKXPTzpaf8rB2
FJVnEIBB6ZFEthGlsZao2qHYhDxooCwyaXVA22oeE+QBUmzQl0dAlDpJa630KlvNqr1JitJlfb0n
xHk1asE+Z5sviYS0OzwLFDstvVyfuLzLbfrsBI4Wtk3YGFaz4K2CHqsKC1t6lupGV7+PGkYhTV1o
Ap6u1iem/eW6vDusgf9TXmDq6Frf3lVJzYharHjzNAJ4rJlqG3gNiWbzWLwI1Nmfn+VHzyrrp38d
7WiCySbgTmXM0fRO5dXGTtuJFdf/86N8fE4aZV0WyRigj57UPEzaxhq5lKMxrRZ61CiHm0A/g+vg
FKY48eh9NHYB5PjX0Y7Gkx41UFwWHM0wXibavEKbNoZ0H6onzurja4eDR12so2Bm3t4pv6efkZUU
lCxp8qT8WrYL2AzVPzqbX0c5eo/SfpYbYao5isNHHJAror/hPxqeov8fT+foeS+x+/eTxoF6JNNW
9o1kcaNSTzxvHz4JGNw0Cisy3s6jvRKTttUzxi8LmmYjDS+aCdVGojeojKjH7BMD/odPwq+jHbOY
MI9EXTNwtEBvvDGwEXyBBLVUnnLrxG36+MRYD+DqQTh8/DCYlVxqsjkx3GmPXQhj40t4v7xLhDuf
uIQfPnbLyuPnkY4eCCCKpJjS4d1MQnWjYW8VS4b2P3rs4EyynmZSBsDy9uFuci3y846noS2ul/kF
FoqnVfdhk524cB/eI2Zki7kSxvqxfj7QJ5Gbgtk/DQa3LCwKeTRmQ1ZT2YktyPtbBNtZoUaw2D6R
KByNrE3Mhg66Q77xyaBfgNkN4O8Wq6Tv1iL/2wtEDgZ9jAQK7RWA/Pb69WoZKp3KwLocDK3MfZ+W
m1AJL6Qk3GTamdoccji6n4+z7x8NDkqpzyT/QgVlcTQiJbNNVmWO/7ZIZk8WX4DIXpAzc+IB/KDk
w2EMZidTZg3MVuvtudkK6k+RccsE6UitlxWIqwBQR1/lM7Qevr0bWWIk9JdE2pwoN314hpQJAEWA
X30HiahgihlBxWvWEp6mQAVKcesR3Ov9gwtpchDMmRZOlqOxcNALKQgQX2wCH2UVLa+ZLhAZZ+vP
D/PhlTRAkdgahSMI2UdXMklU3/b7lMlebVHx0OaTsLjPN0V9nmsbuQ/dmbqZeJG/FNXfP0WF0ilD
FTVb3LlHh47VIk3CeMpYDIMWL6Qz7jS83fzEEPzql3i7nsE9QEtcBwSOp/B42yfPutREiZVtqiCT
EUnpJECVNG3H4lKS0SBgfjrX55n4uhomUmJQEdOjJkTPgjBcjVW0vvjI22j+Fml49BPrUrPbL2nD
dWn0Uxam94MRH5aVp428FkrjcQ07yPs0am0925DxdaNf60bpUrC/Uv3oxJ5nubrHVwVrhUonX188
S0fDK53dVEuFlkFKRr5vGZxwJBknZvT3m1TFUBCXUBwHtcBy8u172loxNo52zjaqPfGWfpkqA93G
10xGsTpVnoqMI9fz58+f6eWXHp3Zm4MenRnlFuSEiGzYgwPMh32gGQMKUUQbbEPsKnLronn8/JAf
DOx4CnlXeZ7h9x8TU9D0yWpv9hyyrB3iQja+MW/CnOZqRNt9bk6Nf8ty9fgUyTaCSAafharJ0XJ2
sptwqOUs2wxztmoUsUZfspKhUBtz5WFadQThCaRldpOAR3xq3/fR2f5+dPXtXe3MMpmpOwLv1gan
jNDh96MXIdkIsFMkmfnXOPG30nP+XaDrm/Cc/30+7N2HYbP/P4bnLLi/f5+ec9fVSUPYovMUfSua
Nyk6yw/+jNERClGLr3Y93kYQCMs+/meMjlD/4M3EuggDVWX4X4aBnwmxqvKHTVEb97rAhAeKmdv8
MyGWb0FGBqRAAg+CcePvRC2+b6HZAGAIWyQ6gF2Edlx8GeU6TvtmCtbCQCszL1NeqkcIlKrbzozR
eRjJVzGP96Y+7mZg3kFw0IxAQW3qX46+dp2UYvfbNbz66z36JC8NxKWgi7YUcKk/ERN0NGoJS55a
VGOkVEQGDgkg+pbU3wuWiey6TzF4Xjknb97l16NRLiRnh8LQ8ZKpsqUFLUSXBgwK2qYO7XUQwM7K
bZBAjZs3tKzaxXgUWvONXkRuGOjXUa+DVR/Gex0e4ao19D+rMLybJMIrGt+da/0F6OwIlA+rzzhl
L3OjuOj/19Xk7zsSdCXtS2PE2wqS/krICLkyzQQAi97MyutvEmLywUA2U1LOBA4U71VSXanSaGN0
CT6YjbpWXP2Ti26DItcoaZIM+nZQQdDSR301B+tiAU3GgZBWmhy/1C2BM6fgv+8GsOWSK8AZZKh9
NIuPBrAq9NuqH3nk/NxrCSV0kkmTVlkYlE7bkLI9jN8+P7nXNcbRTWZJLKhyGIIlyPEjVScpHCuZ
I8pReW4jqAvj/KoBxbsmm/1OzkLMuoEblxbhmZKx1fV5OkRhellmmPzA/pyHanOeydUVccGHLhlu
qvo8DIr1GIxbK/WabSTplbO8G59/cOXdMgF48e8fnPHh97r80NgT3hJui9EZF6E13GcSWRFzh3DE
J/oRHfDBD9RdMWjbuBLWgk2JV7QnWo868VoZTvU6P/5Ay6BEhhdNsOMlhV9lBcy4NFj3QXHHQDGs
ZriklbRv8+x7nhtbjE4WfO3xXh3HddZNZ1Jn4x+TbupOuvv86rxu2I5vK7ww9iE8TGT2HI0UKGOj
QO8M3EBV+adQpUtpDs/sXDmfqlT2hN5/GSO9WME+xMYTRvama9cJhPNVG7cPaAfOO+Hf+O0ZcByE
7rXTZ+kzu46H1mIAbHnx/bTy2nQYdlALbwsxkXxpxvhYsDnFLxhh7rWAkpnlAxjvcl7jOUVtZtTf
x8a8IIHiWRmsO1lqHxQVppafJV8tivVBZ11gD3xJ/Xoz5O0NPtGvUm7eq6RWSTLYWCV3fDvjngNo
jCdsgQFOIi1GS8bG50sJmBcVXfjSif7erI1NGxoPAEU8PM0ELPpp6H5+md8t6HgG6Taw5WJrSePm
aFNZ+V00y6kmgaLKvnYS1t02nu/Z+5Jbq/K4jaF+3crSdGqV9a7+uhyXDgRxTlSR32VEia7TUFVx
XHSUMVberkNUiSPsWosE1hhz3+uTgzrPnbgyn5+y9m4fsGwACLAkbIMsdiotb9+7PprLKtejcD2N
RnpoktbtiEX1gIi6kHmxoqKggaaY7hSjQ0B6R/u2IObyaUKcjjxaSdZqgWlwRkJfNlinyxrer6aX
F1msuvGgMpRfpqM7ztiu6pg5JI2RA0gNclsrkS8JXKQSqwwtWr9DHODwnwjpce1+ujeUnq/mJEt+
fsqK9m5rTUNEppL5Sufg2i/f/60HGGKpUIG7BGvo1ySvNDikUVPrvb7ObIXkSLEz2/pBKMyFWrkk
Jcv+cy9tKou5Qp2NnU7GqmR2UE3r+pbkn1tNPJd+ba+7sexRxmZXtW5sKjn9OiU+JxuZ65m/rVJ0
y7mot5oWPFeJuMiGdtxplti07biFUhgTElYQQzNE25Dek92SZQ/vd42AeC8Br5OaHHfo5JqiO5dn
FQJElFxLcrWvhuj7kn2WpL6/wnP0mj7qf7NrDKxLQdrVJJMIk1Is2XiPBn6KsBfpxsjFS6obOOOS
BetrJP1qMBETDtzQHhEv2Ec042Oq3fStdpEGnEvU+/oqLfW7Zp48XzfGHcu21qnIqPJGa97HsvSk
jbHpVSohtmipZ9xRhOrwo5mqbVWJXl4O/VRW8I9j2Lay/ko06VeYV3s58K9UYJNBYmBMUff1SvLR
2pI77La9jRf7JmzQiY5laq/HkUkhtF2KXPaqHnlfalPc1SUNHhq8GHaZ4KQoe+0XhpWIHGTsW6Ej
CdT7blgZWuxmjOFdjOjYjMINO6BvbZIcJgNEMWLY58T0YbZZWBbl7GYJf2bc2BqJfkiy3mOpljqx
qV1//mQuc9zbUZ5FLg48XkSNDddxoq0u636aKprv5WYcuk1AKjYOXph55DkzRDyk/gtx2fPreuXv
Hplhh5oFSSQsVtjpvX0jFnbjGE8L8bqBTFnn11rXQUjlOWjE6FL7w+atb5SBmeLzA78vmiyYd8Za
Kocslehlvz0yXx1IvmlsTxpo8aoSAJO+818SENCiLnS0dKEzDPDVG7k7143quqNs0mVAdcwQS54+
Ay2Tmj9VBPVlO8N+qa5I5f6uqvP955/0tZn59u7Y8Gyhp4HQ01isHC0cfW1Uel4b4TUFA5OdFGdN
iUBeMWmE8EkC38gZpE3NE6UbhHLviEDKV34nXaSGccdqLWLtxdLex8MsenOH9vp2mWOFwlMpZ4x6
JnlEJGL/UIfqutV8Rw3Hc1ott33Rn7MWAa7YBU5iGgihkQA3ie9KnHozjCsxVdpqyOy9FKOsmvlE
dpaeaPa+X8xy/sgqoWSwCCGv5e2dangCKlAswjN0ZFx4EJuYeYJqB6uG0/HO798Fnguq4Toxqqx3
jtvyZUSWhN3PNlGU6jMD2WGJkya0+7aWMBgiDDJZhIzD3+a2LY/jb4c9mhrgBedc6Mn2QhuVftpM
iOnC9MpS8Gl//jwZ8gcXVFEWSiA8Ph7+4+WGorRjU9eK7eHQw+TSPkrGjUHWhZ5P6xq0RiRlTgcD
fAxnhYE3frQTIj+HcT2rBMmHCkOcX0GurrBEY8mMnCBXHqM0W6M7/xJCXRqm+hYEEwbnPrBXssHs
a9Y8LUZ61quMyJOJIVoLlPugg7kcasbjLDWAluFRO4EtCjIYsZDZ9XypVtHsBAKUnVlMkA3IcrEt
XDop+eNjoG8TwJktFik1fAlK/ToIkd0G1lpAM0GmkmL9ya8Q+DjmVF0Tzmm5hdSHGMrERnQviaka
hznnA9n6JjaajkWQ/ShXtrwY4dWVla6ZXFkyJlf+lOhAknvJswVzokGXuAgVAyRE9r1FnlTjPGFL
PTiRMtqOQZyO4cmhvikDe91bOhgNuj0OMVIhFzK/hENqgSKH3S4bNebSGdpQHlW7VB5wIqe5l3Ro
qpZdSaSD/O/vxpy3kEC/r5nOOhdWycoP8i9o5+/zkbtQEQjtpMF0DcMHKIXcrOwhfu7D5LtuelJr
Kl63JGVH56mOUShU2UrNOp5DidnPZrdbxCReV+lUOllAvlxV65ln2cNND1sLywK80rK00cIsG9cG
ApQ9l4e6GFfdkF+ZA4ELVhavNQkTwji6mRE8k6swrDBzu2ElHfoJR1DURS+JBXcvfYg6EwpGTjiM
GRdXrS3tjZllgj/o52HLqdUpc0EzTls/lVPwCPLebrSrNMnPrHI4H1Tqq3bnWlFzW9HIX+WzelmW
nl3cSP591Bj1KjBAguGMskpSDzOuXGmS1V0Ryr6WCsgYCs7bipWHGNrEi9PqKrdLfadnz81QTBs7
7Lh/1lfi0rJVNHIjGrWElpxRLhlxvIwBgVXqbVJIN0FZXln8Wnewu+fODOA6JJt2nHWnD9vGEdlu
Shko5eRrNhYNzg+ujHaRtLZ50dgS6fSjwcoOgehK2NVWkmr8I0qHLXbOLtuQWdAexEVlqdtFftTG
jPq1AQggyuXLRsqImRV7rCjUKHkpVp3oQPry/5pxPWpDbHMho4dVUfTPymRXJuF5OSrXDWYXlr7Z
11jS79EF7f2EJVdvVg8Ub+5YF5+rk8lGS9r3ks2SBqFiAE2YJCXNcJo8+R6Y0UspYnsDEWMfLLFz
ln6NwS5gDW0yjMQsXc3+R66M34KwdVl4byM0EM5oUISow/ZHBSJANOStiob1hl7hMJmYsvrQXFul
5U2DRS5boro5WAWnniVKF0tmejpUT2Z7Hg7VA8FszMYz62JpQJQODu1GbefOMXQuREheq2N0j0Yy
IElXFeAaEjiS2D/3ye71pfh7o901Cg4x0jWfixxeTzg1626ArJWl8kEk1eU4Wm4cGN/bBvczO7aL
PsUZPy7gVGng2EMHG8cfvscpklG9lCnlTRtTDGCQ+vtSLx+aQBzY5GRuS/OT92IFUGBYES26litY
qDX7Y3Vuzzv7ytTm26xbBMvGFXYNlESQqRz9Ms4pN+iGnKwUraZwqNbYX0VwBVeDBTjut/oOoemD
knJvRNju6SbvJCO/JbLjDt7FfSuKc01NqbSJ87k4axu58SSTGxRUzaqWTKjvtnaNzCfaJLMBDXsp
0lS6w3axd9iqnGeWARckHLx0YSunMc3jLr/KpGpCCzxrm79AXZdtPLwA2m2IhFTv8bU+4a88o/WS
OtETFRM+tLxYCy3tSkunPddxWyXWY6HgwpAV8nUzez0ErexKbXRrVIVndrw6xoyPuNS4YpVNAndF
gu6QV65c2vdlFpz3YviSQUsjVy11rJYiYJYxZTYGgzmD7LM+p54y+4Eb+JjfGvKIiTH1+ly/nmbs
GTjgzVUisghGz6UREIBclwHsBRftOzGAuHwAdJB1ZPtbPO6BO4zpxUQa7jClh7EQT2Y3c7ui8GBJ
xO+0RXoNUmFMCcGQWjZRVFQMJzPM9aQhasqk7KlJCd4QsWOqteV2Na+lrvAWSgYSMrY6tUb8xdi5
uItEGiaYc7+ZkjZvRYjbImmVTVMSPFrO26IobuXFzG0su6SIkgAv+9dwFOvSzvZlVl7I5SiBPSzI
8tCSdWBUDwCkbpvAJKQ17R7Vyb7tBv3FLqUfUdrwPkFH0QxiopNi3xkKeJ4xes7r4TlArtTM3ZYc
gu92Gn2n+cVWzlDZCUr1LhmWM+twLKomW27/zgh5Rkqboce0h23c/gl1m+eSurYdk5Acqk9dwkUj
G/fZKHtMCnJOkoqCxz+3qIJOCuZL6RRg0tTe7WxsBXn3AthbWtqvoXi/7bhzX5sNSakJGgnga5TW
eszlmzTB452wCZvTp3ZwDHQ4EXErodiYyhNN9XFHbMYXSs6Zmr6w956W2mUE2QHP4LLojsGKrNLQ
eqIWeh9WoA5eX6thpEg19PjAk54/NCQlZGLXyeGut66A89xKhYYShz2CUT90cvMwV+aPVBFcNRbR
vcnbLucMc1nZn5s6XzI0LliqzUSJ94+AWu2VWB53Jc5vc9vkN1fO1GPxjdqLcaLFKcavRm540ywx
NGE4KIYC63Yes529EVN5Yln+ytA92pfQPcAOTFWDBsqx/FAvtKzo8sKGis0Cr3khdYeFE232Vdri
Lh2YO1RCHTPWDtg7U8cP6isR6wQExwx2femTiSse4oBZRdaG+zGPqe1P5WpQYFrO2lU859e+FV6r
0Qz6rosEOj35r9YbXbPgR/FBJ+RVRXx8EhxGp0tMk9487hLHc2y1PUpsr5LNXdgXZ3UGfTDD7dbP
8VUTY3moq6u0FROO5eag1ldqYCKkYQ3MrmnJEI23Yz48wXjF+dpCGaAskwzzjliszdJEEBW3rJPE
TpWLW6Oobglr3UdZhfWUDAiMLSeW9+81qzbbJUQHVI/RAmLbeLtdqkIbXRHlXG+e6EmbuXxbaaDy
DPhiCVWSbads4OE9zIQsV/Ooesuz7RJ/dj8tWrRaYWBJskIjN+WOzrmyMbXoRYtq+UTN84N9lrZw
kOlDoQNQjpXCcC2ywi74mFFQXlVksq9mKnpm6Mhq9sSwJZyptidneVc+3/98dGDuODJJMFw6som3
10dv1TqKbOgfLQvmlQ2M0NWz+D7uk70+Wn8GueYiRZFddQhOSUE/2HghFcCro3B0AwnE20PPRizF
PXY6rx9txnXTuK47E3wLNcexcQoypU483spys48eb/paVHcQzNHlfK2C/Db+FWFc6anWCC+tGK9z
mz/1GPejtJAo94WPSEeQnbMmeB1+utS+M+Psr8bX32pvn0ffEB0UL+1/velB/89/velvf9y1fvNP
Pm2Bv/ndzf+8HotxwH1qn978BXpf1LIZ+lFPNz+aLm1fP8fPf/m//eZ//Hj9LXdT+eO///MbI127
/LYgKvLf29QG1Zp/394+FE37VEfJ0/GP/GxsW+ofBm4hHlTWHPSjl6bhz8a2Jf4ga8pkhqTfbQnq
BT/b2oryhwpai/GYngLSFJuf+dnWNv7QbSZDSihL/g/Vvr/T1343/mMlwJlhUJsiShi5/9HTLGVz
J6eTzZ6qKewziSVTnykHWvBnGmMNnfDJw1MzsFuxwrNIMwhZqs27UGogbEysw9m/71RRXakSKcRa
1CGemSGhsAMANXA9GhY0LDIQcziCh1y2LrG8SQ/i+2/X+4MJgHHxuBNhQoBdFgd0qFUuz3FGAVLw
tAmrVvXKQfYMP0gcGbqZy2bd346DepWrJOUEgbIJofWet3QsvQravUf+w0Ms97SH+prSNGgSkrD3
EMSIlRoV222AtjsqS4hElfC5+0sRJJGdKGxYZ+r2wbajBymOFFfOl8E66M+zcD6LiybZ8k4f5IA0
7gyxJkuGVYzo8DLqataLPTQFwX6A8FWLhSxs9KLtko0F/Q+GznOU1C+V0X4LAYQSpRR8J+3loTM7
yQuHIF4VY1LeTOF0aaXKtdAC6RKuCsEvVvGsk8XzQDTan8aDzRbkSZol9m20Z+OA1WmggghX9QGA
hlWdYQZwavNZS0wNKDwQqfMK+d3aCCaa9cocnA0A66NKuy9CeHhhDDOjm+N1YOqHybdr+DCFQr9f
cmzqKr6QYOAyWSX6QBrfIDZ2FG2K3Ei2VTXfjWYOnzYnbt7q+20ChMZsbJiQAQAMuyGOi7IayIJs
XgEQi9Z9nCWO1oVfWmuO3DILQa2P5lMt02cu1BAqVPJNl3qxtagOserm45yLwVK8ami/UJJxLHtK
bpCPtmjUfHgWEVUiYKWzI6QAZZx/5Y+0LhRM/M5oT7UbxEHqDrO9K8pSgeoC4lOF+/f/mDuPJbmV
LNt+Ecrg0JiG1hmRGSnICYxJMiEdcGjx9b0Qt55ZFatflbX1pCe0e8kUAMLh4py916Yfqp7sqQUo
NvbNto2qlV+1pzpIX2tXnpCPBq7RnZxe08F2vE892HmDaCBKspYFdohOgWoBEHWS6IqedMBFhuNu
oawoWfsCqUNgRjDdBLdgNeFSy0i7CwJMHfRMbsFUfEsbUEu28rKzk1g7Lc2v6GX9palxPPdgoS0t
v1wJ2bb7WMJ5CXvaIlGny4Ntp1QecuhqQXyoE2s6kVZOCKCQ3VOMzR5QKP25TMXXepBQddIKcZRq
tkVnlt+cRt+4hpOs7BxXrhl15sqQJAekMt8gQkwYysVvajivKZant+bLRtZBU/RqFmI5Bmx/Wxkm
G9AejLZRL9ZunrFT8eJAHoSQ+WGKyg7lbdHlh7adI3aNjPakP66KYggWdjPQsKmyvl6blf0ViyA6
lrrY2q4gwrL3VqM4jBTaz4hO6ktVhe4+r9cAOJ+wuKbbcTRPnIe/0ag4l8KhmiReAfp+d4yLRhJN
0kkoOubdqfClOrPrYd93x2qK4mVrQzOLIJsBteREOEA5HEafQmT1FuTWD2Xpr7XKf6EUDRetutVJ
t4sb8WFQWarb+jVsiDrE450TTrHHmCyWiV47OzPjF7s87SrqX/uy3/XtxGvgdz1hLRRKnJksuOqy
ijHg3/SMD4koiZJzHN3A5oxU7TbEablkOdi6RrxvivHUCA1Iu1UcdUr1zFTGOwY1m2zJ+pnj3rgU
ef7TZWfUFMuuzN8qqd364TtOQqILbHPjp4TjumB98mDZmpiaMjS+uE0SdylE8VzA7HInsbNC3sIh
h9NbANfQx5ZNPpLmZSA/QtDmEJ28n6H8Hql+WwUKpqzxjfrFApZqvxaGDjYavP/ku1dHOsCcKqDv
bbkbMnGUZYLH2/re9epJVgRn1KpZB1WynRGsU0CueJ0mzc516vugucDMlsT7bItWL5YO88/CGftT
DjZQMWNsikx9ztyIyKgIGR3dz34IUvzi/RK2bQVoyPrUq/676zo/C5kc3QpSal0YxDk5KbW6uXhL
xxcQnn3VgvYCSVZtitJV0I/rb6XuSvS+EqBKNBH/xSxEoco8hmlX7qoaKKGTbCdLhXejzp816fnr
CZLn8rEy0jo395Cb4fl7TrpJgKSSjmBRt22GQxYXctUBcWXfRgs3Mt2GL6OmHKYaAiOVHYuimfiN
ffeCjxoJ1Fj7JwI2KP4MEWtqGC3VOK1FJ91FXLQuQBol92FEsVODMPAd4stHw8H5pYCwCG2ViaTS
pl9pMjKbAtB9iYfA2ep5r+0m1ypuRtprRGgHRGuj0cHyLg6S0tgtNbJ9WKth7+n0B1zuBj9P9JRP
8oq2hNeRfstO+CapeM1deeLKy2SeIAntJ3s0rzKMdrJU4qa8tkIgQGiFlnfmIayQpMBpMt9dEhUJ
to8PJtyXLezxUxRoDUBpSojz7uQe+flM9iLDvqv8eFWnqn+yVNMicy7S7yHavKU2yfHcdspcxVbu
w4yNuzVE4vHJVqa5YQx35wyAHEA/sJ+ixW4COipZCGDmz2EaMjspEX024O/wIurds8r06SD1Goiz
SyDURKWY4pxxaaFhPueCLiepNHeiy/ZTH0xvYzBB6IEOdBkszaP9WhJTk101oODXuDetBU19ZyeA
f+Ecj5+argivCbx6N5Di2RXMskM/aesg+TV5hX6Lp9J41i02A1WyHrSIYzaZsU+yHCcaENG07lHS
QeqMn40wjtamHvcrtxLVjVIdzLo8iNauvFnZZB3zKVWMK694kpOslkiDt11lVW86xTJtdPeWKiG/
WV6zr/oIRHqAmhGAMTy3+pbBkyKo+1iVr7nq470seb3xvLAAxLW3boZ+U6RewOqaBmj/0zWCxLvW
U12q1IWB6q21DIdvQFDaVBDrqnfptEwa8MONB7hTdacm0mDlNi2v4Cyzbr0I+G/wUo35Lpr8XSKT
aiHBwCzci1PWJyfUKX+mu6g1+WEuCWhWLFeedxZePCPX2HaMxTdqBJsecK1fAoyz23HLPbVIM/y9
HQ0LPjMXuKV9tYdkX1LyrPwCMp3RDdCus4r11/2sjfaUqOkcGuLTU+wmfYVsq0Sy3AH8SsviIAbA
g4ndbHI9Y3fV6WAyDbCWUfursbBVd6DwV4EHtz/SYgT7kNmXTklMAvscnfBYqp7GubGyt7brmPGS
F5HmwFUNtiIt9aw0sZCBBxRNWo57YRyuW1FdhLJorA8ILDpo+qX5ZaV0epTrkkRFtD1j9F5GHVtH
r19VQ3dv4mRnTWoxVMOiqKJoAbZs6yU1yCmqwqOGfSgleXCha94ubPznxopfpEoMSOwx4GxaiBQg
D0bk0aPNJfF7+q+gq3+l2N9o76UF3cbkPAr3h3IUVXzEYOhyCE8p6+8T4pgpeRry3zJoOSJD1wP6
9wqn/+Ql6a4IqaGG4bhpbcUa4yQ/XVAUkIIh+oF+bItRLIemWreqeMusQC6knrwPmn0Tdb+rxvKd
mDe6joF9EGP4w30uRUFLMnaAIDbBj7wbXga92ZfVG9KrnzEmAm50uHPceYK6+cRb28SUdlLrTMeQ
NhNLYBomzTKeqHg7MRNEuPNTrYbeN2tTh86g1vUO4z1eR4VJzTtIbip56vTybXIRzGVcbl4KCpAx
rQpQdTuhQXiMK0k4s4MVsQiZV7JmyymRrVfKZpk6zk3V9H3ySL7hLWV/0NEQ75vx2bHsG23ket/5
m7KyN9Rqq3lHfjCt+sAOL17h3yJOIuBKgC+YB+X7axutXBDU1tLArU1wnrGEntlXAG8n+YOGmb7I
S1CZ+aj2TIDCcDbDPJwsj7+Am/oTMSDO9dAgndC7m+MwXeOUVV9qHE6qLpmWepme2TmytLVC2wz1
ScfYeeu7UN+IynNWdRCYx6ZjiQ5k5b03Zheu6yCJVxQZd1Mv18JVxdLP/fKU6np7E0V2jshSGgNl
fWRh4exHUmxXbd2aH6k2baXM34F7qHOfd81V2eZ7AZSoCOiYivAM7MRcPP436AOxNjiYuDKi+hfl
yyYnincpqcWPqHYu0oexaZfBLQALf/BlE8PZ1/ybPwHla9N83OrYUze6o5erijPAjZQn/mA7vCxq
xNXovX47TgDHbgxPoWu0Z623LiNztjf25UvV/aYpXe99QUM5aq+9G9YvejDld/8ZDMovdHvpZUx9
7dX1yrvhFsSLp957WDrFoTIG/pDJ7zzLyUDv4+Q5NNicT0Fh7WzZJs+Pv+sic+Vl0wI1VbuILYs+
bUyzxQ+snZ+Y6oK3nAkFBJ6ZTbtu9N+dwm52YTCBxi28J3eqb53l/6wlKAmSC76pXGeJnJxtOAG4
hrutf3NST9CNT9oL3YVNNfaYW5ExzPGmHFDj/KScGlXKILJ9OXX9yqwJVa8+ir50zn1F+dzotfcy
bVtUU4rDhgknE8CUo5+gKw4b0SFsAdYtlo/dEUG7TMRyVkQZCauzPVxGK8PPCDE3D+pnjWGEx51X
PG1c84Udr+P08dZCEcEYXdJT7PY1qY3rJI/uiVoXMo03TSgvbtYMdLuJEycqPliVIw2vx7fmucpX
SftllFHIOvZc1DLe6q5m7nUjPxOA2m4eu7XYars9H7obGD957+gYqMzZ1G3UbUJoyV6iA4XPSds1
SF0W6XBj7syXJfTizZhZCA7cSQ6rhL7U3Yzf0nDYdnkiz0Eu2DxCvloG4Pd/lSqnEl6TcVJZUX1M
O7HIGT251G88DG+l0Vhdm9GQblJnJL0AONe20xxz3/WevUB1YV4qS3/ShfHkzyWYZig4QY0VLGU3
PAtSGoJFaabGtrY0Bza/yndtQLiVp5nu2skILOgS8YFyhq/IDSS9CXYgjygTZB/yM1fVr6K0Cezi
VZzPq9L1yI9BRndpeIqDIl6ijsOnmfwD2FHyW5JNa1rTYWxD8uPHaxb6187oumNgBUhO6HFETbV9
fPT9mMtFZ6tx5ZXVr3yK1UZGQKmHVMgVHW+2kkEVb2NmgAn63aZtMFykinv/63M02QzIwU2PgLMi
KITtMjYQKc474bDV+mXogUAPK/f6+GvPseolreOb8AeLSFLGl+fDhxEdopUkUMMqzux+q8a5J4Nm
cJDG0k7cZOOY+dfYDdkynxALhcPcjpHDxZgyn1TB8mdNbsBK1+6VfUdrykJZ+hxLMvI4zLCM/hpz
teXZIG5dmkBWsCz0hp6fhhBeIdFdO2pqdn1GuA5bBWpP5RC99FXMwjpSl5JR96aZii1CmX1YxOk8
65m9ihMrWOVp3ByTEemHKUr33JXjIdKmctuiddwDgA+u7nw0GGT+k3IkySTgA7ZIHzs9qJ98iFME
+FrT/Hnt3a5IQH1ypCbb7k0VkXvoRbbr2KQjSTMOOfEHH2NW7erGFvfRL/qlAAhc9DYAXmnTDm11
8+I+Xk23SDEnEA2CVsPaP6YEGRnJsQogkDZN9uLIrzLwvdPjJYdOdKpMmZ4SCmM2Zedrafnv6H93
pqbal0jx/lc2QSjVIInM6aPuPEyoPWLTjVD6NES9JMLZa1r++3H9NuLymxbbayk/ioEzT+zG7UJY
7Ysb+dqpnd8dCSiKdBGmpWLwreUQRFynXS21AhGQBhLuCNsWIUSVopjyp7vW9dqhKux1YZj6OTH1
Taw1yWlwXsJy5XWmuUdoNdF9nkzKQDxEHIOfWT0c0iGxVzQ9/CemcLDtSWsdC+0lhbm9dvW6OyAW
X3euVe96L+O0rW4mLOGjHoy/msbSTypcc/DwlipLPbJ1C7VtxOgujTp8bko93tqT84LEUO6GeeL1
ppXUMrEn1+Ln49kzzt7r0TBv2VTOpzPS6cnquhplz+HTJ9OTvINsGOJtJ8dL6Isv8owKCP7cASoW
c6druc7l1e6+hAbqESJ1Rge21dlE38xpWuc58dAstGtD4KG2s6m5BEN6J3ZNLop4bFe1Usk6LrHe
tXOEUdiE20kMSMcqY1p2GTkvSeNfOUBzEil2LvRfMOnM21ZUHD0v4rhmN0SqBKG1jP12NtXPaLwQ
F4JR00wNpuBoGjWpiDLYpx570aYv5U/UPzM/LQqSk69XYjGqpKYcwwxvlnC07YQiWZl9YvtQT6RN
Qx8M4UkO/XgsVRNR/DW7JQpqKnzzLMEGS31LO+toj3a+ZwX04ct+ZZWpn1I7/Cizpt9x9kqOqsN6
heehWOpFQwYcOotl3vfFEl1SwGnZ/GEGWf0UwtFvKiM8maO+a6hX3oyQM6c2XB/zOs3JdaVn05ZF
RpEdF3dwavtm+fhAH2+Mxr466dNnvQr87dgl2Rbn0aupU58k9gaCDRHwgnVopeaXzG79U+hbKTBi
NqTUXa39FA9PdlozDrr2ls+EvTIBBOvnrIOBY69EpOWUwFJ32wckKJjkRexlHvYUE8wK0kXUru3M
qZDOxvWpB5UcNXqkKF6anHxjHZacl5AVNA8j2Xas484wkg6c76gRks6U5LQEhPz0QCKvRdbCY057
9W64h0Af4Ro3dfLSf5oWwSFt7kb3wPwhGttbDImoCT6zvrm9qg8NCymaRmRl1LuY2Bng8WAyf7Vu
te1C9ZlOnTh78/a4yyjF+tRf5vnImFx70XD2/+uJam1PX6CBOPvYUpCM0YOL9nzCNsHJqMGuD48b
8bIMeXcQPQmnq79FzUA91TeqNSsTgpKsEIekgnmtaBocS43CWwxG9KVk/DP8CnUgGgg9D08S/U5V
XBotKzdJwEqhmdp+ABR/lC7qAWRADsionuNhYBtfdi6Hc5l7/bmA0buZZNcSoGm1uzRsTfLRzW1G
6OaTxlzxrKnqnFJq7CqzP1XhfMLneL9MKt3YMYz4fOL6PUjr4e7vg3nOCi1xLYlfibzgErlMJhRk
nmLDdQ9jOD2TwLF5bF4Gy/nGQb09UvM3kexE3bpAEnpjStjjpWqvBHuFysRXELQkrbW8QXaGojbD
jPIz7X9PVQF2o1T6FRkmoFFfe0tVMi2WY6gXz9EIQRxTSLDLdPU9nPMRtG4gZwkWfEd446KW03R4
LPiAercJMp1z/GmCHr5MtcdWx9UQ3kA9OuQ61Rm/RToZWFq+ySjFH3yTnQFZpRAbA4LJB30Z2Iqw
t4D6vyPGbCNifwaO9/mFVKBUlOJEksevDO4fFMqUEtIs2WlqrmVeN0xXkeMQZZtMzoKt2uRDr5yl
0xGJYlXRW0UcR6qdi1ioW6OpuyRtlTCcXt/ro3IJ7RL8kt4mREE1ZkGtneIytqcjzplqR/7A02Pj
OSZ+faSBwk6AMLzO0b7XTX4pqCmTOcIwz6PQP/nz5lGzkmqvhdRXPU29JR5mipQw2n2MjEEbxvJn
krGsg7k9UeMPXgslL0xw8lkrOLyZUGRGMw0+KL5T0SepxOwq56LVPSqy8Cop7x+nafgZ9b62j+dI
AoeIiCdmVfYbIRk2USnQmWmkh5WTjHa1bVHA9JxpH1uNe0tUSjER/0lnvnd+1ZCxgNawpz1Tw29e
PrYYwg/NV7vkl1EAuD5qqI2W7/2YRBqtx5Jhp8Ilt02t3JRsM+gT3doN8mfp9yfNtiV+ueFJdJyj
UTC/P6bmplTUTMxQnmDZzNFT9cwTxUfi1mfNUAQwQaivOoyhVmkN12Egvg2OH1LBxF0YZmad6Sd0
1MUTfZWMokCnlRweV6bs0Hrz+/ol7MNrSFHzGCcEG6ChtlqCDR5bpdQHDG754bnZWPNYsb7TezsN
9eQfM0LpBBEMx9SnGTK5Sl0lIoXMMSVWA/peTRRzMLeyLRy+4drExM/WNp0XWZb2Vhp6zEKqtpSV
z3JqfqXONHOnOAr1BclvGjnwucTfXsQcXev8yEnP3GQa47KrA/gpbbroA6yYldzYFtV9u9cnuoAj
wgGBBWvKIrXDLunoipwbLKHroq2LTZ/59q52C4omUM1HfImiOj027zgb7M3grRO3D7e2PU4rI5DH
qo5MToX1FyGMxq613OfYqsp9SebCyortDmAmGeFBFRxdQ1/3cett0PV5y8ZEV6tRzmD6oA06v2ua
KKIVXcqAcoMTbh97eJp4OhUU1U6n0WnIZkmibmlr2drphP1mcl5eDbKpdq39nWqO/VrMvYkqpa5G
hFi57zgMbTOSFvcem73WC4e9L1P8IDo6SXt+Ceq0e+G0b+5F2d+sYrxpma++9TbH+C7KFn0JMD0m
+2/NWh9h+6nUgtPTY4sbNRRku/FiKgTqhWHzusyfTtEnwTFfMmwgN/0nfM1D8PGPghAXh/wMCrGA
VRg6h4g/JCghqJS088i+mROXBzFcK9oGthPfIme0V4+9aGj6TymMPwj1BGbl84LczZuYxzXq8zHN
QKm8HehfUY00D850HFUjn8E//+VQ/B9JR/63opB/ko9sfxeXH/J3/acM5f+gcsTQMbr8/6Uj16Jq
CqQjxT9KRx7f83ftiGP/zTAEeiOUFug0xGzz+Lt2xHH/xgCAUw6MAO2GKZBN/j/1iPc3vhSZNKIs
Hezm7Pj9u3pEuH+DYQMGBIe3jh3Hcf8n8hEwHn9okxB9WS5gz1ml4iHF+kOolsdd2BHdgNOgdHHh
DpQKnNVIryT3nE1VlnsAznu7wNDQ0gZmV14jW+A2kQFaxLOFm9wo92amdpbr7GtQyEQxJL+dNjiV
7bMcx6MREOhOx2+iVm2oeh8Qy9h17WEsnJXQh7UtSaxycVCR9CeYKS1Eblm/aWt1inQLkV+0Kt31
mBZXLP2byJwVlex8rZGsFHcPeHGnElInStJlpnyHJHATZhkxV3LlOsXVMdK5ub8OxHAMxm45k0R7
GrNj0zJzexe3tTAnF9fI8K9WH1zTuH9qprPTeKehlSfSy+9amF1ZH/d5ijWP3DLZ1DjO19KyV2yY
L0YGeTuajrPWs22xJtwcPOy1HI4UxvQmZY+Lli+/VshVU43ItuwL48au74qXYUx+aAaMLo5cuZud
5EA+DDlWfPinXAJJMPuNr9Epe+6j4UJE2TrHAJ+jUUkKgmxitf2HsfvfyHD+RYeJAgc8Gdxnqsu4
X/8FB6UsEQfoXdZjvLf5KA2ExJMdEfBmbgbTWQe0nGyOFjVf4ockfRbpslbPhl4vO649Q+usIyGG
QrDJ/HznsThp5S/DuwVU1oexxjLLN3DkNqxpodjI5OW4aqZ69e/v408nt2cjabQghhrgFyznoTX6
B73d1EdaI8c8XAMHSFehZ5NVmF0MN/8+hM6p71jHaYn+B8nnnwKmP3/pH0Ks1h+mGBBouC4b9dxa
HwPJbsQCUrKT/v3f35/40zI+/y7uENLDPBcAVvrn9aNpaXFHNEDWOTV9WhNyFfR730hXLZ3x0qbM
kmnJV6k+HEP7/Pe/2/hTzM3vxq2JD5KWuuP8i3LTmSs7k5IaZQjtMEkiX/VDWqw5Sm5mqxQv33FC
a6xC60hqyTYNzINdUqyu2teqxgLlJ08VWv9CK+/S+CzK9hTFt1irTtIb/gPs41+gL49rZZlFtU1h
GW3xPz8np+iEr5JYI9O3OA04zyHEQKIybpPt3aNhohFevTApkV7jQVH3P8To/SybY1P5d31I/8Oj
++8vZ+ZUEXgOtvtPt2tsT2aN042qNpHHpkXnsijjz2gADjoicdYpeGntJsjcpyBsV1kmv2pFTjSb
YrtNvvAGvfz7z1Loj+SIf9yJ8IR8f9amsgDwz94f1l8TOrA1WQGb1IbPrnxTdnnJJFJUM7TfG+PV
cpIvBOb3wt5MljNnAuI0nDWzYYRpIHZneATjrEAn1Vvv9HqKJH2zzASxcnZSBnY3TrQcnifvPvuT
IqkTg8fmryYcobey331CeFVgHRqRfUaJfRehe/Po73jK/ixMImPkqYztGy5KUsI/Pc25VO33vNPe
9Nq6mJgdiMC74XbruMQxMxdFVH7aZr0aTHE2GprHUX5pSeGq3Owz16IvmSj6POW3bE5Vi6kpgyzA
9GS+CEP8IkZuNiH3q7KuPmzcOiPgn8lE0UKV+8XnXtPYuaSB87iXorJvSMOwuvQQ1NzwtUXnM2Sn
EHXxoibUk4CbY5XDM8mcyxy5lLbZpbXSr/nSe+ogi/nOahEeh3TR+Ez/plw6SJF1afyqex+NnLjZ
xMeInHUu4uMpyk+sfQhB3Itb44el0t8VhCnY+Bo5vAff+sk4a35N/nFNLYzm6r7h2rwy3aKjoro7
FsaSbefeq8p3zxuWow5hJc4oWac2mmP/1kTRpzY2H0HkTmuexCJJEKtZVUGVpmZUEClExIsk9rbY
JDUv1NhTVydd+SywXVM/PPWCMER8Brnhbq0Ss0oPyJ0M0/1AYEEr7aOhyieCh33St6xtilFnZUy7
pmu+Kz99CRAtujShdY0473bErEl7YaH3xLGNWvhdV+VEhQaTPj5UZDUpxX1iHaZErcbmh1bQc5ld
YuCTJCu98w07AMKDFP/6LPV+XKtnwCuiItE0Rb0cG0xgqMGAY38LLfsADT5ZAkIwCSdCaVWSLRIO
KysKX42AE3leyk8ncy9DBwcftLZZuk919iUx3CxGg04t7mK8rcVNI8ZyLAnGTPgXEH4mjeSGMnW7
dxnBBq9GamIYVYNfL9KI3jXNB2RTIllGWC/smVBI20dDjbHI45zsZp1IPQLYMXkPJ9/t92iqaL/B
r1cpBTl+Zt//HKrqFz9xURS8L279AegWQ7zp37u+ZXcyPsd0ABeK0vlyCO3vfeoTVELmHt8d4BVL
GqwvrpXy8A1+OBG0Xy3twyxxxbLJxlXacS+aGX22w7Mf1B+dsrS1FXHXFufk5TAPRB03odKcDiHc
LG90C9qM/sHp0h8NosQiRqI51trvaXgJNZGuqVDX1FT9+8hOrg+zz9EKv6SPq7j12mfhamy/7VuZ
4/+J3Qt76X3Wy8/etrgNM1o2MBaH3v0VFLxw5Yh5VXXZXtO7jRbkp/kax9lWbHb2MoTZYeXZphLj
bw5LN5aLexf5l5pU5YXHXo6pg9Mk1AieRJmIba6hAAQAUiVXP2o+2PcxkrOQiPbhW+GhrH58dVPE
r1aIsqxIuCymuCj7gvRy1lzvGRMQ1saGY/nj0mDaf5qd+TSJBpQRRlh/bKuF17qnKWs/5jklkPzt
TF5xG4G+LbtMlnkry+xrznaZ97xGhNhnfuC49+KlVvV7VxYHdMvUkqpl3vZcfn8rhumHKROWjRyn
nNoQinqHqrTtbHevO+7F0/JPzZekjY2v+sRPm7fUgXL2Q8BnZkr3WjqbFKFnGqLwmad6PUm/fGc4
t5UDLasDH9ag8UUc8hy6eNR1noaXjOXO5SUX5TUx+p+6T1hg3pgGry0+xp6ttAqnbjka3n3+YArT
PQ3JBWkkH6Xh88biGPXd+KaK6jDQVwYwvRE1FzQPYN2OifYRLCYFAXcj1KJC8IFhYP6IC35A1IBZ
seMvwYGfktWZ9tYy0qe3eVU1WW2SLL+UmnVrQg1MCR68XsMI6yIroE1kHJLEJ1o3fKr9GIOlL24l
yYV1Ip6gnVzijqegJRjBSgVMv5GfsRXcJzf8mljTVHXI3eSot+VHgJxnMT+uRCf+DBNJYSeU+Yn0
TQ3CJau7b2T33Ko+soSbDqt6zRwbLogq/7Lp1SyyiR9NIS/qxVn/Mf9Xqft31XY/VX5OxMWvU0RY
s0y8i+TPsrygm77Nz25ggp3v1Ou0u2xtkljdPUI3BkPbQFI5etGHaodjY+tHkTQ08uenOk8bnnMx
jeYjDHixzRRGQJP7FzHSdpqv0HDCTz/kEY34gxfED34GU4owlpXRKE6Wpj40rTfWRsfbZBCFGdCD
NslC7vEv9Y35q8SWHDjYuNycVWD0iaGX9ktXt28FPGKOfbya49SuWsd/qnyk+eKhtNoU83rcJNWH
HkafuSluIZryziRmer7RKi6vftaQqyi1e0uVbRo4WfAPEKq+hsT8rr8meNpqT7xgO7rLvviY2h/u
EB/npXveboW0dRYhau4m8/bzQp9I48aIucxfXzb2xfbCm6Jgn/fqeXDEkZMZ+wrnhSX9N9EUKBbq
jx4Pa3orqREv5m8vyeJg380AzfzhWiYXiU+uChmoSp9d/vVlPquO89BLrZBZPmFPVJTimcj7hcRk
SomKHjWBqcXEhZimvqw3ulY2xLZnCEZqxN1Ob+UrPLwEC8zYM0I46KMLZXy3Qj4fjvgrq9de7JpT
QBf2W/xkB0xun7bmr42epUOLZnQWVa+MV61T2ee8O08S7Xc6uUfDZ4jy1Y+p3ye3RqKSmJxvImd5
n7f1smNAwY5Zx/T6l6qmMaX1p4wWKbm2xAvyEGY+lq9YJpFmWmQpzwWByo0+O7NFZaLdkvCWFW3C
E2AX4pLQ+ldOFpFlJtOOdZlTX/Kz6VKHQGb59ViPNMU8rXn3Ifbvsa5/+V5PXHJ+Gucg8BIQhDYY
twC1rwg/2KYCa0IDms+rbqT4WOj2MlCcfZ+E38uthi1/fkmGMf3CtnNpwoCaMlK/vsIzahN1skjH
+Tar9OeUu7/ruo+Jt2KfW0iWcDlUWIGxj5dC+uRQ0GDQI3sRJCx6ldPcOqP6ggmLhtKy94pmpjtR
hqalpOMdXsg4/sp8cigHscl77w1gzB5J1NbLki/Mjcy8aPmXI0on4XrF0mYc1d6wC3TjlqXsECrd
ydYGVQuawEVlNhi0w0/knZ8ZCYvD4G95537QOES9bfAqBzbpqLW6TSFxR/lcPM9qH3hNMOLBxo3e
WfaTiMU1dlnYVIjSK3Cz9WPICoIhl5lmkeOFFdiJZLmxk5vRs31MhjV1+noVdfBgOzBsZsnXWpH9
HCLh7OlpzVmtv9yKUGw3Rw5p40bfxnHyZaumXiFKqtgfhHS/tB9EwDPG45OFv2Fpesg2mtz+MES7
DV12sEQEryfChW0/2lWy+oji5LPRX526ItwNWFqA6jHNCpPyAd6DsGjn9M6RdNVabczAvtkVAah2
wSYnLv21IFtqT5ec98SvNnHCcPfHAtNv2PBo/XBbOeKAocXbOGFwNAbDRCCrcMPzxsaglI+OJmZ9
lrWdlI7AjvJIw6yWd7zi2BuuaVIdRM+zKOYhF3cSghuIvLKwsCJN3gofWIVKNjla0rwVow0HY14O
g5iIydZhyzUExVJDXdAg64GVNVkrYdSMzv+i7jyWI9eyLPtFSIMWUwdck07lQRETGEXwQmv99bUu
Ml+9yJddlV3WPeie0Ei6dgBX7LP3OqFqbJu6vbhZrmJZwKBeZlzYOtwA/MhPVmO9w7QhzavlLW3W
s+sgcKG3A6CQJAwpUxRjAEa/3Zay9Xw71dVukj5NvaOld4MHea/R62uvNTvKUQVUK8/DQ2C9qZMm
YxUzYA+wWTcIW7fZ6H1gYO82gOTfvZbZTotIp+PDuqcAhQuAlS2V5PUWvKXfWokpu0xpWtryUdd/
o4dGvt7sZzqkF3V3l2hcV1nLNRcP2Q9WmtfU1h6MmhM4Kywof7Yfx81jMwD8CSEoYdfgEp7Sk1PW
ONGdvg2qwXyfLIsltI2S1+FAil3wwELOsUP4MBe0DxZsGChztMFNCKlwJzSoD7b7yypF71MVp5Up
GIkxyT7k9q1m8bixK2ZkavHgqFxWhQYb2q6BJO2Ed9XQvK67NzSoB07kC/8I1tR5OIVvbFBuW5XB
KcuH75FmfHIom6mHEvp5TYGnyJcA6QDeLfmoE+uYNqxEOnFjLt1ry7ofM8IJK8zrClGQs4E8Y2oj
funUg2MlH3Jpq+D6yrLy5MqNZjveyc2FlCvmXByakdF84dxc5DDQF9H31Kbfg8KnkDPgKIASGGQb
NqMIfauzWUgWyYczpc+GWW+zaaBAeKgecqo4bV1/2ZFLg5YHkg6fsaL4IxmyOaEm3WBpQaHFKYhw
TLZspqP2oP+Il/BTBVVS6MIfp+IkPAzQLSJcoTIkjj/7Sr/X7AjUIZ86TA5lVx/U2AmaxjgWWMJS
LM2bRUbn24mkPefWflFn5AJiVVi0GWhjZtq8gwHtsbqWfL0+ZpvTytUd8e66Jd9HA76uhkwRITpi
CX0caKhLSPIHmjCD4/wSV3lQq30F9NBhBuFIh/kTRombvhjee80+WHQpF/kLE+tRp7I0mNoLusJ1
ikICDjcjw6+fp/iMpkSB8KV+RQOKW1PTEhv/p08ZsNuWeP6q6rOoOPWdlEVWqlxxHLGsQiylfSd8
3LG8b0LwBEQeOF/ze6dxTgI/mzay/eqZ8OYq+ojJRmzSJv5OQHTgnJkOTt0/Vb16WM9BNeS1CDO8
znb6IeZwVwMt5YpijaFX+GUH7dh4v+JZ/Bsc2r+UDdAAQdVBBIOOStc+R6qEv0msRk5lopgWGL8j
ndB7FZOmo1ylAIB//RhinVYscy9K36FEPsbQjRYMXX4yscdR1H/XW+NfBF9b1WHnwb6gqgZBj5rN
7++mrBy2trGrkHdl10y9sGLmsY9O9Cas5AXebbGRV8G/Uc/WfoH/JJ7xsiRZHV6atoyUH/75ZfXe
KDrAAgoJWUb0MpwBatAb9KJHLIRXfS+bmV4tusyzYfFn3kKH42uDQsIakgjLUUpBcx3DOmAWH0L3
orAXIYDnr5ewNXavcv/TJ8NLzbNQc0URkTtCaQuX28NcH241+wM/wAcYKV8KSs3kYWBoXofCPc7x
EKRR++oxVKUkEinu5DfIFce6YmfkRZswihkJjPq1X8wHuTGeXDlqsO8XFUt3uRs25OJRLvl7OYaU
4fA6sPGwGzbkVrulFcedVBCUxb7IBbX8jApFD0IwvtTFiGC+msVXixjBlpYrNbdyjKjDa8F6yAnB
PmOPmKf6da6do4S8FSK8lkX5KklIC7vF3HAf8mxbp/GHHtfEodSHgefMSnPvzc51pBaCbdXWYf0g
tYEL8Bg/3Kt8eLswF4um3ofY/ohtyPkPr5lRie91h8Ogt5kcNfFTOQ0J2DV7EdGyods2CfO6CFmG
qKrmt6y68Z9DraFzS6+oV0YaCh6Zdwf2hGbyhnoUKjOl0rFi8FqWxHHKhKLOrMtnW3lR7O5m8ATu
9fKkdxzCOGmes5ktyZC1AfriR0PhZB6YKYXyS25ADT6pVIpEWb06RIprG32kRMIqMvpzmLQdXyw+
qOfSOKP8wHfyEjH+/5uChraWEf5yflMbJPmuujDqtL+Kw9NckIrUBGs5Z7hLSuKGftfBzRianRJZ
20Mi1DvyyXeeW59ANp7KnO0cal7OPKYh3i0n1/5oYguuqAh0Oo8XLosGMsd2Rf8AlA6T/XNiRnur
VR/HVtmvRyxvnZcUn5w8v0Ee3lDdvuty4ccqaaGa1GC9U5u9nWDpAuWZusHSin2XJT7Lt6AIFx/i
ahD9dLkuWfBpLDPkVnNMZNqkCMJO/VTi+VJDx1O95NgLC85vKmPFZGRAiF1b0bBkCP2mVM89LrHe
4vqsJwuTLjpghclb7wHkLbtEJ43WlygsNh7dcKfrMI3S3g9p1eLJ90PvCSOLP8hIs1aJg3G0A5wh
mFuiU9or56hliyLluNJFaR1N55zkr6nJucj6lFWkNOFM7cmZANdwJaSahZPJPhoFgioFOi1ddmOM
/gxpZFshR+IKvkg+Wx3FH4NmPYGS2xHnhDyT9Gsocycq77bt0ruGeU/NPXXTmTA2upJVFR/oJAzr
SWBamW3Vt0wmq9rzuMrMX55aHWqzOlbNfDvAqkjqi4GzWtOXDcLQoURC3tiTeTNr4iZNlEANjdte
0f/eE+d/5EP4/8g6IGeh/9o58PSeDe9fZfO7cUA+4g/mhPM3W/JYaT1kmh5pIKa8f/gGPPVvFDYh
JYAnNyjF/U6dMP9mmgRnuFgNFWukrHz+4Rsw/iZdaECPVVczQU/8j2wD+krg/H1sAGjv4WIxeVKV
KuRf2+o45jLNxmJbu2QIr8TgPsqI5FH7IicDsq6xP1vMUcAeLt0UHqWSlg+sSsIYOVldqk2aZDIu
Abqqzs2NOhkwVTNv346On0WQiXqlhoeSVHCMKH0UNh2mnIaaTTRyhWUN8YhmwdHmxf1pZOmxTWKd
TSFd2PEfQTSc2BxaX7hw2o3qodhLQKacShU3fCvsr0Xq0y1OQNb+zlV+BJLvn4Vmk/8qwC/G/lCm
J1djk7PqelrqkMvlilgK47vqLw3sQpSG9Ta9Fj+QodHcuHLL0InJCqbE4kbP75x+4/RjAn3P3uZy
G1RnXO/QbdpNUmkB1Rty497VnVjJJwZRaKmGK2N/0u30Xb6tqcOJKq98OallA4VUGzUR/+w6DOhl
+pFoy8LkVo3Etqsvkuk/iS55/tKTqdAE0ee0Bcktxm0SWRNzR/oRoTOJBU2h9dA9lGYWfp3/tKUi
I/WaHJPjJjQSsJ/DlW4Fu0ZtsUZZy2dYTDcVsNseD/oQdGZzrSvxYo8Q3HA3YIPLk59KbH6v/6m9
+FMp32qZ0ygN9bXmXMnF8CgW/TTXYbnvc/PYYFtEI4HrNgAA7KKL1TvGTkkwwHZJfTSbDglMs2dM
cJBNIvU19/LsYHqPpVVcJsegXUVPka8R4CFT7IKUOinohV9zqNwIKIlbVSVNUX5yAi+bJjevNJp8
1fL6qGdsIpJk/IGE58IBfKvdZvLzVmM49cYPBxvn2EeY71xw2XoOPDCj0j5706PIRtXfdXrWIKU3
tKwcMW7OB612Fdmp5mgo+nRMw+xYkJU9h04JAKQivFfWutyxNPllzvnCQsUkZn3W44b2YWS8/VgR
j6PJXGktUHXL9uTNmObUtvrI5Hmf2jYqYWy6u7LsbYpaj3aSADdM5iD3TMK7FiS/usfWEIFz9E1B
/B1NF3A7+NKk+lYTacwgtUnO0HwbLPqYkRx4yzSU6rzA6ptkQNXwx5n3ZWs8qXNxbOSiDctvss0W
7d5ScTfOBIw5Hhp6tnfTEBr0IxKQmxqeAu11H6yWzks5l6hvjy+0M3iZuhh2qJpiK/1KFPzrkbLF
GKKr0ZeuoWeW5nLEN/42YWbeGH14jNm3O0qaHzUzfITd8Im9ejdUkiofe37hhBzxvDqGXED60mxr
6X9Vs6Q8Vh1Fnmi8dcI3AvEPoHyiJ1sbZxgTBHHtUVQ3HPeGPCjRF9LxbEtRCWNUhdOw1PmZQPsx
jtFrwhCrcmNRlsxDUt9Flvr5MF0LRqKpUl8BBpYH+uvRu2DIv8Z4pNrUlu6Z6gstUzzxY+ysTdNH
ZpBTEz4MMmMTmqNvWMWyd7qhPZR1zklmwRccF+DoSfnWDXMe9AJUAsmuU45Zk7oL/AwOiIWx+6lQ
q35TONa5EsbEFu/JHmgTqw7jCxTon46xr/rkLjYyAscKg25XFjLFVr4V6a2XTD9nK3vzZiGCWgRq
PHVIZvNuVPIR2YLQe4TG5Y7hlSTjbiJy58GYjZZmM/8w6tbaZCY4G1EOgaUwiJEQ0HZeDyBsqI6m
ixYWuhNCVz3RyDA2ERer6WC4zSOQc/LGAxhlBbQwjyNOaOA+HmHAb12p3plT/VA4A91xNWdj6vmX
OnT5ptDqa4fahb4NF7IFM2CGxQ8iiSSX3O7Bje+FanXBANcrgH03sID7hS8SsHa2M+dsO1jGpYUk
6Oe6+a20WDy0XNmZYx/TpGs5Vq0BPzvn1V0ItRrUYtMpnu1ID2/sOATOVsdvbCSwbltFUFlT7XdV
n7FE0qCUZdSnrCgP7AhAQeUN/QHIAPucOY/u45mOduqM/4awBycnM9RO+VXm0159J+/lK3oKZNYj
oFChTxFXRNqsPARiU7ew7XCOik2cT88wscUJwuVeK+X9dAr0hq3dR1bcBYTaTZwR4l7ykA08n2Md
I5fY7rczkKYxM7eAfgSpI3KHao9Xlpju3WzOT3VdfNpwS3S9lruUA4lH+4TwHm7TOAwy4M0XUOrI
jV5JqcIlF6556R3iPuK1afa7Nh9vBFACWseIc1TNxc4e/SYlGKd75Skbvyr9sRsV0mtRqlILSo4k
AuanEkdNMkFTcPIhkua4XdrH+uMyjyFqTg0KZLbLx5T8MfEEiJwhOI2su8zq+MPWarGJMmLKlWH4
sQAQYXfs4kBOHwcrz569Kdy6lu8woW2wMzyZMRzAWHXEBrtle5779Cfd04tDozbfjajKo82kbuUT
ytJCp7i+pywyoC3X7pTsQSKTFCx2oVu/NUl79ghUhuqTVSk7hTYlp9GcDq0ioTG9SyGVidK245tr
Y8eXtkzv5zy5VUGWb+w8eqOMXm8Xvdxbo6bRBSk+YuIBn9juZ8X+qqQjcF0k0F9EmYDlTnAZtmVI
yddbIHPE12FrJqUVYJ4QlwI1p1NHCMiwc8dp9iENbYdQg8JT36ltGcxscqL7uXDvCClcLKLR/gBn
YxtOxlNmEstp8RJSfMcR04vjbPU3MmgHhSP6mUYjYa4aVFPsHbyq2dF/ejuXUXQTRnQp1SnlA24h
wlWan1M7avtsk6jVBRLSo04jGqZjW9vHSXcsdTjcVGCCZtfnrbKL45wYTLsERMvPwh5eUjNagkbz
Xik3Y7h5bNqaSXiKg0yfbynRw7Ua25Em9p73w0ol+oWp2J3aAJM6ivhwrjG8+9rJVZsFtAWGxMgo
u2MVUk5QRBTtHEUH5aiTbnRaSg8Y4iAu5296NxELQzIIMK0BFGvC4jD3uGGIB20nKFVZVzrfhXqw
26jzyQjU96MdqpuQZWMQwxMISPS3m1yGoMmUksD9wU5tOucq42tX3o5JNB41B49fZ+z03v2inEZt
sWdUsS5TNV9FYXo+Rt9zPKjfaoxjnpFpYxVJeKKtkXWXT9qlTxY0uvmxr8LvpBxelLx8W9jMt4n1
OI0jjIqhcDDp6F+LpR0UFmdB2LDksJpf8JjOU98ATc6mkkbJbF8tSiaCZezQa3QTSPFweub8qENI
DxRN2cRMToSUPlAOGNmNmBCFOdAkpD6XTvyCwaFmxSF1ocp9bMrMnxo+f7tLTbKyQjF+mln22ajX
xhsOoT5+aS7LdTcsiZjROmSjUnSdrfsoyq9Jjp6lA5J0Y45BhCLJaJsfRhO044Q4ludI4zjDyDlR
Lk6gbvVxwwnRGNsZaEKFBzcV+i8vfR7Kczk5QYW0R8aTMz81AYOYPCE2eT+RlA6Rl1gh9QQqNLaJ
3K6fczakEKs1muy6L/1d1cdvjkJ/BSNzn5Yp+TDdFGaTc/CySyXmO8ejohP9tOzmAnrtrs+dy0CL
3mPipj8aNztmS4mjsqToJXrzUIS8eREiX3WPjdodyoqlVdmGdI0DQ3sCXn1LMWS4TNo0UoQgRaZ1
tRUk2nCjRRSWxVLf6FmfntLafteyKL/lYFIHzx6GfGzIzUGHVy2ZOrarV++enjHhSbiUdaximnkK
hdRl+1y1kX07Gea4Ce1S3afRWytoymaYbNAbvKAnGr6d7ah/GBx9pwDMCWAmoz2tNq4YR1nqXkOK
C6xAZg/StHeF795uuMYQDIbbMRx3QzYfei8/59JywYWGtj0Cccj3a/V2FbtdY/40hc36nCHGithl
Ec9gzS7UD01EHLaciyGzI5YaxApTx7WZGik2hlR3ckcZ/FwxrnWouHvsCEEoiHrlXU7BzpIxENoy
m2V3McNSjvGopAm2NlMu/jjhIbl3oMeN0dk1kqu/GpJi+6RmEQmUPv0oQ9BM5P7uohYTW23GSM/E
P0wTha7JejrHeIyufPCEWhvrDZZOKrWLVIovWm0NJFi8M6vUX+6lZTmkCDNQ5/p9ip7X++aS+b9+
E0PdQWgvSBfHH/AY3sZyPNOH60MItnU2Fg5qHY+rDWx9zGrfkffNbaxOYgYAZteE/EU6XVRlIjKr
qTT1sTB+PGaFszw0WniyUsM4xVix0Pz8Rcnms9bJeqcM5Nha+mHBPfCLeei30dDS52s053MPh4YS
HWaJWnSPPU8/qDNRZxX8b+Yq99lk5luckM1e6W+bPAU13aYZB2/5YWLaeBhz8yb3OAgqhIG8U95N
BfjcoshsdGf8qAbaBkmzXppBbiq6LbBpnqortKBnZasK5ZP9Ahy2OftY95tS8V7kpsrTv//ze7dn
93mM+tTvtOgwd6p6dEzOmaFv0GE1SVX3oieEp6Cq5/GEpnZTFUXKPhSYXw91wjrFMM2OSV8+YqQd
Z7e5hT4WFZ13Y2XNrTGydU+KnO1OGNoUZ3R4HY5O8pvrZIbbtMtq8kfWEDOZjsZ8KUcaIUWene4X
WwgYHAEtWjquEvFqz2p4cuwbawlhR5TECexkwa7EgFmpLvk3vhwxP5B1lgp6we7LkJ61Juk3cEK2
UUaPihaeRBM9ZkgWpeddhShvS739GpMvrRvtbSWlk0HX76zR+bnaDti8tcQlb6KOJpUAUH3m7QFf
CadOC5jGD0d0UTosBtKmkShdEJeYK6XLM5dFUPk9u/iTNimlIb/lWAQRYe8bAXE3Lh3Aw9EdS7Sr
QZMNX0TKNWP3gexyWQqUB1OK/393BbiUCrXEvegJbWi656J/pyUFUX6AKVaIXYTtAcIlkoXVy5lb
qgmJxl+6TvMRF/twyCAvtcuEMiTtH5pwul0vB1WnaNa32YfT2ke9ZgaNayDUxOI2/QRxHZpli/ER
j4hqre5V+V273DeP7E9lMLFv1N4+nVBPXLAifuZGn9FUHvvQmTfUbl7UhDrxaFJpWaDOR45FKvqY
zclLxsJFnpxrJUbnk3aiu4dtVIhiJwdEJVkuIk12dRkvOxGyydDZBVrSb7NatuRThaK7VUCUb1Q1
/Vj9dOvbIbDPNkSOSsg7FUaVXC6SGGERLEjU0/AyyLrB9HvLoAbBLowqBkdVDggNCnbBqqMpEtKJ
DNl9jjNS5mVFuxzcmj13QTe+MnIXuu4yFlbza65hZpDHXDEY6nTztU5yx1+JAOvhWD1CRXw1e+O9
dnlb8kBQLL1qo+JLiF5daujQ0lU3OLiRHed1lcySnKdbP9AsFbNlpAQEPHyXd/1lsqbHBEtklucn
kzJ/kbx4dfpuLM1DFk9ZoNuUAjAbiaCUoGdrpEg6mpD1OpfVipqS/1RpOLNdlPnGmTiJ7alZdnTk
uCJAM1ExQK4D9yTolRkOn7aDGNRMEESHnTz86xQw2TSE8oRFBpB3ajjofa7b3rMcPZg6AITZEGTY
wxGsdMvGqIREsCmBbgWpWYgDwzk99zR0SXmZUN/dWThOMbQgmZlOQJyxZqjdAGfFvEJdTQ2H96pq
f6QV89Bv6u//KnuD1vvPkGh6lGtUUonfUHGxPXn7bxVVCmptJeiptiMdvBnmBMpkThOMZUPsiFbe
vl10nzEnnDk5l9U/toqGWRVe5TtTChxtqXiVg4A8tqaXfbndqZxPU1HjSLOO0i0V49FgN7KVcqZX
SWMmVz752Eti6I/6v+um9C+Mb/mJLJDJdPC1AW3Lqu1vnwgHs+fhOrR2UhPOx5z1O8qYFX90jrYv
p/7VThETR905/vdfpexB/C9fJUhzhwYwOnCmv/Yb0Atyq2yC+CqbeleGgiHBukgZuKNnFY14Viux
HEWqBcOjnPJ7rGP5En9YeNe6ynsjd/sxq2c7bp8j2LG9nv8y5eKm52qORHxw6dfV88aBU3/INYOs
XibUa/77D/Kv7Rn5BumABV+aCCBa+1+r7ImpqtEcW7tR58KT71xe4/Tre2hpBuomH3hP7jjnjzVR
BnwGDGGy+EPXDIQ9lh6yhiPLSC2yrjM1u6S8yCFeGkF6A+1XDnKz9rlYzJnSv+3MPMD4YyFE7ogh
iedrDfdpLhYkWWUrjyVAvI/1k/5fKe38U3T0/zSH+v9gxNTj9P2v60T7/r37lb9n/wQnlw/5o1Dk
AhoHKE5U1DWpFknQ+B+FIp3sKRcezHmXZI8q+3L8ETAlRaoRI/BMTntPVQ2e8M9CkUOrDhf8hgst
GlTd/6RSpDuqPEl/qxRpNgx03oezlrKwaPwl7JyOOYGKpUiJg0zxtpCbpZpdkxGNj4r3ncvNlCxZ
HXK5wcrZacGHOIId+THKLVhYW5dE9HeUJy7xz0Lx4Od6yx15von9m0xhoBZ/IH09YWynTstObyA+
5b4UGhjEkBRHnnbPSVFckrQghI7XCmZpFwW9NmESH1gqAhTfOpNxKuUW02SbspAVTZ8z9p9Zrt3O
eriLelPq2nFQTtAJhszwo3pIKBFX6O1yQzuxsRXlIcNJuaFBVQQuNKSlC1zyrCivhLrvF+2JLA3m
j76lbK3RcSTslq8CuZSysmkXn+Vo/0SOA0q173RZmGGqxC7wiOAXb0rKISyCshdVtOfaHrdRCLQX
zLEFDaD8AJy4oQwOtBZnv8uO36rycrOAHtqYNeqqUyN+GQiNwkAoEPRZcg3lXE/9r97uj6EUFWbU
hdo1v1h7UIKzEYAbFAhYL6yh6jfUtZcwiSgxSKliJlHTGgBC0TAgSIYnDVljkfpGJIUOBA8RM2V1
o3o1L3AUWc6nWB3ZhH4RDQU3T19RqZ24iCgFYoqb2dO5b55x5x1yNdVuQI5QfU6yBAKn6AIxxHRm
XQxmMivrfFpZRa3pfGskbDOanNr9lO5bBWFek7bGyk7ZgdRo0676VvbVsLGlKtRLfQiOdR0kbRHt
uoqFruZRvVFcDz27GJZNdWPTiNevkumsjNE2hB/MxpUFEpqUItWpSOpUpVSscqSriZY1QYuY1V0J
CKMsInFlUuuKEL0mxC/05yCRatggdTFQDA3gthFSWYJsZjeRvg/rqdqNSGox0hqAGyq45JG/TNf3
aFQ6jdBiEOMWqcqpyHMhMt0o9bqx3rWLuviLk/zUMuQqexhJBsFPhO8ZNIh+qVT/PGRA/AtIilIZ
TJAIJ6RCI7pflEBDPqzm9q6BENqaQLJYeNYjcDFjyTdSDR6nPLoItbOCZVc/W6GK/UcxWR0KPUZg
RLtsTAwXFDxLqWrGhveVN92+ZXsT9skRa5R2MkI63YFJ2dZaQhwroVQQprcNommNePpkIaP2Uk/t
EFZd2wAgitQaSs3VRHztEWFdND6dzEzTvYk8vh3MRvKkRnbI+SEt2IKD0r7D+5XjZuyOCcK03VbW
Lk1QuDQjxYwjIjoeJo9xR7tNnioH0BrHpMabtzBaooDOzLdKVGt7fe5qLCnLCxXQIOLkDbyYxJPe
HWzBxqFUq0e6z7BZb1xQKk2bsDEnBD3QHtwfY+sM1mL27dASZ1sfMiosoEkSjIS7eMT1MVFw4aTj
unJ1Vht64UyHJSWSys5+47hTeHObdsO7tpRPbTYdHRU52sk/s2rZ29ZQHXQnPrmT8TXAF+dU76gl
Rr3vGqI4UwTfArt/X2aCEbRSwRtC5osWcFDqdDCye6FVlBxCggfdXN/RfQEuB+QnDKtEJRqnB9M7
7Mnb3bHjfQ5tCmM6FxtgbKIUHp7ZHXmebd2OOzFHj5bsa2X0yrEJDfMEpiNmw0a7SNynN6UH6iWM
8HEZ5nyM1+1B1uFb8tJfkKY/GYfIWwky/UXHSO+mWh80c2RwhfaPiUXH44mWTsB44DqZC5VJDyF3
CRnkIIEDwVBPNGbc9KW73Aojuu1o6ndrRdpwiWJWtbY5PlQx0aS5qCkMYa04pDO0yRmwae6niD0M
5z1Aw7ehyTW/EkK5Rxg29gCwi53miqc+8ZbbjMY7ELrtR+gs1nOcLgy6SvWro/cmJgPOCgLHVIfr
78YK03PjYfEbnAONlZLXsPTmc5lSoU4hWk868BqRWhyTOMTlaxvnUVba6qahFTNeOGUxfxWOdpns
wr5T07EmbgDaxbIy+p9rtb6ZDDUFEpeRm+vDwKYNyVbpLZrJTbqPYNbvlspubvieCQq0TVD0EneQ
z5E/QMd8FIYKb4BalZVYzWFQm3nHepke8QZtpCl+eS/tlF3bePJ+YWAIPL38Sde/6hFsrB6E4N1v
lNZybuPYZDBQ9OfQwq/PRvamWdLshKvyGlffkUs5s1TA5E4Auya17wI10SlMu5ymUbFlC7/FSLbr
4/lhGSqs5zZDa5ylSODj3s7r05TD65syczvS5KtWbws7PRohFH5dBx495nUBz8lg7sLs1vAd1cCC
CGFYdzStexKQQq1Gz2FHGs/9DEvvLkwKvFr5gzIPj+2gU4lNAOdGhmgY1kispWF1qlLrSZOFooko
+K4CoeUbhW6c8R+LA4jC6aYuOBBhGAUJZNXnlHFzC8bmpbajJNBA8/+kOF52WvmzDEHytCq9g+Dy
9YEu4Ui6OxeHqTZ6ukeQ0FkM75E+oE8dBcfLko3vhtsa29QLY2hY3nyYMRX4meGqm7x256fMFc9a
ga2e6/zWIht3yACHBaYXYtNq9m3EtI7vLjxNyhjvokVcYrh01TyQ9+qa29lh9+jNgE6rAqpo63nz
njnLCRJFsh8bl6hWTJCmp4VdHYV7WsSx0S3z58lIsIBHnCGKPb01A4Wpol8YF6s7zHjionujdkCi
eI+go55d8uwbV4tVIluMLLVIr4Yn6x/t0F6yDrdD0zTDsRMGLjEdXLVTKssZIin+u2q6ZyHGh4B5
ZzvzBXbC92JrL06z0AjDxV84uMOtQWCimWcH8qUevzZwkf1BI9ELLbfaeWFEKqVTycsClnzHgss6
ciAAGdapuNGYVRjnrUcaBne3CCHWfR8/d+08UrqkqTSEVCiGLRNO1oj4zAV65dppj4KM9AF/209W
jeZNKTzj4C7aF3a+o0hT99Ql/uxo1b5OztbABMt37RuyPctI/XfvzNGlMEnvVRE5dVxMKVhF0HA7
+mojiHrJPY6kEUMADoM6j7cZ1lUnJpgx593eRHHuYvvspdq+8iLOEwDb0UQdt/pBg9q7ytBPoPoK
iO3OtvBwXolX1iStXxWsqSbe9zhZt1Wt+LNdf9BDcuvYIQhKCjM9vH2YFyHOc/iRfe3eTbZ+F0cu
FhjzI9e4aoBsGVsVUpw+oLDoFQzbEqsxK5IcFH3z1IftlRYBdH6hkjFoh3xeCB3MFzYXgV15XMAO
rF0tkT5fpPmlLN+ygvKTLgu5Sade456OI1QwqJXVzb4fuoe0nvsbfbR62rmGz0tDBwg7zG8m6M/7
OLq6Ih3P6w+P4iKNCbsedPWcpMFv/1x/jUrQLRQeuP9vv/79Uc3Ce9QNff8vt/z1/mUY8yo6PZBO
i/u13vr3f1HD+Kcn/u2/672aOXGOGoNuiZx0quWPxIto0PGfvy3F8vv//nKXOMrhrKwP+fNx633W
Z1h0lVXZXx6z3nF92v+tm0cgfLu0BSDG4jw/DW1cnFKAYLPfyV/Xv/+8Zf0f1R5lEeGxoe8V1Uil
Lk5/3mP9bf0f1gUPPdX3LOY87ACUATwr+Vyfcf1R6jRgZT7iZex85D4MyWXAEodAmRnSflh19a+6
wRGcukZx6gZBsMXqBXhAHbCgqI7DvPzjLWIK/MdvIeaioR6wM9BAYFOOWg4XfMpP62+K7FOD7gNf
spSYQsWgbCh/0Fgi3o1D87K+FDBnaM5IooDleFEFoN5pvUHJBCVyhfYU6tRUpwgjGReCU5Gis8gI
n0QN+Xv9bb2dtBa3r/9c/3bw/h16l2lX3vm3p1j//u15/ry9bJfp2CZZuK3tgdmJDtLwfaIaUOF4
0ul5uZ9BEoFRll9A52rR4meVQ3e+GiPNKA9pIxRuL+TXvP69/tYoYgi8JUM/l/dZf5h1J+ugEW7u
9XCYpauBECT8mM/6cKAWsn4H649YHpE//1y/JpDeeka9q29SfDHyi1t/rLf9+ef6IDOu/nErQhsz
w/r3est6x0Sj8Bhql9CmpC0iWAPKZPsw73ZeI8uDLrWxhdYMo/HkdbSOSPPbsQ7vTO2dCtmhWIab
2uYQFdpRd9y9aOcDe8kDTeq3ZarsHM+gm/dlmYtbJnBi1QNDgPYI0fbQAHxSLf1cxM/AIYJU9faO
Up4qwOKVWb4nD6qin5t4PuCl3dtuuI2a7tBZza4zyz0C7r5Rxx24zDrdwffYpdWwZRi8a8w6cPRv
UXy3S7zLTem30AOyadB5RurMWEcE1Fq722MR2tWptnNYzxU9/jrvTjfmQPahIATQ0OVylrlS0q17
yruh2Ea9wOShvBJCe4Nh8zBMr6GKsY8tb5qR0ej/g7ozWW5cS6/uE8FxABx0U5IA2IoUJaqbIKTM
FPq+x9N7UfXX76prRzkcHnmSqdTNqxRF4OBr9l7b8oqy9RkwbIp70LrMD6VTHbZm0h2mpL10PYWg
3vipwJaaJ7wIOpjidQzlHhPdYdSNLSz9vTC1bSntIwHWW+IttkGi/pry+bkP5PsYR8el+dR7Zrhh
dFS1lJFqwq58oSOYDkMrub+ZglYYR4vRLSx57Oduq87atilBiFcTJPB0P2I9y7KHYeBRoqwnFR7u
iMqmBdVlWddgsW9DXj7aCIOrqEYyRqx5Fw9P1MGnlPCH+wuQ0wuJ4aWZbRfhHPvJ2pX5+CfN1CdT
12+NI85FLC4aLpompQNLEXpGrD+L7lDo+u+JZBzRhocs7fm9OFd2f6riHnnRuA4s9QLbUJTRbupq
HzevmzF9tXQX8Ou6dPXc3iYae6bThDDN6LIjySa7TNH8yqrXbFkhb6Nj0bs9EJOXENd9iXrSFKh5
1NjX7BXs3IfaTEBQaluZk1YP2q92psdAqx5S8mpUO9svSnFyJv51uRzsV7tL/ZIqoDAtEu9fo2Jm
yae50g5YOxleJ6yDjl4zNdtdWVbgluhxw/lAx3Oa9ZsypNvY1g5dKC51upz7hDSaEPQppJQuxon8
GaEBSWbDbYThtr0fOMvGnHhjQHpRNjoO0UISs5phHQ27ODV6dixsbWf28Sm1DVQjz+jLiO1i2Bxa
QMoZN7TxW59Fr3DRsdwgQpmzXS+1Qyq1PXSHY23rnm29FwpQWkMDqiJrQurNZd+MzAKUdRegajXa
rSXDK8mku7R/kdOXNiPPbLujRepHNGleVHH4tP0mnNehHqzrur2IIuTMjH+Vsf4wFDzuYLZ1wQ3F
7U6MNrcBpeY0H4z7dG/o9qPOhEIexGhdE0IPUnPYLdjEJ214MPgKjA/wQwTvxpRd6ahX+jQeA6aA
FC9sYJdHpbX3qSQeO7fxj4SPQy08gha3VbMbmNVrk+Eaav1gN92LqOyDqK3rUsl9Qvpfhcq0s5pH
BYlqH/ZEayCErbcVUxUT1gNBez4nFE0pjN45fUgJtrWi76UDH12XpG60e7bl/GiJqmeKtISPUT+8
I/M+aFa2UWtlU3UaX0G8xFJ7z7QJh6U4jQuJbGgeG+LBMhHc6mh+LBPj1cmL9yTraPiDbVfOryT8
+HdiyoASo+pKHPzTIWVVlgkmdBMjR8QbdndWSOoCELKyAnatw4uddzf6hq1aBX4a2/tCPZJbuYts
Es/R4A5WeA06Y9cyC5HNEUPulr28V2Q6+6Bl71Sc7ol8TpXuokH1T5bjFPAjFsWtojlImcA4xnJR
+BGXGleSohJhnPiBGm6LCloh91umR9ssd044vR77uHBTNNK4doHdpg9EQJ7NwbpSvl4C1X4ZguBZ
Ygm0wmJbwvCHRbMNlOA04NE0UjzLdX4CdO9LcgqXnqFHp+xSNCkYvTyyhQjhQVg7B2vzaokIC2u0
L6GA43tkMKruoiK8Erb5YBbadsniTR+1fh4wkDS2ESW/AKJbL9NDwnUWq/ZDH8QnqOAsSskpcXrS
3eLTOCaHWZpnIL03PcK4hDvQs7RDeTfSatUmuur1SzzWm9ak0UNdKwTiVy3cBkG2FUu5LXRg59O7
0gzbMX+sg2VfabYfDAvPJ+H9XOJ6+jLH0TmrEAVkSPoR2lnNTit7TpnWNQc8C2rnLWI+qVwFwTDv
RLJsjPadMOhnUnbc2Zh2DNLhlhTXMh52OiKk0UBJobS77inJjC2qC6wenJulgqWicAO3zLvD2D7l
/XggtftaR/JkmvAMnG6bQnSqArHujHavZvTlkKayIvTSNN6jQnCTLniD9PZbhumbScxB0BY7MaHF
s5CtqhVHd35d4vKGT/aY2tITdn0qMt/RDnXyLAwfZ/LKGR/tL6u5jem5DthKQtN1jeq4hIDGuo+a
oEAg4gW30YMUJKjr2rlwrgYAjlZVz6jurzCAH+s2e46ncAeRh5ZE26jJA/xeR6+2oYwo4+8T1yG6
VXb5WlbBWs2jdRBBco6XvWErB21OTjbnyTyjEmYsfJKlsS7JHrVE7o9KtAYSh9GTEyFYvMgouZJB
dMWay3dsyerDXopzWMeemgFoTxkhKp5mTruAaiLwja48xobhdpipTbcOT1DaV9LsYSlZPJYoMeWw
N/X4bMhro424NDHQl6mbpdKXpFCPWuYCkd9M7bSjH9uags0CmEvJ5DLi1O/yI36KLDX8Od3Hk7kr
h+qqw8EP8+wibeA79p/EOcvOOCut2EuRejYxUXWFG3lyg+xtJh1SRMiG8sa3o3Fzx2QymJ5zCNjm
sh7N/RSQBhBou6KfT1Uj0UFV721Qf9I1Z3I/qZRdmClsv75H/9T3M3x2Z55ogdMRfRvuo6I4zDWP
+Fr5pJt0Y+sxzVqvJt+nrwrm4JOXTVtgM7hCJfN0xpWA0Mo08mvsRzCWvUJSfoW7PuKw60s4DNXW
WUjcKr5skEqQzN2c6bmJbFvX05MIGl9DSu/YATmGy0XzdBTtlfFotuJgsaMpjWBXFHyjAY1zWHph
7gdWe0EpfZgQsSrz9AsJ6NVUyt2iviRps58jwsH7+Tk2l6NpM5hljmkm5lpPBIku6b6RDoMAY4da
09UXi+Xw4jIBY8z8ECzyKLvXoquOxMpyHqX0EqOb5foaQgS+G9UPlGlHmCEHO2dK82gV91wpptgk
24RYNRc2OVN3HhfVU2WJz3PessVAMxb4cZD6GrB2qXB8p09TrvohmCwRFqespvgmW5WB062XjW8E
hQ8/55yV3P3RbSm78ySrtwm2vh1gxzIjj+3exragq/cfrTZsBkJtOxqemudiM0LwmvcGMXkANlxF
UClzcqiqCgFavTUJsnSsxNZS8Q8H2/JN1fqdDMKtJi3f1L+Z5m10AakuiQ56Ml+jrvKWcDryBVml
hHsRcquAmCpSHp+j3+asBBuCG9g0DK0XlVCVrXIzOuOGCFGEmahLIuKEs9TlKtssRsVMbYE87mxm
u/Lq/pIxy89J+CyQYRn6dBA2kUA2ENvU2BidgkQm3qSVAAtF6EKfu6BT2MLVt5KH0bS4cTv4CiJK
syv8qVhcPZk2lZVyJZlHgtwOWse6qvCHMVunwGcHgWB+saheo6eJBL9m5BnV4o8bEz8uqxVk1Ity
yxJ6FBvRdE7sidb7vcEGSqfGb3cc3wx7AwTXOhr0fVcqK1TW/qIL8C0qe5960/PCi7tNhAhVjRRb
rXJ1PHqWfTDaGC2scIm5cAPD8dmFDZiBOY/3TCphi7NDSSsXzvkuypC+juUuRImyTGvHCTw9g62g
q8eYAJv7y0aCyOKh3GWi2+d/4jH3yLgJwLOwCfNbgraU2pdWs42U4SlSo7cSal9QiXNtUzZQ3JYV
pzhdY0XAcX3XNg7U6u3kTVDK8ArwOggLmJ8ny/JqjV0QQs6hZY+WECmT0+A0vAgsKEScbHoAOGSo
+aTOzgisJfUiUJVTIJczJnF/SBtfz6xjMLd+ZiDtnr4CciPT3tmLpnmt8kt/b48EunsK+L5jru30
92iMM8w4AvIa5pTyXMrkHMbmxYygBtR3Fwc3UJKcygFYzlRt8jbiaG8PUtc/FGRw5qpmft6ouh8Y
C5UvAauO7rNxJjIZPN1AERWZfjrejzFzw4R/m9jihPKGmUa2MRWqpI6znROwSMxNosfuPEceNcqx
kQe1KUHkxiejYuOrDsghVdYCpkvch986rU8LFMXadoDYUsluW7XpXp0bf3K0zTJXmzgM/TALfZCK
NC7mlVnAVpLuMaBBLzia9Wh+lrX0AI+iUM+8HilQ0TqrfPwIMC2lmt+n5qq/x3xAY4JZD3Xv1IO+
SbIPW9N3Iw+spZd47eZ1XNRAlpjKaPpWYr2LCwCUFRPUZnLvbx7qVGRm49oYRq+qkCXyla37eAfS
dDwwo1UuYaWBz3N4oHYEOBGTrRS+SqVP/Fzg/wx/MFwlsK1YIZadzgCKhVS5R4iYCPfnw59fovsn
C5MwFBvb/moqU0Ipljzn7//8J6QI9/VDoCyumYP2iWNxZ2uVwPiLEBrSPFr+z/jjL9OQ//jcfzVF
iYfos+35RhRbo/JmWb8JplawlEs/Gk1Ld8bIdOj/D9Bq5vJrDAwzPxBGSeqMWUtkk9+20huU3vL/
NmGTLbnRf5t+4emCKl3atE1/n/n8jHQGg+bdtIpmI0pYtEY1sVYyHro5575u8JhWXT6+hZZQV5lF
4OY4JOaNrBysaPXwFgEtgFyQDRsMovmjbnQveRngIJ8pifRKtMA5DpRtwXEZLXvVE9t9KIMIEbg5
NG9xrnBhhoW1//ljxPIoxXTyUvdTfmojzGnMrUBDJRj/jTrLdj9/rQulb06BL8lvwSnb9xhYzzTW
6nkZu3dH0rCRtpQSt2Qnfk4N5U1sod6sxfTnxt5FdINniyDqm6KHG6syli08qtLNVDRe7bAgnKO3
aHRFv6ZtRr1ixpsuHPE423hMTDWIj1Uy7FBij0+iKDKi1KqvuBjZ3ywON0U+EkiTy4lH3IMBoMpj
2pj6KlOKLAYSW/MKH9U6fyJwBPQTIwLNVL10mpRnfe7+aOPcniIVvyYgDR9hePCeWZhxAcq9jJlN
EnemLocpHzDDgoUKA9rVTq02HQa3Xt4D1LCyEnicc/AZDDgjPEpq+iudXwb8r6HDruqo3iUp+1LA
qDrOJHa1/hDvhsJnUlDQ79wnpaifQaqzPD3bNloEtyOAa1KI+ToaBXJzepwyBj/J8KNCVVAqPHok
B4aj+djIiL7QngjV9KDi7x3Rsb/kdQ/GDrD0hayzuyVjNzenAUUG4unDUgeE6yHLSRZX9lhf8tLr
UB8UBls/C38Sx1VV1/ssecyCksVxghVu3PVZsckGrgVH8cqhXZtZv1NBPGhkk9tt5ApS0SoNq1br
zj3lirp1sCT1RYEkHsnJEnmphcWujbYKk5vYst1FNN7AToVhLaPAeZsPrW/9MenG2a0gHH8JuL+N
rr3YRKoUC7z8vMGXmG3AkHkmWRpFE24S6DcI6ODhRiCCWsxKH7LDM1njW5dts01R8rUFm2BC3THN
gbj9qHNk3AgWPnT9wpDDeM+DdySsJp7ELt5D/YFAYtY6RsRDqDIFjPPNiCFKqW6qdqj0E2FVvLV7
ZXYn9rExp1PkyZwhm1faMOqf8RAn0XNjXvhe+DG06W1y3rTmmQcift5oZIimwKbrn7qCk119S+K7
ggVTJ4iYzLS8DvgJ0WdsWOHG4b2Qn3yk3qilSePNlAdcP5qxtxB6NeGrwX21j0sgUws2PWEfC23e
6CXQv97EIbmpSHElcpxKXa4gKe2mSn5N9rxnbv1NQ4XF3laPSE5v2cOo20dDksRanUci91q1e6NG
Yr7CiLFG3Yi6og1unQqzi/k9+BSruczIgsCXrmT+UaXAebcGSV+yfPsxeFLmRylkyFi/W8roAuXd
P6+jDla3XTJuF7ZXKM0ai3+lZFSrZBL0af+YqgsbVp1k6LdQK7izlYu0PgS1Sjkc0ralMxjJk0rX
PV0oEb5Qfa1ne9aQ6DcHe5ngpNSgymJ/iawtfjwMCHPvlkxlbbkr2b6LGcuioZ8cs3yWpU7DnbmG
qP1sEY+hNm5Feyil4wMs2y1c/njciEhxXpNGZeg6HTD9nqJy3t6z1LuNGQLTnoaVNZYrk8642nDM
pHJL5l2B7Tjaxmhk2KHnC911jF/yaei/Ks1fNL9rXgYO0/DxfmurUMj0AqvBiPfmOxLPiMFD1VlV
D5byEMiJfNCHjGgXBP2/zHQ9PlXTGjSKrLaGuuv0A8GWJXiV7Bbb73byPqR/Eu6PVmhuVeS+bhjn
wuaeme/ux3CLtfbuHEmxf0J7VofnmRo96bJ11t/0YdzHLTeuCDyEXN7QaWxJ5CoKz820nHrNPmYY
bKgwBiXwCAH276MGRRpveaG4KfmURYq2tupd492oVyo2Q0LoqJjXWJbJkO5OwWjvhFWenbj+xA4q
bqrVfKDGZD/aPlTW8qBjfC2lAOGyKnhaDH3z1GDe1EfFp/3AqFVsCIj01HBEMmNwNScPPVqGAT0C
e/9NFatbiyTN3r5myanPOcjb4SLZxA/WrZrJp7pzoExS9Tgcfwdz41xJhwAOYw0TR5ghPi1GsC1x
f1LpyctWtBEzXW4c857Rcm6SWY9lIfvlWNDn4vjLqUiYTu5/YVSpnqZSHpQcmxbHMMPW7OQspvZL
VShdiJFSWRU34QEEtolowYre7NQhbYO/YdbIcRpHVk8lXiK8ySJag3W3DnmPGMvSwmqfDZbldmzp
aNEDjIltYD3XtiYedGd+Msf4IYOYfHWatvRr3QTAOFagortgR54WgAkzyU6hEJw7g16/p1lPLnBR
qsel1cKbtZCFPlsVwW71k22aPTGE9q8izsJr2BnKI4NbuBvFrpwjYqEKJXtqkiJ7ituDmKL6+vMZ
QwDTnFQbMP39v2WDaR+rLLwInigYQev9bA3OiWhw2oL7RzRqQHRMrGuzYnyygfrqKcs7L4NCfj/1
778KJEuHdiacDZDUs60gAlsFkCb29v2Xn49CJX3QjdrZ9koxArA3hm9AHGwnE+KgTTVq1xKH+brU
yz9VwRBuFgpyU107Vvdffj6aMbitsjArPfI3gXgvBqLArlE45nAMgkw9cV0wWZADJN6RCO566Qg6
teE8IwvIJzYDLAvaab5aPRG0KYv/9Y8DsQjCgQeN4lPaNc8/n6IA3A3J1JwTAhNxJD1POkHbRCzP
u58/agqE/nzClP/zxyru/pZ58T9SiP9vxd//pCT/P0QSQoX9ryTi27L43Tef7T+ihH7+l79LxEH/
6NLSDQIeJCihOzDo/0nEbeffdIwSttTxSRikZPyTRFyqlqkKvAfSQNZNMtDfJeLavzm27ggU3X9j
EMn/iURc/ie7hsb40cTxQqoJXgfxl5QOSBHsi+CbeE5W+OwIXVlD3zBA/dCwTA52LIdKLXaxNGFW
L49B0BwGJ2CBdugL59wJotz79Nyr8TmO55coB+zvDKeheHRqks6wpgFp0OzkkqezGy7xaz8O76hq
riAMKc/I2cmDj0pd2KxObp42X6XNQdIs7tLjA8MaqhYvMSqVtIpYaxoe+IFHhyD5XMdnGf1pptM/
vHv/hRXoh6v2D4p5NsLkCd9V+yDtTUt3/sIVjK12hM86kJ42g5qMyK44Ljz1VkiE41Bov+EWIyEf
5RW7ZHhCRFqwzqZ1RVoOQFC1NqoM4ydC+JzdNJTnqGheJhz074kw3rEyG2u+osrx1UWPcY9ObzZY
GIloIEFMqPQ+U7ZtjNBapbJurmrqIaAd93pUHnX1W8/nYWer6iVLmOJrsVzPKqtfUC3QS9gUNikr
zqIE8yD3EHijqFJ2gTkAg2v1xG+ImFwVQ3Ff0Y/s551Z4QFRuxwaxYrIq2gzy0Dep1zYpMndPoim
px7rTfWam0hHjURx2M0I56TDNTMqM3rgezm2LHPXetg5+1roC7sBrOQNiAKGCc2DNbHaoyWJEGuB
OzAJMcfHE+ag+BfWn6191My5chsnTpkBDmDfh+W3MSkfuhmon+UMvPPNKdC0K/VRwTy8+9fv9k/C
1l/ebZwY0Lq49FXtP4XBtVGjQ1maAjoEqKhT+lFGMa1BwO66EpgaJ2K157Ke1nSh77YGESBN8g8H
mkaXjdXVoerYsfxfL2IMD06hPOWZdWuzvr0gkkce3RXWqm6WP8P9gzK2uwcVyS6ga+fJHoV0oVnX
7MIgTsHQvcYB534/OyyXNOYkEamZ1UJhXtvYEcl98sq8wcohIFR0C7QkE2vt6l//RLS/4jy5/i0D
MxzHwv23+8nzj8axyK4RoTlx5Cs4P1x7RI0DMSv02Ux5im0T/UHUpD84M61jC+wAm8svXVjxAxYJ
DyoSWYw9QWU4GZi6EqjBFDcCDKO1rzLqVPpgNCd5c2sUIt2DPHd2o/3Lvnt7DRYOTOqqzX/zgvDv
/bMJxgCXhwtOYrSB6oa/5i9nXNGWiIabUAeBRcAv0/OO3A/I2PXZ5DL0F0sbDki/lWr18yE2GGBR
1jTRrgXykCfoAqLKQLzZdXtlmkJ3NJIK64nSuqzaCk8D12w2YCnC7iy6EW7HrGf4Hyw3Lp1HqWh3
b4rY9tFcboziTGX2NJr5HbFStb5uDdck+A4FPFsty57FMviOipi+iWng4aoU8Bk7YFSldkOn4hV1
G+6T7BbMNTHl6t17Mol9hYrCr8cEnFaYLURn1DVdYrt1Eu0tXOwvYVpPVUDXW02lucqS6Sm687di
rO8ItiB2/q7g8nSwj/FXbKJ+PsK34JzInhPLOkFRw3SQTLf2z8KKcW3WpNNaBoSmTgdfhhUiycdi
G98TiOs1G2s8pUgQokUu62qIvkIb3kwL5XFDzMTDJAbMpaVn3xEUZWE8tmObHvHyXvooONmxVLd2
FwfQ4GjgFfkp6tCdhhjah569L3ae4Liu4nU3YTlK8iphH72Cjv5Wx732xXAZ30CqfzFO/B5Kiz2U
4xKsfk+zOTMuQ+rQK1i69eGctjWBpuKT9cqmKIHXYCuJ8SCFeGIIO13rqX3UjZLO0unEWujTcwVS
CSd5+0HqXXUXXa5txTE9BfUAPIQvQ3bFLreXjqkeKnaECAkuaBvdsSub+EmSyTpwix/GpWHIr5Vi
I1ALrBgM07MkoX2sRctqNEKKpEchGFpI7xmH9iHVmoNcxGfH0gHIZrMns1i/LE3YeUgFTkAkHkXI
FIiuYB90I4PaiMUzhJlJU97aQb2i+usAwcFmbg1fQhK4ziYO80Cc8+gR9XTrOcTl2jWUsRzJqOxE
yuuss93c6yc73Y0FeHQ+SyM9TTEc2REAPNeHIEIBS/PvLgbsYovanRIx4qvG7F+ZinUwTCf3eoZz
GKvBbM5dl2wGkjZrfHOgeUP0NHFyo5H8XegMmLuQ5jTo6u8gD70ZXNS62pUNu2cxEgM1vVVVRco4
XgxTY3OkFzlMfV1s2oLdmZF9DQ3C2XlmACaSjoyUcMZrTbTiuqD5wRdE1DFjy2myiFSYHb938JkO
itfosKeWzvmc0vFRc4wD8nckZNa7epd3Vd3syhJVCQRZsS2sYl1HJQ84ZJdLJB7TWIMaXXhW1pY0
lJFzMu4HpZHRCZHy2zZ0lIaRYJrGRTW2zezGKq3nFOBGq9P7MNip1npbHpVseZS9ZHnjtAgxqotK
juraNOTTYKEumyeBMa/nrbdmqItM2bmAQk+MzVOtts5hrlTWCc0+TLe52sWHWcsZ72e1XPH4+x2z
/MOepwImTnExoA3IwuSVvuKijszXIi3DG4e0edNEzcUcbyLQCJid548mmB/Tki44j862hdWDMe7a
aqp3I8g+pzHaZ7VD5rslLC9pO6xL2bop5tBtBrXfxo4CEwXgHgJV5aQEckeWLniVFE8dMXQni0rM
C6rYK2tgQlgrao/4hbvcJ3xHnfqU6vFHqCnaitDfXa3DzioXceu0RHlIO/0iAVOu8l4wrZrX0h6J
BkALZOkAE03CeU7xzIggKML+Ih0BQUkP9hXkRdcJghzoVdV5GpXWClZztrH1Vmwdhhy1TZ9cWOGp
NrEfFD3MAQZNHzDBTHa7IHFjrHH978hAeacRlDWK8EMdp6dcF4j6jalYRZa6IjABZgJpjZwNhbmi
uqOGq7QNmUiROyEb0xBkaQgsmUBWQPXR1SOmqVaOUuBRs9EksVlfZPyoRNZvYoyIWMrR9m6csGUO
Q8gsLWUBESoHe9PyRi9Ts4caObqBkvdUHeIUxHdYLXT8oamKTd8lxHcgQTTKX1ldTOu+7ygxF/GU
Tt1F6e3FR/wfouEvmc6VIkUH1LtjgDAeEum6SCz8LUH0IkbjLdIZ7qgzURiNsD7DojtqpfO1TMBw
IoVFVppHMIKyYdjoWfuckbMJvE1+jCouHN2ERo2ISATHxAFHWWjGWr2PUjkRCW0J4kdDsksJl4R8
joU0PlU/KelHgdcDELuRudNGgeU78TPV2PzU2EiDEC0eE2dDgJzrJ2ba2WYgzCtYOG7RKH7i7oIx
350yYX6xq4Pyb2i7AexFoHHQhkYl182YGmxEWWQg5mpidwhDbW9G0WNY4j+zIr81ihHzqH6bzOOo
c/OVsgYaN4Ai7Sr9S+pkP+jlJlfGb91qnxOzPA6GgkevGM+ZicegYSIXWEXKXSsug/YbkbSylkZ4
NLX+swlnd2zD7yY+1CPsy2nTcluuyQuNVlNq1iu963mj425bs0uiJ5pmcastSCPToDyBsuBQNIff
SV4mjwM+O0lEyjLmkAxUcXNIMQdIqjEbIqQnI0rEjpk9JviXmFXjvMkcVCpwQtWKRD8zQAVgpr/v
mwTET+TuYMipvyx0PGoe76EvUx3rABaxRimW+RqQpzr3HOx2vllszAuOKL6F0uzmkmlrx18lOydY
KWV0nDLWxbZmgNwsE3dg6bJvuJ8YyYZXhc3MpoNsZ5nUZZCr2qllySH8mkbJG9oGvUfanJzwl+5k
7xO+CNxpeb5uhOz2BSvzWktGPxirb7NIPmnDscTgtDFgumkVsMfakiuOA9QWYXFt7QTxA9+CNf8q
Z68ipKdj5q8MU7XKzfHdXsrXluiBNC+RTc/BCaXZa90UlHyvDlPSNQ/CcjVW4oJuigoCO7Veji5R
3TyBNR4DmgGAzkpxNyLS3YRm/xqr84tVq4xoiQNYO6TMyrHDESeGi9rHezEHzkYVPDpxmcu1bM2P
zuZP9qA0noiXZ8HGVwvpBMQSvk4Kc79BOgd2sxEBJXtFPLAFd6gUS88qOC/7hIXEqDBNN6S6LtmI
8Ri6mubyJ0nj2EvqfjsSk7eSzQE9GpywO8G76TUTmdD4qWBpW1ua+lynjbIJ23BHHsZa7XPwcY24
IRmeeeT2r5G+cHyxtq4USzvP2WvfN3yXNUJW5C/WyB5mnicu9fJqs1xTix4xOP5b06G46RysgjRV
+J+LbRrPX45lXJx6AU2bGeiMNOukMfyeHRw0WoEDtLgHk9C6bAaLo6WxearUSgXufHwnXPRsltp3
a4ods0S8bHmjroPmFyxMNMMdhLRymjxDJNciGKG2AfaIwWxiHB3Xmuj8qEX+05CcRACXx3w1XKk2
uhSjIJRexs8Lgavmol2hwl3KrtX9ROqbsepJjccFvWWPgIZWO2GvzKjorBczXFCMrdMhcJUUeQ8P
i3sfVLiIHQ96EdF31AGlWPdhh623tGS/DAiuuRP0L8iZIUDfoEMWVXxUlnuPek/iZfDwoeJ/Euan
IbDD2Zbc6jIRbNbwOZfKczAqx1wZXsXIrW5P7DsCa3pKu+AQ4LONYiC3ar2PreymlO1v2qVbHcL2
DTp8ZljLcVU1+WsKz8+OZs63ScV0wcNOq7VL1WogKmTFk4fIRny9xUbmyO36qQPZxsi64oXnk0IF
HTd/ULrCBSJx4gOf6x7JiV3Vf4bW2CKC4Hk4osnrnBQqU9tcjFb5zkz1Y4mSvQreNhwL0hBmsufN
mu4f8q5aQ2VPv23Si0ilb48ddVPc8vCD5f8ncKqXjLaPu31cJUv0GyHAPT/GhcTD8zezT4AD7SJ6
K5J2L5NI3pWKXtp1v9KGUAIFHLAJ6RTlHDzSvq/Xhlz8NNlWqEnYWcUaqCH7U7fmY1LE5yLvHplx
PZXJR5jpyTrv56dkxtgyPOQy/rB6/WNxelaePckt6keLaDK26XAAaeY2OqQMH3IrPzOr+DPxEvO6
Oc9MXNxcULRBkNgXpAeviedc90NorAalTfw2uBMbMuPRrqTA/bY8pBEhY4vRybXudIfZDgOvg+7t
qZGJQinft3aIs92KTsK6r0Dq5pLn7U6lVllVtvqVFWjmMvuFas0CORWidIadCR0fNFCwfE2kCasp
O4wp4qLkqbxWOu1hjnk+DMi+f86TkRZ4bVMDLyV+alKoI0Pt1mqUHzFTsS2NePuHonedpANmyGBH
AoOw1cVELY5BYSLeZ6N08Tft3yeZfi3nVnqs1XFcs98gCa6Aj0BUUT6nlxQSwCZrE4rLxOssmirs
+jcUvztdo8rUtPnZgBC5qdPxu7Smlz6PXum7j4Na82hXxRUX46oztRL+LLuAlNhv3fDtHGFVqY/7
BI7TemF5Rxbk5EpjBkzc1Ey/EkSAGTV/XU9g/JV61fbQpo1/Z+9MeuPI0iv6VwzvoxHzsPAmM3JO
ZjKTk6hNQBSpmOfhxYtf7/NkNNxVBbsAr70h1NWqopSMeO8b7j0XtAWpVB9lCtnCmOpvrcxvQVxN
m3CCB7ByEjaoI6bVgXBtXfz4/aFPXnfOQCOGU34lk3cMHX+YQeC5P1PbxTQ7jcAj+IvRmQHA9U+Z
N0qwEhyehluAxSBfzSxe57pDiaw5F9MdyAP0VReS3spseh6M0kbgYcJzsJ8SHx17pyenuqJ2KBve
grK0X8iwY0JnXcpxZrABApzRHE0e+0OjzJ4X132EWXiNTO1F93jpIPjQjmfbSLJS6CdsGgJKU2C8
Iie8l0vws69tYyOTYd+jkuI1vTLE/sg1h2j35e75/TW2y4PPj8AZo1OJg29LQjeOop5Oo30YjKec
9QlJSMYHi9z9kvkxWUF0bDjEijXSoJu/UNwgydrIPL9VTx7crcUQjD5txX5jZcv3m3iMWP3fRRV/
dEm6b2IHewXyiIImT4vTX5OZVaGMRmaPw/gmTTwrrLeMdVt99p3FGdN09Tr3031AM136Ob3cZwxI
l6OlPExNNR05ac9ltnxMRZ2uuZaeasdw15lb3spleB1bAAgGu37LcJ9Mz/kwbMily898idEkD2Dq
PJn+0kAujwvQgXSuf2aQIk2xPGdirvelw3WRLWuIl4jHMUtk5nquyotj+C9CWkRB/xisOV8HfvKr
jRMgjdhCk/zgYexwYhqMVNpvyYIbaX5x8ZOt8MnclrGn5hn0rUfeEh4VgW9j9t1jLmKuYN8p1vpX
bbIxBm5GRyjOTLDfufBxRmS2x3tbtqsqGijZhp0rcX0XNf84m6aziW6yFjwzSd+Bzs6jr4kAkNUg
2ifW87esNJ+sOZ3DkaCXjelse9f+cFMI7EltEjPOVdt6/U0ujFYlLQvuTYRl1kddNeg8dCRx0ytZ
Pz8jX+fYr5A4v/3+1loxHwvZoE+y5DHIxHveTUCWqQfmj6kyeJHBFGbszGrDdcJolK8D+e3ANGra
3+nbMMxHVHeQzoZ+n/USHu+EKh5l7SyLDu8dJ39BcnLnxutR2GhbvS9f57eUVn5LfOB12EBq6tZv
mae/d4P/YU3+zu4NDs1pa0rxi3l5uhqZljAg8fm8MIuLwQI034g1KFS5MkteQy+YbsG7rDE7EUlK
YmzH2LuqXaailrOSJH9FFcoIicgf/Ss51hQGjTwTDepzkXnwW4DOhHp8qzvjhk/NZ2YUyYbBMl5O
mUlv60KelCkfHkD+fuPEyUNkwcdGL5VHI2YRgVsbfR05pnDMuzQFNoVUP4A1L3EFoYr1QzM6TbUR
U3PIiz9YwT7T5SOhUdM4dJsmNt66FEpLNP+wmyEITd9+KSxCpxAT9hUWApjLu27U5doLrhBh0bIg
5Y7Fd1233L2tm6/VTOVleNo2qDV937pgQ6oCpUAW5KHpsXGy7PQ17XmCO4LXN2ORB1RWQFqGBShL
ZRuP9G/WcemwuDh6stNnYs1HzyUSgRzNwKvZPDijhhjLoNVYvCeOQ2vbEVD4vKCYyg35wyc68JzG
43AvUdvO8y+ECclTWS6Sl/KxsAt+KlHOPdAnyX4KAJZPs5G91bZN/EUVEHI5Ghl2f/66UV4tIZOa
cQ/3r9i7PrHIok7pPYtR+1wqNQuo0dlPOnPzVaJjt4+RkCKyCin4qUNaq31uWXWH/pDou8pv2+em
rrR9kDQwkWr4iBZCeu5dyBRl9hlz+xjoyA5e4cUnr6dKnpuHLkYtUaSQgcpIc8+Tnz35YVSwbSod
J9jMbBkZmzjOOQNYufKa8kIAMo49Oe0iM8M+kEtAwP4g9yI2sqPsxk3qBs1HQJPOhGHQ70wYkBZz
lp2StAjOk5TMMwuRvPgmE1joAdbZgp2/Sa5txvZGGCKgxRPLrZ0MdFrB2KJYz7QbsZbOyutN9zPi
vtHkf/1Oo3PEo7Hc42QuD8yptN+wytfU168cLeVP3df2+txGR7eTjGg8A91rC7g80YuTHgmO85ZI
BEdWDWmWTnDsmZUzaikeDPXl96+Slr08PaBLy8fqLm4uwtcZvPYgaC420qetbnlgJMq7VY8lwcii
uP7+4tlTSUs+wiTvy/2kmSOUcWHcISR3JwKSf8HmN++5pb2TZFSdpxmsor9k/aFDZ/RUcj4+GInx
9Pt//f4ineQaTPEvS6iETT5J3pOxPTFZYNlG3BWqP/Wlb57gfuZ7Xfj9cyXzH6Zomq1jaKBWBxJ0
WSFGt2KUyd7L1aPN3yVCzvjEDJJ1lZ5km6A0sbpIKNKyClDY+9WyGgfBuYA8vlsVkn9FkC4Bc6vj
7cly89rlmBWAY5KjmfoTCdR3V9shFuyqXFzKXKB3za1uncQUaVRzXegLD/2vnZJlYZaPmk+HtOja
HdclYvzSDLYFuttvXuZ+poRobG2NinNxeIz6FoIeuQNptPT3Vuusk9eZ39m9rNldGA/cjUgbGWdb
er9cpmQmYsWcs70vIa4uHhAttwAwG5HegcJ9Ab2Hx89JRHDIAyT/zM93TKQw+FRtchnB1PtDe5Y9
49cmYM6GcCP0awbUvNh3YjGwwPilRLGeEp8rOTIHbYiOA9n24CKQm9cqlbFlED07/SMgVZj9iGps
I8mP8Ff9CxrVoNa/NX7sHt2YIPsR6BsPUxKElst5SVvt77tWHloGoyd2+j4I9ObZ6CrrhaoDV3s/
X8xF81YgcaJ14ZnaZXLkKautai9EZOJ6dXhYdH+/+MFyIRTgFyYncPRzkm496FS7CRESLrK5BkLf
/kr4ia1S0wM9ZBLYaGSt3FlBetabPD3NxHsIa2A03w6XKI/bS1FpZejFIGBK6uQGa/Q9dh5/v3Lt
PI8PbQf/nSGai3atgCPZtgDiymqTssZYWWVxp/xHq96Oy8lLWhC4Iut46hJCS4N2BxRG7mvfDo6x
Es53Qmu2mlllDzOrS8kE8xR349FHIvvOMOsYpPSkjSawuFWeBgeHaBHmNtMlqIdXv4Of2Ivui8+6
Pi2ifh1cV0E5F++RiI/iYPnc+s1MXEKkfwTF+L54XU1UDdkGuLrwuPWWduxRO/GUMAP3a+aQkfpi
QlEGX9GtRmmjX9dKbS/TLL/9/pI75U+DG3zR0ZbjayRomVcAiByJ6EF3hi+1iWdbXxU50mTWnUdM
4OD2pvUU+++lWIYdA/QM4T4bfu2KWFhsjBRLbySsc5+RZxb5frLPOrYkk5V7O9E3xmOiZxDquwtv
BYe6qP0HE7XuuiFvhgKUI3dm5oKpFQBrao2PPB2QfkvMXq7t0tFnS37tLXEWCIiQAhj2CaQr2CA4
w2KZ0q0zD2etZOuqG2Q2mra8pZJ5rn0RZpn+wrJpY/HLMXtuaNfq9ezExzaqomPQTaFB/7VzDeM5
sRcsxeBoEOxFWN5EUoINaowd+xr6RTRRe20wfo1G+7NhaLS1LeDJdNIuZAX7CTRx2pXmXQeOuqPP
P/SFhqPLvOZ1l4CNzTYJWqfQwPC7rQ8scN1dUGcN0AylnCKa4mjz/caCDajN44ZHs6wvdmpu2z5I
7zWXsS0tXkEML5ZPHgfuHLSS7BToHqxum7sYthtId0Jrx6NV8xIFkL9ixjte53BS9Skg7yI+La7x
yHvXsZ0aze2cWMVD06ffa+YVu2TKzF2Nxz9yUBvrmsA/IYa7EeW3cSmOx0ExkURmkDgo0EtHHDCx
p5zy105xlOIMgO5EkZ2BWJoVa8kcGCbZir/EWOjQtiS+UVcpPJPiNA1jcyy1cZcBcLIUyQmjFQuM
FLgTkCeJWSXrvZJS1wP0oZ+E4kFZE1HGMZGogcVouHW+CpNhdeLnRzMuziZqjTON8qur4brs6omx
G4aQc76Q7ZPaornPZfm9mAFTdEnw1XfZs53FwVvQ6ZLMkJmld5TLbTGSzx33/lqIAS8T2QP3tmBU
nMVDfi4nDAytne0nW3TnvtHJNLGM9WLDOoIe6G5cyAmQavBPF0O+HyA6r9COl2+QyTWAlD3ZSZHv
XEk8vJRNbn+R7rBKmb7VdR49V8VsnbIG4mFWMzXplh5bpx0XbIR2I+Uw27wg/bYse8KZoWLZRo5O
u/rVZGgX0sbVMS+IbT9OzRd/3bclN+xXMdj3hieFhM5leXAIQ3JZKG2NBgm9YapQKythvmiJmVE0
WQk0UkUF5MyfSQEqo97epzGm3IAYFjgVg7gN7KAHo2V9Nrf5g9C0cwTC58GF7bIodXUHxQsNlkNL
OkHzH6pNHwybYcE4qo2aCNO2v1teAHrMn2C2VZxy4GTi0FVEtxm0WwniLVest0RR33idD6UZK0/z
PG2wfZ6gvGEbKGlUpmyyj14UQHDmvabdvbklSGdAjk2LfYfDOwrHUbZh1ABVlEi9/Vlcp2DYdR2s
ukBR6wiba1aepe9iRbSrFdtOo7kwFO3OUtw7XRHwSsXCk4qKZ4DHa5Jho5sW5ZTlD+tIMfRGYHqg
Pz8NFroO0819Dm4vALvngt/rwPDhpkZY2v/YaBkmlZiXBOIMh824kMSrOH69IvoJxfZLFOUvVby/
SZH/0qYptm08x6cJ2vc6pr7iJUrXvWIG2ooe6CmOYDRRINlzdU8lJ1OXTMOeUSivoB6aHREHgXgz
h5oxr50ayMMR82eMd5j+vwvm0vvMoNxKmxg3u3VzZwswfqD5a7/pHObLsCtIfqOa6A6tgdJ4tgKO
NpRTbrRbFENxtKEpijF+wCdXbTN/0/hYzIwpSPbsezadisrBMjvT7DPrjonRacnTgR0L3YyEHVMR
1JLfoTspMhGva59cFcjjOeq23owo5V5zEnvwQELQVyE+QsX5xIwjubBjaHHiZSTxp/Qq1iEYc/LS
2HIiN/fKGut1NbKw89vRvJe6JI3CTHapihPCRPZNmwgY8kgaslXkUK/Ch1QdTCYJiUStiiZyxDpW
UUV8OietJryoI8VoUXFGhWujIUqyq2QcB3+D0CNLAS9zFYSUkYjkqWikSIUkeSk4sHEhiEvsG1KU
ZpuBK6wXm0GxPzV8OFDFmfICN1IRTJIsJhx17AtIZ2pJafJUWpOKbYpVgBNWnsdaRTrpKtxpUhtd
nbgn+E+vvwaVAdXY2IoR/mKbVQlRQmVFEekIxzbnGGr6df5eT3LH3mREIs01w3ZpQRmPX4D4KUxZ
CfpD1I7EM457h2ZxXTsEVvkkV/XK4dA3hFnVKtaqGwi4gl7zPSPxylHRV4wOo7NFGpamA2xlb6GG
N+Sa0H+SI6XCvtKtTpYWyT79ahTer84k18rTnYtYaJQZFkRMvof4i3NoOlCBeqFNREropY86yV3p
xDDCIssrVqFeFjNvOL/MBsn7YrLOqJwEsJ6CJhsQMOJyunkqJGxSs6sBFX7okSAWMajYeBNLqNqk
OM7c5g7vdA+51GGQw4gj8NWMD3fZSk/qg8/x76nAMltFlyUqxCy3J/bENRKMF5nw5vrBFvtraJB9
5kFmjFGE4sgt1hNvdKj2v3lrDmFbhM5UEKAG1czPZuBwD1bavTdRa8IVnKBuW2Ama1LYXGvXkcnG
DPMt1QeMCt6TYQQzUg6H2KAGKCdVMcmsxGLg6B4NigJjHtGEl+PzPFvIQ+YW5giOhIxAM4FlnfRW
C2RROi27ecThqHZJbFmTvRUwdY1pnwqjSV6I3A6ZqvgnQQztdiybTx9NJcM8OCF8ft86H4MZOXat
CrQzVLRdS8YdBMLkIUkBkixIIxggl0QVldmxAwGKPIK0sdnRdhR1HawEIvS6hofUMUB6uCpgbyFp
z43eNT0RDzW2HRXE104os+CkbqKW76i3Bx4wNiMRfHJXTaI0brE6/iRo+knDaHJIyQo3Sf4TKgIw
8Yp3e2KFpsIBDVIC/Wo/FFjyh/k62Z+BXt6EihQExffWRm9mgeXO7jEpGVp0A4jKfBcoiZYlYNxJ
KPRY7BPDy1bH1ufHfDEe2W1mm6pADEpa5qHqradaRR6m6gcCqRmfhQpE1HzjfVQRiTZZibkKTVwy
liAUg7908hSpPg6WClgkCQI5m0pYQUKL6SggiJFbI3Qdxz2hKotHxG2cnyCFUovoB0VWpZRnxYH9
hmPnODkLYgBmEgnpjxaoMAKEK9xu7QlS82PaZOnK9WLmJZla35kRJEUVKIkYZTnxgBwyhWNKmgnc
gY/RRO6XtD/0I3tNp/PaC9kZHSsbd7oHjDOZtEfhpAItxUgZaFHCeM34UajQS9wz87rNwMgQh2m5
wwtyW6b8JGV6JGYS0frsqQhNzfqpMwDUaO82rNYeEGl+pRZ8VkhLCMyI4YzJ4yxaD80gCZ1gLwsV
2Okk+rfaRYGUWRJhIDkOfdaiySXmk6wba4tHzUWSAxc8u/QakaAT2aBuRUWcLOaxiqc7BpatIOhC
9gmAGO+brOOf7cLH49XGL0ZI38VomBtPFsUpeNQRoznQvL/NvpaFwitalFemvoIBB81Uh9HXO2RC
Lna/1fORnWUFfSlnH9q7+TZPoNwvlrNX7fPZsJeXXmCBLUZ8e2nB/jnvf+CgxILuabwk/sz0HHAv
3V2ESKMpP/1GD269UufxOqJnZhiERDPa6Zb2c9Qpz10PR6Jp6gj2iHMjfdz49IR5h9TIVMOuGaTU
tTzPFFqh2XJZZHpCOk62iIck165TFzkEu49Ut5g5vACps2HgdtcQ38DIhv8Zj4y8kuDG8W/tUxvm
ghMQ3wjo8sBugj+WjZou1TU+o77hvJ2za9MNXzWY79wywO2gZ9Fne6M3dBVab/80pIuLFJRRmL5b
ZjQ/s0GP6K92fpUGWMEJ0Wh0J1v5vTFvAhaTx0roVsgVD5eqSR/HyvzWu4Js1KlFDZTm3nUJ8nvn
1O21SKEZFelaL90aqHnvrgbQMGHXDCQKd9jqRPAmPd04N2ZD3rU5022iRVr0od2MNrCBCq5FNlgf
acKOLNY6m2xUhifTWJ/SpsLBJYNvOKGXLRLsJzip5nYhVWPLKlf4PhBb7AH+JN9Qc60TUvv+d+Wv
8Rdvgw39k8YXK6sTmLr+J/i9WxPpSUlFHVaTTJPDFTf5MeAmWzY5WsgykNZ+sVRpoLF6GWcYOkBd
5oImM86IJTQzbiYZyG9M+42zwSI00EciRVsE37//qP9vsBnSQT6zhviPf/9JPNLQyftXnNbVH9wy
Pmkr/3MGwyXNf3Q/4vEPGQyG+nf+6bAx/+FZBHHzHAY6cjSXx+CfDhuCvH0P5bfLD98nrhux+z9D
GJx/6KaDjcY2Ld/0CfX+b4eN/g/0io71fwxh4E/W/MFigE6L7T3ic/4Apuv9yVDiFbDjbSyxSA5d
fPG8g0G3IT8B+QpaqpQGtfyI4zRMEPNNeftoGPNZ+NTsuu+D8xbvxMwfpsUBqmmewGNfaMpIYxvL
5wiK0b98tFSfMq6rf6MWe8QBPvT/8e9/eWMQ5OpogmymREix9D+J/2vXahwI93DuPYoJ9A5ZA5Gs
emzt+CpapMPL4+Bp+//9mxp/sRyonx3uC9O19SBgd/tHywFwForQFMSjCelcM+qwQDpXW+cYdgRD
NUb6INb774Dpw4axxfiQF9aTf3AtdqNLuhl0l8xUt6r+5sMwlC/gjz85/lw8UJAXCSF0/xyeMXW9
00lYxlvAAlsJpauMtUsFbrhH6IxxZqHJ11DBC9/+GxfS74fiz9/a9DFmYRtz+KpyPf4lvscB1pdh
wO22PcpcpKoHyJornDzX0deZ6UeJTRtcbmQTbdxaQqhFNc28Jts55AbA2kq+oB060HsIMO/6m0+f
nglxN2YJzXF5r9Hxjy+T2z9k8FGsOH0smb7RxprPDN1XnfQBqJOi5urroGecqBtg9XmCs4y7AqMu
ZgM9eEkNhE9+snZHGja2k9PivfjS2Q3AUf3JWFUuAntAithDdsRKKZ5M2NfOC//6vfFRaLanvqNN
cGrS4vvmAHsJa7cv9ph1GfTX/Bd0ceb+w/Q83vnDvdoYW10zoqeV4K9d+TPuTdaTTYvAQJJFO9F6
NhAaVsP3v3lG3b88DC5GIT3AxMcrrLx3f/yJZKZuGgX363Zy7zI/FEloxPduOiGMBy+pdaEXhYhn
ChP5xAqWXP+SJGv56gLLDDZA8pDvxAPYvpV8MRaEC8+KdMKq/kcXrOhX8MezsMajXUNU25ByhD0m
q0NzDAP7GhxzRdi7leA/l12RAZSi+ppoBeO23eCc3ZjNdi6/RfYlTVHxik3XrFx5Vbgsd62leAnS
pzx9KMz15Fz18ifwxgHgdaO+I8CnQcPftC2qQwMeodvC2rC9Q4TNeNjK6mxmG6lvi3JnwGgiravc
uSR+ipCVTFI/jv5hZhAASkO/dSmRRYexvlYV0tsdjr6o2wT9NoIj1IQ2PbNOSb0y/ecmhRq4M7uj
3sBdl6cO2kGADvzYgNNgteFjMhg3Xrqf+fs0GNDtUybWWgRMDXbYbUa31xMRuWvTKw9d2lyAp83B
vVu+0c7PyVOcHhY+JQJhUsJ9cZOES3Oea3OtIWKaqCaZORnipgfbfLrI7uROW8tm0LLuP5NmPXp/
d5QYf7kF1OMTUFgyVOCK0tX//y8v9ByTBVkXfr7VnVMevHniKUBBDFCO/JVVamkrdyFtzEc+LR+Y
3GAAM9epyfQx7u/MF66Lme8m8JKu5NxBf9XaJPQNLy4llDY/VdoUzq25pRRFOgOEaVob4s01TMJk
vrCVr02L3en42JZxCEcXNLMeyt7a13Ts6PIxJ2sbi+d1Lr50JFpyYINYfHk0kSWt65LnYWRQ+omd
pBObCnIQB2RZWy1nd7Aru2cHMJ0MdXuvIcao4ls2fKDk1PWLWd3m8knzHoMCOtWejWyeb8FYjh2+
odAH6UA3OBZXpjDMAkPgM7ZSrEpSLitzK1CYWsGjFVym6NEnvd3ZY/9c2hd9eLLlm51fO7D0Dppm
z3mz0p8DRr0Zya3wAKxUC+opWFbsLVPwj1q/c7pvM/L4Jor/5sdrkfP0x5uCAXDgm9SZ2OYoHP50
x6d+kiWOV5bbVlt+zGXfbbzGxP5VWQYOBOyLUdMWRzvVeP5K/apz7IVzpMSnUCkNKc9mUt/0YX4I
xuDDi0BrdyjaIscc9641Hp0++llM0dkx647wk1IZHH6KdPI3QOyz3ZD0CEJhMwl0K1Um491YGR+a
r0G00pK/yUWjSPrzfU1NZZkYYRw8wxbX9p+e5Yyj2U5TaN7ohlsuCAKfR4041w5Ta9jbYqER/SSW
kfyzSafPnfF0TNGIhsBl6OM2x2nOkIvXHP2N8wlkl1Tu1v7QEuNB70nSibyPWUAv8cqF1Nh2GNft
iCpLyw9J7D1qtoBXYoAPqbRDkEGhDqxlR/SIQUxksOlzfyvN9yoGR+e49QArDepvVfJGEVNTZLQo
RblvM2PjtJBPLwUUYVyxrG+KWEPxUe8ZqT4vfZKGvtNupmYByGtlNMs2uae8Ueh9wJoxBGCQyJmt
E5IEL6Y8J8SfAvvryLoia9ObnvUy32RmHtG1qukKqpuq5bcMFb1ixTaN9aFID30LgqODVcz2k8wA
chmcLgoN0hwuHREqZCx/1KYcQ61v/LAsmmAVsBKDbiRupqabR78pMTAEWnEa1JDRTw3nWcLI5Geg
VSfP/ChVAJap+9kdA29Yyy45+wFh2AzDHqPCMR8d039xYzfftwhP4H5OE+wcQjAxIw3gdRHo9FrH
dW0jZs00h4/VEYdB19wjh9CWTt6/ZdhOHgXaq9GwztUi0P87JPqSZMVeHeH2BnzrNbZwLMKJZ7rY
9W9WSablbI2XQVgNa+d6uHtLO6zNZAh2bZsA2Mzya2LqL7FVGB+Q35wzP6FV7MUjkZf72rA6xOPk
KP5eE/7+1TyaxGynIjlrWU9dMqRf1ZyNW42YkA8CueWhiEblRXPSrcmm55yRbMxzFH9N2YiFu0m7
bRIjS/JM0Z6JUHplcRhts7HnwqiTH9KXkJ2ZOjORSORmcFxtC+qkXftBvsaQAP/a81nniAzAd1fu
qi74jNqJvMeuxu+Yb/smC3YGwUqkZB3tkt69THpUDP0TRRzDS7PjHbeQHc/JMXZ7AEWy4PZ1PpbC
RlNdZntrSF5sXcowAW66qmR1d6Z8CpE+ofPyumBnCYZdtRMfnMqZ17+nEyXkVLIq4aUUAdyL+AOB
wrCJGVauECIOCJTKYKelFXtWSskpIfKloPCoIgwRc3SzZ/w+sGtWpBy/kbR9qHSUiwAyXgXGTkIJ
rWrdOYhrtOEE9PAsCu5PxFHrLEfGnkjGDpFz1WqvWVdxj05oCYLtWCMg17Ivzx8F7NmMWYKwoMp9
tWPJeNZCWWTm3T410jY0C+OX1Cdjl03jeSxVWVFAbkQ1a2wKHjaIRk53LGbzETh+yh1FeKehdk1O
b/Fu+DaHTZPH19nD4pPAXA0j06GS18uPjp/TKUBEeSzyqUcpp5VPdQ0kaxwuwcTxw9qTV9IunTUM
qc/ZzvJDOTNh41g41uxYAdAZm3wItLUuvVtUa68l2dwrixUJbiJ7PWVcnhWLpl0UTfemkx6e77D1
KHtchgtWCshtWXYRw4htPHJlgCjbJ5YKV4v6YZuC0VyRj0VN3uXo44h67UYU6nWJyKCM2zffIYoG
vfSJ89rYGL6vROZlWMUF16b1nOHCYVL+NuU6lXEMZe7LziFGmrDLuhLPWy3sE6tLGCQlkROkC7ud
9UqovKM8sAqW1sutk4/ZjrV2nubuDh2FxZtF5O2wALXz+LqOo5zsmplDUvSyZ/xJBZg1TWiwalqG
5thCHdiaURFmGkSBZmicdRGJKYTkpJWkGSX4GDrfyLZzA2bOpqcIs5ahAJatVdNKLCMm30XwPDPr
X1Bf4lJLsLwQwTDAsx0HlMb9aYlwfJmtnEKdeNaVDEwcO50NPsztGchzwcbDc0CuDxLEgXiKgWo0
c7sD1t+9HWjvRPjk4VxRoneip0rGaJA2hyz9/V8gIHhEgj0JJIDc4y9V8jI3+J00MRNg6Ik3jm0M
iOAewtQyrJDWbmtOqOo0oMQQxNodvrhDyph8F8/jCyUJCS4z8GcEVBhxB4CsLkGNEIjHTVy3MMBt
mFGi8k4WktvYRAG6LD0qH2neAgxMGrJ1eMccyRAEDmzxOdZM9sWubT6x0/hWSOnsmXVuGtFHB42U
YZ13gdO/OvRWw4aj6ntixY3naDK3OtHsPJufjoy1sCf0XHejaEMvVAIU6t4lyojt0NrQHO5akvxE
CAMRk9IxcQUdhUYLyXaVj71M9t3geutsAuxRdB6dY1oyls69KSxrjKZ9SZAAKlM8cVsEb0huPT1F
WYrt2ePSCFA7KWyccsazPllWxFCbBiBWpF7EJPvtxcFipGlpvy54X1HD5M5mNF/I0hgOjK27reU3
uyoeqhW+seiQTJPLhmUV9br1YMeRtZ4zwwm9uR9XIrbwanD/0ngiaXDPRlkvoDLZgiWar+98O/re
ocdRw9Zgb6Vwz5Iv3Si0J5Kc6F74WCFoacecfvFaOJNHSmbgnmSRnjLfWvlaOx/mAgZs1C3GERW5
odhJJE1NRnIa/M9A2jlB4Et0Gj5dapCzhvjw/PtX1NmYWbTH3sEznOiDx6m/waeHqxPX9tFp0OFM
erOZpItLNNDuqMe7E/bk5yQ39UNRd97l95eccvUSkz0OBrQncb1gls45oR6VoXwY1Jffv/r9pc1A
teqoaq3ltbV7CKZoen8hGjX0ddbp7mbAZXASXbyEoF2IPc/BXg86JmfqoL3eROSFyiw9Vx3b8dm+
mGlvhnYlYXXWHty+Bvo5Ul2OM1mVR0LCOW6nJWL51S4bsy2hptn2xk3zGva0F2ydhNVqWUGDXGVc
uQ+J+lLo/c7M4/qclAAXpjaedq5o2fi7zanWJzrSoPbXcZx1V/6ipJEFE8KPIVhrIEbWJC0ClJSa
Qi3BK7THDkKDFzxVQ6w9eE1yyjTCMfU6/zEGKr6pT7zVzGBqnwkDaTGvJ9FdxXOV9ws0tHZ69+Pm
ZljNBgevCcCvYgMYFCcy9tje6S3KZyyitzhxwNg0wnhg+j5cOI0wPRIEnUvgOTU1D1wBeHvED2AS
Hr2Pgs+AKClS7GeNozoQyyEFoXIsK4m0bXI+5z4RaA675eqVIwp8jOArs09hROQeYlIiGQIZ51RL
Bfe3g2QX2iYnrcZuevaqLHRYHZLNop3p6Jaz19hIOgqyg/JuuZTSxkSemPNpHnKUUEZ3Q1V7xkVP
+SW0jxIqyn6Usf9QNr33kHt6tc8y6/so350FbAOtJQ9J05z4kOCca5lzrwwy6TN1RfbQPXPH7p7H
QfKMA1lPnXYMS9lMT/DEn3vw326Bkt4bmJiMUWxvM66ClCQ79BTBpbK6u2yX+FAxEqPsBzOQKbW4
jWzcUvrxVCnJg4npmExRXIx0vTNYOi+KF5IF9Ff2XSjRk+8snGIg6+lek1eNDQQgDWM3KA07NdjO
wY5vwnGJAxmE7az/6JFxFrp8W+aq24zjStPFY6D08TpCeaEU81Z0EkpBvyClT4ry0JkWi9OoozkX
W0MQdQbupUHHhBJ/QpLPy752kej3Squ/KNW+h3x/UTp+oRT9kVt+YU2pN5gG2+XWIwgMGKF0GTxC
r/Y9WGfinGASAMR3lm37boKrX7XCQRRFLC1N6tsy9Q3jKLbHi3IdRO8+FoSomWHkKVcC9mgGUJL8
QxYgYrII5S20ZtNPZJlH9vBrxnGoXA42dode2R46+e4BE1FuiFj5IiIzvQXKKWFgmZiwTtitGa+1
vDybE1tO5a6oWIr2ym9hGeKsY8BYlBMjQV08YM1o/pO9M2luHEnP8F+Z8B0d2DIBHHwBSZGiRIoU
qaV0QUilEvZ9x6/3k3Lb0a6xZ+y7Lx0zHV2lhSQy88v3eV4VY1KshpmOz5WiN4qoO4X8rpoKEQfJ
jQ82qIr2AKT/wZZvzxvF5fZp2GPfJazwkoGJ8KzmYhtwpOi759Cc7wuAkgiwhBu0VTzBVtghxIms
z7yazLwmnToArnFZhzhU3ORlA62iuBUt1C89IEsP0LIYJdsGEJdYsS6Vol5AEzYpGMz3l3YUGePk
NBdVgb8gzoVuVd+R4mh0BdTY/b0BUoGOsPpafkWWAXeTkD7uarEf2eUvoDkS5hpQZ1bEDgW6Z7oB
SBdkTyFITwLaIxXjQ0svE02ejcA/sWA/lWi/ekUF5fk7+1/i68BCQEMJN1iIDZ5MgbeymlFu4Vgn
SU3Xx3K1DIUiZj87xSFR87OxhPYLyEdbZYpVSpafJugSdywfzWhfSCev+4agUl41z5ZIz5WinnLw
p1FxUPkwfth6cU88Yti3oFIaG38/iT8poz0HoFSwKTtLsVVcWg8cGn7aBsYrqjxhJKL2BfIk8kfF
ZsEq/xKmzQdZlgSc6MAB45rAuXSFdYF3eWBeicVXERzCNYItEhAsv0xAYajNN64ZuL4EFysVN+Yo
gkxXLBkTi91SLx+Zosx64+J5JU0PAJ1sWTJFo3nCvWsBiyOFqYGrLctjpug19fUqhbO5bNXMZqen
swFoLn+Wubqwfa4VB9cBxGmKjNNA5JxmvHergXdg5z1RqPugSfsEe3MViq5bFGdHgndfAN7ZAHgJ
IF4BkNe3fAwrxei1wHpZRjc3fp9Lweod5dD1BWAfTNvZUKQfiQB4WBLHDSEboIbnCijQlGybFSU4
cKagI0PeVZ29tgxSi33G9iYCLqyBDG1FG5aKO8TSFisOcclq6owVrAuiaHVy3c0kCUEXR8Uw+oHi
GeOZGWucvzJVRzPRfhgtW0vX5bExk8ac9XomP8tFAevplr1tvxKKnUSLxY9hw+worrICsPQUaTmD
XHqglxkIJstaSVYpQaBgPo6K0uT29n4A2wxpsmE7/4XNGBZqGPn5aQsfubjGnvg0ceVDTiJRPXp0
MCkqFDzUUZyoBBjVI3kEhAa4AiXNFVOKu/jd0bVfRmy26xCFh0+NLgQq1xIaSCoFX7wJgVR7Rasm
EdyqqQBWRbJ6IK2tYlu9ch1OHTZdfKWORgGd1MKcuYpJ6EqRsYqRNYFleSRuptlkTsPdPIEw1weU
3KaKsM3d5/ybuC2Xj+9femARymmrkytwkvdpeGjRiXOZQl0PzwhBwOQmDqUHo9/ecYZSQNqUrudw
PurmAu2dWGcX+QbwcpZsTRAsTv1clgh9WolY7AvFEi+KKi6+8WIwY3DjGew459FUgCFX5P9kyrBD
c17lOL854MqEziAE9LcCjFkMR971+Gf1i106yWqc3uJCvyTFcE6BoG1gaAkULQrN8I0UKpvLHYNY
XJiinAoUSb0optqiZyyFoHWt+mdvZTy3oK9JSuOvCV6KZde0uF1tBcYBXClqOwXf7kwO1oJiOg2w
m3KeX4kivXv2jG3akhzuGB8G0ZdblK98TH0LSHxQtHg0Fq8mQSPIFyLu9psEK7e66iRIEPvOgNGt
IYaPVtjaecDo5BwT0HRt8d5al5f/pgBbLxS/bimSPfSmjwG0XSjG3VS0+zTAvaNppfkWFN6qmZmp
C5iQoLIeYNbJwOYb8Pl6WzItoDFiQ24SXoyjSVi1n0jRnogw7RFaETmljSIO4Wv1i6Mo/RYEfcX8
/kUD4K+0KyKhZY1Gm5s3EH+isEp9Ld9pJuQ1Ux4ABo6QlJsKPUCrPAGFMgbYqAOQAuEQyJhyemgF
hFO/xbA9zWRWSnN1N5FApzWW4FSGk4Bx8obWkTmYNm5gP8MDEuxiAGuSSNcSNtJjWjGToUNvjLmp
ITx0mkf9cUaF0KJE6MbgfsIbsEkriEKKcS2OXrmz8pLbvG23JZ6mOvK4vnXZeTU1fjXKq5nvTTeD
GHweAO4ucD/smSboyKLZq20Wes2WrxGVQ4bSoULtUCAdXBFwGQjtsK9R/oeAEfdqpuvHN5BD2Egi
OmWLcJU3AvXmKYkRSSCUaBBLRG02+5ISNQzGYK/V0B503g4ROooJLYXkZMvKEz7ikO+3uXKI2M+E
RMwHmyPP2rC5z3Aoq8zkvDbi+clU/guXmLkdBDs5ZNraNY1ryJK/0pBmtGA+G095NGZl1BCYNZRh
YwhaYu9OdFPH068iiR5tvbtVz5NB2Tk65emQytixFNguEWr6S32s632rzB49ig+itQioy+A5gOXx
de7GXWe8pgFHXdGO42p0rDcsOvYKSyT8vGZ73CuE+yquBuQKpPuqbM+HIFwNwwxkXY/PZd++ODqe
6izAx2ZOxVYbK1zUGqFlwjDjptTwoDdkvhGcWMp04irnSfhSKQOKRIVSCvfgcv7mjmK4OMhS1AsW
DAwLlTrdoww8pB93Mn46SFYaZhX0T6E2pJGXUwSjRIQsNtHZUBlaDFQtAmWLh7plpnZ4m+jcIwdU
xOUWO3gPjc2Gd+OPIPxpI4BBoEUjkmajbuq2nXLE1CG6Cy5sufK4YYY1rm10MoXThDwhHTJ+Jbs2
2yCeS0nJylm0O5KmMJx4aRZlqGmn+nZy0q8hmEjxN2RARQ6Rn38ug/2Setu8dJnl6Eq1Z4Z7LY2u
9DR86PUOwdNFIslpkOU4SHMAskkNQaQg8QNsUWadGMVO6uGDGZV1x7Z/aaQhV67y8Tjt/GRNSeKP
DNYd9gKadMH5kfiQZhtWAEaXOmBz41XzE5HBOiVPy36kGWvG/47JdtPjba9z+80d8rpBGtSCdqEQ
wm8CM9++C9RCiXIMJcVnbs0n08FtNeBcr/q249zcP6g4/ypFVGQjLOqzngpotB5Tcu0RGkUDZiN+
neRqHeZgs7zPeuuJ1DI3beiQRrdhK6edHCysewsqVWt/zK2ztki60JvFqtULyISG++AR2VI2Doy0
NetDyzvaFWmhQsukKT/TqERNCJsWb9gTF/1KOIzd5ta9dFBc9RzLJkxPIZ3fq3ReMiLxFciA+QP0
zzp0qiEni28zGyISa/JZVw4pgY4AMnsSKJG6R5D5+9TQ7yTiqYE8O4mXNzENCVdV1TXyuGzOlK0q
Vt4qUndsv3X5EU7NPa067wJSa9sFDN4JkL6ymXhKPKPheSiMVWhSzADSEJYY1hdlzaqVPytQJq12
bk5USF3ypWKWJGOcHmn+00W/hf7uq1c+LlOZuWDdbttOP4Cb9X5gecPGCvnoz0zyNRP/gaYcX9PA
b0JZv1SEvtv0ygW21PbnYIe0oeGsaIp1oKxhJbtC31MmsSokZjjjFrOQjM3IxhZlHbPRj5FjRnqR
NgjDWofhMm9iP0ZXhne88AtlMBPNcBnT4Idkg0g8dHqc2+azn1iBhd29TNmWxMzbEueQfMqPxuj0
QKW5ZNyf8jBlnjwqm5rV4FUzOKNT2QfoXC9Y13L0a+SxjC3fbH9KlJvNUZY218LXZiJuE8rgJlC5
maOxGWP+Ur0VJ1H22jF0zSfZGCwJiOAiZYTLUMMJFHFNEryiFgfAL8f6hkcXK2yGw0aZ5bj1uW8L
vvU+SqvtMli3VRhg7GVVkaXE+Wh3/U7jU7Phga1RPMj9P12uUWrzIqO2s1Hc4SP9ES7KeYf8rqsR
z2n2U0GX3RQx3UnJycTpkxVXJ90EkPREzKFCn12fAcUpMsKXhtqoXjn35nB5rRGfM5g0PvtO9Su4
vNCBAZM5uttFVJTdcFVdJx6lBdUlaOLwhmsc303B0wi07mXfZreOGeEC1M1LlUXeKi+LE3aSU0gj
0MZJp3MCjq9nFY1MmAW7iAVItizoYZPNm9YOSOEacASjQ+2hSBqisclPg14NphXuoYAwQbV0kymj
oY7asFWOwwbZYYn0MKDFlCk5e/4aISK8ZHFfOD/yGASV+/C7OSVMgUKx/XYpIlUcvPSjmLnsyo3w
ZiJb0XnZGrBOsQTsEwrIOchUZWlUvsaxwdwosw/Ei1hIldOR41O+4RoOdjLe1xX7iXJ6lToeSPjj
V28b64W1ykkL9wjHCMUbt81ocIY1488UpaRUbsmZyDHv0xDRcpmsW2WgHAYCEwxqeVMqP+WgTJXe
wmdMX6pNBfK5ZW7xaQvvy7U2hdJczgtXFiUlwj6FyOHGdXezYRzYQ4GbKk3m1BS8SA3L7ZIddY1U
BKaBvH6Yqfr1y0jPH0Vsb0uMUQRA+Nhg4xyxclZKz4mV7ezh65zxdi5K4Elp0Jkc6oHIQHsDnGud
mqpp9lMJVh3N7wke0FQJQQ2lBjXRaDlKFlopbWivBKKxUokuVWeqoaBOIEuJRpVy1OJhazXxxVEy
UnMiCY4dzuawmEPsATGQ/Qm196ShhMVRStMRt2mpYtQhttNSaU/hG67CQ4SK3cw6mLhRaT+IWR/Q
KOQ2UuOlZR+aG966tKd3RIIPcdIND0MfrElhzvu5fAAjBGRSXS6G/Y465ou08oemhK1NjLp1weHK
9VWqlK69krvGNtnkQaDqi6rkh4Hjjqg9oYbOfJ+JSLgDV5oppeM71BkH1FOnlhfw3s6ss54gTO7Y
U424Zl2cs64nw3Wo59hh3ODdCFHWSqWoTefgrglrNqsf1lyisNWHZaXN5mqOGUwIaIpZCW+bXx72
205pcGN8uJTQX1vN3RgQth6+3NZoX0t4naT5XBznWpT4TQxy/Cme3VIJd0ul3l2kc4Gv/3AT89Wy
6p0TEeQgMrH4RNqclZE43VbT5r3hkPUzyfFxB4Sch8lvgL3M1ZanqPWTan4kheyD5sSbqUBchi/Y
1OIrwLDG/eWXY3ePXUhvkI3AGV4ugAIAokc9zINpZ2Om3dW5c9bhLoE9MiZP7YCMpXuAwfctTMap
UhrHSm48Kc3x4jYcw5Wtz1gIHY5Ltu9wLd4Ry5s2PJIqfzC74a6qTN4t3/8zbvqFj1H5UCUyY0OX
Mt5q0+5HpR+GPPgMhyim+Hlot0XSfFVTQ2FQ7G3NMCTFCd4XOUA2Hj/pgvQ8KZy3ZGna228oem7Z
NJMBZHZcxiei8lgdrOnoLZ28DfoQAyAg+aar8y9OtdOxT23af6phR17FoHGQYUHgTu39zBr6zZJ3
LHIcpMM7twieQdyMNTgeqiQ3DvcdTOXKJvPvheWIrdJ7d7GT7cKItIKHr2ZsuJfE8PBsW4n5+BTn
4DuYsYuNU2b1Fk3Dr1bpK3oje1qmSt71VYrpM6b0m7p1boAlwIcc89n3linGMeW65OBS79oSWZmL
ggIuxhD0uwKoZiJ/dGkmWsyiW8teLBuPWPNa2LtBj/Z06/BSlvVC96DAPzwkya62aY0t2XCMgmde
/JVI4n5u9ujJtSbmfZjrdwH+JhTG+g6r8q0R6b7VkaoYKQu5qWIQcnvmUyBFY+z6XLx0CVXGpaeM
x5WBRd6tjZNGdaEe1jd1XtlPS9shUpqu9BdOG8myrCwlFbc+zWnWQsufRutT5OwSzDzCecBlFk2L
OrgLKNBuoFGQbX2WPQ/5RMgk766Q3mKHzsm5Egi9lE1bb6m1c/czm4SCRNsTV4LsrEvz1RWJfuQB
fcC8ka7oxWaeT5wuKDnJF/VHkc1swLj02QjbUfHG+o2L1kc8RBVDdDqHKueFelkK+XquBtui4rcm
l2MVUFpjxgyzbGXHZ9h/D1O/rgZ7vOPNxayXy8WVnt6Zgg2UBHsmuTo8u3Fu3qaN4NpP0pJF0mca
djOnuyuDs4T8dOGslwFOO9enG0tvoq3jpuZ9HiL/IhY5G4P2ZldMrd3ETR40UnbCYBejbraNBSsL
ATqu5afnpk0Pw2KNm7Az5TZcquGl0zy2+G3vrjMueNdLCwDU0shsYAX80deqZ1fzwm0bOmtYCfNp
HqDkXU7hA0Jjv6eJZinHmXzINB5rDSvZ0CZrM9KyXcQKdk2CQBC1E49Z5Rab2jHqp6LvKYfkNmFt
hUSFbF71Ozeuz60F+RnMJi1KWqzfZwmxUAspiGVNzYMNr7ueR+vLkYONEYhTZBJundpiyhVBADoj
n8VEK4An+/7NYY/KGFWCzrnZkxbDfeWyNh60Ok5XmtZfdMtrHmrGjRrb7YdysNlvlfmR9Ic67s0l
/XLAMbVdmJvWrcrd4vCEYNgR7zgI08UOOnY/Jc/RhOQhxQRjLdbnDAL4FsfLQzvzXl8mzMxxQYx0
0tr40eI93AriDwuryaMz9V9od+L9AKDXZbG4XcqyY0HIml2PUYAP5jrV4/ZVRtPrWPfW2kt4IEVB
xjSsmXgHF4V+p+XfcVqxoYkG40HLzzaXfFYHli4/nCLrfiGrNjLZWOEhjW+rqV8PmiUeJMV7Ny3f
mpaX9MyELjtn9sB+LKqflYEf5Wvs3M0cd8sODduyi0OyovDimk3qSO/ZXg4OATq3bx5SW7fu5kBP
VkQ6gs1os2LkRPGOvKPIg/FDeYM1nHo9mXyd3qySmqmBEC7xn3DddLpzLMLbOA6Iqgs32Ba5CoDX
pKcoEw5vNFvTiQAVn57tfuArHK4V/oJb7sf9dJSGrw/0zGaRIhcJxDlU5/g5hPeTLugNRlTB0oC7
3acxO7jMtD/fLf2PhutDTx+VZTW79UqEG2bVFvcZMJHesDPUDMYl+GZvurbryQAysCyi2PgxBuQH
SGptebk8GjTmH63bM4Lpw09L789crz1o3pIfiKV3XHV6kI7LTpTLvWWJZMUkrDoyMtsB4OrriEkd
p1CLMSPa/R6NwzDGyaOd98njHJQEYg1OW9//DhdYsCuC7JdWyXJve3G1J+/wYjglpjW3vk6ppz0t
hpMexyb9dB+XYCmulLe3F85LrjHmVIxQpFwPv5yZKyoIknUw2kdNAkTYc3gvZDBsB3P+VbSx2JLT
qFaaU3jnely88yL1mhAUo/IuLeatuwTtSqSad3ZzwjNeEfT7WtRIhTxyF449HTPeYm3RDQw1CISt
JOGVwEpvAj01yfwawUuHep1hGrja9/8Nj0YmX8JGdqc59qqDOVUvUM/YXF3rVSbaso66UcJsWPar
l6GNori4RduG8Dkn9JZAnA8YUq3S2jVBEq+5NgyxGDXuCyaLctUEgYUiiZrVMi9o4KUS6pyZ915P
xCiam2y1IFaoB2x6maaZFMlFNEPP0wL9fC0ZEflTndGJ60Q/LReH8mhU9j3sh7xB+1LwL4Bs/YKH
FdOb6l2j7so39+Ecc8Sgyrg3JnuVIY3wQvI0RmJTQcrUs0f65DMkYctc9fvWWPa2+uxB/9/0Hskt
jxfLss5jPT4WgjeYIRnc5FH+XMLJ0s6gn+3U0bYLGAhj247cipq0MM6ue/pkdI3pnZksO1pg2WHX
BpeH2UxzjIO5Xq+fy+SBMerZSJTRjVa1TV+9jBODFncCxXVTdq16H+5EfBcttEUluEZW8Uigxm77
U5zah8oJSHYRHRofgnx5AAS5Rhm9FYEO3Rk8ZVhD82G6xNJ5r3VOcpVR4lZ91OfwPQwEV7DAAvVc
vxDZxSYszpmevKQ2TVdkmZ5HhHEdt8uqROHVcb2rlpHFR9LwsxMMvTVturFnaiWdJN1lVnlPIcDT
kHNBg0L7nFm/ZvwAfC9V+8bgyrgLzK5aGaIjw1IG75iND3OCPSCxzGLlDe0nC9pnYKP0YVRxG3IP
QjfeqpiYXzF/MP3JTS9a6z0umrtLAKD8OoZ+b0IWTN1tV0DSRDUjLoSaybeYkHOO2CHwuVbMJNZV
NHwlCHaFnREVc+gQTGswldr66gf9o66BInXeTZ3RHDUG4l3rMFFnq5wk4Nq8iHgPTQpc0wKTERML
5nt+a2fPojMPC3uXldRJIsf5v0fS/58o/F8QhaaC+f5novDaxEX8+f75t/e/XcuP97D8K434/Wf/
JAul/oftGY7lWFI4pikFxTJ/koXS+MOjtsvSdd12FT/4l+4ug1ovT9ieME2gv2/UoyUvGv3rvxj6
H4pQdD3kKGQyPWn8X7q7fof1PNPh+/I8y5MuLKP8DZszCBkJPdYoiXADjNhc6pBW9kkRPGc4e3Tl
xRxw0WAm/WeYoKF4hr/iaepLq/Yx1GVwcY7+GwzVyLidNBvxMpmOJtIuHIon35jEzp7qizZwBGby
gBBrfs5s3CQhoxl/kBljTlL9NyHMfI6iG8Tn9JcX8vT3/KJj/EZiSN2yDMeFXrRdsDLzd+aX1heI
cy8jb9Y3yJi0+YwtMOTGf852Xq7DajXMzAXxz4rbyYZLUB7N70tYXRC6RSQOTAaoMRkyns2Jn7U0
vVrD16ic4J3E95A486qrw8Df1YKNj2eWTOdg2SMzbwCnD6V1m+SAYUZ319nZTTRxCC8q6me4G6LJ
MZS+6G/bkscgN07ZIk+OGx7KLGMYF3O1bsXH3qOAphKTzjNmDDcZ0r80bTai8w4A50cLCAYOfB/U
yYfhITRuAAlqFy90+zpN+jOaoHOQVpVPFmqLhNnIABX0FF1uqeFcsp9INmkbrzLv64WkQ13T/OGE
C5sL4Hit+LmYpb0ei+5QV/KMS+wzzfFtNSMiZSfcLxZJMmBvl10Xl1IEH+zCnW4Bq+nMtO7HScuw
yYPvqT4gSwR7LgK4XDKyN6s12JIu63xw+WVY5jlK7DMKhl0e0LUWNvz1QcSNj9E3fnnnhNxr5JXQ
oNyYZIb0TjHX5B54iI4cxu66RGm/kmwTypoHOPfZocWcqAi5UsoFkTLyYSb3IeXkFb75UWf1Z85Q
Lmjw/y4LuBVADsPRgPiw1nAiwGqoAS715i7v3HUfGWQkdUBTjz+e1vHGEdz8o7hlSZLe1QmIRfDK
ZzdUxOWJjCAi433X89aKUifd0PoK/sAIpmpWXNxqLDUaBGuTHsPnaeRtloe6B3JHBQ+lOekmtKqA
RZ3pmK5uGWiFGyOGexpINQOuZe2mAgvQSLqAu69z17WrIu3e2yj78uLykte4VSgmGVYBwQ/O/Qz+
WmndcsDZ9+3Q7LQhPJhDa967Y3DA5OhuU5553D6yJ+QJE69FF1BzIpDac91Sz6K7iK4ks+pAuwAj
QmW28q6yzd0o5+e2aVUPcPQlePX7JnvgIgvPd8ndX5DF1MlpyzVDrVA3tY3yBR4UhgyrnWThK1IN
VKEKz1JlPasI7FlUeXI3x+0xMRdnRfkNVqsWxYFTzXvlxZonSqzD7CJG+qvpaltl8Ug/p5O9ZcEv
o5t+TpO4n8f5sQr5mTOJSWhxuM3AGbxGAXjxClVW51YeJ9IflSyWTdMuHDhk2GJ/5x+d6R4lApyd
hdvb5V6SJkLfnRN8erF1aBbtoRDyxjFVfOqYIA7hW6bLkH3mqlqodIgG/hDhkTf1hg7rah+kDH6D
hDedQPzDwzcLrV+xIS067UlgLvZtyNae0wcj54Q7Nd+INb9jpNHmzWsXO4y+MgctB/IqDwCn4gLu
+yiTt0wiIum8Qvbwl9ZwEiF3owzdsFcGfXVqUqJ/pG0/zYG0U26ey0RVenh8dNMuuzeiHznuDLZk
1CkEJIL9Uisvod3xQ3a0vAXTs54XazFqrwFAkV9ZfO8U3eIM6+4YMx44Y+r8UviOnbK8jHq65e7+
VrBIEEuiNDVz+7XOrJj7vVM4aOfUy0+ikK2v9/kqNGiIyi2iDt21EdbRcIwzVa2ur1tftVVcKVqg
omjgg16P2iZhEkBqJ/Ktwr1aqUafcU0vNEwRj6WrJsSNOfKfuOq9GZFmRUdyY7bWORiSt3bk2Qkd
d5IFqUzuX40u2AzxgFGNOwWJf5CUXXgSAGyY6bgzIG3O9BWo0SRXYk/PcyWPZoeOLZl5MLBWZHHy
GeuV5Xuk9xI1oBOsd5Pzo9CJHZOu9csu/Ei4bstG97mz8YdpkfvUteDIOY7QdduLxwUVFoEkrFeD
Lzt+zlj/aVjOvjCa1wA4ADIOQmuJV1PAI63srIccDztryybmJnS06v3AnaoePJRG/FJAwfjxyBIf
WhLXtDxO5tl2ebkD16aHiMGu0zWvJPD29GQ9xAw/uQ0QJ25UbpBD4bPSnaumabjZGr6Orvsp74Uq
jd4cM/mYkbbwuNo4Gq+Jx2O1dp/S7inA9UcLDmKggJWQuQRhORMLjHs/O8BczTIwUquMtyzicoiR
G+ZVJtm0Lb+F3P0ZBVkjvrIsCwSANadHIEBsQdE6npAsJTmSIsbTbMKTN0MwDu3LluGrJPJgPguO
WmQV+H5hEBQQ0nhipU6BHNut45SGN5zW9yxXEKt8WvUgP01CjhthXllVIDlCuF93iJ9ggOr10NF3
XCvzZU3YqAmyj1j10fVEPeKA5Wmp87fv1Z7ko+8B3xVa9DVE/LqGKbiaJj1Xpr2egQNcG0He0B8Y
EnERXV4xSuKo5d5gZS+8zh0hGn8ucKtVq7RJPtHHfTJCJ4aoaTc2+a5VYsYfdV+8AYScqe87chvG
xadFmCkOu7s67RiOHuaOrUp8DJHFyE5DG16eSAmqdNxEVRpTnL73XL+ZNOYF0WfqlaehBOLy6vck
oxeMeD9DtIHsJ1nYr+8ZU5Qc27oj3KP+4Mj8D5fdieyvdzP0xp5N8iX2zgXZ37VZqdAYQIRRzQud
dJG1KV3vh4XOfm04/TrMhvuF0EZQ9Qd2yjF5nhCM2sX0iC4zscqTZmT31K1In+z5pcxBKOMIQo77
hn0Q93cVT2gyC6O3+lFmQAEDI/tV3ar1nVVEGhB+hoahPRo3ncsMxw6jz7aLvirZH/Kh2diBcYOC
+aep7lPzUCW1GpdiAS7zzU0q09pXW6Ox4zKdpyDP0hjOIZTcdw6HeOFdKmeecQ6t51rByXls+I04
bfYW9MXJEsbz9x6gLs52tXMK4wEs7x3TlCDZs21KwHOteKwkK87ioO1mZgBUMmwnSpGSmQtdSo+4
iPQeUMJ3e7O1qaFP6M8uLhh/NAIdy2peRsDnlGcQasaVq+Y2yYD8O2E+1GmfCfE/p1+Yuqjq6BgE
2TfA11aFl55Q72yGMXskP4eM2+ZXMR7MunjLl8ckAK5a0NP5BeA8qcioV4bKsrRvoKdQjkft1a2W
27qJ3dtxxnzrYoDl87mPE0pgC2LsI4QbgaGUNG1c6whylpCJD+dWv8mdYQf99NNKFiy/WDuMYDiG
EAHcpPiTyT+qhDc3ck+OBZr33ofe0WuRz05tfCHikH2I2WCAo+QNbMYwNH3m+F+zfu22stguxMnC
rCFYUpGNznj2+Z1gL9jnOc+HE8BXh4qNT6Nd3uZxxn4nUEAXrnVvFOS1B/uj9UifyYmtUt44TPzr
f6/EpqU6/FX+NyeN349AUrcdpt2W43A3Li39d2mJGbSO4fWNtgr4UVcLT+AuY+mWFp+1RjyYS9r5
yNXVltGos5MzsT9qab9LRbc/E6KhFc1wrhF46D+B0X9vcP3zO+Ps41pSp8j1N3eIJ2XTqdgEb6OX
phxfmiX8lM7sbYqi92GDIKIB77302kfJF7Dya8wUbz3KkFtVkPSy9G4oYQMn5TFeYd5ek/bfccUG
zs0uou+TN2HX1FuqjUlb5hUFFdwKjxUxHfrY/vGB7r/9YWzdEIZnoitwf9duaL3uCiPj6GKSh1hG
NgKV7nJflUfrBgWs5DNP3/tFxuLBsPNTwZC4bshuYDxuaokhHuvznN+nNUtlOrFKifZeCh3dWU6R
WuyWr1Nw7G20G5XXM922bsMFkzsXGv/kJzF+E4h8vyy2JVymXZ5Hb+NvZ+ZxoJxhWBKuJSZLJw6h
Py8GC/0g91omz5AEutKYzfD0vI1Ryv/jX+TfnYt5u3IgR4jF8IGphmL6/+KfcGNyIF4fwbJr3cHm
YFZp1j8xA6h5w1+GAt8/oAPb6JiOGm14v0kQ5r6au9EOtZWYxDZr7OOgY9seeKb+4x/FtH4bP6iv
xJewdRMPAb9O9zdNEalRLLtJEqwi7gU5IczPhngq5+kHgMZhybR9Qcuc3bNOO6Z6pJtQMxiYINFo
IUlrD/Ai4/2AMHclo7zYtk4oV/SzPcsouGRzveUTxHa2iT4Jjp8rRVqXpbiLzI5Sr+Eg2f1GM7v+
Oshh9qOV1RJu7IkRZu1Dr4tT1MujQ3SSAX3yUMjgjpwUowObMYBs5M3Sc65hQXqNVYdf3AJRLjw6
Cq4C/ampb3U4lUgTO1r54F85Xa0Dyr+1C05OMAyJTiX5kHrybBSHqisvBLEWhp2o3rWwxN4/5A/c
2XB4KO4tvb7MQ/oVhtEXrPitnQX3xJ5eU2C99NfoDofvQY0llueOjRELRnB1LFSng5WxqZufUs7T
cf8a9cUK1zn9NABKLotEHSV3dl9fwoBjQartmetvcyspSVCHXzITqBi4NOjKiKMvFzN9nW/0sSZu
rULZ7i2s/L02ymNFjxiFUeWl7TlUqkOKyMgrpVGKaV/CYGK/7owFnX0UHkHlLh4NoH7kNgS+XPJy
fbdPp33dZQS2CDuQwx8tO4crdK9pzh6YBSNibNE8tNMr8f9gpVsr13kek/SqPgOdZK2Xcj7Gbnr3
Hd6imtpc0dx6CQbOmNGvpC64e+MFCnJg35EOAdL9gjTARivt82xnG5GHX0GZb6K+Jvwa1K8U4B0o
XidQTj1QF85P0Gm+a/QH007uhpSQvy1vMQo+V0v8GWlMuamLymL3aFvhB0bt86CqOzvWBRo7h5VV
fnGQf0cSYwcvec8brbb6Q0D8BExKw23TorsvTmnMESBJ7kPBaSRdPH2FzZisBFMIqn6u6VC+otE8
W0PyUdA7z5rE1iBSB6q4BCKN6r1Vs2IrbjzTkq+0xaztyh1FC8S7QxYQsTV1bkMb6VwTgz8GnYlp
V0kcdMEJkqNrPgBJeyETk6aOP6ldCt3irde7tzhvnukKhaECgxZ1eZsOnF7K2jnOYfJhTuPWnQzO
P2X62TBKJ4d+pMH5KePyvTar5f8n47+a+W+/iv/FZJxV9C/P2vV79/7nnzu+5zj6Tu/Fe/5fRXvq
D/w5DnecPwyH6bXrIkNjSZZsLP5DtGf9oQs1ejWM/5yU/yna8/6Qaukh0msylWUR52H+5zicv4+w
MsuhbUmoY2a2/5dxuP13Who2TMh3+If0TEb2fOd/XeIKZuUtsxu2wZJQHIgqTbgMyH3TxkDgOf9G
2Zntxq1k2/aLCDDIYJB8zT6VqdbqXwjJstkz2Hdffwd1gAtb3sfGQQG7alftcmayiYi11pxjMqUK
1U9pNOYeQQEkMmeKNhVIntBuyIvqvGsfv/xaDepH39nJqV7wOgnEWd9HVA1J4sJwyhdlgz8Qbp9t
UyOwdrjIwPGDYVtNQZ+uVKifqrm97KIS9UjXkNVANPbWoNkGm+Qo371FHhNDzFgVOcoGDrAGnlEk
0svDHvVDtNYSkXUQRRZUKPSbQkoakxM9D41G4Jeb+19nWPPLqQDanwB96EqcEswsuGi/XzLc7A6/
zrfpQMImzf3yjsQLfEKt84K0C5GUs/Pt9opE0C0UDYgGE1+NLPeQ+fG+ARGHMmaYD6M1LAsCSzCW
XRNB/zEpWgE2B2SgmPGZVgHcCrILOpHjICsblnDvpkKUqWmNhaZA5JOPh8kWj0JbP6gfNjxT+1Td
aKPXpy43N4lXEn0FlSbPsc4a3lCi3cONF7Do7SvVfq9Q14nEwR8x76ZsRzBpxryxe5XOAhNEn7Kj
QNxA6n1uqvFqzqNin0C1TnKKrhJV6Car1Q9fzO9NbCT72POhSJybtHq1yt4AlNWdqAPAuceIU6fE
egrSMdnEIW1h20+eWj9It0QEB6AZTZcqBe3pRWy8O4/FujNRfLttU65qX16mjbfrTOPehE5chAa9
9r66M/s8PiBcdhAA36M7b3fN6OE5mNofyryhwXyl3WPYZNuI/X9DBfyWCqopR3z7+xOxDMp+PcPx
QFi2MEEeSgZLFgXE7w+EUyNqIXaLB0LHkBZiBaQjjG69iJq+LCq52NueVDSD9CpPvn87FoO3nmjU
4QGgCV8OAMtrlayJQis341LJaw+m7gg2H3a0samIliZWtd32yY1MRXdGUPA/6/v/Wpl94qd+OYfy
GxTrk8LpCnMNlM2Xoy56pHwxKAvINJgkpiZBl6jkofaqN1/bd0gAD/EiuGqzedokQ3hbDtNuzKqf
8SjDzTjdOiUKRGKxsMeqiDYPiS4oLbe6+BEM/dNA1Mbfr7pYVqbfvzELF2P+ZSboW8JmYf115dJR
2ab96NFXnJBYKPPVSOafjYse24l5Lc3iXRljtypgRdsmnhdNd8GPOAT9/Xv8efNdj7qEESWjThM2
xO9fgwzaoGsroiDwqqs1bd1nZBF3xK3864O+Fs/cIj5JcXYHxg3KyvtSCxVlHxbOrFoQh/TljMIL
17DSYUrUr4jNLgcM6mScLqYuq7qCkM63IdSeiUl0nOyBZYMUitRLSuAI0AIhYqt/VWt/rowUFuwY
lu1wOZAQ/X4tAh6gsCy7lqMRj0LzEml7XOdlVW5TMhKYDpprDyndNjOh39Xzz6gt7pCAPBb29MOI
T3+/MV9rx8/rtVwyCjiu2x93pjHAcwV93W7VhNCDMCoz0G9jpZ7nNmerU8GBDan1/HWZaPb3/z8b
/49N4s9dlZXAZMKtbKou5+vbFBvDYBZdDB3CnilWWq3XPMIz0FBrXjGgAEcIEztX9j8QqGIp4n5/
KdC0cjCg6nd8wX7++x3oRtk0BRNPbN6Q/4Zq33fVY1joa1eUuyDS1xHDv+GCeJtrWzX3f//VYlno
/vh0JTm3KOl7rIm/f7oLMTuFVF5vRaKvu6G7LwfvXOEVmXzvxpPyI4rnu8AvHoVhXQ4oOFVwA6vt
EbAcJJF6N+t/dZys5ZH78pUsONmOx4EKyYHzZV1rJEohHlfgwcK8I7APVbW9tZlim2P9ivv91Q67
Q9TCX4jHa2V0l8aUXHbgggi/WZ7iATM8lIC+L+/t+FJP1tHPCDxpu/epQaIks+vMGOE21ruWK14Q
69B61T+Wuj+XGO+33/DltWIiEvVByG9wieqzCv/Gl+07d/rwj9v3pUPAC8PnuKZlQktDpaG+nAWV
kQP+tmboo2H96OnpzsvmC2vdyvYwiOLRqfwLThsfEg4MEsiNiSECah9OsrUW/Xs2Q1wNzX890f/5
pdiPOHMpSefiS9sCP0Sb6G6kZe1TSY7dfjbAyRFBk/J6tdZ4RzPuwPDkeUrdG9mrdRN191Cpti2i
5Arj61jcGH35/Pdr9R9POjBHzswLgxk9y/K//9IZMnWS5dgklpgF866d9XNni8sG/0Y9Ntu/f9R/
vdMcMhfEM6u/437d6KCX+GbldGB3UgYjom6QWBVMDzMK2ZnMEcZ27iGr+nEVIFheSbVMhzxOnf/4
Hl96cZ+PByNuVjXHVlKYXx4PvxZCjQkTLtsPbgTktegQjve+ujS86U5F9Xsr3Ys+sj/+/rnWf3+u
coXr8KHS/bKqVAYx8sFU18wJnA+3pFMPJgoTj3mZd9WzofPraSyvh6DaJBtGE4sP/JVVWawyi9Gb
qpDLmhGGkXFMfqLyxAVdP1qj868W8h/k/OX1sT1qPFt6kj7yl9e0I57SrNqq3gahfyNk/x6K8pkA
IqKNgxV4U1zbpvXRCXUTmgSW4e19qE3sxAAStsySv6Og3hQ26HDfvRFp9x73tfGve7jco6/Lofzc
Dk22RdP/cmhCkaMrC97aFp3tA9g12zbvJmFdTqK9L0X5CLgUfYKhX+t82gSxu1kim/5+P+3/Ws4k
AjDKYmV6vD2/vzusHnlH6glvtKm/1wMOGHIy8GpixkDFcDv0gkmLXWGTKpoTo/5dMOfXIU5ikjli
RoT9LXEoDi3tnrSdROwqQsnIHc/o0gowB5B6++SWg5BaT5TfWBECRNQ1mpV0z8xtz0zGRUNioojZ
1KG7rjGjj9ast/ja7M3ff+ufixdtfNNmmu/wO4X95ZUxvcKNwEwIgHLyQQlnPOoQF5nv4WCYUMn3
xvCvM9hyB3+/w+y8aqnpXck7I79cXfqiqoM/KlCSqgyjBsJ9Z34L7WlnFIzsiB4AtjAPt7nljBta
Uf7Os6LzXFbGkoa1//vvd/6816xbfCET2oDloA3+/V7TbhbpiEp+m0X92YUsE6TxVdpQ8DGOn8Kr
qWio1BCb9gOjS8g3xThepVe5REtsNRydzPh5Cn0g3t610/+ISLJbMaVkXpY5sH44zePIPqcksqAZ
27dN/Z5VjoNBwF7TZbBQAMAsir7TZTt6cUtLdrzpfQ/OFtYQFyfw2OP7Ym1AVEGb2fcfovC6bLhE
mPnpK9PsXasqfYwG8o3KdtoY+OnnMKVvDQE0rZGtJY+wWm/+ftk+p02/3kQXLwlNGR6bz7ry66Y3
J6gkdQTiLcqgfWQoFAQqtbBTgJtluMsNBGVV6VUrlYYfeDucAybK27JjAAVs8f+6Af3Pt0GuyZyU
1tNnQ+SXzS7K2wRyXj0vVC28Cx7BdCWTgFi3Hab95GIQLc34crEv247ezAPgnt5rf/z9oiwnta/X
RII28ExEoksZ9PujRBKdQHOR48QMZszvZfTuyhwuZLUncPpRy7VTV/M/3t8/Uhb46TaNHsWIxrQp
jJcX/JefPpaEPDkC5RKzjwe37pdZRLvE5JzJd34MMNUpER8myNJGPpGETOO8/i5a5DejD+QrcxhN
lfBJQvs2FYgk/n5JrK8v+/L1KLXspc6QPvvO71/PIYI6aT3CA/McWWIabGM/vMvGb24d7MuUlsIA
wphWQ52sa21vUhDGpPbuAkPua5PGftdfJxPD36x6V3P+BtLmqdVJDz/SShi9NMRn2ce/f+evB3K+
MhUsy74rTZr2qHl/v6L0MZoirLFWpwZoyTTbBGMojyTePgvfe/Li67QZN8UU+f84Rf9xjuCTPQfp
MW+VL6TtflmM08no2ozs4m3rkHQJmBALtZU/lx8YwG+nnPUYyTuMhlm8tX619+Cu4PN4x2b0LEmQ
ROdWrBoHRQQtD+pr7wqvOu2w6R/74x91/uf3tAjPYKPmHP516thVMkK2mBJMhODTb3rG4uYuGeLb
sKOA1vYJywXOZzRYFbC6mQxE0jwvm7IjAkQdqfuBHi9Um4J99h/nB0tyd35/CcXSxOZfbGxLZfv7
3aMjXWvo0PAymvTnOJniqlPoXVppPo5TJi+GLkFgF6Q70j/e2A8HtFd1vNdNjsSjcpIDs/E1CCl9
qu1934S8WHkp1gZqsltJ9zMRSXhyVHkdlAxuyij718Vd0mv++AWW8JjwOyYb09enoMsqTDKd0W+b
LTpPQTjgopdFTrOTbhnvQRf9zCLejSyokz3p2eYmnutLgQaWEKlg1+Pix9Zts7/EJbAz4ik4hw8n
HXUbaSXTBhL4cHD8CPdbCqGnnNd9nSPxE9cwzOxjb5cfxDz7R+ZvTyqd3P2c54g5ltTgKBw4KFTR
Nh7FfpTZiC0bdv2Ylsa6ruOjqUd3E+f0zc1qstnkuIxJpr2NWZk3JJj7K+0PqJeBUq/d0Df3Mc7+
VUIrAA65Rtgcdd2K0JhzVVjJBqRxu/bCeAtc5EBz9YIYcaQYtXNnOjPC4gmPUynTF7MVEETRfyPn
cgz9ODMRx4tafDjODUZ24gCtHKUnwmqxTaDz7ko5I9HQ6DX65xwGgZ2QJtwKYa/nBLpQ0JF9Ahmg
sXkm2ti/WYa1vFjIFZikgCgTA7g1bC7QIoj/LRHBBAikyZedN05fbOj6+VvQQwRlwU80kFRf+Khp
OdGa77Y53o2SWM4xY0ty5HjqfMvAQBVd5ChWS0gGGwXudWUFur52EDKXHCRWVkiXNTDJApNGxNdL
Vb/Vsq1QR0bHsArztQNFAPWDk+9ofuh1p0DkCGt662YufzBJffp8etqOtHVMOz7+4brYdVGDF19A
cmscJIRh0T3/fTH9ozYEOkTnEyfD0oNEo7A87b/sT8ZUTYlDyOI2LOx7J5QPY+2+Aw1/Xdhmo5If
MKLu3MTcUEqEk/H9Hx//tZzg49WiWyDbgGXV/yrPmKvEk2lW91sj64AcjjYHuMnBpR9ucvcmT0zC
vWFsnrKecfTUlmJXCoJIKViv//5NPvs4vy9MfBPPJEFbmIvt5MvinsczYECV9VvHR02WT9slLTHo
ews9JSs7yFAPhGvNuKhIblUGh2TaFrZnHwmSiMFM81gZRyeo0zv4D6tseby6oW6udRvvqrLRV3GN
KK7ywW9WY2whGEbtXvoGaA4HLG1spw5QHuNHo5ZR0Ocf7IFDs7qXSI7W/vNdHfKWpdmOIMxDCFmS
XgiS6xDpIUyrZ2y0Q3SDi667Ut2ecKsKwHi/jwcTRCs55wwFMrU1VHecR9O+9bHhi8E7VboiKQBC
2z50eX9l08X/OMT/x4YkWdgtSZAPXU2lviz6HGImvx6GfhuIKthKUvUK17nSSvP4O6CmLO+nn0Tp
wSZRMxmsn/hu3K3sFBiheTE9YAnxJH4HsPmrYuiGfzR6cTv+eajg9ONxEuNb+jaH1N9fg0hAWgkC
GkKVUdn7oBkg5gSZtZzCCtLqhnVtqNsyG6Iruz74bmgBAFDDvp+mgWCldBe3nXltBfZ47XKYkvWY
XY6zjV8d/bXVITgal6BRiDArCmiOCJwBxVj59wO522vfrps9IJF6NdJzIm+l3Sm/K3cmp4kVsEH7
MOXpW7wwJ2g+wvzotLNe/l3k0xH9dQ2oD8ZV2yfbshUoziLcFIEPuo6a5n2aL6hyJj/qrppFukDS
NfGiC1MRxMMh7wpmZcsWjFIVvXhCBnIyeQh6SYXGs0jU8L5Euoi1lGMdbL5pR/Mo2AXpzEOzGAvM
crhSUJCiyI5uyKVAzGaU4N49iXAnLoZdttxDgYbMtLS7hZydbCLN+Wjws70DcuiqSuUhdO19Ffje
2bIBhE3QVjJ+Tl6DLdDJWF1qsP/rcjxZrYnamsSpdVd6jwvnCaKzBrTb5Na6LPv25MTWx9xsTJWJ
c5F7H8D27F0/k0ZQFfxeK6Fp8r2q/fzesbLiG9xiNkh/o6ZEXDW+czmWsbx2ujLehrl+IOfDPubU
n24NE66LFg0fW9yxcbC/wnrGC2Ph8WyKDK6vDPPjROLALh3A7S0fl9TUm4VvfkROTVppC4lpCuOX
OXppU2e6NSznO0j4CTg6xu+uxbqpuc1Iv2MP75HZHBiOUXOjr93KpUjSVTJfhTJ5IqHhnUZd8ZD1
CK+z5gbOSPualulNT5YiS1EO35QnwSRsDBLCGtZLBg3exWgxT+do+ignGIlDiI2VzCsv5KXyZuu7
2yewxKLwNHtyuMmtEdOHMVxbaqbWXcLe8MbrYyzD4ralGkF2t0bXlz2Kk2PnmB1sVW9QnGI4iue3
aTluNoPtvGWWi4TUTQCqpyV0oDmyzqICXJy0walpQnJrybCJVXIxw0wKmZEi0eZeUjTxBEbRaXb8
x4Gh7OxI40gIATIyo3LXURz4j/mqmQYFxF3dJQBO92mgt4m/IPdj3B8V44pt3rbjPnc3wpbdykmd
+D4fvO5UF+ZdUrm32pnal4JgNLLGrjwV8znwL+5oZnO+QBjcKfsemL+8TXV2GYVEopp2HpwNq7Ax
yZKDHFREhNZoMdsqHTcAzNUlQXHjqV7WVi904ETVCgxyng2bwsPvyjAhP6UVjhK1T6fUeJm94AZQ
OTdKNRC3cKRzyJleBNavVd0ZGJJRe0AeMC5kN6sLEysUx6LoXBEBPvixfOEdtwafZhauhmNkkyVP
+RYdwfe85EY5HRyrKIDVNXtCdjCVK3KXq3mXF/3OD1PntppGQop5xblL0a3hwTB3I+PKGZjzGykp
oqgBIDlDj9fzM4N7624RRSVS3lej7hda7HWPIXprDBYMSJY4ytlzlCXDITLFWYKcWzX8jA25ef5S
P9VHByLF59+JJn9qEuindkPnRYNVCHBqFy7tFX9g/tcG7I+8IOsUYfXNIBY5raHukAQcvUVoJrzh
BNmMzCfG9EfTYoXKu2MUAUJxSxbVeDnhlg1IMh2N8FNc9KqV3iuYUweUWisF1fQqm9S6asMGvYE+
fB7FJgrfIeEoSNSMtyXqAc2B7MXBKvaTtKhGoqg+hHb0WhvwB7P2wh2D4DJsoLulAeiEdgayE1VR
de3a+YMs2gNODWNrzhnx1BHctNhEANx1bz7Ml3NrTh1bMa52arKzs/xFxsEZyVZxiCrhnGzg/JA1
RrhpXn4QBVp6ClB1aSWWc/nBQcMBVXsZuu14FSj+EjISwBRlXjYt+bphIcSxYsFYMnDs85TPj3VA
dLr0EVAAJLoLSw/ubjZ0u8+/RUBGZh6MmR3sepwYaVi+1HpcwzIGCuR3V5wn87UCy72T7G+7UHju
usF9OVy2IQe0hGPlfi45YiBOxb7kj2wrKUJYgz9kCJALdWVFH7EznE0SEELH3bEzmqtpMd7k8zys
NG46GmrlbeWGBAKFMeLWRB5xz8AEA6W/4uSD1t1LYMfNaEdAfDab3qpJPyuNN/ax/UiFOSvtbAev
XaOvCC7H5OQqaiEPkwagv17vqMtfAg/Kg0y6c2XR1ijHFId9EsLNdPamBZHRAJl/KnLErAyRaHG+
OG1J0HtVXGjxkE/QeRAtZet4OeZPjv+NHQoCEoPKxE7GLb17YqjtglyKGPpx2FUfnhLHzwLF6nsM
/EtJU/v9dQ60SJPjuJQnWVI9dFMhsJPQ2yAZGONZv2/BP6KFiQRGInWbVSAlbE5rcdPI1ViGlMEG
0pYpajirC7sHNFnVByJL8Nek+oy6kHgBA1gnPdV9M3Og6ZozDbf07Pfx2fKrO+SoYjc4QQV44YPY
upNY8KMEoh+UN4lvMdgIrKFdu88Gy6aiGhkZJYCQ2KKwWtz5fXqYer5+XQZyWaHXTuCKvR93BEI7
ODAZ7nRbLwVLHw0/rYaoipAcLVk5pzJQDkp9MJcJA2/bao6tng8wkT5Ku2VjJnRkZfm1sRsqIPBm
TOU2NzPZhu6Urt12FYCQuCzz4hHt5xtZYzMCZXAx0oUNkhYuwXSlvxphku4TbOSoYeh2lEEvAAIS
xNAIIHGjmM8IqDeDkfu8pmZ8HvtqY9axXPW9WZ1rWT9lUN3Iy9zSE74lOscgZZ1+ziKMpgUAWs5o
CMHS1AOZV+xKbe38uowICxX7tOZMVJMZnsgnx8ub689a0tsRTsGhCAHsjlHzvPPkR5djfzKVfwzc
6oc1Y0NrVN7vOH8wwOreoj6MTpbLUdIcBYsmeZKN00wn1wmOTdTKLe1octfydJMVqJ0QmnX7NAaC
0U12ckyS+dxn7trx3eQu8qwnJKK4T3tgg1WlvUNupP5qMMPnsCH+oHQIZhCBGre1GHH1gVTEFe1e
DcGLTitc7lTlexilBJcXp284eUEGpXjsOsBrLQ4AntwZ+BCUIT/HQiWt90Yuq0x44PjB9t1AoSMC
i4QExrS7JDMvOxdH3OSJ+8ggmkCnkt+T5tNBT/JHY8X5kXwq4nvgSa6doSPAugde9lltuX5M/1hZ
ixMJoavAEIRTkZ0or5bUuFGS3EAwpixuQSeBsHkcHJIXJgXSvuQ4uNJlYOx9mGUMpA8p6QLnzzfR
mhzCCwkfbfQJeNM+GpZOsZ2g+x6ShB+4SEMiosTkE/wkgKs6gpxPL8Jt+Wd0PrSQYru7MZy/6YjA
zkJk11UQF6z81s6yBJaikjiQsBoRV9fGcYzUdPJqxcubBiDss33bTyWdVoaypZeSmNn6zwQF5fRB
muTcGfhvrYy0JLNW0ZnxGxPObrgedUm9hJJd25G6IcqOnZtgiNUwTNOe3p9/2avYP1d1ee14sX0S
rvGjrMnxAo9HeleMTqCUOAYnUl48P2oOWEJRlafxAQNAF6TXoRnYB/ZfD7bSVB8K56V0M4bqKcm9
Q0TIUDz4L8aQEv5ZYxHx1GslAXhpE6717IdEoHcnq/KTlRqjiUVPP46mDM+zMYGTDWd0iF5nghGH
YcgLuY0WgjBnQloBlREcEGm/fCqqeduoOkoiNCwprzXcLPiZiwFNndGHepcE6b6M6OZJOkfanrjO
XcSEi/QEJh2UkmwDBo3imib5ihVx2s1zDOwWfOW6Tbu7zycAjNUhmNpHZbTvIuxfi5i0Vnvp9WVS
fbPju65nidBtCvLfhYVDPtuE+9ixzra6ofYj60pCR/UJnLZDhXydoCKMfFtRBjMK1fQRD70+5eUh
8k3/WyQTa6WH7lqh2djNjXUUY/BQAUDeEKgO0XPZHvySyCgGsR9ozukWxKI6uo59eCzjxrmM7DZY
xxNdk6Hl5TCSMkRmyd7pFZk42nMebLoKt5cRHidVVOuhqsNTDNrJ0PaMOZd2hlnkTyHslpXqg2QN
9TvcuRFk6Cwh1Qgz077EotpwnEO34SARSr4ZgmsZhTa8OrO4cPE0nQyiKQ4kn0Z2fVF2eUfiG+04
U/Y7xh2sk0ZkbUeiOIJpKJ9hCU1BfR6Y0GxgoWmyDQREDfcUJZ5/Ow35sUoi0iOBjJA/FsEcHFxi
lElMKOricjYoG4aqYqVuYo7pyrJvmwKZRzYVm8EOKLt1dOCtMm9DM3QuPCN4nsok3cCOekTMyily
TupjpWl99ztsMM6FUYbfYXVzRqmx8KFODRm9jtuq96sTmq23AKzevnWGN2lWHgaSJt25nsuvd2hI
Gom3p/Nrbzznqnfa5NwAoU+VKO4Naz7dg5mrd6UPa3Iuenx94aVE60ROICkNRfna17UJ7W8JXYI/
uVF+/I3Gz3vStxFpI0A3Gwtv3bUpNQzBnGzYvIOA3g3pd4U6+GIsefSKeHzI9NSuVDi4tw3UL57B
cQc+iiboOLp34wNdVTIyIs6rriLxqlA/mSW2F4wqm11PLM82DUfCZuO1a8n50nXAfBttu+vstybh
LiUArvsOCHoQm1eB397Vc82JMwGv6REoyNBvLcPnLhXJ0Y+bO68G592p0N1VWXszq3KPdw3+tJ5x
mdPpwJ1dP4fgQWD52P42bR5JcSG2LWBGKMlGk+EFWwOO6ZCAucTU0TYhxy2JgHGP8zcbOjDxnyg0
Jw2crJowRZuCsJEW1ZNXNdPeJtVVBEiZW4b/6zGyji7RTJsO1kaZt28ymqK9xdhkLUT7jcq1Wdmg
jyABhmy25quHtZrGi3Ple71J9ICPqrbvXzPBKUopcSHMFKE1NFIiWIyD10HZ8B11EfschLpSX43m
OBzD8T1Pmm+4s8hCeIknjU/bHzjzK5cUh6zFhMIuI6YWGEcl9m5iHLhJ7zimuCp5fkjoH3BwBmEZ
Qc4aXYz9PmxhCibYJdXifIoTXM7TDW3XgSQkGpGQ32AytT4pH0tiD7CAdV05oKrBU61q/NfMzPDh
lkZ39Egs1lY4rio3wy6Vdc/FBHZO97beJGb2YHmAMVpkNJ16aTuosYAybpKdXRKE5Yddt3e7+q2p
xLRNKaixxHc+npPwISeMqSRxEGZUDFVjFBczLlZCKyOCxmy9ZWreEFztvoY0PFfaquizOLUgvKp+
cQMD0WNrLmjJNDvFNVncSfPSagqcsIkPdgkIaqgB1/Wj5a4smnYAA+ut1QOjAYmK+cUrtwbh9iC7
zrUOyQCQnMdrW631sE1iGji9PLDnFruahuROAexmQ7yze0E6R0gbK3HciyCa7rP5B1rx+La1yCtE
1M77qXeIUVmLAjZqD2EQmls4x5zSyVhswEwHToe+3KBZkfibom0v09gu9wFJnkDipru5q/dxJO8o
h18LNZ8dyr+6ja6q0TyYi1ZAUbeYGgZYeu3U3iV1/nVmeWcw3A9WH46cC2mwAQSbsMLtQPHhG8eg
P1T98FjI5C60GNsioeUtqloaznF4w+D0xcCnShJ3+aoy2zoIaNEaQ7SbZuEGHEZiE/1myvYD3j8Q
M1bCijPhijrnsU45JyQEtVqIMWhADrRv6W8EE+nSdVzdDFHrb/WA2KAhf5FJlfoRyKk81Sdy5ptb
ncvnLOVZaoLxIvBm9ybgYK58MDs+LMmtHlWwG9sKJ1jLQZWJGUYuk3wR3FVrxiFnHdlYXluFBANK
a0Hgpo3q5KkdFd7B4Z6MMnGoK04NRhW025gt/piPaIG0nMablNEOW9d8Nkw/2ua02Q+VsK4MIkq3
5eyvrQnXWwMvdtOoEALzeOGK4GTmLsGKDJvFvlFVdASPGKx1VtNAnS+cQJtruOXWvvfjzeCaHfhf
YyN78LG1MD7IPvwhRQEmZgY8g1H5oyyIpUzcFHvgtBnDB9MLn7OMSi1rmAqKWv+UkXhtgpuRuL++
8s+hm4JsHfFFJlq90pqBxtilD/DxD9Jv6RXn1XZsKpv/MGUbz9bT3ppSgMPsClHb5/dWaH93G/8k
nMa6bRU1SL4cZFVqvh+Tkf9eEw5X0ZGNmuSgmCbjoRj288Dpxk3Lx8xmDeV3XnadoJpL0SpoQZCs
nSY7rEhEwurhcQ6InmHi/USPy7+OyuzHqDpMaS2bUSskS0jg1Vt2Ro+8mo4IU5If16GZp9dyzHeU
iSXhpX700KfTsK2r4YfDGefkuua0iySc71nRP44ZgjCieUpAC29kCQPVN+KfxIjsu3K6JNTKJuRG
/zR6ZBTzPuuptEBBNSsjs7IN3c8BwrlzolkXXSVktko3LJ8oU28zDy9EYUyMU4p5ryvVXzn4cYp4
LybzvbNhHzcRJyg30/LUDx905vUp1CQ5exyM2IF7C+hp38Lf9TvjEHdAlCumfwtwL2hhABL54G0Z
UcLW1AbmyrK9gCv58jnRJr+b3xHNsHZAbH+eyEu67nv6VtiR0uDKp1C9AC4MfFENr6ShzVgQngKL
7n2UT/Ea8zusSF7AVVQ7ZK3NpIEY2xri5oqsrnwz5t3eyfr30YC2WLDy9VVD4UsjAgsu6XyIdVe2
xwwiuvPdnWIYXWoyaWQ55Js4NUnacaB0k6s4o4Nmmkt8/AICGuhEbRHBcWtfvTKsN3NsXWBrhMOY
lxqtVvggai6rpErVE9tUzQNDFyhdz9m4q7tvSd0aGyT9wNJiUva0/AjpWVvIuW0nsjlHSxRa7tq1
oTNByoXHmlbl2gNrxF18w6OQU5gPL5Z/4B2sMRZPiFFgrHJyBn5N6jCpHpssQqZtmLJetS2I80iV
D5JR/4Vtot3Mu/Se3eKmTsyYcRqB4ZNtbFmxxy1KPCrJljDnYFT7vjbP0FxObQZxPmx/Fg3hiSUw
hlUYa8DwPeKZgVEPWsVdl2KGFfT7GLArgGEUPCInUMSTsGUsGeDQqVBggY4lW2pp7NJKhvxPRdW+
QsSCbGo63BAwAmxc7ruwwRqGIckzRb5z/H6AVuOcpG6qXeZw4DE7jCp2TaxKVtJXiduzMvfVts4X
0rxOm13RODjasuzQzPjyog4cb2YtY5wcsSJfwAolx+kegimg3AUvByI5u8tdGO1gLhfILXph5GzH
xo0eFOK5vYGr+9Tp+6auNKZvHFZvk2MZZx2nJzn0/YUlbzAi9wkJy23zUI8cGbo4uqgCZzMEfn3b
1wU6zJ5CI/OYcgOfWVHflsfZrnnHWrp/BYdVj3WNWPHdMh/e9LY4jZnxKmLTOSD1fEvmMGdSwGjd
jr65cWIebadbt3Y4HeuuNreD5v9NTExb2mcvRnoTDt5HPsQTlWUQkVmknTcoE4C35zACHf5cpYNk
i6OxY8RA4XwdWMxGxaoSTY/QJ3wM8vI6LQK1GznwirA8mcbgIXxIaqbSvn1U843hom0LgcoteDoQ
oNH8MNpMNlDmi3XXt8d4AHQWaj/ZpNjpNuzgHxk8873NEjdQmdI7J1u5aK8inevt0jSYhO2dZ/Hc
0VDfkYnEEiI692zBDWuIKDz1P82BbQMN5Ldc8y75JaHhqWVbl06DjKaS4Yfkeye1PinTOFjsYPu0
r8gpiHNYHxF/jtTEKwht3wNiYHQyoIG2uURVJ6Nd7QbZLm5eUz89hQ6U0JicohF7ZQcZTPw/5s5r
R44ky7a/Uuh3L7gyF8DMAB3hoUVqZiZfHClda2n+R/Md82N3eVbVvWSyLjmNeRmgG2g2RWS4MDt2
zt5rt0O1bMZRW9p2tzN4Khw0GbVEtaa0dLNKK77TyWwnb/0MQBoKXvbaRaNDMYou6hiobrmd2uKc
htVWKvarmRXvo4oFrOXEm5WT15FVuyQInuMJOTysw56shnxthMV1kcac1IO5e+4/tzWvU5/4gxc0
kp40E6Sde5XF85QmKvqTrkc6NYTKKIpI1JWac0hQ0py2MIDvTTJSetOBaKiBc8RIzPvoHEZgbKIu
340W5wA8Amy0Gjc2x1rnlcUcR4Wlb1mSQL0DTIX/oxwAWblP5jT4V6GerLuScLlWsSlXw/CiUCFd
6FFr0EumNeU6BVEdWT4jrTVz3yoaBKeC9Da3OGuKSk0WgKVATtIBttODyzk41G4M52Ap/qrsI2Um
Rp+Er616Rd6nFT9APWKrFTHerry2K8I+UTNXnRJtiFSDz9Mtc78YL0d0jqUbKvsRdQA+dL9bZXGC
CFqxtuqkq0CW+i+c8JugE1cdT7ufaTyABe14vxqSlRtKgs2JP9u6LfFhakb2uK4a9ToWlIisX9qS
fwpOnam74FyBTbUh3GDy02PPDwj8AthnruISKQuejAN8IwJax/BMLFq6AB6yLrSuuJMDzbi6yZd4
XllrovSGeXx8dCQYCeyRoamGN5UIHj9Wi1S3OD/5DnTbLtqqNn7XIHtsGru+CTJxVDR3l9bleBmF
6OBGSDwoXsNq2cuapDhDrAc71JldBgzHGQXRyopWBLxvgsYu1qqWPUUmca+lgleRr/zklk66j5pu
K+LBvOjqcKXkBcZaF7vmZrJ4Ij90GimM7+XEo5NDCkenROqPKuOrXn3q4fxLYdBFDBi42uNWF7m7
CYsQ1v/0JXSLYkfp9mRqQ0jJr+1KCX6QhjOvjxqdCHQPd3YdkwGo1e3ce1ynWmRfSpndcUfJ9hMd
J24ih8DEPZYxAbS5T05koWtA5fFQr6xp5qRLRV3mxNAcIEHFNIimbJUT33uBIK1lx2/Fgo0p3SnW
15It8AK0FIdsUYmzEkT5rN9dcMaRr6nM3hPgdHB+1It2LJ2TmFHolLIMdlzf+zgPhPUAe6UND2pu
PjkznDfumqWWU/g0DTqFISD3LW9shunUURYt/uVFog/V1rSmh2Zkz7d18nwb7Yw7DGJwa1+1koeD
0HeFUDq58SVfjqwwaFq1eUzKgvU7dsDk06ytO8ouv6H9Z/hGSblDJdNZrc0SNcxp1JShI6BCLZYk
p4MziwzSySup0sFmWwqAQLYb1crbtVY7G6YTZJCWMU9vXp47v/c5eFueoSRveYVOyxmiezKyru2w
v5GtSvaoMjymTXSZ5P08EwRkltY0j/0uvq/K5L41xQFKme6NOlEU/YiF24KeRFj9OgwqbWVFzGcJ
GZsiuBk93nmct+9jaSmLocv3Rh3fBWb1tRINRVV0r9IFZAPFt54FDFwtvm4Dd14rwGbJYPa2BOZT
X5oPZmWfxsp4btP0MJXo0+OOYM+4YdwRa5ztynCnjpYAn0X4Z54aN6U9iXWYNS/s08hCAFCggVQ3
uaiZnRLxydH94Lv2dZaJd9LnCagXpPiK8Ij4+dz1DGZTxCLw+bSVUtYXhU1lSC9bIw2Afdf1COre
JXlnLg06ZgtF3w2Zdl0GyU0+sKOquf3aMvbOe2SWug2vLk2QEbSILCYfcDSg2GWJuBwkH4NKUw+3
Vd2tDLsquOT5baCZgEHt98oK79WaP9sbY8gfgx2ekkpChNl4oXKvBqvZGH4wkuCQXRB6TnScSJ+d
sjm6OmaDsDmoetvtm4FNiQYUU6/0hCvsOuo0XnVgAtBrHowutU5tzim0DTVvTBBGW9Aw12rpqh6y
qM1IaWMwi1ugC65W2OIHqJP9hYIkh/CVGvBaBKUzJdeTDB6jBNQVtvFFo7vXYUSgDaLUBYlelZfF
oGGkQuIzoZ5G1FaeZqJMKcv4wsT/5H2451VlKmkLGa3HoIOZBeN+Wl8Xo7gLWzHBOECRIAz1EBEK
56UY8Spg77mgviHINJokySK5PGqa51TxrktzVCDayEaVeUOM9deoUfOEwAi0vtqXPVZ/paBxFdDi
1hjnwxSnGFGHbPRsMlaxF88UgmyIF2bNKm40zH9KWlJpANSR16ECppnedzV1qqvTY+LzOAB7rt/5
K+hXwVL1UUMFsnkYqLwaC6ahCLFYAMoPWU581QscvuXkWOtOZfCr8apTxWhe5/NTM2kALGngyCDk
wbill2TTymL+E5uDymrsHiMO7EpYcoamt2OOxIiMAW3ocKpbuqEpXaZeoW0zECSp55CGTcRdwOx4
AxTVsyNidDAc2ed+aKGU5hpylC/C0FjpAiQN1ntUK9cVCAAknZL+cdWu8zp9A/YMhf56bHObkUb6
oGDKXXC+QGoQtGegd+YyaANjLY8Jx661UheP5LovQ2HcKNYyzeNNEnSrJpr0tepiyi0PGlP1MlXf
Ih2DBRps8qQhMRN/3F9Hk/VmEzBACMC212yg1U7zYhHkONS7kpM4XSqW1FGwckyIiswUHn5oxdAg
rOUcx8LRGrXLcIcx60aE1TnHfLYI5sDvVkan2rIow2S+n/JCX4mkviT/Cy1PNtAlnjs103Rpcyxf
OHTFNfOrbOMlEtoybs91V55jDFielXFE8jmGAR/CHRpuw6w85T4Hlp5b5ciCGJciPDli6nYjzci4
0jhaC0Y5ds5i5jwUHcqsQiQbM+XYpdPy6Ep0RYwxios4tBqokGHFSk8en0xPMelaC1kaT0nTB7su
xvFgIMgvMchbDMGAk6osbnqyJB2XYWCzhUvFK5PzqKd5/9qUd07GfAuSSbS1I9VEMSCJLOhUAoqn
UO5CmMREAnguIbNYJ6Zzoim+F1HpyZ4zM9sPMviyWcFVOKOPTLYKkAxeYsHRuItudKq8VUM24jKt
cGKZUb5OdIp0/IPQ5Aq50EJq1ZrvUMesnkxQAS3VX9Omh5fs8kM4A3igqn/6qB9KxrUEYl1UKqpt
N8XkU8CO4eVN7Y3RWvpWlJx8Es2ednrLDC6y5fDqsHfLPrlCj0YpYVRvxHkYD3YDJUO0YX+LuW/y
UltOlyWWQKOhPKlH0KWNXWGqKqrHvLLLWQleruuEbN9QXIpoOuUNxxYfldQSbQqqBUHZr8Of5fq+
OFb7FfX9M8f6epkKgFCSQOBBchq2O14yhpytHz+nRTCtLTgF4JRXcL7MRdmhq2YuvGUtuVaHcetY
zW2bxBSrGpe1tzxnIjqy4fbaTKGHobxoE/NrXsXbdpwObldtdWfcB74tFooLtNUstiW68PkE36zd
TqX6LGmNRU+R7ryEBhuMi5RKbUiQa+xSLJH2bggYbg+yHmATA4EPymyTmxWtFQLvSi7Dyunaex36
TWlrnp80+4A3FzEOg+L4a5+4V0OVf6lG8MHqA+nit/U8/Q/M5pq0P1TmNguYqmfsCujF8fDDWy8I
hma0THL83M1Ht5FZV+S1nuoOiGoWMEou/WczSFa2HXl9xsrZUZCVklWEfc0zh/ouVjkrTpV6VvTE
2o4MQJHqo8dh9Lsnuhz1jt7dZWZ+WSnyoem7tRWuY67jwlHK18JUOeZZTwrNwkG6awFofMbTMFgt
9ZOf+d2CwZSK75p6vhx3yKLD1n8as3Yb9UQSQYCvVET47dew0e6iwP1SSgU+GlNbSQAP0e1bxw22
WYM1gIMLJ/rmXLVmd+RqLWPHIFE3VY+lqm1yo0EnOOrvVTo0K2MwnGlpZoTQjoOLq4IuYAvSZttD
nk5ofwORI0n2r/9JqZ//+WvafoTcDzBLdZnF6xFlCdRxDZqOhvgs20urpODSsls1gAJBluubMWF3
qB2w0Yar3+thb3hmTlBMaMyV6fCKJLt6JEBqTq9ROJyFWxfpxjUnYyDUNud0LesvchqCzMcUZ+8w
axER2hWBYLx36myv9CBVegp7giGt7GC4lWeX0DinANhZoHXQdNXi2YDV4basa7BzlWVDu5uE5ivX
Z/et64q6yUSpaHOScTSRsZ01/UbMLqAoJFU7H4TONC29ysyAAbyBDkYLEY1oJkemj/+Pv2gIMjWA
vPekcq1ysFcLnBuS7ufI7WrLdoPKt4VxmV+Q41UtABnDCQyUghtF1zyyEwSYLXs/gXQESyLF1DGC
Q748t0oxMaEXh1hHNKG12YaRcd0Zl2PwLseGZmera6tcJuUp3ZDquJja3gcPlLzYGcpRwReYnP7o
F02xbBxCWPUuvEfPDPc1jEYviDnACFtdcSxOPN/KcI8iKF/OBx8VRJWRF9QQ6EdgDI23lTby0EXR
BijERi3Itx8aV66MVLs0yjcdlSkmksktG8xK1iHqgGCnrlyj/6r25hrdzG2Itu3YEqyyqMJeXesI
oafWpVNST0iR6+ewtjaitMND3gRzjsFjQqoE3VUykCMmq6WCGSbH+INZfmcUJiWPwFUNt/XNIJjs
oiZAG+QfDl0/qW6ZWd91Q6Gs0KRgxBv9axoWHLO64iVM6vd4lM92D/mq7ZKNOscAZG49eYQvzchW
xmEN5vKmDdsrjIAM8nTzrY8tWrHikBS8faYo10EunXM+PViNP60cN3oIE3wDIOC9RDCfiyYB/E6v
8MpE75zF+5nd4q+0xADInLl7YQ4MbzGbDkhhMW2lD1VEQiuTuX6r5KpzKkp2NQQM+2HQL6vedbdN
OEgP20i8dJnZeDWBk+ve1F55Akla+zBX0DrfmEwm6Gzt9Uki8XRDhI4+oymIjGwoPfAGWyjjUgUp
4sFMWjAnxK6N3QgBRLCXTHs2IU6zljZNPwLXHkhkXk09cT96qu1VbSecsV+FzCU2hsqc2m3HbINy
l/5EAJfdItevFmeSiXXygpw3qefTglUo8jIa4CY/fKxpL5QCAxfeg6spLoR7ikCXn/tSp0edH/SU
clqEBU8epdWhMZhYGOCgqILSK/ozEDXpSuo7GZu3JQO6cujzmxjD49XY8ocGalWqcmsdN/G7XubJ
TnRRtjBDXwKL5Lq2X1AESg9YbrbMRPqe0h0VUp3WKugrsUgLHlyzIIS1li/A/5/1xrGWOVjAMNcc
9FmofnNi1xZOgyoydTuq4mrkDmAuLHvx1CAYiSIhPTTNDrpODHiTKk9ku5Nxhkp3kTnRkxHkX9PS
v9Y1XGuuAk488ev4pnZZHUdSRTWbgl5WJmI5E8h4DAASzba+yqbwSlOBXHWUvV3TbPvJBbkv25ZB
PoMs4ivCNeFPa4GpB31Kf+T84dmQlPIx2DL8PlXk2S4zjcV7MuGct9WzFHwtJRFrDR3ZapbaG9Z1
OdSvRBmmtJMpZiM6bjXjj7E/BNShxFzg6i8YLg/C+ZL0xEHXNRGKtdUdO8JdUd/QcGwpPKORHTYu
K0I62nyjjk+MwulKFxSWUqMZFFsvA1dZI8BEDkLbMAIBVhxhQ0+6DpXbBFcmCGf9+i3K2WRV2G23
dJXxOhRr3JCcdCZikegxxZKcLRirRCenRUzrHdvM0FjsMyaU75YcUJT0OIrQx5Ymf1SG4bCXkyY3
Yc/8n3YIjj/i0zyCKGlKoYWd5vNQJPRpPVb3KCFQ7xnrBgOFOuVnEZQvtlohwzAPrTXEq04jYo+s
vVMykVxBlt5yGG2FZW44pbS2vWJKMbo6fAM3uGPORyhTSDgDN2QMql2Rzw2zzH5zGp6zWWvZsqHT
UU1aVKfVuS90yKNVTJs8qJ/8LtxjoktXZsrn0Pyl3gTRsFIbdzNSNJXBql6rkxKt0la5kB3igaAI
VlWWItoRzSXfE8eiOGQJNaAKnY5yvKNXNJp0IRiArpIxeFVhB/MD956lRu+WVu4El9WmdMZYM7WL
oRkYypjuU0t/jR455gT6VdWACyHomMSpVvLWOVbpkQ+QL9NhQkJYXcpEMK3OgnQGxl80vnwpC6Hs
Krcg+rtDiBIL1VzXcQ/3NXQWNuIlmxnpMvDlHaGc1ckZqmhNuzc91IPN3hsM+0GMl3GBwcQM6mM3
vYYBuHuVwGr2/Ib6RiTHIZGoCLKJE4evqVjrOQJq+dKcJ/B+YIMtyAeefLqlOzdj3ZMcy2n1ThuC
6Pp1FkYNxU/9Lnr70I69tkeJvJJ1oN4oRodNJWEGpTo+PR53vK6tCBRqprpXXYNTN5iMYJ/Lolk3
IAE/hGpAroebqsj7PQKIjFUjKvPgNLCCTsCyL2SNf9wHTGdGTb9GXvwY48FfGz66aZm+9sjKlwkd
WiQepNSIrr3SBTqSGnVPW9Pw0FWk/Vqvn/vAuZoU8lpGEwmwn79G/Q2jGsCFoHVaGneLcELl1Y2u
tnAoJmcYutGMu5QxiHJszPFRt2/Qod3T1eu9MNPuFdIESbNvUIKZgjuDbWHWSH7otk3Zo7ccD5oD
LI7OYg2ujiEeYhcYjXgXpG4mO6WY3UPVnCGwRG5QLqzYuCJmk/ombY59R9OF88uyCRQyhxqBVIb3
Pk7eG6Xaipqxc+ijpAjH4KVjuGlX2SOh3vuJitUfXl1bvRj2mpWdEqvGTlr1V6NLoFtEoRMp0XMU
E9jghgfckl8sR7lPsOOAVgpUCxdAf0gysVYC7bZW6jevrDAWDdX0WrBbLpsDiMV6rWQV3b+xeR45
KpmwjJ2pWTBBCp4VjeaYGJC4oJRrlNvOfYzC6tnW2hcZ1C/qqMIBD5emMfJsaAX4NpgBfcF63esb
oWPT+mBlZEjjponeTx9xI61CuUvgh+aOtkBTtulT9UB8coyGJnkxdR+xa/dmqZx7Y/wUOkOvIN0H
w3Srm+0DEFRGOsyPCrNcO7qZkVqE/Zc6giOdDKUnxKUjXiOaQXZW3qk6MUXYEq60wObCqM/gRFgb
yvphjMS1SeuhnUjGDdkLvVDDA9TQDjy7NNU57kRWRv4KMQddRrKszWNPn2icoG/311MKo26++srM
5IXFvMCVQo5HEYtN7mP/Be0DCaP19Jp2MY63aJ1bbEfULFtqiaCmPg9QJW6iHLZ2Is9VHNVbw0Lc
Z6H65+yLsnxIiSBUO/Mg6uE6ARp7Hpt83+voHyJb2fW1/prVfbgWQ8kszSgo1IdRX1SCIZZAq5QF
k2eMPK0OySdsPPiTcuemknm2DdM5WKdtLnSjqxi1lKiVp2bzYd4gMJwHoRA3DYDiHQYuen81ObIJ
SVGekoHka8f2xgyM5TY2nYgGU1vSwb4mNQGRwCzAGRX3jfSFfsNg2seWhfQCr9xqHHKSqOCSfIw6
yGCINg4DyEJrtG2euDjPc+ztZKWEmzstCp1tOyv58zGiUpB26unI/NauE5grxY2edfp1yyb2YxaT
lBjgiRaKWaD/Hn0GH44eXUuSBbd5QW5zrcKT7oksdeldeSViU6/CJP+x1AylM20t7uWiA51MM2SQ
B+pFncou0td7oTOUiOvGXtudgnNFGRqeBWddKfaSGNl+lNVL0qdrJ86efDJyV21AJaGOk7JqaKsv
HY0tuzOjYTcHhRlDPS7NmugEu0royyQBG2ToxqsqN/VVOxi3KUO7hdNFBOvyQhD2NDKzwuam252x
sZV85eIxZHVu7nyDHl7ENHRFfOZhCpDO/Nwobf5IcJgRYshbLNtSZwjU91bZQTEw8qh6tSJXkizm
XN8bQ3GTsj0vBjv46veAXYR99DXnJstyUres6G3MTGypNS5GOoR3cZqcaZus5/8S4zss0um+VGrr
VBMz3QY9p7bIv6bltKtD+uYI3ld9o859yui5q0tsPkWi4D7hGNdagbWi/2HNsyGQ3z3v/yUaCrEA
nXSnERu0b5hwL5IoDzcdizf/kljCYEh+AQf5gHN97x8XtonvjY6tgdVK+3RZTFTa/mDMWrbeUbZp
kdfo5kvOP8WmQfaQler7JIbAE6gByLk90/Sm/s3abN3b6X1pFTwZBa1+slhCK5kZIUSSZMMuTKOr
2ta/DkoBqxjRHT1MGF9ILwD6gddC123kdkE73npPSvPFFISKO3HK+YzEILgHOTZLpWjyg18CyO3r
X5i7Z4DN5+8NQRUlgmvytT+gZt8ABAw1r4IJ+8KqM62zNhXMfJ3giQBazFUomBZVw8/w80cQR/6P
HwpNCIT17Ne3HOsTtcAWk6I78wgl6K6zunzrVUyTsrpjVR+W5I9GkBYWStNf176e0xjWD2lK0TLm
mb4eM0wGNAUUIMQLU3dYGgmTVQQpTyLb9ypJIqrqFbX+plRW4xGfc4LghLPBrH1OkP2RanGix25c
RClBgb7dr1vbGK+LcNq0E0sw2XJeEyTPQVJuhMuMmOq4WdvyAc/Uo54xTSRJmE+z5xhV8oZXattm
NHTrCvQvXne/1jAQjdo4J8R98dPyODpudgyqO6Bm9qJyjBt4gpip3DU0q4lQnLBjhF9eM2tyF0ly
THLjqnLsQwenbFnfo48h4NlF0yRHmh6UICEPxGvMDBc3CrZr3FZUpG3ghaNCaBQ2i5IBJXR91fIv
qsw4kJ7tL2in9CvMXxf2oJxnqRWo1mRX6MSmt5FlH8/+ZLtfrPrESKHDV9MEZN7E2yzSOMEU+aMi
cGXnneocFPN+TBvO1zQvXWe0lmHKhSf6+lDL9gkBaXNX18efPzM/MJZtAcOV7oWrMSbFnfjpkXFl
AQRyqAq2CWT0Y26egiK5d0gqY8IXtgtHxwwW2b2nm/KKXk6yo1rWYeBUdzL2YosY5s4fMXSj1ska
/EVp0z7aifHSR9mKMCFzZzFBJkFiSgkXGldqGRa/4GjNP+J3rxrQHF13dUBSOvMl59NX6PmdMqLL
vRLzMUVFyViZ1WEoKY8waN8IpYLeERZ/8Jb+pUxb7+aft7+9F/Vvp5v17b/Nf/WlKGUdBWH7H//2
3a82b8VMtW9++odui4z/fP4j3/2zzX98/DaxQDMv/7tfrD6Y+1fdWy2v35ou/eNH+PNP/nd/879J
7v/mIfuB2//PunsG6/tHBMDu9d//AYnqrwxb93eUeBZTdpwmqmnNt+pPaL9NGi07hM1uYfIcYuT7
x28oZT+CavXfLe4vBEho+jN4GApF82eGrf67qWkC+bb5wU/i8f648Hzryz8eES4YN+L//fq3vMsu
iyhvm3//x2fahWXNAHrH0VRLhwj6GTTpD3LMshITa9ME15AWWTKtu0Yttyl6CrLMfOHeD7p7/83V
+fOn+PZTPxcOnz7V/EQBqQbRkPqb0xe37a0Gyano9/+zT/iEBsuGsKljiylhHGPzrw40axY//4Qf
cITzlTOQ7DGtV1VX/bTLS07XasO01ptQv0m6wuNYY8L9FTZuphp++6Z/XKpvPma+lN9sqoR0t6Qh
8DFyJBJ1vNOWXwoIlz//Lp937j8+RFjOzIR1AYt//yHzyssckA8pu62GuWR6YTy/oD8e/wLBSzzX
334fvChQhgiK+Hzr1ThmC3NT29PJDUgz8ElMS7Mc8ghVo5sj7WcfjjHR+gSlWeoSs3UvGWYpL0rw
ojIGmYde2XBCkhaSX9BWzXrQHxR45J0BUWlqb9sxOFT2sc1PqbxBLL5Rxjdbk4seEJeNpIDiCX7e
wobEl2f2Q65UR6XmkKNEu3CChxIjoQCcIby6FLBT3mXNbLRrPAX5etcNl6ZTPA0li2wKCyjz12Ei
vLBB2mG99nSVkulhSMm3PVY4pBKQp0L2K9XArQnBtaF0VekhINFTM7HKsoyNxli27uWYXZnOe59x
bKT9YzSn2lePA82FpDCWRM8tCi3ckgS8LP0lPC9GWckmgQEkhnyfTyandkTEGPdNQ9nK0FqirDaY
V0RpvJ+hmH7zWuRfDHFqYkAYpDQOKCTws8zJhQuV+Lm4ftE1lAinzrps5dcgOUywDBQkzaqioBhD
4KOhUr5J0n3PiKX0OnED03hDMYFuAeVdlDjYZQWXqWd+oR1aMAAYxVuXSA31oSer0ajyFa/iIF5E
yeCSI32cdxtfLCXRfqP91SyuUnE3xg+qKTZlY1OqExkSLn14CBmyQKe9MIkpTqp6p2lMVQjIaIcH
dJmrtH4pt0Y/rdBIciNfrBhZ7JQtk5ioCs3Fz4xHFndMU0mvTnOkzQ/IHraDYl8WsX8Waf00jFcW
KL8ExY1tG3c50AO7n08aseW1unFtJNY+RIuKx8lT6Ksqo7aO0M1jAVMZPY6kWMw/EOvMwRqaI+lJ
Xqa/1dodAyMW1f247VUSJJN+38BJM5TbOi4Z2RORwggYH7uZHxUyEcqs8Fx1VdD0QKP0BuDJo9+1
io3uoHDn0Iitu77cMKEmoGqjoZjVRvRBuVhj3VjXuTzoYNNETHylnuw7+sSDSJdl015rtX5o1e4W
K/oBgEBff9ERRqRWf6MG3SECeVoPJv5ZKAdRRzuguRi1YsPTuVfaYpk7BCij7jGdYQ1HcOuAiiH7
FoO1uTCx2cr2PhI1dIjXoKaBSAdQexYxgipMbzqtKROxT4SIVCGs7kjcIInCzPIMatzETLdFa3p1
wbg4GZRjGEGHIsok6FA48sBr3alEC6OUkG7tOfwX4lEVPRozNlyLznXKDKdTAIsQk6CQc5LxcCmM
Ai1afYk77K06X9peIYMndUo4SBeIEHlEJ/tgTkiKJ4QNRrTTTMwSNsIDG9N7Lq9G5d0Ou52Geg2W
o3/wreCLveMAj0hSP1XO+FUfu/bI8XMtodU1HeeyPD/CN/AcXPtKelOQNoWyNURtYB2m5Moxea/7
A3hfAl9NvmK4MQ0afvQDtWny+ipdoRv38PEs7b4kqbFbDnSI+F77wbGxEfDSZlcJqjrTxzI6IcI2
kfdiYhhv5tuQx2eRPHe9S7Q6ceJhe7Db4Nod1TUOwkWMNEZdBwM+DqhKcXTqf0ko/ttdHdTsX0v7
pz2XkZ4RQMOxUXRte9gvzh+F+79Ufv59vfiv150/LWP/F5af+lwB/t/YiB8KUIKj3vIm+a///K1o
2rro5W93N//8tiD9+Pt/laTm7xSkSINU/OUYEee+zp8lqSV+V+eN2cVOY0Bnn89Of5WkDnUnd5dg
cOhof5SKf5Wk9u+WberAdF3TZhxsGf9KSfr5MeJAZkETF4Ji2eCnmSuIbyoehWCBIch133NBHOiE
okrH/8Xx6XMR8vkjPtU7FMIkXwx8BEqMk1OE2J28CCIPqb0k3f0KKjf/a9+WcH98Gt5VlUvDse3T
e9FCGAhaVfW9GrJQnl8UZnYsCknMmhcUMcFS3R/ntP9vUf8Danj+RA3Vj2lpsHF/YCm6gg6Ciove
c/r+AEhJTQ8FxNlEU73Kl5sqT5YRSxFr4sYMk32UyXMrza0M4MtxsWUPfKpEYKRYN988lX9T+P/d
pdBoFmqOimvf+twx1GKTLNFp9L0iVK5LI92ifl8RQ3RgY1zrtXMHUesXqZg/hPt8XIxvPvNzBa0H
kgp+ILAm7FcT5pU6fbKBvhNxU+LzQzpPD4ABTxcjSA8WYnR/0XD4uwf62y89nyS+eaAR/lnwpPnS
Je17tEt74B/bn1/Xj57i52dsDg3g1bFhtn9+xmK0eQWWNO64X1xOav41d8ytwmcl8dnt5Q49JZiP
7tCgtXTb4hJC0GTnm1/8FJ/PRPOltgkuEnQ/LZWj7ffftDZFRz+19j2r/0oumZeMxAi1aLuadJvk
7rHEN6vQfAqifSxcHoDO6+SXKnPuwqb9BcbTmF+rz5cEbj3dSJtcDfszyNH1JRsS+iLPGA65jxpz
zOA1UnDQV1WgstbVsCht7H0qFgEqO0zR2OiGlS7NvUvt0FZIwIPxzKhg74Sp11Hy5FgoAsFd5J1V
Y8J4y/aQELgocbGZqJ8YtKBAWvWd9H5xaf/uIeJV5oRmofzVzE+LCHSW3DLDwoePPHms3lSbMaei
AJJOt2Q+vaHJ5CV0iyesPK4pTjpvl3QfQ5rcP/9RPrcM5ptMY8KgUAETzun3+5uc+TYvMK1DzwaJ
NKJ2GsitrrNLDvEIj9D34mH4VdCDyW73w81kmkwULR45tqFPT5YRUHDWbcxLrN7iO/cE6aPTEO0r
ZAfVNKwzJBNJ+KAhVFZjsY97c18FwVpNlOO8ooGGWblSOerSPSKLQVQbrOeXf0KvpIAiGG3E9slA
b/SimFAhY4U0ALoAyFHluHHiAEV7uoWMelEyNLPILWPm4OkVhik3BQbbrfi5JEO1n19q0jT+7nvb
0MY5LKs6XfXvL/ZETl+itDZQSj/ZErCMtAm7Y7Z1DOrP/pBm7a6fLlFjeSknjg7YQtv6wKEIqZfd
Ohq7XV9AWdEyVMtPHfFJbsaB0DAXSoFQb2TggsK/FKhGxguY2stRIY1PoirgWIaj/2hr/dqH0W3X
2Tanv53WBmu2tUXneC3rZNvXBZIRoHxJt0wZWtawX3Q73Y56vxpphgRNsMnpwM/3a77gaoQkOO6W
krxwfm8xKLjTbexvary3m2E1VgLLBDCMYl0wPAnd4WwAHyTMsQeEcdEHw1l1xq31GNzWYXmQGENZ
kXb0zZmTgZVCuoVadC/gTibU6RbnpoRjShJkR9fmXMHbUDAaSg25GZ2ABoCAOjQTU4IZQnrsZEAj
gjawvo/n3jCvm5U+VrI9GBxrYlhkg6Gsm2bcVBGZICGUylHfK8x3fYfyXF6qcBTmK99KuHVG6slg
WOtmtB9rBgSoo3QaAWhc9gr/FIvSbHCASnZCN3Zy6Lj1Fp7Utl+0ruMVTboZsuBW1sUTGxjmfmp3
xYakXY9nfeCLmc6XTIuu7aS9sGnf+eegAMJYNuvMspE7QJ/iNIfY4arO08sgsbEOgo0xg5WC17UL
2gvHAWjNemUhc6zsS6hA6MCwvnNCTcueZ9rY+grOC/2OoBoG086XeN4hISS5iCAs6ie5sLp4JTbC
OCW1s+hngijrZWG9h9zdeROa73iVXlBK/h/2zmwpkivL2q/S1veednx2v+iLjnmCAAISwY0b5ODz
PPvT/99JSSUIaJDqrsx+q5KqpMzEI3w6++y91rcWerbEpjSa3m0SVBuIx7Mwi+RtgPYuwIloMOHm
w1Xtilko2iF67LPUglIT8gSLW0EvR76IZy6ualk0EI22T0KFbS+7Rg6Xd9Pan+qjy0+zA28pKvzr
Lloi5xT7yjK1syt5MNuEewXeObGaFX3tJRS1Xc1iEJPb4TgGbslsSy40t/HBMpvtoEzboAPb3m4b
v2VeIhgYhfPCHdaZ5h4wwGyKoZl39rCW72SI+ui2TJQ6cycBJMM3KiNz48f+zGiDm6RGfMiEXSg+
bAVz0f5MIXb0SnwdREv4sYCRKcRSZRU5+Jq6dUbsNP/G7LjeXBJ2hVsyk1YOsgTTpFWbBJCTwIh2
ir1Pe+bMdKVIP6bFgc/UZizKRypac5basE/VeluXFv4ZAwl/skDgLe1vK62bNnU8t0ypltqpPiwq
/hSMKbAG40JwLSYuYtJh5hoB1BbuknUB6JqKOpjvTyoEOCTPkAdKiOQMyCr1gZ6PCx0ShQ8oIEPC
Wfjd0klYLnV2rvxVWLxlrHGdoVuKY7DKmrfsBYgprV0B7oHGxYfjr7ZmOebnEW86Cy0CI1m6E5MG
DD5qZnxLtYw3wkdkESmroaOgBVXUBTZDKRc7s8a9hdlK2LvK/8luaBePtESQpGI2JXDBZ2wc7rA5
zvs0vaoE3RWS6fkkCW4GW/NPoD3Rm1EYGNz/2i0x0vNcjXamCiadqytriNiPoQaEDzU1g0HbNEQl
btAw4KVAO28jg7EbZKMaP1nBN1SZDx8vEu8tEa6cY5G5CfrzvOiaKiwhTqO5C92pYE43cz8b1q2p
fVJi6ueTVrnuk3Jg2CobGRLUzsrYyDOSoqR3u2CiukujYI0qaVZZNGqSHKP/iDKSxRdyUDim7P/H
hVp5S3wmi5K7QkouKD09Hj9gjfDKvWUnuHCmd6938SMCpAbzhIcp0OPF4jT39pCQTWrOES1/Vkq9
V8C4fBcqZYctmX7WuW/0KMhSj4BZP4wevP5oEpMAb3aOKPWWOoJmFXHmprGJNH038L/wftE9P6hW
+zxhqDdMHvzIoAXWQP+IPqmu1PcKPde1tV9FNDl1shJ6sVvQaCsnemK5KEN5WygNLibwWdn0PDRM
ldFUEpqw1DUTGH09z/ryKbSbeWkbm4wO1r9xZ734KGcnauhSJa1p8i5Mfbi0Sx9wRl48oXi8/fg4
b7JnuLVsoRpYV4iZ4g47q+66hBhordFdZinJQyGMCzx9y7wyNp4KtM1Bg89zl3Ue1pVxAetwnmLK
i7UOf83RcJWVXDZcr9oqAjimCysnP+YlEsaWV0TQfsKIV9954KjFVJJ8LB6FN/oOyx+rxK5Ud9GC
u1Lo7gdSRa+wwNxx5WajEcxyYBvy9u9oTtot98qv/p9Pw9/8h6ObX6cO/pjNqiuwEZ6dOiWy9QBK
lLtI1cehDmDrtHu5iwmpeJPss87CO/t3mzg65o8qChciT17fnJhH7TxOMGNq0TZtMZFHGtBeBPca
uviCsqZ5/PjW0MU7lT+HdF3uEN5tzKdeHzKxKhxCIYfEFLGMWRRbHlWnwqGNkwn0AnbBC+Lylnap
LOVvkU2NEEphqyGUKMydh5tO3jJ40efpDsAswZOY7WAPphNWtzGhrkkOvYvxGd6pHjQ4kCkOhbec
wgFwq1i3qB1KIguQDMwncob44ylmAEqudeX7F46VHjomIdOzz3ihSJXTEIOkK+ujOkbzzsFQGusX
TmDuGnilIczBuA53dUq1WkXQKWCudeZGy8USX+uWDDLUGilvy+CG949IoM0m89xtF/hiHW4vpLir
MQqW+J82DWujAzpOd9plz0Fl/0Iu6PKZkBU48NVlVrd7+YYrErYKKG4VOcohBKxlmjJyh7IHGCcD
at20dtjJySevdSXpsToq1FRKEcwBc+ETNDay5mXdw1kja2bw1QffUBZKzr64iXZ+EP/seFbhrN0Z
7XCjPNNZPJaUSR0nELPfOo46qGpsGsKaCU63lPWzWvaEXayargM8kGw8ivhAKDdO7K9NMpEa/CJK
7y0bW9sZGrMVD3ditJfLDXO5nac9hqV3kxhk0c7YKe1rF9it4HTn7qFuWEI656ADbEyGi6FOFsmE
RCfKmef5a4/iAnrZsqAjJiCIhfXtaEfAtAjZZhWTlaI3wfOnhg46XG0nIkHw9PTLku2SjbK8btzD
aEM3roJdrxOAw5XomvIoUtru48CIY1UU7Bb4ATA1V1m6l30m3T3hzOC86xd9/aibycZk45na/tpN
2UrEwXrgcgTdc9QXq9S5reCD5aE5N1x2FQCKQuoeLR7xWta71PpmZY/8Fw8ru1B/3cJobiAtVc24
bsGUqC0cG3tbU1PBcFPBRIe8r1yhfqtaYMSefgEmcuH69p3H7hh049HOxkv5MV3WXiOmCIq4jbh+
vtvN3IkCFJCcaQ2XZnqsrVu9zQ9RxRavfrRU+FB9eiX7qFK2qZn9Wi0w8qQd7Ipgp4+og+hdBGF8
jaMcPg5tGVoueHSvM9owsttrNjs2lsAtgmUlzA2WGrSzqPXKCc2w4oUzY4wfqPsN8JXKCD54uJT3
rTVgk+cd3PXdSj5zsgBJ3Xo72vFhpNowRLopYf+Tdbu1WEEaj8fHYTDFni50qDF6uGBKu7RS+rO+
vRc1tsCc06xwuUIuENsjYlYQqN6OweUkmquPX3Jvu3ekfVu04nXbgSHAhvX1O85VRdRyfthp+cpJ
7lpSY0B91O4nNgLyVpP1Rhj7J9vmExvjuvbMWaW7Nx9/jnOtAc1DsBx07hxTqjrPw/lyUYpKkHOy
qJGzQX6Ze3jRPO7QEYLnx4cibZfv9Ko9JzuVhOFpAnkxRvGz76xm+H/IHnEWhhntlMkFwjICDQjr
4CaFBUCrvNVKMBUM2Y34miT5ZckiE+jjZaB879l4tmZzLMvgZsyd27jjzaVrO+HeDi0vmKCHLUpr
Z+ifLcm1ckkBsFLoYAQEDFM5BxcLCudOxzYC8yqnH6gcojjc9WO9NU2Ym2OzaXBfgingAtA4KAoe
rtDcqCMbwjBHI9ave6tF7O0egNIRluAwOB6ndd9D2cjTeON5YG7ZcOS2fpHHtCRoRdR2eMMe5abm
8UwrlOSYLbSMTnveD4tAWp9r8ejG9qKPT0qgbPLEB1AdWOgMbJDigX8fOSRJW9Z0manjZd/wgg7T
bl9YhyFGSWu6J22i+ZLxbp/Sg4GQNu6T29pcZXp4rcT5VVOlJHdQfZuN+g1xEoHlPC9KvKrTXVNz
y4NzGDXvZsAZJ3dwQ/EofvGRFdgZULRzhbi4hexuJOxMQ5S9TZc/amnAGzvYWRFSaV7oo0g2htE8
K1XwYxzAAMUObaPx1CjuziF1qOMFotCiw/FwYzb1U0opV/TpRum8U25Riet4jODgHdLYv2/0jixC
GgnxBsZrMOtL77sHV4+3067/irZ91RMc6TnZVWMyzzVZ4WU7Qcvyq57el87nkI272vdvShjDrEF6
TJnQOAdFc08xH4Oe9TWxP5iHkkMp2CNW5WocB6xuJi1WFyY7b3FYBHpmbAaVHTB3GkkdS92S7lCo
Lf5Da7KwFMFOMmHiyr+RK4hd2OiOs5k0bxFfcghcEixidW4UyuLXodxo46fVNsyMncy8YlzLp082
ci0BkIyjclh4GDEtrKqzlg26LAJG5Vr2QCwEll7Ppjzm69fJwe6/i0BARA1RVbBeKtMNuSbPCg8v
gILn1le+ztwSUXVvWLewsQ8ArOa+89MjhApg7ho47aYuuLcMj96J3S/G8K7RiTNJwLo6+CbYIlfm
LeFLp0gcIOIdQape6kly/at35Ka7AIUMW39MDVu54TMriA6ieTZoXAR9e2dAremyELQcdQ+xILPU
BamEHdzSinUxJtdNY38tUYkoQ7ipNefGgOvUN5jXIMyPZJhyGu1by0mvjAb8loUJFCMq/SXZGwC/
ztbS+T7Y9Axk+4jl/Jfz1UIh7/lLK2nnbW7S5uuXTiHTb+iPFqyLlo29QN+57aMV4j5jdzXmx0pp
nsMiujagrusp1DxKafm7mBju5K6evueBwAKckUhc/W+yTAnL6slRq2PVKl8dY6B0UXdBeoX6mrZA
TUtAWyujKvPr0oWfZU+TBikr1dGmm1SvRrCTm7do6j/ZwL3zjiVakQ2Vy8ZAvJkDNjSw07EW9sJx
4bWN5lyWR7InWiM3ke2kj1/qb8TYjoUcjlEX7zUDVaEld94v9q4itIJBbzIX8yPPrxYvZcEZcIEE
jFVZlMrn1sqhvGmfrCfq27XLYB6BkJGdPWMS66xRPjr8O8vokbCBXJ+kYoxGD92HjezixJOAYUoG
lRo/6uIpMKMDu8pDGKQbEF6cFR+2YvD72fhHcoWL8FuF0/xnc65wfaVY+Buihv84vcKLO+eNWuF/
ke367dN/Pf3X7Kl6br8/vVIq/CWdVb8wMEdQwD6Tbghi5790CtoX7mqNGF2dWHEKCS73nzoF+4tt
CNWmSUXAr2vJHMM/dQrWF1f/dYv8LmBAcHsmlf1QOvumUyNnnZZlmnwygTbibGfaRoGTWh57PiQK
azgyh3HHe/VgH4uDe1SO8WVwlV6mlzn/KS+93XTw98M23NubdJPv8p25by+4TRf1BTEQF+UFcMAL
5RKt1EWzB6IDK9nYFhvy1Vbext8Ou3CLXWGXH9B6H+pDdInp+JBd9gd9jjP8oOz6bb9l7V8XO2uT
7Yx9smsutH18JAzlIjxmF/7Ru2z30UVwYW4B129h/65fXMV3pvvvnBCVRijiZFnKas5ZdyAZFEoU
bAC0cRi/aNGqzz6Tw352CNmgePGGUfVhhDbPIWyF1FITY7qTf9JRedvfoQn160vYzFpVoZ0dw9O1
LNRDaFVmWB9F9j1u0h0qfHMemMnM6i9KM3xKY2SobrnqtP6qYV0Go7k1m2+Bm3Gz/0vH83fOKQQk
AxGMKRuC3NFnZXIODACfHRsxvwcolmDrn8xPGlpv+lkcgk4WHSSsOwh7ZAfmxTlV8Pz2uGPGRSpj
CJoMNCWzCs1ZffxN3nY2iSA2dB5oHlyU8Ib8HC+OozVB2KbobhZ5lK0cpTxmTXcfNP4mUWMU/gSw
FoxRCBvtaDDbvX9pRd6pqsWdHmef9MxV7U0TmJWCcSseKIflAvb96w/jlY6lJzEPL/j775h7T05T
nkw9uzIAQ0ziEk4sjLHQuCTG5LvlNusRswhsHrSvZJgwkf2a2CG75mbdZBT3nmROr4wBdpaCe3NG
EAokz8xYZYH/XFKhrSSuJYEio9dKPbcysiFdcM+LAhVQLLq5Ridt9Op2RtruVwvPDOJVB+CpCzdA
HR75OMh4Jnyp/Fy1rE+k1Wx5FPF9eHvXua4M8LrRAANDg+hSeWgh7dhYCfJ9wOgjjKz0n55jk2el
TI9tMD43FtBfO+DzRsbAFTBnpei3cbMzLP9BSepTYFcn8ni6GTFyRz/CxIYJfnC7U9tqIJolKCbX
QEvs/TRLCHp029nQHAOlephyG/ztGOuLDCrV1CVzc9K/k8KuLj3gaI4Bzr2PB3T53QhS224v1RHe
SenA4GulikINV1HEv+k9jjK0MnjYJkMLDWkCjhxgPn9WGXSaZEARSH0oHBiONhkEMz0jbi3uxDeU
rotcxoJ5lnENQVE4TTGPS5ANHc8ZqDZzUXaoLPUqW9e9ccqC9uSm4V3e5fyoytiT/HtJl1mH39V+
8pp8+7xhjuNRJl5Ug1Iizm49bQjsvIzzYTEoJIiNMUL2ZBXbxSf3uPamc8rz9vI4Z9UYET2Z79Ty
OJl0+EdPaePOA8O6yuGjtpD8aqfa122waYOJZpkz73jNuAkykiJbDOaDma9VuIa5Z16NqWR3xU+u
hdzUDLcfvxne1G7yg8qJB+IOk7X07ITkCXOyRhCXCIBbJhItvUncYWKf+bb4p1osDsWwgY6KoDmM
Uur1Yz+IwEGGYPQYr11S6so98WWfHeJtLSoPghSSkkUj7fa8ZY3LNAprBWO8XEB0pnKNW92ANEBe
5J4GsGBYoi986JlDMUDY4wv3fQQUGnxZXN74VbIi3/nHxDmnmLkbPOgphW1e1d2jadMETLyT/PRe
SWTCUG98pHRT+mh5yZM5qAdOMFyAghDRzpB1v1TqT/mcrMhl1+T4DeiZW0Zyq2XlMS2rvZimQ6oW
ezuvj1YXr5CX7qZWvUMplWn9/QC0zHejXQpLMvCSH4VJPskYbLIkfsKQSINan1UkgZjsl4vKXXhp
vc95SIfa3wpCipQ2WeFPm/NgLtpEW1RDt5gyhtn5ydGDuZYBq5a/VyfXtiCfIhvZw9v308jLVnXW
Q5w/sK+WgdOIdMJvHmIdzU6ZjGMPwLY4twiBDavgBgxPMoZbcCdrecaFXkIXVu+mhqxzvyeTtgQE
oylrdAACfbvbi7tOcgpVpdFmFZ0OFqCrKrauCCyYIYPdQJjZ+2awaSz3InXDtekVN3Gf7kJmTp4a
8K5K3bWGRV7qjEp8o6QF/hbmR1uSOoZF55QPoDUk45KEwxKQSeexIowt+0kzfcTysEghgHWKvA3F
IRy1u9QtH5PxslAQfAuAoYqTPUwj0UwRnVfOTF0eBwoqi+QFXpHf5N1bAyOfYgsY5cHSuZaQ0Hjj
ANIqVlHZ39c0O/1au7N8TCKa+q2vp4vQo2hC7hZGX5lGrYpBOWl5Sm692d57A/YMxyGCwLkY2nqf
DMUNqYSrglEkIHlFiIOTKReu6m9j0myDhOteJKuWfOmw8m9Zp5/kO020zhXZ8xf1NcAHt3WPddvs
laLeMyZ4cAiodCTYJSK9gf5IuM2mijBfwHoRpOpxPHSmOARkSgqdCN8U14sabnW1uInCYN2Boo+C
HJpfv7Bw7IjOv60zflqeJbus8C9jnUsF5rNjeGJ1SBY8vwSY2N6joNv2T80YbDVe6UznFGzZZrTo
Wn+vkHYG7e/KyvW7xJgIC/4tVArAlMSxxcYdzDA8r/Z35HXmAkIEnuB85omAlUc1q/nEZ1A6fdkE
WF9GlaSWJOeCxjsDjwYnh65hYhFrAxV0xGiU9P29qkzoplx/ljjcA+PG6PyTfMeK2n7UnO6H05GS
ETa/3s4xK36V5qfY665FAcAhbaq95YTbwnFPEyObjh6QvPpKnKx8L9mlagyNwY5/hAXv/UEc2k7c
RWq368stc6yrqSP1l5cRNyPqnWRnpNUy6Ot9hbChcdJv/pB/t+vfDCN5ir3mRulcUjx5lsby5LYY
SxpP+qeXQG0RnrF6cB8WfFYCWu6rpr3Pc7STjHLkU22OQNwsULd9kD/obrajD9jQ8y0m9aAHxtU0
1Pui7Q/RTdKS3JgXDzDOlBlpHeZMHYsbv85gQDyVxl1T3DihcZHRAJ7bCZ6XiKrcDZt7i8K1UxK8
Ll0580jQHII+nCVu+mDE2Ur+DpvYBi+JdxRFaDraK6+J1vJPWP14CFTrigDsXZXnO/Byezec8HAk
q9Ep4SpwXwL1mawMDUC2RnX5rMITIJzwTlfQWlTJN7dr9n31XOTpRoMtIlfWIUx3Tshg2vYuuqy5
V3wCfF0JH+1nnbX2Au0rnPeD5QX4yRL3Sn5EMkhuCQxYlS6mkCjYVIZkm0Q/urzexzGZfypPWQ09
qufnki3bc3JnLa91vcLVxhPasISbPA/FWB5dbh4ax7+XE/+onbH+9y29rxoe/2ndDLlF/Nem7Z12
hg96PnnVxZB/4k+7hfYFs7mOdgYZMnWO5CL8abfQvxiIaPH+Ug1CHZQa5j/bGM4X0kfxCyDh5//w
a3+1MZwvqkl3w+Vvjm6yjfknbYw3dniadgxgTFwd+JAF/ZHXJZEoJmEERmkRMxAuJ7Vc5baYT168
drUbcWH6T76irzUa8sgpZqUB/QnZpkzNbeIlMfJLuBYzu390GZT1hNKQgRtXc3aZyO5IgoZe+eLc
vrMhftvT1GkssidG7SAFT+e7VdGVpa15xmLAb+k8+Go/U73L3JkopP6pL5Y9IMeiWiS53DBoK70+
NXA2msFvyR0JebLAkFU54LFBmZF4YIpPimDugrN5GEp1pBWSG4Kz/5cS+MXueGjcXmc+RF4wgToo
nTENnmJ3SycCx9l9Rp5PyPbt43P5pvC2kNzwteSBJQjh7PuxO8ycABr8YhrgKc48hLhNdjcEVx8f
5u0l4yC/+sKW3Puf32FBlZpllEINiowDwFKFMYROUFN3SAlc+uRQbzY9ljwWuyrkcJhfztVw49Qm
aclwF6Mmu3BSAEwwaY+umi96rThY4aVOZhYv8di41foDUZQIIwEbMuevnu3q3iH0LjfWdfPc9Lfk
rBrphHuUHeZzDVJTmCPizX06Xek914MZ2QiEy1EXQPZQScL5857BSSbpTxM2/9ilJJYvIrRArX/d
EB/WwhVV6p+kSi5IzyNOBMHpEK2Cvpl1/TMCAaW7Q6Rs3zV+v06DfQ5Bp2xutYIIggpWoPJN/QHI
ZqFkK9vStl0r0DBmG7N+Dr1P22Cyffl6QEvXScXYJbeoXLizrVLZxr1t1ir010g7NaW3qXGZUi7O
dNvH7OBvdEzX7vDku+PR6PpNju6A/fsnF1R7e4/K5heOIXyFTBfMs3uUTNaCJPDRWJj5raAtgul2
XWHZUkNzJdieOgF00yTex85cJ6pmFlT5bx4AnZlq/DRqGiqRM3xtO37FUVYq8+J0GB97N72asG3a
KPuF0+5C57kz/r0z+OKj83Z/2fAqImVqancyFkBP1g5OlBz0l90ps3rlm/WKNiop7Tdq3G4z6rG0
6TdNs/j4eXj7Vnl99uTj8uKtopeKUxLsg712KJYuMzgGVaLAsyvoKIJVKjB311H2j9/RHBU9g2bi
u+HCnd06SWdMoqrZf9JsgUFqIFtK0/tSMbA840vmHz4x+7xpqfDU06zVHANhKr1/eRpefM2RUB+6
siVfE/DKMH5lmw8G7jOoxHvvsb+O4oizWzHoDTMg1oNbscO698MIv+XeMdUPVvTJ13nvQEw2OJaO
whBRyOuvQ/vPGvuEr0N6Saq2xKewwWrZXKvPVeKtPr5F3rbUTZt1VAhKEc2lcfH6YI2LbLztiIbv
q299BOc+/PrxAX5v4Jy/Sl4c4twyhCworfWY7xNbKVw7uhFsPdQmWHmtgocfcV6KnLgIVqSlgp4e
QcRbi8oirhT8g0Y0Rj3O/L6icYxgDfJDZg0A2Zmaq+1Or51NFI2nnozA0Q4PtJ9RUbE/w7FVuHMn
Kratujba5NZueMXn+eMU0FGMo9sk/jlkzMwXQ5TumVjOg8BG/52uNT8mJxNTN6E0BXp9xSNJITCX
k/4j906ws1eB5pB85y/8JwtzvMXOzkydC/I2tjZRoK1VX6aeyu7cQzhYk1gNtkFDhujV1xrDdJW0
EqNhLGw8+oTZRq29IhBvAxsDakU6l8gS5DmkdGcrETmrAliaPqpoB/qN0mf7BI7ekLS7fCQzPuVj
l8OGFPrdlLbMp+vrKKmPDd6bCv1AqV67iNCn2gYShsUySdeWEswD8TUHzgh+NdB/pDREwzyHWu9s
BE1Ucyxx7PHVAy4UrNS2ISZG726UaVil46NnE9dAFAeY8mM0DViEsm1VJdtQRIcUjfBEVyZIxSot
1j4WnYLoQPqQa+7j+cBOExk4WFHnOLn2prLIjawt9JoxMGmxjczuRlPiTabAu2CUT0rdBViPI7Lz
jaKXC6uC6qsyoMAFE2M/i5EBtygnoqG6yyCvu9qtCekgRA90tIPjiKYSy7xGWjXY1fE04kFJUd04
fD3KEHsR299EBdYig9pYARnU/EU3Xkj4AHFhM0EOpf3gWZuuvsyNU0P6+1irM8v9HhtkqCuM30BC
tvayiwyYAo9Filyyi5cCRoajnkpKnQL6ae8s6N9Jw4RyJAGmKRNykq/kcW0LbH/Zb800uYB6t3Wd
+lpXB7Bh4A0UH4dFO3fc6sfo+fA220NobzLBU9Bq60CJfza5dYPk98rsHkMcu6UrbttFaTRzJQs3
EIlQAYK9YL/shOvxoNXmIZvcbWkSvpyqiy4cVxnelbrTVk5dzTxLneMrXemwKMte7HU13NM83uAr
27iIV/F5PBjWM5fqgDiCoEZuVrVaqcF3BbdGowc0xCBskKIbG+Oh17MbWmDrcRieo8Hf9Xl76YgG
46SzswJrYxoVCbBMWFSsXbm7HBAJOGm108pqVztQ7PMGFRdZbKSfbDJHrJh1zFlTjkic7WlECOJd
oXYqp98m+nd5Oc5xEpgog/Og4RQ7u1zGEQUVbLUa+D2KDAgZOnh2vEnt9yhWPilT3pE+8BZl8WF7
B/LxjdQCFYZF96xlySuzm4z2RkVwm49imDCfmae0G7Icls1Y3JbOzcev1/cKpBdHPi+QOj0SeGDI
sRhBuoAHoLa48QmFhzz+ybL+3ir78khn9YxNmGEzJRwpT0og+MGiBPtYwY77+Au9uyD9dSol+eDV
Yq6EBoJlkCB++eQNTLc+WY/eO2FcDsugRjEoKs82vIrfWkZhRizjjOrFShHL1tuF5SeVl/XeIm7T
bcesC6wLlcLrrzGQ9d2XFpsrnPgrSyHZ1lIwHgYUps1jS5xJhOrVtgYMDcNinLJFPYD0o/AfC95k
6B39UEVJa21s0qxGho+N8q0rsX5O1YrMFsVTd6lWL0TcwFGZlnUkllrpzLVcWyRZQIwYWaLmA5jH
Q0foWNTSsa6mWYTIzEkythBIr4zLwRuZQ9764bWgG9mHw76zO7bzzWowzFVFrapWB6W4r9lN+fFz
FiHDdletIz3dBG/37cG1Ln2Pkb/j0g0Qsw61ImECK3Kcfkd6/aMG1N9QyvytHtV/XAOKe/T/bkBJ
Fc3T97x+KaORTIg/GlCmS5dJMsosVRdIaQQV3h8NKH6JHRVdDvb+uqZpFs/Knw0o/QsVqFTXIByz
aH/wp/7U0ehf5D87pF4wS2Ml+UcIOn4qT8LL8pB9gstfBs0BIamM8kl6Ub1bilUEk4A43eXuIvGf
QBlsWt3atJV+EDTWEznwJRYEsDNxayWvnBTTrEBiHj3nGAmoK9Rv6PlY521tQ3t8MRChCbV7BVrb
x/BPDcX0Y+DmnjDXQlg9FuZXP7V+0OFZRD1lDVEzs6AJfsSm+M0ayG6gwFd+FTriyYj9O6ccV0oz
rD1I71OiLEdMf2GNk7HULxREurwXl+qIZnbo1i0i1RG85gjL3/UbZOpimzIkis17t3GWiZKuypos
irSaKwGjcOScKFfJNd+qUIwVd7iaCIEzzHzVE3SfWhrGELGcgPwrrYPrXswIEMciqy6rwSbBB5K+
Km664YaoC2s22u1hJPKeHPFlSGVJvMGDUu/7SNmbeXppG82iASxtFnxYEtIM1V4VBuZBLEQl87Co
VBfIcJc+ZNmOuQ6BKCf+mXeFjXPCWhIClIfBBSa0eT4Aza66terS9cgTLoc41oRtVxuCco6Frv4Y
nfY3IxXXgPJnGTnhfRBfl91j3ncMPuyN7UbHMI6XFr9MSGs0K9Oarj2CPAN/SRhrFXWuoc+JY52R
nUDuAjnw9k8CCrcWEGw9cg55od7Uub8DxdzSbqmJrnZycQU5H5wINgoiu6jK2XTnJ/lNHeMbVM5N
iu40CQTrcrBUGbcaurdTJ+xlVXqJDGHhNSNqW8ggMzO21xL5mhvqA7paoBDNnfzObWbdE16/cqt0
2yK21Q1g+dXWstq16IZVm1PSk/tAQNgByP6C/E6tQwbsNMO+pNKCwx/tskwnaTjel910rJ10nYzR
17wd0RM5iDbot9jpzaQQCsa9w/j+OLIzU7AqyNpajHPyumZONKyGippefDXLqxL3NTD101TWO0Cz
S9M6mdxohXJpeHfo+Xk5g8Ru00ujMdfAz0hFzi+SyXssB6BxSG5bZwt5DPAXAfJavxlSOhJ+wj4G
r5vKeNghXs2rQXokpETVO0Pg6kywninNMq95KHIVVQWxTsJZxNVWHlsLnguCBitBBgG3e6ntUkI+
o7YhBRa7GDDZqh3mOUCaPhvQi90WU7eO+NKen8yAWx0nRZ+TSrQPxmvCUS50eTcNzjJUu4URpRvD
JprW9xDUcJ2meseg7IJm/d52fIr4JryuNMTTVeg9ZsRmjZO7HpufIslPuSsOKHGJ34Kk3Wo7aAKr
huVSJyaQMA5y09kakZWjZHOeLbZMNO+XnjUeyfU+qRPCPOU3oo0uGKUvkKJVhMjYwbWRDWDDuo3L
WVPtYa/r3j5mY5ICE4hda90WmNDUbjMlzsYiv7kTxSPhz6YRXYdQE0gIWRbxuK8aKOCuxhhJIQVz
IoIl2Y+FMvxetP7/FbUJm/F2LH78z39/Q/XTSDosCezZy/VRqmU+WlGDp3Q8//1/rKc2cFamLiiq
VegnQITpnP6xnjrii+EYiNtcXfJv+LV/raea/QUxiCFc2lOWY7MG/rGaauILzDTB76fxD3jK/Ef0
rF+Gz5eLqQBJyiQBh6r7+4L6ejE1CqurjXDK16AmHiPp1Q6yjqwSzP+XcVpP+PTAf8hmQNAS3lf6
mA0tfB1bY4I22dMrnI2JOoNYFS7Z6ZD9nZIh9uJkvjPDeaOQkR8SxawNakwOt84HD41mi2o0Scmr
TDR/CSL2VVKWcDQNN7xE4LBvSlo9vcjoCzQseplmDXR3EhgiXQlioED02uQ36RQKYjVVbfvJ5+MK
vqpI+Hwm8zCb6wSIjHHC65OYR+nIEdVszRuqn3OK2lkdpfAZXP1BibVsWQVJPe8tmkLCGTtiF2E3
NpoxXRIXXOLoaD8RFZ1vJvhAFpMTjZagBdjrfISS8WYYScLJ1kGl5TS1xuc0EVeeYCznaOUu8Az3
95fD/wkRO98lySPqCEINh6Yg0yG5S3tRlMFoIrY1Jxd9QmwNM2ObJB6OmGCpObn+yfl+91gUkzQf
IZ0w1Xx9LJKpi7LKyNNo68Rc1kF96bnIla1R4zJ79iff7I0wjkeD/Z/sdUI+tt7Qs3utnNRGy9K1
42BkqnVPxgyKO1GkzFO6TmwK+rtu1KLME1ZJCJbi77WCqLmRLN6i4G9h7TdInPDqThP8fWGPxZKG
kNQCkHfO3nIDMTu7hLo/fkLQVeUm+/XzzYdn5qvjwNQ1ENCvz9WA+KE1LbqUvulc1Q2hUHkSoC6C
6jhprBuNVVyMSkDbK7wzEXwtQNmmy4+fD3k9Xn0GHbe+iWQPmTRz0XPBHicVOE/Wc28EY7EQfg10
J70K4maT29126DAtNSa4mo+P+uYukUdFtUeyAAd/81AaRhG3xAOmazcDworoSAeGRaWTQGRRk+YP
/8bffwDYLGmSgciT57B5OnsAssbwI/X/cXYmzXEq3Rb9RUTQJ0yro0pNqZdlTzJky4akT3r49W/h
0bXksOJ7kxs3buMqCsjMc87eawdxHomJ86lZPfVDLTatjHQrPrup63ry7gcVKyKOpQZDARvEnzfV
8YKwzDixR72PJ1vVMPUNebmk+tYwEhCoaxq11f30Ov9cdO23JlTI32TnfNKz+CDRRnxJDYZUgc3I
YlN69yI6quvawM2zqKgchmUQaRpwHMXrqByCPpPn2YcM3kEentVXyoA3R4+3xuLe2FK9/K83m83V
szF5MJ7+OHove7tpx5hfPwD2uu2acUS67BS3kyaL1M7jn//+OIrZdzeA2he9JkMdh5v93ssxMrjs
haCdq73LRCKJKvajc6nc5nJS6SFLw8cq05+seh/fIj4zZFUH2hKy/b+76e7YEHy3IEZKVXbTKLVi
lY8i939kffxVZf53p3C+/++XCWHj90XyWK/kz/8u6v08lX7TElc0ivJ5AvEc/tJZcdOJ/N4yQXcl
AInjxfjkXn7YvBxYGby8yG0FDob3WwnzFiRl9I+jlCATDtaWi+87nsptZrffQv30P18jWmJuIkcp
33c+iDZqx0vDkPCg0Kz3jZHz8MYZwZ/OqRzENpkVujjYw/nCMf/fn/z7jv35GmN6AdkSrNfKKvWu
5WfB2kpnDyu/gNu+pSvHRPzStRv/CiFoN5bI86vZuJys72kc5DARrPAuaL45WLsZdxn63GaXYSv7
g0EQ18vc9ftpuI37y6Arrt1Jt2cxA/UsqpreR+m/SbcNN2qM7Zs0968MT0pUnkVwMGonCvXsf+tm
/9xX8mhlRXC1BFCx/33BH94aAZAwRCHDY0wzSKz//j9nBG9Y4mVaIwgJXG+YG6XGZhzzG4JTjGiq
y6smnOBU5/qWP+OTj/7wTP350e9PkLXdGkViSB2hz7MdEN+pscW7G25vhSM/Oa5+2Hj4LIQ5rIwo
EELnvVdEtWNbY5fQEY2KiwzFbgMYMFXDhZKfLMAfoJWo0omLcB3a0ogugKz8+YsaALagUI+a+2u+
IGp6IbKKIPQOOZBbHGAvXvRZ/WAwe0QSjmnFIMVeIbdOZ9JNx6X8XpQ25LgXtmemIoweXCMjuzBP
gp03d2+6A/fBwnq06Ee7EKoTa4QX7Q2vVhFbmySpVjkAUUuWt9z9+1n5eOZfL209bzEdYYd533ZP
p6Ivuq7SUTynK8yPKVs9hcBBxP3U6Ye08sl5TGS6GWp5g0yctETjQoaQNefUenXkDF4rmBa4W7xW
//5u67L3x3vLVwvcFUYgXHyFa9X23+d4bpPFyDOjjhD50LpOiwNJf/Ynh6a/PUVrWQg8ExQBgIU/
P6QPkMgv0qkJgKvfhATT7pfM//LU2rvTZ+aPD0gJHiQwHoAcsFzxl/c91aHxMP6qmk8LcLj6WAhC
chF8n5H0IImWLQMRX3pxmR8NRnTFGF95OBQ43dqbVn12aP3LOoEEkhkIOkaUhu+3Hc+px5mht45a
4UE1XwesfgeypLWWm77tvpU2ToFFhScr7B/+fWt//6zv7i3KSypsymtWqfdjmMKrLTjGmMzNdecZ
yFtu/brZSRBOuy4JDlYVXHeBZ+61NL66jFkRppNpr9yvsWPF+wXExM6TitZfSj6mHPrnCstam9nh
dimd+iKLIeOMc3hyapT13fTJa2Ove8Yf3x+WLjHcNrUfi8+Ho2FSJGWdC1i9U8gEkdRCvFPLxu+P
U5zS3e162nhV8OTLBipbbqFahkjg4iizPOaroJPu3dGlZ1cRf2qbhXlZKRsSpI1/cXSaT1bKD6vy
+mV5tKlVQ9fy3x9pHDmYhsq8MvJmMDpO4Z6rpTyMRX5ytXMlE9l/8ub+fo7f/TyryYZ6nVuMrefd
gimWvqXaJl8Lx8hBZ15+N5KSZ1ZmsQtdKqDYIG82yxlUkzmp6wAnCJI9t14yQjaUvc26+gvNRMCH
mB7bPtt6OVkWvn6lrj+aQG8s2pgbbKcn38hveFDqre8fhrx6FF53LtltPas82qN17Zb8x7NP53Mk
l6mBHJlZ1nawGY6FE5INwyP1A/eAvQnp8W8H9463Ec9VDTO4N76sKdxOIn85s3s50pOxBgQjhvm0
LCYRk7qYSSiU13VvOgejJ26x8D6jon/cfDi30Dpapz4BHZj3ir+i8ca289wqcmsrqmz7KmycAQ0D
mw1LxlWeqxwoe5ahfyJKllzGXSFmtqrR6UjjXF7SDrBRmIZPSTif08KssQz6N+QikprlQUX06MlW
ZOb2hbxo++cB1WSzmvCmfnpRtSk2Q5Y9FqNH+hbp1Id/LwQfC+f12RS/T7+g0piI/bn+kuCTIv0j
j3mWL/lYXwfQX7YLLsVioNwKekhWmW1uJSi9NEAbEsr6//F2oOzl0E/gDgaxd6W7l9gyaSy+gVHF
DkHbvLrxaNyCBP9RCnA1ZaCCTw4UH/cBrjr0waqFhOSBiXx31ZPZ4v6lSRolmmWjzxhszEZ6afvc
JOtlqZJT3TEjW6dFjSUuWGQIrRzK56qWx09ugP1xJUOxTW6VS28NcN670yIefwCo/VxGcclkzTBF
lNjuycgQqMhf84qirbrXEm9wl1hHN79xO3n7yVf4sBFR2JLVZDHP5HwOTfrPZ6BSec9+OZZRzTnD
1cNPe1IOPHKYPXbfAJPtHvpguhyxfxPMMcS78Jv05pds5lZpsYjNFM/DLgx/hQnHJadMqSP08sma
9pdFdG3suNQvFoqb97dsCGHRLNlURrYc1ggT+ZQndHgSzzmvt8io/E8Q+R9OJuvw9z8f+O65VMMC
E8nkA0V9h/Di6AN5XvOrXXhG/74Bf/8kxs2ey05Mq/zP3z93Uz15CZ/UR06Ra8Zf9YPvx7/yT2rA
D9B/CnmaN+sWtIal0T7584PwdjcCjsu6EY1vQxNe+jn5KvckH4UkTJuRYRi3KPGtXRMEr4suN1Pl
f/YdPpwq+Q50kKlBuYccet+9euxZqWgIdIzizFf7BOoCmaNr6ZuJcdmCxZK7VrdVZJSAamsOnv3w
EwhVetV4kHcoFK1P1p+/fSHKb5zWrAi89u/2ygRyYl1ZqoBbXDhYKtvXTLO2//sWr3/IHxsyAw7e
rXWiQYbIB1K7mOl5mkrJQ++glJ2tauNaTXjdNlQcSkFd66v6wSxoLP/7cz8W33ywS4Oczj1HJewh
f95yIwvJwcWcxkh7UQf8rq+y7oKo7Od6UzDl3bRVQ9x32gxnZ4kf6lDXNxTW8WYJSROb9LFlY4zC
3ngw5BIfRZLt0JTWkWDR3Liz22+ynqy62ZEPBlks56UT8dUw7720/mEZs3NY+oaQYH/Y8VB0GzPv
XxaPFzgHq5w6kIc6yAAwxLHn/vvKP6wXXDiPGpeN5/hjp37qZe9w3goPKw3eLJsXZTozgLsOR1j6
E6BD/0kl8+E5+m1X8hmYU/kDcHv3FnehxsjQu8EhSUxwSJ0CUhY0L/++qvV2vXuO+NOpgrk0cpDe
1wwx0adqXM9XKxTMNpNHhL4IMLN+9+/P+cvFELCINCZk/sB6++4tbYNaZ1aXBwc5kZdLiQa2ue4/
uZgPuAmCx4H4I7VZ/Ta8fes9/E+nRIqeiWIxMuayOudAx3pTLoM4z5lm8i3YbcKMdDRhxunOa2Pr
MszuTeQt16UO8dniMGloldIUQONQOBYLpwqJN4uLH7ixpohxVfMcTiH0M5W6BxUyGTe75GhObnhR
hBaZFdbBNVe2FYlYn714v/3sf94qdlIc9TYQERaX9+fGtCu1RObrQm1AZZbq5MGvp2TH1L0/N9nX
sCDTnkSir3M7XBhGkNykNWHY+XycxXBXDDbWMzq9h0I017yyOY72hJDZiZqrMrgmrCHbpVVyO1fw
vYLSfFVT42wV+V/1SmQjXntj+iTn6TwgX3tCJWTVpnPfhNLbDUP+MLWzv0krzudezAvri+w+Tb3s
wBKJHmJEZStLK9gHC/pgkYcOM708PzEYxIAvs/jEvBG3Tzn8HHqAsiqdy52bwKUc4rD6OlBT7Ow4
rrapPcI4hR9tCTibZWjv+iZ97ipSvu3Fe+tRmBdmHh8mC+wfqbqnxo0rIgicJtIIKiefwLzEnS+U
YhnKDfdFezWe9fB+TJ3qbDfZOfax3aD36feeIPNPELIOMqDe6wVFVFGR8VtD4L9QbfvDx4ZU1eXj
qK1LI6S14sUTT8wCwFY1jXgoFHSRpEGbahrGvd0PVwJ/Oj2iLiJ/3Du4of4eBDqJrH6uonLpZuy5
yXArtPo2Fe3LsmTiclEFuRpN64DGI97eXUri96YcM5QWyI1gwGycPF02s23ptRH5bZjMt9gYjcsg
YUZElh6ycfdL2jTNdeqWL72HzHEJK+Pops0OPXp83WfNcojNPDkqJcItqzZMe3ftVrR9JHQSn02R
fNXNYm7JzyMXEcT4Lm2WdJ+OWE8qjCB9h+fFJvQ581qiX4gfKLKm3BE+6G8QgRknEtODm1GX577L
Lt2klA+iJYtZ+MNlTH58F5Te3q6C4lClVvzaiEtSOdBFJsDv6uI71NBhZ9TTcO2RynCV9Q7pCYPb
nGy/NbZlO0gg/kaxXeLKQqc/VE8U7rey7+XG6fyGNAPP3KmK7FXpAj2BRwDmunJup1LGW44u7eO4
ZK8Oz78TziiCYi/kUiMyssSFW4FvnXr11KsMebwn9ow+hyNfHegAnrBIgOUHp8E+KEJZAfSsb7WJ
McYinHsQ8Y2oqwnw+Uo8F3K5IPg44GF/aCo9kIUQHDiSV+fCX3uIX5Z8Sr4MRd5cDGN1Cr3G2Bal
KI+LaIu966Q3tT8WX+Im2Fcr+02Vqt0bhZHcOT2iMSv8Ypl1epRube4NF/97kIT55VAehtKzn0OP
jMH+Umfj9DyoeN97VGZhg928IdMlb632sPgkHmYjESeNPW+NpbzuDeer1dgWpBjPOY55k+5NI4WU
WYgAhkb8jQrfvOjN5DCZZEaUJVKw0Qwqim9BcHeKSdUw8uowhHO86zWMz7SlE+XPrb/lLXCiYlTX
SUwohyVKKJSlaYPckPWuq/mT0iUtHutsOQ9BMx+NRRLRTp+fdIH8qq7Q0gEP9I5jDVAhjVHyIMhY
OI5Y6cbihA2RY4QfRXscWp5n7VNwlq1ZIoYKDXUFt3Eq1HwL24CfgFJxjzL4pC0nvwqrEVBs5vi7
tOYIzSHWjaQ0f/pTuCaYLZRTIatRsyj32OXzoxz7OxAr2FBcG8xuIA+hs6p5c2RLEzAiEJaBQ5aN
+VTUQXJEqYnamOxvGKgvTiutk+v5M4xcjCkVeuPYxuPh5eFw2+vr1L5b1FB9ReexyQpA1WbmJgfW
nPlYWiwZvqfEzTyW2dkZqmJ9/NDklSLZQO2o0rzaTKIgRBHXe50k6akpWZAlPUurmC88HdwYXZpc
V512zqarr7R7Cku3u5JzlkOENrBYQo1yK6f8OtkH3wSnPJgZsjcgQIHfFQ8i+TXleoYx5PqAR0l9
xbRsbqepeg3M8Wg3OJ3rQDD3Knmq4/SzUdQHV8DvMgSsLppbAuqp5f7c9mOhltK1jIJEEFwobpJE
ZtpAiLLPM0Xnprcvw8FTkeRFaea3fx9sPgQ2rB/OKIGWKwcczvvvPnwAHZaVNZqRbvgiY/Ji0xAI
ElLc27Co3gqAxnEwvfWWf5FBq9jO0nyp1U1g45n0Hdwvq9WZwqgLv5ghktZ+seRVO96NmUEulvEU
h+IJWwe58tby4sfLi52EF0OMv8kvky8IFfv/kVP2+3o4PnG4Jx36gyKlqxJL1zrkx8S1iIMkYYrQ
NA9hbcyfnKj/Wj5yIlkpyLblErz0531bgIS6qRRFNFh0TYrsespFAciCaJRi8Lqj3crt6IZPfRs2
pJ0uLwFe2DmHwfXve/ixew2FGWYAjQCfgeaHZOaG+KnW8JMi0kbGkm229Cfw33skzGAf+9EEYgaj
1V2ilNoU2iVbTQa4WZc3zyculu3+ZSYDBW7vsGxHO8bUZBQ5MlR5HJglhXbXX4gQLrKH8kUXn7Tc
/tJtAQOKGo16n6nH+zqBVc1t5tjIo8ogwLUWiHHrLDv5zvw856cVkW7Yw3VqpeKTAuVv7x3SFIuj
KOMciO3vKl1jnOe8M/ycThszsMqN0XmWHZAY57tW8tbsxEsBqWS5X8rsM0DBh/RFnlPXovTnLIzE
7YNNVHoiUTFysYghEix142BY9k0lIaUxhcMP/DYNLz5W2LEPwColDxTMMITDJdtOYeIcfUfL7YLN
OhzunAVUzb8fqb//Nv/5eu+6PTJxMGYVPFKdd+83y/XvHoCRk3Ctx7vaDvczdj/7OgXr/8knO+9L
On4Ym2pulXkBVHiPh21ir6cHLnJ6P90DKUa30u3Exqq85GLGPLbjeaBBcPCGgnTc3DpYsXlolvFk
pM1nrdgPngOT8HbQnQwjEbuQZLF2qv5TkI1KWmY21nnUqpyJlH3wErZIOQ2vw9yG22nZ9eM0bcGz
hRtjtAASet3BNiArV9Vt2d+U02ugxQ+rL+AR3SfN+AiW7o1WDsOFMd2zfyqXJrnVY6jENL+PtYi3
gR87JJm1r4arHyYCQlD5JncmAoVNVSRP4/Dr37/4B8j676tk5MrtdiEwrB6O/17lMveD8AUsjz7l
i+XQBDdGwquXN49TZt/KRiDcBk44ZPlXc/G+cRecTWsFcI/peJa2eBI226x2liinEUoms95MZkx3
quFlRkhX7jP+Z/fctXa9S9O9NvC2VsH4Sf38UZjE7eIqAm4Uf8O09s8L8fn0vOdMFVHa0pqd8U4s
IV8hzuzHCfZHXdcXchhueqsE7Y06lLSlZZoe08BlK7MJtPj3L4sD5sPDjAoT1wMtRhZnKLV/fqPA
k3k4DphcOZCsT/2pUg0uiWbXlgYxfZa4lNqztwPv0QXK8zJpmBI2ziYfPY+oC6K+vao85DGmXlkR
2FKlX6wgKYAbuWOkGFQczKTTuySQLkHOwb3VzN2WOCMyMhTdkCK+Tjv7tUP8ejmnF/TavAu/r3dj
rcxbQ2HNg3lPyhF4SjmeCyG+5l3o7WAaPSapCzs2ML+t0L2Dk4i7tCEPkdZsu3UHIRF/hT8GOQD0
VsQBZp0pbzjeG9txsud93bWaIC4RnAZ373KkZIpsgN82knY/w2OkaZ5RbTHZKcwz32Yn3ZfFOSd2
WEZyDr9X8fjLquK3UZYJTA4Pq+YyhYfFC15ZlFASFvdWJ6wojAk6qWCH7PAz6y0kCr3DdNDtUxiT
uDTGqJMQHNh00zVxe+bA0nXP7VDc5mNcH3TSE9GSeURlT8F31uNg03WNPI1BrjZxo7w7EXbe3VI5
W+j3bAyRHmX46o/UGte92cPHS8oLNbnwN0d5WhAsnydnootnYjMer6dg+OoOCj/y2A0HTrEykoCc
rDS5BVaZoamYiMVAhropkm6ziOGnlMaXIXf8qHTYhxd/virzGCCj8jd+MmPMMe5bV2YEelKj28F4
L4BHbHzCS0y7ac5FHxwQC5AaAtui1hb0WRzMvK94NHwbxrqa8PJmFk8ZGPfYmpGvCfGrMHvrIERO
n444OqIvmlOaLM4mVCMuw0Y/+oapt8tY014Zvo5zITc1w+995iFELIZrGNn1vlTLdrKGZOta9Rkm
VUSNjpHB07iYKgFf/UjXt44ct3xQhGpFYzuTWeFPX/E30M3W39q0yqLKFekpNa+T+qKoXlvRYMxI
XdzOQXMlPGh5PBCtlRw1S0hqWBhZBy8gEsP2DwbetWN6YLcfjpZu630QIK1qguK26vqjGmy9L0xx
05vogfrRYKN3ee6G5yVnSm8q8F3q2s18fJioIvZGb0Sjh6iZp/c8xSQ3CTuJDNUda9t960JcLcvy
IMmZzHT306/wbhup8yVOrO9WYpHspOKZYpIJoo3hik5P8ywGiO9jmRR7XnQY71PikZohd4NtZSBM
3SjLRPGIkmrCl8tS6WTTy+wIEGZIDbepWzAtD8ESdKUN6bkDhbnmVlRz1qLPKMRFt9jA4/JgPz1j
cyGyL/CiHmU+z6L/LRBjRvLmdFXx7JDHOqmDMwy7MmF3reQacUGCWU0FQDCWjrhpQwwAknSr5NQr
aqVR5HKf1QUnxzL/lnfLzhwsft9QQ7pLUsJH6W+dUg1UtvJjcaHCbdX3y61RjLvFk7ADdRBEBNqL
rUylQ1ujfi0tMjgIWXP2Q93YW7O7px3hXbbKsDalAuVKZW7tlCe/yaRHJJcpdUOE0SVaUJi5GzPV
/t5BxEZpOzUXi+O+TB20RtOuoOwOkUp6FoDGao5T6IJ6NfGDtVbZnUn1TojzgAsQCPtmIrXVHs3i
vs2fkhyYRJ4n85U/eO55YPJ8IJiPZESI8Um1ZkLMrK5N4ZDTRdtm26MsPmk35BnJxoek6ty9gWp+
E/v9oe5kt8ta5UbwM5fz2FtiJR2GZOXYAt8eITWm8TSqTEVZHJA5vdh42QITd2K/ZxaHx1aJfls3
coMLSVwPzU8jWONCX6uwpi1lQ7eVi7K24CZfLKQlG/KIrsvJCKH+8P9NgPRr/UPWh7x3Jf3TJdgW
pND6MaPslsSOrkblsYQcQeLQJpbheyB1tnMGMe7bTEuCXIt7t4bywA4SUM+hqPaN55DjJojNX40A
O4W2z4sSFVZbAmKdr2ONopsTVX9Wvgt0C8PmDjBmfUkL3d/3ZHZ8yWLrJg+m4q2qzDvQeBtV92t3
wziUmkXNGbqDNq0xyrBdbMm04b3m5Ww6me6nqaVKQW+RutX4LQdQIHzFRN5Y+O0MKErQNQefaVI1
4INKhUC2sWS7vk9JWSF+KMgXjIDtYUJleW80nOpdrR4np9XXzIqaQ8j8e1c1LFZt4w6Rl9N4xz1h
7Fzpxoe81GSZLfI05Ub6vPSkRzKYuDb7TG8CQZZHqSq6DVVgH2bXTsn/Yp2yHPnYjsWl1w1llAdz
Qz9qwPyWL4fCnsUnc4qP+jmC7zlmYCkPmSYAh/nzwBEGTeroeMojb4Io5fbluJ1sR9/MBvmUhJIt
V5nyzzZl1s4RnY+6J+f17QeuetKbUBg7LxzJS2vqZgt9wv/s+30YpJDOTLGMNWpVvvrv2w3gP7xA
17QZFLqiTZFf2ANjzky09wb75WJN+Mt7SvVwHF8Mb3rx7WVPHfuTVOKrDn7Epye0Dwc0RiIeA0ia
T+tk7N3vVWofxW3vpXRf/VfRjca1R8zSrpTGcIx1fap5iQ5LVfokUli3g9t+SURxFDrrzk1KVpUK
JaGiVQr6c3puZTEd7SA1tzkgWdtsTdJTuuxgdhyYXQ/2bccQOchEfO32stwFaKxFyWvrFl6UTu53
rwCwHM5oxaxw3HVj8QAT9mK0K442Iz3HsAzKA30ge7y16MjSu1/nlfNFl4Rvqa2b5yXTnxVBfzlV
Yzhj00Gztapb349MbTVg2beqNIJJjQJ5FME2q+qfjQN9tXSAXy+YErZpy2E0sU6zq08OvkxyfHE7
KZ/3MKFq+qQ+9daj/B/TJL4M/pb1S0He+zBNojIeRTtbKjKCNYdYdvuCQcKFMjtO09CfIuKWiXtU
8iKI3WA/DgyLkgQMj5IzdtYET+vsUNcV8tekDMK8/TrqYBcizPJYmlvvW0ofmBTr/uDlnb+13MQh
Z64IH/2uwyM7Daegn9vz4LOeuk3/LECx+F52Yq4N6ZD2+21jZXSOp+lnusbsynBiuDwtz8x+7atm
qFvOD23KEKH+1Xnnnr45ocdwgSqtb7PJCjc9Ma2bxu7XfWSMUnPtAdPk3aAqjJC4pfc2SVitTurI
silP/126ENn6/hdmpICNZn0tVpPb++4IaXJ2V0jHP+S+nVCHLMRXJd3drLPg2KaDf2Z1HofQ59i6
3CxFh8V74YQV1PEXM1bxFjX5j2YJOST6c8g6ni+XOZX/JjE5GVBFMnD300xfeUv93aoNDhgm7L2s
czwyYsuSE2r9BbPcde5qeYvmqrqQeBBlbXGu1RzdqZCY2w3hOcBlXzTxsDsOqxVw1PwL0y5AI5cd
ih0W9+1olW8SNPlBusawC4Qi1C8fODpJ3OO5CThAug6JT3W5sV3YFHbn3pU9I7kqQN3pF3pvG/ph
cGKbaVZvwqbmOJF1/Un5hXUdTHSna0LuvFyMt876l0qax7Gsyb1see1FtUYe1zB1Ov/U2AQ6D8qg
RDMI4qvz+GYmHTgylgCcdtE8irp5hUuCnMBOGNcQIhR5eqYp7L7F0rEe2HoxwQ+hcUyPZWvftFZ1
VdteH+VJm9PsDL3reQgP5kSUj82PdzNNNc3rzEo2qIEJgO78AEQyGOJ4we3ur2yQcXHkPql6vPT0
vIHnDBUIcbKl49TfuU1xFUwgi1ORTiw49RWHUh+vPpLyrlZRWpP1TkaUeQiSO7unv2g4nQvx2KkB
Jo63tgNxKKsvUfzMO/zq+qJq1VfDnpsN4Cy5t8hB2HUe9Yiur8xJ3BotpDsa5umFIjt3M2uKZrgJ
BmHx5NaPHJfJTDUfTS9+mRFY7L2ivKHE+1E5v4QYpisrI796KbTeIL2KtSMI9dPhtYoFRgq7PKR4
MjcTI2gmEdajV+p42+GGOYbAc5eUP7ArM2SJbJyRV/pRshDhxdnzym8IoTTaVsHG5ulhZVLnwL2e
lsY/kqZw2/fufK1zHo8WL3ygOEX1It3QRGFSnYXWYRwIhk9UPh4c6XJ28srNOCDANfLuRcZWdarH
8LFJK+skC+6PtqM88zUvuRNfzv1TL0inhPQ7kOuozKtGBs8zGtVLNZdyZyuEk40O8ZHrKXko5xEg
qyq/m0l2a7WTfMwem2rXjltfjl606LHcBoL3Q7cpcEorvNSGgU80Ke8U2rJtXpYkWIBL5Nup3IW/
vUxblcCrF3ECrqZU0VBh+Kzyorj2xuZKhdQMij3/gqUX1lNK4AXcMP6JvDaskcUi2NZoNZCY52FE
ze1tKpI3dvUwENVbV/31iiPLneFJTRJ4eRn87Htb3NOqiIzevJz0NB6T8tGyjfoSFj1Z4LxIQUd3
Chuwxfg47A6VsxhRlTqIGPuaYLJGPAK2949dZXDw8mdz56hq4phcGds8JSPM95jvZi5jsgIoV5gn
lxkfdHZdfUwGh0W4Z+Y/20YFfIojXQVZoPIXYye8LL9WRXvBgMB8NnzxTSz4Kiu2j50zxf7GaahI
wyKxnhI/qgOa/uVc+Rj2POuiKlxJF5OPdzAY7TvdOXvdxbe1Ofh7GvD3+cwcLyCYcMMv9qLUZO7n
AvbAbI0wF5J0B13kClLVAHYCtTfmnYQ4gX3pWSfVUuRIFVuE3GdHuxfGprGoiY18q8z8nun2fk5l
eVkOgCuSkKSyfFy6/ayo3h33JFNYnnFhVqBDQt4PBUTbm8DvkyEc2Wu+Z2b1nLEZlc2K6WXiKXPv
ZKDZGte9rspwGyD2laMf7rPKt6N6NNSe6PgXAXl7q9Gz7MNB97BO/XuvhPEqCi9G4ceabWsICTvP
qE36YROxYOOcH2yavxi73ZXVLsCkqdl9UczlLXoom0oU6CwX2AeEz+608h4Z0gTbyW0fKEMWxGsj
clnX2LbyWLR9fGq0KqP1/UK6T8u1S5nquRNPkPKMkzNZLhkmTkRXgU5rNt3OiIxbXw+X0OwmrodK
rHdvta6Su7nKzl72AvXUPi1TEVUTDMupDZmWVgMHb4xYWxH3B/NgzRyGRBtDpqnnN1lTRxpNm+7y
CW3FQ1mm1XNoeHqPP4G5UU0tTbyh2xivHomOLrhDvQz0C+uG6bmnnk0L45fE7RiPLmKYVuwZLuxy
ZZIwTV3APwYeJb34gUEv8+9cA3/q9dsyMmzX7piROZxeDSPPDRoMdNvG/MrOZD7nciYnENIVPbp5
O86uWKONy1WDgdJ6yRMSbBs+Q+krx4K8l3CfDsFiPfl5+7XN6NI0t7O96J1bGhjodBd5HYcVMCjF
VbskV0Pt3XGkY+fpWNznoNynqW+yVsXfC9ssD/Y0xrvA18U26b9VrqOPDX2szWJS7y7dS1AMOAS4
oszSDNB5KhOm0iRvshHVQRbA0U2zA4T5I+CsN1t79DQLHmlfTFj8wOpk4cHGk3FQDeNwaWRbbdjI
kDJaTa4oQ9A3wc5c1/5g5gecMXQSDQHKpJXaPCy5dW+MWFplVkI9IXJ+J8kSQLiAKOfRZyM/zAkH
pBwc0rac93T1vWNtBAvB0+aDm+UP7oJLVFmrfQDnw0bBRGR/Z8GtinzaLL/yn2MSq7MW/svsZ99n
O6t/sK08h2VVPGEt25RurqIxDb+kqrIif+F8ExaNiebQKu4anmN8siYPeM22Qbmz8/umgRgrm10x
/6jW0rwq25d4auQd4pX+TO8bx0Bw+D/CzmM5bmTbol+ECLiEmRZQKEtPSZQmCKqphvcmE/j6t6A3
uSI7qMntiNtqlUtknjxn77UTgy1tSZ0z0ku4dA1pDUBvCByxmh41DvEH7IwHz19FWCEnQJUAlMxP
q+ke9c1IwtYEeprb0jXt+muRQDdCURuWTNIOzmxVgTcPJPOsBEn3letfctVGvSaGU5qBLB3bDvPZ
C2tanIZeLfvGdJ6kTT85bazlXvYP/vjTAD5zNlz3ltywu7xqndcHJZf0R53d9y06GPJRxUVf8rdZ
+C9dT3KNIedTj3jAUBOQfJlf6bifRgNL/lrL4cDzUICviOUOgcfKFdjRDtyK7x1diuuYtN8879zj
lgpZs+OuikkuIuW+2A2ysC5DN12HRXaB37BJ0vd8zONrC2Xxvo7nq+ngfkhqkf9gfjUR6uFJPAoV
DeRd0XU53X6D5iexKyNql2lNz+xj5It3zI3FZnjq5+LecuUF+oai6TAie1FFSDaG2vJNS8+/LFlR
npYNIpmm9Z6NYAwtLBJ1kWmPee+fwTWp25RI57Du2iN7qAk+DlyNfJ4mK3maetCd235ebg9dC9Sg
KvyD30487pRT3uQ+ml737PLYIQAjXwr75M5UVuBa2sFHuwXzlFjzWgfG1OduSNsxQ4MFZAia0s4I
iqXKSA/Pv1sVxSjLGb8yKhhzHaurjm4IgVzodpx84yo5SxwPXA77hSFLExUYjdGByMWS5bXLcZns
lGN8LWSvLo6o2bT9relbuwCm8vplLdjim8SXCHtSej/KwuQUx0eVDe3tYM79sRian3ZVPnPcP611
LQH/cgj1BRtHm5ZflqE9Jg4/JVMGttHCeuKfSwAZZVc7k7ErM5vmkglZJO+kDCbLOg/Lt63kzmuq
vEbGzzHOor2rDMQ+qf2raf2vtmwP0sAokTJTu68mNHUFySCtGeeEXxBaEbRdWR+MqrqM5nAzS/tn
7bLWRgvkZ4nuPbQtYKXFWm0qxmHemFseicZ8NXbzvZLpL7UKF/7tvESF4Qe+JXfAJgVlmfXsl8Sx
TCzVUi5nU1KjUnNc0A6ccEbNJyZCpQcqqhpOLtTbklgnkpTWbyLvqeIdKJv5lLwYzZMcEtwPpasd
LQsHnBWTh7smqBK13DDDqmYmiRyeaquCizoahLkyQKNregtdEnpzuaDX6uFqgidzz2vqPBeT6A7N
6rTXRC5bV/O7Uw8p2W1pdp4ni2tQQ2krhu7fxHHul3gS+9Fm3ai2ACw6/OLNJYdlkLzKlOjcSMb5
tOYbJHv7nTM54ryCr1psJV1S8V9P03mIN8VDj0yqn0eayMO9FTMemhlgf35XNrZh+B/NCBybAqc8
fhG4PjRL+Pf/MyZ25pwbXCqcqNOyJ7+0Xpxe1JGdQ/uKSRsf/eQFqaMPMi2oUq9Grdb+ZWrOqPDD
exA6sCFkVrbHtPq9EnqozKRBaa9HXK8pauwU4/5aExItLLnHozgfRxNV5GwDUDGMNNvJRXQvMcur
0/c62VMXVZZ5kKQVGbar+bUySyuMrTQ55hMTjD79gVziBrcLtKxyeUhb0Yc5QfTRlN92feM96jHM
nRhPgmbk1gNeyF/GhoDvtpAmJ8mIoCZx3pPmv0tXQ7ur8q9Opb7q9URwjWnJR3JompMrkNdR05/0
sZwexaD9U1pktOfz8NLGcfFomdP3Ornmcz9/M+PG4n60rnur6azI1ssi6kyyj0geKo8oJfwv2Yip
/zlJO/CTouSIUoQmt0At15FkotgWN72XzpdCAjduvPbIlNsPZU7MjSwTFSDrTYJE6TYYlZj5X8wo
RtXFNR0699b0hrdEgAeAFs3hpqs2nKVcLo29K9WqXcs6X6Paf0ZW1l0qgqFFBRZE+gVfvZP/aw2s
/0xbbk2zLkJzoAoYW+drOTTf6DfdDtyVH4p1Oa1+/qDb63A/1enJt1K2Dm96MlNziUbJfcbUxltD
ECyJKD0BZAtAr3TjJBqQZO3mFg7+0MNYF5ztFAf0pEk7lk57woFr7evVjbSiGAh5UreSDOS+musQ
wo0C01YFLGXo2632MnFFCJTU48NqO89+blPh9QMZftI6zbHxHRcK46x5sfeysfKdWUs683qrmFse
LbuMD5i6xkB0sQjyyb8aXCBtpWdo3ZzlwTEr7cSIe19+yXhSn8XiGoH5s+mT7JvCW0FcoPpnSqyA
bhU9iBXD95yJhqBN8xvQqvJq4C2M6qLuLg4XpJ1YKeV6DoYjm0p9WQ1nOTGqga227amZKbgyJfJh
WZ07cG/dixOzncqFQYg9DNwONqqfponDUs24EFlPhBXPe22Y61uhHgx509ezPMyeU0X+qC3HnGzD
wPF65EONlVzrxbzC1jDgURuIs8l6NnrVnvOKbqBbI3L8fPP5IJ+iO4djD/Ug7IHt6f9z72lcu+ZS
Dg29ng9mr+JgXAnmw1JE4RcfHOCxto419W+Jox8FQvjOAJLQs8HcgaFmc2b8z56X2CgAGZyuUe7p
MXFPOXP75lXAmG0W1EH4NHtyiCJjNe7yhuvh559621H/3HHZZcEamRxtEHHeOyU8nYorK8UaNQQz
XGQ1vhW6KxjCk73Sxsvz56/2e/P88+XwYqJPw5tus4f65p8fttWHfHBKE08GiZJnC21U1FJ57eL6
ttcaBrUSPWxvPToMXC7GEn8bfV0LGAnAYBdtu197Pd0XMiO7q5rzHbqPkCQ9uk6ajnswmfWgggV6
EBPn97hkd5Yo5Ln0jMOqUrKwbeTZtF+GnZMxlFNZQo7FQj3lr7AE3b3Tcpct/ZahvZoeaVmfyrWn
KtA6Qf/CecVJ2x7yjVbJ95OxuOX3z78fHBwffg+HU4fJE+YY/D7vJUQlvv0ECLkeCRXrF0+5Qd0Q
6qOwQ9/OoZHhE0TC4AeZpb0izu2gtlWIIyec1gzTHJYq+QWLpwImn78VxHdd9StOMvBpFc4J8O0M
sfsqwi4WVm38OBYJN83FfBsm719oLYiIafqFWQ9Tm5vuMwZa9UwQQx95XpUSbihuTCXs7wP60KBu
Z/56IMVLu9DYKiHpYxj7MTT59G24cTOmiakvmlOM0DocNPfSd+vXZNDye2UDRsa8s6Da1uLrgo48
JJh9iUSBc0C5bffNlHg+Ee2UOGhNdVS2J8+9/boiXWE2XxgvtohtWjLTdJPMg0OVXhuHYW7upfKL
W+bEtFq6LjujaQ6Xggi52mdPm2ZjIjq4elzapA/bwk4OpQR6apRdf5gBoe5EjzQc7iZ09RENmvS6
+7UZDQCgww9Rzu1DVVdPtqOmW+Xl8a6rRXrY8Jerm9I4Ni+i44yWpYsBO1vxFVTUyFz1rqaZkCXL
3IRDMmCC/mJUtjz50h73lvIOQkxhpokkMlOnP9uZuGR0/w/Ilvgtp+IMaUbc561x1izVnGZmWLkb
12eLOTECfME0wFP3LoiPXUXg0WmZiI3L0UGHIyN2JtjYYRrL1kLqSvQc/HC5VwwnJ3W9fRHWo5sf
6fdroT82r3Hue7uy1uV5LFkGoNWQopXp15k+/CXVxvi8oFzhLto9sZSXr1yv6C9U1j81CooLMh0a
1ZZ+FmtxPyfiLhlb78gBWe2kMGD0mlrkzeUSOE3jBigQw8UhbGYl/o3qvRnH/OoCsmXoqaKYqCAS
muZ5SycUR0XUEOCdqKEKvq2dbIZ7din0yo26TEcepRjGAkrDaVSLm0YrnpKysZ5yazagjCRPks4v
4Zz+znTSB9ksyOwr6y3b2AluY3TBclkAR6H0oYGpMZepaobnf3nAP1SXoG2QlrDX+uz1ttj+/f/s
9oUoWlh5uJnkxOIxvck/lub0SJ9vPfmoEhl2rP+2qXc/rjYhdCmenn5R2qH39ce4pe75/P38hzAT
wwJgLMthEqJDHvzz/VgD4Px+Igk0d7LmsfDnZktUroBJlMSKbd64obT0iyPto7204y28ffa9fniA
rcpkZnYB3mbtgrKSaMmWAunZtbNiX+XXrou5pQ0kxKyaRsQZu9qx9nPvCdUVohN/uhAI7e16woGe
Y3fIHqoGr4BY+qu5SZRUUfz0Zd9d+zSzI4tMk/Dzj/6RS8hPgaAQsyN8GDLh3l02PCfOuVny9FZm
85O1LzffFZHNPuMOs9WCYhhNhH0G8rBquDh22n6dk/UBOZO4GVf3isgCEYWHfYSWAQknjHsa0yZ0
MTEeUz2t7ynoHsrey/9yiP6HXH4jlwpuSIg0cQC+V2faBRWwMcGF69A2sf88wPpBkYQY07PKSE0z
FrtWveS9ex58VM+V9wX12pfPv7+tLvnjKEdvJSyWsGOybIAd/LlyxkKYmisrWnlIbY2BccngFyeP
4dvnr/O7BHn/QpyH3MWQDtveex2zvSZQPQaUBbwkt4+OS7zuvHiN8YXQX0y/pRe4hgZuBR1J6zVe
uFDr7KGY7HA3ybAgZddBFeliQ0ZsJ9DXdiqqDRfL2fysbWRrQ+xsOUGpsZHhNrme7Axfu7ebbD+h
QdlNBt5wYTSP3W8xDfQmi29YcY6FbTkfu+0S2C3+/eef+7++XxdMO5J6d1uh777fqnSnlV8wR9dO
+q6h/C9J556XTcb8+Qt9vHXzS+Kb33aAjYsn3u0BbDKjnxPockjaZXxqFFi8Zo8J5U4kJ3eaiE61
msha6aplHcJFldDM/PwtfKi9eQfUvxTz9NgN870BRJvFlBkmpa/f9K9i7a5oOn+2EDfblflOQlXm
5T7GAqAtn7/wR37v9sqsKeJCkWyDYvlzFVcdIfDeWhBRKm30elxTO8bbAeERzF0KyDJ5ce1R3e3r
WD8YFoIak3eUV0++jH+kg/9qaFA0GNMfHDf5G/Bti7F8/4wh8nGQzcNXgOf1zjxAz5CkER3L0qD3
T2UKXCcuelic7rPhZQ+NuRw2LNm6kGxKbB62kpk5OaNQxUR48YBuYNv6y7LcrkHvnkbAyb8Bg9Rn
0Pf+/MKQd050tefsMI7ydSJZtWL/+fxH+VADe8Cj/ucl3v0mLcOtOO0knTT/4LkGZo6tQbChK5jY
/C3x7sMF6N2LbZ/3fw5k9LRL5tbTJhxsH9Au3SOjwjYowAZqvz7/XP/1Ui6xNYCiiRr70FlSiDhT
0RJu3TnrDYTGM8XAV8bxu1Hvnj5/qY8XLT4Wck/HgROIjP89kIzkpIxMrO1jqWSfiByjS/bvIAY7
SpqmuE9QQmK77vYl+1rInWuorfnKuT8OdCI54I9zpXLa8f6/s/XTnTFzp+jQQMewqLoChy/i+d14
O3aM5Wcbs9TUfudYqneazUrV41tvo9hbqR45kptIZnc3mZXf2kuJWK1t3Z29gdrHVZHLyCyTPRtH
d+whMEiNlqyBNAtAKs77v3wtHxqMyHMszk0bsRrd+veHVl/2QKtGNNN+pe9zEzY+1tDUdY8ahySJ
nOxsg0ZScGX5d4Q1x4E+ZMT+Ok3I91jsmDO9TjPKsMZzL3gKH62KFBkGP2hr6fwSmY59pTLRtg6Q
Y1QSOfkY5Ybb3dV6iizaI07d0l9yd3yl6f+kFIIJHTrRzjJB8m2n+dKUT4OL1RdUizuzE+US9UgM
rujzb+K/Nn2Bbcr4DUhiqbx7jjfmdtokFYtxQhnbjDO1Xdt/ZzrWh2nfctWbNfgadnOXL4xMGnuc
cUfMf0WY/dcOvDEt4Stw8yV/751ppmtEAfycRDoIw3uUAgTCVbkR1UR8cCv5IdaEFROn6R5M9M9F
z+Vl5efwe2XcdKzieTEEV/X7yiJWiIivo+FCBctb/5noOnnBcwch2k7k0W/cg+6M3Z2hYyfkD2yA
1GXZr8xyAy21LwwtrWAUV3cYp0PV3aocGPk4r/uW3g26LRyaTTcyCOhpx8VbbTj0UYKS5jRqJHys
JsAB279ODpOxBZRv/yIsQTvJ4wOYhbGEMEoc5sTyYhUeYb5ulVyMaZlOmGYUdxb8z4vmREkXp3vq
/pd64mLfopFxk8IOqize9OqbLkBHzYY1YuYTByMk5hAr9o+iWn8mVnW2aFUGMu/iHaNyL8DN+NMm
RTEcDbQzGROgKJavhk2P35Z6x9wXq+I6kQzLVPHHYNk26fY0Cn5MBt1var9sr7rsCjBnjvqxPJXZ
9JQoPI5NLtF4NWT1NX2w+CtZFPlmeO5dO4DB8pCqf3SLJJOpXmhm6GtGfTbt4356M/3kgV7Cg5uo
l7FwfznfcVN9L1bJgNUFmi/dCww4poxlhF6BSPiSxnZNyDreIGaepfPdzkCHVxhhMS4gtjU13whj
5QxcDLHOEyrL6VeZ56qV3V5rh0PbaVSPzPqChACUwMOftDKUVf3MdpX8Mzp6ZGpnz1ZlYNb+2Wap
7DIfVFo9NT/9xfr2W1ub2eotWwWWcwB7vZ6feGYamhhEqMnkTcuGkxy8R+83aGs8qpGqcFy1N7B0
2aG3Kn//q1DrQO5Ul+2MrZ4t8v68mCZWmWJ4yuI8C41ivEFpsO7KRsJhsPNv2G0jAKXIiKgSogar
zs6pGRxbqoTNucwsUCqVVPR0YxjO7qxNgQxLLgbhAXa02Lde7J5QChxW6qmAdcXYyUdpPmiAt8ry
pStjcL3Cve0K1e40/Mg7aUuiqUv960gMu5cOJLTk3RoKh/8bltIZvKkFURTrQIUYTGytYgd8H4PQ
i2sTAKfcYYJr6mFXUAR0gHnY+4JlXCXuTbcy4BphMbVe/rSM3VPRj68FGuyTcqpHYWvqPHVuH+Wt
dlXlwzS36ZtmZLcu/uCd9Jz8UTbNpV/s4TIMhBStdFL2E0P+m8nHQKjGdZNbM89QNvPIoWLk0NkU
tI5+Ww2VtVeNvxCT56KbjguSgdYXw8l+EpSoTcMDVfjPrsBgkXhTgMRbhTHUNGGYR5kPb3zj2b7H
vU/KX+8ejIZuQt4yGgPTv1sZChwW0XeBw64FXaT90rK2ECR3iCjF7BwBcbz2U0cQrYavGeOCvzMs
EdUiNoJKnrmdu6dWPboxiizfeNZEDa8P/5CV5cUJNk+QGqi5eotWE8CHJy5KJHFaEi2z1ruoM7Hc
E3sCguDQpQ1PRty90ex+oDuS3mTOSpOzsI4zowyrHW+cPts3Rc1Irffm3aT1U+ggntmZ9CX//2ZT
u3gmYZi0JhxOpl4czytWCHPiFqU8Uhpa7zveMFiDOo2KsdV222gRJZFRBLDgbr3ZuehlZpLfhBnD
4zcNEPUHsEmaI12hwCzeROfca954HocXBvJnatWZ3CXThCxM74ExX+XHRRCLjvqhgUJrrOTf5bjK
DGt18EbM91n3pCXzehSAHERVkBma9ebelk3+Ug9NF7p0w3z9hzHXJEiye4RACMMsz98KOO/b6Hpf
Ih82+G9GaPN8pw9JvjBVJO4z8Yb1aPrfXSs9jh7J1V1N/RMPY2Bv7HBzMRih5tOdIhLAsuRLB5eH
MT0/hV43RyOTiGK98Uia0XQ2SIOaKl2wO97DsvLCbCLiRjQdBrbFPSjV04kqkL57M2MGbMuZQUT2
crEBfoTu5gay9OJry3C8QLY5LX2FrbU4WVJ3drMEcWBO9XAwRzFBenjO+/TR9yVabpUGcYo0Zpy2
No0O2AOlbQ5ci1jKkwG+QsZvfmbd1M34i5jTkRYp/QNb+fdenQbutLlrnRLFRc/kPCdAthIFHWd7
xJdBPBa2PljJZOzoE7klDaDm2b7EiGICGttAT3P0FaMGh1StVIHeuV2aNoD3yQUQk6jsg3GMb2dz
wMpaIkztclJYMQWBu8BiIWrrCWUI/Rh39Xgia0K5bfAHFNAk7iXLuauaHH2GOwcIkEVERKrwNayZ
6/RgpY0RoaRGx1SZ36Zk+r4a2OiqhZN+bTmgsmmN5q65XYtBRzA7BZo73pM1eRzMeAq2LQnQU4Gb
642x2Y8kSR4c+ETnofw5peJHgx0jtDVxy6z42uU67x+JKsHdXuCtt91S7t0ubyN0cv0ucxVpp477
xTIHl8PQni69Tz9/Kr1w0tunvhjXwCMhHQU1vIwEglnS8FQJrXudSBxw9OnBccwr01LiaY3sXAyO
HuJMRJQnkwfg6+GUoqHWEw3vDLczcgxNJ1CeA/9tBFhEiFkSAh/x73XN/tZIlxgXhs3t0OGb0VzI
Psbd6hb1vnQWFl/eXZ0JEg6SRNj0AFiDUjKQG/T2JW4wUrqVf78YXbRgdt7VosH7hts60e41ST2A
wBi5L7MVWt72l2ETa5J574baivnLPsd5Oh1di1TaYryXK5ikynF7+CNggN2R6mGhf0PXBkLVesL+
Si2ONcLLkxjjaTbg6qtho6bZDVrJH5ZfO0GqkW+Nlp3mE7CGxEqO0qFsVfmM/m+lkRNDGwpQ/XJz
bm7mysmjhuN/BzoJyYs5lhFC4SpwUqzVbCRGNNapeYA422fVTi/cG5t5alDoUxMshfxlp0w/mc78
mzeUckQlhOli2pxl69tQVUAEWHc8hlh69eTqareTWz6Nir6A64Fj0fGhkUdbBtM2/ShkuoZGzfhF
1827fuCc0CgCA8OS97rTMKNiJMD7Bw5gUvRq7K77MReXGJMsWyFDLOji80212uR+lcktVU8TZnXb
BpY1cQaiUJyrdYSGizoWrRHNZA3hZdtGAgtC5C1TGlrei5sS/cWAJT00hLxWqJAir8+WANYT5YBY
oR+VNtARe2K/4XoHQfesoeQbMJxGdAgPKTEDu1k0371289Z6kto3YV91JIokZjnoyNDOR8mm/+24
M+FQtCv09K0dlW1GgCCaUmb0GX364dFYkcrEWfEGz4bK0yPxdDVTmisx0h+9tJPLKAj/VVNopaZG
GJ9jRypFfT2Ms74HHI2fPm93o7bnUFo7wL8+dTYuNpvcaU+bDyA+qO1YQ0TgmcsxKWt5KQ1uWIWJ
5qrWbjI11McpW42/XLjMrWvxZ+PEZuwBJBPMHmbL93Ne/sa6oeSOI7PI32KDxDxUH0wqbT+YRpCU
dG3DBYDjni/lxNXcxJnRoXXFSB5W23HSFl0AOinnYmzOxwU8G90f9IVTNjymNe3O8gcIwTHUWGx/
uTd/vC1CkGcsvvVKdBrm79ki9pCk2dgm9E3b5TrMY0vjoK4vNOxTG4iN7+7TpaFTVyZf9QKboxvH
1V94NJhL33+DvAnh0Qj+PTyBB/BnqyYXuWPFVYXR1U41oMXkR2e+Okwb39Mzazb5yuZ075sAaAHa
yxWvA6Ow2lKIPil8jBq1TXcgbTVtxL8oLAXRhPIIJV7dQL0yFaUtSLKC2y97pyKdMR5YS54aYOyY
xEB6YudosGEVdTyW8qbbN7qrbi0evGbKrpwTSWA6XEti1ItB198nmXOXJ4Z+mhGf94Wkw+BBbci7
FhCc/dD44lHU5SPkOQIGrdmFXOndwc+zT7Zm3cyryxUr6diExLNyl/PQN48MrTksJPrXevyXi9h6
trQWPgHwVcqxR1zB6XGF/bEze/mLsVK0dCmySwgny0pCuTMNPRcYWuVAhvLAMLqneDYf/KQ2r6Xt
fYN701MQTctJkiuNMugu9X2esSR90LdrkYuVL4W/GdIJ7qlTxYunJIrOuhKBY874IkA10L8xn6RB
1G+a6JR8kipxpuWhd+kZMGwVpRqtzM8bGtaHHjKeG58uLo5IWrof3HWeO076QDUWVTmnRBXH0Oma
MmSOJCIupMeyYIOeSGgDsZD/0moAcNkaoo5lO0YUOH/rEupLQyCTbmg74IXd9fRdAoexJ7QD7SBm
dp8csp5ffekp41VOLJINjT6ef+lmIXZJnDx5lLZFSzzmMAAxnDKx05X2Uw4syW2ibJVf2HeSvzye
TH8+PBpglk0dZj3MfYDP7whKej2jDq5MFTVry7x5tNg36xjxoL3uTDA37G/cOt0pJkm64wpYMwH1
6PVENjyCEJdYmEkbHaKDbLJT/fiIG/tuEq6+7xtSgGwasUbHLQOa/dHw5/k452ShZiP9srEFD6Yo
fnbmoA6Nln71l6YOzV4HemuuFlXJyAPoifMkx+a0zh7CWQsfHw7gY6EKsldxi8X1WN86ThOdLM3R
g3pDBjYjdKulUNUJ309DXOj6hVH9fLLLhgFtAbauf116dYyX6UUprrmdXV5dw2xv85j+SJ5r7imf
GsYWJiAVrYS46DlDQ5cXutrgNOqU9Dmxe+n86Bvrw9z542a4QkiiQRzEqmpFQzUQwjlwM44tzX3G
LUzSuGsGSKHaqGAQX2JUv8PDf9RN60wImmQWtdnh0wHQoTs+NMIfqG3qau+zNgOk6TMB9hp3dMu6
K5sU1bReIwH2kFrV1OwVqQLxuaTXxRLeNFF4sDsCZc4dd32uQvqNtZEkllYcEu7FyAltyng7PwHR
RuSc9q/zML+lVlnuisy+0eJ+PMaPXj0qwmrSljbJNdWT6t6i53w7F3MgszG9CowLoZFOZtB3fGBv
wqVgJAQzWG3Ji6E6SuqqDksyThhHGwpvtvMzL+r4kCfyKlXNn8pIwnaM8jjYnGrd1ulyUjwXw0tf
0B51lGsf6BUba02+VM7/mMlCD9qy6SSlP9LYg+i7zFGe3TPLSG99AjVCZ/XHPQKI8YnoinNdMbJD
5XAZa3wnairSG7955YewkTUqccxrdepXjnezxaLB72hfpbWS17Jgh2ndab868qvjh3Fs2WeT8OxN
I2/TJIqMyZ+D1l6yqyXAj5HyytIh6WV2spNua5FyuiTUtLZgwBvfS9MoI83vkO7FuY5VHtdpNplf
i8nsTwuMF0/PrJNJWmkaFyX5I/bXJjYwyXDMB2MGdsL1sgP+OqB/HlVa58YlAjiYegsjoABvFQ55
mKtoMVgAsWNvvULjvvH5WoaVpoZws1OJ6TYaluYnvqoy8KXfHS0SnhLYzy1OYVIanHM6wEesqvRf
qev3vqdeErF+W6R7ktNCOkO1vpVNhk7HTJ56/3Uxs5vRSOsvwpqe3NysznbJ1bLqe/MsucQYCEBQ
Y10VAMhBsxhvy2AwJ04ltFKf7+UfBkCbfZLZO3PabS9/H1BY6kLp5gB3I51NidKL07528PB2FsSe
usRUgA0i+Pw1P/igt+PDgVBFMxda/ftkC24NRU9jS9F/RXTVaTBlkzrofA3Q7E0iXTr8uvpLzKTz
Hx/UpOEPqdBE9fxh+thbThz3fi+j1RvNY5m0MKsWb5dcwIcS+SCKL5qGcwhX8n7wCaLebvipu+S7
3k8JBc69A/Ttb/wdJds9z+yy5lgZ7Jr7V2yHg5981wdMIdoxjZ3DOIw31Bjjrq3GoFoxCjPpxFHw
VBE5t+UsEXNIynT92pWuHi0qvkdpvNJD409i1fwisJV5PTIdrgCval0i0qfJ4uSKvet1LhEtHjJi
MhCZ1cmdmcf3o7KsQ10VHjhXG3+5NCAqEc1hOjQwlmIcMT3AAWkRXkYsdQC+QxN20xOyJT1KspWt
wdJWeGA/uVSkf6kX/uOrR4lDThrRsmg/3rPxC2XrtdFRTObVcFz98iZWfhYZ7vA223kd9mr+y4/9
H4MOpk4QtRAxAIn8MJLLeqdISwZvEY3w17FrfpjYCBrbL3Yth/uJqeeLkv/UheOGGBLx6dHcIzC2
p8j2Syq3bNx7JTFCxBddihRn0ucPwIfBLjNm/OlgZuHvMhN/NwiNF8V1cutV+511J3t0EcrC3/H5
i/xHlQatz2C9A0BgCvr+IrFBVia3TZmViXShQIJOP3J5ReLUPrMZvCYGUB9z8oEBVJhwtEULkESO
kFaX/OhXGB45cK07U2e3U2QM7R3f/uHNUhx9LAsMSGQLyWsiwL0s6weX9RqOPgd92uJ+HBoU9KLM
oQn5/W4apQALaKCzHrxyfPJnBNVc/L8KuRGky1skd9wQY/3V9Mvp1k2bv9xoPm452PQJwNBpuiPj
ee80WN0Sxbo3MEpv/XRXcF4zzyh3zuYjzzWKojF5GQxMvZ//Bv/xsnA6HGKOeFmom9uT8T8Tb4oZ
lxoMH/zK9k/xNXHmbU52abbpIZ3BPndNcmdlGAI/f+GPV2BCVG0yme1thQl6yX++snIx640xlGvu
5KTo9qit6rFUV2tekFXZ+WWJO3ffpshxYB7EQ/6VlvsUJBaafn+qqU68DAN+vHC0sTSdZTPBDngL
V+uhsqAccaqIU58iVNXcv2pUPtbYG2pScIE3BaS/9wJx3Fzw0XUQZxZ6ZLSlyQVihnb04JjsSx2i
X+vT1ZmXdL8Uztm2ErqxtK/m9tkxaOG7ukTGSHUR9rnnHC2aFoDPfrFZx6eh0+fzUC2YcvryhO72
AeAZYwAzkzsr/sI1TqffzQOjDOq4kbuoraWP3Sip51ItsJ20Apyc75Hu/9C2aiy1+9fBiXn1NXbD
tNJeJxDP105jAEDQcL2znBW7f9aTb6gAbiCKL49c/+ej04LkZ/Qxneb8ZUz68oKtwQ2zWeFpmdOr
ZTbaTVJqd/PEFAOM+CVxPe2wCp+qo5J4yEyTp4yG0o6W5D8ZQ6ygqdw3vLG34EfmYzsZOi4up9qv
+nRqY/50N3X/YB9DJFjMLw2A7QPwj0O5mN+q1YdO6S7zeXXRMjiZOhiZ1h3z8rbInrlQWtckx7JZ
9+ov2+GHKJ9NFK+zR1GIWLqHuP/PxdoB6M2hWnVRmTcLYRQ925Vte2Gia1DUC6jrbW4EDtdE0ZnY
G8ZAJul6zpOcC5B+/PzR+a3B+t/u0e93I0wLHC+1EUzeP99N2v0fc2e2HDe2nelXqah7lDEPHT4n
wjkgE2QyyaQoidINgpQozNPGjDfqh+grv1h/m1Vli0mZbHfftO3jijoSiWkPa6/1r++3hGdaQ+PT
YdOshoRXuOhPXqh9d9LkQikpdtgNMgyj1mKqjXaEosG9jgavp/O9fRiISdcg4IVyn4XiWzaHH7p6
ZIDG1i0pflz+RIxTYHhTFvVnjlK08GoKHVhNxuM3T2683HexTiLRqS6zjm/rGBS3HBPkjsju1aR6
yOLSWKuf7SY213MKKxLlxL1FkIv9AGnMBjZ70WNy0wWF3n3HtfR73KZ37hK3mHJFF5lG9/rb7+xc
bnP+ys6EBcUQdjQC9Y0/ycQknZctsWQW3dB1/uXtK73q4Xi+lAR/WsAt5Tn85deB5EMkXJaNH0fO
N6pWa2y0eT0yiB9sl7MOUT8VL2XbD5T9RupCb9/Aee5DXp/YAgsjAKumde6611Ks9pYkanx6jPUV
ByUJq7IfCsU4QVRgvND014XRnQ1f5+0ryyc7G5d0y0uJkWOQfTjXDsLYbnRHiMpHsbVCoKwGgOcg
VOC38PaFtF88o8leiamo5pIFdM82D2D3AsZWU/lF0Vw3Yv6oV+mXyiJQUhMbdL/RrZu66XdUQpUV
zXXdxAobLhVBgXdUNHXTzHCmcuqPl2Vr3aC5dNeQQuZ3dlf9F2+E7QFMqUqGEkXl2UytiXAYd07p
2057owOAM+Ek4G8u9m45gY82VXFAB7bS4DmQVoXlmdMgaBV27sON/jIp7hzAGNuqNDDwKI+0pC10
7mcjQR+eM4Z+EhEknjaNpgCTH9PU3skmvXrTpI9U/oM6iP2SePBsNIsyr6PO4zCOg4+27ez8e1TC
33Mq+2LCp36DJhb1flyYNwvC8hs3jcmJSaptvNOthyIjqoiKxt7rTqxf002rYfxDL+80vDsmzoN4
eaeStgvSgbgaz8mX8w5EbaMSrQ/4vNBv0FrVSp0t09daFiFZPsjGmykTmDj0nxH1BzSu2ztkQdBZ
MN6SxoAq7EFbW8H0m+zw4u0Rex5Q/3lzDms2PHr31aQkrqJaOyUDijssTHKiYlJrw+e3L/IqM//8
oUh8SrAybKnzjwVWKc3w7OmBqurd2p3673MIJSwuwps2i586S9nVNEJFSu+PpuxFaabbd25B7oQ/
rwHyFrA8NUwbT295tnn5FbSE8hJrYu+jRiSV3Eeu77mUausQewCzzTkkOjdJR5tW6eblZgrJ/rxz
C/ovbkG3CafxHnOA1svF46eYNi3sqBbj0vvObJzMuYVCXElvgjG6FC2t4gsHBrKvS7LJ5xRbeTFY
O6v47Bjzew11r9oK5NtgEzDwHUIZrz6TjH+6FXUEiqvXovfLhOZNLF6ASWagcjjUFrupUx51DzV1
C8FW1ejVjxNDHPBzoas4OqUm1mVaXT1xKNmVMfTSKqdOiePUqof9uBNNs0VTNPhYf79Lcf/VO8SG
niSIRes1+vizdxhigdFYKSMJamgQk1AAVItVZwxuoFyqq0YjPzp6E6jO+DKl58wyrpToXSLdL6YN
X5JA27IxUdTP108aqBW0S2bnU8TYY0GEpEHx3x4uv74EokfNfg7vZOTw0yfqHayHShXkbZoPjxlu
hF1rXr99CTnmz+YEQ5FWPpWUkm6dQ99GxWksrXWFb5nFlZukLewH/VCGRSCmdjvYwwFjvnf2Ynnb
Z9fktKsilrJNVoPzvThznIithyigzyijV9X3FD24kZDxdKDBvP18v3iF7A3INSlqytqgHEw/vcJa
KBnt3Eju0qn8oTRk5p3ivZLO6+fBNM9gEMiIxn5lZG+NSpwUxKC+DfGaFEnqF5TnV0TiESie2bt6
+5FefzIux26CGbht0aR1NipiLW9xD1JgvGbuQzvRgCdAOygGEBrQp5RgYTBrACTfvqr+ysCAYMYi
6eiQCQDqZT23hP70Khs19YqlLWofSDQl4DCdD2NpNpsJqKlm53TVL+OhiEgSjw4yq8Fztwbd+uS7
ORZPhR3v09lRd0sWXUmC1UUFJWo19A68tWa8DauFyD/Js0uBDwrcM7x2gFptWzoc90hN/MnUlTuN
Akm5qA42MaW3UcNOvRZevgRDJL6ngxDXvROuRWctNJh61TGl34HW7quE5DuGHH20LuhzPFWRhhRU
+ahkoX1apgqukhLeThS1N1TBxk1l19xLhPC5r2KO0fUHjsuz32sd6SDKyVOfuoGiChSdEa7KkRKe
QifuL7oZWpml3uWRvq34ghtlNPBZEmF86KEOeIWpXrlVol15PYbaSzzZj4ulfDc6nbZXj8AwdPOd
iKMYCJGDQqZRDH/ouE6ixfc02pONHN3rrFBpAfIELJPWpf1LjSNfm4G1RVSBo2jEL4H7W4lRRTbX
IV7Rc6XZ5EssBQUW5jmSzNFx+G4lcEp3b2lRHi9ST5HuvkirKI561WL4rpQm4Ph0RD5CAvhhMM2N
TcyaFXhmOIJvY8fsDkWL3NmArZOnuDbVUGpAl1JSFcuKvhPlGdMJ9wcPqanqgQTiJLUhM0tjPqjT
NaEbaMa26S7KMUVggA2ESBtoanr8aTKT8moxPHRK2RDvhe5npVPx8sCh62534izjC/iOflhR/lEA
Ra2sISF/ZvPe5nFYPhgSXyjl0QotYPtO9QISwNl+Biswam551FDcXveKCRHO1u8pRvDaXABaRjmg
zAAGN/c7TFbztfZJS6ZNPPUAiRSp4kH3sHX0ojrmbnjMIpT5rZUbB3y3CrXckaeatiLVN45JOUzt
3ApMKr+cEu0NxozdPvJMZMTkb64gPIq94dKe1Vp3y9IptwYsRhLn2WdQUtoaKbe+0azyVMWW4dec
R8vBiG7U3G/gsa07FKM3DvuuPSIaQ4U7bcsxFNuJQyWNpmmzZjaPMFv0Joj0rL+B9vQ18yBqmHER
LEmqUe+RjNqoSwMKQ8g0aNMZF/3SScynt5eQ1+skImEwrrTTw6exnLO1GA8Hr4lI3vuaC/DJm8PH
uj32CCvFXL3T/fOLS5GEII4j1iY3cr7FjGFR4prt4B5YhffOjJB6MPYmGiwG3f3bT6U/Z1he7mec
nljX6XTkXI2N6tke49h1y6KU+K3ETCZV/THFRXXrWEUkFckU0zSxKiOn3qv2uImtTvXHciTRgApI
hPajaZSVTwoOwNeYw+iov1ZgkPa4aKJvG2f8CYdGXHpm9tUa8+4Ceeu4ybscHZAqnfQS188bqrex
XS6Q1mX9M4kQOw6NsmEF/Vrr8cE1WjzOYqzfSKYCjy+6H6Brvs8zQO/MxlxRiW+gKK7hESG4j7gn
2uA2GuBAKAfNFz2z4/UY18tmHKmeZpKNXyqqX3bmShXWY1ZXkQ8x6waXuHwFAwqLOPULabDvM4Eu
i4U2+oXaXihQAAAbhqfawWVbbVe5bXd+N6X6KgMGBc0sfupT+xqZiIFGuvYOi2HtG4oK4xD7qJNt
dHBgBtyssH21QbYaxb3fYF2xjWsEcF6cibWEjuZ9mwWdO9JHntd7ZHP11ZiUeO1GzgHRJbJgzulb
a3DpFmA0wiz5pGfo31Q7p1MsLlRC78IByp/baG3GL01t635LjfWSpjY7KESprViMPjtTQ4Ito/nC
jbYSjfaxRq7CEbP+PmuRvi/jMF/bKQfpAv/XSr1NxyjdgwfRaESi38jLqvSCLZPqEjkYiK3lXtHM
bx2LwcFs4MR80bpGuXMqlhas6o+WXcP5Uoer0rCZQo2hHPHOvnMjlJ4hgq5N7Gxm3Yo2RkELu3UL
Ra0Nksr4Tqm8v6xtPNY0uOd7Az+NPAJhkLaTe9DFDDZLc5kt+p1emxlWGBTR8DJqdmiFLsCWIq+L
AZMNc2oimqoA/DyiM++wuKhPHRvypd6OQavM2G26YcI2mw2bqLp2ywJVvpvPGz1rTD/T0QNRuxKn
ZPYLlC9jFm1KCByBUSq3eCdKZ80DNa/4MJowSduFYC1zSB+whNLXwzmEF2jjjrkwNbS+wDsYpqGx
eLsKMu9W7cu7pKMXBPAwO7TRN2vINMzCQWNXSpofTYpfz5DjuDgmjR/RE7CJkzIgvO93rdD3ixY1
tO/TyKkoFLyQnrOxpA0ZDMHGx6e5asblR9hrn72qKY6VUIn7cb0Fp4k21sqfsqJZtolbs+WMxr5k
Ky/1wjowP5VVB89h3TZTg2y0RrLsKt6un5Vv7dx8zFvDukaI0GFGChj37SXqzwTDiyWKxiVNI+1L
DOdRSjlLQIQGpRTwVJnfcdDDhYSZ3KgGYKjFxk4iuYxhgu4nofYoqCLcWc2Wip5H2UOt+H+FddvG
FmrsLA7Uqi1QJ4LEZjFTfK2J0ca7yWoWmnFlWyvE01+Z4bzlVvGTxf1GthYL1lbsTUXbeLbrHJAs
16tUtZugNjIs33llxCIgd/TCu5rmobl0quTe6dwfAMF/2GmzJc5BamwAEezt6qpSTYmz60A6Cpp9
07mlvz3+RNuPcxk1rLVjHRVXdREMY5zvJiRAl8uEwK0YvlscVIPFWO4UF2hn4ZYohFr0CpH3Q+3a
tWLk1eUUVtW+nZJTkdLFYsxLu/eMIDaU+Fj1Xzj+frLauj2NjgKZWcELpU2dtWpR964nFbKTEvnF
1MOwQnQ8aZl3nCYUyzbedZtkBnloKi3FoTwprxPvcfLuS0N8TQkTHK9eAjvSby08a45qqrtrZjlA
kyJ3TzqMTtdEcVTRkHIdEgkuerEzORxuaAY/5mGcXZezN8O34NxWpaIlGEAaVSvubrajhxHJUOWg
VBZFB4HXhSjbg6ix27zDK0Kg4ves9gA81Nt6Q+zSWDiglVYzmaUd8OHql6sIWOeu1NXd7IjmolDd
cKds2sppAhPzkncoR9argxvuhBq7KswHB++AVyO2iEtrcUSCgrtpaQ9oBirLaJLHgUczCvFodvQ/
NlCp1madWoSONmhOTI3DQrk3mF87GqFzMwNBU7bofCEe4yBSWwiG8eMQ7Gcdcg1ygP1Fjt6PGmaP
2edU3dI8jU61LS+cEXWaRpfBRZMs3jGVgKwyuZu17D72Jmy7GPVVbl4vg0eN0nZb+tOKZNMadLoN
89Svx8xUg1EpIc3q2DU7praiWRWvgWq6DtvYpqi+QJWsD51J1OpkaDuxb2V1mDmovL0C/ELBQcQl
5SIuqR7SPmfF1Im+f212Yxs5IJDueZ5btsD6q5fSu0ot+S5HSnyhudWIWKghj9JCmFF0Zb4FdrCF
fomPUY7squTpd+D1u8S8UJXqS4fPysoe7koV8T0st2RjpVAADDxp97glIriYNjh+epfGNNEnqdGo
M6G2OAyooDXdKC6XRhtI+48dmD7HDfLehWOoRfNOGaHmeBklCKeMoo1JRY1s6aVa6dS7jfIgstIM
DFZmNE/o3Bp8GBcFq9WRDi4zwWSEfgLYrm7yUYzW1w7bnq3Rdy2NSTDJwNSrW9AKvZ/Y08OktAJE
2T6qO/euYc1YNaEjDc86SFNjGPpvf4vnGtjPizHxLz4Y6AogCaCxPs9JjF1Niw4kNB/1DkE3WrCr
loPLxpExnUNq5DKm7gVg36HW3cwXGk7CIF6sS1eU1uXSe59Us74YaZybcwI9LFQBRoR2iRXu5Fwm
se7rg9IGLWqSPd2ewSSlcxwv7c0AsJ+qV2of65a3/fZzyTD3/LEwIDFtHYek17oRDt2NutSN7ced
WW7bdHmkyY2mY1esRcx+pw5es9NVnDHGaFbfGeDnGXbkMTIkhUKgerKd/Cy3a9ijCYQPk505z+gz
HXd9xtxLGnOjTfVBWkpv3n7aX16Q6omHzBwK4yuBSEPj2ZxzwT6nhqKUSX2koQ5iKYwy24X5nX/8
v7ggxSuOT/w8pZuXp4yspGW8G/GKx04lcA0ismIw4VJF+nUzNCaKYPrX3r7k+RrMS7VoALDozQc6
QYnl5SUb/mQ0LC7ZS9sHG+XKihrbe3KLX12FzyY1HjKben4sdKdIsQYLOJKpRfeiAPPNIfE9RMXr
wUnZz4BogF2OZpJAe/koOI9h3JZWPIpqbLPUQ1CjxmywmnYdZV1C+oVQbUqPuTJ+evsl/mKgWAZn
UZokURShqn15ZXfSSzUEeeabVXMAJTStwtE0ae+JvF2nqtt6eVdjfn76ld8NHAvHX4Msv37eMz8Z
UzyTSrH9EStt9PE7h8Vi7YwE9qEQ75ThXj+fZ5IBJ4/LEAFQdPZmc3VRAbPWaFH1YmOOQwM3ff6M
wRgHAOyc9P7z2+/zVRGbCc6McyyTeU4d5bxwoZWxCn2tmPwRr6mV27kbPZm/kD80fCfOcGmYE46n
A0kU6TXFoLh9+wZeDyXPdPlfNOwyc35ew2k8kaGX7SY8n+o+MAc13JTxvFVCezO1ya0e05uRVHRI
Ntp8evvS8l2+XGK5tCOXOilQYhd5OZYatREQ4vrJV9MiWRHDaH2lBDz+Z08fVRr07e1cG/dvX/T1
/OQZJejv+bp/ogB/yvtGkSaswaQhnxZyqZdHCV/bjfbOevradYjPSk2M/2ERZyk/q+aauoh69rXJ
dzqv2ZBHatga6e3vEEBihad5QUQTCe2vHJHIJl9J3HBUkDiZCv16mEeou/Z7js+/eHRWDcmPwhoH
HPLZPZFgbFuzjSd/shyLyCUFKI7y8u33+6oSx4C28UWTYmKWJg4CL7+qUgw6Vgb55Nv1eDBF+A0d
FjRhvcX6t9HaD3pzLJbygxaFFjz69Hqxu2in5YbhZybn07AeI2Sw4wpL+vUwhPGVtqzrrpzuQmFp
676OoAuE4cPbd/2LaS8JmYgHUElSOT5L5plT2IydUEbyJ/NpUhR3xeGmRDhLOzc+EKtKKd5D4Pxi
4tkYhCC3lvAnwuWX7ykeMoyA02n0FdqqaWX9ahZJvbZ7+0OS+2p576Zk1cHnvwdf0p3zh9VUCn0o
EVUGJ1C88yUHaXuiGiOFOKnVSFuEiLWikmNxK19IR80FQk2v0ycwDACH0fU9NH27BI3t3UOdR4U0
TPWuteLxKqWzwp8NmhciG8k06bJP7TLJ5hN1/DjnhCmZQFCBMibD0s9Mgjb1yOa20SU+tuENCCi8
2mhMQShyz+BAGdIyJxNL3XZ0U9J2ll0iGXDWiqpNW7OZSFrjFbqpXT1d0WhdfclJ79JrFCilNl/X
iOBu54+c2Z1NG2FWjjUsKeAwYx2Bi+tbNhruzlwsZISx5YchJ0hFdQEj9iot4uC4VhUVKJrqTByA
Q1e/C4tHjvcpGnGq6/QMD2uaCatLBVwFlsL697JXPzezsc+ddLxRotrZ0y8KU9w2brs0cg+q0J2D
aXhbShW5rwnjhxfr5bar0uhYZ+kSwPjclxnCXCw0xovaxKYvLJdjhBwtmJol3Bnm91qjnQhosbbJ
+rFaq6lGcmMk8NT6G6xzqtuSUugWUa8SVDDnFdCVaG7DlWdnH80B765SVrJTazgBGqwDVS32Xibm
rQen3ardGw/7o7rHegoFLDksTLKabL4lja4dVWs8TXoKNd8jJyhq9ZgjKFl5YTvupfwRHjytRnZT
fbHiYlnjUPFFd0nZerVK+1drf+rUft3id7EV7mUBokCLlq0CMmLTFK1+4cSYcdJnVw+3kRYGEQ4F
27RlWXKI1FY6HUIahilBjeWEn3EiyKjXrbOJRhAO2ogcFtQ7Og02dKv3074cVT/hcLsPOYkzf50A
qx0aOIWxS0QBrs5Sqr0T2msDu+Gjms1bLVaMte30VcCChaGOipVQTfNra9QXFoja9aDHFbNjVj4W
QxwQDmQXLiVXfgbDKwp/0Eak5IsuxvjQyoabePbCwMjHH6kV6pdu2ic3gJY9qP94SWQFLl3LRyXF
zC1r8dvQFyxrIxF/ikF+nhT9ashQBcJ+wL41aZTP+oeGRpnLMMX0IaMbqFWWG3gUw2a0tQaBJi4J
NCfep3mjEBSR9jbHOaBX3h9HOwzsDyhviB0Qw+zwy12DoDIPmDqS9kh5u2YNGUGbvk00QVzMkZZc
GchEQls68zkuHpUDWeGmIEsCq0ds9cRkdIc1nQ4R6Kw4/BILEeijN1z3XggYAqnN1nVQS2HQ266F
lVt+hk8LvXExJ/CiNfcUD26Zw1ibEE+spzy7kmxY6gbxJWbJNx7ZsJskW/cVhPWefq99J9QNCuRw
N3RSw5V4PSrelI2Cwu0Ks47lVAg75CBOwzWG1ALuju1xT+aB1GNyRQXNTK04SPJU24YauFTyBiY6
zXdCimco4M+BDKIzunRN4jhOup5zjvMU+TJM3ohoNe37fVRKZbILvDUt0w99Gq97S/hK7cbfQqjH
DlWqbTzS/Oq4oJGUbZK0yodZtdpjptkwhvKx8vEMxBU1ewRqZO/a2sKGdwJr4ETIP5dlWC5COs59
g5My20j3CSXvSneEsk+SXmw7pbMhptyDUzmaKc2ECCIfmqj7+vaWeR69yYf2QBHZULRtlGBnW2Zi
ZICDLISe5d3cs1nEBRqVFpkmeWZMuJNRqdeAe8R7kZUhN8aztw1B1OL6Nmw+MsEvN86sMGgcMGoE
CvNwPwqklwpYNJab+V5zp82Uh1h9THa5G7Coblq92eV03a6qcQBkt7i3Xhh+iNi5VpMNeFJtS2LB
IrlNoiykj7ijpStCFZuVWIShjnb9rm5R/nz1cFG6oOEYpok6H8ze6KgRx2QDxtHcllIGNluRtypj
8raGhk+JPUK3zRTKdgSYeOZ0TnyojY8Cz6q0wYES0NlTZugHLzHVT/DGLpzBfgAlOhwr25sO1mju
OsH60cPezHtD20RQ83xqv866nbzburCNK2cobvtQnfbA5XctxgFSXInXRxlmF0m97FTRQDnBxCpo
Q0hW7CQZS9y4VaYYg93Qe0xVOp+gTaYksxcqRiYOAx5t1KVBv2yiFze6CD8PdnU7WwU2F42OrAxA
o+AD3JoDFfYBiewqlR18jMtDKBXPaXxRJvR/Ol0b9BYSuKqOK0wvLiqpZ6ydlbcI2l9pYE1jyK2A
ZidYl7uZ/pu1ZdZ400z1uIuRwWy1uf+MMYe9Dr0OJLs5XhsF7C4PhwWoNr2Fr4f7Y8YDhr5L4CtK
NdNsVZ+mjMeDJyOuMOmC9qPGOlvdlTS4DTLou5tBMT8uWqhun6UDIzTHsHwvgyTD6Z/HKQoT20Bc
Ql8b8q5XnQtlTBdUOVi179p1uF16S1upzfDo9kgX/ntT8flKiMd06XUpca0vZwSCC1FlLleK8uZH
7xoKp0aWZLusx9UXFUxSr7zTRPPqfCMvKcNHOjNM63UeIHPCgeoT8hmjy3PIMCN9EVJI0dJM50lq
BIbLghLiGjw0ICqa2fACI3KfQWIgiw9K/a+Dx798m/5H9FTd/Plm23/+K//+rapnkURxd/av/9w9
VceH4qn9V/lT//G3Xv7MP++qgv97869sPvzb3W8/KvHb1Qf/7vxvvvjd3MFfd7h56B5e/Mu27JJu
PvVPYr59avu8e74PnkX+zf/TP/zt6fm33M310z9+/4ZArpO/LUqq8ve//ij4/o/fdZkB+peff/9f
fyjfxj9+/zA8dP/+v377lJTfnspvvz38thNP5cP3pJxf/ZKnh7b7x+9gTf5AXKqSD+AzI/5WScqM
T3//EZUZmbkjMSkTlIy2shJd/I/fNeMPgyY2HQ0mCSLH9pgSbdU//5H+xzM6mWwfRyx+XP/979t9
8Wn/81P/VvY42ydl1/J8nizx/Ty5PJ1pxaTyYKJqyJDPhjyTvUEi02N3jUFbQt1Ir21cGYu1Ots7
a+6h2uEi7mG3qQ8b+U8IJq6i02ROANC7QY0kJuGkmSkFpjb8My4P8kcdYe2M1jhhZbjTJVuncwJR
uRTMbuWP6Q68+KRE6GOd5I8siw6jFplhnj1mtnUa4g5SnZ7sdXFjjdUhmbsNQJugmKwTbh1HvH1O
hV6sAaIf6OSpwhn3n8hPcUIful3hFAeMr3dpG94R/VLZUrajR4SJZXNXHZqW8IH7c5f0UfWcY9mb
n6zmolbdwFMFRp3usOna/DGs7WCU+CbKlDOCtMo1sMjCZMDg9zq46ECDO3mzlxCPGyd5QSzfT4pZ
HvQqe4xb/WR61i4b8arHHqw3d/FYHibKQhG/Q/7CiW7m2GEt56bKslx3XrlarJJuj3Ar70a+0CHx
7uTPlqa4nxzzKG9+puwFSWJn0xRVW8au5tvlgAmmvFxPrnuXKulBK6J91SHIM05NZAUJrWU2YDs7
Mk45VxfOta1nBxuPHnXA+lNpx6ObkzDID0pvHBmUQS29JSp8VfhWHFSCshVrWooCOo6Opckb1mzq
vvmhzDHGcfeV0VwmJJ9q+qn0gZY21zqq6JlFLe6F0E42hBjY3zur2KLFDqqWG+qtnQb+KXTN3ciz
yX96hnFM0o+azenAI4etbMHo7PXwiXaF4zLzl3o+Eco3rcZusbYYgXzNwQ4aVKKNO+0izbeScKvn
+WHMhuvJPBLEb9M53LTWk/yBUsERlV7BrNgYfJ9ZM48aI1QVfz5KqRWHQVFPJg5k8tHlT5ttsWmg
Z9aMgJxuYPnfa7ETgJF/bJb4B/iEzUK3AQaWQWSACuBescz8kctXg4eux2h+frisOgy8QtnGLt+J
/B1ytCUTHcaLfZS3t2CN1nNNNaYbzbwadScA2P089+T8HJD5yJHPYQErMHpy+HVC9e4M5qp8lxyy
tt1o7CKBGw1f2KQ9AwuarSiKg8L7hU19kLPPrpwjNgtkBt2jnJxdVByKAbAafyZvoVLcrc0kmRhA
9mwHXYJ0gkm/fKG+8CFSbxP1Vl5P/k65NsQMMOoQQeQpD7PGpJevSLE2y0i2d6dW06V8MQlB26h3
78Sy+nlqm1XsOfFJYUK2fZyntnuBr6kWFRmNk+Wh0OY9fgzUJ50gUZJHeeexZsN+EG7gtnYgZ2ZT
dYcee0SDVUKYu3ZxiGX6bd2KezLaAZ4iu5CnJQOTHbzJAAjMgsVX+mn7+Gs9/nn9PQ9tzu/7TIBR
Y3qrLxn3recYEDE9gYWvk0l5Jyvnnmeqnq+DYEaTKVudetjLwAbeTjw0QNg2AAtOU/qQOA1oFDfI
GnKECZ6I3XZKsN5m2MnvL99YwQzXUxY9VgGcLe9qOBFd6R37zjxlqXG8buriIFplW+OuqmAImCwR
XIlN5sY+nU4HM4s+DpWxjtThQ1uI+9FmvcSlacn7+7wI7+Rflwss5mSBHKedFT64lfU8vQa7udcV
xil6oma0jpkXJKTPu1Tc6/RKR4vpe4Nzl7aseX9PI3nf7pg+2rlzlGOy8xa0Fr6cdYiHkmE9j/oH
uRZlenUv14tc7lRj9IRSDVQHCykPCiUmkEuO3rIkqlP2KJz4EUjUqdaUm8bcqTUJD244wYUQ9e07
o+H8JHj+lc5GQ2U4f41i+Wrl+5kUcnqssg1zutKtY2xawdsD8FcTh/ooPScqufVX5UPTLRe7rBxO
LQx2ud1EMZ+aVa6ple3blzJ/eS0PoYHm4ib/qtlOpGSQWltPNxUrrNzI/44RoozNhu1ODjW5tcnt
Wy412RhuIhxejVt5d3KTlBumbjjHlIWwHzFnZ5BOcKwYIPL9yBtvUwVQm7JNmawx/FS5DTUMU/ke
n/eExaFOqp+8+uioPa3axkluaCP/9fNyWnl3UBQ3A0M4YTsFR/EeSeEXIZeJ3IqpKKlk7rldgKYq
UVm6WrppW99xnAcVURy0nK3cyRM8oProyVatnbxZJbKDiKBhZiC8/TV+9TEQplKCJAXyGiChIYIz
uh7+Ysf7kmNN7vxyOyLJ/s6wftXkJcc15mR0FVr0SGOP+HL1yQw1jTltITlXnaOM+kJos93exPm1
gmX0vPsT8cgZDLfjnWHnnPd3yat71KqJlqGmE1SfXR0EgR1XDLtlZlIXJasUa0JeeIH8pzDs9diW
H3IXIyOEoT3bYKWJeznaZNiYNuVBjku5schtUu4fMiSGugUk2V7L8Rr19tFh6bL06hDnmex/oItL
3xmTc5TL08KqsqjhVg5HucjLaywjIRxLXGxDuakHYrvY2KVltZuunpcsi4AgVe5kVCR3eqQ7d7XO
tCTIoeATJG51LzQLzshKrlcxTLLmriVZIq8lw0WjCreTyhhmc8Oxau6PymBekNLZyjGF7Oa9US0/
4tlBAlsAjcOEbLp8VfDNEDR1XsFKIg8SupbullRdh7CXshbf6MiXtynXeRGx23aELqy2hA8J9/r2
yH7FaeCDS4MCDRwIg1V7bnH9qTIJrjGhpEaHA8xbULPaLseX0asuPMqxabsPdfsoIwA55eQNyZvL
QmJIglG5cAgCbCs1jzJgkkGRwV3KYCalUC8wnXz7bn+xM9usiZDJmRqqey5JVwg24DxyszOrgCcW
Dkt3Mvh2FJim77n1PfszvfxIzEEbPbpnyBX/vEgNwcUEN8nSUxED87VOUQ0XNq6PXnXdRex7HP5K
R9m2lnmSXwYs6CGv2aw5W+FxQkMfkCxiQeSLS+HirptfK7QY9Vr8KNfbOrdOOSarOI6u0CmTrW/v
Haw09QgD4fIAZe0og6tcndYGaSgZScvgS55PQq29l+MV1BS+v5FvEZ6CfDnKZXtEEuyRwI2pbYJ9
W2WdFig4tWdGwy4due+IDH8xgOSOCOPDIClrquegj2qEl2h1vKXnc+TckJ8kTb7g3OccZfTuJazO
MnJnz6AgFRRj8iinsGI4qzJTQPCzZXPI/fOgpGzl88Ah2j5/165+J2v+Omogb0yfHtVWGg/pf3y5
vg0YbOVuNKfErxxIIgGq0dtStbsjrxQ8nwSQnj4P2r8SMH/FrWc5obN//X/O/rxILP1X+SZ5R/+R
fvr/I0VkMoP/6wzR5UNaPADB/vf/+VvVdqIaXmSG5M/+lRhyvD8QT9gmTZy4zDH3+Wx/JYZc7Q8W
AzZEpEESGCBzRn8nhvgptFAccGhN55NL0cDfiSHvj2frYTZYFmF0Ps5/KzHknAcIKBywiwMvRVcO
Wdfz5vRxHNJFneDaeT3me/MYTlRbYGX2lKNC+9B0y3fDrMW+UQWiSAwcYYWrKw67EOuHFUYYD706
I8ycwlWpQSONuvkS3P0nVDw7zwPgEZcPeUN7sZNJg7YE1HmGZ30mGtRkAzp4vT71GpRtY9rPuDXm
xrg2YnGhpsD+h/q7WX/oMqwG+K/1WfaQIJ/OPRjtyrVkY10aVnOV54C3MtlPjeUvt07zGeCbAjX6
8qnBXReH6sssmW6XSsnXUDCAMY9w7QR8Y02QC9fy+VNNiZeWl+5Wd0cU6HWzqtPlsixBaGpkxMrv
VpPf0qqfrboagyeKNwevUNZj53V0F/F7l84hEdNf6sbwifzIAxbzFE2Va8+B+FzMVB47fd3hwj4q
+QX2smCyptveEdmqnJfLsKUiNOUPBoUagDWtT/fnUV69zWVubrkcLXGYw49z+rVFfBSXy2W00KLm
/G/2zmtJbmTLsl+Ea9DiNbTKiNTM5AssKRIa7tAOfH0vgN02ZFVb1cz7PFzBKpIZAu5+/Jy91+4e
TUvSo3ktEvuLLwBODCET5ulVD97HNjj3rnrVmhGHRvKhVfahN/pHwefiTPqrEdMDyAd/g+uNg1ud
4VR/QK/aMS86uLZEqxknHzVuVs8sD/MH0472YS6JUkEDm88nE4SdWcOjMGHqeCV4wZjZTL+fAW0p
vuLlUarmtAf+dsgSZ9NU586ly8IVnV8ud2HFQZ2RoDjNFTwfsJ0Ja+UMP5J4urpW8uFp1iHiHc5/
YOKxUP1HM99QbRpF3fRaah1Jdt1jXbJkp+HRbRq4yil5Fy5aZLjKSRavNRF8zZL8o+9SGpi5/tV0
kmPXjPqqbuQ+65j/m0H6OUo4+ZFzJZeTgobEKp7temx2hCKd7cy/ainEynJ654zfzsBz2r3vMWNw
R88/xki9enzw89eI3+/q+p+OC0BdBxK/Krv8eYwfy1D9ehvaePaMO91Vd/OXM/em0lg/6+RWjMQK
zD9OSffqdOmnKXg0QqbzqgdkP9PGpKT3AQVP89OPsmDJdBKdH8FJQ/KR8x71Ql/LZtgT+oLgO+XX
/aOnuVcIDK85gKChJy1WTXfzlzt/Sdo48qErngvr26QFpLC71zK97ygwVqN79iKpQVAuUUe6uy5w
D/pkXZd1iJktXNm6wrvD29LyDwWwHUfM1FOLpq9GfyQ/6NNPkCsIsY58/UH5PFRNZf/LUb6QY38v
eBxgs+yUyKq5Ath/G67GQ+6IPImN3fxqMpF9RE33EjNcMa3sM8j0VyYPr6ixXyuNWNJAHGLNOYxF
/hkSjODW2Yc2oIrO/G8RzmPEvXxW2WcR9Oa6aViQKV6pPObRDPLxzQmRl/fTQE5NcNMT86TnTAlR
Xn3OP3xyYXsF9Qnb02fd6K/AZl59mIN9Pzx6dfFpzT6qoDiKebOc9wi19kLgYIVhXFqCYbkagSee
EFO0MT/Z6NofmoCpPm86zrx1icp98uECp24LUHs6z5tXnWs/6x7tbE2q0DgbE5KPMmvZppLkc163
gzPdKvO17fln8wbVanQGO9Ys7eNVE6GLyIbHIrEOs28JGdbht8Pxf+l/+X+9C8/fD8g+jPIofS3K
9T+LFy9OItHMQPb5eGhRwqwDv38MXf3Bd+sj4KaMppR6FQTH5sELDfijP3rrweiJC+DJnQ+UQRu/
5Z29TefN30msYUUeOZTr+q1Kwo/c3tZm/WWw1SN5vWo1tMkuVwoaFw9DCurF1Z7n79/tURvoRvC9
G2GYHwmApzs88fd4gnMK3RUxN8Wno9U7WFPrfDR+zt8Rs/DXlL8IRvRu0rMvolRAuZ3Xeb+UU/bh
Bmi+ApZ5XHwSsdmDVOMXNvUuUoc7rX2Zuv5p+Q2hg3IGgy0w6rA9a16Qr5OGnPI2G/a//hbC6lt3
RWYJfwHiHtDaDGlk8unnyWfIf5bvVejmPioFbrqOhnX/+P/rvnr8vxsNOhRI/1D3dd/oyf6aMc6D
xPl3/0+lZ/+HggznA3eu34o8+z8BqkX0s2hQ5gqQtsR/F3mm9R9kjPSFyLX0aFzMzuH/U+SBd4AY
BNYN8SH/8/9U5M1t3993R34CKlbXpjeCKJyR45+rjxguNdJ1TPa2J2fpXMfaCG0cxIlapS3Ot76Z
PTe1AVSxk7RQS5NwMjxRlyCtjGs8SPWqCJ9YtYU7fFdEGtBMbI9JbB+cyjpUuJOT/Oz5dIh/+3D/
l31jaVj/+cph+Tv+rN3HHMDm8ecrx52ZNhbq/D0ji3XgFgbKrIA2WisZFTr+ZmySfu8Zer/PZAFB
LHLDezu91tFUrgePCGje+FEFGDL9wnvPgpsVoy3ADvtdSp1/k0XlFmX+vR6k06sNwgr86Zswc9zz
TVhsl39vuoSyj/7w5ESVvx4G/Ib//C7/BuPSeY+oWt15eOzTN/1LQ7jKRTlF3Bx31fyiqtGUCF8M
Yoymes5YQZvRyQ6iQO7tXT2qd2SjVNDLmu/5mIDxN3B+16Bajx4iEy9BqjjREdniri23OvZpffa0
+SQ2MH2P6ugwVv42lzwJ//w2/qaT5W34PF/6fNPxdcA1f35ZyN/dYho1f9fPAkvMowFqwwQFZUQ6
a+T32sF2SOkwWzxYutmPd1N3L+rZxWJpxo1konrHlUtCUbUvxK9ZL2ZBxI4Q0QZu+vhMFHjMEYh5
oyp6KhucxiuvjvULedhy3Zr9F1mNFYQGd1yDmaKoHbUr6McWspHfrxcb8yz/G1uzZSQG25d/6Mfj
KTCHe0YhxTZ1oP4HGq7SLG1Byw5t81UboMfThkrv6KG/WK1Nzd3Kdys+jWPND6unY1305aYAoNfM
WfLg9EemINDRYc21KqwvSfweyw6KboOqxlXTpYP1bjOz0NyfnZ1/GACtr7lw/JVPkPxs0rCuhZYS
9NS05NWTt4j1Z+0mun2lcfNv3qmlD/37GuNuCgEORRqlE/1q9y9rLCmLiAOw75l54zKL9OhIWefv
IDQ4O8B5XM2C0bsztX2bPLdu45z5hPcJLtstnVgyBIQ6LI+akzXbxAr7I9J1jM/kgklSzP/5GcN1
8Je9jJ7WcmGeQWomFd9fKgnDIw6yIwfz1142sTvs9V6OZ0umW/SrkGllVWkHnCfV3qqGbx0g0ftR
JIdMLw+Z46gT2mOPWKLRuUuN4nU0qCnitDC20FTFKtG65lBqX7HJ9UwkEm0Xcym8LAtzdM13sFba
BvsJiJcwXBPjiXCrD9pzSjPogMoL9ViYEs2qeeJojuo1yyZWNGEebhP6az1R+pmFQ0wkyvBtViMP
M+sg3PDTkj3KkGrT27BhQt05j97UnTqLXKxKB3ccITQP9OAJsuZ6VJhgabCeHDFV2yJoulXjGu+J
ZDPUDVusnTHuLiLSXi3hOZtBOu2lmfKNK5W5Fl7cbIiqru6FTtpCBOfxFOfUWYFe3EXe8JLioVyW
n1vbJzc1nXOJB4S0Q1et+6IihJiUo+0E12aXmzz1mdEUW69L3kYbet1yYridBGRRZ9xT4teiHATM
BMc816VloS9uk72v0uDUaBmC92WlmUHSrkjeazd5BTPBiTX7VDj1oz+E7Z2j4mmdBnHEMDxlX0eO
u01DezwwzOlXiMVYVnpJrHhiMAsvEwz3fX4iVupljC11LwNi4KT/0I9JuW+L8YfOvdCpPO+httR3
z6q5wfrxbUj45I1cjqe6y98SBzBgbSBAaRvihEAPWHM+fEVgLmJJYWxETLCKPdrv8/XGa3DH5mPZ
bNMs96HPIMvXfK05LKdMh7jVmVqTJPC3ARWAF9jpJSpILXSC8AxL/epnNlFhYddhSeOjTnHMIwQp
k2Ov5y/LxiXsvjlrbXgzC5vcpFgmb+QOPEam9LZ2XYNIwNcJ2m5IsD0j+Q2a/sB76S9ua1irQoj6
vrbzb0EtXCBRk9ik6IG4zSVveRkpBJDAHjyJkERXpLmZhFZl9nS1RoOYlFbj+Zv3hgJKx8z3GFdy
oG0aVm1TrL0W+eM/r/K/hanPjWsgfVC1ZquXOXfGfud2jbGfZarr0701jgOJtDEjWQQKkK3GZ28M
xweiNOG6iCP5gjzt6FadLq7WFkkm9C6wzi8HdwmXeW8obgqMCViFcX+KEgyMAkbqNg/qHM02TwIC
1I3pdN4pMUZ3y9UOfTtG7VvZxeLOyMonmh6bugubvc32eZi88TnU75enWhE18i+nqPnXAQvv3Z6l
ukwMoZaxLf/53l0kyMR+hWQvaLPAKMbYywm/S4mh4Jw4tSRrnLg/ZRZ+04Im/55s2TVCcrLKMIog
7be8h4QgT+7h2P47X9kbfGOstmIChRwZNlaNSr5PnvmlVjoT2tFx/uW659Dv/KPgZBoDZJG8cnA5
IB+XEfFvoxmrsAW0izLd56FoOdW6eEuMlWlDES80+TUvqvvC9LBzJDBC6y5QN5FdYR3dxBiDJjGz
73aPGLirbawGcV3sw7h7yWariGWMw68txJJQcizVHzOm5Vmc6gfMcwzLunglnezTALq6GrvurU4L
/RwM6beu143V1NBW9AZnPmr9O0BHxMhY54AWwW6pX7VU/xp1iqBk0ye8qBk3mk00HZaMDPlNNaIp
l+m6Hd2echCvat0x6hvjXaexAxDDd5f6XYjS9xWKzL+oX/4WnwPOiDVhI+SbC/mlKfzHqqCGiLxs
zkCj2ttUaWLAelYaYjpBrFI3btsiHO4bzRjvO0Pb05/rnwOQUKnQqkcFqbCozzXSkbWRg/owK6Xf
2WNaHZC7ZueAphmI0cbL7RWVzSPuu41CaPLqyO5G03UD5GvYy8L+3ocll9kcvJFehufWSIw96SfG
fik6o1xvjzHWBg4rtvkpfrKCbMDtTzBx7LUe7rRy02Bwsay+3GtJQFpYHj22Q5XuVMv0to49c9tb
+uc/bymL0fb3KscxHIoJ1O8BPSKM238BZbuDkp2KTCZLFOPnUqmvWoYTBm2Jh8SDyozo4dNS6WTY
SEhk0cjUPmbBA7AH+wh+zTraab3VRaX+RRv8NzsEemC0TDpTccaYPvO6P1c8jf7em3o27UHz4cEK
h8mYRv5sb/3Uiu6CGyxZ89aqIzcetTVd3AvctCA2C7Qq964tvDsp0nPMgbma5PQiOKVOKnhuI7N6
MMLoa2zq6N6m5KpNg7N17EbuOujYApQKxEIk+5XZ9VvAxUSJ2PpVxcrmwE7tY6gl+Yb8zbUZUtH/
8zfyNygFbxtdBFfgOdAEFORf6k6jI+LVK0tj11fySbZ5u588wro00+La2e3hZIzHFChx0XVnYZXz
VNvCLx0ZLwo1EARQ2YbB3rcqb6flstx7GTSzoSq+E+94AeHwYSS4zHSpdxSC2GTiqb0N7nqy6Czh
aHXvVCsOEQr+rdYnPZh8l9YspcxSoARBQWxSYZGJlrXPZEXtmjg64wULDkmDcM+ByjKzUUqoR+sB
mvSKiWF4tEPnPshKse2k3e+SYExo9jn0alrKtkYS+piSk/wQjWT4qJbeKViZ+Qpg9QYRknMqs5O2
H7SByzPg0ZVC/o36EwrGSGJiM5bGv4yll7nzH8uC1gNrInBmLC8W7nnq+NtOnSkogwNXxp0OOGlH
p+CWIowtQ+sYRoRU1BKMlYfRD+I6PfmwkGfaTruBCYsXB/2l3HVptHVyF11kAWxmMCFS+rW4lVn3
TGgAUske6BOEMHfjoCIrYD557tpo7OegIulKxl50h+mVgsUpwQhNWrPWLYMrWwUqxbQHrIhCPcW9
Fp4J6lhHFRWksCXIG1foq8p9M/h93hg3t07AoBzL+M7shn4VlWO106LGWC8DDtHryVmZ+T7KHOv4
Lw/y364kfIZQhSFfMI6j0Tmfhr99hgYdfEM5Jpb0pAtwf2HHsrrsGOnWUwrBbCv0KV+PtfsapoyA
PCHoW4SxfYRpFbbauSQ0fZNVWbA3Kxj9ymzlbvQVN74q91eN3jxlXjIdiznPQWUST2+BdarpgdTI
BkdOlbjmdiwHErzwB4M/cRhhy06ugkRzV1UUmhutt6YN6PWQylEQ35WGj7ILD1o0Pkw2oXsC3NLG
II/K98UtLbvvg8x3bh4Md1PEMSiVZm847gj8I/NceFw6tKB84c7I9zt070TwxpRc//PSllrRImB4
ZdNq4sRPtm7Gnwmr6f2fP3qLR/WvpYZHlUzL32aIz4zV/UupOJhTO7YUZzvHgJ8SCWljZQwz7DCT
uwEIl3AtyKAkNeHVjzk24U3YyCNJijZIUZ/BKOW6Hzz9KIJA3Wu0oU7SNMNrrcMjm8IuRmbDxYfc
LXWvvC5a5U6hH6sw8C/kmXWhG18bWz7mA4O5pK1RWjTwgBJQN2ZYJ/tOQWpDYtHQ753oBIwoJ0lg
2JtJxhc06hx/Sumriaec+/QkMN61FXVNVH4LCIW9iPpsO4V2tit06BHsY6I0rRJBle1dltfEXDZb
16UiD63XppNuECCr5+1j07h3aWqEu9wySM6QtL1HtwaRU0GKZABYI4kyvwfV5N3/em900RHP+f5W
2eDkzDon8rYMtQ3J8ubFE/7a5YJzH1I/4lwia5CwJSawuGXKelLnhkHTYflEayjFIhoQ3MiUOMf6
TAYDrZWY+1+JobSsxuESs9/Mc8eymuT78v+E103b5a7OVHezfLxDBKou8+zoTo+TgMxwGkF93MuD
mqr35T16qb4dlC5pyk0h2nFrpg9yAxqmqL6FOrHoy1/Uj+J5sPzm2muuddRR/XE1HbdANjH/eWV2
iXoLRRVyotV819r5Ul3CMewPYOSMsxmrr7oEUK4mlCLzqYiJdzrXZDRoRMMftDafJV+09aNwDH59
KZFlpScv4TbStI6BplYWJ6/VzZ3eMPymWG/OEXptLSWbmorT2shYppuo0AkSjyO6sPPjJUL3huL6
G8667YCQ8BHs0sNYGeW2ZyWD6L/acqo+gwGvMlikZvAvyhefhB3MsFnLW9dNTleDqxqlhD3nDSdY
9Fzz1kIRw8JQP3glmSlcoS74MfO1iPQUvU1p7kq/FGDiptOvV58Yp8ie6otW0hlblkkLzmBVNBSE
YRB8WGSNAzQEOGkkyWn5ZkruaA39ypNXYdWgKM83djWzYUe6JktDY9KR2YsWc3SQKnIBARJJq3WI
zVPw2LBmBvILX+OVN57dCs4GLfXUPTg9A2utMlZ0OFhd8xfaNGxemVlgDS6znBXQ5xstLJ66NnS3
nHlqA9S23FqyCHd2N6RnrSvTs+51xdZITGa8JIl95iX0ZnapO1vjG26Aj+H7c4N9zrCML1cjMi/H
6mej0Pd7Hc+77z5VWk0ONQfe8nX5Wd3Qs/DeVZaajxLglcGQdKO3Pr5w0d10Kzkn5LU8jdkhn5/7
5WnsuGfsgBADY6sgktHxI1tRV5xyo3lIjSS+awPskvPvl3oeboy0MY4iag8kCzckp1hXoMjawajI
QKvq0OGEGN/0OG7Oy6o2dNne0Y1hi5+3N2saedAHG5Z71uzH3DZAJvh9vCHhzN0uv6XsvVvbucZD
1nwDWNzH0nrKC7dks7JZ0132s0L1heivxy5NDDKpOSnwrfEQW671jKDlVAxcwB1EX1tCFrn4td2P
iLD0tVXZ6r7tNHOVl+EXJwSKKXwKq9mciiY5G9cZV4t94dBUqJTA1c4gbx+lCdKULEPC38VPnaW9
t4aPF1wrC3HAY5odHB9EnSvA3mquPLstHRbpgynsXDrO5G6arbHnMYxOMqfgR1Wo74LSK7m94Eyn
/pcrF+c96rxmHVe2eIiy4IMExZdoAF3gTYx+Cz+372uCCH27JWBvkKegYpZZesnXXO+nO0fiwZww
1/jh+HWw/WFjDfRIehJIDYbmq06rqk1rteNKRAq7Tmfy/NpUdH1vi61ryTcDHN9Db/WERAWI3Thm
8ystmZ+95YhdH0Afpi0RnkPHf/A6WsA54sxzkTj+xakBz9idfrGn6baUrjp6iSO5Oi+qsqihRuCJ
gvzUVWChhjRGskQslnbUByRiR/HYP0TKeRTufRikMC3NvkDXNxTIY4j4OvuxfMpNzXj2aheKnZ1Y
D0v7AASYBr9Ve6x9lRM96fhbO8ybm5XqAZjBvMS50nMFLkeXkWoCgnf5Y12aG09GclO+ii9xQsQT
PdBgT0zqV1VrH79elG5HwTYl4vxqhdPJjNxqi9Jg03Bd2Ne+8A4jftdV0FY0T3NafssGEBcDc9ds
WNdJ/6z7SQn31SEbhGZj4cQ37K4aAr443XiRWZ50BgjLH3N1L9908LQfkuhgAujW2vEIb0Lb9ZM7
vnSAmI1IP/DFUiBZ2i2h93dQWqZvBt0HTWm2eyvXoq3b9uHVngYOMXOwdhaFO6/QMw5m5RlrmRbD
tpHKugMV8utNLpugY6nP1Ndq0NC69giQIVtN+oskYxw03rSJIlo7nlG3e09wzzfQcuFqGsW+F7p+
8aAQ3VM7R3fMvg62mhSehcpc2fSklr8KFdI3NQDijDT6u1ULHLYD2pmYRF//+hKNJti4NWn3dVId
EoDDtKxXST3RO5zkj6agna2EhzYoaHjdaCGJmCaIXtd7Z9t0xXDwzZ7EdbUGC5rsSSamPBHjoJ+p
IfytGPJ95bJrB0Q5qrYHQ64GufFRJyMIt/uDorG1naqx3aZz4z4tLMgkuvVCXdpePVl+dfXwlFj0
WipZ29w6GkHzNavYfgh3INgxPIa6KxGHHYpGOK9jWjwtb0wa/VsX6+q+9jqSkwfKqiJrXjoNZMui
sIK1isxK1XITk3YMPY1PVraBD/UQhDGKmwgaOu/UyLovyUCxUFXej9K0XrHLvOullWyWP5IL2O1w
tuvj0JOC3aVa9Kiydds+FchNnwflUZTnZbZLM4PKXJ8oCIgCtypnA8rmmAItPBoiBH42742GbY/X
IOZVAD14i8eKHuCoPpOYipJNr14XFaBmqmjvvqF2K1KbJGNvGMgMYhOg7Tk7H4I35ObnUQ7xCfuB
trPkxGEU99+asvwuMm+l7F57TcmwbRld2LSzvgR+Vq5QULWYEu3gopIRN08jN1NriC80PLaqUG/s
it2XaGjM1RgWw63OMvI2687du2nvH4ooPea2N94FzkdXed1KVX33mGjZ2vSk3LaLOzPCbjr6wj5Z
btzueyfHrUlEvNf0z7Yt2n2dNW/Cdtj+iN285LWPACNh+zXxtXEOTP3arXPa1KDkqGhoRWdiUjvN
4dKjNC+9SwtkbUmD8yeNLr7ydkJwZXHha69YGCPIXVF8iFTdSpqiDIuy6QIBgAtmewv81P1qzvpl
EaKQaV11L8JX4bIAhB0mu0qwqFoJHFIEqjzSOfF3oqEuioMfboi8MIkZairanriWvF2S9j3giTh5
1DUb7kF1Mss9rTZxbwxqzzw7vZNxR1RdAEY7GDC+dEH5RFU6Z3ibBAZn5WNbOzesavWlkfr7r60+
GbtDZhBxF5MYeQ2aeiWkSCgSk5+1rUNCizvyWTNlr0ldjvElNKtKb8mimNziu0U8a+cmwYUW8Klg
wnA0JUTiKI69SzTYpygruqOA/r1ffhVF2a9NoslXkZFWKKp2zujdbLewj6VOih8r+xRCu9mGPjxm
LwEfD8PWPAhtcBgjoNcUib8NwglmOE/RutQdGgQ1uF92NY2ozC/kNU0zGv09qorgMjjOD9/6Gja5
uNNzLkEEvyKOmtk/9Aw6hE+sWRU4pHOzh9N4KLt1lqXymItAbLLeHrZxBVQ5Z4fclGmdnMasK2kQ
5Ns4n24Da+ks02o1iMI8I5y50coju2WgnVblNZAWsDlXDn3/MDjNt2WXHNPsxr+XJ13x3GceMQwD
EGju2URuVCiQdHrDeeS5Gzw4ASYH64QapzlWBHIcraLU1kUbZhvfI3W6zeL44vnRbpp7Qcvv6GkR
HIlvDi5gIOwjvUH5nnNBXXeakOfJwMaCO2GXQeM9pDqTWC9uO+wnibH1UKMdiFHLIHOPSBxjM3tx
3ILvO60/me/TVy3RbqBTdzCGtN1HZQm5MebWyPIseX6urScSzuk3VuSGG5zSDis8cdtzXgXGLuEJ
DgHfk/fRTJt0mraRLNMvk199icj8YI8sNI5xfuXw3SAhbO4wUk5bxc9YSeiv64D5lTT0+gn9MAqq
WJ1Vm7/mLS0LLi723nfJoLQK5xRo6WvjN+XWTJNw3Y8y3DN/Yf9xYKDKsAZtBRwCGq9V5sdMprDs
ez++FMAaaabuJZj1ox9gvw7C5ElLJQ+JfC8qFT/pKh/WuSsZGtpxtEeFyPDWRsQR/1hKJYLMdVuh
Tw7CXSeH1zpVyTVqyr1diXSXCaJLIssNDpNw7yKz4zSfrBt9uUjZ3pvKaaLDF0QE9trO36SVTK+5
F+Kqzpqv9PKZSFD8LFu7PUzWOnZc68AaugSMMzbE4VnHyjjXqnae0C4flnqkTVAAwBn4CU9N38n5
OQqHMr6mKHdmSwuAjsZ8HgvfeI6yhA2g84sbESLrPvWL+xB286/iLbWbaW275XBDeftzagtUia6J
P9pJv4EZflmOL8rn6hxp7kPl68G5zgFV19NteR1aal4iYut31kxDWbUugC39wOQwxCalDlNT0Q6Z
50g++PLJ5R7bcgs99bb8ouRc7CN7OtZZu88DqvvlHrk00qV0Z/EE4Cp3NCz8CwPl59zVWMR6iz5p
0D3K9MmhuIn6bw4ZfY6N3Ft50TGuDfP8695Uyfw4ZtUPsh4t2o58oCprulM6pbuOac0+9KS9Lnw+
YH+aTpqbTHdkUm3JITA2VlMMG24D5Hck2W65vWkmirpmHFw4Mona5VPlb4Yq8LbaZIdQd9OdmVbm
Kcsn6M5m/mVoyKXUwtx8TnPbuoGefvGdCVkLPSUyOYAtWyeh9dGZkLx5e8lvoeftvfr7VMvwS9nb
hwLL/tGmjslslz3UKolc7J19bUpuSSYvuTIJvC65uaEGeI9U+S3a2n063tvh0F0N0xvJiZyMZ7PV
PsekZyiMyGOFIhRRuzvZV0RV90kYhftGRuO50AyxdodANnt8dM4pTMaUk3x6XKpIps77kRbr2HEm
mpVsV/3QtHsx6TbLvv0cjGQ4dFqKaKbVXUoWSyeRNSM9ogu4QCOITSjj7hUZNcsIBTca4PE+P4qw
vGoR4keZ0cL024lQu95hd8laZ9WPFy6l9BS08lhojfus5g/V97OvRimnG/3k4+jFEfx1pAZVZzXY
DhKkyLkQd97UvBUwBPbL9snPXcDdnnVzENly1aE5MKkRZUfhwNbW4/vMD0/4FrsLYuc732l+NHrl
PeWezRrCNKacIbsxT6CaLbxxndSWjWMBFVkNiowFKYO9lHMfPJDls6bcHxpyBMeMmlM1Pls5g4aa
GoQIhfVU76KMhroq8nLf9aPFXq+sQ9caxSrv3B1BieZGmrOgyIl/WIxxbzJgR//vu48ZxOsUg8Pe
HPDz9Oy9khkKoN8R/YTgyA+iNr8ZDblARHugpa6bW1WKH1rUNhddR7c6DLQkfZ1xYOyK3Simt25o
xrXdRhFgA4eVJ2F4kwWsVks9IFiwW5J+6D5obrEDo67RHWoLbnCKhhHuBOdRkVxrcQY4hE35hamu
PlfVfpD9QcNbWlZ2CjQIEYLbmceh5YpmzUpDt5zr0klT+6ylwZTGiTgtc/O2h19GUvGVXI24Dsob
OCiiFuoYFB+65i1zZShVZgNkbpw+hkHfR17/4DVmvc+ggq7DsNdR/KX+xg39D0tRNydsgA9VR82c
SPm9jUKCISvVvqi+uw8Jnd2o9Lm0pHFHxNGHgG/kdyY5OEVxrZgL3i/XMVMfIKBrzjsJE8G+wJaW
ut1rjKBnnY4W1veS88nhhF0tp4c1C0RyXz4MJGcdlVczcNas+zJq7b3ZGMXBLzC09eGOe+Apzob6
MLTvvTFQLcTWk4q9n+Vkjhv4bfVuGgbogBVNrMbQ9GtPIMga1c7yMeZ4I+aGKqgnsVqUSKU5Zo9D
Ta6M653toGpfFgWW5ub1WrpluRITxEcztyKKeLScOVzXB8ew55RRj+tFFjYv0jYp5Nyu/aU5WX5i
Flj0gma9DjVNdEg7siHqXWX1zjlADxeN1X0JpJWIqWQX5hbXL0YKuVccZVWezKxsTjKeXuoqdK4i
Cg7lRP67GvwtRmy5tTrwV4wy5MOveeuXyDXlXjYkPkyS6xFuFDq5MO98kXePnfJXYJWRMVV9sJky
9dV3/ZuXAaekpeLsKHhpp3TzRKcVD8LcGcxgVk5WPSQFMoMe70ppDWfLUNUanJaxbxv1HOlxSdKN
sbHD1JmzP8CYzB0CL5CKJhYUv1gCNYU/ehQ6+dyqNB8I96n3bmXhh1qkShW3qZ1mkWAjU7b0ptWC
darFXLtjrL6GXW8KPJIrMx1fLbaxV5RRXwyL1+by80mFea3E8MDe8FCPI9qd1FFrfdF75a1zx4Uj
3XRmGG49s30YInMDCD/ee9bApsIVpK7Iz0YH4qxz5tYimJdBUSia4056SezkgbZ8t7V1b85q/Rm2
hnZzuHqu8gQDj2eSWKVpEaVeDfDeNob4FvDycSLRckuJl8YQS4k9GQE28cRbjZSVWyFSZz+Z7s0l
8w0mo0/J7uVI3YPxkb/aONvDLIuYH6l6Xn7pvBAbnRSaQLJSorF4mWTh4LPF3lwYwz3r9YMWLBKU
WtLRmrgUxn58LnVTrLnujZthYnCCPuC+rdvoZETaWdCyPpjSZlRTVy7VGUlLOvzRg91S5jimTeBk
YKU7uwS32mtDtqsT/8Gf2/r+rEp2hhnMMl8slv/yZC/u3MJ50vrSXHngJQCKTOU2LaJLB+zy/FNP
ZHCMNVofnjL+i73zSJIc2bLsVnoDSAFVAFMzg3EzN2fBJpAM9whwquC7qbXUxvooon73/yXSUl3z
GmQkc2IAFEreu/fc8JK7A97UwaiR3jj8E8oiqtjMvPJblzT9icqXv5/KT1sVZY3+3QFacy+a4pgn
WLfrXWpU8csM42CtkRU2KH4uUbh+uTWRwp3Hyn5pOYCpyDxSoZyxpT5oZk9D0X/WXcxx2rLypzjz
M6BMuNezPCn2lcmcCt2fxO/GcC6OXb/TO6kPlorHsSJO9x4zyw7xL33GDP+cy425zSE0UUkS06HO
cnl0kYKbYuY0HCN2i46TIKvJDXVI+grgUwOAS/oUzq5hVEGhOWq/miPuYHcAWJPsUr+LX9odqrSf
WVotR2RbG2FU/lNfwCNW5b5T6GH+1+sYH++8H918RHNYmTc3NKcdGyNnhwag3xAygWbQf+V6oqBy
XPlmpHOOxy6mJsaZ6s0xQ/vclfovCg57TQzJtzYfZgIr6nhbmSp1wzedDQs/CUs+28Gk6KC8CnSG
DocalMJ8nmU03426c3Y03z+MZtBPGdaOrRcSrpY3CUC8bEx3kxc7t+ITd3kO8zDnFRhJ7iLVhRD1
1GoOodGjCUTSQnlCMxg/bF+bIU0O61wipV4hpvQ+4254m6AkkXfX9eSyubB+JGlyqJd3IV2Kw7rm
ZHbewRJq6U2Mb7ErssuYp0mwCPPPYBEpGDjb8QoS83jKhZNdyJJxz9Zof1aQMw59o6Y9Wd2T2k2e
tISDlWtw8Fc6sMhwI1zZFb3vWGOnGQIT5I1Jgrb0xluBmc1GqJoFFITpA1iBk7jjudfL54nkmBNn
hKcikfpNpLXcGUN4XN9tCvrDrol6zNtdCVmj9JEIuOLdbvSzFuXjeZ1n9Kp6yjqtOpeT3d3WRU3a
LlzUtnoRFS3Ppoig7A6cTPmHswRFw4FXPkdSI4DY789+FSeIKqbmKIbydwtA56BZyRONhe91izgj
6jVa5EbksRq5Ljm2rQxqgXUG1zrbUKsg8q4Pm4NTdEdtgppckbp8abXhjp03vESp+zmi98Bah+qv
KJya3uFCKKBeI6uqE/lYCmLNagTnDBuR7jFu4dyJJRphEXv7SerfpD13II/CfhuN6UynNPtdNx7I
qRR3mDV3HEWa9LYOjQXOrjcuxsUNucBVJNs23kULF+O8nqMGQf1kbNxd5PfGZUzcT8Ms6DE4xJ+s
1dV0IbsYXdCH29TOJbaNB8X45cq+eDerjg4GlGCdhRuHLWTeyRzm1hRBQsbC0TedfS0FDdI4MaKb
MzIzuyG49Sz1PmTth2f2C9rAJK+6LI0TvmmLOZ4paJGNA6sPHyF8h6qGompaekyWjkBIPZGImbQ/
0CpMe6Yp9zKb04ZqO6WarjqV9LaAU2suVWXHBNTaNU9hL59SsJ/bgTTASy2h/NrErUVj19DWWxo2
FAz+0UUWmEfNRx+J7MizgQnb6OSe8I4ZVvfFCHmFbetqIJq/RDXaXs+MKBuicNhT8Br2WTJYdIbn
Cog8EkLBH997uz/Gtmwurd08NXkjrnVeVM62qnwK9+J1clrjFaibv52hrsvaml8bwWhKpsBlTvGH
of8qRPyZI8bYINAc9rajHduJWYnJ+SIj58u6CVuHrGktiubLhxPHuCiryxCnJVBnRJrg28/rRAFv
ttiXZnIZjepbGXFnyjrbRVmegX2s5MlfYIGgSQ/wpnxt2HreHQQtuyoNf7s0WAJmNCOY6ujraIot
iT1/I7Qy9q70fRAB8qhXQsfbsji7uu/pCgjN3C9M5OilgtLME+igcXWmSMX8quwiZl+8RrZJb8kp
55cajeB2aHxfrSvoArUESqo0QUDF6d9xIY09ZXtIdHNsHvzSJutydD78Nq6fhok8L1C3p1X7bCwm
ylsXeXmRjud1LDJzDudiaTarWtlPomtRM78mvvcrEcOwaysUjkir0srvnmInui51TKa7/a1aXP3u
/Ghn3LHE4W3xGXAgtcLwNqaiOa6ykzFSAd5FklLJcJxLT5bCPbHBaY61dyL6LT+t70iVJCe30Yad
QV1otz63Cogtl15f6MgCsS7qI/Z15yfNGQKQdkLa5g98ikSXWRRcbL94dAsC1xBNBS9bMm1N7KN3
8vIOlZO+xaFl3VL1h5y8bT3m8oq/N7q37gVZ27eIFuZLMoj+OuS9sx2Wrcxe28R8XRUQuRdj5UH5
FtURvVidCqfIxk2PfHavz91t1TiEnZhvrfN1PQ+M3lseF8pWwglhPTNQJFBiqYKoMxlMjY9zGAaN
k15CAInh0htBuu5me4r890of38xmsN/bqHnnaN4EXhfFx37CkoJh0txE2lSdCOfjDMDyL1grWQbt
qagDL9Lf2Yw0x9COwmuntNNNMX8FH48HmWJN4mfWuZ+7HwAVjbcMe9YSy2zX9/2wz4kxubL1HXem
PzlPmsFqkgnxyEK7vXt9l6BtzPc5B4C7NH4brixvjYnztRNkbXs+BYfGNK4KBEXoRv1S6l5/MUT0
HHfW1WQ+fR9qIgBJeq1ubZIT8KKhdQ2j9pIU7XuTjvJEwG0wqy5HltKcYl82Fb8nFE2PdaFzBLWn
yMpezCR6zrqkuJnT+AXHXr2NrKW7eh9zarrPXkVGp9yH0wghxXKJYlxeScTK95EJzdlSmq4mB7EN
Cghhozj6It53w4CsJRqca00jWZu15r10Qu+YUmsbw+VjbcVTuGG0Jf2ls3yUqnoZJOwzP+32o/Uk
zQ2v/tLG+W52BuUWSOOdjzrnnDGvbLplAarIkXzboH4qloI+GzqSR0PV+kTkHNKm0bdPQJzyDaeg
b7bUzH5baJ21M/N+2FqqVVVPRXvWzPkGF/0V+DGSlEUmu3kxNjQAYUUvevWwNZswQHUuTnp562Pv
b8hwLe1bGPeOvmx55UIo/96t6Be5XxaX5rjNxsMfZo7YGbIsl17cliaSDGRkqOXb+hWWbndwpB0/
FvJhC96P0A3tDyo+RvbKYUKFu7hUuOU8PKw8khAmK0w340AxiuP/LZuiU6o5FKmywt0aAFtuI6pQ
zMKDycaCNbzRarEtG0Qfjtqze6zPwczeeJdFsC0h+FAD8hjufZIYV2eTClk+0AcV5dFpreZaktH0
tU+meuMMjn6FdBNvgMRmX+2Bu98g9PucBxG/UF0iejnZUVEPbwRoN7u5dOyg70o2XCZnWRyLYImc
dN6EWlbdTYf4h1DnAJvWHGlLIBqyYQZ1wuFF80FC2mNvfDeb5bPxR6Z55C+Go6Efk72xMWiBkIbs
yU/sO0Q/zHF1V5jIssv7azQttCr57ZuQ0DlqR8I8rd/fzjQySEfyn6b+lkQD2g09/+h1RBz1EBnf
nYZgaZm/Qo3zr3mvXzAS+PuFcORTNMUvKjRwH42rxs5EbVk6e2sgPHmthEbaQPeXptbwBamJeNb9
zD308wLrQn242Bi/j2KOT+s4iDMO7WXj5afaJ7jP8JzmOFvxTdeleevs3ngiNyOu4gv87v51DIfw
pLTSUZ9pmPuaZdtntKbGmSj0kbyUEQsH3tpfXIl2IJgaVKAKjhR+eYI6O19FUvaBWSEfwDa2xQcf
H9d67iI5APrWhzm205bFuPne9OPvgXPXw0rZP8vcMfeio4zCnhWlZW+Io4lAeGuTMLUJm4rCExrD
WwhsA03dz0KrWogmc3QtF/BuMmvyXUSNZjtRsHgFk5gA1bWioIxJ0x2M7IKE9ttIGMn7aIFSHOxg
dksorlQNZzryL0NmPZtpzcjDcgAMPAU7EhcCH9nsb3LN1piyjCeyCcSToSZB0oAJuKXXENFQK/uH
m1/7dnJvbTsQnAlqBIi72e7apY0gHqFJqVtvF8V1t2/Ht5AC5L0bimlTDjRQ2qo62cYyPrsJjcuZ
tmwxjdemgCpALHX2RObRTsSJvGbUjP5o8QAMjieD+lido5Aij4AoS6EKEakV5ncaVTPQ9LUu48+0
fv80AxZaPUFr6dk1fF97ByNHia2ufH4D0oI/gzz2JnpjNeFnpLZ8GIvbU6u29C94iYEgxL69lZ54
X39X20J6d8IoIy9o4pTYF9VyZUfE5nZVxiWl0Pau2p7zHsgNxb4lKERFUMmQP83jSPVm5oxPMjbj
12bFJz7Zek4GFy7Wp+NpVBhb8ULz9O86StVvAi5At58+7OBmr4CMCezpoUlm/lUbVbfDEa2BuIAK
qJMkdz0s+ocV+sz9TOUWss03rTCO0qcmWrYeUDrMe2uhe/R6ptQo1S4WrYEvbksjzp2ZuuXIFBqa
bBJsE1/ZdNR6rz+2mnh3jeyPvADvBiIHVe4SWniczdS9OQ1HwWJw0SF71Ckjp5P3qGZESos5OYJp
sc2V4rEsSv8rfrpiLN4gTD8qFxhQxK4gmFq8SJ3iqMyxYcJEQX657k+AxXOyt5FcN33noexeCOVQ
f1AO/mymcHlKMuNVrzD9ahOuYDBI9Fod62b1fmAhSj/pVFS3tHD9J9cLeU2VktKdspc4C+LJKT6M
Ln2v+xnNXdidJAEW26gl3dII/V8+cQOvYTVecsoKb4WvKqBM4OAboNJG8yPFMoPKoLfvE4WDhGpO
ndZ0oNtLo7yuyyTk0fO+wzX78LIJaGnd/SiUnxF5ggoVmxquYynkOVZn8hRRmI1Gt6qJXsrmgVbB
8L3GVRvEltmdhLMkgIlyKP9D+rH2bAajmu5WH5LU3FjlUYJorSrrWavsZ230kfwinNuUSjbee/Un
6LXoKmLaEkB8fixObTwbkfXhDb+WRI9/+rE8p2q31HUcghZ/qr+TxnhY1KEwChOY3GGa02CJtsVI
5WlO/VNZjZ80pmcyEoGGjI6unfM+BFBoUDPJBqY1u6UythYo6iIXVzGK36i1mF7pFCP4SRZlQkro
8WhVMOJYAxGLChMBVBlUZcjUEB8nUpYPqwpxlW72dnHJ0U/ioYwapjx0YmHtVM+rhlP5A6qO+Ade
+ms1Spj3hnGLRSSfTQxfVRIhVPIQChH11e2zPq4PFGjT3agUF5NAxxNlvQSLxDLGI3rO00NlZRxI
Yy9/XsZzoWTEbcyma2j6b0yhJkZUh/bkKqPEpJttSIyH82N2wwUZLrHk68QQERSwKZAeX6hUVIiy
XEBOaiAmqloKUoHfQx7MRocFBfMGkEdiivI5im6QgeqdHGJSiCLaFitlTml/Zy079mHm7BA6eX90
5J6P1sH/xXzI4ZhQ6RNieY9EFxQ/CK/kKTKTW2tOwx7lof3DItTSzuejlkbhsfTiT1TEONQHy3vM
A0FMWZcumyHXkptdA4rMjVi+uo39K+r0nyREp3cz1s13Guo/fX1O715EBFHnPs89keFL5z2VNspc
sxu1Vzf+WF8/GIkDzt5cmD91t63ulq7TvFN7D1xRehCX03vnZOWRoqK1yc0mfdRu82o2nb9FFf7b
maYMZ4Z8HTXBNiR+0UsFKFKCepni1UfGZd2H8rq+mRDFB9UL9s6ekV/WyUdjJIquBImewG5av89F
x2UvrrcvRTQ9r13ynK04tgoXGxk64s1AM3Q3uD36ivWDLuKJFgRiee17a5CdWiB22KeG2Z59vacw
qPVo2NWDRbA/XEPVskwlZ5yUhJIw1n6U2fQlDORkji+tliz3VQi+7joAbxPmsbql+oQdtr7JTPvY
D511LkO7RoKIBdumWH1uphSlt7rueYS/Awmi32MsAZmGAbKc+p2vuvr9bH7X0nCvVf3JrNz62ojQ
fbReSNlg1r6XDrnnlYh4Aagk3TgKLZvaTofAzmzjUo2eYh6xnWhpem1xgDGZUnh+Wqb0G6GT+Z32
IeH1+jBdTVzbFeiodVmdfO2nPs3tYSrj6dbbMyoPtVDJiR1jklPm7BppX0pneMnY6N7XyzDGfjkY
HOXQW9MJj6o+fWlIq9iE6OiDUmzGouyJCnCt67joOQuDGwepN7j7kCSTXVRK8RjQTqrtQLHoyISW
cSc9GrhjMV4q08yxKbvymGm9/agwqySz9pnIrPgGMZiogGST2F39mjR+slsmbUDbZ6KesHztTshn
v0WXcBo6w0VhYryb2Vw9JRxZdXeOnir1GMRPj6bTI7NJ5zJadBnj8opwCtWrjmvS8c2bARNM/TXa
LorYznFeWLjbZ3+EaGGPTsob4IC0W7oGfApFkKaIb5N4jaSZPhYFehLNlZkMapNXVId+8YjHHLNz
SXdW02LrvR1OaVnOh2bM31FT07PzME2EaWjcZFXIzVS3DkaSJTxFFFpEbN/QxXf7yuEwWGdjecqT
5ZqnHUj7P1UPbEDLN7dAY1WHz0voaW9FE/O/rIX6MIAUT//tmFZ/KkC510qbGaG+K9GQwjUYbrwe
NdWK2diV/poxMMRbafXFm6c317FG0yoQP56KOtHvbVJ9kX2IgdrI3nx/Tm9ZnoptnHGWoZtQ3224
bKOF+cenE3dAiyI2Fp2/vSvS5wyXwlsdv7NbDi8ytZP/cGr4/n49GSDckzu0uMkb2ATCqtexaMQY
IR0Y58HAd2xRRVEjbyt3m2bZXRa6dtKZAP5sDntsBXtN4mMvDRamCPIAuRQFJ1F6E5qY5oM+FGye
xrl9LkGn/PkNI8L/Q5UiodB9zdkYBnqadbp0O9bidcyP7VDuI6asLQ2a6OCnVnZAmhBk+fgjbcf6
xSgggoBJua5bIy/0vFtujvkpJNFqm4yYuEY9dW6lhEaQ+MUICxp3C6edd4K7VXzyrNGwLLwDpDXf
2UqhXDRZYj2yfhZACSPnBkh2h4qtP7LBJSkgb77OuadfVfrAugFbJzLre4xpauMXc3J2W3Y26gAv
JKXMEqUPsh+dQAyE6ABOtJ2OuOOqh99TUXiQr1Bc6yr4cj3E4SzRN+RJLM+KRuygNhNCdgQNXr1F
Q+ySBiTXiZOjh4RRON0r+4cbRRXYediQdI3CS4IAjSafr9OgqysiC27WNAEHFE6OgphycjRpT5lm
QD9Hwg2F5dwVxt/rVrXoqnNKRibR874f9Po9HSgaWR2xq7NhVqpN+K3IXSwssRygz8a8iOVsPZzq
S8lyvPPMmL6HU77Zk9uh860BixeWt8EIIk9A6j6N0O5/EgcATQ/TlOF4LyiUKF66NRnvufXLHov8
MdJdShqddEZLHkQt8nAjcYYl2oSsfpTl3kHBcQBGeIstf7kPZtPvYhyzI4a1aCNAOLYSn8MUvWWd
mT0L7Uxj7d4lWfGhISjZ2OESX7pu5tBDLCA6u5I5IImepkaTGz20f89jLa56F46biRRHe4qDpKE0
oCOCct18OrdpBzWu9r+PRaN8ovM1DrPmD5rgf3CwKnfov0gMEpg+/99YsF1VoP3I/gUNpr7jP9Bg
wvjLRH9LRDlVDsd3lUnxn9KBXF/9JwetonKQ/h8+mOH8JSBg6GRUWYbB2sh3/YMP5vyFW9xW8VVE
INum4/13+GCO+59NlL6B+AMxJz/Ohjq28hz+ycHKuRSznFDVKSIDp0q/1DkyddiXkAqRdDc0aNJz
Trk8At+HK+FiaWB3YmNr9+4ds/rX8mQa8yHS4S7QejXSv7WpPeN9PQqgKbCtAisbd3Ha7dlAoy9O
zw4V04Z5r7G/xUV20+dRNer25A0enZiVttEvLt7neZ4vJl6aHuDV4E+KG3MWhk5hWAYeKAf1d/WZ
7QLa+rfQlFCyWD/t5wn/qxJkqNwfGLpsc6kPlv3F4ngvEuPhCFZh2uymkAHu3mMZfQw+H8ntKEu3
bPQWnA86Sc6SaNVH4unbopCBqetbn4DQBO2foYTc/JUaW/VdqCb36o6oT1Pp7OWWdqO+23KmQxlz
ZvHng2XcR4A+fdHTQGMVj2DR40ndqK+JvfHgG8tlmanNasnON3/WsXOET3XBDbEPsfIUTv67L+dL
DIzBm65DOh1MUmm9gu0/l6fPOSkyutLR7MDQnFmZzhofN9+X5fAW8hQxCR8iMOfq85k9F615d8Hd
rkyYvWgmR5HdsqQLmuUNA/BGaN0ujXjQ6fTRaYp8IhELNEjUjW1BA7FuebZLGyi8pc+RKSHUYFac
fAaIuty2w9jh/nYQNalbjclm7zmMr3g6FIZ5RMGz1RkadNP36g6o2uJ6B6kER2yXSXMNG54W9Nca
5lubSwqi+jbKocnyZNUHjWfuEJevnqC6BYrfrh6boukKCPzqQtUDkgQS1DY3GM6t3uiPqc3Pagir
h+Za3MaoY59zlkh7czEe1MVSOtyqL1t/TN/h7ZaIquUeQ82+Ku2jGtBUa4IEuKSnfRkw79XY1dSX
qYditC1Vvo8Bkq8DQExdr2JulloTuOQqoju8q1s2zu691bh+ZQsJm32St5ja9V2k4RnkxDBkt4pw
1iLS6RD9pMC9K3F/xa62yYq/1UebeGGMpqW7KvdquK1XXsyHLJwubFBunNc3UsJP9rodOp0D4U4B
nU50Tn/QwhnHaTIPcf6Skgo2i/65i2nexJtOW2H3Q31tVXM3GSbq2bbTT/TyIYIGdc8VDrgmI0WN
lCLVHyVfifV8pzMEPSs5S5Bgbu7caKxv47x7OERh+HZ2FjYhHjwPdZMN39gOVcuC1ux9nqWftIFd
Z7e0ZZFl5YTdFvhDEfh+DzHfPiqQc2eOB+qV2IxytIAzqjYAcP1wCfKEZDMt/lvdliShl8nTVB9q
rLmBM8swy2vDh1LPQT091znnZssMdc2hAAluHBlId91NzurGqAsOp25fxOlZXaZRkDZErIC6yaWR
ncNaBpU3XWJ10k9+qStJ+YXtuFzUJyTtMhja/G8K3g/Nt46aO39x5pZCI6+hmZxjbeAFeFGwVkVm
zmX+G9nzcx29KRYzSbFvCwnoBQ994LVW31nw9LRKw3rbBj33zHC+djjNY2IMGgaf5swXjaRb9Vap
O6EGCILnvfrp62PhTaN7SgpJdqulTnWM4snY73KbW80HdplsPOagc113B9vfp2m05kQpSDAE6E2N
OGvxsr+RlF+K6F44YktP8lxY6S3iTcSiENgTnwoupB39VCN1qTtSmPULCjMqY6/zSJ5O1aCf+qhz
6nWYREpeUZthoTHBTexLC+6r1Pk8zG4WA1jnM9OqcbP8YvBeoag/kx599jzuBBOKWiwQNePP4o5E
aOzDedsxR5qyuOU8tlhN4DaMyiU7txOt0BysIjaF+hnQ2L5ihjWZBzQNOjUvtx8XZ/VhFjUuFVrV
4m3p2l1sPQ+MFvVlCq1dx6xA/F39ApMC1NLJoHCeZrs40ILB8QXYO8dqhEVb/ZQW93ejINK86CZt
dXAJN3XZurNc4sH+1uTDW5UXN4NjEsrYjfq+Qk2Yofg2aBOFTlpj3A47AjFcMqcO1pEg8Qvcah5c
pC+XeXK/NcZ4yUC4qTuU+cfam4+itb459N7VNxuTOHYQs9VlQsjZapjwpgEYFJnSmXXUvezMZnOv
Rpr6d/U4amN6szkeDiksxeq4TBPRI/PDGCiTT8B62SOQPnaDYbckBD2L9KbucN7xBkzdm82Moq4+
15F2pllQcVQp+/mgPgDFwr1bZ/uiERjEmEfC8WW9uYVz9IvzkHZ0dNKbGrdhk5wjkxWDVXnIFqxP
341s2avVWM0QbKuOmoffiIizyV8eppbfPKN/oWr4P7tfkjb//6C4AiTRf7n7/fd/U4EI//a/2l91
/xPjxL/uhvkJ/9gNe39RXmXTavokDvxzIoJr/kUQAsABAfVVJyLa+L+bYf8vMssISTANICCgxfh5
/9gMu385WBZg2PBNnqE7zn9nM0yODb/lX+hlQtHLdFC+oKJciL3/CSmiWdJJhgbHrmv0zUkvsy9+
Ep5juxuu/LSGEi+cNb8o240UNvFV2VRsylLntXMqJDfZFMCUw7OUSftlgaRRmQ9JDVP3W7nFciF4
/5pjTF/wGb03IJeEmmXB+b6uw53Tw+eaZfbbgR10aI2FgPqwr68dyAPhDBzwO0s7VEPXH3tSWPoJ
pZkGyfs8GPTvltTe1IXeHSJ0eDfYmNgguzoIB3ZmMYKqjfBRaY2zmDfFTAsxhJO6AaOkUZriZyeD
hIxpsKXruwHIdtq0RyOKf+p+OKiUaq5B1/l9oRZu68k7Lk2JQMQcSGzo6/Lc6Yh6+tb77tYaZTbf
+yomsvbK0fIDUc1+UDtYtJPKRjeJZSSdsdpiKht3609thgEgiOLaC9SBpCIK1qoRe2ZRv0vD/slq
OT1Ihvjqd5T7ouHJkfjrYuk+Cj8mJEaH8Jm9a24kf5B0TiPW+BHlrJEauc6BeoiLAZEsM8KnyMdV
nkPeLseJA3VLTzN38SXXy3djbjU4TNipFALRlRrS1lG/1ULZP3Xz67jgPfUTc4vqwdu5gs5RZjru
tkTpuMmzHoWvFqX7uGK6b5aRsuRCoYzmq0/lceMpxVFlKMu4rV2lWKJDWKXkkUGuiWFebWeXSljf
vzgNueR0bM5+7T6ApxOA6mbu1vVx5vpf2aaDiadCvfZ6zLJPj6FRn1dTmB4UVfNW03gLEGmpB95f
Fso/x7IHm06TjNiAvMFhmA1+gEGdPAzVsltK76eFLPcmteRaWQgEiJGYzsZkXjM46JZIx41ZOtZp
pSlRr6b7nZOwMar2nwwl2DJEU38Iehlby2b+UsSq7paar6GDJliK+Vub1ze3S6vLKiSTMGV2tj3i
+42ot03RleIYTOqByl/RDkC5xvCpJOxx4/g0lbxxBhvV+cGy0O+fJcSMnu6OWkqgf2QZ5IvC+j4v
JkizUrRsSRmp6w2aDDgOPoW9qbFrbjEX7pnZbzOjQSosHQCJVd7GvH70DeY2/MfXEi35xuGZoprj
q7GQJzHqYULnOSH3X9Y7Js360vtO+LTeyT5BZF8it8d76BeH2FWAfrh7W22/SIgdma59lsJEv25Q
euQkHowNHW0/qtpj3INoNHCA7npj8QO48C+TSf4X/snfWZ/bp0m4TwBAfmmQoalBt9UlTjieQS07
6Hjd/ryUEXPVlrL0R5VXDKShBafHuJNR+IF7qUNTcSrkEnMkSrGp0Am4DksaWHJAAYMYfZdMI3FC
TnVwk6khCj4NDN12N4RvI5/vaSOslrjQd5MgHJE+W4sWB1NExysN+2ciDObAjo1hW5S2PHlAXHde
ggoxjMUGRERycDRf55hajdcvq8vP0PJXParcYL2bU822NXZSDo+6TFH5u69Jzvho6cgUsSSTAe8/
+X/lNjINTudZe4wWclE679ypkSy8mslDz160aNQ2GkOoc3m3/0CGdHxCazG2HA6DO83BSnOYcEds
MULsZpUKYw2EXKzzQRkjPhVK0ri+HmKWp272PjU/anZykT9GrgtyTy0fxP14m0xzm/PiLi9tCQIo
KycP+sj8yPXsiQ5diRYI2a6Zp9/X4UBHjsNL1FygH6LGAd1ELToicYqnqIBIZET/5kj9a/24S2a8
d4TUbRLHZ0fpKPO+6Rq8mjwdIapqAwaP9YbSNofQaYqcYB3w86De7Tx9EFubsJ9lmmTajwNNFt1G
2IXPRva3NmDlj32RgBF58ovhjijGD8qyVvmpE0wMdVuNDgOYLWaCGemkrc+tSTiPlnT0TWw0yQw2
3o+nY1GJl35J4lMsipuufr9VxdfE6YAclwB9V8gQunb6lO6X9U6UyFDJtKEiDuHEwnSxW8SilDlK
xQwMOBrabJfhnAo6vCIbwzYXhAIJLNu5369zhzbO3L6hOqWFHwHVrY8y13Lm3hShxlhbezfOL1Wh
vOGTOcGrqKjYjogZi2k+R5O5AJjR211tVUPQ+sOeUYFdZSnzp0Zof6c9OoR1bGk2OcQVrfVOGkjD
tciA/YFvE7VKy4yOuhmnaaQhpFkvzCswwYiK+QCBxLKbPVQXKZnvk6XjuqRexZZV2zQGeYA59V26
O/MBRlAcxPrcYrSOnENR2LiAaP+0tr3XHRoO6HgblGfRNoYBsY0SHc2+x8et9aIFvmDiOKAtxkzJ
poFpggN46h2sUWt2vW0+zQ3WxK5P+4ADTwtiGY0U/U8M3oPMeVP8H3k+lIHPrn5ntfalq5EA+Tqb
dIAQt9LyrFPnORzzmwg8edGsqODN+hZ1NmI8kKSlrxW4pEBVycWwjxF9cjOTzZMv8ZmmcEIpeHk7
Qk5+hGX+1VzAqbQEKo8ETm8Qux8ZIChclYBrkqc6HfR9p2NDZQoqd0bJ7gNy/CmCZ7azh3zTo/YC
ZGqd3DD6XJoGIQDkkp1pONbGIO2YI/i+KnRQPk1P2WqCypLb5d7I86AeOUTkTviBP7PeLnTs9oqN
VWlENPULyZRh1x6Fbz0WB31B1USQL0aURYoLgZsd+ZqT1JfUjPaUEtm/jMg8Kq/84tFiT4zM30UO
O4OodhloDsCMLL6NNoE7cZQea0REB6p6LRiVqwVLa3S9axoigXGd9gBUlmB0tcQNah3I5nPt96xO
cwzGhOMYqOO9BV1u24Z2+FqM1SbLgY4IZpAXwcwbaiVZ6Vp9FCZZ0oV3LafKfk/NsEB9kn1I6ELs
J5YvcHTN51L4r6rYk2Ux2wLHFAfoadcYXNG2XwDB2F6cbtZ/tWR0LJr21E9Fc1n/i69GeJpYu7yv
ilNKj3mra9CXWYC/4GUm61fNqCDNmNeQySONoInRpS+gpQhliPdLO/1v9s5jSY4jScOvsrb3pKWK
FIe9lK5qLdBo4JLWAp1a63z6/bywNIIAl5y5j9lwCAKNqhQRHi5+IfUoTSlQmyurw+gkRvSglAzF
RhWjcYdv4VzxHCrO8Clk/4QdHCg7R+Jism6mlriRNIDNmcH6xGm4Mp5NpPIbDMVay4HEwV/0Ol5E
LZmbHn3TBj1iyVjOCoUzj3aN3tK6zV7DEqiFquZo7VXlSVSTvMXmG+L71mxRIarqfEVlCuUEtAvZ
iLaOZ3yns3h4O/9Wqe38xQaLXnXJFpD+fvDsGDdOpCqCiBZow98wZDOG2Iu1Ei4GP0HaYPoaIWBF
k2cErmd/ZdgD7lyDTutmd37A4zvnxKCf/QpEuR4NUMDyeVX3+FkVFRIK5zeRatm0M8302ZEkzivg
R+j2bajc6HIJ2kMVavl66V1n66caVh91ke9mM17ZFtBKpvI1+c1oX2j4qmGPodaMKBgnKg/nNLld
2Bncs4G2Y0ROk9coyi85s82jMci3hdqzk1cDFIbbiZN/ZTHlA4lNU6jktKFBngZPrj9N90lnPHl+
OMNTcdBnMrjmELj4avR7JPG91LhuUg1bqqV6V9giHWY0h9auOa+DMCrWRme2MMDcHF3GYQc6WD8C
YYK73NUAhs5pS+0M/SoDhb8BXWWv5xnSsZrukRkJ4wTljTOU54xrZCvGDDDIW0GxJEi5q/Fx9Hxn
XdWkVZkn7ZTuS9o1uHRr8cXSOQ9nTIkRYmnVUw7p9lhjKIYZU+x59UGvxm0AXGXtZ6RPATBtfUJA
y/XGGDtIUkq6y/eaxQnshXO8pbphQj5KPt+MI21UKbpCBotVJik6GQ3+IJvzovESJKkWAHio2jDc
kIicj1jVBVFzcKWYCjXzlnHMdEi06hIm3Iy4XfUwFMrZWoaCuF4RnhgXoB0Ickmvqs1gdMsmDlnW
UbuuEeo4pggyMX1IrbXv6iM2aO0h99l4szM222actpQP5YVTRqgz3Vqu2eLgN73DgyexNd1uZXTE
yEml1Qk5/q+sRkbV0K9OVpV027POSL9YLXVLirhxBZw974DAQmCyaQEiVhdR1F3nc31tmWFzOCMc
mdU2dyk8i2XK1dpwsu7KGZcW1cxgDc/Lu+zq6bko+1sFymFrQbDbBMj+rdKBLceScy/1rH8pIeHt
vAL1D4Y/Dx3KBeDl25GsJAfHOLHxvLJDJj6+gZM20mAsuOnJOIGa0dat6wHblrPZUrO206o6XGFh
si6Y/G6asX0MURs5jm39VTwR9gih96vKx0zQ7bB/UtRUOlX3KpvzZjcYUbw3q+m49AE/JRDMwezu
5gyFxTB30609h6/nUAPc+IoufXc6s706BBt4BEpbNSVU0QWhehTGXmrDxvrBccdDhr+umw/RNo+W
23O0nC1kGM+KQQW2517OezQBHwwk7xwJwyVIbTrJAGmB6S2UJ+agNg3T941m0a7PDMYSjU4Kq49f
5qRrdpRsA4MAoAtNUpYbDw39lTuAjcgRUr2gBkDRagHeFcbLKdW0TbHE/aG0YkjNA3Z6sWs86RYO
E3qyANr0jdth1shlPT41q0hboFN6kMgpeNyJkNR/DCBtyDFqXN/hmjas0/NiBZrpwaIVXPMQrqbe
8tbnQvO8t/pM+MiA7taK6I8jBPAKWe8qD7t776gnbDNTsthZ165KzQVjHc2vUSyJoq9OKkPJIjEm
D6WtYgd3r1mdz45B4wIBM7MtQ0B487cFLtQmMTsMaJLsquu8BI6nU6+aKiFhnY0dhwByPUzoip66
bFnsHB3RHpJddGctmX9peWW8MYdjYWjPQWNwQY4Hn1CuNaKfScOm3E0NJ3Ji9VvcJfV9Uj+gv/2B
6E1zsLvluVuqK4oTZjy0QoH/3yeJOSFgGFr7vCHTy6ATBCJW7tNOKL0GXJMOlEQieTN46Trt7Y8q
G6+TWuG2BjRov1RwZHzS8xRMHGL53bCvUOiIpXBNHG8lmgAHSZe3dcgSJKsfIrek59JsgsbcnqGs
+dDPmyaFRZbUC+et29zhK8d7KuzH1qaJkii6ZW2jWP1aq+ECfgPJlLnoKc1L8nc5jc/RrbfmtW4k
Lhq+lB8AfdEv4AxQiE7jnsGJiIqSYuYFFn3s0C09R8kYHJbpMTYoNPW+UNEUBa8H9O/BAKG5OW+s
AOMqhbXbeiSd5nmhmQRADinNtsyOAkcvgs05osIpuxm4gfX3LMdN4Du0wab3UYM//5bbXmuI868W
stJdii4p80PJY9mlmDJSINAXoRcxYJ5hGWus5Y6wdMkxq1doViz4luCXdo5a6U3ZkeqML+dHUrZ0
+ZiOGAE7PSx9e8NQXNTf9E1kOKgYV/ZDCLxgI8sBRMnbSEjir/eHZCYS+1m0tzxKwnOkQPHuxZyR
/TCm23OfhWOA2EZH0QMnuY6G4vNYAT53kdnAz5lujyDhpjYpD1pUrmvlvKAnDeRq7JBR7azX816j
JLM37H+2FYKzWnDU6aUZlfXm+/UHhuufWKSgzEM6JZP+hptIyJTCo7snpDozBy7aDC+2Wc6rTK/Q
YE6/TLQDYk4noPgffQQNCRjAdmq1lZtjsKUmA+m4eItu0s4FrL/RUiQ8UPACUlrXHrJWFHlF0eDL
PD6nTD4D5Bi8rNg0QfEpGg8i9tD5xdO0FOJQUn2YTrMPI+IPR09pjydtMu6mfBABPXojOd3OAn4v
koDZwSixw/SzrrqOtPYTJdUVcB7t2kmMca13CgFsaWNmbUx7CN3hnW+qjC5uEK2s1EaKq4EPnBsL
KM0aFFfGPlqyuNkQar50fR6zdRMOfAxlDUPb4MVFX4t+EHYxRz1msIi2TnztVc12zJODoWYLdcbu
3TRidgEDmAiHx8jw7+n40e5NPrmL9lRZ6QG6N8Ox7CoIfCI0Mk3e2L80c/6AY9ghiQ/2wM1bqEqt
rZQyh84EM+l0PSugBm7Zrhnsj9t68B9g3dvrKnZaWjndurNxZjUzTwqYeKeNjx3sOrBk+tuYoYYH
b54Fi1ccDj2d37grdMd3ffoJEcfawlfIau6UbkcwDqEmxKjh6t63JI9QzKi8L3Ydf7hZA2yjNxnn
L4dS0Ucc1Y7vuEuK6nZkgjsZy+d0WMi4NURfu5COAWleU0NYnY03zDsuG82et7GefPXaGHOXob4u
G/xhIhUfQoM5f6RdFyH3ZRfIoYUJO8w5mRFkLiVqaFCuXxH33EY+sV9hLzM6h8Ar7sM5g9uudwBI
l2ub5AGSvUPWApUWUfUgGZGwjE+9O3wJI5wLaueO3flk1NWnOtJHrGXHp2sqlq0Tdd/ySrvLI6/c
DnUxrSq3vKodlTPFBQ07fJoKEjW350/qqT91hn8YovEboBnaeE1NdyOO1kvwuan1YUN2nazKAl4m
tpQfdMguzMh6NmIPHClEoKlmUfbI7/teaa58vbojzbwL4/GTE7pvFS4QlOkn6t0rg2c2Vgf0N2uV
3Fs1rinoCW4cjR7EmHXXnd/Su4rKDTpmLk1Tkm7Uljambd+aoEaTtn3vQ3Mfl9ljhUVvo483QakM
8iBWQwHK38qhkc5ZcoG/zG0s8ZYGGdbNc7ceA5biALeyIDkE22gvTH57d2NZbULbwb7B8cA9Dgkc
IZkEYoezWcLaPyLzLpgMOKj5CMklyp8Co361xjbZdfBMYBWSuFBctEO4Bq41Xq59zocbE4DtseiW
N863YVcF1aPS0QpIrvFOAWJiusk+za2OZwFTEiXM1kqmTReFyzEbmuVyjKNd0vaKtDX1Vqqp0NaN
llUT29hQBLPIdTzDI0WByuvASXYUAzYMy7XNYbAeodCt/NrZhY73AqcCqY6pvkNA7IZiXxFJLFJE
r7pElAVhQjSi9iMuKOtp8ItNDx3WQ7aD/vGqcsKv+mSoy8YyqZvhjIjRyra4NrMefW2b75vslBys
GkB4tyhxedMmd6yVM1sQUgv1mabjjqiJa1OPqJ7pwQO0Bv9GxzUxD2bEix+yJaNpFVXoEFmR/WTk
3gVeNg9VY4fbakjgeyLgtKmr6MXTl/RyCbU9c4G7kLf1Ccaedut76lhM2HFEXh5dgB39Gich5Wrm
FxfdxAtqNVTqPe0Zx670pNqRZksM75m123vN/fk/jMmdtpBnx60/9w9GajKg0LiACAz652ZAWU4P
kUvrPEjpRoCUmqe94JbcYR3bH6zFpT9Yk6VjrXdbMrfO89net35HWodF5U3Sxl9QiPvkusIYCfzP
NuKkSOqEiMM0iIp+S3EC4wwMWj4muommHPF+XHEJ0h7OJO7E6YO3eG+9RdS/LAC8gS7b2nsOLA9x
rTa7gD6Ee1ogKuUmswCypdIHUtN5ZJeW2hhTdavlLgqGpm/tR2C768XoXiBpoEQ54PVMFooDHHqF
OUigkqkACHxqBsdbWhSGGApBTQO4LVJATQiHBLrlmS2iCWfUjOl4ZDoyT7N6QuOK1tq5+4gJcxtF
W5yCwaTgDnGe2pwnWGwQH8zGcl+lBTOTPoWoxmBspjrvYgRDzwm4kZCjhZ6zbbXWP4QyQ8J7C7Ka
tR7AU6OuQ+fakO8ec8ox6zgaPcTmGdoIa9RrFCfWjHHbd11zmunGhi7RujfpjUzo8e3AUxwDyq2z
QmBg5Cxsr3+G7O5m8+NilC+LQx0xqCVBvQvXoDoAOuB9xRRmJPUdhMBOug7RMQUeFb0hEh/8g1mN
9etM2GLwzLyariKza8Fi/ujx4ddFPYYxFeS5TZ/LiR0U2rdlSunEQh7MG/ex8FPne0MCNRFC3ViN
dLZYkufksQkZlZ2bgzNT0qq1ty6qTg5CL9Cn0ZTtMF5GMQAgpSOrdWTeW2f0XzIqTf9rWc9UC7rG
4diHn5Cx0tY/jOz/wmrVEKeXH51gHEOZSATbyjWU7TrqJzuedvYcKn6r3p4r37rpj50Dc6UxLCYS
47de5im2RhtibJHbQKuETEM6u/ge1AxtkzG9zwf10JqZ4EyWo4b79t9fovrZGg2auO7T1/UNwwH7
agqM9QeYaj4wg5odE81SGTuiTG/CQrvVl15HXxfBPjmJQ+rydYC7825wXKrQhqlM0lv+07kWKAke
9OXDUxjG6KCJgjYmkDzZWP8omV9de486XalD4lXIELxTqvMGtPqrozsnNTtHch6GJGYdip50Q7MH
vSlPxAbHLE/XrppfbKRBL/IxiDYGSPYLF5HTSKkjfPXyZonfzlO02WePebXnbWAQ65sLNRLibawK
QRYgCoyqNJ0ValYe89qO0uS74dR/cNz/Ao7bZ2P//0iWffOteHl/+dHhWf7C78AV4zfLdX0PrVMw
0qClWZ9/wLg9ndnbeWUa4l74B3LF/E0BZsGkBv1uZQEA/wO5Yvzmg38BZ+LDgAZw4vxbyJWfYxTm
CpbtK5r1/D9X81OM8kYvzVDyTDY6ZoE9ANSFjBD8puCIBZMXJKCYwZU5/qPLgOmHB/VX8QN4+5/i
h3y7QsIZgzpsjC3vJ4M1o9SLYVFFshFMtnytYC4DjZalxVQ3pTwE8i2YMW9otoI4FKxybLz+/WX8
HMXkKhxH50EDFjJwUvxziMAhS2FPMyXM3cDmAhDLpezJxn2lkjPguwTH+fdf+YtJtXyny6zXsXHu
tJFS/PN3VpXhxNPAEErwlIIcF7g4oIitgN/p468FHCxYUUDmwYiJaH1ZJyXJKWpYPfBAcNAYnJy0
9IRgyGHQbq3hRXUA0AUOwYPyFvS2wPemDwinQ/kED1yAxOZPAGn8k8Hur1wA7sbnLVp0RsnYLHnP
PwRZr7C7coJKtAngjAluG8cdiFB4wbwhgnOQtxvCdzLB+wtSPjUAWHZweWvwsc5roxvrBvALBhor
gcIL3HSmtSzIbJ8RYsqIXxDbLTdtlIAHeTX2jDsOYH8awotJigNuVL5XblT+ETSofOSiBWDI9bVA
kdHs2Ank04FDCubQsJqV3byOyEbMQ37+6RGOjhfTUx/vM4ypBAkegL/1srewr4HCszxCDWgvOHa5
Jnma6MReCPw3AXwjgHQ77nfyCuXP5YJcoSzz/iAECKb7TBvgRQiuWNDCdg43AXw7TgAvcq2CqG+4
Rm24bUHKCzo+IqmTbRGD4c0yf2Xx/qaZrcCbxtHuXtCXLIOiB3wPdtfoXnUw92cQLdcngGZgQieB
xMpelp+W5ywPQrCQQ9NtlEPKX1MifgevCnA8RnXNb8A99+QVQEkFMju5oIT5aGd2NxFdO3CumY2K
fcr0BVzUXMPe/I7OP8OOAVsKxFt+jbTuJvJvLVI+RM0DC0A93WOBn5udum7RepUbBN2yE/C6XKKs
DFnGfWAeQlgOYF64QBD8si7kuZO8ndHMEpvgDGy6atxPvD6w5vLQpsQ+JJV9MGl005bZ9PiVCuJW
hwwg93l+aLa+Waprg2H032/uX9yxZXP7vm7pjmu6hNafDPJ6Tv6sdHBnkqUn9AQJbbKZhSwgzIyG
x6rRt5l57DwY5rcrAUHLizEZpwnw2LZfJdhhx0T/7Z/8uw1JzH5M3L5fIdB308UTm/D35w07o2zM
9J3wo4MW98L+Ow2FF2BwDMwGZGPeTyEsD5YK76nym396SH8RdW0CmQOJyOZZuT/FjGouKqUY+pwv
QSKExLaWdnB+3wSvgvrvrVt5vXP8Krvx92OhXG4rtEPhj8hLJPmjljiUSEL66ZMsIxfN8wSdHwQW
CKmCGv77t2tz9v787GzH1ckmyXmBlv787BAMbFBA5MIhzyAd5XApQlGSsGRCDYqCBqlDRtPdzqFn
IMB/iRwGK5FmhgQ7CQ6KvbqwjYWucF64MKLlCSApIywT/HgOsmcFVW4CF5d9XCnSVctZyz42oLVa
1hca7Repoa7hrx+wwthK6AxBCGE/MTXpVTjeCmj87x/AL1k/i+dPD+Cnsytyl0EZPqe2cJgkasny
bggHcrTIm0zNnq4QTAqIQMgyYqkHkURWFEwKeXFEYEF0p0V+9Q+X9hfr2mZFs3CE/mbbUg38cBAt
VMiOF6bfj3IJ50LBwEVvXbGQ5UUJWUY4B3IZyHSdBEn+99fwCy+Op+Pqtu/5NESUd956P1xCGI2Q
mKc42chakK+VzV4Q8zHOPgkJo4UpZFvLPzjCKkfSlJ/2tGRwTF2ZHsIdlHX7wxfHaMFklQfOVcuy
k0+QjWxa9jDWqVcou2YL3NWcnYRKlbn6RV32O0l2SoK2A31HFqUEH8VxJMQQN01OrFmryk5jbtzm
89ZcMLTjVUvKIjQXYeO4oO852/LlVTgRwrkSZoUcwX46731OPnkMTcMpxKII4LjKkSKLckLwSehz
yn4Np+ky9+ENQGqCIpUSuM88JE44Ceam6dM9Re9ODKlgAgmLq03yK41Eca5J1ULEokWgkFDGsqpT
8xb0zIUQCYQuIc9bqApycV6QnOQWJLS6Pjyf8E0YWHEy74WoI3t2Nq2DZL+oHO2EX2B3/FVS0ERY
T8TvYUC+VdH7D9/cqltj2Nmwdd25Q84QVggHl+x6yVuEV5AVUPkIYpV239fZbmjVoebHhUkjkg+/
M1kk4ud1D2ZLv5VURwPEPGySfW+HO8/+EtYAhnRcm1mtPdomFUDPV8mLHe4B8fGDzW6bWe4aSYJQ
r/oU3GFG65wIKNkVz/98UhINC9NYK+FeVfDbuE9JQ2SnZMKO4Nf4y9O2/H7VJkBPFxsyuCDno8tF
NDrZ6iCzQmYYC1RN8oIWjpoEOB7I729L0hzJjGwXbRHWVcWxnnWsM9YWo9m1j//M95UhFwvBn5Y3
LDC+XRIj4Z1Jrgfo7VCCk58LYE+0lsPwQb5ACGL2THTRoJZxY/I+F0hCKYeEXs57SbeqIAYzcW1/
rRNjK29N0s4E8JuHVicihGg1CqgOgBRnn8OHSZSWpzVZ42MMH0tWJ/7dJ+GhyhOR65PkZKKfJvSu
hHwPTFcGxN7tSaPIL2QJyLYQSp38G4G3vdzKgH2PhbmCMAFjXV/ZKdhAaF+zNl/0aqYdwTsMgYsJ
f5H8D8E83Br5WritCrji8rbU6pDByRK+lQdlMYIMK99iZ/m2boGxQOGJmeMssUIhaJHU8XJgiGX1
8EyT5aJyWXX8W25SA30jNyfLXg5ZyTxlJ8g7htN533G1soAlETCHFHIPFlIsTHvYC98vTuBHAdZe
iCKS78qNQ6rHbOVV7ofNLBnwmV/JY5EdK9RAloZsYuUgYj6thespLMAiGBCEbPBnJtEU1hRJW+z2
+xkgdAmYhgODVXBmxRGx0wlvYwt20zg8Sj6AeOxJyHdqfMOcjBkOJQ4RQLLJnnswsDWQD3WTcT9P
yZVUkvLrwUpOyOWIwu9EK7Aip5zm6EpuN3fcPXhY150vfOKE0FhL1RMsk5MdELeDVxhqUhPK5+Jz
coG1xtVi99tu+pqwhuUrPds80JHZNXaz6yjnPDffjBv5EyHXxbCZJQZKSJKPlTTbjrY+hr9CTpPM
VPJouX5JbmrIsB5cpnM2njrPHR1NtKvXyglP8jPyiCTxrXFWA5niwBNLWXBW4IGTandCf3LIj+Qe
pR6QCCC1gHxVuPggRSmw7deJtE/yBvlj2aTyzXI8SpotxYfk6sIE9EIFQOh6TuDIwsuSkkAsVCxK
GD4F0VjIfVRifIo8H6kiSMY5q+iEIyLhHeRz5UCQdS3F6Dm3hPYYIUDk1FDveCBCXhzgt9ZGcpX4
CE00n5i87iWUz6w4Q9XbONJhowBDs+G2UogZ6Qv5YuSwtNNhI+mUFA8cevQJgrEDUn4YabvxG/J4
ZbNyXkkMkbrAZmtLnYM6rI6NQd9NF/J+JCwHPCV5uIOJOUcw30ZOd582x9zB5ZjnLjzuvrEQL0e3
MGJvUnGeCYbzjQmNuw3jlVleeniSg1SVZoK1JCdJ17rMJlV7KKeEpDs+CcNXFs25AuKlyfuXl9e6
+9/PjiylKCIgyMsR6qXkhFLc4nCJDjQcReKbPAr5GXnIcinZMuzXVzpvXapoOevR3NkIIVFHIorf
whJjK9Yfbjxujj1sRwkgUqtIpJNvkHIJTO3aa9KTPP+ie6vneZ1A1RO6nizlc+L0nxbjv9JipIj4
mxZj//L+DQpG9e1PXUb+zh9dRg4nmoyuQpzAUaIj8WOX0WUK4ZoISdBmJCUu0FmL/ue/Dec38AKm
5yvfUcp1xIT8d36c+s2jG+b6ls1PKDS+/p0uoy0l0Z9SU6yFHOW6toIap/A1+3NqmiJj66D32kIF
9x+Hrr4KKlC8RTxfTwjMsgxjDmSsfjV9o9LmVetR2MOdVxCd1g3UW+2goD+tgunrnNiC2oLTZkTZ
tmvyam3NJACqtM5Ql6TJjz5nesrc1e9AEeHOymgoZLCQ+t5WQ3H5VNVP0eJVK8tUN0MFJFHl7dWU
l6CNYiTF6uzGRkrCcd132EcViXO0tvMWPHmljn2krn94lbffn8J/FX1+W8ZF1/7Pf9v6LxWDwYwI
yqDnmB5CUz9XwouF+zAsxm6j9cy+tJLJ4xScMAC6cMMB5eUexOcU2XeUPK9pa20zC0xQmXvxujB1
RsVV/DltQbeOAfC1Bab3pO7KBqJfbMKtecHCy4J/qG6iqBkRTsr3s+1Bjh1j8r6E2YFXffYKQBJ+
gQu3kR/V2D2bgXPMcRAFeYC0AaIb2fhcZJidKBPdPhSa1pa7rK3YeTAG6y6qeCOxBT2hY3Ri9d51
YmvPEzD+aDDvwA/ipIFGG7EzXiVzeYmBC2zct3Ccr1AjvBmiG2XhPZE03tbXYyR44f/akC9WfoA8
nIZ2EIA8hSSRhoQdSWmolRvfj6BtMSxdKtK7kTNkWvCysuKPybavU0vdBQoRXt3+Ui7ZR1ClFWKg
5ZcWj3JQaZeR7952jf+oVQCQ/fGL25WXadQ++20NHwD5rtaz79Sk9lZfM/+O7qOlQI8bHbS4fmiH
8a5XLXSoALeQifeDOOOMUY3/Ofa52DZkwllHnNQuaIVlHv0NqsMcOOLy+DnXa54HBk6IMlTWyoJS
2YAUreTX7bA3QhuXmrY0ASRoX+OoO2QzJ7o+hB94L73jcNCXrXAWHLAHjoVWA4qdeZeg42jkn2Sh
aEFx2Rk2XTscP2Z8V0qdNM4YTaaF0B3x7ssWcAVeaPIJto7bVG1tDTd6Kltam72zpOu+uE5mLgjr
OUBTOpPb2Ijfzt/ZZ8E7aftlks14eYz2B5pq6LuVa0NBswjQoFtBantAGfk1iHAT8pzkckptzJMn
Mt/FjnbKrJ57jnwkROOd06m7btwNk6sf3IJVMiH2SP+6n3flYjw52IAXeT8c56wsVtoCrwth8RAf
zyGGazMNBwf0QeV+NXDzOqgCyCXGW9rRbVhQAwjhvNONC101txg1Q4ytKx3GFJFlyjVMw72DaZJJ
p15hbBqL6bw5Y6sBu3Jlef5ycAeEGaMspS7AABeJ8RQtcBDikNmKWpSXimrnmHW6dsDR4jijb5Ca
u26dNN513XLQ/OSGwYK1sRzzQm8QSgQNT6U13Ayeflc6uAVp3hesi7ZpDQ0wij6ctL7XOHG1XHuO
oHqsCtf85PKIWlwPPCapUZyCQFSkYtkAemyBter02E0UYAm5CXvVkL6qUEAEiFsVeDVfoSx3p9R1
lQNaxC6U3kx2k+EAdKIbegW57XNcNswSh4lAiZOg0TdQvnyNWWcUfgSh9YIN+42DIuMmG1x8DwAC
45m57u23rEP4OvDSdIWI3Td8Ap+s5MOq/WLnDA6JiuFdGJStbhJ+aN4I+lPBWCzs6cb2UABvMmxx
GDCnWx9OSOsP2zFKr1XRXSAKWEKFYZ7fgbZCCHnd5PGhahBdHIZ7KXgtfQw3CHL3e57HOhsocqL6
02xEH9m89nqT/YIZIqVjD6nCbtKVa2rTupop3Nv8BfNaPip3mcW75jr85IE6uFCBcefMDRDHHARN
BXy5UgC0owae7wLbA1vJC7yIQezG8QcbQIJNe6qcuN4kfX6sRTIFuwyEdlpISGoa1tdRLULzEQZo
LWVXlqn3euj8XR+C8fMaRIM9VozhopUQdcEmqGosZYwQiQZiu7c478ESk6wt4w6sOzzQNgA9Ql3n
zO/ABo5+7n6Z8EdbRVr8GnExK+eg+lmnQCUcG7COQSmzWoUjNBdEKpBemPaigbmiqkc3O+TQsBYo
1FlD6Dbih8UKvjXKvmsakI5T/Rz5lwwp7XU0Z9QscI6gx9xpmTGBmu+JT0bL+GVZTRka0FqHhDOr
cwvqgKIhw8cX4AVYdCcWEzvxEhq6R9oIHovFJCqCb4y78AYtTNSP9egf+mH2L61ATlXSIZOpnsfp
+rM+VVdNA6IY5Php+W462DYOlBZ+tjOr+WbOrUfD6g/YJNNVcA+o+d50ebFf9GSnEbY4dOp6QGKi
eACcV9Xxpg2iLQ2XTZLwJJJxDSsWVeZNPTlftMY+xqaxQpd4FSn7CMtTL4zHMrBuWvVNT4qr2NYf
Qw4mpWM/jsvlTa7r73agXVue+fb32cSvzVm5bRk/MF0ElPEz3sGY+hrLBW6bXGaVICyOR6K0YEY9
oKqDn46hUkJrywQOXVdQaYHgeEg2ej7bw/ORq4uAdjPMKop/6Buf85ifskCc4mxHQDE2OepPfWMH
z+sw61A+riYAfUgVev24U+NzX9+mzbuHWmLXFptO0S9X1jZFrH6EW+Bb8c5ND13dvNbpdGPl5nWO
IFbhZF/A8UB+tLGlmC74nwlXfKBQpz9+qAHidQcYW1vbYudF+o20iZq6PJl4Ds72SL8TJcDwyTNb
SEvzZaJnt01cHaPEOg3glgL4wGRHOyMqTmFSHUBP1fpMky3ZgWrZ2BVu0KN+XxvRWnnXKUeMNu26
i5a94fbznvI2cO6aOIfikN1HrrcH4rn3ULYcyeAKb1qBRtvYaJP2MCz+fg24vwz1ecIOY3Woha5B
D/onzEs2BH4b5mW7qRMHBVVap007jyh7Q6oHCIpZL3LduYNAA+LKX/BdQ5F+EqZRypFsRM8dusub
JP9q6/CPag6SglZn322CfCm3Rr3s7LCFq2N/BnfIyCgSYWyF03bBkbwgww5H9M5ywhxKVUassZKb
sk2v6oD0sRgIbWDIX0vDxMkprlcVMM315DvHNg0e9Rr8Uwl3ExuTctVbkOOB6r5Y7ZOdG0jc6sM6
VvDHofqMwbNbVt9GfUBW3Jqfa7yJ4O+RHgTqCj9LDTBPTMOjKREuq/pLnS/OsgAVaTicWY7oq23i
hthjNEzxjCEly4bJdPUPcejXYaBsSN/2TUovBwE+eVk/tOUTu4PUY4Rk9zh30J2CPmkdp2bZg9ek
pYh9PIxNvO4KzF/xn46ifN8pe4Mj5CGbmuu8tzdD7hysgFoGZGNrdP8wsDB+rT8skyEcw0pKQJO6
5s9XaGbzAALCaDeoqdzlOYdCZRUfKchfm3PENOFpMKH6XOvTakmZ9nTmp2j2oCWg0rBKl+k9Q21v
xuEQ5XuOCvMSC7iX85L+T2/gX+gNGDrV/P/fHDi8xF38Y1/g/PP/1xhwjd8It5ai4W75giT6ozHg
2r/ZMiFDx5EoQcL1R2PA1H/TBcXhIVd8Vtz5oTHg/aYjWKN0PhRGs6X8f6cxcD6NfjwSlG8xCbE8
29Ad0CPOT5tDh1wQaHrkMsAhFBizGd6o0tx2WrqJTV0dzuR0fQ537gJ3HsoBSg0BPM3bPHWeSujT
HIXD3nEsluUYLdD3MCselYnmbVzsMMq4QaxC7bxhuPGwE0DMm2kXYHqLSZD1HZeZxKN1/OEF/EVJ
b7jyiv7U8VAkHLoOfgvEFy/AkI7ID7u+ScnstHxRMA6GqwJWae6MycWETsOqDsmEB+ve0OFxLTRD
p2T2bzsu3BhgGIyF82yW1LQ0zzNIpyGDCR+mPXIDIo6dLYca2igZp7Gnpw7MGyT2FmzGtxgjzMvG
VjQ2JCaiyGVchjZlfKVMjtvSRUG5e88XAP2ojt3hlhOqBXeHCsKo1rTVqsCXeVRDtdNNZjR2Gn4C
17sLeg1ihGdTKXztHOcmKisdfI91g00hspbe0cral5hanFkIJ3P5LcaPC3ro3gywnMfvy8u+MpK5
SCL3SDFzXWKUhufaELb3Cl3ieE5ejVK7gfpxr+ilLnN/bTbZnWcUTFVqOIPudZJpN04hLQbHPbZO
/jQY1b1v9LjXjDtPg5dSluZxnB6S2nusHP6sGB98MubciC7tS2XHBxC/F3Fb3xPAPmz9LkhpbeQG
LU23Wk8anmB2pe4YgZk4lr1XiQVh3v+id9VTw7szsJKlvVC+wsVJGOxjFRiSNXsj9Zig7kOjotu7
BM26C7gqEwM+Hr95VwbdZekEV+RVH23VoTST3WcqRYUz+hL1pwxJ57wwN1T1R7c2LgPDxS3R/Rx6
0NdAFJ+MVDtRL7QbBEUAV0fA9p2xM3Y3NYycUKP105EJpUN610SjmGsEL3asLvxuVmhSRq+uM13E
tcesgoa85/CO8mm6dqFUrrEHoQsQUjnGRvCsvNdUYfGgW6hITifH+zATTIWgtb8FrXMFVfsKksaj
Hdqfg0B/6OYMTXnzsp2gu0ZGuO7ixmFsE68wKVh2pM87BgOu7u6auK0A95XTluLzUIdqXiNRkbqu
dYKbsq5xO2NsAq/VXvR3v2zfkrqHkxbO28prknUXGceJ7Gs3O1Duy1IybATuyqwukStNBnQZ3TtE
f+IVbF3gxKbF4DuZt50/gKi3utvC1csNDjPGagjya18LsR4okxzVhxpKawC6XtXdsdaFgZRUe6iV
7v+ydx7LsSNpln6VstmjDFqMdY9Zh1bU6vJuYLxM0gE4NBzy6efzyCrryuzu6l7McjZpZF4yGAg4
XPz/Od/BMDR5B1EDV88NJFcCyENLif33DAfILZyZK/c0mp13Jt/GPQ7O/IVlW656K2N2KmSE+x9A
aDjrn2CvuwIePR0SU50D0kEOUec/1ZMRrIJF1jeuy81IiXUIsZHZcjlwK73DWFIJK0kfrLPqI4yr
YT8mvaTl2RrbPlkeB6UmEPvTzwnTyr43OIy5WBH5GOtLIAvyeRxIONHib1Oct5vrBYYk7a4bHEtx
Qfko9HqAUAky5E43ouL5eRjLU5dY2FQK63Wc640zNppfgeESMv5e5uLQW22xL3vzfXFh72QzESt2
HGbrspczjazWoQTlRBtvbG4jkljgrAY/0bCXe3yve7MxnJMRfknQ9OcaB+p1rnFa7uzoPk2hxLFh
L9WGEg1ba/sZJ399lwUU9yr4Fh5uny2mLgPLSxjuaz/GZ0QOKaUVA+NgHKGsUpo1mRGIqF1da68W
mNHzvoYqMnAkH7qyAfTvsKpU7o8sbrKd3S70jPOvuWetGSL+eNOU2dH0iRPoeoHWTfuTksnNtlh6
kt0wM9ihLxNdqR2QoV3v2rGwd/g6PpUqjWM1JLe1l5O42HW3V3q6xQsU2UysapHAkMK3Y0b2ueXs
du5FfQ9T/6YfuQuFyzZQ1C39/iit1r7rWQeyV1nk9qZqnFt3Tt6KEWN4ZJSvpXIJe+C0lln0tboQ
PjD26qKeswNRUdk5wRAuxYb1lBFYCfKVqMJwmnF2WdG67ESppLna9zE9eJRuD9S7iQitaFD2LJ1F
2186Wdtr8gS3oUuTqCXdd1WP7f1MTFLJ+9uJJaCOJep171MPUdbWs6gJN7hZDG1rMV09qYhLJCip
YVAdnE/glxQHscM0Nm7suafXq60yRZHdpT1FxlzbaPovQ5tqWm2v8fDZJPhtwgDjjcSBI3Hi1Iok
+7CY2pU9ee5+BPhjG+F9EfTY7FuDSTAZD/0k+lcTRPvoxG88gJRIXSPbDmbNcXKZjbfBivEnNT4k
WO0YarEO2dpEtGhvkdTGom44Xr/xcRw12noU4UHytBkJu+e+0vYkSKcYuLRjSVuXKm1iinEzNdrW
BKZevcA1eTBxPEXa+tTigfIT6PJEQEogXryBCKeUjWPK09aplCpmcXVTEa2gvVUWLitD260abbwi
r3ZfaSuWDsIx8GYF2qRFuYn2BLatWHT3FT6uXBox2gmsXXYJAiK7J+VSbeu0PgyNv1CiMDxgCNlP
mdiYhMgAxy826iWM4h8AO20mI/EKldpMDlAbAwTTlrMJ71miTWgOVWPDCz9C3GmunMXKpfiydrR1
zdMmNlPb2ZxWabbhO7J2yihXy5snlxXiN1xwFS7EDmPchEMOrfJy8ZpqOZpJzTWw4icSBlgYq0Ns
pxJ4aUlCzh3ACprrsnvuE2geQWp/2qT2HQE8Vne7FAfKRRYJ/qN22nn4+Xrt69MGP7C2BB0Vr86I
6SMCL9JrM6CpbYH0OzZSGwVHHIOBtg7GeAhdbSbEwxmQHY/BsNJWwxHP4aTNh7UHRQHzIGZ7jIkl
DsWFJ83VlkWpzYvknm4MPV0MTn9n5eIjTbPnAb+jxPfooMMqPPt+7meid7vlaGuLZItXMvFg+U+4
J/2cGPi6oUdWEgw4B/kj9diJCHNclx7uy2msToTPrtAlfo7N/NLh0gxxa4ZhZa/isrkjPxxP+RDi
6JTj0R48ynfROcPzWWrzZ+1F2Qq1Pbrk7kdZ8on5XnuctWW0xzs6pcZhTsdTqE2lqqaSbwQvPZC+
NA7Z7yzNzaiNqH0Ioqdok0cPj6oiseWnbc+vcx2OR5S+LxF+1rnxHwyh9nYzv48CcHNZ49qD0DNB
oiMdt1qofI44ZKtsOJLjxeRl1I8hHlp/fk61pdbAWyuM6FceLTSNSJUlws8/gdOiMoohN8gNMIbi
zjDzk8CxW2rrrlt3t2FR4LOVxc9G23tL6V36yv0kZaPYpuVmcSU2/SkdV5SLMTfYbyTmrZ28va/T
4WHGQ1zjJSYc5UCupU3dRoFxyr8NN34fRAGvSBlftNg3xoKd18SgnOJUbnEsW4ScTS+4dNCywdwg
1wbvPw5n39lN2vDc4nxmfnbOYnpOcUQ72hrNDqAjxVwRtoltWmoDdYuTGgkLdBhtrl5wWZfabp1w
Dtf2a1cbsT1tyZbpIcCh3eHUNuP2I4ZwUmQBMyYtfJRwuwZvN43AVxOvt4HnO8X7rbQJ3McNnsQQ
1bQ7XNvEJ/ziEb7xWhvILW0lF/ROYABtG4RGa6sJjI1l/+bXdE0S7OtbZXnvZVsyUgHLuI4K97Zr
F6vGS+F+aCt7q03tsba3e9roTuw2lvfSHZCRUy2YF29cF5GLNR6PPLC/l1ib5vEwkgbIBqjShnow
DECd6uGIcRo5/OI8oDQ8Na5Gv6D2w5Uf4s63vLZY91H52uPbT8dDh4ufIMhyk2ljf77LcPmTFHdk
1qQwrgEAoUYBiBwoAME6C7uUZddXW2UTSzpMAzVySAIpRIFBowVio/luoIDm7B3zoXivp4YNaIfy
OJo+Co0nSDSoQFLAGa7oAhgGnoYZVFANTOgGk6O+bWgHMswoMAKhUzNHpKzYYozo12oMZjBc7Nqd
vKex2BbPHdGAmLY5Bw8tB2KzR2QVHDNT/IDO9lKY4bwScvrJZuioxgNpbxsbB2PWWlTbJRExpsxx
u3flU1iMZNd3807Vya1JHRTVJGaHRebOehYzfYuuOsSpehPDu++Fy6asUKs0WUeYG+tCH5IZ47lt
vgoDwhSt5a5VEU9RM686q/uVNSMJM9GEsNVj++zkD1TfX4Plxg7ad17kqSry14nZgbQYe2X6CZk4
EaQvhy1E0Dz3FrySpjJ/66MBB0epjw3TKrJa0GSiI1FNU2vAfVOEWHdj4ZDjRmE4Gi9z4H2TLttw
Mgg3qi1DdtTDx5iVCRwM11mZRuSy1UjUqrqwFmcrB1qgIru7ExJFffTUOuS+T3VDhz9MVv7Q2NvJ
JUe8st5IVyh2Pdexoo1K8GCjSSWK3hN9zU+RFSXBV9WyS732y4qn/EZMJfm8BnjDxKHtzpOHKnM3
xOlwFjrIQo1re+JsnlWmvRUS3U5lmwg1YwzRjHVkm/Ny6Nro2dGC1RyCLq3pZVfn0fvc0prCI8iT
CNS9rEIJcMcmV0Yajwt511BR2XYsVV1tYSsx0OVEVAKMwu0SknQ2FCT+5fSaM7EAvrJMVEgN1AwN
i5tj86app/poqm7d14a3mawA2Bv5e32BmbTJf/RuT5iTfos67XpMEphs0fI2i/CXn1XwGuLsqRNN
vTcn6GqgXlfzIIJbRz86XdvFuyycjwm9JlpiPkcCtwEHGpX2LlchqKuatMfK+PaBoBOPIpebcplS
6MFoO/hI3ZX36AS9s+86uoMBsFocsupUklMJ7RZQXRRMm+ZlnljsGvHkCAd8H+3d24TmbYJkdm/D
ySIAjX4TnflTiWD5aPjvMW3aS2I3j4PwNolo+dXG14206caBppQadnLDCYDHYi3YIjCFCoohmZsf
52KSBFeXzbpBvbH3yvyx1JGOCSfWIu9DEpGYFijBqyOCtihyf2OGkpd+FyfUB3Bhb0TqfZjh8uGD
84nTojg7Pq0gNd7kLi1c14svydzdBgAIt6QRsdcPy/3oFN6pEXQ9vYZ+pTH69ebqom0x58kqHDYF
/NlNkZv5mcLKaLsg74sIWIkf/rAjwz8B0rQ2xH4Sm2qQ2Aj0tllPZVyhirwBnSQOVTyFz3McPw0j
T5NETLKv57DepTEN2sgZTj1gvS3cAwro7tBexlE9ccjMH2ZprlTcHpPAfUNV1Oz0TfBbtBEFSmev
5dTpLHO6nlgwQ8dgd7nwLCWc2Whv6up9YeNFVxVnRsePT1lT33nCKNf5DL7XznmcmDs/onxiPDt+
SVA1Ur/MKmleBC789/Rw/RseRJ5NC1I6J5/mSIcBhYyKl4vlPsd1SfPUbPDQDu4h6dzgmAZMYQ4q
BAfNXJXccebwkUPk6EyonS0zYTJLL2+BPsYbe17SbUeZ/K4qCTsN44BMdyc6Aw+5pmH3I0jVIjPo
spbSRBbdf7assZvJjJeDLWYbWbBzU5Wm2one+lY5uOvQyRZkAn62yV6g3z67g5M+jjCxauc2Ux5q
KD4ZyK7OajARLrsCbmWToCt0Q+uMmEFsR4PYg6y344fc6V2iFu8HfQRUddocZRwyGq3WPCxS2uta
qhUzxnTAlz6hb61Ray7RQ2CEB5O86HtgUrRY5mmCbTzcpn06/xgs8+D79rzJRoiX+sD+kiUVdr3m
sSxi46X0gTOl+fxgu134nAXJYRjNHSfa9OK2LtbqOD4jB7qP5/oRTzicOcmoShKecjNxLzRFsDk5
lG7Z65aXkNzGNIIr0M58Rev94IXdtMGefVvEvbuyrXwLRcchTIjprjAYOU6VbkVex6eQ9UDQhusK
v6CMVER7uBO/ejqilzS2NrV0nU1PQQY0cXu3OBHh7S2i2SYd7IvndBs3kKjoXSSsLefbIGl4c0Nx
ETAfmJQ5fGTj/FyxWdjkhv3K8j2uurBBkQtrbovG990gR3s3GuNNVqH4jVLhbsUco2UIwuLO6di9
IGFhO1fIxzlNn4cs+6gbyF3p0rxZJeugXSPbCTpmZ05yz2NMMUpZuDVXBkE9iLfXAlAnvaT65Cr1
syvC/D4pobpW4c6ZBvdUw/Io7YzkLhviUkx2M7E/HPGNxRjX/jDZ+2KOu3VHCw+1uXyvIF4uS1q+
0PK6SXt/PHvRxaM5jyxnvi0HBaTEoDGXjrW3UqYj1gbFKmra/l3cLO8eiM8d88P3aNXxOm2GdkNk
FZA9BYPdU+prtPuXELomUl3nJoNGfbiO5kXgFUAeOzrBTeeRea4qBvQUkFvooWkoZyBSi2E+lKlh
HR3mZDZ3bJDS4odIQIbnU/nqDK1HIFF/A3FWXDCKVTU8SuqO55A5jAIGlfFmqp4sW6nHykdbJBGS
w+0VJ9No7qAsJGc1LT89I5C3sis2YAb5YIYp3jWunzylwHetINg3Lsmwg+uGO2PxmOD64GQ0oOY9
dzkwj2xkEyDZiK1snTlFsV/mgeVAkNlxXWOt0DhNA3XNCLAdtGkMP7j6wCSPTHSN6tt1G00sSHP7
rdCcUQzt2XpSBr3U9RCf+nf8Jbj9oAQ3kAhZ+vJLMMbOqbEt56TScu310n8qSUPp/ZMi3f0omYIT
S6YPGbK7ky3jU1M0oEmqrN/jhaWNT8lmP8gwuDfK4Wu22he3YqRDcyJQziQiLvyMe9PFbNp2N7RE
fxh527DgNwhZIFyuzVlS4MkqyPnRaRmUs6oJCdj5hacOPMb32MVrepUBDm2E6MmoTunMsfPK/rPy
kAcezVaehbeKnSTWtMY+VYNPfmaURieMpxdrYXOxgE7e8qGR5MPpIEbJcTbJP5XD4O7zTiNVhsyE
W1rcso42Z4L7kseCaxoTooJHMZ0Nn82gb8QxwsUlQvlCMSQJySKvwzNAQeZ3fwPiAa5PmtgnWLur
XKfGzqTbN+wWHpAF3i3QN7Ko4LdLJzggwXt3daKu6Uuxm8y6XPtBHzGI41eDWuYmyLQPGOkzZ9Qe
xVukLcJVCCEuUMGNkw+Avvy2Pszj0pzjQv2Yk5bZUxUnn7qAIZZTWIh72rvORs1ldUMk5W2aPMtw
as/mackufUPFQ8xIsItoNoipHrd1OyQn5benKje8pytAuU3TZbdACc3HUlyq3k8oUTQ1KbU1md9J
PMFAA+QyCONnnHgUQb3fGAETAvJL1i3tPo+qeDMb1aGsiJOOEnohCoknCeSo2eJ0XmmqqMXKkYaJ
cyhydUcko3fRsUXlkowwj10y26Mp2v/+Z8e2BASHsKNxNSNnTj7d1A+f7KPDdvRCxXW+hLlEbTMS
vBIb/VmNy9oMygf2gf7FA4i5G/2K8vv43GHQ21ZZUh5Nw472fHaAVxeOwBMcn1vfT3apmwR3Vo8q
xFNuyY5UgT4r3W8Uus2OHFgytKZSHWodNwqZpA6tdt9z+vIcuZngSMX+JrU4HUb5PvXp63DAQYdI
J4eGQ7wB0xCsbIGdDFT4Z7g4GQiaAiXNFYBoJcQ2eFlyGiLUynI6ExILZqwdvhM7RZM8IUfO0ubD
sF3KS1G1yzjp7KJUhis1zu1hYUGL9GI/Ubc9IJ54cXJ/OaSSnO2MgYwA9pW2a01B3Xmm04Bch1rB
djKoJiz24O+ijFZeQU3BiqR39gKjfo89q93N6q2qYS53ZnqD1vA4cko9BSAzCfIibLYPf8qaOGxT
Vca5LgdIoJ2PaWsMdvBTdF06CNYwXfvjZFhPHkiBfVWnKbgBkW7LWQ6HicdhbqjykXIf5TGaKOoM
PXEmwyT2KfUl3XEoqQp4324n+9NktCcjm0n5hXa9HgBjYCQQHIsgV++Z8pIdO7NTUVIJ4dwBByf/
NfelOBpmTX0ark0al84Pdiz5gxWJ5QWb/kmEJhpbS+aXuIxOE7wfBKAc7nAwEsheRO9ehfdQm2bM
Zg4vJqf9wmJ97I0AOhbRqWRvUAZCY+dSt4O4aZtzuFeR9WpEikp+8m3WA0Yl5HKcmudDYdvJKhAx
k2kZ2jcl1/fP+8Sa8PHnLnGEJN7jMGv5JnrzP3aJ7coXjVP77jaem2hvcfSAa7CJfVKsJwyXVoMI
UaY9qyfZx+ux7/0dhv1TmBlcgQrQ7cFJyuBzRkY+446aHnhSorhbDrVfIHAx+5+Ey9U7BFmnLDSf
HKdmNx2S+5mH01sfx5DHCVGcqf0GPKbniLGQC+oXuZ0hUjLKp7g4THMTn6PEOv3zi/f/LDvxSeux
6XNAOnEDCCToD/6xRd6FlPEDRgCxFjFnghnDy0gAI5n3OZKTQ8IRx0L7CL3N5b0k331829TecM8S
iHAn34W+cciTJrhkmaVwKg2/CA32943pfCiafLdRxQNRhvwWihaSaCApkb67g4qFlQkPUHwNuCUP
WdHZtuOvskqTUx0K/1QXvy3ULD6zPLm372B1OrdKknAjRIRujDyXjWdlFEGgXZxx/XmrkVSRrV8g
hM5aABUCIu/At7dp0b8HbCc3oTR/9a1UN03hGfvZLhZEgbBd+yW7j4Xp3vrqm9mTXYkrgZyX2TLt
rDSuLg5yaV/OxsUj5MFb7v/5PcDK8acR6Js8ek4AAdS1/xMBRhItEVnCfMJm4/7qouoFdh97bYdd
rkh69lu5RnlXRx8DW93Ed3aMfC5LxC9X60bbsPgenEFu+pluIrt7ML5hvvHCSpKrfJJ6O9jBWoKD
iL2QAHMcZtJ/IFsgfY4mYrwjCeG2rgOqHVYAB2rMUIKE2EBNj/2aWU8X2YybvPYZJaNHJEclPy3R
uAgb1AdNnae+MxOknePJIOtiI8Zw3ICp+jTok28Ny5p3Dvtfc2pibkhunADU4a7jiUhqVL2SdoJf
leGjEN7PYrbH9VAg1oY9nKy8eMn2uWO/F+DJ961P26z2LIIvCALuaaY8xfTUaW87hPkMUO8mf9wY
7jMbghO7m20ZRz5FDwR39HvEmqzUhK+AtLmVYZ3D2Pu0/HDe0AFbLnbS/BKZ7x6defnZMX7Phqc4
MQXQtm0wu4h3l2pvE9hEdhInj2xjoQJ4EeTrOJ6GdWcQ4PzecfCDMLjLitR6I5Pzmtzw+aSy4SRL
q39P3WNi8SiHsuaCnOVBpXZyNuzytk36YzxY/m7qOzayJpHjTTGNW5Gl4AQ6rzpeR2yfiPXUqzc1
yfvrMSZMrA+4rfn2Oir/v9jrfyL20tPgfy32On0UH9kfU9Is/Rt/l3v5f0X1C+/MQb/FToWn/W82
sIAANT8k78wnNRiTkYkg6e82sPCvTL6YwDzmAD0d8Hp/t4EFf0WlYSJiMr0IqyYyp//zL5/T/xZf
1d9kUN2fvv9Hp9NV9PRHtZdpek7k256JRy0ItGT7H0RRQbt0advRmZNDwencA5p662bVe4NBbHWV
DxznUj0OQf8YuwgqfJMQjKZwHzHu3toDaTtzzd7nHz7A/0Ss9R+mQK4MoSx8LoAeXKer16l/eFcG
oSn+FAbZbpwGpt9DhgqpQHWkIQlzPT06rvjw++w789ObKH+YunwngLaBfn+1p/E1RjzOwbmnByK+
bSE/3JgTE9U2tZ4ox/hYwFclTiSV/De6zcjXwsw/fZ6W66HB0/I52/+zek7OXFhVOtkO0OKydcPm
Z+7L45R39aEIEYn11XiimvMpTQQUbQFxL/fq26z1aTXdQni9ONF0k3CyljXtl84520F9J/vox2g5
92gx1lmJCUIFlzmV52B0djaxzRS7Ln0NhrvwEoJ1Sgd7RzpvC07srhu/JqTIEjRvVlRuiBVfxPMS
0Kevx50aBZIU9Ibb0ekfowrlMDYrL+ODMi1C0XMU19QzHvL4FPf5jYGjmSB1DOw1jvPkye4/TM4n
c0rqie8TxoONJaMKgECoNFeT+YtC9MZ0F38lQvHDJOSHYkFPUgA8RVqsdFlepXKPlqKMyA7ZyjZK
nGw3WJX8Xa2NcpphbXCApNMtV6B3qerbTYVLups3YplfvBzuDOYna3f9CXfKv5vmda4wscAs7SFh
djdlWD7Hncq3Bh6mOTFo7+mxjWTsJ4fYI9RUosnM7Ba9zF2Gkdmt0x+eOV4lNzAhXquAFly01OsB
+Zcw+0do0ZKu2cH06+fMXsnE/622KPmCwew11Mjx7xVoy5W5sGt1m4yW2IJwYMb7UwTit84uP3qX
c1F2Z7X+oVPDGUgIOTutQUe+JaCiBTIehvOIgBcaTZEh/yva5SUpKMmAg/joMmTVvk/0VBq9WUty
oVv+M5EhoZvOmq0QKWApF1CK9BhX1s96LD9Gx53XFAq0hhD2gxEoQFW8s8A30RhggaZ6+FJOUbmm
+nOwNPfcCz6DiHLu9bX4sCX2EA87AJYaEYz1bjTnd9SspNdYrKNmBHREFV+RGO9sP7oPaLDU7NG3
GDCHmyB6dXJSdiSMc6qL+HFE+sUXEfXlLyDK9C1b7sloTwjoJBlNoSy4aJ0iGFvTxYTc3vrIw62Q
cRBW7JjDNP9uXdw/iXgszJhc4Z7D8aCvlDaYZBe/Tf0HS8BHwZXIlhCzAN7GY2XbyBkyhItGAmpy
wF63a+PpmZAd+qxxvW9yXqyPHbpxI608zdAnAaYCCCQeEwJUgDnjU2JfunJzRmG44AaitrAeBvoW
fUkqCeFJk+G+uq16rS3qPzknVAKKCBFsUWl5jb2uaoZiPbv5Jpn4R1Hd11Dq95MIGuJXqOMOCkqn
U6rdUCGBmXzN368oO9V3augO1by8UnlQhJGA4cAdRS90rLJ2F6uCKlfW3ZFbieyqxVifN5zyXOoi
1+DAyW8fojLAW1rGmK2y9ZKxqyEdQdLDjW5Hk0CUqOTX/HF+HR35RqP+dqg5iQNuYt7/FSykTw1C
/4QhP+QyvxYDtqXZRcclSzpkU27fJ2F6o7wMSSRBbsFMzxsH6tAFN62p9JFI31rnBtZYj6Sy/NDe
sUgkH/z4tOXBObdWtW5Lo9iGhvW6jHRUIZdjnJteM3knUBRtqLqrdeH4N1ljUaYEioFPONW0amhs
rXR3sWcMO8O7a8viQyTRbwKL5lzwSDVpT0IL+ZArBsgU7jOpEaSafEooSYqWE/8qVqPC42elF3J6
iKBO84ZyVKcrGeVAXzVCtUvk90KqWUIQBmgYhwyjKH5NXWw7lFRIwmbBaYOMIkeEZ2umGs1SFDTL
aykV842ebUloZs7g/iHu8VMazak1viblwem4tZKYEED0eCQwFa8gGvyoGptVQXDhjdc9D4t1b4ig
gA/jfVlt/ZFDd6WfDT0oa80bRIT3tcvdtHh5jTt/TCJu4JTCDXMZzdzOYhtbZwB4KC8Ne9eg+ab5
xYg2pvqTEgvo02/qa2rdN1zuZLqHYeAvSB0102bps8xn5JIOVBtb3VFT99diGLd42tS6pMAPGY6E
oori+/Vjr+P8hlN3gi1kfLSK4dEZ53MCvqEqhlNFn6fjmXZlRe/dxmXrFepmyZv7ZVaPep2vpu7R
ZmWyjXgrJvELBPJrmPsYH81XzEifZequq5F3loEu3qHViTrD3Q4x1ohavS1CkTkmS04fy+tVaekO
9klRAuszhqyKxmWV+JgO6fGyUo3DvuqH2+pL1NHNFPGJUtAtT1l3Ngkx53ywvMB5pgtXOJcxdvcx
sQV4WniQah7MMm8+vQUPmyM/rIlmhdcXH+z11LqS06vViA/XtHeZ4x/bgryRhDvYUvHLOxwdi0mM
mz0/mw6XMKUAo2UrSOaDpZJJPpZa1IgQUpzXbLI4hKM5HkLkYRSDxiCAKsUbif0QCRVq2AwZMOcm
bv/co/USlCCvw2NxhgqgdrkXOsRnKSOUOEe7vCMq0eNdd9WmQgxRduVp8cd6UwaV2EcJKWEB4R25
YF8hkNvlnXnDMQYTZ0V/MczTb9TV9KmIt9SzZUoXZtXzgqpmEF4HhFOxjtaGuqis3ZqETKzAFysm
NbzPNs80ML56Zwzodc3JIGzO9cLdWPdYbvm7Olx9oJXFHzsYDbckN3lIrljrzBts6BjG4/UPmw1D
NrM/rKoqrmM4yHO8Ss5tkcY/RzVu7Ma3drk38iylgIkaarK2ABxeQbZml0JMGLbWxuWA7PTxneos
5NjRd4yi+fd7MGXNSz7PRwjwcqVkEa/L/Kur6xTn8lfAz6OQZiwHUXwZlUmWO9DtJizu8SvsfRD7
acIg119UCyrmCoEkjVnnIkt9MxS9IpJu+p4t3GBR187q/rUgJ3N1VVtnRr1pOue3IjDEustqfztM
2saP6uEaYeLWtPdc1EpuNgeneRK305R1h8HCceq073HoY+BuKSYX5Vghzu+8rSMoMdn9keBDql0p
xOLMNva4I5HBjVa+7vPkMC1kEuKmt3aWTqqz+1vDcquNL9j9t8yDGZubvA7WFRtl7mz+JBZCCa/X
N0fLQxI1CUfWEY0PxthhAC/lVkKu4AE8moP3TerXz9JQ6tAOC/OL+0jgjb0nwekyZ3jvbecxykr6
EiqgEYYckJ0LklxTBnQa9qkmn13HfDAO1m6UgpBZ7qKgi6TXHrslnoceJK3drq13eA0gs3edVhYh
n/2geQarCfUbVHVATn0208hnBDn5G+pPXfoyUXb00LELLXA3p+A39xMV8heTBvPzxCph62wijhPc
LSho1YbNbCVDonkmwnjakL4cB5BY8FReH8ZxLj5g5Zxlqb6d3qJlZcfHym2ZHqECKDs6Rvn47YTI
HfR5wZuyj8DF9W/I8JnqwzqUIw8dg9pVLFpAHD9VNZJHzb0AkWOvldoVU15tG6dlHp3CtyqJ6bBV
REb5j5OeZtOAf3GZfNeywasy5Oeyo/A1DszacIHvs2H5waN7n4xa5sbeg/UjhDPASLUU74Rpdd2U
qOCue9Qotd7Yub5MdYc4dmEGxV2J+lOcHRiJ0RI+TB6qDYeHP6UchPqEvCgUNjVNx+ZnW2a42niU
4xZig+kX6yLlqunawm8jVyOfy3xnYomZ0vopjCzyhEMBTN+QN54DvLXx+GRSpvbZjqZtJAZoJeOb
rVfQvLdqpIOv09TMxNzed2mEKqmdNoT8/o65X0TM+Ql5tZ2XMxAM2gVZycAOq1lt/bBf10tebmMq
4/Q5oSVi7Kgb7jimWYpj9rL1oWnEKnm7QvNNY8RnGkhMUayBUUYBNzRlBebsLYxt0Kl0t7Nev9UO
R3+UDT8DCPirtmbSxiiP/D+nY+ul4bkHO7NG4vSGDvu6EQ6zMF6Hw+dIQ3dVjBwWHI+pV90kDirS
NBLftBQoS0f1fSSRFo1gN4C6iedEGM80oC9TyWLsuwDD7IjR6hqIU0baZChRNuBAbkSR/RDKtHZR
bjz6otxIM/0QAycax612Xk9pe+Ybn5mCXc38NGDt8HIOZt2YfrgscLGnTqyF9DZqZn8A1l+za8q9
IEXBMLRxwiSVckR+FUsGghGwuenA1rGmaV4tnxwbge4HEktj1MNI/2dBPYLI9NltWEau/2foLWtn
+MGyCaYfqANZxkhRX08A2QpE5TESAbevOBk65Kfbc5YQ5QDD1oRx29pfA+5nMFhQU6/s/8mxVqog
rStnP2xSjlz5kTUBB0PJWQWSHlO/hAeKiasC59edgq6Amg+4psuGEXetoiu9yXEBbejr7GSOksTq
0a7ZdMrW3aSrfCQrF4FZnqK8JQtV7vq0DDazn1u7VrlEWfvhJcmpYfbyfhoRrwZY/5AvLc8iErsu
DZq957ImimJ49tKRMZNT17Y60rfoBgeMSQurEx38EL9JOuAJMEKoLmE9/YisriETaMi3mT07HPlZ
V7pyeCag80zy7Mj+2F7/85qN9eeyta7ZgDvCMRi5pmeBJ/pDzSYn8rKObJntClp7plW/zfG4aamG
nqKMsVMJ461DprBNhJp2c0uC6iI/CowxaNlJCtP0s2pgQFzf1v/rwuX+q7r9KL66f9Ev/FnVMyiS
RF0Laf/+3ebp357/8l21f7l52j3/+Sf/8IuU4P72Djcf6uMP33DgTdX80H+18+NX1+e//xGqd/on
/6f/+Jev66s8z/XXv/6vz6ovlX41kVblH1ynHjzS/7pwefPRIlZI5X/4lb9VLn3zr4HOaAhNYOiR
fb2j/06wsgkdBDAOrhjracDN/nvp8v+ydybJkSNZmr5KXgAhgGLe9MLMYLCZpJF0DhsIfcI8z7hN
LesQvSrpe/WnzIxOd0ZUeA2L3pRIpERGhJOAwRSq7/3vH4zfHAdM0YVkLOCd6KyT36FL4zfdAbFk
jYDrYRX5n4Mu/2CuynyOBQdC6AqdC37QSLtmlylgP8VGwFZ9xTEiIFM7k6Tl13KO2HJUFtT8C2hS
3v5PAJ/LVQEmbdPAJx9f2Q8q0rRKck1RnIJh+1M/P9riqtH7Gik2gOlrRCGOrVuI4VLxWLHlWc26
VL6ekxx6JjHttRdwyIiI2FHjW5s/arTb8b1LplqAm8Gqtndz+9A7Nk5FjzXuRUSIO9GLpcW/eFml
kPiPn0LTNEBnoGlVk1rZHwDWRldntmNCmYsy8orqeXYxRXHYXdVTittdoKnbvg1vHTy6qtHxzOUT
VBKYumwqNEwMiGpyhSv3xUYXYjkl8heCXVAuCgOBUH6I0mILYbi2PovkzWT2oqfTvraxOdBxL6gI
48RNDBuAlZm9zdGAgvCafiadkiTJpxK7RCM3PL0fvR+WNx3PHJbFj2D3x+nm+1fnWLYEzXUTTP7n
Dx23mRnmNQzGnuY8hsdTuuQeIWzM7e8jpWke2GslNLd/fVXxERLmsjxh1ZHibRXE/8OKge0RB3Gv
F1CMEM6BQ5hAY+7OCMq9i9UmQTxbpT/kub1DBrQt6nDv1hq2aJLSrXCMSyOQr2P/UPTxzjjZsBxy
EqKsi7CJkGrfTCy2XNDUv77rP1vn3DVvNwEtzCDMD4OBZhzmhc9VENm3DdsQlUG5CbL95IDxWN9b
zp2uxSM/umsnOAP5ygoMRJNPevnMOA1L7bcBr3LNwh72NsZdsZ/pyR+7kHQwD6aUjEtal1JOpdA8
WPmmbR5s/SHmEFCq5qg3wS9W/J84KnC3glgcaXnHaP/D8TR00TTZUJZxaxLEeMHPqDvi84zNODPc
Lc2VGwkf2yQoINYeS7ATJg+t8nUqnjTa7I7e1oTNWU3rchp/MTXQ/mQn++nePizMsbTGXm0XFqZ4
WKJh6yIpXajG4AATuUcV0Zy71NmouEv99bes/dGW5KenYss7+2EfaLmtiGF3gWQz32hwoJolBsyF
t7wy6GEano2ejwCN+jqwrc0vri7X0I/Dkvc345/fybtpyg9XV5OhybqWq6dV7LktltL5rSju1UZn
Cv0G7WzVUsk1ceABn3rQn35xA0K+en+4AZ1AF1caJzjuh20QMDvK1YoHD/17NaI0h3ZJoJg0P0XS
43pGmW9SrLeI9ttUQb7RFbISgBI7+5VsdKJaScS80Xg7JLxr4yarx89U2oh10FbhLIdiTcDT/cVj
+5MjSFN1DCCZHNpwXz58aUOvuKpiDhD6MyYmibslhsQ/K/AiC0z8EkzO8hyCtw1dxkGx0r7aqb2i
Gjso7Ce/uBf5hD4+QV23hQn71JCxUz8voH5wwWbnrtjEGGUR77Xpx0e8YuxGXTGIWE9IKZJnBef/
SqbN3gRT9KsX+8+2V3w0DM2BD4OZ0YenobvQXsMZa6SUNzZILX8ox00cNJdoiPbVciIo7haU4t41
y3MR5CclOiyNAl1z3MAA8PEY31ZO9OUXz+XPljaDM8EB65Cj874d/bC0a6VIkbrCbcpNglWicd90
0V5U8Hhs82w19bbSyqNA1YOfGP4S9Z2RWL+wufnTl/uHexAfngx4bNvglkeBBP+2MqKV4KmkafrU
hsVumPsbDIEQ+9bHPn2AlvqrXe3vSUUfFgcVkqB2pBZ0KAZ/XhwBEQyhO9BOVpOLmQ/kDNLNc6Zw
8LsVvDStSIM8la9Lo4MiTQ+A2VG8hNtw0k/13Pm4vp1dO3uJR20bNPfxZOwht2+42FpAzy7vQCI3
fUiAOcWT5X4jL8yzMNEg2Gur48wg/5OZND52Z5A7CeddtFORDP6ADteZjY3Ltq9hUegs1wnpgZmG
+0rDz7LOdz1WSZCwyV/Hd0klZqUf0p3mZLvBjnH2NanQnH2BmXfj6AdjiW5JDNyXtsGcSGzltSQt
u4EEV4eEZZfBaerzHeziXaqrW4afG90IvEYEnsq0q2zVrXTs7tR81+YIoZx7BPnejIO6HWCrLUdy
tH55hruZZmxUtfOHFg0zNZdBz+7W19iijxwUr7PFETI36EUKm/TbgJMBP3HQtHyXAAwY2l5zQgwo
EaOZ+kY+qyg6ad2Tmn6trGyXj8kdWqa1wa9XFmsfMotSwS1SdExCYRg3UhuK16nTUYfEK23hexGv
WGnjVkXWt3KywpU2JmvBwyfI3WNAtW7Dp3k6N9GrRBHzFJ7nnO9s8diHzRrn3E2QvNYayT4GYi5V
8aC2gsi7EO209dh1K+Qb61bPGQNzbKcw/qfCa9X8GC7YWEYjIZXD3jITH77pRvrFznP+EoxnV6WQ
yDfTYAPFPM3jHorSJS2NTTcWa5c9OgDXsqoaWFFsMaXyBDOaMcjXjbwX9vbewteapwrATsoHZrjg
ORMuNvTh8ZCvhxS5GZcr8q8pVmS4hXySthKRKM/gmozj2gdN2LS2kJYhpZ6r0jwFKqNgrSXpmVAo
tToEVCJLRiM/8+ys5wnj2H6xECc3a/2Lee0z24uiZ62P+dDXAO6nAeQQ6ASpqND1MW/PYHCZWrgL
tOGQ9xrqlhiuNQgtBFXHuWhNAYGY5a0d7cHelQnwlE4OM4b/Ggsbc7S6BDC6tawHR9ReWGHQQjYs
tpZYoFDM9as2xY1UOsx3SECOKGg2QM0A2O+HoQ25u5xvC9wGx6rlwT3Udb6eWCoNNbZEtDQ73zsi
2qGqqBAfKf2CRQAelta1GZ9NbB5rV8ZZ4kLP2Cxt6BkIPUCa7EWIvicXlFKMXldUnk6V2EWJZ+K0
0uFClqAlrPGxGfRlZRfP9XwXL7gw9KtorjyMd9eNKTwlegN9AR6CMIG9ge08ts6wdSC0Z+gNlnJc
IVZsdDKacABjJis8o3HWHVPhBq1bgUiyycBemY/H47q0KcOxCkznWzPz5DcZsliC7FDxFsYV3qRo
g2u+H9EWzBNHRlgFNpGlp0IPVt1TXk08eXvj9oaXRvo2GMOttug0TAYcgXBVK5itfW0YRyz8QCai
teZ8rUA39eUr5fLMUw0cok31V9bDJtMeO+SjQOxQ8g3EJ+FKR3M6IQDoI1KYwhu1AwLjWQd+N6Se
SIZt0VELVOWmD77gC7HJqC8jTfdJKNu5yOsHbgzC3CFnaoT/InBx6U/w2sy23NZDv3WHxEsc8toH
exNbPL/pMMLUCEY+Knozs9c2KvJkff6upojKcUYJmLQP7GhKJ02g0p1JQKraHnRH98NFEBdi4KRf
bvBsYoGpyMpIpWH/aFFCdkzVs6ZdI6wDkmb6wbg9qoajQ3Y3cOzaxNClaQcvzdMVcyKg8nNU4mXk
EkHR44cQX4Zeung+tCGuls01Nj6Zwb0tmrUWlQgb0B04OBtM+M4Guq8pvZdhd1o27uOCB8Cof3ZN
MnvcLU4tDIvtU5n4DfPkJr6dFmUrLYjTKV8zmpaTwtUYlX7PW+M05Tm2R6+YRn5Xta8gIIUQnmeN
EYrAoa/YG2B2mKHUDnTElixaHqiFoM8Ywd/n/igMdWfitWIs8WYec0KL2azqzO9QfyeZusuQC1cq
EfR4Ual8kghbp4A10mP/Oj2GwRPEVGzr+fRejX1oiz7YWh7nEGMBPUeizBQACk+fMCDFkKYWDwxa
hjgnYAUzfyP1irjyWtLrazz4+8zcli0ygJ6MgPROr0IOJNR9oY/3yaZQtKe8JV8s7f1ACXbYQuxE
mW2wEPXj0Nk3iTiIINjB5JdD5WQQ20qcarYisHmIkx1haep9RVJxyyJGBH+vRBaGTbfVYG30LEB6
yRmdacdIDfaxfjQbmzBuiPuppGIGqN30Q9MYZyjLhJRkvty5ltret7O6lccw4NMhG3REmk9ttng6
B5o8lRkLH7WCYA8eegpdHyP2Q1FqxwGYpQjMTY9xaKOlOzwyDqPd+IrGTeVgO6p+yJfG1+POxx3R
463b5IIbp7LQqAjkvwuxkJYnhsqdyz2ydPRNyro3ZDQ8im76h5be8v3H+3Cvqvqp5VKJ0LbyICpQ
21i9uiXsHVors3MbA0t2iYwICcyf6L6xjZLVEkVUXzcbshEQptb1U47VxyhPqWq5HxxlZ5gcT0LZ
yepmHMJtrZw6Rz8XmXaqX7sKT4lcQ2XPDq83/tQ1XlcXa+iLuCmoWwcpTjWKjTVwBDqK57hnAJqt
9FmHQbBNTPcm69ybfrBv+k6BwcRAPn5VEarJQiuEwT9uItXaC6Gdcizjyh7fg4qHbqR3c0J3PZK+
mkZ31qgf5T/Hms5kBcWs4T7AD0CFuDfrbJfM5iHCk6IX6jGMFApH/Ww3nMxNdYAlkvSKZ84BkazT
azoyvFOMSx5Ge7SaN9P0NayMu7qwvTbcOS3rJNKPeoKZ19D577AP9ySLJM1B3MtsI8jmJwjnezEp
vJX3CpOdhcIjLT8ZwPOWYpIXm9/JfBjLLDaa1vqO1vkW6zZaxBEJtVeO5mVAh1k65UNoZqe5g98S
OA/YB+yoKreiNg5ySeBKR/QfCShzsJtITE54XWcD0o9pwybnG3FJiTGG+7DRngAxopXGDHOFtwNl
IfH1oBM19akaBA91mSKCra8gFhg29/qZhRcnHMNlAEeJA9gC4QrxOepannn9JBL2AtSqyLC/xVS+
WtJj37D4GlDpXkfDC38NSgN6KR/87NyNiYITxYiewbSonZ4DC1cFMK4jgRpXa9DORcjFt8ZSHmI1
+K5X1KCK+kQ3uI+ZS0MnR1se3DhJ9o3++9hb6pdOc08inLYJMGLaTJc2nl41q7226XSfUZkR91wy
9TGelTKF1niTLKoXz+qXQllex6i5GvjXYy+8GtkOhETK8vEEkn/fFegqdOpyjox1CMUO4SUCl3Y2
TiCBX/SgIN7Mcj51TXnktDtVtr5WxfQ6c3EkjsNrrWr3Ac8Sx77N3H/HTOYWzt/FwBzMWV5Foj5l
mnUZ4uqq1vVjmPHiVTrSK3Gwk88JxDp0c/e6Su9iiwNt970WMIdpcRAymJnqeXoXBcUnFaVMY/fP
erPcWw0co7FIX2b1xahGhIax0a4UjQ0qM84lkSry/SRTaKcN9x2vIc8VwwT2oYbuo1G3lpneLSnL
VVM43OmkWFCdQJ2Y2wc11LZ1E79mFFzuQ8K3A0H5ZJbxvmKZusEcrTCT3kbh8gSt5zg7YL54oQe6
fswV9ezEDIxUbAkID0OTTi3freSHK6Hh52Zw45L7inZwP/DG9rL209KtAQRisljwWcLfgZgotGgk
lY9MwKd8Yub1aPMg60OL4autDStXecLqln5vq9WvxjQxSAs3kd4cgyTzd32W3yHQe5kIBSI6CKXs
ToN1WARUZvPaICirjT4zv/GM7jtctPU4KUBmMY5LqCTWPCKOGkakEcxUM74bq3Qnt5BgjrNVW7Qc
2bz+TAkxYUObCxjMo81fl8nChEHd4pXvyytZMTUvvaHcpKKFGUy3TaFFaepmrMJt99zbHHa6foBB
5emIQ+XWnecD+QGbLEIPm5vM/OgREnM/pOBqtBWyg5KHkESSIFXT5tGk8XfBzpJWFHgYWeeutpXn
aKOI85L3fo9buTwOk3pZl33rM0/buHXji8U4p1rw0CkUhWPgDRpCrbTxTeyUxFB5IKlbU/FiHQsL
1b2ZSndvU+O3Cl0Wx7Or3+mqfSmFedFxprEoWh0j2dVd66dWgRSDnKuW/arKd46tbgtb2eHGdNFb
sTng0nEYe2brC6WxiegczN/RmVhyK1qd7pTlMpbfZeMqT9Cwo0fOO5/A3tNAT+U0fNGmN9r8Iz/c
0J2SRXmSLf5S0nXS5sUxbKNJ3VaV8iDi5tpMd/1Y7iI7eHAXFIozU52SsCjFuVq1eVgWE0JJ58vc
4lVd5Hth4yvuBszswypmkQUnq9g5DKej6lHeksmCshsOZk4QQ0tfsB7AMA3Ul2prEtp60fk7bXxP
pBUtMkJhvuqSRHWieEq65MXmKRnbsI63NRpmvgYcmWBu8dVKQELl5a9sbR02dJDZ3ztMk9UkW/oS
/Woi97om2EEhf/8zYWytXNwGhdP4o7D3lq2fFTTx6uiuC6PxZO0RdgDVIARyOBNykMDSYaLaYiSN
FSZO1zMEGV5Uf87hLzMGn8UB56Ab7GVOleDoRpfVM4Ttikfwlb1W6cemxiMvoMox9XNtgmXavLqu
uBShtR8/s8IokbxQEKRu6ee8opTBgRynt40u9KOd4jGKbVYmMR1+kQWVkOOwV4kKnZDkKrdzmt0l
5vwqV5E25Hx55h7B2UbekQ2LDzcaH5d+gaVl972SfoXIdkdjj2XIJmpj2U0Gi75x88BL05uuWlby
Eca0d/Jtwkl23VOBlwoUG9SLEcCRIgmMOeABoI88TtDHruUbmJu8DbW6lVWrzWBdvtjyBdcw428C
QCHevDDSD3OXgwCJ99/xXsmCe+BQuc6CS7XkJyNScYkCsykjvxDFKh/M/azNr/Lf8Xp4CtpJG3c5
3b5NsNFvI5MuzvTcvKct4864krxD+RxajAvUAAW2RFyAkJbA9To+jWFVnwqTtSUhOYXER4lahf47
MvmPcfM/pmB/l4D8v8n1h3/8Xw9lzl8fJ9g/Tb7/ctb905/890bn8o5+vIN/3OH/z4G4UAGP//2B
+P3w1v3b//7bsZn/z7905fe/vf3tIt3DfpyPv/+G3+fjMhHeNYRjM0r8Udhjid9AwoVAvYLHOLg0
uOfv03H7N0NDy8B0nFRzppCMelrODhn9ZP+GHbnNNPsfQ/X/XL7TH2YbDsMBQ2M6j1RI0/i1P4Ov
mADVYmK2sxkCcRsKOreRvjx/LcmYVNJV2LdeyWAZI5e1VT+y3TbJo80/uMYVLjlcQIopCFsqgmLV
3drmyBsDn5P0NvsFKp0/hxDDKszvnFMVKOT/SBGiPxjWCrMCWG38GO0pNhJeFw+Ujg/GeKE626jx
Q5iTIpp/L9+CNls7VbRScS6aU9Or7BdNJf9bWaNpZN6Ve2FA06Gam5k9WpCnrdcaiMGTeRnFfVpZ
OBsSIOngJhnC2mf4z06tXbT5aeCsaK5q/rlBCjm0yDQorrQFJYf9ECV091HoCeQfWJz6fD2egAll
8PnYWdBHRxSw4cZKLToxHIha3uUJPDjQz6Lm/Oax4QFPUC2fnmyQxmn3CWAjOvxVyRsew7/93Jiv
wZyv4+TUcPXwLBssMXhd9dxTmkEu67tXQpY6q76mS4ivIj5VIKdFH2KpCscxS0+IJHyBGYlmvhGc
2dILdka3Rie7y4jcyR1OMUijEOL8EVZTpMOaH5obTV38DpYk6b5rsx1x5mj2ccs+O2jFa+EuMLL1
8BpM7clIYe6X5W1jwllojzXyAryfrkvX3CRSflREBbat4XVgUC+fQTn0e/zuT00QnO0cy+rmpkVq
HtIyyprKpuYXvUmmSAsS497LRzpHpjcjB66M01XeLN7a63nqEemPW8Zyu9Byr62dvsrbqIbFl4++
iIQ/jy/JaPhWpPidPm8Cnkzj8o3V7qnSM5IzXwkIuOkX/aApLC59nahUcnzqOcHEUEdnxXbMoOyU
kvBLsXxCn4cKH2YhR/6i39j07UafvCZm700tZwyENiOIDrHbHVMVIzkLewNn9u0o8ETQbxsgoirE
JcTKCBONvA6vDupW364BaZYJI90E6gAnQcHRpnyPhwnnJ+HbibPhV+wcKoqkWVeEIOCd0HFaNF/J
0VmrGNCOAabA2b7EJqBY1F2+5A9pjdwNzYYjMurPFyU9jjEeYs5rV5vbPIs8fXqExIYo/7XMEFrX
CQsvNM7EP237wby3xLA3B2DwYO+07rFb3KsSWOtYXbAV2FlLuzcM/TzFNososFadJHy25P1i4JOU
OnftcjvwPHifAgXWZ/Mo1SYqjU9pWm+m8aRPGm48EEjL8GgV4BrFwn1pmzaFckh7ET336jetK1cj
RGXVxHemG/wp5Rn33xaR7mvoZ3MdQZ3u17Y5oxRH1BVi8Igwzx7SdaM/YXe6QuqH8iBaJxBmNOdb
Mt51CRDM92GhnyAnJ/5iggaRXFIjA0swvAmhJ8cge03/GqhPRXXG3e/soKrBu6GMziTE5LOUyZR+
7hCiqj6iRojEjY4RgWt8Iz3KpRjQk/TcNdEGe2d/BMVtS22d8D0MvkpPk2bpfoBCPShkkHXFwZQI
DxtV3cD+XOBmZHd0RnjZvfYkk7UC39T5s9oSP9mzU6mf5WRZJOk+gXjsDqCBUGyGZnkOJ4Tr08xm
icdD7/jR7FcaAc/T5I2Y4lZDt8Xf2CP5cwfc6zVs2BO+Qxg6QudcVlqW+7Yy7MqBq1T5edD13SLC
DWysbVtU644xVEO4qOakO5iSXj50+CeTfps/q/0IYMB217Rb+WOQkU+huhwH8rMy8zMi1V8NjY2P
M1t5NoHA4SrswuAC6f/5bBKhwksYT7xPSb4zR3NXNsqjkctpbHEb00coY+RNAiCML7cYGBLI/LEC
ALgMPYd6OTZoxeZu3zXmjowT6ci1gQt6EgZJJ7DDybxZT5ZBlF0PAfW1EkjOnOschZ/wadnEBPZm
A4fZYsE/jbwKmq7Vc3hpEdh5z4YfUqxlq0lLKBtJd4fFvajcRcLuxA4yGqEvGE1EVGj10t/gF4p4
JLzOIbFQKnfhoExa+u2gMIOM8DXDG6MM71OtP8pzoxqVU93D7SYV/v0Gmw7zd7A1zXfY6GasidWB
QT57YY+xY8fGV5KwF6uhj9XrYcifays8O1A9cxy5Oufq4DEzZcqJhKc7eLp3HCDb3D1zDp/kZhvk
qtcOGlqgDM+23mtbNqyWTdtms2tjTPkSxjaz35U9phzpJwF/XgCT29bBUpU7GK/XRB0v2mI/ximx
0/Ccrb47BlG+G/r0jlP1JOntw8R+Pm3LjsFHle1Uwf4ww3rPCFkFimzpI7ShvMWjGZpX5MvuaxwQ
cXCvBmnDHKJ42xxyfacrgT/rBuLEyEtwjrOz8rarytuWnU9jRAhwdAnZz/+nMG7m/xhTlCL1l4Xx
v/zt1H+Jv/1UDcsf+70aVn9zKHjfg70ID7EtuDb/ZItKMTf8YM0xVMm++2c9bPymaaohFe6moPa1
f6iHdYTuDkJ3AVXU1Wz4nR+E7X8pdP8D04nNxhGCe+Bsg/TEPfzIdBpFZ9ljAo9nGc2NmlqEoD+X
wxVIEapOgRcR3o8ateqi/oKu8weO0YcLGz9fOGBoXESdvLB7YyRPCXFIofIInLr+4Sv5R1/3I7vR
En/gnAgyxggZ4xOyp/LXz1dKJjPWLPkRe8nSNJ2rIhpkYOGnCqiyE1RXumTkKPdVVdyy310dC3ch
jbMsK/aVWZwqrdsrCoU82l4mXER0IsgAudrwa+mTrdVguw9x5V7rGeB8uLgtgZZEWWEHTaYyxh0N
8pm0vzG70C+U7CSm5NDS+IbNQuS68qkeoucCm159in0OyMEE7iIxtWZfE+FTVSzgH8lLY1OyVZjS
geKMcMnDdrj0AsZIIs5jl58GyAWuZGAE7bG0lU+p2x8nQakH/inQnCSusVNT6jKiBxoKrKZn1x7d
qzW2pzltthE1XoKWuy+zOwm8zxmNDOLRWmfbz+v+YrYLJjykaaI0kNs/aPJ9yyZMaOCmgR2RFXAx
ECWgif78zbOxEMtqhZN1lzjo/qTDfAte4LjXFJhRAhqBZuwszDQrAl+eUf5mFkNqdUNY9G7E3C2S
rC34d2h9GPGHuwh75sRTMkQyCqI9VDh1FR0Kx3mQh5M8iBJr8LAGNfLcG6hUsxwEeSIV89xpSOmX
nORotndLkGWS7VIRvoxquvOhD3gG8SzTyHDWvp/hZyXUsljV3bgkfw5leZLzLGN0H8bFOQ0OoG6Q
+gDaNbiPgu1XwVxwCaxjgllrl761Iv2e6tGLUhy7tNq3RvOGJYoHfeIU2uldHUd+EimnwtUPhamc
4tDE9sREiOK7Zc+DS9atktzhyb+WT6pkDF5yPI4VpwGT5JpSm4MX+5bjjDAyt811j1ItVcvbwGCU
gMd+ZIRIfEYPMHmLVmLvY14G4Dt5+Fp5Yxj55DpMyKoKjFgGLFZZbRMHYpZZB5W5uZlPF7Uct0Zi
7zIsPRfSODqGEGOWrwZGPvwd/ke3r9r5wigHIdJeQXzTuiDKlY39JqA44Wb5fJE/aQTmWq7buR6O
pc6JnFPflMwNi+C02LxZ8+BljLsiyFC9Kts7Bri8GVrX3sgll9TNm4zga3MwRYZcImz3dWccONl3
03TfE3eoIYDSrejOdBe6Hb6eHNfykWMYImKUFEzSII8Gxs7pHrplerYZr1pz/DLoxUlXmxsslV/l
H+0Yn0nYey54pC6uj+o6aKMHBL7QAnj5FPRzbeibNnNxLb7i47MbU/MgOHuH2KRFse8bQznZLb7o
4+wvNJdpfrEq7ZZCwxmO8s0ja9eTo7AQLZrr3MlLFQnvEUOgFOZPXE7rCZNBSxs9fcFlnPuwo2zX
yQ8vKl+vwDcB8YtxS7WMLSiLPg7PqB+/vH+3OJpuZYklKuzII3WjZiEzTSRbU3jIWoMOEZvxkBQe
Jdsp2oBfkb4ZwvFSAqhNlrmTn2nGzEeJ25tO7fZQ4RiZy2mdiiYcP/qg3etju0+pVoiIOY3N5BfM
GErncRTx1qlvHYgjED6j4UZ2qFnJ9grNK+C5YW9+iEPyi/P7KmT+aqDm1SisE1ZzPBIFbG2mIHnJ
BW92E9iPbas8dSUlZjDgC5jg6Bb6VVe+tXZxEwv7XDT62XDtrxjMH+oqvFa5/Zjm3d7Iy9tQCZ44
WKGAsJjid7ulixPSdB1DClyzTk56n/m1ABe11E1Yv5gJWwegiZJmR4BGKEfA1xN/b8IHNXWvJlu+
PtJD5W6FLFaqwCNY8iL6HqknBTB/aYbPjTXhqkoedZYbhzqNvJZdXS2wamwvEVtInBWrNiZJkil8
XjVvXVDfxMgqM8buphQxh9aOKJaTGrQ3VTi814FyrED7fJJVMr6jzGoSpleZvk01rBIZGPUTM17l
FLEzL5Z1anqejgMBR+PTDLV73yUtFiL5KctYgVF/1OLlosbU0un4ubMxmmWOXdfGlodxvxBfaY7q
qUYsqexCjPOrPMCDX4H+Bl2OUCOzDuCgsb3Y4ux2xs62M0IJxouCXapclfFNHcV3su4lVnUHRnDp
x+LWLr7ZOtz+CDoBSrTGHlcW8/tcVPeDC3a+8Byq5G4Wyp3iOvetGZ0WJ7uKJrlL2Nd64qfMbv7s
AJRgcVe1nxVlvqSj81jCJVxhde7291bB0uU76bPXGgZEHV4cQ/hYVTOhtx8Gt7rRZvPMPGvNIyKg
PcTYwh+yau8MGYwLBzyp+xy6yauaKsx0C0wRqonTjBl12k6XDF4Vh/gRU51dMC3+bNNysU3FTJnc
W7ct32JmlHaMaA0MCafjbcM3PasMNwbn0bTB0mLsC7vl2ATfLBJzqQC+uma8j6ba14qcSkJ7KcxN
0Tf7pQEVz96wndjY5ewrQ7evdRxmW30na5Oa+QSmptcRe2dMmGm3IEA9TMgnh7DZMBfd1Ggm+xD4
TDF2fRkdeqocN4sPOIVv5nTBDJNObxm2Ut6h4Jw+LvFrBA2maWu8Uaq3PmEGXMmc3tSpXihpEJls
jZswaQm1dK5DPngx+RLpF/k9REp4I/D2Gt4Cmvghcv8nURGV23+wA/lrrRok/65N/+1f/3b7Vnwr
3v9f2TKwH+af+hH5S37vR4zfBJp6m+YCWrhjSKPH3/sRJGoyhdiGMY4+TTMp2X/H553fbINhG22C
ho5R1/lPv+Pz2HVh6USDI735TJnb+N/pRxzTsZz3X6Rb2PyJD22BYQ2dUnbYm8LGeW2z8ts02vvU
wreB6Wc8aV/0UpynAhfXofokY/L+ulv4AwIjL++oUvPA9RHu/twruIHpEnKaBhsKzscgJ+qV6rng
VA0aZz+Wwc1fX8752H7Jj+vqNHMOT9XBKPnn60Wd1SX2SGSbmRnXVjv0Sba2G5ckgeYqYBcURvGt
hpUwmsUOhd1JDuolS8ZZ2MoG/ahqArGse6lE8BA73VVyu2ARHmVSymhp56yM9t3TTAS305mXpjm1
GChiJkt0vbGxM3vv5PiMBvEOMhzpIDiXaqBczi5DXDJClpLlUBwf3PRmspcvQYZIXdkPZnjXYlKe
HOhLdjItUf5xMlUONkPxiqm2CyEalBYU8ECq5U4T4T7JIK6r9ZUB99iF+1LL7rpFuZFIV10FkORI
Qx7+PjWWE9vaZtuNniHBeK6iHuUvxer+aCzGBSvU77gVe3/9VfzZN8/USkglmgnh6EOXqDlm3xaR
4WLEfKmMCaIn89T2FBDUZcGw+q9cDGM54eguoqsPq5xUM6yYBpMMawbXLnkIJZzXpDnGKehp/ks9
z5+uMstCmmqxxtCF/rzKcD0zzX7UCGFTbX+BGS4JV/gYP+JTr+gujlp5sB3IMQjPWWDtUGcfu5gC
MVieUCVHCBYhyrjzl3HRzwRyrpFXf+/hlP31Q/mICLy/CzaghmWhB3Rd+d9/0IZEQVSaBHu6mxkH
efjuftbgtmtGF3PJX/76UsJkm/tJoPN+MQS5ONkiWtWtDxoMQyeUwM64WGblt9YEqtxiy0D7nC/9
Wo5oamvYhi6s1SQ+pFTIverraXsjKT/zPPoJnGm1o0sppPk4Pw49m9zUQ9ue6taBZ2nu0gEjlYH5
Ff8byKs0ym8pCowJioXkIFoaTRxJZG5OZAoX6hf+GGC9HCsVTnxwMAWzdWst+6EFJ3aRg8BKkhAg
oUMc+YzJVTkO9KJkVWN+rMEnxTcLV+GQOYq5dhIGY6ImbAfbChqPUT/o87Rt6vggW391equNl4D5
VWWZ6xRCUcUvS2UZh7ROzLNfaCQNaoxa6FFaiFYZ4LNVMTmjFgeE3jU8ocymeLQN8hxQgVXdPiUp
OlIZdoWh9w5xxE+ucjdVryYNTdK9kpTolVTRNv1AQGsEzglkLZuihGkffaw3wK1NcRdJYk9ZFqJB
slUZE36t/1/2zmTLcaNNz7fSx2ujDgiAGBb2IgDOZHLIickNTw5MTAQIYgZuxbfjC/MTKclVlVWq
+uXetPt0q3X0q5RJAoHAF9/wDscdDaPJkWICpfNZpOF8Kcdf3I6f4/aEakyTmXh1OCMGeeMGzlWC
zcVgUYG0L0p/73f0OvjUIFLGuNYxdQy4ZXDYlDyY+IG/U0YS/KDH9agH5BZanRc3VO4DFR2XQLsZ
GNV1GkYaM0ezWR61aHLxSwT2m8sCFX5rBo8SZSYNyezmSmXTqUiTDVGISZRgQYsjR9AmQcYOUAfI
nrszmRseamhdDV2JWT5DUshYDwWtWaONpi24iz5RxgnqcvIJRPy57LDYPiV1WM3CNJIeMJgmBnMn
T5cDpcFTr72RTe8zqmiOjUv2pRAAYaA5cc6vy/NxWTL/869sGgryHBci3yhnMsZXFzagGc7PKVUM
rSmzYi7GUAyHqmWMLnuFPxZzPpnKZiWVP1JINb2TztenVc/62e+Of57KmiXAudBurszL/VGVIdrj
0wCjRrn6C+i+C4pBvIyGUByiacGzi3vztk8bdIjSjZ2vtUE4LzLrFgldbPLKRQG/pwvxrGH+K+/M
PqvQT1sqtiMgH2haldsFnTSKBQ8UTAfh5kK7THZUNIBoEV0J7FHxigTtCt0WACJwc9le+BM+Albj
q4Dot13GH04PkhVYfpgwWEQwEqXvYxdqlKZVKCG65cDxc6hdciDsx0NX14Dqs9i/jl/WD7FSft9Q
U6lvoSEPPp9WvW2xI1UMR7Kh+hoV2quT589Vg+sNs5YQyDguk67kUfXqdS3bQWZLIwEvm0JXRi1N
ixRdHN24cczr80UCPtPr0A14FdtBNZINDoV5UA1cKrDjJ4O4J4f7Nu/jUX0PqXqQ2wFwel9e+hWi
R9NcLWYKZbyc/zbUvekV0bkigYFjTOWLXVv6/JIs5POo2RM+vZgWK522VhkCHUpszaKgXTAhDjJl
ZLVnxKRN3gZ/UlykYg1xJYMJU27QZGCkDVMuGE6DOAdthAbwEP5V/dL2xvxoD15VyGgtZQ2fQuus
cgfMxn+9+D80lO2PxecYlWLo0E0/J21FF5zPIYsvFzqL2NTUgwn8sWN5j0yeJ5F3sgFTKufNQLfu
dBsfromcrcu6jLhPnQUmHigBrDdAp8YKlvOkBX7w6wsdfLDRv2UacqWQUNmTkBDZJZ9V25tAiSBa
JjTW8nohgQjXvoG5Fs3TI+BrbNdCY9X1zjJt+gkvzJIp9SjrgrmWlOuote/1ErviZFtk5dphjt3a
6NyQpGlGtUAiDlm7oTuEECRRICAxvYtlYQhDN4zzxva7ifyzFk4GRqBWzDhavhMEfoS13aoAAK+F
yJqGcxpMHqKMI2P4cjZUToPrWhvCU8jKaWmrUNJa8I/KMsHAE8Ec0eVgTAAC9tq0U8Ag0GIdKUmN
PlDDYUjLLl61ZT8JDOD0LeKicT47a80kp40lw4hzNqaZVLXKgLPQ9ZTwiKFDYLBpM9FiAog8qWg7
2QGQOxC7AbwFR8IMOiHhDLFBYpTT4ZNINaC16rCA/Y8VyoB8AeaAXo8cDCKLNphbmg9q3lhVgcEh
yr+zJWX+kBrQVizD7Z1+Yhz9iew2NxJtwUenXTOS2QH1x7hPgbQoWHyicIjM7NCKtiHrYMcAMuIA
Xdp27COKHwDaa7EKpsVw7hABAgIfMX2Xnyo7HgrBzgiisVFq4gK+vI1MMNH0l3Xn8eLnz0F82QwH
CMrO9LqCEfcEJBWLFi6BNnCk1uPkoiwjKcN7Nn+TBssk69P2NEzVovBRTYpK/VNeelFQmsVJ1vFg
S3ZGPWYAIjON6a9fAwke+/FrgNNDZQfyxcTt++BMcyhqFJPgLPvECgvfDGmLMIBWmBdwFuyGScgg
iC4nfWOJJ5Jxw6KF1SvppmtptXKWOOmFdx2Yc2UgiCdFRukjMqJXfPMeGyo3696tCjE8pr+YGc4z
mvzGQBlbwZMRPVTIDXchQ+BU4XCPl7ID3MYQNWgT+40xp5G/xP1mjYLbrqK5UuBROeBLs+ER3aBy
dmEO09JKkj97tvzJtcH2RMrOcqS3YIQGeTBSYg2w5/U3j+iDqf75GTFAs/SPCv+H6VltdGY/8EsH
w9fLUs5Q7C5hphThmwH2xQJQlYQjGwxLkfF3C67ArSMLow2Z5pSuptdMlvSVvJMCG6fYiXF6SaRe
x6iKwnFf31yTamaVzY3shFqEhMah782Aagh5sT7rIy2TZtUjk7lIG3WTYtBNTNjSqt8ybOlvYhjD
msqDbMhHVAbsHAC/3kAfIhg/rMFQVQ3VItqjDfP9BtLKRm3SNHMg74ZYuH0AIRzcKC9RM7bU8oPu
dMXKU6IW5CDh7AQTGegkMh6PdCHzttoaouTXAfnZy0Acq+QF/nDVdkOA0+SsiuFWYTSXiCs5cLh0
/DNCT4vhfndmKpSeQiaOaFqOP8BkNpQWnWCN9r0cpTW1MkbBFIoi3CGWXuZwoI+88l4z8Mcluy8H
QLDBHmDVPgIygdoXpk8K8xEMxME9N4Gnwrxj4Df2gW/ERQOHkYdLf18L6KmjFZq0DGp4A369uD/o
wMjTlHDOaNxing0t/vvFxekoQp0S2xglSjdZSYoiO+QE4hKSGWwIB7EGS+2B9ydo6sRbq+snUZtg
JhRxHGirs3374WuJhbNf0Zv32Yty8W3GMJU/dGWP00wPMvjK+/711f8sgulElAG0I80cGLLM/KZm
zfpLQEM0omsQ+qMEiUk5fmtL5zcnuewHfN6AvIN05qiNKeM/9Qvyq9/DiyJQIp06P5+RdqRP/es7
GfwspQSGgCL10AZW4Mgmwje3okCfwKAzdjzpmRyxDVWFQAPB7Hyklo3D+YUUUfLg5PBYvRKUCGbg
IMkQUEUxjBV8ud+s7s+y6m8v6dP5kELRGFZHLqk6VrNcZdyGJrQccmiMxnCi+00L6KPb9nmZ6TkO
DIYRdIHMT8s8NK/oCKu+gyp8sJMjYTx7XCRyRlXsj2RmfAUhgLLGWOKQ0sqkYYAgXmf8Jub+zXUA
DJGycbqufoo3tIzgBtRHNOip52vQUi2ajzKbD8EEIG9UnslxmRKmjFNjBrQObjSlMvv1hvjQwfhh
NQzNwPYGfAi9qu83xEXBzsuvHSxsi3JWJ5AVju0N/rs0rBgYshm6VG4S/skJZCBcpEbVTL6VMvuH
L4TR6KGoa7DKjPkJ3ga4rl9f4s8OduObK9S/v8K8yPDMwmmWntkoMuI14O7Jpdh3GQqlOLcnjNtk
sfvrLx3I+/68LvRvCFl0yWmmfwpYASQ+yyStRXOgcFPUUGXjxICbIGtWfIjlEzkS9Y8lME3sgcnB
fn0FP7tta4Csiw6YHpzQp6BziX2/7SJuGzuiN8nclmhoOTuUC5+ZNecPiQijnl9/rabL9fx85xZY
f/riqgTlf+qRNkOtNvorX/zRpAEjLJGBhRrNZf7RGZUbRP5Oho0KE4VmyBgboeeLz8haH1UBNKrA
y6njRv1F28hC1UmSJwkJMCt2iJUsc4eNJsGBONc0kqNUBruPlNbmdGsWJROt1D4/DdCqUerhCgNf
o1NnZ8KuXcqgX7khf8vmmSwSFWrJMkbjmpcopvKUQAOZ9cVBPbuieesg4oSilARQSPCIfMci+mYN
+ARZpLb1FLvKcWRQsslkhQpK9s8MGqMlB7Ms5ZIBk3BSIZ3Nn1XprMuXOlXEkfw/R82xzMh9ONSO
pXLfDuMDjkrzj/6hdtzJXFumndJyAI0bIVNMKowGBFbEuO8S+ujPW3ck7u7RrycY3xhuApm+CW+O
1UHGn0vkKUi2dj5FFN8foTI3jCC3DeaQN2a+iQExyYHsk8n5IVjKJkAhGyB6PwCATm9FohBVJA4g
CsvKH7coxPjODCCXXTE7DugB4kydwUOj/DfvAri/JpxBs7GXEo6JR+x0oOjTDnlzSbSFWzipKWdt
CMQhbaryLuOcqPDyqzIabbgDSEg6U2o4BKDArXokMxGJQ9doXJrx27lFDRMK1LDvJwUzaYlBl7CH
is4eyfj4io5Lp7+rpoKiK2gMwn9/yWeJsZblvhzX66kBIAN8RdQgcg6bHereMVfGeRpCHqAm7xTG
Sg0oGJA0IK1LRv7kOjruRvIsS+llDs8VYn/WnRx5q7Y9RZdFQiMY5Yo6M6YxghFyeC1ryCODDfmY
fBoQ11LxGFjo7I2qh/9ZZU9+flub1UIOfSXwor3gOVqiMNqTgg2ergm7HrkdXhTROSB2OoxgN2cm
uTJPGXL0BDUNF67urK4sVATTPhNotI9/80r/LH+xCGTQLDC7gZfzfQQdHHVfR9mZGA8ZLbVRswfI
Aq3X9VvIlZA+AogrEZmsqsOXBmcBb9xsGCMhb6dLlnZQnEh6j8/hoD7JtyigR+SAyJUBX7biZAn1
62uW0e2HIKRbXKv0+9E/8phv8pTCvioI4XDJoSbZqRRzd9eOnUX/UXYGS7Bgv/5C/WfZl61iR2Sj
bolQ4qewVwwuCLL4hL28CEG7UIbAAKEHdDDoqRdkrGd0BOQur1RjjjbntOB8lr3YOFIedLrdMS3/
sx4D54afcrQReaIAotLBCHWKuG+nlkAiqoUZA/pRr1Q32zPTfUh2EuxVHoNxq5z8PPljIf+L8vYv
mFfJ7c5j/AXpLUzLf1s9owV7+k489s9f/Guarn9BwpKzkKYvXlFfR+n6F+yOwOZaf3Ld2MRfR+ly
3zJFl0p1FD68cl9H6SjEIiorKQCWjtfgPxml8ys/vClDRCqHQ+mcpxuoD3//ch+DY2gbHRNh3XoJ
GdthqCBaHHj2Q/vehjGvDZ7gTYyx6hgVOTbzDG8ln8zBuKoyUUe/aMigb7TjbUJcOp5PiY+jgI3o
T7RIsIm6hu8Xph1YcAMbEipAocACC9sYoxxRNSoDgG4R70wLfeGe/S0iHI6u3dHFaBFgGEeoyjyF
T3/OrX5cq6eunTm0UGBVEWC3sb+uGi/VAd/5PTS4mJ7qfQSPowCJoyHkgB2UG5bg4LOWN98hCAPh
Q/wcG3b7imFBjQNiYKK1cwqhRgQlxLlOWAqQLgsBCAvp8PyxQcQgOGmARZ2khocC0FE2zWtn4Rz9
+7rbFced7fRuFyKZlFfmOm+HL2E9eEA0Fdo4bGrxOugLCCaSyhMZBgJ6AJrqI5U1Fj0LR1YNjZbK
qdgT00iq9rpHcIqD8uhrW3KshQGlKMtO1+TerDZDOIGxTzOvqzwsNrCxjvGbGIioZJQweGCUAlva
jK44ib6U8OiMISInEBgN886J6CjQUO9SZFceC3PXaAYiX4gOqidT+hPwoz2ildAPsQlqsCNhSgCm
totQYotOCN4DeUUt6jjNB/34Wp5AS3tO2Y10DDYHwTTS6Vm14AjmOaTcEPZedkbGvHnJEebqUCY3
YibD5mN6fszsjUJft1QUcmSsbRRHaMkpHYIuR4Rl6MSwik9FGYgCeIKGuGlV460c5y4JUtEkI63m
fyLMoTTw945I0mgtY816dMVi1QamXkJ5HqwKxnEcOa6RnMfO5b7rX0JWAn/pc76pSLzDlsksTw2p
EOPcTPPiERCngbBAoMAxSgu6SUgr2QxCMEHi4sYcZuPyiFF10y+q9tSjGBLlhjuS0ydh1q6Pjpev
79LLY3Q9hVd0NCLSxaZ4DNNT6Z8+ws0/is6r8DW/FJf38pec5H8vbVle0n80RrIsNv8+OItL+hzm
p//+b39Sk0dVUT6/BjCTb59fQJf9IQM+e/sf/w2y8Vfok/0FcjGACwoXwi4E/a/x2v5iUNegX61q
pi65wV/jtfZFp7VjIqFi0HqRPeq/wrX2RYWvjKcdveWhxfDlHwCftM8YDZNCn1YYhGQDZvTA+NR+
aVutura9PvAupfZgmuVbp9RzrTdX5+J4h+jXO51TTSTD5FUbnF/SvnVp2t8mGgMRDLfo8TlIpRy7
8zhD7gU+667MGMap1FsgKYfim+Xe/JFtfTvuHEgE2XdZGJdrcBayMCQ0GlTq78+WqsEkYmglA2jP
MUl2iEDxAJ3oqnbCUReEWCc8Omlpe37TLy8Y0h+HZ1gEOuWMP7gwZKetqcYY+JRDRSqPdRNbkp4z
tUJ7xunXuXbVQKXAVjOo4o5nXLO0FQY4dKCOPTJM6fHKMQLF82Ln47Sn+EkixBBiDfR9gW1Q0KIA
2C1xZ5+mln7AbM8Wg6p4vJ5nGEw9XJWqxiTDRklXkxk/cpCNA1M2NnC0qk4oj4QiRwFkbLKQQUm3
mT0FTFLvqDSHB6vCsKtotEc623d9g62of4k3/gXsPOqG05jzDzeWAoWXICd3uw5nPvKNx6C1pgU/
E+vl+BxDJDczgTUKIp81sozIEbn5xbhN1ODqZkGLoi5Ku5SUfZtgXWfVOqciLbZrH7ybarQhMXlV
tGwj+boZ9LXmqkwb+hKiSjgwzq2B1g9KEWr/Wp39U5IoiDU2F8SLKW1zlPE6Hiw1MhxZRGKUSRHb
80p9Sq84mcXmobOd2673t9lw4/vAm+tGvQsRdR1lRfGqhWqIGDpiUH2UL7F9n9KBHZ+v+qs6vNyq
QY9HWeyf4uQMRBYlh0DlPE6UAe6y8axTIwQ6GYvWXbCre+v+w0HEaN7pkl9AZcQ90pDIS1W6qxRx
xg443wQZfeAC/nwb1DUeI5zTSB2eoTK4sXVtRW1nOYxi5I3+eRD+TxleCX1/H17dKn9+fb58H0f5
jb+SXvuL+dHzNoCuSQcEguVfEFLnC6rujJr/VH74K+clhjq6SgcbhXn8QmRw+yuIDr7IvjaB2dCA
mKraP4KPao4sWL+tDmUYZZr40bFEFvCznnnamsw3j5bmOUG5P8ekp2a/Y3p8cRHBDUsfx0CaLz5y
pX7KZJ64Drdpgqb2KnqyunCSZ+Vea9BjwiZqbEVGuGtVcdbRsKv6AoSEbpIEIcPYxBm5g/+cVcd8
Re9U2pBEFVkyTKQSPEUXd457NJratVLsp33QXFjpoKjZ4aUX2+amhbekRuZNacqfaeM3rWgO6B5C
ejpXKnYbj8awfWijHsa9ihnjIENtQo+zUflYF4sz0m7j0CzCaQjjPnKcsd0e7895EwkGWC2NEmjV
8KcXSQ/gIzm2k7DNMy8anDNsN+NDH1xuGTU5rt/JIDQwM/d6PSbjsCUIZNOoqhkUZwEx2Kp9UkpE
MSL63mEB+ih0LrgUmfMUf86RioyGR8jPiic/YCWT+LrPrjBl6HDwmp/tK6YqTOoqBz0LA6Ek/BC7
UqCaOmyx3VGB4jcOmei1wWA1DBC2Kgs6T0rkXRuUcgsrI7hFt35JtlhaUeG1jB4WF1+7G2rP+WCF
KWg9o9iqxwUO9N05MnEoxawoqhtGygO0zxB8HKTH177vWecOCZoIGEyvBKitBeqDGenbJG9U+i45
tocahoU0us5melNoUT/W4ey4ijFcJQVVUWZWK2xOHyB4GeMSZyqB5VvV+uvMvMyqY/QmoXC2nd2i
aDxPAHIKu8tr0nF2nWbPh2fOryzt5nU0POABuNQLWqg4X4T6cLxysxxZBN9pEyH1xc4BjtcWebqt
bRUjXZ5rAGPFcLDJVY7z8Frs6yq0RmGEzUYGExhEIJq9dw4ygWJoZCgulxXefYTU0PKXdpi+g7iM
XcVrkOWhTlKwzdJujrUOGb48TlMnPajAnAfOc8ODR4UNL9ChUa06GlLIvL4mA3+R1fn+WqjhNE/B
AAYGZV5psdFKKNFqWL1EpCptzMdrAVNHdvrDJb9sriqElaDaZ4V5F6VpAClneGOX55feAAZzPVsF
vbUWdkkyJXpgJq8+aNd61RUW83JTUFlt9QKRDB2rr8ShjKyVEg9gUEdN/IZoEjNMjbcLPZqCmSfb
qEOhmQF7hD9n2q/KEEzicJAsw0u/dVqcuGiZ3jloqYJ8Cw/hUeOoNfq5I+U5sQweDcurPUnKK/qr
rfJ8QffNDOPSGzi8MnmBCmvkL6ICaTRD30LNvu1CMF5pSKubAaqUjIWf2VonxbwcroMPexDt9RKc
kYTuF2FjLIO43taMJ/ooEjB7xl1s7YeGM7VBZV4yRD8yBIUT6pHwym6+XHuYXBRDuo18amXuI+V6
qzdsXyu83oYlinlZRMWd9m7z2J3jwe9SvZ9kerrMcslxzQ+I2/eZnl4bRpOUqQbnE4HAgT/vOwTa
IK2dWiTzQtTHkOtcInkD+IaK978O4I+yhB7j3x/AP1Yx/Phfp6/+RerGS/sRmzyUTtLX05f/xOyW
04ZWJSfXt4Ry64uJy4rNS0CrakCJ8/UE5j/xgUNsqvQBpuKm80/qmJ9oWAwdWyUDYHwE7fpzHVP6
xQXFCpJpGj563rz0trbJ9Rqb9GKupOBo6v0wqXya4PHcHiKLJ5gbb62SHgaqNucS2ZHAv8Hud4LO
yjQIX4z0MacjYmOd0Kj5DsQirzPSHnofzUkpl+eunEv5jjCjoaqaOV5q+Tg2TEYfe1VxUNAvZ2ak
rgMasGqbvzhH80YN7EmGJGc8nBp4zrbwU5EBaew/3p1/VMP/64phj2EcZqe38Plztf8fsECHH6Gy
8X6xhf8QDfvDTOvbTPLP3/xrN2ukfyDApPkMfEwm29/u5gFEDDJMVWcUz7D1a01OJS+tNTC4IiIx
Jqez+Vc+aX/BlIetx3wWhpPKcPQfVOWyQ/ptNgkIAEmUgS4hEaZjfu6g8rq0Vny1dERUWkRfIC+n
0gD1N8QH2fL98WtskB0SBWNDPvo+xIaZXuQN2gzeoGQch+li3G9BIowHg8BVcVXHgwDLa9QYLunE
Dh2qw8qNk2kPLbA8u4auTPI0cPXqNsD3NEqBS7320dKkfo2xdvWZHl0uCAqBAk4AsSUXRIa2QV2h
MW2MIPxMEfQcWy0K35yU2lWd2jU62iBwv9kAmx+bBj9ZTHsgeyhDOingUeVB883gRsmtuO06TUc8
CxtQhIuRlD+2f7TN/haI/fOuN/2KocROMB//jHn1B0eQ0SE2DgMNxG1NU9jo1ZoJpFpPcUmPwgwB
e5q3AV3cK93cK11dmnkofSJFlh93Vbez6f1i8owupGjNU3V5j6A3DzFpAvtq2a2LNySr/ihVzDPM
h4IQbdLh+JybIDFQIs+Pi6p86a/oHKMURRwMjZe+2ZamMa4cfdayuk0FUVMzRIK0PhQHz6dkHxY8
bUB8BS3qMFYmVZggE6HdqGrzASlOste61gFw9QjJVq6TrSQlRKfr0tEoz9Rb9ZyDBHWEDVd52IGO
CxAEdUzvmA/Iy2dxD2BQc00Aa6rmQyJ4x+pXWP5ZWGB09aSaFigzKskWjxG3q9Ff0opZA8qvoDWc
BtKCCg8OBKzoKaUl/uz6eS55HybpmG0gJNu5aaZ5KgIBWiyKIQ7kks/F71utiBX+a3D16uq+L0qh
KumkcE4Fg7GcNPWs6ej6wAlnSttcVme8hK6A5Pp6ZfQns1UQF4MhEZEIBhlixclosL0GxQj31JFT
H2cNF5siQZshclzybGokpuJIm8DxdhtEwxorGbWRtc2McmKbyhiE4Th1ssVFO0m8nV1iwKm89LW9
qBkNW0YxAoKH+pZQACIM6I9fknRk4q39culrUOUjeuZTPQoJB4BGbZUhNCDA9roKwn2P6rKV0yLK
vUFvYj2kM6aeFDB6g0KZwxPxNIe8rxe1aSPR5y/Q8V3q3Q7tsPEQy/Oor2eG0uyOQbcAgE8pwmxf
R6m+qUSCEg0b5VJUPIdDEtAZH7C77Me42g4HdAT5+s70Gm6xT8/uAGGrId8i9eBaswDlcD9sYxpI
2o2ep/v0YiyjizlGDt9V+sFapxRodWnXDXo+7UcOpL7yQimA1m6UIEN0xP5hwnLMWhx5Q2dVFwOB
uiyCSz5wxHN4qOWgw5YjDzxDF5Ucgvw/hBAbGRfqeyDDqpzUfhNCYH9n2aBBYdVBxbQI3/HKRBC+
/E2g+mBPfAr7QOBs1eaU0RgUfmpuRj40FOdCpFIZYmnhrVqMo2SMmzf73KDxR1iI9qFfCYY+Xqks
8hBv04uD1/0d0IPAbH9zQT85H767Hu37266vYdhqKedD3K3axkZH8T1Bv476UkmcSYZ/rF/9EUf/
Uery7+18fTtX+J//P+mhWhxdv01t/hw6fJvbkMF8zdPJbPDYYKJAN/8PXvT/7ZIxNVY1B99a4MSf
Mhvri3TP1AE2MFZmQkzS81dmg0Yq2Q66ckNONx3g1z/JbD4a9N/vcZN2G/JSQ/RJdcjb3+8ptNey
ROuAFKuRdWM0phf5+jaoUvQa7Rlu9ka10xRMc+rqsTom896vbnvjjLr1ZZpjRo8YGvpGEjzELHBb
a44rGWPmeYSh0EzLEezLsI04GhMpAlen4V2mVTswVC4aw2Baeret2iUuXIeuLcewme5oL8Akc+lw
TUyrdlFxP5l8HH1vjIHqXZ9YYwdImNM17rHmBXSSMWn7h9dL0ZwBFVWYWhTjuFZu0yM8EzvkvCpw
j2ZImjGG1jEj0f2FrmT7vqxXqlnOw0oZH3GKUv2MvKC/Z47wHl2KedoA6TeNm7qvPDPs13HA5CLE
Vq6eK2YxMSxcSrTmjyTwH71w/zlrBSxF/4XXSQC1uGAn87//V/TtK/Xxy1+LBcv+QP1oDlM8tAa+
Fgu8bZrJywGqQhLipM3yX81nixIDFDHiiiidoShA9Pz6SiHTDpwRbD8EB9jf/+SVQk+Md+b7d4rx
Ha1sWqxIIlCEfP9ONbqfBWlJQ3R/EevV4XB3txOb5WQ9291ZwhIFMrycwmLmi/VFvOxmh3Uvdr1Y
hWI2eprc3a0Z0Uwmy81uc+HH7nat2G0mc/4RCvmvJ/7b0+noWaNsWs6bcXTTjjSBOrqI8Y1XZudJ
uIYS4KpiGnqNGHpvt/OH7fJxOb99eJje3jKDEdvpQ+Rubyvh7SsxFAf5Z2+JeGi9i3hfvU1vt9Pp
7cNiO/3mkf4k9wfE8uu1MT5l/zotpA7JSt1bAPwQi33tdS7esvw1ZGnU+X6/eFvt37z96rBeHDA3
E7PN7rBfj33xMt6dxfLGnd88wUdzQ37+9TQrvdVus5uFYr1fbbfefjZpxXp3d9qk4ukmFY+Wu5vd
XcWdmLxexWG/SMSL2Knu/kEXi174o9MGpzNRjmox2WwAwInNZnPazV7Wuwl9XXeyvFfFnP+73cpL
XGxHpni8eq+++/6+WOzfM3HzZIvngYvnvXs/XwTi9vYtFosHlnb7dnNDWSAasbVHpG3iwR+L6Tbn
obwttr/zM/wAYv+w7VDgsNELZCPLwvzbrIjyplWI55q3ughHHA6HN4+r2N6672+LyH1IxIq/FzxW
eragfib7wwPAbXd1QL0GrM1u7+33sahENgPKKd7l/pi+J+yQWHDv7I7DCg9SFmHqOYItKx8AhY37
sH0/u4vVGpdLcecLUfNf2MSKuDsFY8XdiM3sbrfbTU7sYMedcFCI3S50b+am2L22YmN6hghndKrd
FIFoMB1u6xaef1ePWrcb56NkpnrnXTsCHyNycX8/327ffW/6xsNcNIJnvFzyx0fx/LvNyon6s93K
EY0NNPRJ2AvfL6mlIBL7saTaROWy/XEiuFW5Uy9CH9dCcx3+195aXoXqIu0vHtazGRAYtjToYe/w
cjfZrMf5zOGlZ80WiwOwK5yfBRa/Ym24GMnixSAOVzGL3d3Len3HEcvqAE6aspSHoSCErIgS2/tG
3G63azYynxOKF8dF0U6wsXl6D4ube7cTbxceuubuF97hQODZ9W7vLmd81mnH+/2w4BVa6WJ/wERs
/Hpx8ZAjnPTi6q6ZU41e1qZ7lTcTeogG8ZRxPBq9+GKUi97dKK7l2uJmSZgacMHyZncnHhT/hoGb
m/Ialvze0H1jPC0GY3wX+WfLRunHoHC9YhTzkZq7C+cvjCLEPmHrIPEgOpG5keBhXliiATfEZ35c
ces9ZO7b9kB83D/scVMc7+UjOKCvMOH98nQB4NItRu8BV3sVaxBNLn5ffMsbr9dTLm7ftw80+Xn7
Lvy1sEcY47m64IsWndhWgqUKxRssdfehmMt3++H+zR+r7tvDXnPXh7ftPBd7bVJ6FGNe5PW8v6HX
TWnv80ml53j3gdDFdQQNZH5goZD8ZtsrAkV0EfNg1zrbBONkzx7J72WcI8all7A56B+Jzek81qfx
fK26Cjf8xMyCLbNmYMYq6eN+WS97D4efG2vdjpPnYAPAI7u73PDu3A35KPxv3FMhmglaB558mLCr
p/ascyF88XlwIZbqzODKA7nalrxhAq47e5FPQp28bVvu6DR7gT9LEKRJwFMeuM+Tu5er/HGY3/zu
Hcwe7zFfZe5jNL47e3eTdKFumk0mnkzPcZeleA3dUTBmyDNWx7X7aK5L8Ugo4XmcJkdu83En3wRC
AxfixRP8KUaGOCnunVzQRy60nr467sUdv+yWk5DX/+htTuDHxM4Qy8SdyZNxUorOm9+A7eWNk8+S
fT7eLZcEZ8V9zsXz/DVxn0d0S7Zn71S4+vTo1Yt48hq7p+vHuq/lntrDCR69L7bspWCtuPU08Dbp
9DiTl3+fum9Ht5oe3TknC7/6Wo0LL+O2LJ7k48mXqyR2AxFMttDNeF1gNLNm1Xjy0rgPbxavoWhF
wPFx5ddY2Q0prsBKknh/O0qFITZ4uvFp4DK8SeDtLtx0K2bLJ7w7+eiLu9vIuLC+M8XTes0A1d3s
KKa5Y8Udr4mq+aIWRw8nwx3GPGLicL93yOmPYWG48k9ifgXDPZbkEZtJbtt2jRu86Xk74O8RtvIx
KhJy++/Xk91m83pY3aEiMjK9ZS0eSyIzd0mu7oI9Z3s3biUDHYfGbleMT0Qn4BVicvXuiEssxW4y
2dzMb+bLm9FT69oez6N2w2U3VlYyUgQ35agbz483jXg2ReG9FmOwzqvzu702vZjru/CWHFaEpMkd
m770XjaGV45scRY3993YXNfukGUbMZ8X8nbWeCWwwHJnAHTir1SsD7v+xlohXjF7Drg/ec2Lbea6
j4VnuZP64/d2LweGqZPjNBs98VNHjuERDT3hs3e1GQLfXDo4SG+ysQUhNOC4vPU9WBAc4/OnyWM/
eTTF6zLl+55ovIraXb7H4u32/a1iYSvxlrn6qPGciU4idhSPvXvzOD8KTdxnYjbgIJRH1k0mlvLw
OtnkCL67CbxlMkNwXNzyKZFLvMom0fzZmeCM497e8I3B4vk8YkLqVuLh7ZbYv42ETDPe3XfeVbkS
tTg9Tm7lc+UM9AIuDK6MZ03wtBQoS3up68vTn4jFj1iEnQf+vxMLjovOZfrNxogIfTI5wbHSe+vc
1R0BdcIbEPM4Dpm3L0ZER7kFGvc6pdMsopncGdksvkFafMlR1nCFvrtk0sy+7keRQNmO/cMZt3gg
9uqEkUbI5ZTnjHzmnDVvvsebKOPtfnV2eXM4MEiIHnDsIcavFw8xF/TWENnxJZvL6BhPCdXdaM+Q
fFx7rZfOzrNs2cyRB5lfphciO7YZHGrTbSCmltjzEMnyzu7+ZUcm9PCw5RP5q+MLFrekNSR+lbgF
geDdvpfegmGtWO39Mc+ddZZLBTjNe3sYjW7mvDiNWHA/yniR7ctx6i7xURPWaHkz9z1O+O3t4/38
zM8v2DhbLgBRHhcsCd8n81teNrm+cp2IMGww955Q/DRazt8WZ5eHlE7mk8dALN6QqVkbi/9D2Hnt
OJLsaPhd9l6AvLmNSG+VRibzRpCq5L03T78f1QfYwezgTE93dY+UGZbmJ4NktH1971N2017330bV
guooUaio3aLB+BSXRcIqE4nUj7rQ01SIC3znFUWANAAuwYl8XjzMoqEXzCYBNXiEcyN4BJ++3dOX
yKvqonnZyzZqujeylYqyxcGmWo6qqoGJXocLpxvl+0MHqkPPLU6akAVVBD87LBkIN6HbaKLMLY/+
iHhjNDQT9O0oqltc3GqdYIKlvhuMZKKiZwBncAmjuro0DGWbwOqdmQ0GUZduIWBMDtbwyXcy8i9v
JXrNEu10z038se8NfhcoaR1lkE1y0MWUVYeoYcIuXDM46QUZ4GEvg3CBXtyU5mw06GAKWPy3XBC8
gP+EDKmP1WuTn8mx0N98g5yk1CiD1cbG88fhGJRWumlc8k8faJ8kv77zO4T6xnxUdlSI2AXmfZEc
XxtDEN8Mqe7O09RF7qa5i4kXjNRUBKudzlOYvK/sAPEapF/0LJ9j+InR6GJSWvlcRPAoCoLUHgVi
NdIML2i2E1LMsgX1iqAOJ1sgykSw8cPxpmLaLcBGiySZ6MQBSyf/839esH+w8fBO/cva/M1PuV1V
do0r4aLGcFyGCWuTh4wjGfrjcq2scZb8Mr4E62k8LmN+AFZBuVh+QgI+ytqd5bJUoaxk4mc+j/rj
xIsGGC80WeasglvyfgkBhHvEjY/qjBeJH7Kwslwpi1Fi+MV5SQdj2YmwHLMLJa8LPIYNQeNg4Tzt
o158dsynMcxfLHZGLF2wN3Y6Hsd5nqMx2Rl24o8p40oXL2V/0bUd2KmdS4/9NJ+5bAvKsM+fYE6/
/I5dO5jTAl9EUWSO8rjM41kZ+r9lKY1LX3mK+RnPC9pi/t/x0x/vYPkHAURAs4FZRObUjCJvQDt6
IOwNr2QJBh6TTLKBZ0bTSEdF5PGvgQcpJGwxIizxh34BNUVZMsCdkAbC/Rkfs8YO70BKfcgo4JmC
t7Ns7C+SKd1s1AKhmWWZs1F06g0W7N1iiDZBOrBgYrsjH4eFDIsHosC2C9OEVKFnBEZUBCYvD8vE
y3zA83+nNeJPhJj+n9XbbLTwktYlEvlvjHikJvTl/KrXDV/sQQzVko3EuRDGbDXUxfyFUKCZX6BY
kgyFHv5sSwgtMAWf/RbCEBJiQ/irnPG3P8b6yGPIy88y1o02xwnEA+nlNC1U99WqNCdfYS5pISwx
CPmyxMJhPNjODMpPhskv9A+x8iR/yTu0KwuHT4HF5KMtP/hrCMUPeVEWtuTxsoR1yjjxNC4Iv+wh
UkBurG+aliWbl0hbMSM/ql9nmrHDDowWy6sxT/MsRMwvF3obikgqER/jBavCXHjVH5bgTTXLYRYZ
HWTEV8KT8CpfwYfwrTCyb8iDPCOcW7JIsfSbYsgy4zFcyiLH2JJlyFMhD4XoQyDiQLPstMwrDBeK
t+iX4VpHhSCEofMSO1YWkVnQIiNhoWg/zOHeJISHMXPzmOe/kpbJ08+Z0eUz2If5s/OyhQncW8JY
MoA4lk3GVqZ1mmUwvDALZ1iQ8YxuaJL5z8o4pKX0OzHe4xWhErw9nsNPL4OsTfH8fElCmJW26I62
adWd4auSEfMF7J6XtA7T2nTHkjAs8eTlsW8ksu4u/xN//wiJMM0/vyEnthzpJJSHLOAhPAixiJN5
YBcqsEfwUowhNMPDBdGwu6iZpULuIxHE0BwzGRepIQIGwvhJXRkTsi8O5+kgjd7KCTyEUh/J+BVZ
PDaCzwPTBJkG9GLSi8nPIB39jIKuMlH7iAJzVEwDHIdBEdFNmsuuIZ7nsHYBGuBtxidCJbBnM5GN
MEc84w/TZ8KIGVoE4qfoJpLgFXMSLYXAkwUrvAEjjvLvsNN+ZMeIuxESkCZp1DNHyMQg2irwTdEP
AjXiyULIOwrgSPSiPFhEUxORFQipyQ+AupehNUciQ1m7HX49ZBKz7MvijGxU6kHZpWszQQQdgtAT
1yiCmQY8T6YKhfGDkaZMdc4cUqaIOOdlrACRciLnGKM8Bz/GKYs3or//ON5YCl6mN3S0jMkzp0Xq
QjOMI0IV9IPCTH5Rw94UbBRhHzBsLJY0YGhsi8e2RPIRa1TYCP2TggoXUd9kwLQn+t3zZKB0g7dE
pchs0QbJwomKEYOy8XwG8lowR8ExbmRxUdDxiK1mzVgN+sB7KUtTRAMUDJEtCvkfZR6u54B9MKds
AqwBS7NrsiI8ucgYENsB9cgmIfOzRJg3w9M59YopHw9gec+bTgfeArUPAUXF1Esc3Ck4nxOHZR8F
AzaQzgcLpAMW/FRUFQYPLLcApkTTC3gTdyqNosWQiAP8rEHEEvBrYKZB7s5ZShYC5LdwUDyBDV3F
0DcCxwsGfMSK0V82ZNlpyBFUxPPoImCC8LbHnkF+DghJepBfC1QV8lMmxd5kNIXQzRLDHztjYAtc
b4msg+GY8MIYD/0y80wEaZJFHlJSlG0WFTQHDkRO8rIjCslDg/gIa4S4CNeh90cjo35E2jIcGVky
jpOMnhC+olr5EM8tH+Yh3Q3RamDuKJLn/02H/lOwHj5jOWuUUhZAWnTsX87TexwfP6/1GjoU5yQw
CsUgYEi0O6v3laNjnEIiZ+L610v4xVDoIjQbGvYruVm/L9ASLSAcLioXWchsEH/wiPwpcwFXVumX
cWCKFv3z+R9gJgIbsSlCWPr89lxKt/z5j9BF1le1fIJ2/fOoIDnEIRBb/G/jty6/qkDUc8j/GaKG
0XJjdLCzYKfZstIPE4fBssJsu/dWmQM2kf3hKT4GL8hQx8lCtguMudCZx7u+6FIkNOK9ZD8ZIKpq
zPYlSFtAac7+ZezfV42I7Qe+kB/s3IKXLfSpLIo8i+aBr2K08HexRF4yXBnnEEsSlcy/gSoCG5wF
lCWzpS0Igb+hDsAqpAa/oKWcBcpZVo1Jstgc2nxVL3jrV5AFbfpCSCwLTQteYMBfFQfy/7IDiqqM
RWBxzPLFzmgmUWtuaECWgv1EIQ4gRTQwuwL5CyAG8zKYPauH3HEEEnzRCN/RiPwOh4mD0pf/ZX5f
Yv/qLiaep/GMr1z5PObsJudcC18QMMX+wZRFQ7NMwDesJ7EAgHYsGXOnw+/C5nYhAAhNkudIJ/aM
wxjGjIzKh9K8CN9gLlgc0CzgGUFuI2H7tjsyAVSyBmZfmkA/yFyCCIAOhjWxwv6D3vH6oOgiuxgh
SFGZeGlZbAcBhtjzTMSNKGvgj4xCBg85oN/ReixbJsd0/cCLMAtlc8pwCJBJ+/Kk8AdyVbjJdUde
/mfqnoe5QSeit76qEtdngTSGSDL5G5GGfih0YMpo0VaZ0PMiG2iGzjvYkAAp1+UlUYSZU9hujI/O
YaoJGgXjgQWL6d9GNkI4CFfBEIwnHLPcCE9UMTsChAFMfHdjLjr/i674nk/QNTbKMSq8JEKnINoZ
RhQVNqL4S6xQOlq0EGwzR0+ICnHskYe4z9B0iDncC24O2PjOYIAOAAWIkSB6yP44c5QfFk4xBwxh
hQmAKFAIi0HEboEj+EQQLnqO/Ruhw0wMHV6XQyAEvgAz+Y27DAtHlIV8a7q520exBPN0NBLYjAXE
ZEa8BNSRDV/4v/h1/QTVxZB4TdCRtPBWEeRgCtph02XVPKwldNLU4+Cp6OOGc2VHZ7MvMpK9BauK
cb/SsmBgSwx5XJXgXMH08hnTmB01CyybfVbiThVPgFj96HqPPRIgwSzYBUFNoKKpyeZwPgwW6Y84
F+7bJtkpzJnlMRfZb4KjdAS9qa/7h/WAVs0B9AflZgOUE6oYgeLhR0L9swvym0mwGiAF2jBx8hSF
8FMqDiRIA9DIlAs4hPlhkMfwqBAF+KfIEJqQH0Q2jaaeMyhYqinQYBplmWC0BYbRr0OTX0Q1Rb3T
EoO2gQ00yv7h1IQqM1xhGQdXiV/F80RzEArgYSAm6IDdRPbQiWzouIG9XgBPCj31NuKvXyyyA86s
X4hDJNQCf8YvzLDA7zL+Fw3ZaP89+YEAYBQk9cCInucu1G+B1b8oSE5cn9UTwTwGx5wIspkLjozE
5wYXoyrxESDnRA6wS6JCEF5iF8AFfCrCUAAhugOInCOCkcXoAKQT9o24N2SCiEOWmgZxIKFHiQWA
UECQwhdIJRvHA+pTpLnYk8hEUAX/Mx5b3x4w6pB/6F2RZYFAQ8INQPY496UNGAlYJ6PG/4NqSCLk
DI+mtilwBb2AVOEDvvkdAmttJJ10D/W6AQgLvIhfgQ2FN/FeClNFyBSBUXQyNeFPALktAhJ0BtuI
FJCmxSLH+EKbAgohxURIEWAmfWL3JMwWrCMKbYguKUFSWt7wfWIQPC/xnaHzL7tJ7PY/uQz+spsE
V/0V7qzW3H9zvbKbY2waVoolzYaiqznPxxRDg8GbrAZgRcwoQQW4yYAHAD7ZbNhYVDh7PkNRx/Ec
sCPvQBoiXvHosdTCm1/7BJ9o+vUpiQLnXYOp0uTYB7OgAViDEsH9H+XF2/lXpUA+0AIEMcdHKG6m
vU7niIOcsYyBT7mLyizHOKBhG5C/F+HmLoEsgBp8Dd9f4XjmoqJyt5xZ1EHgHyLpmRsm8Rd/fKWR
nODglLL5FgOUaf8BA0xBVJgpmw6SYMvA5Wy/CG7iLew+FJ27gclfuKcwb4TKvxQllP4V51gWiE4a
QsQCtpGo/FMIFCcxOktUj/xGnPXxl33J9etFQiSj4UAdQYZcxisssAW/sMdBiI/vEkXI0FBSZqQX
BcwPYsKP9QuSE/TPHnLmJpILwxZOYPH+/Cc+Otx4GLAIVSAMj9ISfAKYQCkRWhJldgSo0om/YMii
P7IFYt/QgszDIYB+gfAajwceI8GyEJrhiAbohnNF4A/ACo8BNpGDL1yB3MK7GIhoBGDgL0TNOsIa
EQeR/JKRQwKlNV5EWY/4DEyZ7y8MQ+EM/oAAidbBOylrwONiEcSxIaCAkXxNl38JeyCr4f/xR5sb
XqhiTpFcopskvuqv/PEm3fXeJIRKYnTw1Qiz+vAK1O3mYGNIFR2a5qBZRE/JCsI0Y9xMkEJdh2DQ
MV4ZPocjIGy+gV5xQoExUuzNKLVhIFCFeOhoIk7Fx42EDAL5X3w7wgQ2n6fpiPiFeV+c43QgxIX6
sxkDAgX2xMUIpeA5FT9BkCCk4DqWfuFBkBHYDYWDFYyZB+X18W5Au/QlVChGL1RfmAJNkIcgIgxD
Zgq1AarFX/WH731POgEWIIxQ/0Bd2Th0qRiUQeRnyEE/0b9fVO0vWCfhcVDrOImwMzLvu18JyyBy
2/cdf0FkQQCLMosxNiYKTyh48d+NOlJn/mkTycEiBaZNeaze36KBWo/LqTu5PxFyiBxUClYkPC8w
mh8VYDd+MuyKP/+By3EOiphDNIk/WVhIDCOxcvj9x4wYiiCUEzEsh8XXjP7KcASSuNT4928mxEkr
TJ/3+DMGT4YxJ7zDMcYDphpSj2cMsfCYv8hTUYa+yC3P+fpHxYkavgkokidE3Pp4/oFdkePDIl/F
mtPWOASKcx7KHMZjcfyFJWMSIc0MxGOJp+HPpi2GCaFNfI878WtyzkS0imYWChbaMSEfwUFCQF+L
VfaGHUMRhZxJuvY8D/OZvCRKEjWOLOV1xLaw5Rd9wJC/zAS1LWo/nrHW8gTizQSgg7Ui3qNTSA8n
lMg3pNgM6hfbCzMCu0HaF4tZXLl/TERMxi+6BFjQJp5Oponng7dhFzBtigdUhiQffHU16uIrzIXI
kX0Q+fcX7YuhRes4bURXsRBi8YmEB6eD2FjfwAQ8MRsgQYr3pL9kswRRyGMAh6/8Fu1vE2DHu3An
fQK65VXprBB8BzT4+oVwH+FEkkMQsDTjg+1w5Zni8+HJ6def96PwMuEVF/8H8hpcIegQqcsURtgt
4otDVX0dkwX7b+LighTAGjwE55gjPHZw8C8jEKi6QQmy0jh7+MkTjuBRQIe4oxglh0ewLCLeQ5f/
d25rdv5ZZkrOFpX8CdL/e67Ap7VbbQ872I3AKftM3TwAfNJRSV37PZdr3LLKOL3EHWdlbYx9JCfp
tfxtborHaBs9smvIvdNJU5O0XTXPhDIsOaVHda/sw5jLZdQLNUFQj9p7XFyqqlEF/+/GqFlve6Od
0rLWYdnqJ73i7rysLhatmd4HVFok/GqrKoSNkNejqNtvXO2t07C4UkXtzTlVNsyLwS2cauP5uHVC
SvwZH+uUv6PDXl+JpiKibVSzNkEtv4ZHj8IJxF3ondk2q/5usGHM3HsqwaycmF/ctVk3uevD3lhr
v2Mx6gnFpSlWaL66dr1FvZHRjsrzixo3A+pP8VYtghQGj/luTmCBrvWjh76ZB3OStozn6Oi/jKct
4QtFnfPzs1NVzbDuNVSXcLSmtSfM4WNu4wNRrisby4E/bY7Js7NP3S9O9B0CSdJXuScSIjtau4SY
CLtKOMudCAWiH+dHZ8f1MYr67F57Rr0Zu1d0bMowqo1JlDeNRozkpi6DCjddmcu0ql50TAzNWXVc
ItrwQVFRypiwU1VW8UX2jloTgOTxN1e2q7fTYdO5r8SqKP+gy6VDkZoZRdv1Me4hrHbkXulk560t
Ts+ca3lzzlGLVWsYe2+rY0KUnsOPag/J8wi25tJ5Ry/3RGvHNaEUW7MTH9/m5edJalVT7ZK7Q8V0
7t5Ue6OqTka2dAkecLZWz+3qRTO5jrhHp1kenafXczbeJiRwI9yf1ZXG906PymAktAy5UqgaUt1x
2LY+5sR4pu8h4WXh5GVUh6sTFVdM7tzot4ItkRr1qbU39wDQhp1SVi6o1bnvzzwRjHyh1JBq3Wyq
5Lya5qYXXy7u4RRCOMe3urfUltVmQa2zvyufBJpZL6MWV3IuVe6ypMmHeqzzhn77XOxrry1WCTZa
zal8bHN7ut5NiWBI6lW1jB8W8VrEG1IUWlfTpQ/o5FZcigC5N1Z+ZTfibspmnBcvg4Kcbu2kKr+H
F3EHTf/stgnCurCxlFwoToM1ZwBULh6/orZFTYVzfLCPWcWgHk/GrdfcT9QsIRFjN3gMuEX1qjfJ
7W5UXO4QzerUl3Mr+QOS3ZjNUTWoBge9N8iWCrt65x0In3lWzLrXZn96zknY7BQ0ddO7jGtWFwqC
URDyF0tqt0NIbU6l1sTkJI34Tfhlp6duVgWe5L4N4x5NjLILU9+Ik/MfRgPGjbfmeGkQyPgNlIJl
CWRu+EJ3H2JVWkZ8Dq+0Xq7Nprf347a79c4wQUvVslWdcJv74jxse1fNxStAce/hn7X0uzLgdbW0
n8SWTWDxCuFGFZPbOsxHfjM+LhjuYNTyvcnNUGpHqOfLJb0C3v/5qEni7BArT6LX9nbV25p3TZwZ
YZstYtlmDb9hdVn/nm3DNsTk0JG+2kf9sdqaubqIu/yl44ezdg/Gxn2b/u9Zc1OCeckooI8MiAk2
RH7hh1jr+E6fE7uWn8uTdY42xdLkozehb5dgbx1HxB3uBzNim8idBbF3jB1hvNxoGdzVFklLxx8E
FYWz9cSTMMCHt7O6G0Kj1+XVQ/pacce4Mb0tQ70ae/OqsDFqxT09uXdGvvf2+jTaD8Kr7+/ii09S
MHXt3sPaD+Gvo8aaEkzGsu7Vya6Ml2e9ovyF0U1eV7N57K/e1iRB3H/u+khkJ5GsH/dWo2iEcd6b
1F1COxBaxpd17703J0T2mQ0JinnYDhTjIKnYvrV5dYiwJdCIkkgSkEjpP2fbNVZIcW6BIHrLeMWf
n/O0Gr4MSGU7bOVX6vKq3qcvl1IsjZPROajNhNLFxu1mNy5mJ29tVKXJ5SSqWVW9p4Yc11u9J3TN
4EKfrf3iYujhE11Ut6pVRnGzJxlSR2U3663qxmW4kSwC4rJrpvhnqLk89LoqexhDCiM7J96AmLGK
wFvZU59cRPsTJq8ZY8D1ZLYgbng0FL1yN1/9mkYOa2riWm+Txijza1X9sUTKIlwGG+IFq9LcgBxP
bjk5QqYfuz1uhCEFg19ESe9Uyk3XBP01L+pkQQWBaEMw6EdVloTN4mm18iUMcAje0TE667vdGHGF
M4Fq1E12qkRWkqbEYJCTFWg07ui4+dJbr6IOxnVnvlw4tjuvDm79j8Md1VZvq19BfX6MampetdIK
M/vd9NdONXzi3x4f3LVTc7pGeDPq0+rgh1JfBPne4qNuEyx10KT1xh2LkoTqbFfUKabyIMh1Y1WH
u4duJ8TvNaydboc1VFVVx2v7bjXsSULtE2pgWncHBWmnTQokEkqdjNueoISJHucty9mqmV9SJ35I
6RdNISG36t2CSXi06iOfnFzCCHfQec14Eh8MHRrpS1uH/O0tnW36ISz9ZaKQ9D66wl+UavM+OVWm
/R5hyBO7S/x0hVCts+vVzJPtVxFHXa+p6zahsmFd/y589osA4StqmthwYvrMpbE3oCPE18QezpCE
aqVrbBGH4/ydH4kr2OQ1ol+P0RAMQmA2N8V7hMVRyk3lt9+N1THhXsLw9/pok4EqQbnqZxk+8WCX
lMe2j16HmNkb8YlGneDapZNv4fer/rgIj3TX33tnu2pZq36FLJQ6uSecXh+s/kfvCalG4gcr/XKI
8Z2SXArKebCmnO8G46OeIc2CJwrxrBZsINRCQLb5dF62v8fqvblj6pUZZSd25yfnEqRbXTbU05vh
hrC5VAelv465EF7XxvEnWJsNzyX3mZN1GNNKuz8r4xjdjF3fJaT2abytmBuP6sOGUXclHPJjHb2b
yrfRxjqDyZIPlN2PAEHOvEJkccc+9O/DqpkCB3TNeQ/ZyKMmjNDiwpsDUcM9ar6ZuX0mbLODFAv7
68EurumtWyfYm/j7ZVA8g2NVTdf9nu4kVD1d923KgPsfAgy3uqmmN3tDeT4kNHVZ7cewd7Ee01W0
za8uRTUh5D0Vq63NtE35/5Per9Vucf85TBvEyJ6Ge1g9Igx8dEOf/FQIWia5mZoGvf7GvE13yuMK
RLCDtTa4ypmKBeozPZhP36v3FHUXziRSFO+qdZjoZtEAMayt6/bnQqnTvEdAZzoZbvqTEEIKJnYD
Z8Q5rCjiRbdXdrdJYGt30bWPKVcYFJeiPawPyV4YrB3yCDcn1Rltk4NRqSHYUcRds2EcE648vSmf
wkQIgCPZGBU138SIpvmkOAw38Ao3I4f1X0rczl+6GlNiYVmnuDqV9YhKXteJyL15m6gZH9Jq224Q
yogwjevOJ2z767iZbiCWHYL0YN6DJlUd86rDQ9PNcNs/2NRTGoKJ9WNYQ4we7H1u3hakUn80V4yU
DLl8Gs2aalIhQIpwcxGPvwY+EWR5sU8o9Bj6dzrcT+G11lSE1HWUjVs9WUisasMGvVGb6WL0BBo9
nSnX8cXH4aQ8jqhIENSQk1RnDVuz65mbzI1JXiHPX3PzD5zNrbjxdBJtx5PZIaLYa+tiTXphq2xE
L//dVA+/Ze6D+8/jrPUmrXdtahlMfrgO0U8nbPNr2Bpec65LgIaaVrS1e/bTeeZotrSHeWGe871x
m3bvisWsDC8jbisnsruo9/fjMxVzN7qy0ee3vVupY/imnMWsPX+bNeyYhm64Z7PSNBs/RA6T9dCB
jV9Isvp8QlUprvnm6gm1blk3Hg4o7eQcrsY67aG4Llx//bOPLgj68Z0Y+q15qhJon4OU40rUI8+O
GPuM6vH2yiKvjDoNPtdfRCuSCIiC5noBcxAA8KvhNW111aVfTjTrK0ZQmzxxEFdYNS9B3aRUv7o7
/h61W02gJdAVUpSqYFm9X0k+HoWVHCqKEfLLUt3VLsimVYDHyiKY1jn2j1mnv/xpTHvQQ1QH4pMT
8fCrRcPuIF27K7XcGNxfji5ZGaTGmh3049H6PI01l7dbu2kFqvzdRDWutx+0g5V0jAoJzjqugMLW
ZjvYRJPsGKDu9R0zs99BIGZb/z1kEc0HkoqkJizH83ziAuht4uztJUwcHWZ1imogJoEg2T59ZPfh
Sj/DFlr7YGwjbuXgOOxhfEgjdmt0+9bcemadYSugD4eUFFvwRpWV0QBOtsdXDNudtenDjKiLU3pS
rYBMGIVmL8h0KTrWbO/WJWXPz9fOK69ZZz3vqoZWa+R9k2h+8l6iXd1+mJfp4arsD8kNUT0g2SOu
YxK4G7iOpIaV8XOJuKKKpIX3z2lYdzt21a1arcXTeRtzqm8QwnQxd9HR6KfngEJcTQrcod9BWw0u
d7CeFDmoGp3h3X2EN32jUjtFyswK1i2ZNz+VwWV6ifZuDeD3MnZdo+OtoibXUlBojll+otewstil
HYp75Pu2+b573Z/Gxq0kzfi90w9qOlwMuH67MlrUNr44LSLxx5Xp0q727xvzwWVIV3XbZCeE4Iy6
fhcq31EYTD+o2sd9DVbd7shFEldz514CCuhxh1L49O4oiBr2+i7u6XybQOt6hUiCYrpGgM4Csp/t
9B40yNThfhnnMXyR4m2m3MKID2Fvp0c0wO2t5iCTC3Uxkm5NTeX0YdTTFKmp7biKER13N679uvFZ
UKEEsn1bzd9jWHNIiwra6gD82ZLoEE2ALlWranSJdeMUr+o8Wya6oO1XktNiX1cUu5gARNQeNUNh
5mGP2KibLlg7dE9XtdBrKxT+iUp/aeesdqTSbXX1xnVaXu+3VzRJ1ggvaZu8qDNVWqh7o54X910z
GjWv+nNfGtWTavefBLsf1D7cmlvnJvbGTt1ihjroaeVKTtbP1Lsan5SLGJwq0f2cp+7OLNduwa0V
B/+EFKhRttvcA5df9qShqhu7i+ah7uzB4dYZRZWdA4WqrhQg4WJttTzp3lXfX6q7Na/l8kIVDiXi
GePIqJHXsOuPb2DCyviC/AITnTSXmgAFH4b/JmXjHh5+H8HVPJHodbfTHtyzNdNTtsrOuj/GXknJ
LorJ0kRN10ZXPdmps8cFmMgk4aazrqxBhNcIq1vxtSTRwuxs9ZVvgayYQGSSIFa4b4A13pOAtEby
3cwWiWd3tuFOhpM3ARVB61aT7K/q+G5xs4Fe5l1KXkaHxSvh1vbl01mXHZA9qRezTtM9k5owajVd
iB2/w9Z4D1pVVafGiLWZWM/wdAKdfdz2BxwFDF1P4d2i5y4tJJWFJa+TcGeMcVQgFD/YFvuoiUkH
LFya63TtgOPdjnXJtyFpTJKJRQai3wpxw+Flg4sp842ViiwiegtUiLAzjx6qQx3LF7GWgi1FtadX
tEDHIkGJmiZqwsqSH4Rb62rjFvE5cJdX4vrvWoPFMYAeitgTckCtrbHgfj7NjbKSl/PRxU5Nj4Au
04N27m5PH1l1WGNlULBdBxuwwSTeMtWGWs/bJKJxtbZ++BZKx62pH7YOu2TW6Vl7Z52I2QI6tCQz
cAVWfpIuAJpEqZQtf4/ArIOWgGNGmr8BotvBUWO1bk23gYCrkXUnYL6tlx6mbww8tK6A8i0Ikvdm
Tb3Qv7PhytvZV6bXIKccLuW/eyqrUnMA1hf3TC4WaT6AdyNfOvizquTQnGShrjaXsehk/CKBbEmy
zsa+spTgPlhKiKrrcgcSV8Orc7KjPUxwVXN6YE2Sssy1Zx5tJgUkX+GvuDqr5G2P1+barvmXWSPy
ANQmF/rqchW/G6qFmX6xu84VmXDUP/twaWP+rs4qA1NSXROPXFdk/dK9G9N1sOyv2YIrdMxp9AGx
07KxDFoJnwYf9I63tjHPyFtq2Dvt9cTk4tyWIjbGSc+f7NRK0s3Fql4Gb+OnpqkFK9l44VK/vJv/
8j7abhAk0QxXPd2ar3xyR0n3465kp2J0rdawtrhalJ1zP0mNLm8InabqJM8+yXHDHbXo43e8Ezj8
xhD9mVSN+11198GqWdbIHkrJkmZpKPOcHPG1tD20irHljNqBvGPIMO04y4S7VUlJjKn7YgaAHrZw
q5pmbQREaox8cZC57w1QpQ27v5Cbe90bvA0KTv948xqLeYi43HLY0sviSf2AXrHHK7YiTpOC0N4d
K/CNLciNjx6qK90NT4DTvbu2f3Yky/8sDSTqjisiAOaybMyNNQOYyFZMQBc93UuvUMHYKkmcE2Ej
zidwZSl2iRh6OExVyvnyz3FO0ixYeqfyh7uKx8QYhzGbcPMxVsTy2nRJm+2YFawkkhQdtInfdc8e
fJzco7tE1WC0KiwpXFv5PgybxRgeUHm7j79j1udEfWtWJQsNr2H5cd7mLr7rm8/1nuo0O2DBuW0c
XSyS9SCVmyDIlwLYMX0bxxUXJLL4+NFMSlrhmqInlBykjHbwRh+PjDSc+ncrFpxmt6wKEiNYGVWS
hU+6qJjlxuClDYJhY4UgKpERbEU7OFkTo7FXjWQABvuhCLlKdRb8LE1u/WQtHk4dcbACD/LF2jxZ
P3mdVWxD5ogU/EzH6S6o8r6KMaS3imvOtV+xYox8xOne7MFxIgIbFnzAcq9MLBnS9nn3hf8Ag5Uj
BtOvpx/Jo7ra8M64S/p5T+WSGf4iO5SW8P6Z5RFj7WyTuawa5O0e7bXdRIhu9cFfeweOKsggZhFw
C+gQPaNjXC4E27GLuPQgTkpxqXhiBJskatJyT7x3+cl9OJ2QQjN487ZkUXMP6yBuJshuVXUxOBgo
7hAWGtyuT7iksSz9NtnYKzLBI5x3eu1f0XMpUWN3WHqLf/+BuB4jvFGBcde4GhSqIbzYzic5G2g3
IhAr5wyUwlLRxR49gCIfb2vX85p9J1CGe8Hg4Ic+4xCu5y9EYBd3btA0CMV+C1xEarnX4o5L5aAW
b1U0ypdHVQ5m12TWABEWKMNCuuG9Nm6aYso5lEKK6dEd3I0l5SXuwTXIPt6yjxcHhyP0AjzkH2SD
mk2jYV/ralFX94Av9SqBGxMgWnCwV/NDsIVpmB43Z+Exq2QQJPzmY9hSfgETSU07eILrxMuvcLw0
OZKxK31cb8nZZE1jbnfGIRd2cL84FyNawSsTleBC/ji4t1fext4y+YbyKLYA2mt6d28/4gyjOISy
iiSWG09UIAb5/OpShhZKtPHd4KvBVCatOwJR4VKvke5fX6qnv7Vw0HlLvc9e8898W7y57kjfe862
YWxwr6z1BvVOZ+0xN8Z8cHCQVs9e3VQnPPkfAvrutHdyQH7oNi5HBmXAWEZaXkQt21g7l1G0RM7U
AP1vAa66p0eUE+CEhh3e67kXINNZooB7YaDF4sA+vQ0MF/2TBV0spKWBruE/FNybXGUSLJO2WScm
kNMkC7RDnWjUwtptpU32cGL1jOkuNGvl23AfotjcK7piAwmnqHT7RVHlF5t4ZZPQFWSJ4/mA+Nfc
F4CIHBRU2TYpiAQ3Snoo71tkQpL0jBOZ2Lc9yHpClQ3WFvmpnKP5sk6un1XXigrEFiXFkBzejfou
ZGTCJUnP2eGg3+nwje+NR1xq+bkTUCPnTV1ykhmNwdljM92hHjkywHN3l369n6peOtnOJc1VL6YZ
h2dWA37gVKZq1yyXyxZ+esaZtGLuXAetoQlwZFiHaIX3bOVmpwg3Y4PUTEx2UntJ1HNq1hDX5BZG
fuP/7yFMz0cDu+kwwILGiWrL+i6tU9AzOBm4qX3TOVqH5MHhlfkyX1MYxYFSf2pkqXLqgwuxpf2q
9oF/xttuGW/I4gYEObobdYULmkJ5o4O6RCuv6+w4vHjph3nj7mpMPrKa6wo263JqQrUmFBqpqyzt
I+J2Awdy2OmB+EAPdgWCx1GyqGnOejhL2ma1eKejlt3pj6fZxu65m7BuAw37cs7k7bmaViGgCizA
XlazOu5+tM4qztV5WF37VRzst/Y/B92GXcAVi//l7lyWE1e2NPwqxBl1D9gHiXtEnxNhQNzBF4xd
uyYOYVQgIyRbFzCc6Ih+jR73qAc96zfYb9JP0l+CVUUKynZZeXbt2BNXGFOp1Mp1Xyv/RZXw+ksF
hY9bNN90N3azRDaxY4X4FbjpzEOoDZ8xIbgnn8kx8OZVBHjTY0QfnVwVSGs3CVpqd59FJMAp1O+I
BnpVxgChmaOG014NZvPaNEu574EczpPRXY6o7dUXTQYuoJaeEHnySQYVxx7Z5PrYH8zHSHkrajOn
kSvdOBIUS1rzS25vP3Gm9HYYly5ndtn2cfG4PhXULt3Ww4BBSWN0OU1K2Epsxjmgoe0pEWbtrrcy
zAr6ozR0O3iG7TxzP0jwU0aNGEGMwLmtT4hmrTRcodP8AUqIoinqs3753My1pzmABsArwucIOoXb
TctvfeL6LyeysnINj82SFKk9cecX+JCB16FkMeYNGzeb9ifqC/XepgcQcJWe0Fx9lCUPvTHWl9vm
Zbk/w5mhRseGZ+27C60HcOXofN4p4Nze5ug70+vr3rpb4e42M5rwDtb4mxW0p8gb4swNshTryoCi
MCqk1nvoBxsujOfqbVHmeG6yRebAG0sOF0hwfKWLoHbz1HsAD0QgJwjUpeKvS6Yz8tIFuHiGjMM2
G2pjwYpUGjWL9UjP0VhzBxs4pOFX8IR3TUMraUq70SNl1XloXwzdFhW8HoMwhhu0MdBCQ0bNgtRZ
G+CieG2dUidcyTB5Koz4y/WRQBd6aK2p3dBjYI+ejLvhtmwUyrVFpeYOxpuw9gwYUbFTfWw63cpz
s5Ctr0NDPydJC0RL76mxAkBDhEeF2q+GVu1TbG2Il3owPL8VIvb+Z4S0seKgnEGpNZ/VkWx+ItZU
eNvOeJMjz6rjoZApsAjJ3Zvrfv75Ek2JElqv6z6VCqAlHwm8nm4emvrTQLvyHaIw74YUUvm8oPf6
YWmwMCOP1GKt6FGGubGphzoL9DqdpfhRjVBo1hLh88J4KF2V8CuNBcGWhp4u1F1upTfISFEXda9I
FXNNnsMC7/PT/Iq8CSXeTg78h2yX8hKbIZU69IeaFY24hLZph4uGA1LJLqSwzx+6haBeahVuffyQ
bnTrGItGZadP/Mvwcnk+pcTX5DjmXbdL/0+ZcvwCJQdjjMMWXWQ5ovY7ODiHcHOHn9YDKkcFsLqW
zdt1u0jGsutdh3VAoWi3ssGMuRuAQYDvDhANw9w7Thu10O8Gt/MuM+a79rnTKvTs5qyemwzxVgY3
N9vmA4eDXiOF43TXuHJa0+1T6+yUqVI6HTA9Js80SjwBnAPSk+F2/Cac3YbgtdLl7KZEswDQKI/G
Uy/Q6iiUytXa68zR0HnzDtD7+2ejerHFjD11qDYZ9BfkMKqzT2tuBFMcDM5nbi2YZBtjDcyPNWVx
v2mThG6hyMaaEZ0vz8vrGlXDqBcYD16TDI0zq2+tJYA0VLobDy16Ls7XPX6OKldLNMsWrfcwDsfC
kcEAceGnP2ui08aFQa59V3OB/+gyWL0JtDdab7xgPketSqrQeKQQvQakKdt3xlGu5nbn3UKPWWGX
pJXQ7jmk1KUuP+8j7jXty9YnRxpR/AqJPR/wh5yBqI5hPPwbxsu1STK3Krf2tNBfnj8J6I+tUXPa
Qunkm0IzC6CKBUJnX2iGRmtq8ZzROVdV0clA9g7X+dng0xxqpdQq/upbc87L8i/XlB9xyX7d9Laf
V1Ryr7fk2BpP/e2Nh832L6sXhMuNAKAJYfKyF2gJ6petMcqzf7lsTOluwFN1e1msf6lXJhO0gQfc
sejB2WKUcny/c0e1MGpzMti+K8qoesMdApeRnWbbs8bqHn8gi8cjopBa97ER9ObC+tNbUMIpmFLW
7YaN0V09265c3hnZBkX5yOpFvTEKHQcfg2tQVI8INrLnHobaIRuDN9d4yr1xv7tyfLubVtQKoHxl
mu5pRhWtqgeN9zMt8DcFOwRKQONq9KdVk5QX1sPFp3hs0NHCYRA4tvI9l4yk08OpIj55QgtUMVM0
uLSrwwIwLxGZakZ6YBOLVyTwhR+xbBI02U1K02UQ83CEqa4ibqhR0bNYhS+d+q1TA1Oi2iB+BE1t
2qZNDl/79d4xrXR8uUB+x0Sn5oZp9oUCiPcgaIkoZTlDv4EKNNQmdxd+BRMsmoxyBoXL22jAbCNH
JHaIy56uCmNxP2Tbtgm3NCCWUN+k7inh8emCApaogpByawkntkW3LB16Lfpw6XAH9Sgki1eGZhYp
E670VmoXmwcC96i5rWdb2S6p9srFuhGggcJWMFo2cOc5ZqEwl3QCIK5Nd7Bu3w3vsOj9W5q9cFXW
NCYAgobC/jI3AJJu61fzAZAyWchZpaltDF4M/xnp6SxxSApNvVlo5mrUOUk4l9AGG1I36FfRp7Vs
FOtjjHODFM/GYx4aQcxyUrnakf+H8DbfAXD7T4CtfdliwwxNwxWzSi8jy99cWUHkhEEMVi/+euHZ
bnjtfexLry/0MiKPXhLrb38xp0sm+dpB6Nv3oQS+WRQwjhIS7m5Puw2/toRj8l7RlLXzZWZSFEoM
tMwxRIQRUPSUO547e/lzVtOqjJ8A+78KbD+I73kwRXjgAY2+R4XXX3BPzte/89obWLuT2Y0QZMQw
m05FhQLwpGJaARpNZ5YAMKUyFcrFX8DDB8miqO8Hxu7J/vtT4d6L3FAw48z2pLm3Wgnt9B4aJFb4
xgl6HhpowKKCigwGTD6HSpc4Iaf/UgSMNcZ21fn7T+GExBsccEKBY0tFg3yVV+TehcYYSq3IFBea
9w9pUK0yT5g5Awx2KRcqjFj4WXzwXZWgA7yLrX4PFRJrHHBC8RemfQgg62oprzHz4pgK1VKlWhbo
64UCIyP2rPf7S0PiDb5xAufHYJF0VCjkGGLC2zFYJM+lG+RC5oVKlRnSCAroNvyT1yt7JfQHogIo
WMIvS8ULeQ1Uc6a56yDXVpkOCG8lBCLPhwgDU1hye8X5U5TC91kBuOe0NCj8gtJDsphZArQ7bykT
QdO0Xxi9VQJZGt0Jwu8P2Mh3sMtXnwP0X2dqCMNnW8Epp+R7X4jN7PHfX0yssKOMjCznvuJr774q
3I/90/eiJX7/+73HDlw+2DkBB3/4N+YJHPzq3Vum+8Z3JFUeHH35hTiHezn8yDgkxcl3jD9s2xZN
HfdzSsnCoXt566G5xAM6+4JbZR66VWWhQb+9yd/+8vWVDxjp1SXdkKeFiWVRJDBOqnUDW9ooyB8p
VzQi33u04l0JNhAjxtBkabY59PxwnjlbWknC6nkA+dKtfRbhBptOgg7lXCUlIUZedHrPGMAq9u37
9DjFkV8d5GOJkx3fH//7y072nq8gZ8zjh1IiS6IkZUdC9sp3f5JE1k3XnEqMLpD65ROIDt3grxbu
NaFs+ZblOqY7jZcSJKxyxTztwgPr2b6XpvHunPG0y45MosvMBZrLtzJsOzOwnyIL4xvveMcCwvdK
+6Sxa4fWNDMKzdAK4uV2qwuHOu3qdRZAYk/qA+T2SNVG306WzbzraAGTticTzE28W7F5LUc0W6mQ
1PnuG+zX/4kCvHv/tAJ8uP8Xi334kaHEStJiZm8lQ6Gr4A0vCM3MVcJQFhWsbDiZkemszKnnxwwg
mKL8Gru9k9taEXKyNB1JQx2b9gM+fufCbc+dRr4piaCmQsCHENg3Z5G0Y+1V0Xvnli9Q1Ut52eqb
JD7Fnb+PxWR8o5beYh7u/58ncObcxwIcMq+Yg/ZdXfbOA6tvHv1I4jARzaRdtWVuTeyHbz/Ga+01
8JusgPMx41LvK+55h1ZwaVFNgcXrBL5pOfKyCojLXp+kRQXobVradj1/miCBroAEvWht2mG8vd1x
5RUs27cmpiv7KDjQ8WOEtIhw6sd14/kyQYOSAiNxSRJfMg+aSPilPbCRGU3tzJlvThJRisiopl58
4ydW1RUI2YsHKPacMZa2f+QIqjD2t1YQZmqmu4ipIJiOdHv868eZ41draUlKQhcVgbSkbnlEC5m2
Zc/moaQxCzrTa9Ovfx25k0wnECGJtDwmX9PKohCT9g3OJlFmEAVmvNJeKe9WV8A0/7gyRsbVjdH4
94w4Wst3M6MkdzLqnKwhI80Zh5gTmWSRS379tQ6tq/Hiu/4+3sE+9ZHWHf/jxdNnDjpZ1hoKNP2Z
i2/tS7xF3vP1s33b3O/yO/JeNQWanvBlZkfLeH87zaNAwGpeAGF30Xnb8rfWzFvZrkQSUSVLSxM2
byactuO8X/QtbH6nK1iLnBmBs7TdvILtNix3afqSllehjjs+ZJCzNyUFDGcEoZcQDtLgqc+MRqn7
uUzbsgLaNu2jFNbbGvVtqWuavmedskXH6dof57MmHvy9FZNUiF5FgUS37AlZpYT/VlVwci26PdzA
2hxu+O2Y9m0atywfH1ZeVgUdSGvK1K0qkIq679EiIqkGTVRU06qyduSicyQiaDkFvlTn/kg54HCk
328HaAN5t5oCKnQtP8Fgmp5Pv9ku7urA3MiuMEX69Cv3zXCV4IaCAur27XAeJV0TKu7pNzxyvJW5
SG5ZAY37Nno9tFz83URyRpSZ04pHP3q2lhMv8mfxWjuXvfCm0/y2+hl4zhSaSOsWFUQBA881E9WP
ogIRGQjdLm22pOD0hlY4t/zjiKuswB+m6rk2ZV2hwjQz2Cvh9WgqQsMLarTRzJRzYCqqYVceVk4W
PDrn4pP8eIwvJNpKLqwpYODRTmv6tiuV8HQVUcfoMZHB1VWkcEcrk4DOn8Y03QUzugoSr62pbDx0
FQnM0doOt3upk7esQKDHC5Ekl5xLerbix3yc214SYj3bnU09OWw8bg75cZf4BufqHr6r04wSb3Z3
jEUFNEEjY6CsmS8ztIqoZmT5yaRmWQG1SYJZGe8LzouUxQPpWkWme9+OMjDvrWky0gN9WYU/1/MC
byVRu1rVCrRIxmf7PUb8ebku0eP0Z8x0zWg6kvwGBSHWmTvDCMdnKeT0zYN92x8DcihYUz09XFZT
sS5GUpIiXYE3Vov8yJ3ah3sVFwHSurv1uSlZMRWa+8p6jCaOfS/0Cc5eps5lBkk0CwpU7G7RzL80
rur/GlNBsIWSdhmaEn1PrqAVFPBF3Vt6vhccbreowGf42t2z66J0MzH5pecoiIwYe2xlbix/Ktn6
ooLAqPFgE3GFEnOXFPiVxmzzGB6SoaRgs8YTzSceKs7JtCIcH0l9iNsIaUXS8O3Ql5dVYeGNcG57
j7JmLisQxGskvGUuE05JRUE41zInshBWFBxfa57Q+G+7CG9bkmNGoPUtPSfUf/vf0MpM/+8//rOz
8mxfkjtuhaV/QM9yNxL/nuhm/nHXum9Pki6ApsJl71uBF84lS4KLl54K7DdBhYICyzqggXZmBrR9
xTsU9klTYUjIMHphKLODkrCFjrq1pIW1ogL6kkhKLKpAjgeY0vtk1kuBSAzMCP2bzJ9wKS8+xe8F
Em9riYG3FXqSFuJ4rR1HqCihDW28bmlVFap9t6psMTQVJbS9ugSlKgjMSNr1cZ//j6ufK3x6uXdd
zykIQV6uJxxdVdFVFE9GIlsgpwJ1FcWTkehdNzN9y0tkaDQFln9EnjF5DURFa+AoSnTb6Sps3bUn
ByEM6YpZ7+MiPfrtv7wMd+R/++9dB8KF/9v/uPe2fJ1HzyugNZ1KdvLqkbgOmdbZvDZdUMJlGeea
XfqFx7MjKVRRryIMXtDfkWmageQI6CpqP9xGsxN+LDfz09PCIM3AhT3JCOoC6yLt6X0+8rt1FTWa
z/ZyYk7WkpnSVXR77nXosXyrKP7UbD9zjfsi1VOKbzfU/rwE4O424p8wA3jy6mXx7VsUP+8kdrc4
/4Qn8WVGtAtqiZzUV2COzqgmTUz7QV64mF6jnfn0EcvmSEGwQMvzzDGnVjCPdyg8bxUNH4ONKVrt
pGVVbHgeJQ9NgR2qkUK2JCuUV7DXOkbIm8pnpsLUj3w706dXXUpQqMgjcE1XTvqr8B24OTbL9MSP
0dnVITtoKoKPDp2+rpVwAAE9iB/0cQ+WleWj01SEBl3zUVYNmoo7Er2NP9tsk+oM1Iv0ZNhXKHte
IvHKdNj0a++9nhNrKxDpHte+FvNjkiiQ674p1yo0FfUmasCmdyQiRQVUpuZOjTDByyq8d9JXU3sl
X8vWSgpsHQubm6RMqyhRDK1HOZegCTyUtMHGhelTwHdO9ShrFSXrL45cFaZsK9g4oC324yO1miBe
bGf+cwq4bkR7ivmI2pBW1hRwx/XctJN9Z7quQK6vzQf7mNK6iiL1tWmTfJNIocLDuCboF25hUs3p
KjTSeDuxTpBDRcPnjW2FXM6W6KFC1XVCmgEeXwTxcHUwsnIKOKQXuWYwJ57eX42TnlAGiyr+4ONe
x+iRC47O5pQuEViCCgRzYE+ntDQZZhDG2xVCv79+/n1diIZ4F97FaG4vPFz0EyQCY6hcVpFC29kH
M9OjIOFQAwwW5kYgNUxnkrIBwKKUV1EGu7ZpT8hSZJMrS2W9Ws3nVJy5hS+/iOIz/2vDNr0NYY6d
uaSzxZTSedUy8HcqShgNbzH1Mn8lM7Qg+rNloIRquVQAYS/mj4+zc8+MbN+W7ltpOS6RlgWKZXq7
m3Xs7D1XmbJBEMXr7UpH+2coKNHRgTs7sbICXdI3H8N5whvZb/tNl+Hn5YO+AtekzQkdvoJgL6Dc
Dj8ylADDnPnRxJROL/7l4xx9xs5AK9lVNWqmP6EkEy+6853iX9I8YRbZjtzUp8JvErsFc0Zy9VR0
mIo+l5o5B2tFWlpFXDs0Vyal0BO2REX4WTc33AeI1W58cHtjGP/28WOsJ3hPRcNAwwNtOYFIpMLr
iNc93SOnIqQD4SwJnKbiqkiTZe/nTKslh+l4kVxfVFEzbwNEIiUGgQpIzxtdhCVxjOC5pl/3hRwD
0xdVtWQ/hYqeStHAH4jSueQ8aiqQMi643Bp6AnFL8nj0nIpydJjp2WEY7NT20FrZsqpSERvsMfGY
USxnWnQlKpYrQPbUnO62f+1NzETFXsU9ShFL7ulThze94JReBGE8PZOOwsyNza1rEASphO8aoffa
4SgPoaLbrEbTkh3MeaQ/s08qe12FXIxHrz5BAQszJs1MtDrqKiDj6sC6kXqMz3XnxKgIMEam7HsB
xBw/4+NGdS9kRkTCI7QjWYhVNGDt18dToj3fsZabeMeCKkUlfUchN4l87kAdrpzPVVVkNxGsveaX
1tbKf+gC8w4eN200QYvht2ASFOjoG+DIT8KJPYkF/PaV0FMx0CuRkULA3j2W8J/wIPyZYA25rqki
j1ajppIAHlBxI7Dmm1u5VUdFO16dTL+UHFORF6t7jpe83qAii2vc487L2Khigsg3Cf8YTN/eORZ3
UxIXHVQ0WTVNZyGKEqe8prICp6kV0U8hZRrIo6WnyYgUKol4iTU0FcA6oiZGmkQyoFqlmH7HF5Yv
p/pU3H0Z+1Fys7oKCbmhe3kLMLZ0cPrbNx0+aAZO/Td5FoP4xr1jmf7f/x8AAP//</cx:binary>
              </cx:geoCache>
            </cx:geography>
          </cx:layoutPr>
          <cx:valueColors>
            <cx:minColor>
              <a:schemeClr val="accent2"/>
            </cx:minColor>
            <cx:maxColor>
              <a:srgbClr val="FF9966"/>
            </cx:maxColor>
          </cx:valueColors>
        </cx:series>
      </cx:plotAreaRegion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_xlchart.v5.9</cx:f>
        <cx:nf>_xlchart.v5.8</cx:nf>
      </cx:strDim>
      <cx:numDim type="colorVal">
        <cx:f>_xlchart.v5.11</cx:f>
        <cx:nf>_xlchart.v5.10</cx:nf>
      </cx:numDim>
    </cx:data>
  </cx:chartData>
  <cx:chart>
    <cx:plotArea>
      <cx:plotAreaRegion>
        <cx:series layoutId="regionMap" uniqueId="{0E7F10CC-A22A-4263-89B3-E1E265A1DF29}">
          <cx:dataId val="0"/>
          <cx:layoutPr>
            <cx:geography cultureLanguage="cs-CZ" cultureRegion="CZ" attribution="Používá technologii Bing.">
              <cx:geoCache provider="{E9337A44-BEBE-4D9F-B70C-5C5E7DAFC167}">
                <cx:binary>1HrZkty2su2vKPR82cZEANyxfSI2xxp77pZaL4xWq02CBAkO4Phb5xPuj92sluUttXRs3zh+8H5h
VZEFEsiFzFy5kv98mv/xpJ8fuzdzpev+H0/zz29za5t//PRT/5Q/V4/9WaWeOtObX+zZk6l+Mr/8
op6ef/rUPU6qzn4iCLOfnvLHzj7Pb//rn3C37NkczNOjVaa+Gp675fq5H7Ttf+faDy+9efxUqTpU
ve3Uk8U/vz0fnkfz5vD8f/+7fvvmubbKLrdL8/zz22/++PbNT69v992j32iYnR0+wVjinrmCuJ7r
epxiyoR4+0abOvv1suN5Zx6XnsDEJYxhhviXZ58/VjD+T07qZUqPnz51z30PC3v5fDX4m1XAtcPb
N09mqO3JgBnY8ue3x+dZPZm3b1Rvgs9XAnNaw/H9y6J/+tb2//XPVyfADK/OfAXPa5v90aXv0Lmo
7WOnYHZ/FTIuOkOCcQ6WZ1ISiem3yEj3DM4KRjyJPFcgir88+zMyf2JCP0blt4GvELk4/w6R4LF+
/PT4PSLBv/4GiGy1VrVR/Rez/O+dhaEzTMAJMPcoxi6h7BUk3hlmkhMJVySngNmXZ3+G5M/M6MeY
/HvkK1C237vJXa3s86c3N/bRPsPiX3vL3c3fAJvz5+nNg+nKL/b5C7AhZx71CMUSwpkrXe8VNsI9
4wQhJl1CPOYR7H159q+B7E/M6MfY/Hstr7A5f/jOYf4TsAketfrFdLUCx/6rghkVZxDGuKCAAHYR
9cAzvk4zGHtnHAsiPOQSQRmVX579GZ0/N6cf4/P12FcIneLUqyTzn4AQJKePz09fLPS/9x2Xnp08
A3EXSxdgkmD9r9ER6EwISSEFMcFdTtwvj/4Mzh9P58fAfBn3CpSr4DtQ/tZ55vZ5foQ4+5e5Cj5j
nAqPSIQ8RCn5FgsgZBROCiYZpuhznPv86M9g/OFsfozFr8NeQXELzOo/0D/+1anV1H9l+GJnxKOE
eq5HXXTKLt+CgjE+45xx7DHmAm7iVfj6ExP6MSy/DXwFzL8+/GcCoz8+d/YvBMZ1z4CMEY8TsD64
xClvfB25MGZnLsYSEcg9lHoSWMHX3vKvP57Q/wDMl4GvgfG/A+ZvFbxeefOXkurr4PXNX/5/y0kK
LAxz4L+uBCJMEaSKb/BA5MxFgoM3ecylUNt8i8cfz+fHcHwZ983c/2YV46u5vSIafxUC1AMDU9eF
QoRiF6rD7wt6hCVFxMOQQxDjr3jwn57Wj4F4Nfz31/y3KE1eTfGLt/5VeHDY8ALKEpdgjjikB/qt
R3j8zOVcCswZRZBDXgssfzyfHwPxZdz/sLzXpv9rKvb/WV/5TYMKH+1j9CJefSWx/P7VlwWCqvZq
6DeM65tlfokp208/v8UcFKvfJLHTLb5JAKfAUf6m2vw24Pmxtz+/dSQ/EwRTwAdKesJeisbp+eUS
JJUzKkCa+cKawc9q09n857eUnAGcwoVKFBIPVDOQdHoznC6d0hGl4HRQigKbJiC3fVndpdFLZurf
TPHr7zf1UF0aVdv+57cuevum+fy300whkAInoRzBvsGMEHTKbs3T4zXokvBv/H86OmJV13l7NFVD
o2xi4Yi0va6G2V6XPfVpJy5zweYjE2r5fOC/faN0bQPXZk4wrWOylOfFuKqn3OFLQLg3XKyaop1H
szZGFun7iaV3mTZRaeXg+T1R5Ohike8tUcafqs7eSLeeLivmhnMjPL/SI4ro6Wlp03WbVbdjsA7l
uS579lzoeTvWS/NBqH7H63aPRN5VobuIPBnElPuZt/YXfERNbGZVB+r0Mx/m66+w/oEBMYK681sL
ugwAEoJDwvIop7BZvragmpTOS9uMB8XVOoSLNu1F7XR5OOSz3FjSV8c2bXp/oqL1KbLVZVqW63lV
KemPWTGEc6fycsd55vax/ETS/GOO8voyXUh16bFq3JVMJmWW40PD1RJ6aG4Ddfqp2GD8RhT1fmGj
2JcK6WBIW/oOtcoJrFh92xn93lEX0yKah5rUatuusouqqm2iwq1wQqwrfVESfDWOzrTR1lW+yfN2
b9uiOfRmyf21t5uBuM5hrdRyueR0vkQeyM7pTNaIOFNQLGb0HVqWV5ld5kSWZtzltKmPFMZHavL2
2UDQ0WHzHNZDN12/fFMNna7rJRmrVAa25eTealb6hGTe05TlkfC0yHyqqqgj67RLHSmCRhfuhUBV
vBbOuq/7xcTZuO6LUlS3L4dpwNuOFt6FYUPp21H0iQLj7/u1sOHQqOXDmGXbor1z0kY+MzkEppuV
8vO08wcy4V9W3V/KxbGP2k69344Lvh+VcoOZz1P4+zvne9eTFIQmiUB5BTXwu41DIAdbPGl8oGtD
UNBVqfWHluY3I7fFhV11nNqhmPyUeGrvmBR9pLPTBzqrhp3HZ9cfqnG8xTTDl2NBkpdfzMNtyIpx
DrO85r2PRsnv9EgeMBLF4iO9zD7TY9X5plLtfoxaVfDnsWmM73SY3Nr1AqlRBd3U0DvKu3FLUw8H
IxvJXdHKcTu1Lg4mG03E+GOudhi3nvQbLsReuc3TJCgWwerALSopTMhZvQTpsqJDKit8wOL+940o
XnufB30H0OOAj7igc0MK/Nb7SqoZaajb/Op9OOXudY2nLGzTlB1XjZojySsTWsPIMS+smhNL0zWe
lEDXgzN7gVK4SkRa4euXc+Lj3Ct7bTXEsGKtL1CbAUJEHEWHuyuXTOYSlxRcdZH5ozeW1ZaMnNyV
bi4CVpg2rOtihGhm3duOofeKLhqCgKeinDne5cQCqUR3lZ4OIKCtAbYr3KyWi+drFVhVVk/rWkJE
xcX1SBXaG2JYpKexuESl7P2x5fPlPK/dlixlF1KRNe+GQrthviiyKWseTJSi+65e/cFV6qPD6iFc
3aw6gCKwKVE2HrVjlq1T2OfsFGe8U5x5+Wbk+GxItmzN1Bx/Hyf2CicMbFGC1gAFFMYcjq+iJDYL
Zs5M8D7FXbtfuuWBTbb6RYjCl05ffiqmfPGlrNwbx/LZJ5kVfsm8Jgb0m3caNzooUrXsdSHNO9s5
W9IGZHTHi6nP+M26Tji0vRGxy8yFWjBCQWvzfSWc+txKduNiarYu94Hypg9tZqSfqnY5p7yZd3nG
qqDBGy7d9Jzjab14OeTSFAcP4Y0YBZwqB775A5tAZfl15sAI9DAQmqUUkIdPX77du7XK01nDs/ZK
f6oHqo48Q2Oge7aGrTQ86KybxRPN3ZvJjCqaR9zFE3OdCJvVJBA96J1r8nd511eX4IGL7+mhOeqV
0HdcRGVRf7KenDdOr81RGTebfdmM5iiHiW1Xwtc7zd0m9ka332FTtZcG9lxQ8ZI/Ld6DyFr90eVO
ETq9yhKnQ8ZXyJuO2oDT0NosH6uB+HObVR+ahpOo66ZxR13jXTmObfypd+ePpFrvqCP+IHIyELBe
G07AFuJIINASJTmRmq9IS70ah9fFYveYGX0xpwSCYT/rOsy0xR8X3Uq/p44TmnbOb7qSjQGE/srH
1OmvF0LTQDCTJe3c2WtPsHeTV9YhpV17vpSqCScxeXeVYtKXSz8Fq8snCCTUbFhbMl/OZeOXkq63
Vbvkce6U2aGDlBm5g1vEekZl1GbWBF5t54NXIciTXXEoT6CMg/Rzm413fLGLn7GeRitbsnAgPP34
+3uLQE3wykSeyzxoIQG7g1L6dVysalaPfT21ey7rMm6snK6l4AdjCucdmbTZWqtJSCY++e1cVaFn
ILWU65A+qR1lqPzUzUMTpB1SlzzLG4jz2Rw3XN9x0ieyo5n2O1aa3QJsZA1MVqD491fAfrACyI0Y
wroHHTNPQpX5Nch0aTQQkabaSwS8r7IiQvPYXtuKkLt09SKHFe21du2OM8+ea0/eluu0fJCZl4V6
oEvYcdjOXTGvVy2atI/1uD6yTBgf266+8mqtD0KKJlzbMsBD7XsVbc+JygJFyvry3wegLDKocCOi
HLsVRP+Qdsg5/0woRX+Hey/dekvehkuZ26QUKT3PhXZit6pW320bdp7Z4e73zUNPy/+KuGMXagBI
eBJUXqghoBz41jxtmnGZMTLv6mnCm9mZ+yu60DzRRM/+yL2gh6AR4pW7ges607EfaBPmWd9tJXIW
39pO3Hel6oLBFPbWqdM6NI4rw3Xqq4vSLTZGF/QTIfym0O3y6Ew1kLMqR+9rpYWvPG2T2qVThFPw
s65g71cxLDE8qdrOjamusKeSgYgD9jJ6V1eQtE6/SI4APclL//fNcVJ9vjUHY0xIeMHg1FyAeul0
/auQ4HCmqbf07Y47uJgTSK3Z+cLCanLc6yaf/F4uOfZ5XpaxkZP0sejM+bp2vxCBpT8hTQOt5i4Z
4LWHa10PUAL1JWQYJxBSNu+MofxTtS4kGIf8qVgaKf3BWe5Gzeo/2PgYyr7XS+ECSjuQuIDQEP4q
ujloAZRo3ezSYcJXjXqcEF0f5rq7oP2gkm7u3JtMzc6e1Tb3y9a6fplVWdDMUz0EqyTNlkO48vtK
HPmSuiIcamC6v29wjMlJV/hmolDTgmztgTABLobwy0K+snmvmjk1TjMmbqp9PdOwcL27ifvAqS/J
gje5PQ7mRqombhXedAKH3VoHqep8VurzkfBdvsy7FqvYIhNmtjkWIttQqf1itTcdbaL6lEfIHoYe
LMHn+Tycqy71m374YHJ6d5Hj/rFk7QXJ0m1O7LGY5LHCEFHtgXSrz1ufP0zNEJmSn2tS+mmbxUUt
31uGgWqpZK2yxI5pkqc+semhbvERtxcupJPOobvSTnEjnFhZE5Fx2uXijpZVsDCIGXi8XUkLO78C
Y4NrLI3aQCXmr3wNOyou9FgnJaVR2WXhVD57xUMhH6rljqpQpP5A9zrdus0mm6N2DuYbUQbF01L6
FQ9RdZ72C/C8C31pYLF5AXn3tnN/meTk50DU8zTJIMvk/VXnXMzs3vES7CWd9xE5N2lX+IPc03FX
2Crs8w3QiNINNdv0PCiaULiJnIyfzqMvMi+m0oZ9oMyyKWYAK4eiaibxvDrvxrbcIlaEqETbhsET
+n1Opk21oiuO2qRROnINvU65uR1desRLlTRM+x7bZqXYqGWIpkKNPqS8jRqLBIn+qtfrjqw91Kls
a5S4ZSr3xzX116aEym7ydd/Hzbjvcxu44kPmOJc5qWNRvW9SetR4TbxiuMoqFjYFi3oBIX3Q8gbN
fjPOG5eSTVfSwEWsAkZJzgdFY1UqP117IHeL75r3nmmCeavZ7Gf4A6Q3f0W575DLefV8nFV+k132
3X1Jaj/3et+yzBc53ExN77OljOR6oYt8w4b0kF+mWXafrfSQ5Yr5Uzn9ogdQOjz+UWXjNpPMdzIv
0tIGJJqH1PGZEfC0NeRdCqRg2C8LbJdsn9732TtZaZ+6u5nduc3FPAZAI8gdywLKHisnDxXNAmf5
NCwGdoeIvcz4ZeFGpdKBwe+HWoEmcjPSNvC09BcnolDfs1vbPZTzXeFtmuxDzy9HezvSUN5PmY57
C5npSjl5vKidtSAERLm3c7wusPk5IfusvWMrVBZpFU6eTYjYt5oFhbdd03hQOwHG1FDmpA/8wWQ7
Ri81foB80VW++TCWQW+SqY9t3foae4Hbd8CbTO4zdznNJa1saEUeKEdtqa4hVmShytewKT24eRWO
bud3qIlQ1/vc9peOIkkz3aMyPRdDGchnQm0yl2hTuktcECd4KcVSLyqs52dUbUrr7uATljiEY11H
+VCEYIaFmKRmNgJNK+pX+JeKoPcQIIeFrh62QJYC0HGScmSJBSI5oXlLYfuXKchVxZVp213djgm8
mRAUvI7mfgx4C8qSN2wdjSIxeqGTOX7ZFXtRIH/BR2Ab275ozmWNL3nKty0Z/LwbD70luzFDMbPs
JptNslQsORXtUwW5W6Pg5NqZU4dOkQW81v46HTCLB+wC1Y5kudXORZVfdUOUNUFjdibftDRZh2Rt
t0WfrMjvskOD/CzfEfCK9ZB7H6ZuDvRyT8onhfGO28Gvuybycp241AlHxk4a3nFe2jBP2y7ogOEs
1SiiBpxuP2sJxu6K+0rIMexxmj7UbpUobEhIp6U/ssU+63l2boHG4hjCjJ5cGpG2Auad86tKocEn
pfUhRZWJV41lvDYXhUznuNPAVyZHs2074iF01+5jaRZ9qTCfbrx52rYFlGBF7kJ8GFm6xZ6jQiSr
HUUdu27Khft9irazWsXWqaWJaJGjjVhz0DA9dacFGy5a4W2pJxI8ovZ9Jds57tOiTDrjldum62VI
nfEBpCgMmt2Fh9AQs6VvAiWdJG/dhIxe994CV956WHlhp7v+PeKj6y+tqI6oqsm9djP/5W+NHMVu
cQoJtAFGZXOFgkr1oLJYB6Q+MUOCWfYFye27qe7IoTLANUUx3dOZV1dmbscQyJu3nQkb3zNg1VM/
8btZruvRTAz7ukTT+8mbZTiTwWxB0zufEZ6v+z6Ll9x24TqMc0wV7Ip+zH490GKU8VwVx5fzZvWc
0kdZlsPG6olI5OICH+rnBC3Nlo2s2RVZsYB3uipwf7tT55Z+SwhYrC8/pGhBkXRSHKYSRKBuKFDE
s/LRkPnXZ74MfDm8nPv3z5dp/fvcwmVSZeDglhmj/VwhUJMr3gSZkzprRLWsd5l7KjKqCuqNyZRm
DURHT2myluHLJXW6/nLI6wpm8vK1tqf6xPR8CuZhKIJC0hoURO0kRNFz7tRJO6BYDzYyOo0Mo9ui
u+Jw8yqfdiN3QO7jPnZz3+I5Bo4N1UcWrakNy26OxqaIeAe+n9nziVBIrH1Y1G0wkCWoDY2Zmbao
JluHPAwIOBE+TkIkg4PPqxQYyOD6ckiGhSRp/qEgIERYFo9axwSj2G1ZzPLl1rR0O1UAQY39tWsg
cHrXvVl3ps+Tts4TOkLA8EiIli4xfbkz7KTRdgkYc9O3wAX65BSuDBNRi0hY4dHnjQgKVR5JZ6Ke
7bXMDwtR8UiLyBQcgmAfO5YlwimSftRhBvp7XaxHBKowNDlCEKAik/OEgf/qZfK7cvDX2k0wK5Oq
wImTsqRpvGgJVlZus4Z/aFy7ryYVe0MbNqMNcFEc19XZmtaBvOqEueKXDSsu+MwuFt75szcHwH0v
Fm/YjbbdVU59ZIjejGv32ELZ1XXv9AB5Kl3vM7F+dPXdIGwC7Pwg+j4ZJcyD4IvcsUejmkvFh21m
zudWJ1boF/CGUYYOBL6xIhuncA5TD1mjh3RDvGARIibL7TjruHL7EHoFkVtNcWVJtIwkwlkaecQN
msYJ0rHcdHLdge9fZMBVvLx87xXLjantBtd9glCSZ27ieZCRoeMwVbF+LpHdCfDZcmZJ3o+JSlFc
DvQgOhLnOkvQHOTS7kBc3Crd7AQENLdsokW2QCZl7PT1bspd2Km+43qJrpuoclBkPeXX1WFFQIdo
GxHyYNrCL9w1hro+ZEMXGol9RFE0jGMyGMfPlp1T09AlTrgsMpRo65lhR7I84emYiArFnqU710Bs
fj9hednyxh8B4QyZxAFf0HSO0VTcYJjghMCFbB8XpgIvS8isYqco92KRB+zoWOTQqmggNGCTgNjk
n5Y9zGtUy3sEDAObIvKGOoL3lyHXY2hJqJBbxx9PbFVOMZb9ntN5b7gT1mUbVGLedMPlKpu4LrzQ
ehAfgH+7/RASXUYqJ0G6sriBmm9yoO6FctbLnDgdYVsXHQgZSVdlkVgnsF655WUIkCYI+IvXosQh
y8GbW+Ca6Lolat+15jAqHfIaQrvyEgPkHhjqln0o23TD1+a4ZovfQqAULr6DymjLK7tPEY4HqSKI
09E6od06zzEnV83S7aZmjiwZw3b44AnhQ4EcLjyPvVScLyi/gYriPTL2ojH5XQVvrk/NBU/rZGQd
eLu5M3kXgti0QcwcsxGmPJJETDemVZuB1iHXVVI5TtJBtyxTy4YwAxQex4sFLd9CWHX9qUuDYhTB
uK7Qc7pyEISp3t1Wpxybo8RovXM7ErTDFI1LuZM0uza2Obj2nbOyQzGd96SKT/0etoq4ymCvUReI
j9zhodit4wKkhwceYhtI9slSLAeQnm5btib12uxGc8/nejsW63W2zk+ad1tvUPvKay8BoVFU8ZC6
oanptnHTLYUWEqC5zztx1eVRmkwlvszLLCHlDLB2CaPlUREeVmsWjbiIkAfKRf3xxPMJaTag+IaE
DUlaOpsV5HWk4hbib+Y5sSMhwjRj5CgWVVgnFRCkao7Hpo462cML1LCZxRW0AiLcOo+tl268Ve+5
k24J62Ouwf8N4AixedF9gGI7rL7WuU80282+TdtHaJs8tB3bmWE5DinZLmkNuWSn+RpAeonmKuj5
spfOBBGxT0SH/HVOfUe/p7BBqjroexFOUxF3YtmZiV7Uy0W+us/TdMPq4hKqVZ/19fWSu1sltzOn
Sb9etqw8NAvadmyKV+WGAn1EHd8s/bz1oANjaBWBgBC51k1aU0ZI9qEjR4hN11xkF2U97Kpm2kKf
OXT5cO2Kxl/IoWBQFGwUgc4Dg85BnELLJO0m4MRxx8ZNk2ZJVsEGhgaJZM2HLo0LRSJAPdC8gXIb
x/Nkwi6l/ujkAUdVUtciosYNRGqPrTdDa6qBUrXVR2/ODxahHWH0MHt5wKD5AfL3u3HM78qZ3uQM
yEpKmw2boCNzvgDxYKA38MLZtFVxC3zwirXsumQg0uvBN9419LwvXKT9aj7P0p2cIB/GxH5AGY14
c+BT5DkBzHguL2R3531Mp6sCylDsJl1xm5K90YlE/REpHpdcHZAyd46ornvcBLXQ0ENb9xCQtwrJ
HbPVe43Fp1FkD2yGxIqKXd7lsdbmcMp/czvsTlqDNkvQeHYjOEwmZ0fsiut6mPZzf9NA5HCiOquj
xjgBXnUwjhpqEXfT3zCn3xruhquzJGy1W3fS16KzoGtM2yEXkSPzW94/4GINnXHZEmu2CC2ggNhY
9WW4Chul7rhzG7utqgilUFvmfbCk6sLm9f1CxnPQ1mNnhH4DkUmXrru5usr6cVPND4Z6B7yajZPq
jUuyDUY6zgWPSq03LZBNQe/1bbdCbnfLUJJ9rU/Upaj8LDN3K+MX81TsG1cdZ2/wK+km5VRuxlQd
CyzPS3h0t87nGIocValodDdAJsMxh/SpQSGpyQZkmnN4S+EaWrDbLh+vG2e+bGy+kyjfiOs1DVhd
Hp1U5H5LUYyaNALhd1cjIGyLgp3nJU1bHXlZQnnu3DpOeswdvGlWu5FZvXFl7U9peutgeQ9vml1C
j+fazvxCteU5owUIyNwfVR0Vjr2qKu9Y0XyzUrszDQ8dnG1kUSTawZfNqV7uUJy666UmdtOK5TzD
9d2SrldlsR5o5WvHXoqC3cI7AAftAofTdMsmqIJacDAQqmQfDx7fTiK7HqblqKQ5SOJu1+4gR76b
HZlggzcobe+8yt7L9Elnk5/1oAZk/QXm4ThPSYXmva6zTS/mfQu7YJpRwEY3wGMJeX95R9d0U2rr
p1X90BTuuy5friqU3vXYXPcSuNcpUip0rKBmXAx6gEh57wGrc9s0rJwy5NBI8NL+ga/pZZYNW2zN
Bkp9Yvpd2ZorZPFe5r/oenpU8BbI2gyXfW0SNQKvyJsjJkXUtBs01eGYDZvMy28GaH+2hu3KrIBA
wHa4Fdfwngzcpbu3wpyTgUXQi/d1sbWMb6YWxUORXclKhuWizzvH2/UKX3VFH6SzGxVmOUC7zteo
vs7q/EOdix0Hqn/a4qjIPmg+bsthiPAkroeW/T86rqPZUR3M/iKqyIItwdm+vrm7N6qOAgkQAoQQ
v36O6Tfv1SxmowKZi68JXzhB5yU4OjOYg3U5x6k5N01zT0h8HtEULsu7i9SoO7XrcAaghD/Xjp16
BSzCp7mz5JGeCg+vV6q8XUDorvaHi+b+EXxXoz96nxyTkL2YaDxoSs5AkEdTX5ACUKUrgzDj80w6
QZGSr0MS7CbbX8Bhn+bQP2vbAJ2fZGZ5NjfV5zzWX0IRvBJG9o7hGdiip568NUl0Jrq+ysQ/jkFz
AcVznSNycUN6oqlzoHZv3TEni5PrxC1cbz8Hcdl5cZmqZU9+LtLfWROUE4nzmfNyEOuTZu6d4zVm
eEvXAPqI4Moq0K20y3rZ75t4PIKvetUuObMu2kUJvQrHL+vO7lj8KWNy6qtln05o8T+9cD3TRe1d
VPB+0pwadz05fn8b0uVZo5FFj5dzDrwu5ufULrcgQdTm+9pF0boC/ajXM9i4Dwfvm9GmcBTDe4US
0PFR50zHeGrAKngncemM3ZEoPgDD6Zo8QAqto51naGknhbemOqL3dYh3J5PJVa2RVvTVG7unVuAR
HtnZQgwig+DX3E1nUDcvAjDFKEgWUD+XtXsfU/cJouD3pvEQp83veSEIsCl0OM1BizJaPho3PDbt
+gTG7KrrGTgc7TNVqUPaNqVp5bOzJu+EkBdQgnfPODvriZcG7P4cHNrmtiwsmydxcrhB4w60ufUO
s50eSOYl7Ewp+jAjLWrtMTzF0XKe2/XFS/kTevFbw6pLqJejO3xf6uoy0/Crbe1bpP2fZPIPcWgP
ZqYX0YWHYNYnCVh2rvXZ2OjEvU9Hz3nSIojhB/QBeA8NARcfEamm87FP+zMJ2zPxe/AdSUEctQ81
QVrrLrxBTnDBSy9f4Al9XpLu69o5X2rN7g5lJbBVu4e2oATctSyot5ay/6OjpejtEwHoBr1vqVBM
KIS92qIGCvl+8mP0bvoGjXYBnVpBlXMY52ong99O+2cMVUFd96lB5Tbi0YuV2NXogwB1OGS/MLVf
6LjzfH0gCS2pm+xHFMGe45/Fswrld1WxY+JIPIUptEluIesPvINnBKi7r8dDLb2X2qD5EcnNtR2a
xxtkXsAjnZ1Ho5J03oGx5eAvwJA6pKIYJcY6X3jqHSLv+6LoExHtlU7jRRgUK3ZFT4amfgCA0gV6
1zpLnDuswn8WhYVmT84cABX9F1rZ0JA00sArtsltf8NJtt1t2KCb/3b12DeF10xLRjoIpP4P3KP+
BX62c4i0oD2dD8QFamz8ClDAWAGFILb1UGiCCZBj3QFWwNBTOWZO184Fd9Q/c9tW14Ig/3tgLULg
kDVLAKnPEK8Iu3YnxZxEZNrr0LEkywlFuDpNdaVOSgNPcscBqdkjeFAhxjl5y/DP0HPSgJXd9oEZ
PAqr//2cgqKHKHE5bFNhWvcnTXoc/d8h2+T2x/+c579TrOOis2FsxmK7Bhv4s12m1tggazuOiPy4
TJJMn0GX1jvXCbzTNnAZ0CxEhsyJ1wJ84rQFv+q1f7caKPxw6azKgPR/6sdFmx6XatvSj0vhzKw/
NhSl5gNh227Z9lW2m1UJZu5XE1IO5rxZgKDMviwAMuDabifo/McV/Xuux6mTiP+kBPh8xRRumepz
COTS4/D4xjWK2r9fu21tcwq+RuBLK6gw3qCTwCm2k/137DbHIZ6wf79m+4SPnKB1E6+jwOWfDG4P
DR/Xehr6YedYyPVmJ81Wbm9zP+57q3ba9jsC3Ij6095MARCHOjN/JvRJrVVlOs+5oyP0B94+HFXZ
Rm3JvWWvjS7dacnFYt+UTX84/ZV6pTcnGXsauN2ZuC7a+Q+UXvfAH9GVmVICE3cfuIKwN/tnomAA
1/Xo6vHccr2DA72ICBAgcfJYU5CZl7aPzqDAjmtLnr1BPoGd3QfHGkRoPXq4Md1drv65d6tzJLtr
M7hlNXV7J8i9IJ9HFNU2PlY63XWOPDDNTmykJX+kICFu8mx6dmgcPJXpIym6hSb+mfLlJoh6A5zy
J3J2hsrzvEBMoAf5CgnBSfe4b7rf1UF0GPYNr4tp5rmobV7NOnNwPZpa7kHEn4dhvUgUD27LD/6Y
nkLnK53j56BCBTv/elyGlcZl3IoCTyTUDMDoVlXSyS+Em+wgztubRKMw/j26w77iZ+BrBx6uu0BV
pdaXaEbV6NZF49CMRk0ReCx3UZzYsUXbxQ595OQ9Sg8BEWavRDGtLSiO8pfnqJ1Y0QPI9aIDUVRr
UhiGSs4me+URvPd8H06ihD4qC9MgS2a56wFlTsTumamKZHij6K4EH3cSJUyFr5id6GiT+IkH4Ob7
l4Asb267HkJRv03hDKi+KeyK3rbynrmqL4/OcWoCXCRc8jnMxdjVme9OL6zSmSdpSZZHAQnqZAWl
FU5FPJtDKIdsShtkDG8vAKX140N7ExUcFZAA0eoqJ19Jl7sszBsglKLrdhV+3ixV/hBOgrI5xM7n
6DpZFwAx0ywX1ZuXvHjoUeYuLUyQltUyF+2VH4EiZ27rZ03i59Y2iKKH2nkJTZihZyjq9lcdfYmb
P8EU5H6Cwn0ZCkqKUXS7eOp3s+sf+mDKnUYXNXRuVAF87mcU66p0TVvWgTyr2BTQEBVEPUvdQNts
sgd9Gq8MfTPPF6mylUCwammW4Je5WhSS9WffD45kiUvVokMUuuiiuDT0BpawIkAyxXTvqPpad+l+
xJdxOpd1SspQRN9XCfLjoQhPVMapnxEqCncVRY2UwgDp6fW7AtxEwH3FECF4ThZMCdS0/Y7xN2AI
TlUXIgVzGYOAZmnmmBAgQgOceShYumQ6BC/uRBCatkAY18zTU94uCwSr9kQq8gPNG6Rozl6x/oPU
pNQJO0UzWILeh76zydPJyR0Eaw86QEcvD6ks0OMpV8QvOIsKsee/LK9AF1x9lpQNXcu+0iApr0kl
Su7iZkUDMDmofyLIAOSlZqIw1EeKNvvOprs1pnfwcWUw4fVJUNgY/Ah+gSLzkDhsX6XAKSHMFFC/
TuiQ9PwTjpnMDqysgIAG/XAK0vRUcTcXSZuTadynoFnIHBVWA7iiawE5rOAl4WqXDv5hsVXeqqGI
DJ42yCTECkkuGIrRRDtjaQ5crphbBYTgt6t/tJ7OEnz1jMumm2MbnthSF57lIEDcogESOrH+UHOR
E6EPaz0dhx51CNE5o3/sEGat5wI5i7K6wz2FrQCCh/Vpte1BiimnoSgJGOXFqy6psOUIrDiMUEYh
HnPgRU3zR9P+ZQH5mKjpUKGf0HQ8zSMK7uDsNxCgAMas2ubUd+mNkS/BUhUydPBW9QdKP6K2B4FP
dj1IvQqK3AYpI5rjjBpwnk64S6BZkaTbh8QpHITKMQ2hc/ez1JlhHmiPFM2LatI9OuwTs3Kf9D9b
A7V7kGZajw9tTwaNqValNQBO2vMUuW+VGwH3dk9KJbsQVKpe2MkbJ9S6T5RHzx4BG6H61zEWFrDU
eDYqyGwCsvjcAr0Sa7pnVJVihZSw/pButHPSqew5sG8ET5qKg6dVPvdQpKt7uAx53475XLeg7m3u
pU3up6YESIOYK/ME/3u8okhpnTKOkrON53xAZ+kBECR63LcIvE0V4BlI9ivUsDUoH2Pc3EpWdORJ
ow9VLM6Dmj8rRPo6rgAbuMXsJzfFgzJdU0CgIdqA/tBA+ZOOJCdW5vEKzfgINMZnQDC9Z6eO9pX2
j8tE/1TjsbKvQT+v+UgeBFR00lXwEQVT2c7sGOJK181SJjAytP6VBezoIYI4g/3S6/p9mbp7EMov
TFbfgmk4cdIdO5F8AT2byxYR0UX38eiIY8GA1gVQ/XuZwA8L/ZuswKUhpcdTdJ4hduq9+7o4R6/T
17p99dP5ymv7WqXzV7+Ofq0DuiAZvQ8MjXhfA0Bdo0vluy+jE8Nn0eZ1uOQDurvgWXjNLdQchQ0K
pnlBh+fkkaX7XnpXltav1IueBsq+Ssd5Szzklk6/jR2/6Joc/FrvKB4EGu1aYgsyaQBULI8QQy0E
CFBevq67iPp3s9RnJdcCAFApO1kEtdhRtZRoOQsKwFwOSJe82if00idI3aFTDBLgrpeeLXdPj8vg
22PlAq8w+Bg3v/Y5aGfoxYfnZA2OMzkyjQqBVZA89JfKIlnM/Aob8RXh8PHa79oqRHi4AwfLA1Aq
bLEHR5OnCEQkqwXUWc5R+NNJSYAm8RVY5/vg+5cuJeeu907G1JnmyY1X9Dy4oMN6XqSa7tX6baHp
yUp+rH19TBKAiwzZLkjKAXC4AfAteIpK8sKdbyZwswXegmaqChqjukDXo8WYdeFPuIGyORgz1v/U
yauVd+J9tKjQuwYStdINoUQavsTem7feW+gSdQbdjV2LBgALP1PyLOc/a3hXB6e6a/27Rf+FXjML
Z45j3wKzH/1D6uO5f+7IR+BA0nS0Hx7NkDCHN7/Om+jo/m5z+iS/1Au0RsUIybObpz/C7+knYkqb
exCv3fpblKtjmC1v0ASgyFC4bSDaXzVCZZhNyU6D+8gqnZs/85wFwM8F8hOa6JgPyHdmugsyryDa
RHhek4TdpKP7AqJ4700L81qbAay22yHGyOkFULE6RUsLKWrsjVnN/BhMDuR2+CI/i23FstoSDbMF
3CCeqrrDVDU638whTc3tYejwT4WNe2Fak1+jdF+jli03h8zqp6o0Ki8aEFPaZeiy0JPOaYmTGS/D
VJqod87KsGubGj0hm/pTEToRitSuJjsuUNqKQXQgJZKK7sQcyHx5+H66BYR6aJd7REKnnLtG7TkT
HaKewz/S1b80LjA3s1ZJmcxTnaWIae/C2rVEgPYuaQWrknTbNuMP51L17+DY+OC3HnoWaqFSj1NZ
1NFKUGz18rrNia4dD1Svw96LV3VxKhhMpPLtN1/0x3Ft8SAt3pvEUjHPm64GttW3bUp4fWGnjuI1
AlHtxkrmg3blrYYuFpnQOfvALm/bEFaiBi4FqZB3iXsmL/Dp2dvA2XrzPc/eVkKBoqjw2zYFVhh9
bFvfZmmDp9UBgPu4UdvdQj+J3lXg5Wer3amHjcZFbVrABsYOy+Qsr9x6kGaCT6sTcC7bX25Dz7/X
nh88UxGNmbZuuvNUMlwoacbLthU5wyVempuKhXfazgwRClAGTw9l7Pa/He5Gr3pSYANlNRUt6sZr
WKPMftj3nEgs12qGL8fHzZ21pKcwXcnZwISwc3rJn3vXoXlvQLOToGcZT1DBzWmLo4ekgWHInWqw
uGu7fhfV9zC2zlflruvO7dLwwHtD36F2ODdLW1Zt27+4wUCvQxgMWeMvwWfbgiA39W+oWTImRFNn
K7akGa5A5OMQSFX67C5edED7ML6iyaoyztf2p0noS+hHKOISzynGcD45Qxtc+AzMXsEYcxcB3ixn
BMMzPnZT2x372Q3vlPC8iqbx1gD7yVAViqINQ/ulCgxwa6PMheiKfzrNt3QQ/rUbmhm6mCY+trox
OTPMlEwSfoal0PN0/EuryAfjSyH9XE2LazKE3VF4dXWd4me7RuLCXOfuTmOf+c7cnz3C+U1SMxbL
uNTlZFyoZ+rlDmF+8CfQJAtBw/xaKguM28G7VXPn5LmybwsyxnzPIucPiJQri1TwSxpxlS6ksIMG
qNUeyFRV16Qbquuq3KxvGxD+cB61BdfiyRnSaF9PtTlHsSJFMw71j75/WtHrgeT3Rbk9JirepQtv
XkM94y1f0iETtquuABjYVbh+tKtfgPnLMoVw+zIAjb+IahClVNW3OBz0MSCDMFlqDMRoANGEbPD1
ScpBzHv8Hi+IZHQO3o1p7OuD8R6DVu+XsAehCzgqDmX4p/L8PaAk8j2eFM062wbFCuyg2J5sduA8
gbx69IN3YOSmNS8skGW7Nv6rBE681DT6GGBQu7E0ZRklJvqosGzTcZlnMNGh8varFyRI1h1o7nCA
r0V78xvraPTkS6CbaWXeJjBAmWe7Pld8nd9QYd6hMYpuqXXmNxiQTR5IwgAIiLmI64We2YtAAKmy
nndXwirzffF8mOpard6DDiza0C1IQM2MrBiGyDEMT/DoHtxV81/y8USO2jX3eITALOqlyKnfcYgL
BHsLXWiHxTLHv0J0C0C+qx/DgDTVjh1FaSgSsHemBpDrNSeHdfW1W1RarqM7vq4tfoUPgcZEIngu
ZTQ+wcYRXeGWhSlGj0+SielJt7TOpkauxzDuljKF4g1Y62CqfJAEapmHdVVbCwEGFMY67MCdNE57
jz2WgLmzbsYfpohtcJnXZ2M82dwmEIYFwwzsBPeJp1y+ssfbs5Ik47YhIAwbhpoZ6uZEtdUVLjQY
DynvnxmULqzXzYVv30z8OSyk68tvbQpRhW8iuHAU+AqT4HkMLLsas0Cku1o4TdNR3sapmrPE74K3
KYLyo0thMHwModt1mQNR+q6tUy+jD4ui5RN/Nqv/KRfDDisfx3J+cKGuBnlXL/AF+iMqis3PASOt
KIYJbTWi+RdlovAzJEwWfU28p4iN5pA0u78RwJ8ofJJrBLPHXMkzwB5oF3R44+u6FP4ACHMzXjUe
W9F0tLvk4b3aprZhTrxD07ruhURUnLpQ/xxVhWobBC0qzfrUdYiDQE7OAXT8QwbUkZ6tgyaQBlrn
c9LMU0bWRRZgWFCV+IuAmLVWpyqmzXlYJewyvJs+m5pBpdTyX1yHX2cdf//rM259h+VDGFeviRMv
V6wGcY8DXb1uAwI5y2FydA4T5IaHKo673DbijhWgoDnlCQiBOBpfAFbtWyvCW9BUUBJyj++kb2UP
a2kKyD5ewzKuZ7Q51MbpIQ35BUtHIcClsQFptlkxPYtrpZLO3rbBMwFgoAi+s97+M7VoD4Yqgzoc
FV9JGjt8i8J+LeYxbq8NJKAXfG9cwCOTgoSl3gE6UofP37yh13vwOGpvmLTfoBJSEI/q0HVKPGJ+
d4qohZ9nmPYcippoWJqrC3b/ykzXXLfdbQvsiQOlpX/4b0rDalLA5BM+HATeZQm1e9FT+M/gBFJm
S0W6nRMSqzMyPvSvi6fsaRS8GEjSXfrH4Dljso+c5HmbiuGM+Du/bf0z5++TVLSnxuPIk13DIIpJ
ijaI1BUKpRHC92hWoKaxPzkS7paGQhg2qGJSw/gkVvDD25CmCO2zHIAg/e/UdgR5zEscv80HQzce
jWQQ5dNufu1h/hd1ZJ63vcfCRoWUZN4Z3dQvSfyjbX31lKCDtIGEgukxIPuFeTo43t858TiC4ogZ
tvICvix5aHqUHL3for4zDfla+wB0oF7o7vHcxU8qbfqsfnzA9Ozl7dz+jgcn3OvKVZfZDtDkLVXz
xMhwgTCHHAYfcJeHUvJlFJ77Yh4FddJP82l9zAWV7B5OdyZATTLAZxDGoU1agX/GkWougTDXqvOC
ezh6yRFySSwZMENmzha/ZONKn6cAtaNO+HwkFdisba5Kmv7Sp/a6VbDCU95FDAFeYtf+gtVap3AY
MN/ZdXG/XLnPP+AkCHcqpCXqe2AikL0XZgmTMQ/Dj3lZxjezTgy81OTBmypEmQIbOZN6cO6ROy+Z
R0P9o+br88Dc6T1dw/YQ/vRFNBziufGfBks6AN9D+Ony5AtBDjol4yCLcOq7ndXoRaFICt5TWv+7
WxehXNobaYNsauV823xuqZeWkceCv4ZZt+5+cw9o9rpSWKmq9s1vwNVlibAOwo2vc75qhHg00lBT
JwJyeN/P0E4DOkGx88FCg37J9av9DB0eKtiWHi2ei4deZ7ySxpc7QGYjkEwUDE3Qre/tnPlw8WUm
6tKfU8pzNIfhnzoKnkRolq/QT695KlcUqUaDZdZ8PjW97q40TPGVmr+INpafMgAMmTQdPdePXTHS
PZaphXyYrkMWrZP/7q/3rjfr22bZxk4V+h8Baehz01IoHLtWHhT0Ox+15dfmgQRRqcmprl3+Aunj
mC0BOnJQ19A+JK+goEkX2L8nS+nd9l6yR2endtXSRaXfdf3NUUNzMHVMYe9oQTi7rjjAK9/fGqjT
yzFN65e1A3Ba6RX4tEyda9L3r86c+PfAicx7P4hs+21CJtfJt/5Ra9Szw9L1n5PqnP1qhCqdeMTP
Fd8gtfV3wgJ2Ja6Lwj3uhP/krVdosOpcpeBziN/Km5qS7rZtMbaCwkkhceTTjPUFfA31pz90B458
d0indDlDT+dDM6jVWfWdXygGSbKbCqwQ8Zgb0r7vMz7DcDTwVzkydf5vSGAp+LvrKQ2nTdtCwvo4
pNdDnaHJCHem9Yzc99wLSreFR6YzFMsUyNrfJVVizltWYNIxJzUOF/lIFK6aej9zrPdkFtYeIhpF
Z+UZ8D4SyOcYwmNLHnNeP8Cn4obijdDXzVY/dYOXL4lnbrRdvLNwThaV2MGP4m6vI5F8arKCcx6r
H0lYOsqlBTBZufeGLnjv/bktpcGR26PTgAbOKwfSaqzYA84tBHQi53+GOGnoORraMgRr4Ew5GaHx
G3tmoWpgvYLlRQOuj6a0Ay4PYO0jlZPD33rfbY/RGnZwP9X8NgfRroN75nn1+Pis3LC+Tf9nak2H
I+nxRMyxvIWroc/cEfQ5ICs7hAtr8m1uG3Dh3/wVtZfThU1ZP5on8RhIpeajK6A2cTob3CO6umeV
utemC8y1ttABDsnNgIi9ojlY/k5bAc241tAacuA7NpZ0KJnbL3vYkJHr5Qrjq64jeCpNZw6rO80l
DCXqFczdS5KAWPISQDvyER+HFAi26cPquozkd1Op5hMsVFsIWbd3J3jYLwitAQ7Wv1foVA4h8etn
rI0BV5VXy+99+uYKGJCWVDyNJm3fqKPRwSLNQqAWdM/+Q+nomfA69t3h7+oNPRkh+XYCLLTSNukZ
0j0JpksEfbZEIIKqh1bWfRhW0RwOZxri7dOoZcjox79GMJVYCaD7sU7p2YOJFGj2qk5gb+ovZAY0
2qn1DfHYQETm/hk7wb/g72AtdlgUHuKm4sVSBS84Q3xw4zZCRoohNaRj97uCXlBlBvH1HMfB8zxB
GLHtofhp92sTf98Wg2mhXbkHcNXs6zGs8+qxesM2pwh8c91Qv3jsqzuw9qWq9PzKdWUKd1mT3ba7
pl0CmVD1jG4gxcokn71idg8Ce4agP2BfRRM+hxPRL3GVqCceBV3WkGQ6w28xgiXBOjohB4y/Xcht
sHbuijRMbCZGANBbC0ixHghMaE4CFmRqGNDZR7OcBoCa/GUhn9FCj2yp+oPdPgCChNVhKglvgaDr
fdviqnfvS1VjTrEvVSzjA0F3dZIK9iJZNeE1GerfkJO/jc1svykRV8U6eXjlaIs2BesjFIns5hvB
otfZZglHEqjBnytnKGX/Ek+eex9rju7UHS/b3hJ50LppRvJgNl6J1Ymwfkgwd3cfpnG4Z+D/Vqse
DomdhxxaKiTyiLKLL6bhEiVD3hqf3KOwSu7LQPah7cfrNrUNWIcEWvEeq+hQ2kWXQa3vQJdhQaqs
uFSrrE5sNslh4cpcSTK0u8p1DUBygUwtWv6hu/QBTdCCoaR9GuQ4PoctiIKu9VIYmi0tBjZWNxm2
tIzcPnpu0oAVo6LOexACUfVS43/rAA1xG5Pfxp9zvmAtHc/21UvEoQ3vW/GHzQ/tijTfzOx7mR93
+j1uUBnScUZiSyIDm4J/YGh/T1z33X6Z5hC1sun2EubAv1vrY656fMqWKLz+v8dJmY/O6h1gNwk+
vWF9AeLWPdsBZBvrYfVnIqzR4PcrnOdrXbDeW19lq//Zqv6d2z797zgZj9FJxnBuboesjxP83bIz
fwlnCztg9WckM5K367tzaQeg7P0gxYsJKEJFraad7sLvtQqj87YgDFiD6AL68NV4PehwaJYK3aDQ
lvD6HLaQ0wcQlGqaBFB0xf0rPGGrHIZrGgECxdI6wfu2Sx6702PhAsgdULKKeilmCt9EhQ7mi6Px
K/kAkZxBxvzCotdBJ9FRPYx6DooIUSyzNGdnYa4uqKcgb9tWYtqGBWj2AGhP1k5z6tb6z4YlwiKs
iBihdQQuKWL7sAFFTYmFBHZ/Ib3GBwcYdNN1wApF37ACTQq5Kw9e22Vcyyppg6vTao2FYAyBlC3R
t0YaOH61cd96pd3MlQn9PkCaS2n1CspGvk8efLV9HdHXwRtQd0qQpToR0Xl0JeRZiIuv1VL58IFO
84dv44/myWkj9tWZOnlasZRVse0ahV89D5N3W+DDfMVC3Vfg19VukbU4TJavu9mb7b4Xg/rq+bRE
TrfvxsbdZUiByrM27b+2Q5VmPNYrCKHUK5RbweTaRPFlIcu6Wz1PZOE0x5cVYOmchS48Ci7rd8GE
VX6ix6CwYFg2SQGLQD+Sa9M7eqcbv692YdOPT0wsYAUjeVQ6RmBDpIYcvXclqn44Nv4CmgOJM+YD
VA7mBlqOBygdUnheusFBXn8g1pFl6FZTAQ68auzeeGAU/kH2Qqz6tARg+eooRcR9wH1mDWg5jxbK
6tyfRr+QZlJnrPWizvgZaZJvm4MMq70/Or6C892v4WMAgoyOaLxAs/PeGe3ut6lt+A9Z9oNK76AP
ZlmPeltldSDcMzcEdnA6uef5V5ByfQZ4NKtsm9kO2AYoi23mrwI04dqGlwAEGwjGoPaQiCcsEta0
js7i9mGVbh+baZIEl23fMPQVLdTca6KjQ+qmtwlVP95S0/hXRLkkA0gflUwE9cP0EWKBnv8h6ryW
YleabvtEipBX1a3UnqbxNHCjwC15W/JPf4bY54/vhliwHEZdlTlzzpFe+5Sp1zAO+ziIUqO8573/
RCwnbv7ey6ZCPcyi6HZjldgbbR4QXiC0/afEgwcodm0qsp1a26I+RoX/+91WF/Ct1t/9712TGYPM
o2EvV04TeavA87r6rlj/9b8PKa0O7Dyt7/7e+6NvrH8qNSecte3yUNlZeokNpmJj1MfvWdjkG0av
Nh2D7N+KaQPTRN1PmfmVR6aDO1gfGFtrOqPxLjtS+5ab2Zz1V7sZSKTJ0eAVtP4uwrfvESggEDqe
0lJL3sLFpSfTxDPYvuoOWifK+d/HXf4Sjj6E62j73zdJU1W+/Xv/7xMWs+Fh7UdHaHTi/Gmk/d8f
/Htf6ckW1J9G6aq75783ThT+/1/972OtFW90iEu7BdMbtgIbf09rUzgaxJvUR9MXOyOagymZTPQY
xctlRmKomF/pnhmTpkb8lOVeN9CTSz3xSQK/ymzZi8Sot1ovF79cjlNL+R3Zsd93IxYNRbNsuCu3
DkgU+u9Oad/Ul0w/O9gvYXtT2emuUMseU5LaLq1x32t94tstMSg5KRG4orn0tfWQ1yL1nbg8W33k
kHdsrnDssJ6Fh1VQx2JDi4fHSWrWHVc/iVOqdw5hI68/iVaps26aDJUa86VPgbdpdc8QsUIowb4r
w5DhdfwAhDvDeDUwoSJCo2PCrWSBczP7JCnzyCB5Z4ZLxRCyJg2YrvoHznc8t5Mcz4VJLrIQ5aMj
sbpEiXPr4Cnkx8V8Jqk6+q10OIQuOkyMSl+IFx18F6828RQX0zlOUS3CUaa+wh+ccNT4bSPfw6o9
Jp3xsp4lez2Um6Krru4Ey2nIygeHx8+x7KDIvlQZ3U9R/7X+SFPLooqsCIfruIqYAEb+W+fyeh5d
tIx58S7pqJH96M3zLCRDVgKwGZE9mYavy2A856W8Y8ZGbCSbKBDd+MtshjfOs9I3tOmBbHS1Lyxj
0zO/bmzz14rdH616q6J59oumJ6PYPLZhSt5KBch7P2PV/zRafq5bGku5kIgQXbfjf9q5EXKKlh3V
kPIw5dEuQ3nyW0pt33RMa2Mx4raxN2YrDUMjyaZa9zTmabBGnkPm4Xm77PVsxPDcql3h5o/VYj2F
pXtBM0sDF+2qaQh+dVPy3LTmNZFTtDXs+TR42Ki79eH2CvfeLDW/ifJiZ4EkTMd+l4z6nUinOymt
u7xSuKrGJhBotTPpAsw6ZC3EKxM4MXefapC/te04GHFImpP6MjzdC2KL8SnhhT6yvoRGFjIqd401
a6STMxcfXi18M2xnisDu0EzVHZLRpxPjqsRdyTVnRH405T+RCe6o6aJ79LEe102zjdPhrXbE1ZQa
CpuT3zBKzvxYpEej7k4aJ+s2LWZ8TLRs0+pHq0Pp130fbWq0gKrGQy3qfdS40caLuCgX3bip9Lum
zputPed7ORVwRCZJvCUp9jFGe39wqgfqjXMSovO1XUdYIVuUr1rnlkxkxMi5x8a1oRTtVu/KYCJp
1vedkT9LJzG2s4IugcQWOJUtbqJlhGTkku50M1I9Bj+10sRX5UL9c3jWqwY73xT91s4uxDa94fao
UcgKTjZmIjC9TryWaw4PmhbVPOoiaXZ1VlHfS9K6cgjGgtA2zhhi73kK+sBLUEbzM58ax886Acww
ZNZdhEW/jU9k1R/S1vvOE5VskkXeGhP/comkVi4/Eg8bDgsSyTE0BIWgvuvxCvtuu7UyWsqZJKNJ
hHkyDrND2GxqdCOYsbo3xV1YR1ZQeeqqxe2vYOC6Yh5G/IzlUJXBYmi/mqu9lZhQqghPlNueZsSy
vj31k3tTOeURXEq+qbqI6WWhuX5b2u9OxmmYm/NXJEKLYKLu+GQMmq0R05p7toUbUdf44hYuXBnt
E7Qrql+EySUb9laqYcRwOw7VWT01eXelePolePjoxeEPle9eVDo3PsF4ezI7mqBWbtwv8lGPWZe+
aKS52uEf8iU9luYYWE0IlqTxxqqw2pgajqUoIvqbpcyUrWodd6iPvu2z3VjzQ9Eb028Tgy8wXkgp
Zl92oT5nCSGEULXTaxiVjPqDMC7PwpDjFrGNI1DPfdX+OF5hBGWRPIR2vOs4fT0XR2cWi3lnus3G
srvuzOjqs/fA1Ir4pmzmfDdnWA2H8nlYsp+o7pheu+pqZVaPRGD9AoZwgpJA7jSTlpTtIVoW43Yo
pqd4UASJocKM1kFmqvDn0LW2qZfCCAItoHstNzbRU3h3WpCHU+knYXwjM2yA8CssF15j6fxq03zF
yY5eavAnBHC7RsXCX4bwrij749JTrEaM0wf8HNq4bEOEp8ze5BdZiffegqrCsO+OkvNkeQ4uQ4gN
PsLfsxHyb1bSADaah4EOmkCk5o9hYMqKCbubq1zepNNLWOFaGiPm42VKiiPC4QnOq5OmFQg2HfnO
0FLrLt63406YatruRZPxVrSd8HO7u5lF/9y7gcqYJE5W/dKUc0Q0Kt0bXjdvWR+m+xaru4Qrna0W
+5BhhsAO5cHrzR+h8OsKDiAiylMww2vyub9fNdHdtYb4FxWh7fdlAdnJsQaILZZBSHS4H/Lx34hQ
LmyOzTgv3ig1Xnl6+p1ptQ8zfj9j0XUy6v2viYoZ1MZI2i6rA6HnWDFznHxMm04Y6m/HJLyUeC/z
FqepUZ00d4Dz1s4bQuG/Zq6pzVgVXP/aLqbeyEvCV6EFCIp64G6MtskEpKhpSpoy9WEzlfez3niF
PFgEFS8Mf+r6L10tDFXD+dyO6V3UExj2RN1i3YMKuuslQEW8Wu3FKBdyrSWif+4+elrcX8o+LLcz
CqwP1o0sMpFZCFATfniBCdgB3UXdg1sH2wcIkQim7pKXF9MlqJ5m04Js1z8PGCKOmLXGxeZzkOVt
rQqS4C0yQZxgLnMWeeXxhDFqHUzT9IKuRlpKE/2a9Um6wY7JGLYe6Rv0mXxevGCvBhPRmbFfliL2
Oy+ccM4r8YxasxkdM754efMdr0jmUpN439RySf8AzesbhjnLHkNG56dZqy7QlAQ170Wfyu9RTe1z
5FxAU+kpkJtD1yFapIX2DeiqiKoe8W2BKFRxmSeNRY+rS9qoLk7pHLKdsdQ/pUzre7MzWjINFdYa
iAKqKjcM5BNmyHzzhgRLLPgtN+4/5WQzqWldhpTbpBvHi9nwhFruzIFbyxtMR2AwOFSznDpQyfSk
Quu+8DiPRZ0fMozeiVXsVO3ke9eJU7gy2Pn7sHtscbcQwKqyHdHf0J+q/Cvn5DYd8EmlOx4c29P3
ert8qbj5FTMBEJOu2K+lsTKSSH9msYnwHncN5r2cxxmoloq9+Sbico678ZN2juB3CCGuU86LLTp3
W5s5Bln09THSnptU5KjhDTVA/5NjcfBj/bbNY6BrjnqflPbTYhqPaqsMWC53Y3lpcjccE6lxe0+C
vqZDTx6H6ZomggtAmvPGGpL7Tln/oKnl3vCeyVUVVMtOZomJT7Dllh+xKw+Ji97OAWFDwmGLzaGk
swnnwt0pQaGe67uiTp6iRtuLCBJFNU0tBDQvSHSyg8NQLqcZMziuIkCMlW4HRsMUZInwJvGsA6zj
K8bZHshhYYa4iG/QXmK7aF0FjQ4Tba2HYqum+ENLxtV9vZnCxfe0cbgU6XKZ61ptNQ0DAsVGbZvu
rq75t4E4fwr+3rBM+in3qvupJrVcNg9LZf7oVGjd4n06tfEDnv+uJotEJHpXT1TBzkxb3WpnLHOr
YhxhyijtGE73iUHOIUa+2FRpgbknKodtEQ/iIEPx6o2LFlCu3Vsdpeni1j/xjMBtyhY2CTpHvBOi
P8kebJJRhJ9OoS3+qP2bkyXc6qq7A9xdrcEFKtIwrYJm8IYXmxjqmM7XEtkEkDKM4775rON42ITD
rR075W7qfAvvx97QMCY7E2J4FuHW0Xm4LZPJgYnQ79sNGp1ZzzvNDe9s1TJQ4KXla+uQ062o5x0A
d3H1IOtuutGz4mzEEVewGK7wEnZz5MJcygBbtU4uwCHg5yyn11GW88r5WJARDMyQrlH4rp1eY6c5
O7Ztbe28dYBYNRPpCYK+Bv93pah4HevojjWczxrcuS6DclJh0NMuBk0uXhP2CKBHkIyI8HncODH/
Zd0zkujtnCCbB0B5MNBIvZach6N0uTVt7jm4RmR03YWMZgK8IlMkKoajU+FQrhwOWY5I8gCQoDrL
ZAxETnwYaMvAc68pHuy03gzkoymTc6VbbaCsYVen7g0B1+JUVHzFWqLS0+qGjKoFnYjjeiuiF6aJ
oGUzUqWiqg9T7PhxZKsbbGm0eybdr5eVW71JPXpoaMZ63+zC2rbA/Oh36ZLcLp7pHUqvGH10ul3b
E+hGy8SOONAJD5T9nt7UR5M8m985iHV4E84jVnVU7lt3rLDJszazLWSymTnXHrircejCHgktatVI
IR4y9x39oSEU7KFZH8XMk+x0eMdlDLMNZ6gXtPeDDpGQbrdiLkmzx6PXP3DiYE9RJ9GaGG5Nqqui
O8CxANPchx8AACfT+TJQiAK9m9r7ZYHP67pw5d3KfKdBAeaek+etmnCHS0jz+76l3e/KT6Uv03bO
KPz7AuXQso9m7kiCaLCklGQClafN/eTUP/YIQKqWvh5PpF8KJjsanq/cdY0tKFgeCw3VfOqm2u80
k4QTIAZtrc/Kscs3OlxGQ7ifNgfYbojsm2zKA8Nps72uuRer1pqThZF3NPlbEJVcPqOBgxW4UObp
hwQ/L3W266e9pwfQQvZGQXBgNKK3iEHOpisE2qxeXEFEP3uDfXF6miE4NOi8zt5FbfRlBlI4lxXJ
Md245vlENsLBgCfTiZ5hrYqgV7EkAS+xFaFIYozXsKJzpb8yW3xqElFu4bOQMFhwLysLZ3X0L529
2xCia9xJiwbFRjiiroM8WxNOM/BvQ9pLFnWrWcU/MaUEhAuKXDSHN5zod7iy2i1lquebHmcmr0gC
DVlMMCmKOYcPoc4DUw32L9yN49wyQqjnjlkFL+FhgNkywESqeNlvu9YyfUePxkCfGLohPDO2MQGU
OfmDQ5pCTQ4GQk/85CYXZeTdqdoG5SaOVSTJWtU4DCePuNRyV9ri0SvzM1m1EgAzniMvhislXjnt
bZfJVKp6xpEWT6Vhy9sQa0aYXXppXsWouwxMkzMjxGM2NwQalY0lzPwWofedeFAsY+0m8Wy4kKLB
Rl9e5EC6BmGGFxOGdWIccPftPijD8MvDkwaQDs70aPzW638Xker2uyR/z3TIjrriCO0Z31M7GJ/C
m8lih/8cY5A8T+MxdelLhw6cI208qxa7p7Gd9wpHHENVinR6jb2t3FdVGNQQvc1rAjygJLEsrF47
mLZboUGQERTeR+0VWdDK+eh5E0T7gkiytBOML9NbEaMyeUXFlLWDn13W5q3IE4YjKg8po/9FWnGY
Dat4/HuTMk/YRzgOg793FZ0WWR2BkXeWzZHicl8IUEJxRqgOLEi0i4rBOC18jqdmBj2TOjOeV05S
wvMrZ2eCL5DHp7jI7hq96I7dEN9VcSEPUOye69VcmmnfeN1plbgj0MiZSITpIV/qJei6SdIEWiOe
AllsdKLpIOKWjbT0a+3V2qWcuXATPTrrM+E9TSeYLqF+DbOTbZVBJiuSjPiNqD2TU9Z9SL79cXC8
d7c+g6R5s8sl3Ii68CdUpSOTlOc8Kb4nBKmhm57gutcHOMYtlf4Y+2OZPElU2K2ESbWM9R5KCXfZ
RDGCwPxe2MVTbjU3jjLJxIPb7mOmApVX3GledxHj8jZ4Yu/m6cWWAGDSluykJQgTZiU2Gepfzqnm
Lcmre0BcGzt/ZcNyebsQfbc0K/ZnHJbcPBJLVnvKFTDZhNlFPoEG8zxILmLw1MaIiSsMZI16zwpa
6IyLKKmw++KE/eAitJJmWI+2IT/8RhFWCcsVNIVWZ3qwcvKryxA9DQl+xOZ011TVR21mn1rr3GjY
o3ZqmYD485lgmI3qaM+sLITga1sbffSwiaRDYHlDGXSVuDYm4UbTAvNbYQqFvYgWVzwVWPVvvMkD
o8HjDffAa268dul26xfVe4WzMxHMQqN4KMw0ZGCffrUsm8CknreQScfkbSpB3RgGtSz4RZusvkXU
LaGTYT0Fw53xLHTitGlnc1qyIAIrXa5wJjllwgQ8/ogsc8sRcEqLYgXVVfEm0mAi9iZnkklIpKs7
myhhTO5QByo+1AiO0h4+BmLIWa1wjhnuZx9GnzTHT4nqb7Oqv6ixDCqrJWlYgphejOEq4vyjZwGC
X5doCGMbHU0nehoidUzt+XthBc+mGc1LxGXKUTqYgQeTjN0dg4ieLfCQeqk9Fw63ibamH0frMc3u
WCAQ+21Ii5zJ/mxVgJXjOxKsNypxtklYMu63vnDcQ7ZAO9sOjOCyDGnIMD956sGAyuGkmvyI3WkK
gK5f5mQfeX20Qy2vN4kg0ak686dJ4h1sxRNjCJTRnHXnC41AYxlbiGS/c4ogobd0BBE/6L5oHd8u
XEXQzb7BLv4kU2dDLgXNxB4exqb9wkN5wk6q+0NZyYOJ7leG6tbQSZKvWVaBTR/HNsdwM8pXRgO7
aFTfqqZST9rmzPODJh+dtZa5quqM93gJc9Jy0hc8qW1/MczhKJaEBF/Kd7s1RszCBFD1MQHOy808
dM6XXs9vjZgOo5VjW2+vxXzKAX2iJs94sqPbkJPFjd0nxzFfOx2Qa69eIzf8rH/m2XqaQndDOXW2
Q/CPvEZ49VrwX73hvMTJ/Zza+Q7wz3MjCojViuhAM79BXYUiRq4TigKabtQ92Itx7vlmNfa2+Q3j
6AG0231fcR6Ua3toM7QQXDlTy+0UQnBgAraJa5yKa2wmcuznyln4NnRi2TrrA5ISlJwa4y2l4d54
vfEA9MXz56QFad5ofCOsV4jjH/Z727q7ZIpxx1K++WY1vDsNSLWMRKhx04XcPxL5duXF0aQSZy+j
/jkZjeuUXfv4B+rFg2NmoX+ftvZeRRM0Rzm9gEc+lgu6MDEiX2EuseuZrpPzAANsSlOoda+Ozi0W
J/NXjKds5zA/3RrzeF5muKSzQyQA3Q1jINVRa3/WVsv+Fa8OFtKpvL6nmz5zXmvSkTg4b+k5B79v
y0uoqX+YmnbpnH26JqgA2X+IexXLQ2dNdzqCfyM0XrURvfcsNLg5FbiVuf8c5uQHNdOBa1j/LLLg
mSG3RtLkEFnzx8RBu1/4Hpv0xNPyw4zYo49AiCyt5jBYa/+tGN9mBZTFMszPcfKTsdtpo2mQnu2w
ZZhjgyZyETNLBF6zZDvMPIeaX+sFWM8dUjyPTVf6Tm5RgOZesg0rybfOGqvdXI7gmZpvo6ZSjTln
4lke8nH5irWB5JKT7FREF1iUlwbFHOfk91SLk1FiekUZgG0NmrLip4uEBEFyplsmWJa8oC1clLeH
k5vJEeO+gKqmZhOlCV1ACrQTHYscub3+zUlhCgJNbFXGTQjXEQlib8P62A45XMB+PoZDb3FjENWW
itlhr131Iv4pOBUCtje+eZVNPa8APFaEe6MhkQHZwAC6Uo3SeLC6/s4YCLqjl3m0YFG+N7ZNYxLe
bIkbN9/RajUt0fHIe+HurjiR49Ik2JGebDG95SZgALQBe2XMjDWnYFRjtDumMaIkGbyC+MCcUOlR
Pzd1bG0hMXKcU8p1pjzxgyWicKvWdWFtv3fiBGHWOpVOuUk0ofEU/J0t6Q1XwhRUeJZ9z9Us35OP
oJ3f+iENAUowCBmdB6nrwyYKh0e9r8pdX8iX0B5fsI2SJylHrETxjWU6d4nBREDHL0fp0vmZY59Z
a3NreOGGlCjJ9oXSPcRZsy+Sx0bTny2rjvHby/dooEiB7nC7pMVtgoLoe4nzoDLzSfS+UqoMCjL7
O1a2kLtjbUEVSxss5PLBpq0AtioPa/eNqv1O0OFhjFEajYKs26y537L6wXL2ViLA0QrzsVDb2WpZ
K1ZgJ3rF8qCWIKOMnVPZ8e2SxUtb4R1Jc3lnEZPWivpIn/Omy0L5FSVSMDgtbXk+HiwH4V/q6R7t
AEOp022EYwL7zBimYNU0qAiDBIvSJjWNR4C4MjAhzI9deXRTMBqSxVRlqX9CtILz7K1OcY4oN0cw
DY3lIWHlUECpC0FGgCx02l8mEXA5Mutfn8SksEC9xPCcupaZcK3NcusSQaC+Agowe9gj8YyluKDC
bTF3T7ygIJDE1pcdq3eTXvCmAflRLphthLYjd8bBhY9OaziEbcKsDJ6IG2hPHutP8HnsLHVTJd1b
lTJhjqYw6DLn6jT9bTtFXEIk1fx4Km6d0b70BiblsG4Ao3h0aWGjXvTplLrTB5Ov/aAYxyGZ5yQI
5Zz8y+0EYSuuRxaZFBcGUudoGp9HKCYUBitdKYV/p5ufLSKG1pH7TTwoiWTdg6YkO26nN0yyEr+l
FBZdyeyhDl8a22MXDqhRo2W62toaIP2h/tCt6oS49ji3KcdI8w4KHe74EN2vJNqFDB6jvnmTTvA2
SOBJ8xQW6lcrPNauOLfhmPI1i0B3IlilBfOPMEZ9LWt6zoZMTAzk0LUmP62yYz85n4zQRCtvE6PJ
AzdrGsAXQxN4cfRlivKF5oa7VyMGHA97DHNj4BXyLgXPtBfj+OWhoLtReh9NU330+ntmKUuwrCMt
h7AhksG4NafxJXTgybrVWm7l6qbdImr9elAK6bJZ1eXmHIjMZzh4FoaVgCvNhsfHba5RnLJmy7Ef
RiQXAu+fppg2UvZBLobpsjhl5+vm9O1GxuJLl2Y5dMtXyrLXjDLGlXQEkvgv5m93JEGJ3Tn0yttC
uLsGAxluCkwZsbegvJRfSOKX3HohNhMFgim9T4/3b7Dbs1kU+66vwM+anbeJG6ydGQ6FJe3vHK3a
V2lydlNyrOXMj7vLbtGffmruIB9Zn2zEtVwGcewLiIu6XmAliVgZiPzcIkUFla4d6hThUwkOjpgR
uATqMULNQvNyb4YcS8LYf3AlJ7iUW9/kOl1GrD/Kbp/R252D4ygsfFl/Dn/CZRQPBXKm2z3TW7vE
DR/ZSbRCF2HAFNyB5dOYjgXBQOLNg8lErTTQsMHtLbwOxwQWkwWuBTSBjDxgKxkc/0FdbQ1fUU6g
H2k2T868rHqCchubh0ao4dYrmh1XkLmjIdusEpKtGBtV0XCzxHg5hTWhcuvyUcX6MXX6/NDK/sU0
G15VJvUAPegvfvxnsWBAcPsI9kjKLdFFOGhywTPRIcAMV5DVlAMuL9MY8ju5MlZz4BcB9XRs525P
u4m5atq2FJgUsvGV9Viur7sUvzaezw5uoF8m2UB35QJCjdP3QcYlFoIyWifwH6InXYMKb8nu3uWH
vuT1lc6XhT3LcBpT8RvN+uh3LMEoIO/4eVU9zfJsqNllwQlGZiHzw0CWIJn5Nk6eSD7SQZt8Tqk+
yBrKym4sd8hsVchejelgJzZIlx6tIroMvXfmrOLgzAaWhmg3xpy/pnWGMFJfqcz6Y66Pb/qIe4xE
uZfdtDWinxP2CHukdUNAhm3ew9cGs5Ykyc6DJOkbY7ZuoaHmSAQS3FLS//hdox0dKffmMjrbPFqx
rH390IfFuS11NnahYsGToSPG6jB0GV8I+0gZ1qoFNc77rQQ7lOrSTbdx3z90QvGP0Wbh7ckNq9/U
Cz5hB3F/z560J1DB0GQSDZsEtqNCrx4XbIvBYBfP+pAcx8hCBwWn0iy/dgPiNM1fuiL77hPzvRO8
2ESuvcQKWXbppg87cj6kCbg1HV1oBzPOMVWNvuXkh2+71QBta+0mr03I5GzfK2b0TtR32msqeloy
aSxqp9Oe0se/oxIdMn18RSbyvZrXTZQ/J0v7MX/q7YjIpm1Sd69XnsHMXR0p8z0WcqEegrjC5i0I
KDaY2eBNMGLeehGBPRAhuxEESDU/4CG6GpH5Xc3987KgVpZO/trK9LlTitSs8OkZiik9jVzTs+5d
liZ/13NMSI6RA9mbQJHX9QtBAYYA9l50hb132LayMGnr3cTbO/N4YyfW1iACswd6edYs7Ttyy4nd
CewxYwrJOTGSm1yVT+KkOKhH+uVN3wJ6FwD1xxB0bNhBQjIo/iHzYhjJiw2jz/suqbdt436Wlnc0
ZfOvyauLUN7kq4JxkzwaNNVB3aTw5zIXihZj1prVPU00Hcll3lNcw/tmQ46u13eUM/CgOnQZXMuI
d9zKI0vNbAUmTxYWU97lnBSATtPmMs28lgiYobImsBaiN4mt2E8NNHcJpp/KmWVWoKn3Azca42yw
ZR1Z+9Cyv2st+8lc+2cGaZd0pHtcpObuOk5kHrzUfOg0NJp1UYDCx+2zcYO5vLFsiglDt9vNm3xw
raBTxZXKBI4VNkNEzR7YeM6q1nL9hNni5E3kzhf5AoGDmiVe4AAVTviAXYS1zKS0PHFu7RhmyT6x
jSZoJpYVREQVWXdrcPYOBr6W9NMSin01iQ3pqh03Ztlv26FkvdtC1EEDcw04hrAiUxlK/Y3Rzfdm
X0LsssaPJaueE/aKfBHOiw8sYkO1YVkrRy47SgHZLiXnoAduyNb5kbBw85bYUBSMuTxX+XS1dOvS
6+57lesbLzT/Zaw9JsLae4GKgh4/zMZwB/kZgole6yYDwpEqb2QTvxDSIlTP/ZDH37qZjXT1b1jD
f0wLcQEzzmeRz9dppIZUMdeGMCLWF9TA8oCDFTldd2tjCsTcAHL3dWyMR9fWdPryGFojXVcYVaC6
jEnnsGqMAD4NLwMkr6AKHStgP+irPsOesxnNmx0ZAtzEIVOhruUY6bLmZWgJshjccw2Tj0H/LNv5
GC1SbV1ruZs6xoZ6zD5brBwVxLVyp1gltnFTrPkJVm64Xa9LnNc7vZn6jS69fke2+zsfuJE0m7mn
RqeVABhdDMCl8fCMfWqjd/yDYao/2HwBMH+s5Cgk0rFJNWMfwmbWiVYsb/UE1yoy0c0pQX7AOnE8
0HdMhoWZaNj0WEaCZcChoEefTY7YrzfiazFoZoHcPQwNVW7v3A4T/K2qWwakJ+ZAJEHsjwUpOSwT
OC0ucnuSmdQT3dUtzJZ7kkE4K6IIG9mZBoa42DlKTRvl0hhlCnAeop6jpzY7fmjj55mluua4AlTQ
poMW3HBQm/13r3nhpbU/KoWK7ppeTlmy/HKadLfMrnZqAqaOvJto/3p+k59zT840Ygg9RIbl27FH
Y1nvjBKDggB2Mq/TA6kM/TwnVKK5eIhLOR8su6Qbnsd663Q56HJj3BNLa3eN5mZ8XBSHjvt5K8Ls
YzAjloEUIRorYE4bhtNjle1BbE+JufhhCGhRJPdFp366Rq8IbIOdnr35VU4Q0ycbjS21gchFRHx7
M179OnV3YEQLKAKcs04RluG+DnA/LW18LSz83tagxywL0c807xNRxBQ1Muf0n7OU4aM8a1pq+HKQ
750HxCwfpn+dmBFjeag0cgl6jVYJfTSA2wIUvLMOU2M39AR2sjMw+vNsG+tFS84hBZ9XtlmFRNCf
6baMuKowP622iYhcSd31ZxdKlMmgfluzj2fXjs0pVfZ7DtgDIb69te38yJ7UFy1lVGNaOxZ+rgIn
WDnHNNwgNtK7ugOgbSKGRLjn9gu0DJ/cFgdStJvWIQw+UyZMbUcu1bvaLhW2PtI2Ctc8oInrD7PO
CBWj5dHJuvDBJPuCmR0ymVsCaJeNsykNfITTjLxGZI+daJyZKd+YaqnjM5lrpt/AKvw446rkEVqM
kC9GLx2/GJmEeagOZi1BNeXTc2noP5Wph3tDsD4DGNrMfcn3rq8oIhd2eIE+YoOuljLOVt7A4hI6
AKVRvd2YPJJZkpZbW83NqbUhn/69+XvXrdt63Yv3KNCR4U1bDL2ddcXOf78kudXiUq+w8QwECIjZ
4Upth5m3SyTIa4YOzbvqKuyJ6oxBTtulkUmadf3Q3xus47RstnPj9tj+7XVdzv/exOtinPRvOw77
lw/EXoN+RYeSgAYM+verFRH6v3erFXRlwWnmBpyKU80rNPvvl/pKG53XN2ERMv0meEmXChr1742W
/N+v/t4VKziVNaIdELujVnHf1AXwQIpnfvn3hmUQ7Pewq3t7Zddm626elMvNR7Rkp+86S/1704Vl
+9+vCiEHY/v3QUJ2CiPv+odyw2z+H13nteSosnXdJyICb25L3kulsn1DdFV3YxJvE57+H6B9dp/v
RPw3BCCpSgaTudacY/KGhh/pdNJVod3DIpf/LEwzYlLdH400VDD66N9eAuDQ4R0yzdAWDkUxBgge
0EhfUSvehN3xUyWStCk6I2aaU22tET36PU2sygZJpfcjwQHTNzN/4HmNoQ5fQhNfVMUCa4AldAwS
oHB7gW17j6J1bVvykE6/bme+VjWisTBAiTfYC8fICxj+wgALEJi0aQhHhI5/6BW+dTUi+eLvLzP/
WvOinn43vyHSAfERET4/5uMgGkxv1Wrmj7hGh58dlN9mQC1C8iXZ2n1AyrpM85L+HHNxQ/tFQfQ3
2XUKXnOMrg1/ZVTaeg9+Cl9XOVGf4//5XkzaZ6Tqbufv6vEw/W1uWpbHILBsJL34CdJbqRb8uHm1
Fzqg2zLta6IT7e/Hvg6dzuPhdl4NSjvfz4s+ndjPpY2wYKYJR07jCk6y6YCdDlNLHx0i3sS7XjPx
fBxM/3tczQeXL1J/DcHuyD3SLz/mQ7LpNJC3OcQXTcYxgqtwFyBw2MxfqTsTeOcvW/57ajzOj383
szpFqooIw+ZnTUEF7Oe1PBgp21X0GRFGUBIt62r/WKjeP2vzN0Y3gXZvRQc/LJtxnzBw2g9SoGOa
FsJSGiSCDEkydDHMuIESdmUZ3ZppQVuhXbgQctam4zNvHEyiCMuM+yS4pvDmDTE/rl7GNLIp60Yl
pRFTjg5WSs++0kOyjn007JvUMBatFzaomcC9VPOC+n5IO/r89/kaOrUnvYnr3fzy+QE9dImHyCgT
zK+aHyiGqNnGI4nTWqQZB8vwrr4aeNfS0WnTUhhOM3aRhIaqxgH6ajhpd5mfEfqVdzWN9gcy8ClC
6T+vTFtY4UHB1XrQk2VB2flmKW5ws8teXVESah77ek0GN8XNiHkpcx2tN5vzgjhceTDgz8yvml+P
9ai+DNwk2n+f9XgqHqOsSNtzmEZXV83tQ1y25pVkS4wJ2KKZJ8fmNZz2DfigVylN7+VoJiFsHEbi
XAirz/kpf59nRwcIkMpl/kP9yOSYA2BcoflAvyuvUWHpj38yPwEXjklK4sgEDp8kV0H+nWoV7kZJ
AsJTEUyiCwjRxKu5T609sleJSl7VU2IJ62oq7b4cfeM4TK/l+m5dFTIAFilm3M28b15w+7UY4lAI
+LtPG+LkOI0Hh6j0d7KUf6hFRrfCEcO1KFaSutfNhbhpI787g7PVr7Y93GOhZoemCY3rvKsd6Ao6
pEQtFaQe8675wRjl+s7WmQzM++aFZww1P/Z/71FK5nwBUypTJx7n71OzvobuVEh6+NNT5gdiiyyq
xjbf//73eT9MoydROYSY/PuuPAZflKTpy8/PGKY3nzZNtW5tBTxQ4ZRXqMuZa/mXYlpULrxak+S5
bsQA5Aa9ddVyx7qqXJEXuT2USA/ZB/7JusI4lxOplE7YtG9eeJAiDlM2OOiIv4dXrFjJ2TY9Gm6H
nsLUkyhbZ6WMQErLjnRI5PKv0o7jg0Q9T1cY8UDr0B+WjERhe/fXpryb4XivGsbroyOXmP5+1o1Q
ruW0yCoZrkPdD6fSuX+dH1Bz8pZ1B9mOhY4WR4NMxEnKbjc/5bGv8g8lc/7rYytWtBs5F4deN/UN
cenhtlAI2sBuPJ6RBTyNOfEzU6cryvtjUFk/uWO91TURWz7TrFhGKO9r2unibKHFeJKKFi29uifm
vVqNkfYSd7r3lJf0YqXmvha6v60BptY+b5irxpNV2U+2g5Kk9k49/qQBp1sjg1+FB6sxKpxoWef2
U0nGTp363jpKml9+3+5iDcNYGfnVU6uL6snLk28pCBnF1Zvp8rddJiog8F2QGVS97I50db/4aXqa
sTWCiOgPxNuc0Scu1dZ+ZLBe8GdOqRy/AoU8Us79w4CGo8Sky+q8sBtXZXzXO8piXjWn7fkRK8lB
C0F+bsRlrCWXjfkJXhL7/zx33i60RANqyquqf9f8bBz2Y/qLfBLixuYH/+e5j0fmV7hxTXh8qu5K
RYG6/vfZj3/aQqFGTTP9bT7NW1I0/np+3X/98fnRxxsbATc4TUxc8fSWKGwaT9Wgm8vB9f/ztudn
/9effbwwNppiWRUR3qfplX/fr/b3sz/+5d9P7IVxhWXX+/67678+2P9+U5Y6uFuTtDC02vwGf18j
oYMtMN8B0hzkvbSseAPK3SpMecuLontWIultg8F3nkgjmBi7JpJVeG7xzoi17tlU++LWUY2ZNuY9
sVPJTeGG5MlHGCnpVe+cpEOXUHMFOQ1dOxyKvL8aw6YlrONN2kp1RkxPIHAsnWcz6ShCTD7ZgzVW
A10gMVg0QyOqpgbT8KHykB7x/KVijt3zvBZk6HfpPscH9O0VVXavXauGUj/bzPAobwGeYaKhMe3K
7O7uoSKd4r2rRMOGVRBlrLm9txiRkm7mV80LJc2WojZ3bgkh1Sb+7qibdGc8x9pbohNHi3P5qdRc
kmAsi/p2hh4sNAkU6jw57kqgE/MW6QkjDQS0JlmNUS0APnCJYHSvsyHD5DytKXkQ73r6RT69Pdej
vdQ+J4R13cF7akQ+TbhCtcWUhwWDW+fwo/D7zzDlw7sZE3xVRS5aWLV/QBJCFKBeOW9p5mxwr5JW
F0nCnXrjRMs1WEDXcT5dgz4xfeD0bApbuSmZ99HTWfgsC/ec6smb7/rDDzNGBkR74+4xLTgkll5Q
aSy8M/oHjEq58kZJ17mV41BeeDE+lYQiDvMBymzW+KEHKTYgvzTeHa5Ag2JGz56SkYidtRPUVgPt
4E5+a4Vm7ClPiLojQKakfNII4JXtwZqPgSSidc9hSDERy/vFYlS6LSjrAfUJ1/O7hIizGHWdaJx2
3CpSoY5PyQu1bI2lI1P9lwJUwdSk608BwaR7e1CDhZlqv4SVDVdqvvKxKAWVOSLTN72s/0DDqgz0
6tLZOiolmIzQbH8cWsDluC8cZdiUqqSP7zgx+N66wZ+AEEhBb+8RLXX+u1Cmzaqvr2meLNoJY9YA
LMGNEtFamDarRjU5ojx5BYJJUaF4TdLA/IPb6RUmRf1BExR+e1Y0az8iESG3N1AanHoRShcTOWG0
Rx37/lMz0KYluAfbvcZM7ODbhn9outZ/rAnzK8565RiKoTCWJTI2Io604tmaUHTIvF8rX/FuJT0W
TiEkfUprQ/YspYbNIWZs6fuuBbUGQW0Xu+leT/3+RAGixkvnr9EMNDuUQsU7Xxjca4IUdZP7ZiFM
mGvIv3slKW+1UXy7gwjfoSrKJbLo+NL6CO2sgjaYUcjvCI0DkQQAVkJbX5t9UVI8B7jah1QS9Zr+
gKlhholq6iCDaL1LbzDPEiPDNnXanPeBPdl7RUlUxtgPPyLuG2bdfPYegPuEAd5aMKLimhKGVM0q
gpIwofUED13/a5FUl8At3IPpUZtMpQnRdrqMlBFnWDaq18SOi1NXBs9ECBAMqdLmOgwGUHGDNNgL
wcjOniZxtO6gOr0pUX4TEWJkaI8+qKH2QzM1+701i2xZlLpxqRqL8IFAwHbQAdEWfnusYsksmBbQ
mlhnYqON0Lq7YR6ccOzguRl2mRd+Gn4yWXqSgWZOacp5X6saJ62BMbFmzOneAgWxsYUBWeJtOHoG
dSvTcvV94BILnkyIm9D/Td/FPTcmQxQQSSEjIcdp4I9RrDeVxrr7VlWtXKT4a+Z2zrEIo2+03vke
Ex5oFiXkhAaN+NOVPnJMSh83o0Jxy6Q++KH2AB1y36BQaaeHsOCuqNrqTxJ8cX4pYXPrzHsxuhy2
ZiIQmzh1z+yOXw3LCKZfzd7FhmimiyLj2qZ71YQ/MPB3vwfSNYg01VrENZy9dk6iPLcssZvP6KHT
qy3ms+5JTlxNPYVXkMKjzenVL4doGsCpXXVzJ95AnnaUSTsfPdK0ifPDOjMruHiJ75wiJSheuUxz
j+kYxDqBugMEzfvMrHs9Oubd8Ms/BBVlptCO9cQ1sCxY2VrRZady2nSmzVCN5AKDBbFEuR2dwSRh
6opE+m1lG9EM1dcwoVFD9HalZnufqL/PM7kWUvVCARJ7V/jyKVGpXNLaLP+DfmUS/yHEf4qsmBoC
lrWj77XROuxq7e6NwiAuOGgXfi0JH5togYU0Igr1Xs5hymaE5vCgksUGxpzTW9EWmlotXMuaiJGq
E218Vf4yXBvjZVXT5zXtKQWWuzZEjoRI+d4UJ/uTW1pZrVTewkJzqvwMZEKunQjBMfx62Xf3qAHp
UqgeMHC2wpr2pxLgf+45jKJK3B/X9xgY+w7GWgDI024+S6s4OaaAQi/o/2ZZx6fmyF9wPqK1na/A
6bz0eqIneiqjj6shpg3U2olxGwf6Hwahaqsaq+MtMJxjiUX1jZwyrFUpjtx5E2eP8oS6EipWzJk7
XwZLE0hn4um7OMrdM4m66TYcwhRvRXfEi6Z+gsvw+C+mfRkTi16AUVsCNeVovWR4HuhZT+Xeyf1g
6/+sKcEgF5j/QLBOCCkXZtK2smlPxENBk37eSVrVe6SGG0G6Xm/V7VpTQ0a9UmqLMMBiHWZOtqqN
Nn3JkAlDB7Z/9S65QFpQaCsUFc21QK+EEkV/nbfU0qOHvFakpr72aZUebYuKZD5hXBoFH0+v437u
kQJeRntYoPkaPpoKpSYi6WIXmWp4j1WHANYhXsdS3ZhdjQx8vqMqTFm7nPrEvM+sC8CC/VDdOhF6
62ogE0QBU9iX6bfW2S+52Sd7k2iKdaZipCkrG4KlbRvXeQE5higRik2optgXSowMLlnN86BMNQ1n
q2thtRjiFqe8Ri5e2CVEZmDMXsnpLfd2jsQwYSCFv1G7GgGme44Z+5c9gKLsgu9GvCYtYIJcc8Ov
1iACVRuj/FkfpbWH+II3cL5j+vQdSHTzqhv0Um89f7J5U1NhiDaOB6IUUanKHPJuhMa7ZeLuyWAv
bxQgtTdHcyk4oVdeRJwqL2QBN01v36PK6l74p7/0pvKPvULUciQit3vuRUQmSuDWp8LDhZYVivPi
6UQ9NFFWXgizRdPrtM9Z5vUXnVn5q2bWz501yMv8Azd+/5xrY3Uok/IKsja6toFgqNM5ybcfUhk1
M+1Tt0P8bV6UHQKVZ1QKAFrCxkE+tTQSFK5mZON17SEwEu2rcZi7h4rbIemwsw+/gCMv3VxslarO
Pmru+o7JyEB4qXpzEu3ZNPz0g5uIt0nLZG3YqMIiJI4E2tWr3OQyG2XFYbTyda/4BC/m3Xdnowtq
OjhXWdaTklYG5lnF/khNBh9iVNbPg5r98DwKfIgZoEH6uTjDMH6j9KG9AK4MX0AvKdOGjffqAtEI
PnByQG3Y3Lsyay9ofGJ0CNe+qpLfZXLzMR391vkzDLd19xWK6dI2+8myFBXvQaQSLpJ6dJymzZpR
APiIhp5XiQ3WakpQYaUnjrYzEnuY4PN8XHYi07Pp3cDKLzTyuYuYuci8OS9mfj75l5gv3coG9QkW
uqmkc1IKz92PjBIDxOqwLKZ9ZINyd+FGe+oqHa+SEArUpIr8SDzoS3eAhPukKHe4LM4F/ytbRju8
JqaTHBxKC9cW58de08YvSpl4aYoKPvV0q5vvdzQDU0iCBQ4UbnxFFdcHowxeVTVrj2k/KXSnW5P+
fzf/PqqEJ8Y4fzoZy+d6dKudNtLhKdDUUU2Hrjcfho5UafTHGuG+UeQcbWUkySzSz3pB2yqfb+l1
WHCrtId8ZZjUwNJqiN/8mHRomB9x4yAJVeuQOhwSiM6K87MxFjrj11ZnTErd+0nkYJ0e6Do1R3Jf
uWpH5YDrlEaj7UN0Q7dEaavujGmzC6wt2d3jcyYuxAs5l8xiFsL8cPhIe3Hl1lfQm5XW3dSNd4kY
DQdf8BuFfokgFCxZHVU5kmSoJ9VMLWsEHIqaXmE3OMVnpAr4Jkb3blm6u09DmuapzMqVdJqOwW+u
nCifb4A8VDc7JvC+ztYBCW7nqHQgUNljzZiCiSF6VHTrJuBPLQ+0k6PSUVeyIH4JuUwRyOOuQYyq
C1kT5kU7hO06LtSFDeXrpqQcd/MXm7chIllSJxY2FtllkFfy5ChEl1Bh+kI4gJ7Y+aHE/u9/VxRF
fpVWaR7nvzRo6numyvwwX79q1FfYfhP1JIQZ4LjHM0WwRgOboOh/oFPmKvwswDouUWID8HIrrutx
9VIV4oWJOhG+067eoVRWWgZek+lBWRctPBpspPOjsev+JEkhWRcBMlUxERBTFbFFr3nOcYRJ8kqa
12reb00XeUjW3mMzCKx3lbIBleeWDEkEp/Oz3NHMVzmgTMqaTbmuIotY5878CICs/kpHpv3adAMm
uavKLOQamLu3kZ1a33krvuNUE590rKkd9lW4TOLB3Mm4Qj8SeLjQ2+6c6HwVdIbWJrnzuNoAqHuy
9b468kpj07kLN3S/u95bpYqTIYUDjezrcfvbU4BgxI31QZJDQWAYglbKGgyI+2DT2EqMlbHtjxP8
CVoUjesEbQLooJK4D3g3INMALbJwlkBkA+aRfvHSv+uRQeHNceuLp7Ro4SvTpeKY16e8ALcRaqVL
Aq2jryeiXAKKMhSa9uLZ/ScZ8tppIBHkZYB4sGDO7m9Vp1iPHNvQfHFb2ZLDU9TSflOFwjTcjO++
wGCUjgK9vWUyvbUM4pfmp5BDfqbFGaBprPV9UsrwjtuYIag93OYtsCP4V1yqmR1ZNfMus/TCuyn/
BNOTXKGO13rUEUT/Z3rKRwDdqmnAf6fZ6oj8eV1YKIoTUZBLZdgMsnLf/kkBla7ExPhTHddeKZWN
w3HaHEr0QC4sVJFm4jN08peWHIjgKQBOwwDvj5cHH/hDjqPvyWMqcvEq5wpLotcV463WxsMP1Pdx
YiWde5IlgXJchf2Puv0Ko1Z7ZyjIxJuf2BNl9NW0yqVLs+bV1w11WxbtS9/ZOOrKDM3imKiXLA3V
RSONpWgS6w4hwOIX4e0EqlSYxaT6YiT/7op3CuI/hx04lrUbNDjCwCz8tMvvuGQSABBMWxfc8nCo
i+jNDPuF0minkZE7KkFibRD+GyfXoDdBkC75RcgSYK2FE1KBDJORyLOoCzJEywEMLTWItl2KKBxO
qEOUTiFPfk7mVdMW3jqRinMuFJdajq6/FpWNDcDkWq84k+Yprdor7icEh05A+xdnP/0AlE6i1DeM
e+VVYax+lV4ntjIjtUctDHPlBy6DDavtuL0rW5xvE8lv7Bp1K8fuu7BtJtLBqIOMnv8TeXIr0w9I
tYgaP9waHG7govDKSz8kONrI8g/4J3lnIJSum3XKpYBD1MrPWtMbdIybu6oVzQ4KmLV289jeUxky
EcfV9a1TJ8aFNdlAxzu+1noFhUyBQWPVz48FwHdMtTo4oN4sq3UeL82I2ImuiZrneSGTggBJ0Yyb
MEu+ApFWz4FIoC4ZxW8wUY+VaU8gIJaOeuQjp8+HNZPEfKviJH3P+23uesy/XPgcQUFzQqtYkxxT
edlc6srJL51IGyhcvvrV8zm2ZKUSqhYHxxk8S4AGdDFbHyEctNEZdMiJvL5wStqjIKXwVYH0rrRL
hLzM7nzl/KieNoWaLOG4oIXooJExbw37NWq5DZFQE9jaqKkryhyPRh/sHj8F3udhFQWwRxrB0MVN
tSPHbbLrGY1APWT0G7RXagXDrU6z/Hn6ZDgvgl61v6eV3B2c70D01NMgFcq2e7Ftdao/NubGKBzv
LTSGnVpnv7oxNq6a1qSb2oMElNSpu3jQMpWA+4+TFZeyRskwQzuNwoMallqH8BtxpTyjBETpP/nF
H4dPpianMlIUUgWKcxtqgpzPVhygAHuHKMBlOKfRFD44xzbxwgPkeHQcGfob0XcAQbScLE1ZCUI2
/WG4qr+TkhEB7SryaUtV286HwTAAU0BgFK4Q2VD3oDIyLzS4N2i5cXYZGTxh+jvrwJDi2ZjG7n5Q
4RNuuLfplk6A1LAMJmimnlbuJoKqtE4IPTmB6kOajbbbS8qQ/8tXIxGl0AW5hcLyfzf9H4xZ4a9M
QYZV1MiwHhkiMbrdCkdwumxFnG9JPbpJjUf/vjkjpXhPwOvjMgA5UFUXfUTNSdRdfQAxybzeiqIv
VzsYCsq8SsABbdToGQ+u9kyPfOlZfXp2XfnSpl33EhpR9yKIHoK/fPc9o9rnObMhQigSRqCGXr9U
Knc+zcagEoUtGsnpNKJdrtERA95k1pMw3Nx3uSQKsMRo0NYplwoVeW/gtur58cGM1gg3uBsd1F6e
3JTIXDaJh+AvFpg28sR2N+Y0dKcaUpIAnpqnhgAf5Ha5LU5qv60cqKgg/6ytnljKeysxTTF12Q3l
RD9uE0Aw/+dBkXs/jVF1zzNGtmL4cSpRDM+Ay6Sniooi6eh0TbXIwXqBRErQcg5qQh5BoF/nXzoG
wdqoIqTpVunDIczLfq/FTE5l1P+ez5zMoMcUx9muDlzvVJqxC4HGFQiy2o8mzZUtkVt4zX3l2oIG
+Ey4KOGqDb0rHix9YyrGtWjDcWlM0/xSJerT82kD6xNBu6ToOkPlGcRCXpkvXZBMSTRwvH2tUDH2
pIUXKmvHckd5PKvbiclAxaLrJ5wIewJxC1OHIxZj+VJxzOEggwDnocB1TkF+/OlSqXpqR1Triptg
PG505WA2xbhyPb28ArXkJ8RvEWHJAUic5xrXQ1f8/rsiVqGv02kUxUfsi2BVmCPGcU/9JbNoWMXI
BHbU70sucWm7pURUP8+z93gKVRr1GgJRSx0NoiVyLSDrTwkGjS89iNae0Zt/OMb2np3kGxtI3sry
0uGE7yp4qrXE/clgm8gbfEeH0C3MLSOKnG60R4uRO55mosv0mnbzuP6AAiTYILXaN4dkz1gV4w/f
JhLBlIKqqi99mvYqfnzTMigCesRFZDoGJ8O7NxXmiX4qJFB/bVFTDrtiKo6QkLGsSjAQohoBT+oc
x06U3uaLfRkFt7zWrDOhXZMluEq/Y/lbVdX6Z4GOfAkXetFJf4BYyEiq1zh+C+JhQCTVy/ncAkjW
PPcJKamaE7UIb9DhTaBjphv6MunjkbxDheBIgtBNK6KaMKghzXX4WI6lrecrhTNdy/pxxOCO/PYR
FjNK+UflungzVfldJrC/gQL2Cz8cNmD+Ge8oefLeem9d6o5beBmQP3Vf7nMdW1uTDfoJ4AHuQ6V/
Te1Re0dspC1NNyjPEDZbaFblqUWzhG8EfB6O9bICfhX4C9nbI/a2/MUGEf+n0r6o11lreKb5SoLA
PVFUX1pT6pIshvRkdGhMe1KL5kU9ON6Byi+ZvtYCREF0qa30+/Eth6V+mscDtYF+tW8ARFAB+sW4
XFnkrZxY5J12HOyE9LyAwBG46PtI5x40jTE7+u6nGlm8qgKQKQpFvXbkKexFZx7soaN6nRdRf4eD
b6FUTatTir30iQid4eqooABTArdzJ3F+uaGBOKuQkNFTH4JFUNx9Ug5xR4GUHNBSoeiCyatV3QL3
dUDkDqQbHVvNRmaYXMc+IdgwwyHsYphvh0bdN6GE0QuqCaud5IpZNpv5qhoHkMJ0azx5Ua2Bx3EQ
fwcGnB139O4jgSto0vu7YnvRZj6KKrOVe+H0yCHpAJ8f99WcK+VJCpoQgKW886gUvzzG5QyWe3CR
WU35PrX2DgFad5Hr9zn7x8rxOiaeuFVecosNmjWhU3vXxx+sIqojQVStNaJJl5FN9YzihrGy7Iqi
bBPTwCl+xFFwcAOt3WWOGZyoXBmodBmsYBJ7EnZcX1rXlk9N62MSIg/IubjeOFIsfSvakkSCMbed
JQgP+mjTYMrtuX4xgiEV0E6BkvhhoVHFdbAFl+V72OUE2ETRsAR1on4yV/2OTXqpeQIpCqvfs+vX
HpM2SMRJG+2lZvWIvfDa5WXU4l1jLTa6f9bCf9dGxCZSzc3X//9ze1D0eMdwaVVckOSYQwuYwg3o
IilYg6k3z6EGlJJhIrr3OjM2sk31HV7+fK2bqviMCBHDx9t9Za2OuL4zlVPpGuSP1CDYqMsYviZ+
NInYxZKZKbrxW2YkwYftoOcN8QeeyMPz1xQKTz7G9R3iOXqnaTuerQb6uKjj5sUM80kIAs5qUIg6
pYCwziat1DzunxeAF2mXUB2FxvLtlzm/bELSjxXDfjAVkMPoVpjc1vhdBlMl1WvS4YRq0q+oqVYr
QXYQYdAsyrHod3ZpuOUmjK0SuDOc9nSaY6YtfKimGnHdpwU82IgCy6BTJKIPrD+FzCWBpOIa0kDW
7pM0w9GFFeWtG1A/Y10JNvMmDCiETPzuEbNXQrR8iNEObWPVGKIvETD8dZVfj9gCTFDV1sn1nrI/
HsIBo9LB6l3/UPhT0x+N+sw3U10jP81r88KnSEq4OZlhYWlGK90AimeMprrXscTOH3FeDOkbbbP8
I9bGgzPdtwwEzRkc4y8TjNQQAHJYZ3pvLtXO4A7qJzuV4DK89YF+6KbFvL9O/0mRy0LDXhNRPFJw
pXHLESSZfHBYzQFt8/DdL9oPWRP8bMHRsISZXHFvWeCMW9xrIsCBoMONCOmi5b6HPie3821Gsfgo
S3TkQsFqAGaL3IXpRjNfLGTovT3eqVER80ROoAuxAXFuW8WHwUq5X0qq4FWiQ+higbtOO9RFoa4S
MPpAd4V1U7Dg0V9X3sKAcFDg3RDIp028lP6Sdra1kr4uMXBFBra4EWXa9tH1AZK/i9CVA1ipYQE5
c8+K4KqIuOQUYFID6zOnOvBXwWFyS+CN/piFCDr4bAwlQLNCWaQ3aQpkFAPDTrKzY+GkL4prhctw
SFCoNyS8RZ5ZL7PavSl9Ir//70rA0GlUQv9okmlBwxfj5Vyc0nXcB5Oi++zYdAICNT10lT0p+DVY
ZpaKs0SZ++ptWEcbI6iGjwpvweFxkSz15HFYOaqB/itWOT4yP5SPoy4be7loKuxZMk0OsizS14wv
ihmv6RBd4N6I8JjqF3SrnbKMt0GBZSIMTSYfRIU+RXgw15kri8tco1TySDtrOU07Ue9MNB2rWVjC
IG9lVK7y5jOF3sWA3Reg83JIVRplduqB/g68EvOoMrOXseO8ayNj+rmLYzAYv0a1DevN6+XKmjZF
qO7VOrf2yWjUK/c7c6AJG9PwyfEU/TkmDq/MjN2osHsItepOu3Ar48J49+ps2IdUFlFPfRNa4h/0
egroI+uIVfyG4JgjqhokSVJBSnIyJVrUfrPSo5zMEpzexNK7IIky1Q3WdhY1J7+gTl1TTwqmcRLo
w3anlLQSmYQAKdEntKoe4voHqbWn+5ef1Qj/Bh3ennJupBODqwxraowU6DN3pfS0aDGdUip75J8Z
EZdBhX5OMWbGRceTxHhruo5MfefHvDwsUgf3Rpy9BK2Q66ZVmQKVRkrEThYsUdfzGzU1bf1BNcKt
tL2jVdaMRwiFLKakFItj68RF45DVcQ6h2Yh8/MfwawzwXRApumFN6K3+Om9WoaOvEjAGflUW/gKw
xzGjL79FWVhusrpWT1QH/1njIP9nLTtJAxqlpwj6uiqqE6wSn6al4FucFplXQphKJolWVGZHYk2K
S1KKF1UVE5qtGXC/h36/6qc7JrZcsHEq6biPb6jkSQtHQx8BdEVZml4YHrM+MJmN5FHF+4zFyZwG
efPtPgmpvRcF9t4WQIowtfaOAziflFsxp8Wzpbkbamxi+nYeX1EWmkez6w9dkXwM8aBcElep34S1
m9s9qMfas34Y/fqX1kY+tgGERHTwc22BV3VJkiWEDyVXYUyk0U83FXe7WzuFFn5ZFZN/xOPpoZfC
uOFI3qAfpxvFoF01zHMBtpfpRzQaFLeEeFF0umtW2uB/a50u3ziaYe7I0/bxZkb2oplmCmWbudva
T/FcziM+2v0nKBTlprF0BhddrLy2RbPAbkl1d6xoOHk23zT3RVuG5h5lBHIxSWUFNllf4kYV6tdE
tgqDVeDo6lfcZp+ziqMxeuNOtIJrKafHZDD3egryfqYcPWyxHk7ZGtKR14XGs+fZzZaxeLxlXpdR
+KEB1CkEW/qtXGrZYu5ak+yYXue1DEKeq62a0Wa8LbivFBVTbMp/1jmIilcc9dabrprgi1ITfZZH
VRykQctlfN2RNfUauNpvdKq7wOBekFRXiKLU8IyMo2ue1bZu1OyDJK5XDaOOHcaYEruh2MxSEY2q
64I69obxRfKsETmwiOxk+IxH8dw4AbXgeGBMIdoVrXdvh4pBbKSOETf26HF6/TQfoMizns+T+bSZ
N12X4vpgZmtLZsoF32Z4afsQKQrUIiillCOnqV01tbzd3E82j/54NWAWDMyLn5X6di69944015iY
xGredMPS2TdAOIg3597QDr/IbyIie9LNeXGMojuIzEvs6/VNVb3PIkGom1bKT+4Ah76iqTmtDKM7
XAlZEItRNf2pB064yTTpnxdiCRJ3G6PD/goq99XOBu1NVra+Ir/PPgij6E9NNupYTyGjGwWtKkVz
vKWiK9HJt/rsCMzpOVVxhwuq0C8KyYAUNTKyg/1iJ+twqq6jgqjQ/BA2UaHx6ilkCuGQbBZ39U3X
O4QaOsVK8F1UYPkrGxDB6b5pzNt8ExY5Sp3aaDQmqNgxszzvgOhzQtdKfUCbnVxMWmzQty1vqU+5
4RFxLmeUmPDrxzJccWZmOzOskHipnLYqfOuLVpNHpkq1eR8yKpq6eiw7xd1ZZu6QgjjJTtF/UBRS
W1KlzPDgGmV4nu+TY4o0CrPKey2hss4nlFVCeKyxN7wFjkHKEFbXcASmKebTczpRq6mc8rgAUv6P
ni291TZMJ+Vi/g1cqXvLbJL0jUABV0QDZoiMbP0VEbt1ZEB+0RrSmqUrjVNvMUTGtqC+0dL8f4yd
13LbWLfnX6XL14PvIIep06dqJIqZFEVZkq0blGyrkXPG28zlPMd5sfntTbVlu3v6myoXCjsAMkmE
tdf6B48rzDMBZ4vmzNo30ABe8bEijJzbboGn3Ezm0CFLLVbtOo/9VW10ML1Fnq01jadJNcNNKjB+
Wl1nW9fomkWi88isHGW+xY01vY1Vrj9588gBRLXRBJ1QkNQpnhxaBbWI2fRI+XAx9EPsPLQKL4ws
Q1/ErfnPOoFJtl9gMDCI22kdioah20Hcd4DRGYJiUQJW7CBYHjrCYopj2cbDl/TK1eoKu20KBsD+
ppPVoUEzOynOFjoydkANGBUoGX9mM+WUyIvuc+AlKsrgg3JqHUtgOACvjsqjphRn+R3khW3ddwjM
x35cbSbbRx0cjuvGV01vHzgga9tYa85dSXokIqf6qYmtJ8wTBE6rc5AJt0kmm1PlHoD12HWFFIl4
qNYj5ALC1PQEOdBY99FkrFWtDo9jWNwMcadeWSEhkoH93krkA1FTKoMnw/CaBa/taKPGvbnAQya+
qfGxPioBvDHPHTaXiBU9S0hiafJt6owWOjiMW0Mbwtv3jVdS0Z6U7tt7FySrZRX11d5NkU6VoVox
UMZUU1RQA8KZRe5G/SqSXF6xF8i9KaeSEsdw2bg8hqJGUqJrUM4buruSjDSEabP/qJFO9zTdOTdu
k2yi3q0Xig2Pd3CBT2MAfnAs1IVFCw8yDDx6yHZdfUA4b35pLEjZDlJz2zyp8Z7PlScLe9yDD7Xo
2hqckk866gvgFFAWYFruho6ACO669tEcPBdlgRobM8W9Kln9Xo8YOV5d4heHxD9qWn9ccFbToEU3
ifanDeygj+6mN5q1IapLOYH/GnHrAj17mppF5bAi7cNCqpxYNbGZvu/N5syTv1PXceuBMHK0T0SA
ePNgFYJsqxHHqxgI9KcptaFZqOGXhuwKCD13YbRe96TZ2mOLPt4rYKzrMZ3wMdVy8NoutTEDfvSB
HE355JJ8nEl+PdgOiXXL8iroEcrqAuJpA/0uqIN1xtV6SFuePQJdV4mNPxk2vij9Sj66EktXF7qP
UU4c1sA3aggjrifSAwGcZ4p7YL/AOVJ7MY+9aEUYXJ5SHckH/Lco5YimHAhi7wq/3+EmTLAdk/8N
l1L1UjY1kUUWih5kSePbrBYiGWI1hHJVesha/Vm2LJ6vLKDBL+Wkr5dKMPe373tKLPLqeOMuyiZG
IbB0fDhT86eCfOA56MOnqW3ja+67Cigee+SeeY2LvUj0KcP4Nhr1fLR8KC9zZb+cIefmESrVyei8
NqQu1pY7Jzeal5pPRmySQ0xRmR0K+ySRDfFgAf6cHgcDWXoN6++lDJwq/GqXKtWINHFn4RGFUK5I
cPredNspGD46TlRs5NS26SqS5l3CPYVhoa/34S6aymTn6MhfpAqroYkFwEPfFsoigyt8RMSD916G
rkyoNl+sqGmeRoMHsMDrT70wCi/NZIOBaIQr8HzvtQheZn2YnsJ66vdulWPnozrZY11oWwXcsaW2
1bk04+aREpWTespDGhnBvUs6RPYGPVK87tQ92JpeP6ZDMu+BvPRXE17gD7N5DEhBLItZoLPt3jlr
Lk9Q7OTcL2g+PDRxlD4gXqOsUHVSVrI5tvGDnNB6AlJlOQ6ePBwuTzRUwwzIXoix9e6X0YVvFrh1
sPTcELigpvl7ZSyBpeC38hJ53mmco/ZjHhbNdmyBUZaIl76ALUDAJQg/eVAQ144C2xJPv+rRCslG
xWCW2uGzgbr9BttSysKiqSTtR6xU2nPejt2xw1MSxUv6Q7+ZUGuosv1EfvVBy0iSAd0l8RocKlH9
7WZd2Wxh3RIRl1S9dNAamy6PunWNINnetLNVWuh8NyDxFvLxOHbEg7WCY6IJvIi1XXueUguRIU1N
vvVYhOhq+8p3K5QA+vajHY24DYVFez3GKlJVLfmNtPP8pbcF+ElZpQvq9h5BQnWfZ4Rql7YSwHnw
0REvu/FBqUpS+UT/JzWcHFYaSr3PE1/Z8GGtNU4A9mGaCcaqMdjJ2CIt6vgUkHiRLRhksL/a3tnh
XwpuhCB90OEq2MVUnxun1tZc+e5qmHmClawbV4Rjzqpxe3ejm2Z+HAs0r9JB0R5zY/zaocjxR4yl
C4v31wlMyxUaJGE6hA+D2QOyr3j56PzOu9oZscrIUxyZC95Fs9mpr97nUTXnmz6plD1RALFsp9Z3
HY/jfY571qI2jPol07TNgAXIYwQBbU0eFY1oVC6ApAYs7rksNNyCBUAoci1gOXrJS7RNw88U53HG
YrtXo5hSmYWPWAMBBDBj/BEeozClMsNv6LKitx41uJEYD4FFwtOqoJQgbzpemS0Vvoi6RgterEMn
Zkdlv0F7hCapgHHhA3Lb4NTVgt3A2Lbz0XeD1DOubRFraRY5rsoGtiPDDtlXTY+uh6JDWFjpUlPd
+DyM6rwx4Z5iPUwRWfbVVfVcRik4vxw+fE8hJbxBfUOj6EUbnVEBaROY/S4vP0lWUae34cYdlLUS
anCf6kzAwXThmEMQ0yHkVly3ZbqrKns6YkSkUJ3yqi2yPRDuuuyx7FWU0OPKWDooyX82EA0qmnK8
LWJPgJYJzpLKNVcSEYwO3A2yNf6DbQvvBYfqboBwfdHkd5mTKHd2pXd7oCXnWojiyE1n1nDHU/84
Ijv1yAV0yCkOf8ldlqxRkJbQbE1nF1oKUiS5l+2VbMLyZSi8Kx1glPAiVc9GGBewLNHOqxLtTBFZ
OycJqCNAvXDwvOo5uZcRKvEzntWH9DyXwbzUs8R4yg2UGP3EVXHIattVO4bUPqBqTivMIUMNGE7p
7vEoBgGU5Vgnx5FADK5xR6z2XErUQ9paabaAtR+IQYArTuV0TFpivmB0nbUJl+IUJzrShwGv1qHQ
0y1e9cUxKI1PYR/5V72ROI/yAPCHziMrMf+KEpx7ZZSjeRsKFaEgzr4a5LCund5ob92kJcfahMt6
Duw9Is3qDXWz7Nr2vIfOiccD1s79x1a5r1GrfIiJ/LZFlPf7NDDvjNKtd/x3YMCgkdQvalAVi0xa
d1MZvSYaHe4q/SUzfPSuxkDZyvjHRKyjtUAmRzovpAT/s4WThib6G+5KHwywoY7arLTAP0c10bnu
4pQYFwCG5l54cRsDEpQgHBfaGFWfuxIhBb/Xs9tUvEmDRDuUGTCLuypKBf4k7QfYXGArraF8SSLb
2FsNfh8YMYbrfrBR3Sych4RYel00uJLJvYgcCGwGp1r1sNpWIayXZwAtRTdce7MZor6pvg11Ck+L
GoAfUaJ8viGYl6D0ZXSnvgjCraJrOnJhU/IRRbgw2Vr5OdPn6TZV0hxUxYhs86w+O+CJDyYQyfXs
WWeMM7O1C374ChiN9lDY1WtQJd2rpVOhshrjy5xTvsSYvbxL0GdcO0QjDZZaK+7p8k4tQFyruG9/
0+dFURj2t1EB1qYHkwvAFjx6gsJWgR7zjYp86Uv9ikhU+YKlYLDU52HY6J2QXu79fBsZ6GI6ZZa/
dCYqyqIgUMTmEjTmM0Xm6ZyZPVZryNFgBuNNn0JQkkUzKB91CzClPc2P4GubfdxoAO9FCqGsiZ15
VXUHD6U03Lws1oIOmEsH2uAyGpAzvsZy5sHVhjV5NvWo6p57KCckGyAgRV+qFPRqod61emfc51UX
3UD3M9edKE3pfXs0eXidTRckeJbZd7w2w2uoj8VWrt5ThVwlZLLEJODtDfhEiTUk0EJIZAp2VgYE
AxYAWlg5ZtOI486PSjAEeAzW6mMegCxUihe+c7DC9ow7iQEKvNfgWJeeFZ81S2S19Dt7TnmsGrW/
TUcSBVVEIJm7pFhT/Zq8uNAttNNPrOOCXeKXj56aWnuAAcTDok6YNxgtx4ApcBEJHiqybIfax8ka
0YeFqTp7mRHwUDwj2Vgfy7Fuz+XMY82e9WFBtE5MP3o8fck+IB9hTSRzylld55kP1HXUPPEq9S/f
V82trgAGPHuBXd5ppXFfKJ56Fw/J2dYbnr6YRiyjLoLJkDqv6pgFp9rNrbPv+wd4kJ+DTETFFSQu
lh+fk4q0QJJYxqmjzn9V6YBJMqBFMPlYdpYRbiUo8npo64pFKToSsLJzZdekd91QG7dt54I94ld9
AFKHzL1rml+61CFdWefPMlOIbOWdFjZ4b+DydOvXvrHqoyzcZSmw62FKm1XnT+HJ1BHcH3uciSpE
1JZ6PGYfiStITAZwIGWTlBr/VQPVGBshP7mS0w3mvjdV0TTrJkNlx/RW3dwqCM37WMVC8ruRF1NE
lpj0qoccVqttLl+6phPvzcWkrCRRp5nhrQVYPkruTs27pAwKVOiFq1cpfFycXsU6WrE6mCWiU4UV
TymhxENSNHXFjm9JDR9qo/TfMkWoeOKtrm/lUswsh2Tf4OBWYpZwUqr4gS9WecT9Rt/2Pr54lQWv
KOhwnHTT/gvZLmgis1rft2WjHts53ZtEoeV1r+NJ1thqviUNXN8HxFJbvUYdUsVZXgc5fazIEzgo
TkUZWuvJtL608QgDGINV1XVpYesTd8DRdcQ8zGWdo7eDSImx9XnJmrCvgHKU6Y1SKOa9XrrKMcBE
y0NUVC4AL5tEYSnoZJ9txRGFLRaGcv3oFqO/zDyYjvOIjgKmS+kyghYWdS1aY53nOSCuSO4lDoay
RhS5nykMrp0oQoVfoAh1h7va6x2Ij/1NmFPF5wlK5sDBCrRJG3sTpmq9kI+QoCDLkIZRuWvEE0Xr
VZ6/cX4G4kmu16/ANMV2t3bNxl/IZP3oUFQbcKLe9J4znpzW+FaE03VnN9YTFVt3HYPgXl4yIbw5
wip0d34z5yAWwBTjAWSuJeQ9yj5OXNILFFmsx8rELSS3PW0jmw2VGGT8RGZHj+zHOrRuarXbldYY
bTXC9IPOQ3EEhHpT1rwPohYjKjPiUeFygYOkVcwCekadp1uZ//Im0Cuohe5kSxPZMBd944UPSxUx
RXMrwx+5QdR225dlfZQtjOPa7cyqCBn6tOXtSagUa0ZBolZVb4vMH/GEr6tN1WjKpq6Ne1MVBU8B
3xvyhrvL9Z8Sv8kAClQIVInaTBUrKD5TH76zUVnbUpmAdyaacgM8y8QOEME4c8Iw2NOp88lbKW2m
Q4z/9/Fymw0ef9m288ugnNFR0HeojRxlK0hYXEwdjgrRTE1W1XOodWOI7cbAoqimNtndALHb+SNl
Cr16u/jkFVhAc6IeO+cgMP7MXuCFC5EE445EheRmZbl3HbZucE7xFtk7JeKTAHTPsivom25FeYqf
XsyQA6aSqyCc5mIl++QGdMTJhDiLym2ZIv6pt946QwxvrHQqmIiTLWa4mQZWapl/xBMs33H5bRWI
UyzZXOxDetxmBgo8DwiNQ5RD3O0hV6GiyAJaP5kHmesWCDN9iuudhZ4wjMHqxfJ0xG0FhQT0VbqI
6tjf9mPYPeW8P7oKv4Qod88S+J/lw86vKR5wK/UfvdoijDSM9gZNxXunR3CYmBdIIOo0BWozIK+R
Z95mvj2vK7sGMk8aG7VKsYn77m2vQTRtgyA/xEl/Vfv6AFycN7EkS3tYdmxna3iMmqxau7iLXFXF
MB4u1VNBlpd7epWd1YAqlUVAeOmKUkxmZxZrN61Z6Ufxv0IV1z/lUonIav2TWvY3re5FR9kvN4qi
RaxAiWBLzUcQJKIEoWqRR3JffwyTQtlQqFS/KMXYrzBPB2YYj+lnuYddRXbZu/TpPHlJ1Fyped3c
WRFZ7oZgbwlzK/oEFXlTGVq9psSjgnXsV8qUd5/nyPMFFHra53rdHwzH7RaJ2agLK6lALvjzs5HD
sJAP9D4GA4N2N2u69C4qgXAOzjbTfHc7dJZx6MRG7kHiyQ52ubo0xtg8IA+EEVEExE2X7NnILD3M
OGBZymxePSXPTj0UB8st2hXa3P0NboCUZ2bNWpD4K6nXG+rjZHvOlV+01i4eXWWflbVGagETiSnt
Hud4MDZG1PCEEEmlMLfI7xig7AsS/T6oxHVvU90Km9CHRfCl7l0S+VBo4NME3saMbnkwl08WgHeP
6smFpm+n9t08p8F5qLsldnjabiBUq5b6xFuhUV9YCWAV4rFASlAPuNJaB/Cw2JgsoHeyiZgpV9no
oHkh6rVjnjwHsZksPa8Cta5DD0V2FtNicXKVauGu67th01Phee8yPEwZ5UJYrWwIdiLsA2ZubIaI
jKAM/GTfkLh4pCJcARgHvzEIQ11QGJssKuNjn2KZSuZIRdjPNre+BVl+xE376lKgk20eXGRqVX6q
PAytteYZ895ygphkLjUNJ+Wdk01DszWLdDhaKGXXN43fJteBBfqwaocTGmDpAaDzyZ1S42D25vUP
AS5Vxng5n+oRp7Uw8tBQETUomeCVe7lrTNAkQN3oYjPhXL2wVE9gv0qB/smqgEWMHzn3cGj1B9cR
7ETLu7dy1XiYy7dWIUpKptqPe7v4RuUK5QXHCY5aMOcIE9EkSrnNJs05q2IJlxXWDjaAf28UVbBN
coCFuS8EI6vYXYFLqa+TetBv/HSGQtLrwgBNjayllioQKexCI9DL4KSZnf3WdolbllZp9ddal7gn
N2PBlyl+txjJaZ5kH3qfw0YllYItmOgrgpGYHvFINS7ArPPK5Cs9m3MFpdlUg3WieG97w6C8uhQo
1lSDmgUpQe9zSDFayzEwIHDob4O43JWDWbxMmePyvozm+8id0YeZun6pAJUlD9GrtwBegQpUOuhV
E73n1LNPSZaAxgTrjYmSHVuYBlWgsrt4CXwQfZu+xA0JeMnOExvZlJs5alDHn/0TorbD3mv9Hl1p
9nDNRLmpNMadn0NXpTtUx2Gv+A6gEqmdoWCCkTQYaasVmP7Cb/BE+b5pE0M5RAij7VuqTZhJohYp
5O/yckR4Hjgzgt/a4vLktcNiP5NruwRcUIN4x6rQxGTI1eKfu54EoJD4XrsGQWZvJYSm0ggINFZz
JsZ+dw3+dLI76XNWa6wyvG56mSrWJYpTaHcl19d14bqQCK1RvZMDtlDKM6vW2bz3jfZ8Mt2gI1OJ
kRsAI/26GJ361kCZ7iqKNX8LAqK5TgosFfGXM55Cnwpzkg0feRm1JzvDzVZ017ghw/KBEQ6wemnw
Nn1CgXejIxHwpbVIGE2GG5yIoRzgPrmzAP2TfGka0EO8QsMYBNSILowrxEVcVrerqujcbW2Lx7wr
EpS4v94rRsXT1J7cF7MNsNSFFWZTrHQzrJHCYaS4bZmUnhOMw8eKJWBgwgI3quSkOaIQZOQKMjxE
9g0M2G9F8jFsW/2VAiMYzyysQQeX9o3dkoRGOafcVyzRbnD4Gh6obgoOoae/zv1nxFOCb7rmQlsp
m09+xqo7pZIJzSmZ7wxMi29Ck+XsSHVlxV3k7f3Z1tctSoxbqrPjFnEWZY2Z6AhI2a5WsY/RA0sx
l+LHmN45Pau7sJnE20y7o3qNwGfYqJ9rQ6eqnbSvXox3JhI54ZWJUDx4Ov01S6tH7ADcz2rkkxGj
Evwxclt9kfteeCJ7BkqC4HXvoKC3hXCtr53+kBeKv1NiIIHTVJp7uUcYbuwDTINWcu+9L/q5L0gs
e0syEx/cMd/0ZLDWVmyPx2l0sLOZtewhpMINGMBPviK+TqFkRAVyRlwmSEbtC4ve8UpXxuK2Muzb
GD7eAkxZf2vEFMQNBzYLN423JV8erJEXcfGQRiR+Cr3wtoJwPFkw4t2mHbekuhAYdohTB8AtXP8q
bCGYRm3pBWe14tJFnSG71P1Y9QxKpNx9+O0//us/v47/M3gtTkU6scr8Le+yEzm6tvn9g2V8+K28
dG++0bTQkYQm7DqmZeoYoZgm419fzhHqz79/0P6HhUBybffwsEynRRZAScc7FDyxLsBm/NmwzYNH
av4PXccfqNObr7aL0YZnBeVHa2Bx4paYT4XV0C6yPqcZOfnHvg5RIrKy5itFgUU3Vuki7ILyYFOA
xsyqI8uRqs5tocxCjLttXpoK6mZTVLxgTchQZKSGa0Ms8FDsaV+KQkdNNfBfgSWexiiOKQ0HzQzw
DJltF/78hUIeA98Dq/1nE4F6YzcC0bmMWk4DeVMylrNiQIdeILQkTKuPkOwHaXclv9f/+OmLbeQX
/RX7E9DipCp+bv7X4v5/ffztj6L+7XC//Pif4tDvU3+ZuXotji/Za/OPkz4WGf9+nfLTafkfvP0P
Fy/ty08NDG+jdrrrXuvp/Np0afvnRSJm/v8O/vYqz/JxKl9//wA/OW/F2YKoyD+8DYmLigvih4tQ
nP9tUHzG3z/cl0X8mv/3//mtaf/7f7fTX458Rdrw9w+Kbf/LA1bqkaCB1u061offhlcxojn6v8Cd
OJ7tWLqne7b34bccHfnw9w+O9i8Dg2zDNnRX0zmiKTrRr7n/Qk/I0jyBGoDHrTsf/vz4b/fI5bf7
+3vG0MRN8X7TmCjiarrq2ZqhO7ZnuLr7800DTbNG+j6xXiuD+FnEQlzl+qIMZ28lAyVqQ/oCjBw5
MDGquop2GdXrnOK2GMXq5230746Vp5KT/+5YzXuJAmFWKEIEuXFTVpNX720ZMsjg4Ze+OBBh26VT
afY2lb11IDTi3jdp6f3YjMxM2Ql4WuUZT0GZZnvD9siPimY15erNMITOSrcr8wlD0W9J3g63wQjq
GIRi4dTxMhEqSlZZIVSieZiMjJT04rZFjx9W0wLeqL+bBIhW7tml5+9yP7BrIbDj72Q78TVjCzzv
Cmvi4IZcEyYrtYECLpLh2m6U6wNNBPKyHdrdrSRclEh0owVi5vt4JmAhniz2ISJqxJMlYfLPA7Ip
NzbMtX1SJgpxvtgt115A8k2OpSMuwkE4ApINpn45GrN7hBXWL0l4usdQ7EFXGq9qzypYXK6KxqBc
rlYAhlKU5BNFGC+UfXHsxcYXkFbfAb9qldRJW7ivHcDcDBeksgq8ldG2RNHtTLmHXJpWREJU2Q+W
tQCohQHouaBsHmCg8QJCT6qnbBVT3wZmLDjFnZq2Zz5Hv86xavmBZyzulSsPGMFGziOfHJz/6SB5
otTq1waUvg1hCkxHK0IzcXCTHzeyr9QdQDXfB2Qf4ucPb7+5axynuF+bGsi62ojCe1QorVVj2uDp
hOLRiJT1VT/Auo71oV1VuFjuNE3vtqUz4GqqVdERrTb7Jndn5HNG14D+ioobdApY9lC/d2UOv4bc
HiWToYkf5V76fY+CRXTpe99zDF1fx2lo43RCFUuDLL3yEJanniDaQ95bK6iywbrXqDD1M4BspRnC
e2dM8vVc99U6GFX3XDbgB2VRKByHmxYqKDD/SVuEJmBGq9X9fWAkJqV9qC5FZ6JIj4oBAG9VxRcN
/uSyTPXieEF5k0Q9TmJTOQOVNA8FJTlQu4DSuW8YQbIMEFtVfnU6UiF++nxZFZVepWxF86JWVTgz
VbiueOb25AN9b0p5kGbeaMacCb6GkNMAz7yL8xQ6VJsU7Y0xzHjsic7LOJWdLza1tjW+rNFNAW/n
uuvRel5ZylelJR+TkAM+ZiKvFjvp/IiWU4rZRBSglYWoADZuVok+q0DcyZSR3OQm4iVe9GMPhU/W
ScRJEpc3puP1aOrTKnWC6A4lN2pbAuQcDQG4/G58woTu6OTVSkLy5UYi8i3xHJHNTD5M3tv8gLf+
jCIHgAR4svjAH8IaxgKvm/lT4KuYIOj2t5BlnDlb0VPmkhVULT/eFzM+A9S+3qbimbaPUYx/+uFl
+DcRGSToX94unkpM5Vk2Ej4kfgEj//x2cbQs6kI7dF8TO0optiUIqpO/KrdKiWw60TFtuftr+9ep
P7T/svvrsQ3ADmQdRvPGhH380CEoWAmhpyyKAOHAtsyajOgN27xU/MxyA0nY5BmWCWWi9tKf6Wg5
kLpkiiuOGJXav5Hz3g/7fsR7P8pbAB/lEf/+byBvQe5vyO8nF+Zw01N0jvS63vt2GC8su6W8mfTb
YDSCx4yyw4YUOyqntVu+9LsWPZ6XJiuaZYuWxhq6Y/OoKBm8yORqmNv7kZzFSbFb65yF3SGYnO7T
hGjLerZt80Zz2u5T3lfZVVY34W1mNcG6DhwU62r8p7x6Cp97AQPKVHXcUwicMDiuTo7ob9wxvFGz
2d8AQM+fZiJ92d95MR7WLaRqcPfhs9beDixCPvlgt9co7SNfIbqD3ty0cRk9BJ7b7loT2BKKPNGz
oceLf3P1ufqvV5/jGDzxTMM1iHC4FH+++iD8u5SH7OhbrCWGwPoop1gQj00IpzCedWKG0jfO3ezy
Ki+mZxylkAYMWoQ+msk4h4HyNHHDLrUB+Qq4S8m+NtREJA7f9mQfdLBTks+gDn/ul3ORQhkhqYhj
34djuzrVBjjFvzud7FObeFWG3Z1Dautm7FC3UdvMghePAEhWzMGnlhqbI25uy7dOlW2qT3KqHppv
U/tZ/2Gq5MlSGT3FZaY92T7qURrcC0gxbYBDoGIC7kBFj9Qht+RyiCHR4ooSL9HkS8Cld+Hb3s+j
v85TyA2MiMFcjn0fLdxGozKH442be+pemeYfN16pbWLDrje/9L/PpeCs7mXTtkjpjJm/jhKsmK7e
p7wfK/usIr/VoZat5aFyUPb/eljmqWcloQY9FhipzOCueHliqQmi+pM94W0Vte7wJSjbwwypEs4D
bpxRBDLliqwoiCivPmsQCa4VK3/QYIRexOS+tyg7GZQ2qge9z+JbiQYVY7IlRei+z5TA0e+t/8dx
gM1+OMv73wv4C7L181+QLTH281+XMy0E2DYJ2G1EU6Lw4EK8vh4tvVhkgh4s++Te+yaRAwG6/7Y2
vs37u8nhiM7KP9/JjvPzjczayTBMl/WJrSF4zqLn5xt5DCNIr/AYv0Wxet/OtXvnkkQ6NInfX8s7
mpDgaweA6Y7QJzpU3/td+iH5vvX3M/buMm8p5o9O5P0wX/YbgfM19V+i2jt7bSrIaEKqxf9+1V72
RB8CONUNKELzyiMlxERxUcthuZFXm9yTE3k7AnYwTM4oOy8ndzU/v65moQwhCswVLPCrvPfynSzV
ZwVMqBDM+0I2VaAzd8ArLy1J1DJ8qprRiI5/ZD3jmneNtrSF+mjb3A460BqphlpZ4XUMdfQZ4cIY
Z6g/Z9jWN9/aNr1rb+AXkKjRhLbzexue4D//ipb9119RLHZ13RLwF+PXXxFQfOHwDHK/YUiloQZh
aZV+IxeGhbZKOx38jVhSJsl6sErlYxnZxX00vfSZQ/E5Dg62XZMr/94spXJrjI6IHPWEziwqA8Jh
fm3NZL8NMw3WDWpee0vsGaJP7sm+99Gi9EHpfp8n94ZoOGv5HO1BXbAGMXX4hFUNd24O3jZyoOi8
kUXhn31yysxLFvUDBrAigWtbi+MAzr+dRs6WE71k8i65mp9SNT/mwOy/3ikOi0MTmUghOMya/uc7
JbCwjlTH0Phm5W1wjW0B5uzfNzamUqjFiDakIaJDIBtGGzVwxv7swpaFelPUG2TqLPOIVZp5TLAr
QnOgOZhTZx51sZH9EQpgmOpo5vUvA3IUPA8rWz26aTtPaTcFGlvpERfteBHp2adqjACYCDZiM3bN
rSH2RH9hwo64zE2oc92aCA71Zg/DRy+8ExDyncTyGcnknsRYJTQXv49JrWDTHD4WRTrdFLpSbZqh
jHdyLx6mtz3KUW9776PvewE0oF2iI2T2z9e/Zvz1BnCRUTNty1U90kGm+vOPEzqhjyqeWn9LYIo1
5g08jCUZRuWQutWpVLC8kK1Ll6OR8atzoW1kuOi+XdpithyPEzxxBqfeTOSHMQgLrX41ecUPp5ED
cm5kY5IA/KjFtLmm/F3MymdLz88FFdDgigTJBKMP0Xr0kfS8ekaJPbhO21y9V8N5vBHZ6UNVqvFG
R0p149qhcYC/rt9oQ1zfgwWNsfgKg2dxxjBxVHFGZMeSs2uENQI7pYGJK9K1pqquMLdCyLTHS3BW
HJR8Uts/yRlpjal7GsdoEsjLVVyeyFCoJMrFNTtU1EeRQUyX3feR94mFjvekgbDRdT4YzZ03FgAS
4HJKmTxgjTr0Uxcoh+j7PqMdqwQcpn+uhLwkwuX5Uvd9vDtEU/ZFwBaWlUfs58gVZ/C9DdavvpMT
ZZ8CxXCBnFBzJwfez5XlQmY5B+imNUq7NSHZVa2bH7tgZD0s9hw9K46llVs7rQIw/HO/nCEHxZFy
6vtBljiyFkd+P62cIfvlNFQLLqeVXb8c/vNpG6/4N+9s9y8Xu6XbJtrWrm3ZPPKNX97ZLZbD8ZTk
/tdkAu+qOeh0IkPECl1lmW5rbraTzcryNXiQMYjPmTXhlRz+ZWLsho5zfZkuJwEGfzvR+3R5StmU
p3RL6zbFcXOJ8A5CBKZR6letn3bHcid75sEAnSy7nTKmGjIAJkt5qesU2jhCjpO17a4cJ01WsxZN
x8vw21k0skhXUAGtmwLRpdoF0d8rXb1HQ5IqrNyVm0ZJ/V0W3MiGOiDQ8MPk92mTGAlV19spKcob
JaeTXZddH42mZesY/tJv0uLQ5PmEjCHeNQ65t4PskxvK7dF4JXfdAVF5dao3doiczaXvfWLotW9n
kH0ot3nbf/O4M39Z/Duq5aEnLdf/PKEM95fHXQDTxfLKVvmSYL0DDpxlsVK71UJDGmgh3xHv7xIX
X4+j+yw7EDqW1EHeM1NmVItkRo5VzpfvGbk3R/N4RAL5clbxlrqc6+fzX/5oFDt/4PJ5lIIzuN9B
nnXOoWpWp0vMIAIHluDvPQFIhlMJkaWDiMbvcic1Jz2lDxaNWZgrqT6ZzzbOJZUORFMoUl5EcDnA
9HkOyC4yrhwwzFdp0+QrGdsoXtItuGeKtWwGWQWkJdUQNBSRT+j/OSoz7++jMvMuR1Ux+ZdjNeyt
Hgp0MjZzOf7hC/64lDeUG5Thv81loqFXJRigYrADVbmJ9fqPTDgVpCpoa4jjBp8kK/IOwdNg0Qsd
fVjHyfWkT9YtBq3dDs4DtqONHzw3GArVfmh8mmd/EQRVsfLHLoTnUYf3fWWE9xrKBF7QKreyS+hM
EciW4WKgbrapOxARCIPlqGNHQOOQw7qtMIC+dcQekMwAobs53bwPjIlnHiplvpbT3vvlSToclH4Y
IFc4XxmqQrAR+eaMREhFdiMhmovL4qQq9td2csZPkMbypaNZKAuU5fTJ74pbu3OHcxKG/+ZB6FDD
+bHC4pAVU01TNS0N6S+WML/kwLrh/1J2XstxI023fSJEwJvb9pamSUqkbhAjB+89nv5fVa1RU5w5
88W5QaAMWhTZAKoyd67tu7VazeNXVM9s7hf5qGBoA9wEVJDxWFiZTzlDC7KmD70j+vz+ibBts6NO
EHMu0ZSHvny287m6yIYe8b0xHaQishlquXUOYutRtjo/75+op/iZpFV3JC9f3hFbNa9xrgmD0wId
yFHGsK6xqtT1MOXq02R5m2fIKBao3DWAfkoRDnIRBtxb2SYljshy3YV06X3Tm7wMFwMA+o5unY20
eJLBfXkoE6AGQJnuZMvnT7BODYfyWpkNiGv7Nr/QJmPZs0A9mDG8V3mW2aP7XE31SdKwZD8mguYB
aYj73Lrlx35jUFkOxfB1Bk0N/P+1krNEVowlIxlokRVE1KLZjmkbqu1RjGcS3/xzJedWetNOjV18
babBJbfv1/sWO754nCCmjHk4niU+Wp4VSd7s7bq5Yz/XUP8hJovmtdjEMy6pmjpnr4iyXel54YGq
8OzsxLO9dpAGPvFm8ZAzRtlfTjYeE5yrWWAhSHH6RP/uTBNmDqp1pxMTBCoGATdW3Ym8EiuSSspx
gDbkDxgcLDxn3naZD9wJU9voByDndpVjw7CcxavndrBDvFpdcbj19XkpLKfRfuuetvZY3rWXorf3
uV8j+BwN6kTDYoV4wdpbqWJ8bm335OteeenSabjErX/kEZgg8b53BP2dHyU5yTN5cKUTVdxj9tOk
2k721R5ISnL16va6bSbx9EzJm4/u8O+Nttyb35pyYy333b/nyi45w1bKtW/17b4pgwlq0t+HWRQv
Z0jdMspxd4YRlNXiNnptOyEJK9tHbxcP5v1sD6sONdnZEC3Z1fLWOarteJYtnjG/+vsC1vUUq8Py
1ienkMP5onVTsx2I8dZfYwMa0dCO9h7WKduvcgLkbeTGktjldCymLP+s1fG1v/D9Yj+FMbblRKTe
DEp/FpmtebAdcvtRM9sXIHDhGywbspXeCAsYljZJpCmcB6TgQjvVgyB5yo0iemmBnoVwL81Gkw0Z
MQJaFYoR2UjFtKB/Nw0yZBXjMf3fqwXw1v+4pXg2UuDrIHFTLdsWt9w79Qa1UQhN8tn4moXcL46p
uid5UKDHb6opbRe3PjNsKcbVCYRf5+Rpqp6486zfV8m5H5pyPkZtYDQy/ktO1T6Fyjwd4t4jMCoO
k4VljslK5NZlR8gtpkrPd5Ve4FYppkEHSza22rhL2WdQ4Y2A0as2ACxxAx+bbK+Nlfdc2QqOYUZZ
bWSznM16l1A2y7aD0RhG3xEDjnYhm51rafe9ap5lC2vR4hlOhWzIQ2b3Oz+OnYfAi77FapYfKecJ
dp05AlUQe5ZJbEA+9En5dPLnvFufgqZ4cc21fbiuM9zpaA2YecxK8Nah7kPU1CtrTQ95pUyBf7Zn
tV9h56m+qXMAkqSzv/85NXF4+5hiqlX1/QrAz7B1ocGQeenDO1ccKpVwrgo4MwR7dWdbVaaiz2VA
tgd3xD5JNfdKrafqQvZ5vRXe4TePDXc45et311WK7mwFkehUhWF6b8ztl9nx1E+xzTLNRL+9lM26
HMytk4T5WjYbPY3Whjv4QJzF5NQPl3ra10fZDJTq1UESd28HtYaYulm6hvWj87ENRhBsPU1WFZ1L
W3uVbzHZRW7uyP42unfwsjsFiXkxp4I8p9yQaTgzLkqNWNJtp3bblslRvSJu9GG/RrFEsUc15oI2
9Hn6tN0UH6rI3Iejmi1iHc9xoRc2xCHIyuYom3ORFDztPNDIf3fJMzlNzpBNeVCF6Nj3tWZL1j1a
xEFHOaPvGOuiiKJXGwCTQJzN52QI/E/U84dOH72qvgVa3s/zpWzqXmauHFvNEJwzCp7g2OeafwGh
+eY39l+JNjmrwIZm6oVF9tKG6VHyAWR/JPp1Ki/+rR9gun6IFGNeyHToaHs4eYqmzInKbKgcuKVN
b33UQO2oJNsrjWqcfTUsNrz8VJLeNG8H73fTV61sAZERuaDoC4h9TNfZNbVhgOL3flkZ59iLq3Uw
mvnamA3o9mzDF8EwVG8EDuZlFNr+sScy+VJ2/rXW06Q6cxvrabtpZrV8q3TzHPFmf3LN0LtePgs9
8YfLMzhesp+lkrm20A1GCD3fyR+MAvudOHOMg5Q/sBLQ7ptZ4++AaALSS7u0ZlaJLmY29073Eo0+
ul525RiUkWxcjREa7F4g82WfZeN6rzsvXlf8MS23XpOBnc8iLHGsMafLr7oxL1dW4OCijSxXUb3K
F4OyusXv7fv/fkNologYvF906WzhkUjZqmZYtkVW+c83hJMp2FYjsQYtaOJ+yfoLAEmEQYARaRyv
5zZ+kcfewd5DR/i4tOTQdYIcuh5qq9zGQ4TzdRNSD5vl6TUQXYqmy3dzLbdcFK+UFBQ26VpuyOy+
+DUa91nxCIdoI/ULUs8gz7qme6mdDkyN0DXI/psUYvh7UPZLTcRtmoe0NZ6bS4H+fM6T6IXin7XT
Z9g9ain3VJQphLhgGnrDjGyRGO9d4g3XacqMiDQbhU2wyFSwulBxgKIu5JaFuK2EPmQ0bpM/LKc+
NG+fzHsKVxXxD90+VB/7U2vE7r03tncyL4lw/VFTkuGzWWPDZ8Zpe6IEzzvBbwjXVN5mr41R30UN
Af5OBohzzBouPu/SBaYD1b1psfYddECf4j9twBzeNVNNvkA05TQQ3cOp1KBiFf5UEdYeMxyS//4u
B1P20pejerh+mQ1KynYGLuMYYDNFHlpxFtrFSzcU6uHWf5srP/N60yhWcf08PAigys9YaMnKCSLR
SK1B9axlDYU86Fn0Zc5gfcuWP2gu7LVX2ZDXhA7G0UaLi+at78PnUOih/o8lliVUgx9uIEP3iMog
MsJl7h+7lmTEwcgPi/JLG+rZgbhceE4FeguhEhAuNh8rq7HyZiU7/21YDrSl9dYgbz3KjWZLXaId
9BfZSOqaugJY5xS1sglVxk6jnmO8XDe5SaKifHVwBatdGEwaKFd/HK1hFXtdsDKqshCEYZsqze5z
xNZnXUQhAp559u4tE3I58UPjs5ub8UH22SJcAIeQXJxfbWVrnkz4MdK9YcAn6DIVRWNSkeGZj244
r+UPRX1avlETO1zL3TIq3vCRVPUSs8PhSc6oMUpfFnla7GWzcmxKlESgRzY1I4Xem0TDNjXn/ISD
6qpltXRnlxNRw6olzqiF6rAGwNou4XfB8pRDjaJ+8UrX3E1eMC9x1Al3OO30q2ActQs05341E9zB
A0P4L4mzWPQVvqufryUPTqJ5vCMjUulp+GCFOmkTcWgq8kuyn03fg2xBV1pLmwbXTpyHWenf5KOj
KWA99KWSbSnUFdiTmCrS3H9s05FqXSFZa/U82Yce3Ghb+JfKg5L5j2DomrNs3WZIyZu86vdnyBlR
ME44gqHsuT0X5cNO15rw3PrfP3TLptPr4ZlQlWzcHpny+SjH/O777WEpzyoTKLOLJ5h4WZVunJyA
kIN/pnNHCcpA7WCBWAaoF/G+MOKXasWfutDsKemrir+qrH3wUtP/abdf+3yyUUFo5bpAQfi9abUv
FLLmb0FiB5S0hsah1NlQ64qBw7IeO+fYgc4RWU2xz+E1uFATZojc9MmB3H2yQ9aAvapQD2OPlEDl
FIpub6G5MU83hdef+RY8ukFofvt9kgbxtQfWxW2oxbAMO5LkaKupe1bCBvDeUBNa7CylZitCp6eh
4FxVrV9u8sGJHqPYsg4lVUogEUXFcUNZ10pRE28jFwc8ferHWOAcsOdAv3a6Pf8cfhsb1nvZ8vro
65tLS4H22tGQWQ5Rkj4z/1Xzze5rF9nZogddcUGd3xwctTTWVU0OycGpQs4oOszV27oGMt91zp3t
m+UyqRx9r7gFL13Xo4CKneuxFgfZvB3qSt0ORhoKjoZ1HezsZNjC84/mT1pNkSoB7zXBt5DCViqC
R0HKw6ka77xxdkBgCEpe4cb9JqxsDMDEsCkmRsBN2HkEJDKreOtGwH6M3vC2mMXNB2wx8lOatNqm
02q+PFQaUA/sO58rx/o2zlb+o8QK1PGQ8VENN+2Uqh6/JvhKL/SOCmtIgei/REV6oSDI13X7MW3c
6qmI4T6oXZJs5KARtc493sCYtDAouwINzGVLQHIvmwpA76NFddwCq7W2JE6TvqSxAce4Eh638DSa
TdXg9BRlpEPClOSKatrCKFucyk55SMTw9UzVLTzncpIvtzmyyePW3rrmqBwSP9RB25t1dAij+HX8
bSkizUUqKl+XalJOazkwJMUI8ULQMbLZWSY+lPkOUtarrpM5G53PZa/7x2Asm2UOcAcj3Bi4Rq6q
fHH1+CIPASxWv/IfFILOlxYu0FGb6i+3caM23fVQQrqTfToeDtTWw3tYOMM0btMpIlMSlH+1Vmav
PFsvTljAOHe4X1F7IfSV/zKjDECTDqX5arA9uwTEPw0RB5GtGJ7IrSXGWGkY17FCU9a3lhijbij5
kRHEPQJZiR86NHPX+61KCfqPREKvy3UpPM6b/ujj0c1Nmt1N4OQ/WW6zrOu5f/aVpr+oWr5P00L5
ZFITdqqMVFsMYlZcDs42rsJyLUdTqpCoSypRF5dICORH60WaPmht925z0A/QccG3//oJ4sDIti1F
5YsmcY3TOOuXLnOgvOZTlK57m1SvBBHKA/nSu5GqftCwzb0lhSt1Q4YsjHDd8cTi79qJSzKeHzqp
VB/+zmq2FfZmv4nK3qwM+DbvZc+t+zY11CyY62J+mmmjmKo6QMT7ktqIHUx5fU2MvFmgLk1/NIjL
tAI8YIb3gGa37YuVekj2tW4+jVDSjg6Ve92SRaKyuop50gjvkrl/UQOnPvSB+67fHI34XMzF1yzI
jAsvH+xnDe9ZRlrgtC09yt4ushX7DkQF4CGypRMEXfZdVRxksw9ab0UiLt3KZmTY7RbUCiXY4tPs
qZ4Ojq44CwvHg02vFTEhTY9csV9bJ9Uks1I7mr0Y/Db8yr332GtJ8GIavMBKPQOzHRXVeRJ5M3bT
26ZWou9OaoAbT9LuCVyqsu3CadqhQuov6Qy9SU6JE6ItqEC+wEzhL9KHiNf0rP8fMXDzXxaTjuo4
1NaZvDAM7cNuzEDXGWhemX6JomRh91X3oAk8etLqyaFsEgyEBOVF9pVOo/HQT7utbMqB2XA+XjUq
2m4qPHhNlt0vcgoQR+rlFiACfp+grcgeqYbU4cwoSAIco20A/nPwM6vaFJb616xAu80Dh5JO3dGb
oyoOcopsmnnLdfL0dvG7a+TnjFP99j92r1LcUbxLGejwGADAuuig8XX+x++rqdUmHDJjeIPjm22y
AH80Q6wnNHGQZ2WY8lqP1PZSR068l32RWFQM1M/PC/IAzRZbkHghOztsb8+Zjg1z0jtsgYqAzait
3X846/VUv/aNv8/+/+cNer1prWDeyjylhSB4EZoE1uS2WDYDM06OMjEpm4k5xu+acvQ2+XZtW/Qu
1p1/TL41QfTwD6WKQBBrzsktigIqY7LLpIOFOBCvN5aZZxhbArCYTM9efm87xtLU1eprnUwKRop5
+0idhr4rEzaRoWsm7AsMIMdjb39P4OPy1/5uJ52yAKcaH0qNR7JdNvBCxjR/DSYe+Uo4alvZzEfn
WSmcHHciknGo8+4Mz8heo7RodqHSUWogm/E8L+zBn85D3E+fjPxHnM05QKJcEDBwPZKfRaVBtCpc
tTnI0QmnCy/MawSj6sh2gp9AfpiaRcFG/gTXpuk9FxQMPnZeXl0aYOBZQPmiZcXRvkNYB8nMsUhp
lD4FvkIjK+wVuTkg/xXGk6HGxt6OtHDTWHH9xXW+Kq2DjfOfF/r4M/7391+3Rbb//fefEJWtO2hB
LF3VTVeKo97F92dsXADQ2dkne2Qt8snUXHPThLE9bSjUh1pABazwqgz76jEMAnMrW7KfzBrmBLc2
1TRE3ofS2A2DmYEmxhYFOH2RLR1w0QvHn5u9AUj3AsevfCjsbhnU6XSRXTkcjE2v5O1KNuWAqXtP
dt0hGBQXORTnnJpwfpEteRh9raS4i6hKj+R3HevULTlz42xhdmLqHCOVZJGJzZsK8tpCjPB5jNA6
uNn0gpIu2FdwQJdh31utkEPNS9103JW8ia+3vLyVo7bYmmZ9DED6LCxeS9vYw2RRejzKAyWkMBJT
K303EIop8gpHXCHn5aX9VQNbtyzhQZaLPuhITnlJdWx/n9VyRLZJ9LoC8+V8G0sAC3KiMoJZUu2H
D3EA2bz1RdNiRsV2kj0Ss38LGbRgr8iy+eYidPPwQAUIQKfY/2Ly7L+Xra69T83Cfcl0P3tUnfCe
tJPySceD96gKflMtGFAUKUVbm1BrM6BOvVCAk194VsePDX+QMFGtJyXmUIVDsfDKuDrKvqz0tkWb
TVs/Lvuj4ivdUSmm/uilulsubm15dpvjitmyybbvLiTIrPfauLtu4kKCF/BMoO4LGYUUTsgzM+wq
wfBAaT6VbPYCQsm3eVZBBRhwgJnlgWbea5FlLe2aFZQhmvKgtoF1n5vlo1D0Hqbaiqgah4t4rnt/
8WFaXLUgLmR1nDr75jFp6hDLQQ45Not30Otlg2ggYWciy5+oUJ73eJtkeDyJaU4kkk+mRthWND2+
TEe3jc88ceLL2DiLlIriB9kq7SQjfxGJp1F8kYcsJcU1U1/F8uLvPrMMWcuX7jJLegyu6+l74/do
eO3Sla1SOH3FyvyuRc7t2pIIsyTx3431FEXBZVCzVVDa88EKY/Ugz9phnK9nso86TGOhDikC/S6t
DqBYy4NRaD7pNqfDl/N6rpnUKWaQvhYOOe+9W01AS7IuPemuTz2eMvl33ZDNa4VU56XIymhlYsT0
kluCbDCQtxj76EfMfvKblQurnZHq9jiK8SCL2HQ0db1wkiALKO8AIV0p7lc7bH76Niz03AOyYJZa
9lJQJbbyXYqR/vuB+o/KXUxoXZXNIw9VHqYMf5BXJbYf5kPVOC9hC2pPvnqHsquWuNOlBxm+HhUq
VUtVTQ/y1StHs6j5NYqvw6/R27VyVLfg9OlF+fhv18uPkxeEWDAtrVrYMuYVBOu8DfPFh4oAu0Ny
z2a41xfXIJYbexDW9KhZsl8eXsrax3vNs4cXk017h9hVUfR7U5hQzm40H0anEBlZmkQK1bUbGBMP
SZp24CClr9rqPLda8dmyimU1Vem2s1pvHbShvaP2p9pavW6/dLN1kRvBqcWMz0Xw/ATD2to1ASzM
oAXEr/TGJaJUahdYobkzxuoABCF/sxSk+eAFtLNp5Pox9HRr7RV2/ylr7E8yyv17atbkv6Y6va9d
p+Kx+bkYSgXSru6c4XqY80pLqZ2Ki+7YeiFrum4K3LNOCvZstIP7Vc/mi81N+VU1qh9OONpvRpl1
Cw+Pps9UrYVLPH77l9GhCCPz9O4pjXMM1TqCFKrSAmKoQvM+z5UeywC4a35dYnHXme3Jhr2/g/Lg
HTzXyQ4GNKi9Mwzq0a2qYjfZFAN6ApHRjaVzV8ZAQW13mh90ZMGkAIfuksdFir2g2z43tc5eHhTy
Jx5c2CJno/YaOUqKamJQvjjz/Mr/pP7GAuDszJXzwxqyjdlhyxaQtNlVA/+d3sQsYSqm6jEvq69j
bGhvWmCqqybQqkOCgdZnLR0Wsj8bW4wY0LZtpJNcGFi7MHXD56G7H7m597M3xbuSUmkqpTB7JamV
fDOBBIcV1NGpcnG3sbvyJfJTGKGWYhwxlA7ObmBla0zCg8/JYH8avLn7oSQxWBO8GuwixmKEPQ0I
m6S7ZIVvbIxO7Y8OalYeiEG56cCCPeGvyuMSo+KvVjVvtLJuj0kRpUsnKd0jiX/nepBNm2wcaxAc
sOSA5mgDEDkxR81iTuWk66knLjfaOT8m0buPkZOxaxmWjlqke13BDmEc1PrOVyMsX+xc3wSoFp8R
PMIpUsz8hwHbeQ7nbzn7xOVY5+qjDg5up8SmuzMV7FWV0OXWq5zqaxPUS3lN7ro/Ox16VZmBmOr4
6h0tg8psRYMRo2nhSDi6VnktxqDByvEpkqsPcTCEOYDsr7v5CeXnr65bP1nJJ9ka8NXCZRQ6mvyM
/2ef/BD5L4x9+poZyARs4NUrioWC566vmrs2cx907HWfZZdttYeGZPK9Krpcr84ooIzUrRyMBWQa
3Lu5kE1Pn4jH2YBC1LhZNmO/prwO+7q5vbdbpX1qw+gobax0rU+xIYA904uoFqXT8aLXPYhmhtFh
ExK8m9ZNKC0z7zPs4mlXEqbL8EJoF3rl1qfRQrsmD7IJLIm/n2XlK8JHxoMPw+khjg6U5hKvlF3K
YH0xVK/91TdjN7NCBlCt5SirjPL43+8T4gx/LtBdCkZcVJ6kVrk5NU39IMCpgEXORZyDxmpDkjHY
LU/lYZix4SDuBpOYF/nseVvKNn+1xNitJcbkTOn+Ov4x85/XyZmN+Mzf/8Lv66JEqbdDnc/AkX3S
KX43kF7xTmrTo5l0YXPLHnmYEEttsUgARfDnQGOn7AJkoNh1M3Xl1fkhxPUZNwjwZ9zgxZ1V+zvZ
kgeziawtD4p6qVnhkKBAdLtlj4s2JChtOaNbogaw8+6dKfIBDMePkWByyi55poCyWnXBrPDG+HuA
6FYNeSyY7mKsPMxs1h8CsWqdsqpc2YlSITvJradQi9Uj64dkMWX615o473OkuT/ACYUvtQYFesp9
7aD5iXVnmkaIYjho9mUxeGuiUVRvtdYF2HH5lJT5NsGG4bOdD/HJ6ogNyuaIXpGnltVuaoEwmzBT
XyrawS7K7g6ac7YiJqWjvy/w+MR3GyR3vZ61Bslooyh7lhLtus8ogt1O8/yXpReYuid9i3Nl5GKj
pV8Mkq3fsp4UylhQEoI0yN6lBpn0f5lBdLNYtb6mbynk0TZz2ZLU0LPszB64XGelmn3iXfadQhH/
h66/dW3XPKRUFps736kDtk6lRfQmtR6GFC+HmEjJmqIL61UtlU044kyrKemvGfz06kEUna0dm/RV
U5rNMswSluBC8ktIvVumNXtlvUTkguY0UlxQkVIih39scIqm8TSqQQXRhyxKqzTUg2JyA7lj0H8G
momDG9ismtreRY8U9jMEoXzJojR5nnrwYj7/mYc08tpNjnT8jGfftBtbpCxT1IdAO7GxL9zCPRNu
TDdxDRKAvxhQBoOE8tUHkjX4fDaqidoIHRBfIJz0EqCcTjl6xMz9+jxSf7CQ/SZ8VkysR6YB3X8d
q/HdNDWprEUrnmBQG/m01vo1De4gK3fvJ6/25LPJrxCIQv0WgDvA284NT21c1XeplvjLgAK9rxrk
kQBP+kjF/nBuEw9lFJZjTVtHm9LWq88J+MDMTuxvWZr+yJWhfnaqqvxfS98PpCeTR5WHqRsAcs1V
LZNytz+VIO2YaE7aFdMLah3vUpufsGPiwQsu42D1HhUDaQKbL4rh3ittd98PlfE46hpoDfoTvE36
CQdd6jCWRjnimZXp+otsRo2w0PrdlKN20R6rqHz0Zjc9+Vo0bEIghJe0TurlSLTjzcjmx0jqcj13
X1pO9bOxy78M/MM+K5R4LrNBy/Ykf362baMeFbUhedOVMCadHEyUpz/Voj9EjL8KTGP60p+q2C+A
vBJ6lzv6IpnVzTBD8pb7fRkXIME1niO9tPbCaK/dWoWaLyrLiLdXWy7JRJzcHLi7DKY7g7aSID0H
dwQWSAKnd+PtYS7ekZUY448Dcopd2lwiwXwY+4xA9seX1rQfpJJQag+pck9h7dkP0qosLJ0UxIQ7
rCiqVM+u01ZrRxWbIVUtQYBE4/c2onJVD6yfjltdYt9VXgEKWJDVa+1hdiBoDxAtSF/+fXkEmPJ6
Ob+56+WQtPCyjvrLbGBU1pn+sHOiMb9vKCtYFIGdv9Z11G5cBzsSpW7y19Cx3zrfHB6iao6ePMpm
ZffkQWEFngDiR1yUT+z+TL3GfzTE9iwqdqbhZ69eUdpHssT1UjZHZXqi/uY+FkCgvPbvHOx1n4Oh
BVCsGf1K9gd5cI+orno22gnbslnDUqrcmG3LEpyV/Anx+PvDrU912mFtFjixySm3AdlEKTqsqVly
VvkAnG7Us/TRq3JvzXJD5UUpvaqy6hRUU7FPWBYeMpQLR4MbdGfEXQcjJNM2atC7yJfnbD1l8XhJ
hQdB6ebNC7bjeB9qWvcKJTJZYMFp/KX7IgdcFj/qstlMiQ+lb7a2wPe8aGFgU9clQQSVD3d6x3fa
b7hRPxn9nMc/e8QUe5kxGxvyAn6XPKoim1a40cHn+fYox8joXMcM8C23MZmF++d1HlDpVT/k+rV6
wDMhQPuFF+6kApPaWONQlCHFWQIt1MIZ3eB9VyJ15RvZPXlqsGcZH/ykUnEf+kX0RixE40ExJnep
lxoHFbTNJot158mtyWJHoFl+xPaSu9/5XmsVBFQddqGrQUJuWQwcxgBcUlCx3sRjdnoDBHqMsGU7
N2pi4AZPfIDAZ/ATyWmWm8ZPpWzfCpLLn50uKVeV282gY8tpNxt6uTf8ztwkCiawkFKiTRo22tGo
teiMX1G6RvSVfDaG9BMcgO7HPHWbLjHDv6YEbkdpT+EDhRE8aao83AV1bzw6QM3ZFuvWV2f4wpIZ
M9U0N4ZzJMsU7LEcjiI/OYh6BTmAIujXmalNuIFbxbxQJ8t+6If2rS698RUi4rRxAIZuTSHEajUs
lTvFe57SoTpR1xQtrzYwRYxcja/HTja9uT53TTBcar9tH7GVfZLuMF5hpLusnYDStJjFELwj8qmE
33Jr6O7IJ/CrKClGuomk5mhyyDRHxPLFKk4eQJOuFJBT97Ll5E60q9NwS67AOKbJSMFF4HhbE0PG
+0ZNlVWjdd1zYo/2Qq374UsblI8x345gUSprrFKKcJFDQZ2MPvjazhqF/ThHvqjz3XVhoCTfeFB/
kqZGZavNuy7Lw7Vseh7gakXhTruO8t8a8sC+++91uv2hqs6l7MQgQKyj4Nc89R8V3towUyJtV8rz
4OUa2ibDWE4VjmHqkCWHZqj9DeWSxbMP8JHHWOZ8L9EFBi038W3uRF3jfkruWBYwPSrz57IKMeAU
nhu/p2dYcV8/OqXA9XCdKz7aEtUkkHuBk8qi7lz4NqVpemyFexsWUIexK5IvbQPAN2rj/MFMan1X
sO/YBYWGyRJVo0tbKYIvGXXYACyvF/WDkxAFRaeB+/NCF0+C0sqiZwjCC11k50OAV8/JQPJXPEHk
2O/WlMwfx8R1qFyc/4GVQTL3caNExYkBw0C1saUCrfKh+IfwjW8iJ3SeDVK7qwRz8vJzavkLJGbJ
FqFYc3TVgdpMeVp3pCNbcbiO5OaEE5Zsw4PH4mlyl0FmoSS157PUuUg5jDz7oIn50BwGa4Ie0QLj
p1gKNlDX9yzAe/fJ0XQWnW7fHTWlck5tYvfrBrTGC6iSAHdyfuFZeQLGYH2XF2VKxEVO3GHszJ5f
XtQkAbdl6BovTlqy1E/vMYcPv3fDsHZxkwiBJxdLe0IMQ3XfX05rz6+ehok9tSzWRZ0SymKxrDm3
mILsqD9U94mahGcLucDGxHTy4IXmp9AnoJYisjkRovOO6ENxv8vm4RnfD+qNKNP/4SNvbk2+IOjx
0Hv08cuQeBb+e/WviwiER9eL2LZWvy+apFKgBtWFVXp0vSgW/5LYNl3/JV9XhmfVt0mRIADa9qaH
gwrCzugTtP2/sKXSToORxIcZ42AWu0QZG5+1bDOOwU7GICsDW0SrmrxrDBK81ELsN1/K1FoNKvpN
2Oz2a9n/bIQPXtu146YmnrLDLM4R3ZWBVxOen6+ZwONXDrW6TaN/BmPo38kueZBNL8Nu06ji04d+
s9H1ZYc5zhozwKQzpmMoAIhkQCgmFme3g+xLgr7cJfmJJ5Tbs29Tn6SHqrRP1UQJqmOjp9Xd3D5J
X1U5OnWqdaq9p6Aem720ikpmb0OSzn5SRyd8rMPhKRVFYGCJvZ2WJfZKmXVjrXTwgIqyzncD8feV
vGs1d8p33gQmXjblaGaXe1+btlbZ/rTE1mxEqL8hjGPTRVOJtXOF/vPiF9+NyVFON+h3qG0iR63O
1zXvFQ4PLQKQq96ynEmguw1qDD2tCVFXs1RjlxmswBWEpzIOsydrjt/3z+z6xtzKnsR8q8u8Nxze
0wmFP3bT+UvShWtT/kRRhpeXpburwejVnT1b/AGycF5kbeue2yQsXpQW/K6YCya/3GfEh5dDondP
0xiW29I14o1MFPpJZiwyDHBPEtycxw+lqk2fUJ89X9ftaL2M1Wwo6oa1Mbx8v1PObo/Hr4+5zqvV
Jg/SYamPy4Od5dbbkIwxQnEvuq98/Ms9pWm2UeCZlzRP9YWLVuV7q2/MpPmZU+vwlhcXgsEFRYR/
nyjKx573QznqBQyJ383JQVi/qRT3yZQD2heRI3IIt4qvU96QMsJzItjI0Z4yyaqYvrrOIp/Yq/v8
OZf4/rR3aeQkp84qIthrGNF2GWz4tNW+gd9XF54GzTllkYQQ0HY3aTR4L1nbP8sZdRaxYcVxsS1x
We/cPNpraVddOhF8kzMcwBMQ1adzyTNt1QreCG5fDRssimnUMNNWrhZiCy990QfHNpYp7mEv2Rjd
GXpaPciXT0GLC8oH+b0VY7dWawTvWr+v832+iP/99vdU55/vfyG3IfOjkaj7JwvJsJRGCdRxep69
Q61oQ7ePMjRJnmf2+B3G9lEWRsizoPPZAJnUOK3ixlfQkvW4QuZgfyhOoQ6f2MSxMmEU5qH6nDiJ
t7Z5VG0ns403tp8TFRbSYikyjgXjpi3+j7YzW24cSbLoF8EM+/JKcKcoiZIylZkvsNwK+77j6+cg
qBJU7K6eahubFxgi3CMAUSQQ4e73XviJSgBrIaRGJ5Mn62dLdz5ndqyi8EtL9oeVlkUvcUjURjEz
78hzu1r7mWV8BXH9C7rF9FI4tXQfT92wSkGY3Y+oDBKDGC5B09WA/9pfBky1Xysia9QudONrpLWo
dSMYjNJCf59HoNBD287vK8ealVz6+lCxO03ZQ27GtuyeB1We7pKw/aZMavc8lpnqInfub02HrELB
u+6XY9Yoy1BtFCuRtC+95seILtNTqqcFn4evrXvFqb4r/NoztbBe9VH3dsCBs51ZFu0lMNHNo5T3
a5Jqa5FXkht4icY+Dx6tCJ1jKYgOwxCacNeDRREHXp9UKOYldGszTmjGVXV/9CrvWzI0Yel8CXIP
ok1Nrk62NTYPpMR4lSJitdGModxWsac/VDyd3N4r7a2NvIC1ArUNa1MbW082opcaZXAIh9fVKi/y
bOVZRcGGB05+2X4NjKz7Ydthvir7qt5EUxvtzEpWXJ4A/atjmuGq0oPupw8cvvLLPli12kuX6c4f
Ridd2BTv0YC016MFYmFEnLdplGbVp4G9g9XaOeVDPexNW0JNOs82ygiKPam7lUx19euUtcO2oy5u
i0IBO/CseVAL6vdqig5/tHH/iDi19ZuUEzEbJEJ9L7C30AU1x4SyGIH2w+FPWGA2Th2wheRu8IPo
Ig5lKSsnKaaEb+6KJalC2N02NoWRK+feGsEf9MWXwS4eSzMrXqjKfVEqB4EzW5E/5chz5r5i3atR
UZ9Ho3oECEBJfxpFbOF+R3KbIYvpPzngug++lYY6QOwcgnYC0M5mCsz0a28SNS4Q5NyKpjSaD3bB
9tBUux7VWoSffCnLvupShESW3AYn1WnPlGna1D+nb8xigcNZCWdTXKA7gETGW7+A18QEMQnXzC6i
DdvYNzQFsnXnjZ/IjGQPiMt9YnVSQ/ke8UuaeuXY93X3WbZ5UlManu4IkvzivdtfUrvTzsNg7Y1E
D0IXQi0Cejol6LNRHr3+0g2WdSym+Ac5Rjx6GBIOTggv2bUdwoi7GkFNrrwh6zYFkeXPLGPaDaX3
vNbmpqmZjis7SnvI4Gfehk4xun1TI2nVokd1up5aess2iRWX7fZzb+zzgrJVyQ36e2Q8nWNWj4/l
GBkPdtrs2H1uIH//lfcKK7yo+dHrRvc4NSl6i7ldbavw61RR6Bux0xnbCJVS/bm3rf5THQfOXelN
YIfLBFhF3AIiiXikQ+Hn7eUeXbCCn/NjKrXFYzafWbryiEZ1eRJdwtjldbrre813RZPipvReUqof
MSnhvLaMlyqWu0Nfm5UrmlboT+fRjr9HUma+wC3cP6Utwh9zq8hBbKKh0W4GeZDupvlANdnbWRJr
3a4LzO9L1+K2+DogikltcPX3kZZZn6ji/aP0Cvs4lHV0sFvPARI6pPtQV/xzH4b1Lqi0+J5U4rjV
Cq18mOzK2jgp1B597z86vJn3eZqnJ/iIm2PAz3/fQix6p8GUulVHeXoYyibfeBR/PLVTDPW03ssv
RXJBIo6qA3tKL/BaR/tOr6pD5DvNw4gMH3GvpPqqetlZLvmlxwm1BUpWf4uqFkVjS0sfNdKuiMIi
99cVKFCWCINuFKKoB8Vktt6Q5ldGX7q2pSnfTTYWqlyZv+0ifVZYQ7g1QcXHXpM2kIsUf+iAygKe
hV/9jjvsgzh/NIQw8djc2/yUdrFq97vBoFZGtmxiCwjPvspG/UM10+iPzDxTpQnBAj/mR5Pc81cr
QNSz7BC6h+6l3ZZJk6MEXZ2ciJyg50v1IwijWa+KTECZD26QV8lvOWCb5WSsSUxbz7bAC/PTNGnG
WaWOZB04vfJF78czMRCbRKWj8Mje1rJZfg8DY9r0tlweCVNaT1nd/wZbwYOSrD074tq8pHUbnbTQ
h8kv7cb71Jm3L4bxI1IKH1hGM+6VoGl3ps8SCcqiS0uV7k+HMrmVkqXj05jqPRXmlYzUXYdalm+S
IMEjNBsKTMs8vah9nVMHUO9ly08O1uSYB2WK8jv+l/FulBvzwdFLZx32M13VEDn7UQ2RBSkoxx8Q
g3oxdL1+tKrhGINM7bV+pZWke/2hSZCmKtUdGeRmI4q7EA3N12YflgdR+tVCbE6liN1AakXpV93a
qxZO0xdZ7rIn2csJmaLcZMxK7Zre9Ye2VfwNMgjZV4AYv8m6DI+lA7Qj14Jf4fzMNWJnVXRSgVYr
cdjRkc1DF3bjbuji7MlXe4Rh8hYZCKeCzLNVfkukLEo5tD6Vs9yyosRf7bEq1vmsvoVakvMIwB6h
wIgvqmdKqrQiEKSsp8oqNoFXOY/C0XFMfYf2m7Na+mB2A99i8GCZZxFuiTGYj/Z17utkiansfKoa
OqTAR5SsN3ZeZGfJJwAIZpD1c6cld07kfEMF1TmHGvvroH6eNA2pw0mFsNYB5Y56p+XYyMgCUHEn
+LUpPYEU30lq9ZB1yfhQzIdwn40o+LI5DvcFOwWUPVv1FbrT71o1DH+Qn5uoVGahwm67kpJ0VTdO
vkEEtuJxmfjTUUp4UOuScRl4juzlUYrWSWkqn0zU3PdeLGWQNGb8XpXkCzUzyXqyaxZccjHeTR7V
I6lmWNvI1Ab4gOJ8a8ujdZeXLaLApOSejdxCQ3buWw5Kbf/pUtsqcTWL8i9WIzASIm1j1z3C9pYe
fu4gdV93KWqesYM0FvVINfXciM1MQAS0LqO+ByLIXkXWGgn1MwqebAGJUD2n5JlWgLKHg+hTUs1c
dVMDqFiyHyMttH6Ti0IFwW08337yNVbJoSp/lyVpPFJ5Oh11CaTJyoM7ORzn0EQp9SwE4y9SHSZf
ezmgYJ1yoLlw2SYAHhypSu8gQNNMNx7samNSQ28EiFAnfhreyeh8HcIp4/dQyNK6RBiT1J7jPY1W
/+Sb/hlstB9ADiQRYInbnadU+YV4GpBkqcxWkoLu52SyagJSW30y8zE6D8Q1CIU01ae4yO17J9Zf
+P6YLxMKtTMc/E+EuDWzxSxQMNREsnXZkQAWAHFhiMrau2+Kn6JhBoG8ya0+XltWNT3GUGOtNKUZ
QCZo0+O1D7aPnZrY1F7MLsLAbgGOFAkOGHqKPopd2chYAM8EaoNjlXdtm7ydJVoRb6CNNFZS2KOk
InyupzyJ+F4hpLqFMh9eRAPKSUkG2p0qjncWB74GzqEFaYWo7nQ2KpMXQBpdmlKK+fnzWGQFa12U
aYAchU/mYFSGdRF9jZ0f1bie9nlkqxBMgexqE5Ms/AAbnJzBqVKO92SdtEd5HA1X8wL/EnDXu9Ea
k73E1rJU/Qk02jiHEB6oYF13howwGbRUJ6dQweJE+tcOUN856H6NWk6itUWY0bEJ3CI8ax1rr2Yt
Np8pMfQ5107RFofGuifLO267Nmw2hE1JURQgIXsp+erFQfwNMYGZEUVqPvO8V9wm8vxnalHCjR5V
3oMp86UI4+9srkjAtxXF+63Bq2VuikPvqFTVGg7RAXBtmNTBMo9Zv5b6RH3U6qdQrwE2yibUKx4f
MJQIMCfLTpUcPBMZvGxSpBBNJOIBemyg0ThJ2kUcygBIIKutdqv48ltf1bQtCRu1PAxJpV/9ekVB
V55QVJwbzraI5jpxS9GPTUikxYHD+kUJzPqpr/sVMr/5i251GyeWpcu8UPfaWnnVqFi9I0CAxuPc
NIo0daOxj7apWkQVXLsoYCBCK+2gYErIxeY/bS9C6DHr+yO/tZAdsz5cDJg03NFBEMlAw/IUV9Jn
VNbjpx6EpN5W9Ys/jhV6N/ZjoTXKfeFL1Yuj9YbbwVHNE5YmKizeTukIzXiNd2/kFFUB3fLus8j8
pUxT9IoqcXUI5YCMkOPHryZomY3e1+FeWEFEwN0Z6AXVK1iRmYDlNpaeZVuXn3h/UMZC92B14BaD
3FyZbDRPljRRMNihXGhodbKGRcQEMRXXEDZRPQYO3PyUEkpAv8KW18T1sY6ysityXu9SbBmEWAL4
OykT3YixqtP5u0Ip2s11bEvRGW974nyzMyu8GgE4KuOFNe6I/enjVF6blGnxwhoRUBTOWZ+Q3xx0
6Azn66KRnW2qlsDYdewweGuLhPZOOGsd8llVYHtXa2LWLfwWaGtex4bICpYdKSHxJ8RTILlkWOMd
Yjx7w3K6hw7q+20aTsWdHZ+oPglfpNrtFLl/kRSre0mr4TMoKuec69mwLzvAm5I29A9tAwVd2Dlg
h6TQvPY1yvdygk/t2tVBVnCvk2z25AKe24gdM4XmwdHu7f5BzJFViJOyfw53dja4qZX1LPFCa035
dHLyfYDfoN5+ZgSnvhdFgBxErhkPaF5H+3Cwj00zQdZnxJ9aOfZfwSOrRyQsYLx2Bv+1iptmS6x9
3AorxQM1MriJcxTWXK+eU3S8Hv3Q1j636FKlaLQFubwueqOCMcSs1jW41V0dkeRE0wIaJKdAHWQT
Gdafp8l8qitpqbofHD6c6qlSbOOR8IGPvjYgzM8mf96zo1PGOzj+Z41v28VL8qNoSUavP0T++CRa
0ZRBgZr1P0Wr4o8Gvh2WpFvL4PNUwR1kD+ToxKxRM2lbj8qUdWRK2sPoyW8HXTpYUu8/LN0s+Itj
4vmfhNPSn+itsglGMsU3htyPkN3yQAsszsKFeAR7HXjM+vfLebOQtFEpyifw8Nuwb8av9mR666mh
qHlUMvksq4S7qJ1e23C9gH+vAjccg/xeHNBVejtLNMPm543M+2TBEyKsyvtZkqfOZugAlNwYhLOw
9q3kf7AC9kF+xexrohLEXq+z1rW9SuqJwr0WUDEBlnHKjtCFvR0ilgqI4HEQZ4th8VsMN37/wGWZ
fqIgPl6J+Zdxorn4LFf6By43Uy1j//Yu//Zqyx0sLjfT1/5cmHdjvrnSMs1yMzfTLC7/3efxt9P8
5yuJYeIulW4st20QPi1/guhfmn97ib91WQw3H8R/P9XyZ9xMtXxg/9XVbu7gvxr7nz+Xv53qP98p
9A4Vq0MNtflxZGkXzj9DcfgP7Q8mUlGMyhL7bdS13epxfp3l2r4O+DDs315BdIqpPo76+ztarrr4
yOSdp81i+TjT//X6bGbYevd6xOp8ueJ11ut1lut+7P2/Xvd6xY9/ibh6AwbCKPtuu1x1uaubvqV5
e6N/O0QYPtz6MoWwJPO//KZPGP5B3z9w+e+noqa+XY8o/Kz0aKzv2yGwNhUV8a5oBt1MGaBnNZU7
WKnRMly5tL21ZNe5uktqRP3qymFFOZuF4zD61MRRvHIHSL06qjmaTWth9ruNrifOmZpfEHSiq5uc
5FQ6rAILtVB36qhZa52kkgvuzyXNQOklwenTVcxN6LoJ5TYwe1B6ilNjmGLJXfTcVOtt4NK1SMF5
nhbBclwn372wlg665xhuliLfSk6KeJSc5k9UZe71MmvuIVvKniSiL3eG0zwKm/Aq+eVuHbMa1sDC
syfhpsZIiQUEW47CRfVklkgZS1NmFQ5JkVPDpUcUC84XEYZ/eHXV7h4tQ/UIov6bKzsjzEuq98PP
NCJwsxD9RCXWuDLh/jiLNmKTAWLdzpt5MejvLqYu4ZIPuMyi9mLYchB+zvssRhkH21wHvKsUIFq0
KiILIE7FgSghJKVL+4NTbNtnqi/H3YcxVJ7+6f6hF3LFxHYHTe6h6YPDH5U3875TQutenCVoV3Rd
1p5v+lkQhWvWp3yHbgYMTXDXxT5sDX/OITzEoWB7CwuU2e2WPnEWJFa3Bwb5+6ZfTFLU9qkqJvMo
jKLLSvptKo/9oaTenppJ8oQIORl8RJabmZVz7RdG0S/OlkM753lFcxIEeOLUJpniVdHbWDGs1kNv
HWpVg+ZZOmwpAejcMJpUZwW/Xv24KhWCJIgaoR1NsRdwB3iWt5GTN4+9LzePlVJYR6uzX0TX0g/9
1ouRNjZ7DVzFIaUceWvqfueO80jRd72GmGnpFNexLX+8XkcY5GL6kuZVvRMwXXEGD9TlDa97A92F
hM8pVlfb9VxgdgV6F1pYqh2atQMvZ0AO9yg3mpbAa16m9VEqJZNzT5Krv5w3ilbJrnD3mqobTo2i
miu/7tJ1HWlv2OlYah2b6AYw6uWgFTVknUTzRdcHl1vktbD7kQ0c+4OrJnm9GC6A2EJdHZ5/hNOI
WesaQOk6sc1TMBdFoBApf0tz2IFmJY3FIzAVBdLgPnXVw03RT5xSfL4VndasFgr+1SAAss7fa4Pg
NDplpk/maI4A8kt5CsmiQlz5J0EehOwpunJNdyXNKwSf9OzXkA27+lFq0W9gPamhjivqy8xQsA2b
KloHUL0jfWHFGeUgabTuPae6FP1YXUSfMve1gLqRHCJGuxVtYb6ZZ5Cjh7r1/ENn1v1dJxvdndOT
IV6JdgQL/clW7/M2H7L11UDwiXqAwWp/BIjbkLhXO/iX/WK9zNBm0dtcN33BPJ+n3t90m3Io7SR1
uLTvYqAf3itvKqKVN7nEEJQPb5jra4cU4OnqI9ofRl5fMr0Xyq5P0ZMLwg9+XImMaZqErz24sF02
i8qJQ/J+NgpRuaUtzF0fX0fc9IsmO+huR+X/l7pv7WlF4BPUlAOIOdVD6bwcMq9+a+p+s2opE7kT
RtF/HduBxnERJp82yzCi6t66K0rFvbLd6gAOgUH1kAHqWhhSBKyUG8mqv2pjm/rHJrP6uyzK2JiG
dXmIpqQ8xFpiy0+9QexAHuzMFT7V7BgLqMLoUBndknUjDnkvuuxAzV0Woz30ILUip66jmvAVD9a0
5zWnPABmVR/EWYoOqDqF7XnpV5Fuu0tVA+4iXB2ZotqVMhTGzuK2gfjRuRwI6/GXUPW9DiVnzgzM
5lB3oKp8v5roq+dLDrlESoarLTcQVFl919X69Wof+rOkpDoGXbx+Ug9TEpY74tTys9OmEFVKnvlL
Rc4jaNP+h91kvVsB6n/03n1DzZpufHvrS8VlkhI+ZV8hBdDWkKMlTk04KUMDC76m/mouzZCIJJUO
b305wKp8KFHYmUdcB4t5+mAO6pWBvapnSwWPmbIWM5pDsBcut0PmuYHWhrC+M0JYc6NcJ6plDeYD
NesZovEQDfOvM3+ZATgRJS6/B2YEr4dRJ0jLx2j/Ima4NcC5vAhfQdfyV1+5mwzSNJQ+SGolrSyF
V5LADNSoHgCGiWnOZcSyBq+asAq0gbBaNoUOwirG5i15SNnRdKdyPeZxdfLkq2pWlyJeTwS+pH5q
aQprCQXJ1ZrmqMpUOgVNtQLLr9OudC+pHyAqAcEzny2GpS+YrVRwKDBcgFYQfuLQw8Z8NYDd+DWR
4Zv6niTqMkBc4mYmcYkRthMYoZlYOC/XTuabovqqPpeUNWmWXmzMkXK80Byir+CgkIORv/p8ACQL
Q6iG+1b5WhoKRVbF+DzmPfg8KU7IhPvKVyuTLZKfsnf2k0lGAJEv7DxczJo1WXUYiPf+s1m9QYUb
Q5LQ92HxeDB629gpXgcym/qsFfxh3V2ohv5rUEwHvyTa39jR9JKXuTvMxGjg5/J7tUU2yp+9AC2y
djbRmBFWJ1ZL/hSmFFYxJai8/k5YQ13+MGU2ZiSKmcNu8l+kFBIyDE5OBb3VPskQjh9aOzC3iF2Z
n6UpvBfv4cUjofDzUISWsQ1qA9JlHXaqflVNRrkT6+QpCrWTbmXuzVoZUCUr8EmWtZMRvVnf+oQl
rKsPlnHg9bO6LtVJ+Oy1vH6OZ/lGLUlg0dHrYyP3Un//3iQp6p/FYcqsA+Do4mxK6NkxUb6vFTt8
EgeHAo8iphZPtOC2UM+l3py0TkcAJh3TYZe2fcdDlgETv/8nK00ad9bf2uVQ0SES08jHommts3AZ
Va+/N+1ptwxQzSne8wQFVS8GeHJuuA306Vef63Wn+KHI8+A6iQa940MwkvgUd2FRho9su2eshK84
UDWdrKlt6rf6PP0k2YU7oIrwLCVrOUI4JW/r/nn0K9UNe4RvRd9Axe0dVVG/nJnvVXSVuQ5VUCqf
rbmrpzp9G1cmq8i5WbDpe9KML8Im3PUIHKmTAtlpZE8/jqn3Fe6Q/uT4fn8avYEqdHEqDjzeJQld
i3eHW6/y3SJ8RNPLG79ciTZUZ+FGNabuOufik+bR6LnLaDGvUY1v93GdQrSL1HqR+8rf3biYtcwb
1Xc+BUaFkkrr6Ee7k0JqByeZU3FY2sIuPIXZgirrzVO0zcXzahKuJCRGV/HhGRFOYg5xtlwSbQJJ
c//t1YQne9QA1kEqE2W1Hh4sCAbX0aDEG9HsnIC+ThseOnuyVj0cFNsbg9cnvwLyLYfb/nw4BkWq
nKqsSkzkVJhksJ/VsejvfdVvKE5Kra3DzvICqX218qqpP4imOMSt/STrXXQnWmUUKZfWGNYZAkIP
+dxydN+/AMxchpSwcJzb1th7Yz2FrtM2sAw46XcF+HfowvEy8RNRIfsTw+cLD3rQb+swpU6prFzK
e/pLZcnBM0AA6iq9Z3HQIrOhgsjwjsncZ9cUqk6ThLjL3CRb3z5kvnosdedtgNpRwmAgJCi6gKKl
G2vqoI2d/am9ze663Ppj8QcaSHmXibrd7FB25ej6XTDuRXNqipZiNDN0RVOyE+0pKz6ncfJ2NViR
SsKXpnXQkiam6ibXCNrYs24ZXKIRf1nkr6FYz8+iL8wNioiXtn7QAMrB1Y+DNw8SXqIpDlpoRtTR
5P76xrA00W7Rt4FhUiP4WVNsdHJGzUcqxSbZNCS5a1D4uG76etqShQ+ePTsMLnJor6KxSP/FKsbq
SPII30Sz/WcxHnD/7XjhEUBOe/VYrvB+fWFc5qAoGC7fqH5woPrfGgEcXnGFhN7KBLxztqVmAzLD
h0jA6H9WTeQfo7nGeiW8WzO03DHQhkdxaGBNPRdeDa19Mz5mJqzyaeSlO3FPUEwjyWBUd9eWTRqt
loxhFYuP490q7i79N9aEkNiHse08tp8/ukyOjT25ah+EUwL0Ji6qI+WCcEtRAPs0BG4Szgn/uSeX
I+doDtkfwnR1qrx2k5R2uFnG+H2erMbOf5tHGCAz/n+cZ7n28L/fT9tNsqsZMJSViaHd5bW66yLV
ODSexnor6TrtbiyZhqVXot0lphYdByDAyEJqd6KrF9arj3AvAeVslMYBSzIPEZ5ibtGUBtQj1qUP
4VMTl+NGdArz9YrCfQCEtAF8Va1CO4zfntLFSJ3PqtC1cY8mxgb1u1B3CWrox7BMDUq3eeY3Pq88
JCZoO+L5LuzEckZ7U5RNs39b13hDeCDKJ93zA/Ef7Daxt0PeaHAd/9knzwb070DmVOq1P4N5B7Hk
2QUF8y+dahQHMV50iQEKX5813xRoUebxwtB3qX1nqqO0jdIBPEdf3FErUd5NilHc/bumMAiXEVZr
s5qA1v7vvmKmJPS/WyaMaJX5XEia5IoznaKV61k29xWJZDyLs3/ghx6sRFUwwUw72dxwY4mmShmv
lIUUzM7rONElDlXQ+R9kuBNKCxJPg7Yt9c+K5RevYI1Xup5S4zzoGgXM0bM2d3tpGx9H9tKuaBol
0Hs4kiQKmKf8VVUIwhMFgnB0dmZFf51jYk3zGFnQaQJWeuUQ87PVWcegcGGm6L3t8sJ6qj0T5bKl
CTjk0PkQmuyk2rlafcjKLpGpG3dQhA+PEzQpxqi1J0jQxkdP51CHEizYZaiura7g4TVEZnw32W8D
xChxsLXkOlS0xPjBiKONRSnNurDLhFhnO+5yJdQuBUCrTVsQJ9MNA0m9uc+T9MYtcrO+ugjDyAQr
mNmyY6GOv1vfUI6EhrULpKZHOQrks9I2dujmryNYsUszm8a2kc6KOewbzXJChLTT8RhL6h9XTx2w
FtXpeu6Kay43k/hwfUeUxRTUsJ9Ef9I4jVsi8bG7TrXcjDCLG4ys5Hojy3T5q+LE1iGLVB/CBDZ2
2ryftEOp21PqD25LYku/WjqVcaLuVuwXhTs133hCWn/1WaZYDEvfMg1qP9Fq4neK1v3wmRDaK4BK
6aXJR2OXt3qxb9IqeYHJ74dK4ePPvzoMIYIXlU9YZmbSGEYZnIwGkZcgA5QDU1ubZfqxqc9N4Sys
wnlpCuvN2NykPL2hxtrtW0M7pzH1QINnf6G+VfGOvgJdOiAeWL6qQhoJ00T6mdiudhbe9dCs40rr
T3nzR5Ib+jGA4ukEkpR/VSmhUwkyNK8gEaMXHfPhREhIWMfZRZyJQ1UDkrpabttm2GhHs/uJpJkJ
Lnr2E9OJNkGkFih0eYxGH7p2P+5SYNActEkJpP1QErCfeI+4nVFm9h9JoqcnqoELQp9hmp5qKqLc
2PIUVwyq7cTZhG0bsrbKLEk/o9UMar0fQQDKxFfnJqxR44MTeC0i5M6b1ZC76jIhDXAGgPfKrjP/
0qbRtFLy0HttW8qRlC4fX70yNFZOU2evnoXsYJ77DioKtbSSDDC7rQaiibSBc1RQp73itPUo8q5N
RVA9wFbzoblYBa7un45NEj90rZ4teeOMPL9aymO0KlRYKzjW2dRz+uy5in0kZ3jq/XIj+gZKLqf1
1TwPSbtc2VTzDDqAro2jqNXGrqRiD32KvYmB7X5V4+hzDcTgInel+tCnZbIS/Vna6etUpozcmYt6
gT+zNFO+eFPZHPkAapRK0vgr6LZ6VfuOd08t4PRUSM1F9PtqWm4TTzcIjHGRsG62rU45UQPP5mv4
TQui4Vc/+cgV8Fi7dEUz7VE/KfeynvpPbAepoTcz81f4TW3gPxGe0JuNFzOCFuZtZQ3fJMgnNB3X
UFgkYKDe5edFJ1CDZDOOVnKmGs96yEpJciXf4G32fuZnhEpFX/h+tlivZ9GQn9sMcqzQNy8Bq9cD
30XtXhwAsev3RuSh2ohy4OrGIJpj5F2KIrUPwnfxgOedSJhBzWmX+E+Q+2XPSpVEG0+m7D+vAY5F
UlG4RmclP5shcid9HL75qIttpir+6FHPKZL/6CF4opIodNMwGL/pvgTgI4Nqcwe7TcqvSJKDB0/o
LAeOtTZkOMGuIsqB2JxYi+ayD75BCo2TA2dou3Zmg7A6ic2PJqnOo1RUgELmPc2HYfPc5ICHU12d
m1lqV+0I+GqlUzyNFCYeeltSt8NUSJ+JYF09NEA/q3SEeMiMgERl5IeVmW8dFfDvpJ6VE8y6zRM8
iuM93Od7LeO2XTkf860xqv1a+IqDJiffobBTTqJVtuEEprLbw+deP7K5dLupIi3pIeYmhHKbmjhc
rhEdmepm/GSp2VpAoKFHZTuMnMpaoJxt1VJWtmnKZwCKbhIonfQceuO4gXU/N0HKQIsrDoEpy0fJ
mA/Umqc8RTiltlZXgRS0P1KejWQKZotwnzHtf3ea+YhAVsBhwb2W43AJ5+c1ZF8GOZzEYFsPcCH7
PXlNtl0kPSfqblH3K9EKHK296L9V/RQuWaQNp2QM9NUEC8daOArDMpU48+N6F71PdeMW2w+So6R1
uINyRY3WTWqsm8bMHo0iYaOpx9GuUptkXashO005ATjfyuiM6tWPvkidrdrJE1IE6FML7WrR1zjd
5A7SUF+E4W/75HksCD+gqYuPGJJUde+246CsReJxIYi+pi0/5DED1Iu2Xt9/ElnLq/nKHf2v59f0
pq4hSXflnG7z1tx2efvJDteQX64MdUjO/dh1wSaWgHpa2b804xllnPVE6JKu2YnWu2szY5Gr+fDe
L2YULdEvPN79Rb8+CyS9+4tLClfnm1lCwFRAjskumUNeeOam7qpptfSJs5k/86zmDjS2wsew4SUE
r/82rrF7QEHCs49LpLT62NrkZfzRZ5mxgXhtRzbqF3oJ5rEsjfvr5yGasF4Bi+YDWP4ismxXN9Fl
ZxZZgPeh16aw3PQR8f3u+VW5UtRe3tQNTzbBLlDU2i8K6rsHn9JialiVleAgqP0yvdN1eEKFlxhk
+R3sCzOV+b8Oaur4/JYqUUIFpW89A+5WxCMaUj5SkXFhDmfR9pHH2XYjqUTRJ80+Hx1BXW94WlnX
0cJMTFghs0j8jdprDeKh6LdO5u0gZaP2KA5T01lrq6/9zdJXAa8jhSj7qzSTdbbFSLX3s3CYOBCt
hm+1IuadDR4MjrNwWGDGGmLU34TDh+62U7bQ2aau6FvmICZH3VNtWdc5hMHMFOes+iw150u179ej
CijZTpPe3xpYc/wk9dodlslLh59Bobd8+Rx1D4MSlDCzkCukhtVFU3Nw1pb+UGcIvCIOWV1mB9El
HMQhsj52Cdd5IMXKxnXgX+dapv/rXGPefHHCSDnaarCyTKN+EodIyVG8V7z2TdemySFFUidHP7Ry
0jx1Xeo8dmkwx6jQkul99FU9Ge9rm8AVufhMefO2gOM85mxlbr2X64kR8jy/6Bv1wXkcmF+02kJ5
DdPgdYhD6zL0LPfKWAsOoimgO85knUCh1WeB4Ukjx79Eykk0hFMAMz1YRv0lnHE/oh9vbxd3VE1V
BmAwt0U6b63U/HLECOEDAvntUstU86UsgrjIbnMzSpMHF68C5zfPIYO8uuu5TOrMmS3Zy7b+TByf
UKf/GKTdfTUl40l0iUMBq9MOUWwVMkfciDzCJR/hJxsUD8SSVR7LQY8slISR3d6LrUQsXnHiVBzg
cPTWjaIoK7FNEX1iWyLOlr5lxE2fmEAn67eS7bzdBABAKRmCL+wDaRhgUetQycnpSicG3PWNMCwf
q41hqFBkdogLbiXwk1sYPuGMjYt0C8wg3pZzNnWxjr76c1CooCGlF7rglKzNTZm8aAprQcrxal3K
5EU5PVna4Dr2xnCdarbGE99ktA2JboEiQtPo81TA1OUpMPrbnWJ89lr1mwfr0oMwto26+h/Wvqw5
Ul3p9hcRAWJ+rdE12y4P3X4huvfujZgHAUL8+ruUuF3u3n3OiRvxvRAolRLlMgVS5sq1QJLHnpqi
DR8V41sy8wJCfLZEHe7IEu9lrEyxK806W1GvGwtjHYcp8mj6AhG0j+cLzFOO/m8XQDLx0wWSQAQb
UJkC9Yoyl+7o8myJJsIu1CxcAPqUxZZ5NuxB4Bkc+0glK+EmyfcGhRwTA/8phOCcjWSVB1KLKnse
jfaBHACg9EF2EduX20jIA/LvjYVNcBg5X/KpcDcQd8Ft5YK1Ph8L8MNozMqgwS63A9lKaK6A3rbc
3uxh0spNA6Ak4lwQB/ttKDUNAlPqsajThV7Ux8TqMU1wM7l93NaLXutT0MGregSq6LRNAcHq9OHW
TTY1xXw1SQSCqOP3KeZ56haJYkShVzZrvePtIPtB7Ica0KUPeww00tEeQbS3+nmKksNhEp98qi4Z
t1kXfh/isTqDK5mdWmNDDVBDQ+bZw3J8tjfFluxkobNOj5GZYCesbW7mGIKS4LRDkvWXST/Nd7P/
MmkMQayhFEngLxkqp/SegjYgbhR423HM3sh0O/y2/0Ch8BeIfgFPq0cCX8Y2SToiWqybN19fz9bw
5G3eAVHvvJ8ZGrkCoCk4pHbRIKRTtleRo4DPNCYUoxSNDx7hxn9SHirTQVjzDyTsgmcLz0/E8Kzo
OKVte2A2gJDQL7Kv+M7lghud+bfRXUjnS49xG/Y+JrKM6CjiBNLcWaXWllRLVVTYFSOi/dbh+bwY
QOJyacUAOg8zxu6LF9Ob8MH9AL5ItcwFuBx9qaoVMirpBdDjcecFytgyX1QPgRU22PmgDssOQbes
ycNUIu/HQbAvvw2yutYA26pTPXQteA8CxfydI0NVQHUCC0jUB7X+JnNL+yVrx3OugvyvzM5QSYnV
2yP4NVvUmMKDG6b90srhTPGzP3l8zPEfPVDEFixLVAGvgj57Bi9FcU9Ah35tIrv14irRogCMPxGg
ouKmtx/BsTXDHIraBtQTahgbewR7VQ++3W1tl8OyqhyobWskRFom86Q0vlvRpApoSZqUMBQo7PTn
SXtL9esUoiWAFmOZYvryPjab8ghtA+xAIE42N0mknnhjLZgQOwHDil7ukF2b2tQsjzTFxzxkgqDn
0k8NC18z6Ps9gB5ReAWSj/g4eSy7CC2k13Ne/tVzIKa6MHxTkxmtcmy0Zg+3M4cFB0gnBNJu44kU
BVQf8VTQAYhLVecWOiAjpyh+ejO64MGGzKWBrQuNRtKmWTBwPugXcuytqnFCeE0VxaWowSVKuuZ9
k44AVP27o/UM7CV0R4yI2jwiG0LcxbojTmvnyGzwEJ9GhKqKSpji+h7fkbZfbEYkqEnvbhUNyvzW
Za9QCi3+QqTPXCahms4W8E1HFLCDIuzdoRySdZsbwPMZabBVXb9xzc4/eCpy/RXCJdmmBJEiUEbQ
mKfuxGD+IcHfA/oh6FXmKL3b5QxF7PSXAWa9toH+f+1HMH3c7ODGWTt5xl//4O9pO0vCCshGAS6y
CvQeedbiV6pjktQ2g7hdIG3sQtAOsYuwtsaF4xUdJGMb+1Ug89J2CEIiOHDmbV8viGUTPCugtDLA
d0hNx3P++6DGcgDOK9UJQaoK9Lf6YICnEvBC6Gd000+b7kghUwZFGAnYk+mtFdiNaytojqlQ6oHr
Qzm6a1FXYHfXLToA8O8kAotObQmL3rz0yBVTC5SO4OMAsg+SyPHhZkrHtjjIwfxKJjp4fVjtApN1
80iRtHxXtu4PSPT0B3B/QsaoH7MB4qBVvwQRuosck6wRb9dG6iFPOpvdqe3ExY8yN03gZbLxiC2T
tW6mQS4Ia2lJVN9gXY4eapMPndEBLGngLciONzPoewHgrPv+fUArILHdTOYlYz6kjIwu9PFMNhi+
ub6N1qqJg1Wa2epJDBxxVDd8YCawXHyswR7qWcaBOidpmiiohNA69Qagf7qDaHW0pN4Ar5qTp/xv
qCxWTy64oK+QA6jatu2XVWtcGgluMfKsXFRnN6o0dzQPa/HTEa5Ua+plopd7C/WuYMPEJwKOI71P
Wb2nackDSEgQ9hnNI7WSEkSU2HI2R5oNMaseJPaNAo2WB71RB3p4rjVgGzZx9hyhmBUJjwQ0UVAi
vZO4kXc2aHRPqMrGo7mN66cG5BgLU0KZrcKXFiHgE0MuSKzMOB3v+rgE4ELHVLGdtpZJwhuw4qFZ
sIrbC6AZshNeSuBrqR0U2xiOv0q71FrmUfGLI/chAhA1xcYsG6gA6xScoVNwkU7N5YgBhcPYnclE
nZ4AgY0ZOnJDHtTh9SByovFku01iuT0wukV/JrspDAlJGmhmoV7fOrZ9U97VPHqIJsMB9RdRWsUF
A5GVBY7UKUr/KvAuB7mK7uEixCm0YLKNB+3gBRnB3Qx3Op1dQV1ZrvseaSnIU6/C8JVXnbrcQgDK
cFAWECXGHQUOqCMRzgghbNGu8IC176kjZwI578p6BUFGvverqsSDL2Rbp+jDc91B16BwEwgqRNO0
NFs/fe1kUC38qYi+NUFzlhIB+cU4vdXY8OFbrTpUkAzNj8wpXlyZlW+9gX8t6pfVM/YDxYqXuXjo
hwoBAce1TgEfpzsV+/2+MUMJVV72rytXo/P5yq6+ssHrc60qxFmq/A1J+89XHvrsJa0Lc5mWznCZ
knIDEjOwcU+OsXUqZXyzJe7zsM8YyLDbYA2K//CImv9hjzy6tbVlat5nIDRb+qKpv7iif9WgbYz/
B9RGyHRO2TfDMszXePCzFcOP/j7OI2OL+u10n2SpOI1dOq3dcKqefB6BMJo71ncIabx/DAsfw4ji
+HtvIwj428dQU/ivj5E4QfXLx2ixsDnZWCcv+xG/50ZCvgJJiOIJVLDVg93hsaJbTmjiACxf6avy
TCastsQqFHa/pSYN5xOwStTs7HEejrpuXyz1UBQGoMYcpMj+5CSrwebuNaqs4gFbLQATOvcKPQH3
OsQ6CAMRpAPZ2jjWqF/NdQWS4ysQRsWDF70PhyQY8omJi2iC05vHvnPeD0KfZYC/e8YAdKlueckw
IbaS2wic6h6Q80C1xzJ3JlgqV6Tr4FiILiAFMh3BBgtNPfMvMkNdFFIx2ot0asirnJQ61o35gHVL
tEzqGnyYSjrtcdAsK3Rg3TBgfQwy6AT0j7tbB6QR4G1+eKuxXVdddAe5zn5pI362o+RdnoH7CgwT
AchQgbOmXnBehztK/BVsghxvUC5QIx+tZ+DAJDlfRJEMtlVitfaK9N4tbYSmQrAlYXcSi6cz6mVg
cVt0urfpgJ3pZQfVdZCEXSZuP7HBY8/UUp75RBS2H61bn/Y0Pzx/HQeB4XmW2m5tFJIBFhZJV62z
DhxKtAScV4NkHJMaOiF6sUipcjrM3k5no8oXqfnbIVSGWqsaq1/JvbvUMWyAFBL1BmDXqs7D7FUl
bY1SP9iJmzZLQjBZNPlsD5RmGAsi9abtN3+LOT+wfJN4hiH2MmrGdjp0GUO1iOwThNtgu/XG2q/w
uwlgB9otlnnBz7GFF1fXSVRaKH/8EoZRvBrtgu0pu+NX99OkxOtvXtJPdW5xn2MH/2Dgn9bbHhIX
QeI7q6DkSHBqTVZpi/GhUfiXUlpjYNizUXpttA3/IXdM+wqWnbWB9w00U9z+aOTYr5FSDcstLOcY
RxGR1rGB7EsJaDoXB+rtcnevQFvxGMfcoTnIPEBa9MgLzEFT2oiDAY+UFYuCVxkUrHp+rVXTgH4H
QKXGTvi1AnE/yFqC5TSCfXbZ2AM0DaPI3zSO996bYVtNQ8n0p/Hagzp9FNitXWjSoHag9bta/yli
JjD3K6c54k8RM2e56fL2SL2TzoxTL7LjcObgN7/10q+Jmtxnn8f+yZl+a3iqZUd5KBN/XJZeaDwZ
sfrXmRrZu01+nP3mZ6TQch9FO25FmdkHPgYg3dE3LXAQj6oe1dUdOvtQ9yqHqiFuzhZ03zZ2L5/s
dDNHP/1lCi7QaaikZ65rz0eACCQmh0lwdlCs81aQhLcXZLt1/KmJWAJrFjTu1m2Xk7fqOBSyf+uw
9Pw53rirLrAh8WVY/EKHosqfUL/qA/H400Rn4HULl+CUz9cV6WWSsU4FaFO8ABRov3onHGD33Pt+
M9sqTm5XKPzq/Qq+C+yWZo0Llyzm+ZpG3Jw9o7jGstgZBlg2Ub2ULppiTDcdVD6hJRewXTeZzdnU
mV6DF+HB7AEx0JlevGnFo0DMCTILDXRbtQd1FMLZWaghmwehvLhfCYibKWuKzpAj7RZGHtZfuxrp
SJcV/FBEQ/0KPbLZ3iqoFEGQyFk3Wdt8rbFWtayqerTLCGxFhQLSWNsHPRwVUPFteAPJ1Wvs9S8Q
uahW0N7LrtJEuIXOyCa1TWkbnf3f+BkVwgulCa7pceTWMrQn0O3rJ5q7nQbVfXEYVwdlArNM1iwv
rOUo8USpuQ39inU/gQQ7hAiPAYK8TStSa0tCF5Nvn12rMh+zYszuE8H+JjN5BUlgbkvHUV+0lxn6
W7sAHqYynCvWmuXBcvEQQD7evZKt4nw1osjxwXZt95pCqHnlA3W9JQ8a4CiEO7UA7JVsesDggb11
jgMELE4A4svWYO3mr4BLt7toaNma69CXD7vbuZ/tFbZFb9r/T3Y55VCfbaIFH3l/zkoZbDI2VOuq
5MUzaAztO+hShksedcWz5C2Klv3YXxghmukUIShRgx6TnC0bfD5DIc/UmdXp9JiBhCzG0klCZ2tV
xBV7Yr1MHqTfybsh8wITYTiv29d4WeYLacXRzrG3livE8Dd1GBXorg4FG7v97A7ZPujNQIQK6KkG
LCxTPZ6dpOpfu5U3OvLVNEQHwakxX1AzrnvNMGlABlb3QpW0hrgCSlmoWYxQMItdeUVmOnwIeu9E
Zny7YCiKAXKvsxZTBlBBKyAEc0e9vqXeIkd1myzH/u72ukV0JFeLBBESaAF8eg3T2/b28o3GdYKi
3k8O1MdJgQWdE2Re5nc1DWSIQScgQzo6YHfHHtKSm0Fn2Yp+7B6TKdp0PY8vZOrNAHrHvP2b+sh0
G3Sz/TqoG6fmYPXyb/L//x2U9ECLge0BH60XAeKk/ngJ0xhQj1pIu/mu2vhgpFhtXsuoq57KLPrH
0quuxm+TRYDF5Al0gvbc9H5tUu/NGRErcbo1ZYaKMyuPm1Vo7CJHVxaPdjDdoxVTnfHwx5btl+VC
5l7zCEgIW7oFZw8Bs9QGstLtEURww14KiOWEfiAuiC/bKwOAieepgZCGqpr2e9DwnbCAt11UgHOD
nwBCoYX9Hco7/IvHfLbMkG6bpxwMTfvol+9TygmApV6671OipPwY495NOiG/GBUbQM2IM4UavAV0
DuSXUuCadCa17Y9+lT2BJjYEYely7Aq+IW2wCGGVk+eD4qIBcfKamm3fQigcipykFEaaYXXB/NOH
naTFPAQw8DLOUqwFT0EJ2eAFTpwI758FpDrmk89d/8XHBOBnP0yJvYl7u1/xyY92SRiqLz7krHtZ
1S/CqtJTDoboxQhdjy/kliSZsQNHsPoCwZtFzYbwLs1YtOUoVlyhMNlZJ7LG/7rOp35lVzl0P6it
OqcHrYjjrEeICkEX1JvWtulvgWX6O3JVvCPeeoCuugudfdhvJrJPrjX7E8U9mVwNGBlhx1s13pGd
TNT5P+2/zY97/NPn+XV++pwhITo+5pbM3YSoattYhufghvx5GEBkq1h/6csMvO+NDJC6KNPvre1H
2RrYdsR/2h4kI3rA7GNPKYReUh+qMCme0v+e6mb5mG4enoLS1xsLKIR7KERxKlffRaJehlaQb8hG
2gk9mE/PMjcX9sDAi41Xqe3E1g6pUXPGjckgdxauCPqTD5b556Sx31/Aaf3uNsPItFvYVf0JrCHe
c/bTberGf832qxsNr6IY/2IPd789YWMMBaZLV7vQpLcb/yERifMAtKdE/TBu9Mo85h2YLchTOHZ3
53l2AK5Ehk2J9m+nBFSHvAXXLfkow/UWrQCajiHHMvvoK4B92f10BXM1u+cymo6gjbgnb5p2DPHc
sufkkCnG/egDteJERnGXQwfzxayRkoj8KD5RE1R/27bokqsBRbproeyV0jWuWW4zVD2JakHNabLs
O5Axm3NvPnIAYcayvKNempJDcONETT2lysHJR1OWoNfJ+7g7uXEEWhQjRLCCLxnFTfRBtAVg4pCD
O1IspY/rCZp4SbyhppVxeWAmNIuGhpdPMfJGVyefQynk0DagfL4NF6Ixl6Hfr63OhkphnIYPY4NS
NabVQms5gHbC7wA07gewP/zbQwbdoR3xqv/NA8gphMV1yuMPc/jYv6/GxIY+PNYsBVsDiYOQimc7
OE6adn9IjQ0R6c+2uR+k+iDZb1qwwLqlYW3dxkFWgoHVFHmw5uhTEymTuUkIG8LUcOnOphum5mMQ
oXXI68NELXL9GMhQjnDkMUqpU1Zd+jw7QH7QvwIa7F99xl5QxtWeQBLrQ7K8CdaIb49r6ux8Izwp
hKw63UmmsszPlZ8zsNJidJa46Rol9e2GhgemsLATbb/Po/UgSGlsAe9P7slkBgMWVSB+3tInGIeg
P3DoAS+ol+ZgyMGVJhseyCRrAxVE0s/u6CNAXbvZu8wzAQD5+YlA+gPVL+ORLJ1ZQPVp+h6lybCj
AJwAQe52avp6DuDJxO7OeNE+UCfdZMjGQvQ95Q90g/GsQ9nHr8NFUdcr7jHQN5dZsEvwHgB2N9h1
YVM8uSwtnwqsk+wxGy9xY+Med5mzdBkXd9QJhPR0Z4MoYUkDPobjeVWAxFX568Cr0rNtXwk0wfAS
WgHSO4F9B3z3WYOkcivH5DtocL95PfR9QDQS7goONUY/z603DKR+GqhqI1i5KUAz5cowU7ZzNQTf
Mhp1h7S4paEX4gF5YXcR1W2+CcBaICGD9KXPEhtspzkyGLlWktJSLtoOZC37ZP/VHznDEwtb3u9Q
ujwCwpoBqaAjf7/FAGs/qZd2goTGreNTsLClSKAvwapZJniGD0MFLg0ZPUDFK3rwLGRZsDwOtwNk
bB/AEYCYv4fSLxmER/JgUWrdj/23SbluusxD7mn68B+RL7106Wp24FZPSb40B03pNi00+/QVmoEh
eNtDvTsaUPSmd3Z4LnmQ8Yu7HTVbZq44WGGfE+w8sGz5txu9KgYXCtph0f3RrdGzEZD5w03vY+bZ
yE4XNXpH3C5Ks/UDGJWHTAI4AWGybTdl2QG6YPmhsAxnq4BCuHBZAcZeWcG1jxC6bphbfWUJ/5pw
Wf9oUujdZf7IF/YICHTLqx992HxVBi+/Fk2ZQhon86+K4cdcGzy/QKDi/SqNNX6+iuck6Rp5sBb0
x2+Nbb6zxkBpWh6A2SKOmE9maEPOtDJ/stEgTcERxBYkNsJgnSP2doVITLV3kbKBMI/rXMkWiy+d
dIZHaeF1ELqQHW4ncGHd/CF9BUijMLFKba32YT68Dt0E0dLKuXfV6O1tvVj1gN3YWJlKkcaexAXJ
9hFo11+Ns3g8GW3tma6d/SiC4O8qM48mWE5uJ75nzZbw58kvPlUaqpeka95ojUyrZVooqwFi8yIy
d2SXYXDhdgDsQz597WPIDtzCuxQG1naHQezc8eINVR4o+VLHUKqAVIS1SpBnhORcOp3tSJhLcnDD
l6xrnCUvUazeijhfismMN1PiOmcDiNv5YIWMH0PhrIciQniLOshFQm5pWeJHtiHbgPq/lekmMYTp
enEZJOhCOjcbN1Up8P01lYEApFB7LBrVF7Dn+pCodI19r5uMbZpw9F9rkNcc3ADqfVxrR1vF5C97
AQr/yTdKMGHVP2plG2/6JMjq9xML/LiZgCCIayG7WFq59dIEXbfivXAu0oK2QNYmxR4JAzA6RFO4
rhlUEVIrKpd5DfKdWMvTlfqsD4D2BpAHbdNC0i8dTWv9n33IkQ5pCrYTrr1vk9EZL76VZRdiu2Uf
acs5VHy6Z8Z0JBmyLGXqXvfRDpP6Woa7RW9OP/r+2zjwoYDlfnTeWsgyLEB8xK/cjoKNCoCxkaAx
PLE0TNZ9I6yXyui/FdUINfMEPHhY1f0Fumd7MepBBvs5CODb8YSCnhTMmob5Mo3jPAiyqvOgtkJA
C3ATIxqyQ9K4xjKfZLpEzCk7xNEIknbq6aJUvZ9S15SZCKC4xbS3RyTQSl1WWRkoBE8sCK9DCyw5
hhEYNIxCtI+Gk9bLqhb8TRXy4ruo9VoM8tsggu4HSqb+4YEbvPi5DR7mYHQumW9m0H0SfI9vtj5l
ymZr4QT+laXiNYni7aTzR3SQlQqBreGoG6d2biNdnLnj3qIM1Cefj24ecLWnVmdCcb5T4bQlSFA1
Qqd8aBHRmxFCGj4ESpY/24QHBgoSpSZn8hs/xhLqiOYjv/84n9tijR5k3RH8GyhPMX1jdYuwDI75
BJZ0YG50kKZ0AAqsXA9UZRodrQ80KIK20/pmm9LwbBlvDbbd+yQIa+ySTWPEdxiv5uYoC++iZJGi
cjcJES4AcVKiD9QBJrtoYbsl337yxmp51ap8ON2cXV8Te2f19ZMbhNyT9egWLbjAX0EQE55EVbv2
okM8YBfa0WvNWHRWAvuWFeD3G88GA9nsgpqraZEmkYGniypWwBNB1OD2fBpZXoPMek0Ppo7sjuqd
c5l3xUpqZ+qJcmTgFqYAQDAVs/NvDz+avWC2BbJFlKVrtkNP0yPGrERdJp2aRHx46yKjtFIHqD5g
M/QQ0sD75McHq+IrcnQTC+VBdu3bO+bI2TbPYKv6roVMm8MXRV1AbsKynPskm5o7N+nyXWm76jJB
CBIacWnzdYTco2/Exo9ANndexfy3zi/GJQ0qvLS5k7kF5pGwVxcbU86DCtM70RPBKbs7xIi8eVAE
XNt9mKo1g0LfotCVCp6uVKBDPTZLBK3Ck+1IC7gavbUH1wYH/RVKD0DI+O6HXROYS0TdAG+OkM/i
Y7BZJXILfTTIGyOdcwFmeLwUmWxOzINCvWCFB/EdUKCYSav2VWg+UMvTJjoDb0l+13u6PEEPpUmo
ozTibGPWgN/5UVu+zxLmebdiPSKpiRVEybp0sNEcMwZCwtulkFvCpwGC5o5mG1V6F6WpOAuQKqyD
QCZr+kVV+mdlJuUVSm7sSK02CrtT2fTg/UMfHcLGlGsPiIt1WoXvNlSuPkSVEcy/RVTVlqd6si/k
Tz9FkMeLdcxls75NJCNxb0O2+ETzIDgM+g3lpwgygVKl1vxXVpb8I2Tq37sDxLtFBNZ6sgvP9ZdW
a7FDG5fjM0v5tlOB9TWXFpSsy1ZtyS1DCj23sLFvp4Ht/9O0EzPqhSdBw0XTFpEs9zbBAlujt+9Q
NRitC3fqNsRCRs0UsfVPTa6bRFlmtk20vvVGEkEJs/wnxmvheYCm0F5k+Cup6XBEyysvQCGC7k1d
zRHJa+ASddNMgT0UmqafmkgZJKes7rK5GStpnuLa+DHPhIzHOY3Lb9SKheueh8588adpeu5K0V0M
6IhRH7dsft/m4Zn6RiAX71tlgzMAVwSjRvOABdZdBIKV58SYDGCK1Ib6ioFZjx4IA2lc7/btVXXJ
kvrqKU6evOKfGnfeVqbAuvdROVxlUWag5cqHg6fJnQAbtu9S5tTQ0gFf1OyCaprGdt0HaqVlzoAB
TKwNNQcLGO4yC8/UokElFugLBAiGAzVpSj/oH/wsfVKa9iQf2uzR0FHbsubOFguMAXI3vN6NqN0/
kwuSMvwMDYrdbUBXCHOLQgAgKPQkdOiLRMyTxEUz7GxAlxdgmAiRyq69RdqEQDPXjmMsmOFyiGyJ
cOX0U3Rf51V0j2rJ/C6BvNHCJJ+GocyurPsz9dKBnNW+DGPvfnbKWjxcWtwD87xZCKYk083iu9ug
27VKfRkrBYVtmJXuCgVXwJCEsckOLr6cj7VAIROgtan96e0/Jipf9z6C4HVnbtM+H+48VAtdY+7+
zdOp+Ks0Q2QO/Oq5AF3anxyy1n8OVVXPDnjxDne1wqZLz5Bjs/Tog0dmkXjQtC+tuD75uWG/MrGZ
oiJ5rZuxOY9JDJy2Nvel5NsMwPENklH2623QexOr9RSRrGmqDvObcWQhfiMJr1DeB3mkT4c+AuCN
Dwoqv+ho9buVziDz7p+x4UnsMVyRJWQM65ysqrZRXkINz3VCyLrmYu0Klj6LAkvBpIu7vyvEqgzm
OP8IpLFqX6Vf3Q5BjRz4bOy0e2wPsfzeW3WLYjs9PILYzTx8Csz2GSmPYZ3mWO23GgvhaXyEaB28
Lv3+TC3fBJvC1GViaSkL+A7d2wfyvTeOUS7fuBUQU3rox/gwGMuNGYLBNAGFNWIBKIQfdI1KboNW
BT+QK/L2AbiisBcYfGa+9fKJ+iNwu62YHU4HGpjrgR0Vt0zjU5Mnau/rsoqmC8qzq8+oGXsRfqfR
cLQmaG2DhQP8jE0lj+RGHpMRV9uuB1nsDuCjfhm4RYOMpzLm2oAoT6tFYpny3hqC+gzsiwE0K1Kn
nqwr3J+1Fif9OcKOs/ABhIDgMM+dv3wRiAO9nPo2Cc+QQdt2HG/6ZcviYQMmvXZ1W+rpAZ7MuwOZ
JGj6NmZgAySN8KhIvfEtyusdiHeMH5ZrHSFcOn0VYBZY+qj3v4A3y7hze3O4Q3kpUJt6kO+ibjE1
m9008uoyRU65yFTJT7muSs0SwKMlJIHm1ofdFW4pVoUs9qUNLsUbyQxgodD1MXof7KpmuaeOHLfX
usod5PhZBCXX3lSnBgxpr/0/tbT615iNMThywYoWNqH9KsD/tUktOW7ICayt72OY1ziv1l9OnN/J
pkwe+sbmV1bYAMbnJuir2jS55qJqj3jifKXOifP6BIrqUzl6+dFWWb6CMi4EFnUz7PEGXNApHSIj
xSNM96gxQ48P4U4t1OOtyTi43wGJyx8c5TfnHPjRRTeE5hfejsaqali5o2aGjAXUMeVzZuktGHC2
Cw5mmC9R2ozAVpjBzudBekDVqbfEcmjRZ0K8TEXMT6ahQhDoAgYAIdluZVRBvK90U7sJ7WbGDT8h
XglNtLhFMgworBWobPiemh9ulp4NYDFwoxGoYGq/o7IDDFt19S30EFPXEfPUbCWQVn1wHsOyOqIi
zlt9eCAlgRKAVMqlpz2iDpTy5AFNoupb3LzPQR4GFOfARQSOZDyQzMcOybT11KAGZKwa6xGl9NZj
LsJNiyjlhTyKJLWBOAjHBaJT4Nn1U29a4GmjduTs2KjJFqoF5gpDaUSr50Q4sl07lZyKZe0Zm3Fw
vzJoau0y0DEtOs0M405RfaAmRGrsZ7cX7814VMkmQanyamyEd1eXEAyjvbqHv/pOVDJZ0UaeeqlJ
u/Wbs9PJ6ICgTrqgrFbndKAKTsthk7SBAZBy0e+FYwcHE6itOTuWRaDkGpFhpQFkp9RZq8Zkq4AB
mme6Dfh9TkSKoEq4yjiWPSwH0I0XQ3YfZnijjZP/0EQlTMAQHEYWvN1MQ+pBEsEp5DLu8j5d+rwQ
q9Toss3cruNJc5Yn9m5uWxFevk1VnmmKqvCyezX22B/qwcDbzfPnKLEFSd24z5NDEcvsiNXO+2EK
UoB9fm/zqh4ORXsgO43ootAGjapJVDP22ddg82mIIBjso5bSjgy2IJurO/Dvr5YlQFHrGw0InSGM
jjQqkHY8Ka6Tq9ynUQAmo5JLLwz3iSy2Me1AH9HfC20abLNZpHXvH8ijREZi1QooobVG62FFhVJJ
0YBDioZySMnuUYwVLqiJkljr/D+u5NtNf58A4tIiCx/2uYtK6akpDp0+JKONdq94AczQVBzojLor
px9BTmyP4G38GBOTO/WTZz3V4PP5/ZT6jXZo1pDSSrZOHmcr0g3fFbo6rMZ9smKtKU89APgnN8+z
VW4y+zB61Q8RZf3Rkv37IU6d/kg2LwC/nuvkB+qctEcPtgbE0T5cqGdEBR0oncGrVhgPtzTVNPj8
YKrmq/ioLHeQZiATpanoYHSgqNRe1CJXGjjxbh44Z7R+znWb/te5yP5xxdtc7OcVaWZWlvYBtdh4
fOJh1GSovCUEb/DRxHaHPacdHiu3XiwnPjepFwlxnrP25LiGPI1MRDu82vYdS4HYIdt8GgCgskst
a082OpRejXpmfUCZAUhKX3mHHQR4u4Svng3A74PUeK27pvpe2sFrgBvhO6ig5xPgSeeTX7rMaPRf
IJWx192lHvk/pvg/94EEGKq8wN+9dnvXPTaj5yyI6KHgOd+00Kmd2SFsH8oudW265w5/8gsLnpKJ
2a9/GhQFrJ3ZIf49aExr+zW2neQoSxRf9oUx3tOhS/wcWpnLm2VCIO7eS/SCPONa9NXUbJZlbW2t
BHtUT1rq09C8XxpRU0XzlIMFrg5z1EEJfQUd07tvIm5tswhEsGRzkKFctJ1fghq0rNcDaup3kS/y
F2VM27JhALVqu2ln4c0u4+rd7oOxbdcAX/fiVthDfthv/r/aqwb1a5S9mhNfOnsFyktoMqs5WdaA
tvbYh+3TLX+WD6zZDm4wLm/5M4kUJqKwSbC5JcV6J/6ax854INNs58sqQkUZ5dwmI8qO3K6fbpfu
8cDZNg1Xy9s0bTR8npo6lJXPU9NEJqic73uPLScLFYLCmxAYzAFJOee15y2NVhSoAxij89yDJ5Ta
oa7ludA28mtZBAVFIEi2NMM8lib4mEWC3QcFTXrSjwOWp/NMN9NtzibJtnjf+AfqBA7s/1H2Zctx
68qWv3LjPDejwQEAeaNvP9Q8S6XBsvTCkCybMzgTJL++F7O0XbK3zz7RDgeDSCRQg4okkJlrrbuY
p+2hA4x/0WcSK+5pIXNZeeDBVwwOUrOTyQXP9CZPB1B1TU1arnAVINem/WRPNuGC4ABF4TfUeXGb
5hVIha+uNmX9uE5rDO7naWmQZyCYFes6wT4KyyCatgOjNXXSofk5rV9jqzAUWFX1jcG3RYOVHa1n
3AB1ENSk9Qw1hdtpAJGQmrg2qRdYNlwvycENsOvpgCBe+/346jXYEgWSdQcQimONR205GemMDpGv
IBGbVGsa6oNlHY+NaQi1rzP4OQj+7a66+81+mfnTiwypF82kq/QKIY5u28vg3nI69iIhxOr5PPqW
tXE3r/rYPUHwtzmAxgNwwiH3Xs3ySA4cqsTzXIJTvuyL4qigI7KgDrG2oTH1BmXnciFKHR29MMhO
4YjaA6S2om/CeugKc3y1AUpfQMdWTctmf40UMWIPNYQ78cwdXjLm1LMosYNbpYRzog5sAYCtmDoM
QOwuHYUB/mXfAo6iL3fSDEGtyKcSqL7Wd2TTDUeV3dANdyUigys7MPSNn4bWjVmxcz0tamOkkqil
GyNcGWDMhyIwRB4DKa0doipbArVcgS7UhLoz34H8/NJJ/mSnw4DU0o5HYvO7fZoW7NDGLjebzSf/
yU4vkIxGuAcg59L523Cgd5E/Zvry9q54G3JDSaTaj0W6vk5roab+GLt6Xhp1fxQCCZ0eNfk3nY/H
NYBm0V2deCj7zaHY0FeempuOWTzJugKMT1fpi+uiCkBr9c1LQJ6kRPujddQiSTIJ/dA7JINi7FLS
el54tv8DqTOUcafJWx+9A6NXPjptOyxD3BoPJVP53kR2dTW6DhaVIB+YBZnbfLOtYG6MafYDHNxf
Wj44T57RI7iPyPtJGIxtcwfQfYk92TlWbjfXDTNfBqfbamGmP5gcd+3glS8o2oRAF9gPZVvPQt2N
98xS8dp3ymRXyjq5cdwwWJhep19QSb8eiiT9zobwa5vGw5dO9wN2n6Y6eGbrHHBl50vZyfxJtggH
Tq52M24j6Yb7sor4vAjiFhTYvN5HrjneN7V5D54O/gKNZqg5+U5zgH5YcQeatjey48MgKtOV+qhA
W3eu6hCF1JG7MDyA60CAGZyMTEXH0gyx2bft7q3iSxFH6huKayCTNTlYtRjWwFCGy9hK1C3AL+o2
9wHwQsChQLyeZ7cmtNfcWZHhHY/pDZmA4TKQmdaeHc56I98ERhOv9FT0gT+1cbbcNJohbKx39vTc
u3T4QAuMfn5LrVD4+TGzwuN1UJrjqT+EEUg8f06kkDBe4GKKVwaViGBB/TEx+cjQrGeZW30jsrdx
4uMsknbYN9lM8Yny7UL8djmSDx0+tYs+GPc1al1b091BwmbGBVg88tQ+XWoWRkhjIDgQr6jGIVBW
fQRA4wt1kkmE5tGyuw//GhXuSJMFfG9ULp8THYWTV1/zyDHvLATNDn+wd6X6bI+t5itP6w//EgVA
c2KvwO/mq+fH1l0fAE11iWQpv6s/+F2RBDlIAW5QqkkgqFoG/oWmasA94Tu3+GLyxw6STJsGEO5V
M9jm1xE33qCV4RseYaBPqRPjMLR8vIFKtQuiDACSp5HI6eaP/TSyzhEYCkRxGUkO3AcIjEbaqKi4
aWOIjsu/RtJrMokSRRrJQ5d9rVF8RA5Y6QF7ESyzoHLuUCEer/DH8A46icA3DPHqjV3bBfICoQ21
8JZBj9oGvaptJd8gXbQaCjkGwCSGS3B0md9iB8hCVMzGX/jI9MKztHWT68BYd2PX7ETZDAfk2SE+
LvPyrsRtHvC8Tj1jGfHgJyjunYV3Y1uBMayQxaQq4jzXBlPzP723sbX/9t6Cgn16b5FhQGR3wn4R
dCvs62xe22Gzu4Czpiaq5psdwb5qy7gDjqTeFjpJ9AyRVVDIUbjOrWS5tCMwBlyMAmnbpduHxgxp
bIVdayNXPcTM5mHv41snY51HeEYH/DBOKl79dFAtk6s6gNi5LPq13Uu1M1ASctSi7Y90Roc2zsFQ
5guxuHaUpf8W1cyfZZXsV3Yc2FtXFuGdO0yQtgFUv6g8OQDiWTyRx+DYFvKb9iPQP3oOPfZg1+NW
Yl/T+p9i/JdTchrhRCkAGUd8pfsQ236w0Q0I7nLpAoPip8tyKiuu7bqZmQ0qAzuUBT0IjhJpJxm/
kpvPQHPKiwIRuA57jShqmlMzuXUBsHzT8D+59bjy1wqliJCxku1jlWVrQLmR18OVt7J4OK6zqanT
Yh5DN+QpUSXbJZaA7LgxsmfG++9D7Lm3SDT3N2DTBmJ98rdNT8zrViJzNU2btWpN/kMsP6bNETfe
jBmQ7aDWBsPuykXN2BzZxWhLW1tqFiyOt5eN79QLxEb0qYlYZrSNS4ZMdAl0qUuFq0HEu5lpdnzp
KY8dOFW74iHRiRXgGbcfrwh1mn3QIE6TjlZzAMgE9BIZiKoPEOj0rVVQAFSey16vqJ8OhoxeY1FY
615ZLTAsOEQq6I55XeaA8qccDDKu6GdkjPL6w8cWbTsv6hrZ38mbOloZ9OC/hNJCUiB5C6319thq
H8WE0JeaNzkkGnWCan6k7nGKlVezAuNbM3MRmuxnZKymHjpzUSmzzUt5c7UXpgXqj0tvay/MAoWG
PVYGHI/xfU0XGi6h8NgkDq45Og3d+8JOYyicIW5OB+SoUo2Q7l/tBvxCCrz+ZPk0ktpjEpnQLJ/T
XNcxEBJCKH46WJm0l06fivQEerBmxcAFfipM3z6y9tGcyr3oQGY6G0Ntz0U8qGWElYrEHsR3D2OQ
zcklIdvgqQr6PaGzvM5QRewRu5MQNH1uq2YGVMl23nSgsyDhjQKTgoAR+zlvSdZmrByU705eXDpQ
Oq+HDfmQyeH5X6NpymubfKiZ5xl35tceYcp8YQoISlYaCSOtoo9DjGhkBbw82mnvliAcCr5fbCn1
kDuvZL7qMuMHRSA/BSmTKILKTwjy9AbV7AfsHT9HM38LbtJglwePRmR8QRW0fbQM8ANqOxygFD/E
x3JIFbiXWuMMEJo1L5vQQownDWZgjFTvfZAsUaSoUPsRQbiG++H3Ni7f8kA0X6sBeXtDhOwOCx4X
3JM1w98xT7Z4aHVgwamA5pfJUuDhiuuBK3wXsR4Ol1PDbo2dWWFNpZISSKKphw5CozJrAC1ej91g
E1kA7YEO4xmFl2eIdVb37lh4B4AFqznZjRbki3kVljeJb4+3Hu+xfpkGhOAKQMYo53sH+OIHN4ec
rmbqMcjHataDke9Ah0Eb2YFNh6uNmq1u6zlPrVU+oiBcq/pYiyB/9FAFe1e7/pxZVYi6lkUlVPrI
+yZ/ROQV5Y1Fe0eOQZ6eUCXl3lCriqv3XpXDZRLo1YFWNQ1xHU5z5tOGFjcivaVmOvJxgVogZ03N
xi2QHkSAe0XNIfJr7MYqd2FPLwqu0GiL7IY9p15k4o1dmYPegnpd0UXHpsEKlXpZb1U3CBmcqRNL
12hW8IFtMsOwR7AtJxUAGdWuweIAoaQs8Y/4bflHOjN08RV82XpjmTkfZ1bpdwjAD2CCNzNsDDMo
M09ndAigCrDzIxyuzT/5XYfRCHKhYdfm//9U15f8barf3sH1NX7zow5Z63bbmfd+CJFlAyoh+YxO
rwcQf/BFbhf9DEIJ6f7aISNQ0pd59tcQal+73WnGa5POfn+BtEFG0pRgOfznacLy5xujV6F3cjFe
X5WMoiqdfCYc8zy2EfZu05u4DqHmxYVOaUhRxE9Q3iy3hh3ltw2kITlSQQc1MXbSoRg4qkAMv5gP
lv1h03QWJysDokbHYboCUBvd1quqTYCV+DmWRuQxquV6aR2v9pEBuz2muBPRq147BtDraKGTk3JD
rMzbsBPLpIi8+eUVf06MKBWA2+Dw1vTaaauwSy7NeHGZigaH7XMqdXhzmSptzWIZRkZ5cfEM72SD
hGgNhol2J1rW7i5nMu0+zv5gI5fedWSKCxvj6KB+nl1tYprmOit1XG0lWELnsYMrHvRu3l3RSXBT
hWBSp6bPE++utSChrRPrJpw8SsirbcKGd3PqLB3Xu8sRb8lKzY6XQbqFUiBAPIh8oURUtbW6cW37
BJqU8r0Y+ckQrHh3WnkKJU4ULK4f1wcZpeBm8pi/lVX/SAXpVIYeTLXoiARc7FcTeZA9K8cboMxn
bMCGIOXxLQj0nHMcxfKEG9KSWnQwRrA5p3bz3g1Bgkxfg4q8wivruSt8sBjILNhXqTPt50vx3Pw8
S2Lzw0ZnXeqI5zAc0hnLM/l86Q3WzPTuk7ZNzpzz5Azea3Gom3FPJohDJOcGhfg3Pu5lUM3rgzm5
dd05BBnTLXnRoanqTWLn+kitPoqTc6Xyp1wqMGlMM5Opr8FZIQwr2F5tXW5XczdmyZpcqCNtM4Au
coB4yEZzhiXkRIPGSRbXVw1ka6+THgzU1/kCO7W20uxRr2W6eMNxPrp7RzRnGkYfCXURJZRKi0+z
myVoeOPLW7h+hAQ7Sg32r9PVpPzqtvdkeLi+s1b60cwETSIwqfjCyLcWlT8zDCE/farS8lFGaoGu
ilzo4I3gAKnN2rx8KppUdh5E97KsnV9fljXK3Rgl6tavn7SrOmPHXP31+sUhQAre/zbdXt9dr7h3
kwfPNNflb+j1xRR1HW4uzbFwdmDY0BOYRm+lBZEEI8/617huHqw0Sx5iSDbuJGOo0J3s0LOzjbw5
jViHo/jTrVcNqIy2blY4jy2I7siJCcucN4JVx8jmxsLgeTZrIcB33/XmF90M6qinlii8cYVaETAn
l555X4m+unVBetW4iXlPps4EtVeQBdGebH0XFJssytn8MoBbwX1vrvy2NcHEiRI9rKu7eEuTgxM3
2SEqYs6oSQM8/FgMYfZnMnUjQolp31Vrmhxok+wQ2+o7ddLbNSJzjxRucHN59cbWqDaLxJImc2Wi
T8wpTuRPBy+OX/NEmgdq9Vgern1pdaATwQcajT44o1JlQZ1kyiGROXMqv99RMxkLeyMjBOvIhd6C
BjKOjfdkMCQ0XrxyZBt6A6D1YLug7bGVxJ5KR08ssrvz6Mj2thj1u6897yuk3YclFAGHTdCjGbbG
AqRbqNGMPe9QVBkU+ICg/gqeQgeUuFmzL7oIpWvW+WLuoMDXliX4QhCjmX/suEGhtrnU6V1r8xOk
PvadKmafCvXsuIaYuGnfGXjbReA/Uf46YOqtrdv8oUCSbdPWkPhBlNZ7mBwotY014JtTvxgIcr7F
HAWQiXZ+JHZ606SD9dzGzQA9UEudhR11a7e0+p1figRxioSBNdDpH5IByrgKAp3fpuHQKHV+RBgu
MwSD8RP1V76d4qeRMkASJhx55BpgtjATgM/SsP8CjQpwOcN+ddMT+jz1JNKICKhd3ASw9+QGdMTH
bMPkdp0tir/5RHQAyeMBNN+AdxizbHjPZIjqUs96guxwiaJEM9vUfZN8KTvnIAszfAOeJ50XKI8+
tdJix9wckFqzh+jt50idQoyCRuYiQNm2bbOFEcdIEAUq/UJnKhDJ5Uz/wfYnv4CZDPfNIv2UZzOE
PezBDLb5lNW75Nj4cG/wUWwpvXbplciSLblRAmbyM0dHzjRLWtYbsvdxOlMjErunoiuKtQD9wJOV
FRc+K5G65jKx3WqLKiSI86b5hc8Ka2nY4wYE2pZnfJn8XcTJgFJDmQIfcvAoW4W2llPt/DwUHniw
yzD5N209j9uZH7X+3ksgO4JSmSQ/ZSNHwsXUC+pAnjA/RdAQtBfx2C9QQ+Xvr27+wMPVEKRy3jtA
c2oUauzbrOseQm2pJVjK+tWlOYKIzREV3pIlu4dWmyMIXNMDddJBSxCGAdR1phbN1ifmx2yOqT9m
C2wjWHWtahDxcq1kRpxZkB86aNesTtSqWVpvYi+r5tSkA4K8IOYM6pNTeijYnDxqEIjNnUlKhGx/
mOPiMQ34dY4/vYpdQvu16MA9GQ5OcW8k5p64GXyok24SYK2W/XRRQKMvmmLR+qaEaPe9o8c9g/jr
EjdHuQ/rIJw37ugc6iS3vzDQpV9o61qV78BCWSwCVM19JTc/LZ2DyYK1a+UdQPXija6YuoZwRYmY
xblhrNk3QecuWJBEb212zEvbe+kS0K6OzRjtWJaq+2kg9VdJDg0dC+VCdpSIbZJiHlFb4j1AwCcM
G/2GbKmed44X3iauaULMdQTLqJ2PEFFOPnw5FFlayDGqhYnkaQeGXnB/OGzR05mNrapWrYtwAc4u
vdOZHb7ypoeKuwuY0HQAKWYbrGsU9K554yAp2+JO1GAZAX5/Oa493GfOpURqfeJLu/wxwmZY1AJB
V/pbpmEXn6EsN2lw3XKP8ZcUXLsQU9Qv1tizeZvEGlp6gd40ojM2DJnOGw1I+Bx5ufG57PsDcWh7
CuydUa5fWJlCDhL4C0PH2YMC9B7QbZwFVQHZUNySH4y4/bBde+lMMVYvtarADOTgRgmIRrajt+yL
ND2Isnq9vOPpo4gCZF/kkYXtBooF8aOXFYc8N7yHGIRPO9xRpqtQDy+TPWV4Wlhh6OyEBFXKr/YR
iYxZbtblBre//ogFf38cudDQh3bydWIV0axkfTzMqEeG0ThrSh6ucz1A18yADoLrTUGtqXm1ySQd
Nqhtq87ddKhBrI/sBWzUpI6rLa9lvSp9q5tTlRvVu2EPfJaO8LdU33a1GzIe1wy1w7OUaFqvylae
XZ2RW6uXqsXdIzBM60Yl3FhG01kgho8zsv2pF4WloM9BreQ6xq9n5yJ1sKpHWTxWlXq3EWV8j8p6
hUCcfjEzP1mgfmo4ta6LyJ6Z1yuVSjG31GjMfDczDy4xIlCgmNocETmsc4IdmeggpygynSFNAS3X
YoQQLYpXV7FsgVaeAHdUxEU2EABA/8YWRwRy8pM33X5Vaz1bY8M2scNxSy6MPtk6zMBTokyggd7V
gQMxHTN+93FVuJbgr4UXxguT8+zkJczdh2NeL/tWtcB6Ay8ONc93p85+DHnXPLhh1Kx9P8+2Qcah
lDZNRh6jDcX1qOavCO3HC1+OaiGZO2xAIUg16nTwlCqXvuTWkpoa4L078eHg2Hwtsgzl4kNzPyof
0P4kyrbIaQBgCIWHM5RBPmylPBp+vFWhWP5Js8K38aidOscpFS9VyBYoWdTGPaJr+BZ0FBQLwv4n
SF1tkOu18AiDyhOIFKtziGDMxUZN6kB1e7Ox54YEAULndNYjYODdzrGKiZvaRfiwgjTEtSlAoIjv
1T7GdoAKaVd482RiGIdU6xdRV8G95E166IbEnxOjt/jL3uZ2esjtSZ4JEfgluHxTiBIWM1y25hv4
NlrU/FvprWzFAK4X/CFSHnX3zK1AODTdaofww7cLwWhsW214F5ogr259JLKwNxxfHAZlnr4dniAX
82GnQgxwZF7s5D+q2F8GxgiMQdMkG0dH4QpJDuT13BH3ReTKwW4DUEiSphszyZqv5BE2kbOOIc43
w2Irm1+o5xuD9es/tol4HvkyoGS4620sAWq4UNRQP6OvtK0+N6kXEX+9pe+/jPTfen8be3XupqlK
12jXYzDu9ICkK6TQy32PCMBKVaZ9r1ASBpljNb7n/k3Ra/+7PZY/bO66j21qYmcZ9P4BVeDVZUyb
FcZSDUAq0fXGBqdax0aYI/Y0rYHaacGjp0PqjfacsdcrZvqKqy5AJrHNSoj7OEBea5HVECge2g8k
9tUPmgxYm3fZo8Nqht+prsBNk9mrlKO4OErK4ggQvFqi7Kn8UknzG0EbDfENt63k/TqGRWO4MHz+
3Ar8MQm1hgrjcnVtenVfriCPHK5SGQQHPgB6xfsnqn7P8w7SdKE/nFzH1QerxUYmKn3ztU4uDnZ/
z3pzhmxBiQoRXBI5VpgICzvFgWRosqnJpyb12h2wndSLvaL1SL1/GpuIEJmLTIFA1VAnLBOwroQA
rVX27r5sGZaak11XAoQBQ/Nctm5u/2gT6d5Bj3YBhtsgO4fBBGBoowOYurnzTQFDvACthnNjFFD9
GwyZPAZpXi2hJDUeAflKd6JIxHoscvvWjgs+77gInztL3WVp7vwAsB/1jV77HpZ/DZdhi/KNLrFA
5I9nBfgRPIRivOzAm85H9UD/hS5/sluOEmtZVBf1IW+wsltgu/dKQRjpKkiUFWGz5m0IMtwRgkTX
DrNwIPhh3ILBBkxUBar2EVyZlTzSe2o2Q/7RJOghng6fe4dfm9QbM8DD/u3YfESNTqmyBahtD7yW
autNCyxUI0KRzS2z8EhtOkwufj6qbZzI6GBi8Ul8BnGrv/s8D2+F7p07NiYnIkOwlbbXKBuNV+Q1
ZON3oPSCW6xtL15ktgYbXn0Kr2nl+nMu8FdcvFRdiFXr1vYSEUoUCPcVe4pscMPhuvbPKqzBx42b
/xEYGeSg/C5E0EXbxxGl4hBHrO27Jq+beW6q/mvs2a+dJ5PvVtlg+JSH4mmJrRJL3oUHodU+4AyC
bAGu6aAGN4oekCbpzOjom8ZravjOZUHZJWZ2yOPwlZZptEFwgXKduXaX7Gix5jn4DQIMXyyJzYt4
vdreT49GhUfFxPxF9qZvAe2Y7I5251dXskOmM8WDwStnIOwd1wDNZE8S8uLKdMO3zAcMWoKL7RSn
oT65AFCj1KAJ32JIA3AG7g1LRv7615GJGY23KrOfFFY2R1AwqSNWveqIHUi84b3xxbWjaG/H0Sqw
svI+TePuViQSBS0ayqA9Yi7zymdsQ71Gx5tDELgvl142iPca4I89FkfYtQjHgOQlImTkSwcQ1624
VsYNtaLSE4t//df//r//51v/38H3/BZlpEGu/ku12W0eqab+n38J9q//Ki7m7fv//MvxXNvl3AGH
BffAPiKEi/5vr3dIgsPb/F9hA74xqBFZ906d1/eNtYAAQfYeKz8ANi0oEbr1nI3tTawKQNLfNckA
GG7bynekzpE+V986Y3HZxwY6TPZArKwTWmFpzrsNSs14ehJjmK1d4pWDXKozC4cyWl9UBpOo+aUN
HPEpRCHMdZkRJzxeIBuTQSAEzER0CBL/s42cyyxdMPzGd5AnRvXsdOAq64/2dOjjplrluOmBkemv
3rRqv4JMP9vwjmHFzjNRoR7J7S4uNJacaQKoKbDZP3/1jvX3r14IR+CXxTly0ML59asHPV5u6FqK
+0ZHwwZJ4ABVU+a4zByjfK4SJE2m5YQegYMuXae6JQ8BzBOg2gxlYn/2qpRv7LLQ/TSPZhPNht23
ECs2dpzX4XMaVdYithN9lJDE3JcFeDIG5Ka+jCB9xtcr3idX8E+jxntyZT6URoJ0ONBlZlbDTRvG
9s5xLNxzAWmQ/+F36dm/fzkOQ9QX346D0hDBBf/1y9FuUroonVf3l0W6KDhw+bnzBRmK/AxF2e4M
qP4j3Q6jWhkruuVRc/JCuZY6DwW0iq3Qe0UMuF0KnimwpuHGFKoaYg2cN1+ttjrKaY2Ih+Kdiln+
xI0CkkGFhuuQO/ta3oZGXt2i0H6FhD2/zyc2/RLctqA7SPw92UAZlqybAvyP1EsDqqhf8YmXH1Ez
qNZWkQPcnp3NEZyKt6NUYO33FSCPvQ/ODFsn1bz2gSIMm3to1/P733wd87YW1taFcsdvS3tSmLNa
7u2mTpKfG7sA6CSNoAeWv+xgOtH3SnvZQzMdECksKh6DAAyNLBLdrAP0cJd5hXqwWrNaGeaYL6mX
RmudXkbnIO+9ucQbncJiS8tpkk/k8l0jp7uy2ayoo7RY+B9+EY73yy+CM+aa+M+hmC0BQ5b2dDl9
ulPhzmINoJIJ7jkeUZCPY/1Jm6BXJpxhVH4xvdp6pUWYY3T9IeB+fzJCD0s0o4IUZJwcSVX2ohJL
4rEXeVg6rbyiKGbNpPYWoQgQ2jtlDHGZpNzTIOqg5r+1XSYLWOKv69pFlc1gu+lG6tHcM8c193Tm
9IldzlQ0oNoKiSK2cdx4e+3+m8/F4FTt+j/ce3697U9fJgighMOE61kgovPEr19mElbMTDPm38m+
HpCKzbyZCfzCrRUZHoq+M3PZpZ56zhlf0lqXPKoqBEpPOxoMtyCeRRqxcIE97opNjTzDdJ+tprvr
pwNARseuhXgbHMgMjQ8EncwQ4bRgVPMqMUHvarHsbHpJNKNgC3WwzPjoQHYmQpQAtO6G06p5XBTg
svG99CxQ5/LP34on//YTsx3JuDQtUO4yx/7tW8GKyglUk4o7Brncoz0JZoDaJEEJ26RyS5yogYjj
RV+cIzGmi0/UyzkEDYgumWzgzwMw1gWVPFEr+3JAHVwvmkVdxQa4uLN6TqWAOQc9B6SQgz2fKgbj
YC3bQj5dvWqB6jTJIN2op9BQ4ccgxYiMYEPNdrJpFwilcLD/ZiO/Ygo1XZwnP7INtYultmM8VxO9
90wGo3OP2zB0RawgBlOXKLfUE5XQ2PIryHBR7ydvz6lrCOQ63iFsreknMLzg51SsYqseN4qjUGWy
s7wXuEcgqAjWFOz4Qdjvohifu7Ou9vp7awKQFAAiI3WLndLUmvr0AAWltEFYDhJhYaBA76xNfwtx
7+LUNhFo5sfG37uZ/JqqtrkjU45H1yJFDmNFTeowU0ComPn6z78Ri//t0vGgt+GZEBfwuINd+NT/
6T40eAyPu8Eu78LQnKLO6imuq+hNaRQd+r1gt8j8RCjPQwEw+PXCtwKMGMjv+88F0kor6KaCJUOK
6OHXkV7VMWxghoOXGREwruBiETquEJMCXS013WhchkU73nehBKtIoFbRpIhX5EZ+BE0sSk2nJnYY
zcaVE8vN1MwqkI+WLu831ATQ6GNKakIKeRmh1Gzp2viVEyIo8q16GY2i+QS9BlocK6OqugCHEKga
t6kDqNsFes0zEElACcy8QK+hNpff+Db/BL0ugr5etjprLy9BrzMAmIO6byuRz5Yl27OwvOAm6YB/
7QHiebZbC0rhjGUHVCjIBzMot35YmM9gFWlWuKf6a3KLY/CfF8h16cZFvVOHHQTZhdO8Xqe1gxER
4Gk4TVu0eYBQfHGoW2dE3SikG4eyCx/Aue6gPgfRukrW26FGRgCwAjkH+0X0juWTmmVj6T8m3Wgt
fKNPbxRqQzdt3llbmok3yABeZ9IsC+68ogc4GTpZnd/PLYjGITgNbLI7HcjOq2ZY1txu56YYP2zU
QX49RtmM2Zc53GgNEav6xg0QQVFOm72AAH5HypBN3Ox5P3rPKGIU81gOIfATkE+VTWVu+ggBe9Oy
bbwDN3txo3pX++oRYIbkhuF2eB6wMYLmBQSued49IM8VQM4uyB/ybKwhE1B0a2qKMm23dYfCcWpC
hNm+rWu2ils7PyPCbi5ylso7q8zTG1bKtTn08o5MfeQ3C9/yx5U92SynrKHccXH3dapOVqG2FKyF
aBDYDVOxpYBRSBmyydb0ErXRHQMgHIslF9Rtz4Yyz1HFEdTL663tV+WPzkpe7Xh0gXmt/Tm26c5t
adr12klrA/VAI+gagOJcFVGb3/1pnjTZ9llRrhGw6JZlB0k8FRV3xYRGQRkkVJInIIoycog21qnC
JQUbHTiEA8hXjLhLuVGJnHw/fHXzfDEO+fAYJwBouKUwkWvBjh2rWwcAjRwP0onckKfFAsCifqer
pkIGTnc6OdZxXs5rk3ln8JOGa9stIijO5MMhsRCdR0mivBcWEgUiD903YKqWaRY4P4LW23cNMjI0
HOUA3tkJwmiNgqZx9c93Qvv3pyVWDQ6zGR4MwjRN3FN+vREiDFU2Vm90EIw3EWLVPtJLBBkA3dSt
F7bmBlRhiIiQrYN2VNh0D2MjSgjegCVfyMI8x53CekCX2bccv0oUlzlPVw/U8AdIVPvRRk4UK8Sz
0oJkFfufzlsSqUo7CdjSGSQcIYw7D+o6u6wjbFQfz1tnSE5t2Fi31MGQAbn956/B/H1dOn0NnGHd
MP0TgnbYn54Hsu9R5+2y9vRR0y69CUmKS55B+RgkXggD2NYIvszrRZ8G9sLp7fL3mwGNKFIU+dPV
Hxbgs0OmLJ7/81t2zN/WOdJ0TdfFX87FzcP5284TSFMTQoNRfLos6EdfVmBCD6IXxITTKSgPtp1k
XXo+W/9lpmd8ZaKU6u/mALyNFzOz2+gFUhtX7zpu5IJHpQJH05LCnJn0okeLg8slT5dDWIM4GCmP
hUrM8M4Iyo8zCCE4C90C5qEC01kM09nVT0Ei7z9sx2n/cI2EcDzTsQ12sLGwhecwtH/9Oeth7KNq
5Mlm8AH14nMboizdCKltiYUmAkjyTo8agroT4ES3yS2K3qovVw/fcEbkh6x+pgMfqo0WoAxR30PK
KQTBdIpnDlCgeXjPWVbu9NRLTToESAQPog8OocOgVfVzvNI8AU7YNN+Y3v/zb8Caogu/flxcvK4E
S4hjSQlM1q8fF1CLbEAmK9hcMFx2Mb9EZBDb945WoJC4BIdKNR2SMajBAw57Nyhg2kBQPUsEWByD
tgMxH5MIWweWvR7A5RxivwDo7qf2tZ8wYW71H37N+CPZUzTg04fhzMIn8TzbQoTHcd3fo1gMqr7/
j7LzWHIb2dLwEyEC3mxJkCBZNOWNNgiVWoL3Hk8/H5LVTY1ux42ZDQJpgSKLyMQ5vymsKGy8tEv0
Q4dd+BqkEAi2wQjeo8xBAg/guW3VMCX1MVqJehBA1hYtRhLQUR6+O3KRYnZkmGeFnMNLRl5UdMsL
I78LQsIuolgYyFI38SAj6hixWx7b8kDG7BOwVfwrK89sGlmR8kAjI+XbH4vU8JrIYPeo+2m7zeSq
OrZpbx1IIg9eW+vzPdzswOVRrr4t8/StH/2a5695VAmlR5NkYlmelSBkAUFBsj8DtD/ZQVIcVH7d
yhIe6lCgCrrTLL3U6G6cRS9RLYpTV8072M/fRb2oEo3iMPWV7yps+9fXK4jKZpmyUcZ+1eV54Im6
3y5mW63XTXFz91td1ufZsZUr1xgq/CbFEHEpA/KXp6Z19nud6CMZdbF4oPUELP7zrrGi5p3Qlh2P
nVa1D2RUEFOYY7g4KvAz7TR3YfupxjEuVcL1ieIjk9dJ/Z0oF3YRrNtAidjdTpvUb0xc1eZkWiOg
zIpittmT1YXWadb9i6mHlJaqLvWVVdPKBl4hRkb+JtDvJD37desxGPIvRLAtHu16wn6RkSTirH1r
YbMs5nCWiRBOR7SgM06ih55WyY7YOAHopVHUaYm+IXQV3l+vlDnTNpum2b3OEbHjjef4YtVe1CQo
xS3j1MbON4qjWJvrDIVfPWj4W94mtZQ5ciF6lp6YVZ9L/xylwcE2ZKNYQwfEkaL0p10qX6/TBr5+
xLrlTXQX84yk9VctQpoHUfRDW19YO+A6l1sQhypATyM11aMYFdiBtKtLvhNxV6JOU6EjkOs+i/6R
HiHO4SuhKz6bafS/aUUTHW204XjG9Fs11PVHhB71R21GCgs/CWfTmkaYr0cpWeHYkj2ILmAMNChs
uJFGqlps1FhvPadHTbhJv6dDmm7HWY/2uqSWr+nsswGx0u8gIBvXbAv1DtfR8VHq+0+l8pPv4KLY
SuStcrYDJ7mwOzVXoiE3x199ZUkPkV8kx7lpU1dcgMj4nb3AGYt+OiPVh4z9yFchLpL6z0XpaKiv
jqmXloPjNbpUvmO9vZ7k2t+qaQO11CGNI7V3Q1yRe+gIBq55usR7JbFkONZ8ZEQe5VU5RnK19nmI
+UqQP4hWxYx61+TN3xPFUHLAM2G8ep2q5n+4IkZztp1OfsIQI9r6KoE8UazyWr5Aadxd+7Yj/Gys
Aoqt32g/xGxWaUkeJrvGmrdw5UmVRv0x0+5E27UmhwmRgXi73qottfmBdxasVpY711LerxARgTbU
sGgSj/265yUmGpOs88R9dIWsHzU9/7rnwbQvwInz6z0v/w5btA2KjbhqaoBgny2LTPpygeUg7pt4
83C9r/92z2LQ2Ej/cc9BUiPYT97t0ubjdpASw+tqZ1+Sm4OD1pUAO6SerYU4ndKuBrZKTqSMLGPn
iBZbKmAr5im2bteeLaSO2LADXNsWXMgyxwCieutH9luihRhJizoZedHwKE6vtWWvyiugdn4uJW4Y
sQBoyVPcVPA5alTe2IKkT/Au06cqw5FycB5EB0AD2kaGSrURxVJO1EcGi45iCA5gtjuEQ74VdY1N
sriL1lihTvuiT9dfw5i3CVtwOV2F7rbap09yYLSXSTG9W4+smjr+zK7Yibm6uXVOfCJ5v67K8k70
E0PrYMSOTR6bvajLR3k4Tnr8MVdzt7e1KnWJ7Mae3o7GQU7y7BSMNTv10fXzcm8nBfZWcp6t0rCc
fobzNs2t5teUzj94g1Zf7YLkQlz7OZhwhO/mRufFUm2Dh9FHRybv1eybqtjkihkEYJY3nVb9Hhsa
QvztnD2KK49TYRzieDT3SAN6pW0iL6TO1l0bhz+1Qa1Ik0qIW5q2cYpYNbZ6GSiw6bDMnpLKWcs+
mAep2VQ6whwpKIvvdiCfkdBe0p9EbeyRDzkGKBBGavGX1AU/Kpxd381RTtb6MPlPDfqULjYMMrSP
+evasPjLwx/XjbrAfoAPAW0uDIdXUMIQnBUQBf/relh0w+crmnLrTCUK5qifb2s0QFw/xUIn7xU2
3FOvfIeYt/J7tflwGqj2IapxO5lYxqujm4cqW2atHWVtzxgdaWOvXPIoIZcjRhKL9MNqevIdpTxY
mElvxIAs92Y1tr9BLUkxyBmaPTB9+3l2zHvRPpsxMV2lGs5hSXgediN+58uVMidA6Eu3nvnZtftR
DpNtpdb+N7/eXgdqdr9Ru7k4KDIRLkz+3q83Amp2JeV8cAkvBCeV/M26WCYEuHQooi5/ne1w2qlQ
wbdZ23UfSTmtRAdJg5+Hd192h/hS9ejYmE+JSzUG5O2GXcN9AAbiaKKA6YoGyWi2Dk/Nt87WdM9G
qtQLk1F6K3S++eWaSNxV7hzaKSlcED94JFfXj6vAWH0F3iV4NCUcavzFRFiMqGMQPwSSPtrZDLxx
LusdLiTT61zgs7J80EmGrgICmNnJnCUHCF6srmaWpBeSVS/VhINHBJ5gVwQJtmHXxDfZbwPtBOJZ
JqnLRQhGNCiB9SSNmHMuq2ktxcZjuRzslL1dpcXSRiyfkdPTYP8IzbG5LqhlFs1ege7PWgwSvXrQ
uxPbyZMomWPn4LoxsAwXheqxzVUOMKhWFqiYl1SXpIckKO8Uvw/eRqvgw4HseY1F1rUCzEnOxo1o
NbMgdSVSd3sRfARJ+istbfksSsuMKiiKl3yZEXk6hNWJXxoV1/2bLJ6G+E1CCjmCPbWPndGzO+2r
Ud0NVndRlwa4bpDIfmuWxnLHQ9/cz2WMhx24LPvoG+rfp1No4rIzj38FyrdBDxD77vqMIJijJevQ
Ctu1zRrpVZqsJ2vsGD21t7VzA9/kca7l8KRl8uWrcy6R8Bu7zL2WVeKFMDSrFqebZbImx4dUjh/S
yEkfSY0T8A+dn52Z0qZ2drZR24Z/M3GhRi9+dGWrbECiyxvwzhpKXGb8lgaSuckkp8DYhmI1IMnu
h0l5FMVRU3dg0NhFFb7xlM/lppjy5C0IazIZi6kXG+nkDbcE26tl/6s1TsfERbFp2ovWXra+60VY
X8RQKdjMmgxjIa3Ke4IvL+I6Wa5XB3FT2TI/lPF/vynRmhF9FDclofDJZiGpPH+a5aNAeV7xnksx
JwG+8nmTuYoFiC5XGYHfkKGB5BNgXzpZQkzgNtG1k5gzWjoZWTa7VRtseKVfA0uKn8CBzC8aaPek
hR0sSvJQsEVDjV2UbEXba7OcXEtpOR21oBjuRZvfOhf0uuyLKKmB/FQhLXktgap860ZLOYu2PMg+
ldCIrqrhMg7z5Eb04XS9hFynK34b/lFogyOwWq9yZwIQstyc3xVoFiipfSdac9b5lZLp5GlEK/7v
/KZSkLZdIL+YlpOuM/nUmnWyJzVWPM+mFXuJJCuuKAap3J7s2n+3ZDPivxif0mBCbUw0yi2XKrTG
OeSNVDyPSV9s85gQvWgdfC07NhNPtOvYFp0UO30WXbMcqXIC9Wzcl4uG3dBvcHxIyb4zkYMCwwH0
f1oPzTnVsBZIk0xxya83Z6PC5xdQDqdxCMZiwrFhe62sQoemqlHu46zX94QeJizhljlkgCCZlr3X
Q7gfZzDqiCPmT4ozZOcqCs+ypEgFYNGZFzZFw05oaTWipr3zJxBnflYVT6IOo6tvRqYCxFqqImfA
NH55EZrEBJMCa0EtGp6+jB8VoFN+iLmjKIoRarkNk15+FDVKyF5vMtJkK9rCKRnuCYNcu4sew4jh
dVcSSRJFm7Anwv3942yN35DKaY+iupWANfIP2h9EMWgqHaYRdAFRFIehVp+1Nk1P4krODL0iYvWC
ssSNioNsuHhvuPyjpPeDPsobTe76DU+aapu3heWKgX2hSI/Dz+tf21TO7E6QzYHlMcsca+olSWNP
Daf8SXQ3chKzqjyrX7dvBzrvQMabk+A3tYYvCh8/WOPshLK3pWn3ibUgsyX7cKsSZ8lobUHyjSdR
ulZhuEHacBw9CLVfw9H514COT/0apYN9WI7WJtXhOUygYO/72M6uB7+xF8MF/+B0BTIzWYPc3Tjm
X/00pxu2nYWxnxOWkTskgXIin92eQAJmbjKm4Q9/L8LMt3ZZ7/9ruxjP0pzx8pcWW7JclluRIrrr
Wrj5wh39VhQiOrci1CHkZ5bO0BTpzPb75dYqxjbAMt3akce9TQbr0mjKL5ESNu0Qiba6Nj2REmbX
dpowInhs2YWKXn5svUwDesVBNjjbq4eSqrz0XdQ+OLpTPaRa+iqQMGUc2FurLJ1tx9JJSnY1mdAq
IRkX3k1nK5Xq7Bjy2pIkUViCAvq7i9DYSsawcpHCGTfTUCTTynLye3QP470ASF3rBEzKHNvGvZq7
4fkNQKQcUUA3ZZsPDSHlcNaB7OYQZ9D9015EKxZjGBzj65AmQ7AdA+J0pTSgpqmohXwKE2ejkB27
15bDhPrFfZCVn5NaJwdREvV2p34NFXXiIJvS6E68tF0MDa3jCHHqu8lq+mcj6ZpNW4XNdliKuqRY
ezMOorVoLfTYuVS1fhCNoqrse9fRZOVBlPDLQZ53yoo7PNh/n01WtlFQmw84ZbePUnLq1Hx4UBb7
8yEjhe74rbwSbaLODCRsrKKBgNDSX9Q5yamtO/XYx9n5NtCcRnklin8M1HKDtDiD4IMNhCnmryuJ
AXGW+7tCte30nLNPQHRBIYQVWDtJytW73B/M/zhjh79VLB/0V0v0iEgaUYqFhQA8YKh64yhK3SgZ
dxhjfBclcQDyP61jnM49LRsQ6u7t4LEnnroMFtP4USstv+7I7ZsE1e1lxjY0jOMwSOGjGQKSSnM8
IOdXVfxJMbLWrh6aNhKofHziENf1Xapp0kmUpgEe7Tgor6JUW0N/rAt79lIyZ8coCHGUXA7JP2dG
5HRem1QfokeqVF89RHFK07WhlzG2hHqLBC0koBnL2pWDWvZ5qFLnIi8N2dJQ6IBZEYSFpl8MzgWy
8dcI2K6/5lKFrmOk+36BKGjKrD/oqF/OavOYLTAFi0f7rikJo4gOom5YxIAksLDXQU0h6Q+Ws82t
k2mMazNRI8DSuX4Wh8EZsWHDQ3fbY6jECz0Nob0AnaelRYe/OGqE1EQ/0Qq48LnHlW0nlLVyx8QS
xbTvhLCWo6CxvxINory0Sn7wA8wn/PsQL6HcGdSn21kgTaFbLnVSQKueOL+33vqNhXHE7OYzHIbq
g+As6RC+/jN5V/WxIhsp6ms86AmbNeVOHqPqI+Q1KRtL87Xv2PAgwckr91J/G57jUnNXA82+b1UU
a2Z8nN54kUAAfTmrlzpxJupEq+g39HX4Z6vtDF9ji9qv184Qqp40a5Dk2hCRJJT4DwBQNqLqVi/O
CrMNTp2tN55jJPOznvonCZOOv5YTIJODOMEU/lpj1Tj5Xq3Ifb6JLu7Cg1Qr96nPO0Qkvjlx2jgz
Zj32NBAg4Ts1l4No0GY1PDh/j7D5S89XKpCFcQsYD2121WJsvcGulGe+Sskb0iB3RTFtQBobhG1W
otiMCa9p7BSCOlK7tSap22GIY7BDDHVAOK4qfnl3Uqspz2LiOq4IrC7F0GRiJyfW7hPhRSd4su8R
GNuUoTqenYUclIxYhMpG4Pawnkhl+62uvaEYhqRhkpVrxUn1N8nMidZKeQXPrdLe6rL5mAwtvQ+I
fz7/yyBJmWQ3L1TzlGOrLUlxwl7JDQJQl/xi3EicDLPLimXuTM00tpmk5t4Expv4OIuvKGqNzpvV
sviKYouf6nrOwuphmlL9oKaOtEYGanqXEU1a952RHQm59G9g0nIdzwTRKyx1CbqZM747NqK9CD5l
R62XRC8x+N96aRJckFwxQ6IhSf+mSycxQ9l2X5cVxT8uS68mHYptJQ2KS/4wO98OsYYeXCmfbjWZ
wjq+ApO1rmujPIoG3EXyM+T37igj7PueZ/yWWWdecAkzd9lUGduEzOd7XzduumCWYgsTg6Bs7WOM
Euxl7LE8v4KZGOnXcfKSVu3XSMXPriNFh/SfkZWaadeRAu2ExeTDVLS7CK+K703ujQhW/apxolxV
ZW++GKh0bIp+iE51JSV3tTSqW8cwiyciLeS2rF7/0c3dSoxKiumjC+forSUY74IqC8+hTmpVMYjf
QYJNHuPGD9dBllaf0WCj8kDmLPFZUaWyeZ8jp0KzpQkvyEX2e7suPtj0Z2416sSiMF5C72myv7Hh
BFPbRb8Wo5ME1ttHninW2i+M6F5pfXVn24m5KzSFJBH4e2x6h/FDNwtsbFhbFcn/6FgQOsVwzn6l
FM89FIJ1iUfITnGK4lkmVQXd05nXpR6Wz8M0yJcWt0R+d8Wz6GGM9i6Yp/ReVJm106xj2w73ov8c
9IZXZUrqilaC+O0ZebQHcSlRZYeji9VO9yBKbag58I3wMRFzR1EtbU08lZGG5WbMQCsAwZbfRN+x
yOpzFhkwviNJw0wnyp4JXZ37NC++aREYaR1Jn0Nt22BrZ0gdjVJ8m/wJNc9O558CL4/3Uv4U3SUF
bNJos7EXRXQZrKIdPgqtq3Y46zVbUY2PqdvqcQaXIlP3hRpWGzFpLxmHgh/js5m3UPI0fQ+GLHlM
Ch3fHh1wd2P1+FMVvc9SWLFWE01+LFtQRuHUQ/LKh2RtBnW3Q8VLIkG6lP+Pg69TLVf71wmUABfQ
uC1QX1kUG1qY/ehZvMQKYmSdUhorUZ8r4+yWwaBdu9X5+Fu31k5/72ayWdrL7JNPUyQswUki/hUl
rbNqLAW/hHbW32Scd3P0oF9l2QkvplmFq3l5iLI/6D0HbsZGFM3KIA9PoOAoir720gdm+xpqtX4e
syAhjclkvWlAJu6QOIz7lUnO/wdsdldWc4ITAJvuYsVxvukabnJYJ8qPiLX02zFppTvfqbo7yN32
VotK6SGeEHwL4Xh/M/rurIrxc4IM1BDVf5U5FhWj1Q4otOI9XPpOfrbKqdsjYz3tYr9pL9kkoSqM
FckrCaKfWdyHvwJ5Z6ga91Ep6oud2iNuNPz2pIVkFseV4sEM6A5tOOPW2ufGJkL781leHhS8vY+f
ktmgZU1MDL/Ifpdosr+bpDpw20bVXvKotXdlRRBCFCcgZbtESuJrEZNTbac6TXItDgG/0gzrM1cu
Yv0llUey5Vqes75SbI14pGgW184W6epdhZHitdWsg3ZnERG6jg0Li31eGmI1uIwtTbInzaRg/7jc
FfSeDNs4qb+2ZgZE0s6WUaFcWh2njHaBIk3X1tTxJS/oFfnaOqex75Fih4yxzFxbJEKwBNeurYaC
07OhIjgupgojWfPkFh1VUWRtU7y5a5AtWMbm4zB7quFjmrJcV+nV0cO+DarW1Owbu2x3/pS/4D00
jitYls1JHPh6v85i7WI183j8s4foFkJ5XZHISz1RbEpMhvPQwDRpsY/MdNU+OXMLzqj0Lyy+moU4
ihltqwDxU1Ep+olDUMSfVgSyVJREoymhP9llwzZext+6ximxqDQmF3arE2etKj+rOZamt7kbnFnv
7NA4NJHPiie6+TGc2wqtHFdMrGQ8fFYR7PEMlvXd7WJ+gf1IJRX3CS/kv10fCkeDyFEeb0Tf28Us
NdkbdlMeb/VdIGUHtKtfxZVvc0e5aq8JjCnXOawn31Kgii52K+IgRTithA4u2dPCKvu7Ok1Do12J
sopVxj+nBqk09FuQHNCkzJUBWByvp6JrW6bSKmzx4xMt/2W6No081Q9ILSyXnJZ5zKDjrUiU9Umy
kRhx1I0S2+zN0MF1BsXZVwH/5aJoGonFe1NYnGTDCV5rPNxEvTLa2r6qZbaxgK/elQYqmNkAdwbl
rL9kRANEfZI5434OR8iBYnJseciRgCskBsKGViEVIA5lGzvHejmIYtsa1Vb2IYqLuqGqSFKT4y9X
sirrRKZi6xRbrXVK0sbtHG2+YxHWiY0tDaZv9RsCX6wrSc4+W3QULUqEbePSO1zG3urFmeMrX8NE
8Tq2DoyDXqC5+lmljTdNqnQE0pDaenYSh0mPEKxaDuJM1EUkjFxw0PX6jwakxiEgLmNF51jqvUku
i8Mf9aKHGEqa3N/WbJevV/y3i4mxSu18EkBcInOEftPBn7byYo84LQdwXV+HUhgoptBK9mYgb2pR
vPUZtEBey440eGpjxStDMSIMpetgb5VZ6g1hkL5GfvIgKCVz48f8W7S/93AAo//3Hr5Ute40t8jD
OiiIOl1L8KoN8qMqWxtdw2v3VmWlMeIIt/JtRK0m3U4rqhP0mOwo6q+drUm23D7D0c7ouvYerXmY
LTqOHSOxE4d0X23tsKUqVtVktPfXyjJvPAB9i5ArdcVyaOo02vCOLbtimmuDYuEfk6CmPcuLjdPi
7TRKk7xOU79b3+piO7Ssa7kQ3k23JkVBTnUlRorK39pFuWnQwvhjun/tOC53IFrEQcxoKvZX3a3I
r46FXfSx8wpHmG0CAc11yLiMqzKYytOIGyOZnaKS7yq4KbIWUhQtnd+onRu0NdxKvuWtqDRrczEF
mbTYTWq0T7WheawimWeJGll720kIlwx18qDa76JN1IA4jXcWkcf1rc408PGIcth0SmLUjyFYgcfi
UXQXh1Rz2LbLtnW9hqjTQzlGNCRsdmphDzslk8HAZFl6IhiXnhpiH7sQFYjKL5SB/12bo2gRfcBy
tuCxe3Scl96iAe6ksi16DcmwLFUPhZH0zbOfYfhrVFjhOXbwlBnR+KFkYNZrI2vJQ1eY0qUBAIm8
mQ5TBamejWNwj5AmBo0SDMyEV+fVkOnTXxDt15BQhmCVdgNYI80Bs6QjKJBG3bPkk8TrtRrpDgvp
bTlN4r207LvgLhUbbZzG57IBTB6ZKOsrdrK/zoTRKcEVH8HHjp9fmuVnf84QUW3LO81QyeNaU1qS
Hfq7LM7EoYmaYqc3GmJPQXAy/zkQWoP7PvJYyyJb9WS7+RCNt/o/+s5jFS7Ytn+d4zY0TOz+gCff
Rsx9qxdnt7q5tKNjhGz2cgd/XOlWJ24mmZFetnEh/KerneuRV5k5QluB0ZwQhsWo3gq07WhnzaaO
Z/D72YNjQeSUitZ+LnP1vsR+6SKTSH1uOmVezVab3vVD5jzPfte4xF0sPgNa9WYwtxrb/426FJ3F
S3eWgOCImeK+VvCNCb+LRgOpoEefnwt77mOdGCU2bAE/dbzXOfqLnC0ZKLAMoixOkUkfDiBaF97H
6LxkPj7f6TicRQkq51OWy8PlWgp1Alv2eH8tmdYumwv5QZSchAiJiW5Arllv4M+hDQ/tfBEHFSDs
Jvc1GYgCdXmlfzXUICqxXLHtTSsbnQnDf2lBVGUV8ITa3Wao0Am4xEHo5WmEGf0/M0OOdza5BvrS
wYQTulOmb9AeM+9bQDf3emHFu0m3YJb1JdCS5aARFTllWM+rPm8j7Eqp67TA0+p5ZHtKSfSNI11d
1WYEXR17n/sO06RYGo9yNA1uRmTrExWeSjE/a5T2XDnJ1KMmldZ56kmriYYKtjm+nfJHPxhwOOf2
J4Qs25uatjhkmDUgAng7jYFnH0jrNvM6DtTi0Com3l2j5O+xdCDmDKHSNOryOeyBgbPC13uCe+Vz
xgbHq7HCdkVrBrnwVA/ZK8HotF13w7yyu6h5LJekKioz88qwcHHsAwdTABhS2Ip0uXxoFH++HpJ8
+L34Kc1mhtCvFNwRFYKXspz5cxH+VhQNf9SlS7/SzrGgFUOUud3wbDF2NXCgMQzJeExZuLFCuYYV
G8UPilHDhKma6rPpzWdnlLXnpBv1XWLp/jYte/9NgkYwAqX5rGYkR/N+as+xnGmnkWznuqrH/DJG
odx4QQATLQflhR7G4O+VJsErslH9e3U58NZUnYeFyBYT7t+AgWWT3gy4xtAourFE/yR8HR/EHOIQ
mhEg8GALLRVcWqjPeJsjZahr0zetLFHaJJGOK1QXe1EPItzvjfAco+NwLqoQzdfGN4lEULw1hEsx
01ugTxomTLcGyTSqkwRw06pylHPzxnrXAh+t5bC27kyIxW9D92ku1T4eUPtuCQ6SJahWIJiDnQLX
FQWsQcId1ZSOkIf1zRBkJH6WBlEnWg2F11zE2ukDHLZao0G4krLZujgtCHHb0qNPeUofm6qSnkug
Xbtm1tVtWuXSe25Ia9FhwmHb7apEP4qRfg5UR1ivYDPymCky+d0vK4jWSFntEu0Sm4Z6ISI5bINM
wkHknzpxVsdhtV7CGdvJmXo4hLwZ9dNo84/JWHEw6lQ9O8WzKGgFD4hVBuhvPxbWX1Y9dcmGfXe6
0WHwubdR1TI+0Mp+1Uy+5YkGcSs+2AcsfAJE5hdXbAsqvtQ14euE5/ulL5VgRUKfgHM9T55VNdZG
dLN9UgSm7rDuLq3/71FGH1UvHeZLkqb294gT9fewEZD60PBJJpN0vNV3UU6ieJ5tXgfpJhqSVJaP
hFj3YpCo5+9F9KEdlhCXpV3IdhNhH2zzTTbkdyGqEzseugPWTylokO9X7PLVaiTT7R3wdVoQtvsG
x6gdyCztYpTN12g+0XfQw7+0oPvJdMHpqvMnFACtRZomNHBxinwMPW/SgKKh7cdLniayq6YKYODG
Pk0KqmpCkSruVS+QI/skSqJ+qRK9nDn0vWviV80LAH+6GT6Vk+o/SNkjIGEoL8thxpLJjasx2ooi
cNHFRrmavCqeEba0u2OjtNPFmDOELMm6r6FUzXvRGFnjtMWFOd+IVvxux7ssx4dHtNYZil4TOC7R
KKpgWgC11aeLKBk+MQa/Ofq83uSqu/hNp4udRg+g1E0BpK9F8eZXfTW6EeVx6dNUUrsWntayZY9w
o5XpybaR7VQljEzZ8s5PEqweXibGl2kpiSpZVV+RiU1Pon/Dv6yHTTyrztLDBkb00Ic6AXwmcyBT
ILIBUkzFRkeNzthjsQUcefqU6cMkm+we9ehEXkp2uaHhAVk7lY3tiufmw1j3JeBKNVlP2YTfntTj
EtC9B63h3CcHk4fNgwW3O50msq1pZnk60fWtbTnmVi/S9zIuJUD6prQOSU/uSMfuEQKOHhyfh7sC
R/GbTaBbb1FoVlRdQ+NCH8/iTDKAG1UlAo6qydcaS0OGfXu5iB47a+JPrNKEYomcsSQPso/bcePr
rl2oRHGTBUm+s8aHyVl2RA7SvgHXRwJjKg6aWs/rFzWC5Y18xoHf/7gCxvajQGLvsZS1YB/Y2YfT
B9/DOHA8P1KcXeJLxLZ4HWaVjPgvml+MaEo9c0Ez2M24j+uSvxX9HDvCplg3VhNyUvclTMRtiOxB
4oM+r5TnTlO+OYpqr2QQYa7e+UQ7JWtVaySI5AngzxB0637g10OUIMdzqsW2C80Q+d5xZOTPyROu
1DmEAEQiYgPo2YJ4Wo6NS6ZjMwwd67KcxncjsMVVWLSnjnB8QMT+r8TIkZittHYTFEq1LVspWw06
AFM17dfoSgJ0ij4Us5u/t1Xn4V+4b2bjopW1fOc0YFtZnPqNE9X5SommX373vc5RX+bd9ydS2HwW
zQcqg17s5G99BphELTuouMWjClptNdSYy6vSW5Ana6OuWFaqFvuxUP+e5u/ofm01PpncwTRvtJqf
MtsE19BfYQNUByDHvJ1g9rLS456QgSQNa3XOUwBWxjc1UmcA3+wpnagI13T4gEy6KXMW2CnDbKoq
k3NkgqyeA/J2RoJHwVh0HmjR79KQ58+d/6tCQteDhPYiER1lnzCfy5EAUhYtglNjyuIxW66sqGfw
mPwlc4UqE+EFIJLDzzQO6rMyaZihpc9d3ysvmnXoQVCuJT98VuCFuAXKBu7IM4CIp77HXvysz+Oh
CGWcuJLsPLR4PilQZDZzwpdBorf3IvCkhyjYO1W7sVTME/2ixiJHHx46JarZfLaVF5mIDvZ9dw/0
w9XraQCFrB+UwpZWchRlIO26J2suSFhOxex2fl4fwnjY1x3YXKSWSM0CX5c6eTcMcMwKPQf4Cq4L
2Xqy/ZGFhUpJmqjtcIvrcWWIfPNsW8Cccc0Ju8r02i5COzOS1yYIyBDphd08w2PQsQBaKX6uHHgt
t9dDJ7F19+s9MeyVXrUTKA75EDsh/PCqitRNNVXNoUsQTr+I0wreW7r6rW1WZSrywuy9Ru72RUmg
C3Qko8Qsimi+ThDgERT76iob58GD7JHDdtbrFVbvIzoac3MInUjdGp18kdWyOgAkn/mFRTZ2Kbwf
u80EyKRTp5+sVSY0mdl5aMJFTZ6dwYrVLziYKuIKebD2SwsPqtT+6xE/p4/Y5gVusqpolaufqmk9
hX63Usnp7QO4qhsr7n+UDV9P6Mz3pW4i4Fui3UwGvsgXkezeudRpEqEfjPGqGT7n0Vxt0g4gct39
zCw0SwDqWsimluVmliL70tf+/n/YOq/lVpl0DV8RVeRwCkLZcpDt5fWfUCvS5NTEq98PeGY8NbVP
KHWDZFkSHd7vDcXiKvcIg99oTi6a0b+Vlqz2OJd8l2WuhE7U8eVh7Ij7z/Cg2mKghE+hWuuqe5cM
/8StKXEyTOxDZlNQqcd+Hw1tGfB+s0tRTAcv4QMpajxb9MIaHpqKD0vLxWsxUtfXG7YukThkabFf
AJSPtuiuRVFh7ZNVb2OtBmLNhiGnkpgoMtOoaGZ7WUXXtsZVIuNmVLXhqY60j0R3gGq69qKy3wj6
ZRhClIvWWdEVAWafmadcYHLRyuav0KrKJ5PaUNu/uPSk/mSmRJN3OYGp8bMsDe2IQ28b99YOB+TK
6e5qLt4bU018z5jY+rrFLXHseN8aI/7CMdzU1itOusYiIXOzD9l6i99n7hw43bWWue/as+0LryTw
vajdfUW559ZDWWzjTt5KqwfNxY4EMzV0WFKoeFJ2/RuYfuqLwfowqhhFFpDTo1C945jjeeJ250qZ
/3gO/leW990aC+I/jfFUUnnyE0G5mMl5CmYLOl+le24ADD0d2XnlVNdws8mL5pKOkjHYncw94Rm6
369Jn0auvSPonuCutldzdr1dWg9kZ2SIU8WYXrbDIKz0QnX0khetjXTYLqDxDnc3Q2ABsuQXtuL3
sv2bGta7Nc6/Wl1SA0vMK2TsS40K0ZnBEU3bbXb4IHzrCBsNnTJ/xVbcuk1M975s8/ZYx13xVMzw
8JSkfxb94pt9kYcFi7qdjjALU6yUhC9thEtb2EGvkazc6MLAEMjNjm3hxldiaSLcfozksniFdYpY
qZ1FkmnndDRQaCblcqnSbDyWmCBfoYYbB02I+WFIipjFLLJW6DHNfhgJRqTWpIV1mjlPhYyTMG4f
mh5ZjylsiqkEQOKdwZK4bMg5TDD/DVYWZCAzlbq5CSXeEsJ6tQ2PuMBFNG9ddxwUm7yBMnXfJEX7
oHWsHrf9BI/hHhqQMRPJhEW++m1p2DlpzVB9KA01US+T06m2TGuH5LXzJcPlx2Sh9EnQtXwgK5aQ
k+E+wFMl9a8XxgcTGMmKSLU+JrvvyfAVKtmaFvkZ4CIfMYYoPsP6+AGezoYta4YPzYsGv4Al9eFZ
WCFZi9t+xBVDBD6GzQcSsglTbSzeYsU4Ezio3/Cf9AAknGi3NVOx6LdSQUU0JR+LzOoAXZIJpzuW
+8acmGRN85zY7Imj2BxuEhPXW8f/epncdg/hjL0yE9Cu9gqklrljPbDWBlHynpSlVV5lxkc2msFg
8y6xGMqw8p5GPJIxheljY0VBcfOBGgXtNyZBz55MLbChjO9VVekITul+uENOiRlvEDT+1Z2azrwf
8BPZwRSyA9KwDH/QjPyxsUbHn0VmhBkQsG9Yw0GvMo9M8nTcL/VtyJr52HdpdFv4X5TUvsJZfMuT
SDwBpPY+nlRMWa2iPmKFjqNfuTzZ5syEXbVzAJAAuw7nbgpT7GTVIe0DxAxyb6whqH2ZBijis0d7
7KuTt5C0irUjGSz18k/VV+SMVMuhIZUvnGvvHXLwrm/HFOEL93+0wPidG1fwr9hwQwgclgtsbccO
oyyJ/SgHaO1afHAED/dpimRIRHh8aWP+ZCvZTV+H7jgHuLKLvt31eIcq+LAxcQuEDwACeLFGVtB7
heOrRUUhkulBppH9MtYeoLpV7LveqP2xAtSovNjdZQTA+R2V5bBLans3u+1wxqjDfkiFlvKjW+At
dMBlmsmAWrKEfnSq9FoaDSRd4zpjTRcO1pxe0HY0Bxb+Fu/sEd+05qjhmCGULrpIblXMoepfprP0
BLEJ6zhgRZMkKRDy7GihlFF1qGKRB2b61tla8xTPk+6DqP3D6E2FeRTzubT8YR5qP+li5dGuu/42
2ZPil5TrHzoxigDPZv5x1TsnRG+UFTBPJtsn0G7IDT3En6rFgbK0CNB2NA1nejwvfUxpXVXLbsgb
9/wkppvsqDYSo+id48glMbVwHzByPwyxkvuDqz6aADqhYc+zr0nlLL3qTQjbuZZS+dNOfFGTpRkP
Zt2UYTdnvzsD/k6LqTjJOU9V36bXfBgnX0lnx59IGZDM+7hCMK2odnEmyDsK54j0IDGglO6jiNA1
rDuEo/wxJ3O8mBH0ralOgqSfrKAT/E76Wi/OihiQgBoAo/NUndx5IBnErZornmM3tWVLZUAVMYhE
1IncgCzLikwU9qWdPBJdJhZPWjt0B0S2YTIpSNYasRwLK++gVtavsqueFRXCGwbb3cHpuu+ayPXA
aDWTOyzn5vPMx6WfUMkt8cmNSS1aMdF+SLIQO2hW8LE271R2H7WXiDMaJZXq1fJP1xlw5VgW7Lgp
0FCQsx4s00T6UO99z6PS9KUzgHVg0zTleEN39iOl0uk2QTLEs6jb52787mBWE06eTpqpyMNlim02
wwMf0DCIvR1Haiic/J1AoGnXAJmFWK6qYZ7AJqyUGKMVvb6WE35YXcQUVdim4TtYwu2VdHACWaQy
EFFyAIPLzxnWu7aq2xfW+FfCLiU25umToWnKoeZG8qP5KYfAMRapeO7Yz8YWhWbDpW4i0JXIpmPH
qrY6K312drURT4eitrVdCsHGFy52suljLCaL5U03BAUMyZ3lZM+JJy625bahxCKXunWh7gfkeMfF
UT0Uv5icMIYjpRmyYt9j/L70doWdV0oWA37q+2hWw85xWx+5cr6PPIuRJBJxiMvTdw3fnbDpu/Gu
FcBCBeqbRteJ+vI8MksNjL+aKJ12hD/e+apcMBb3B/BnvhcKSRezsXNyODIxoBxsfacl0aTF0E6P
Cmg+k3hPwGfQuQYK3EBI7bINBpYU+8bCwbzBCQJ2eCVfmhwJl0Eh0KPm304w6PPJnH2VlbTZEw3G
+PMTm4XxItL8WYmaJRhULXoQnfHdNqnDL0N9TvtMnMqZ4dpUoHNVVDNq5+Kwy0R6eiF7d6eRQhc0
jYYjUhUhnYvgKWXdWeolJK8px9MxbvwIg9WDqrBnGRqr/TxYCywIsyqIRrKt58jLlj0aTcIwMgSp
/aKwU5+KFCKA15yIvOzP0yiG8/bo6xDbZn8uUqhTaGqYqR3gdvjth7nM3QNfbn02crU+2+Bde7lU
txmz3zOWSMs5Ldi0eeiSgu3VXEkxoM+nQ0OBERuaC+iF6wP134TmteesKd9btwBAKc2xPS5JwRbZ
Q9Xs5jO2xP18Ho0eL3OnIwvX1orCtyzcWfTSPA3KGohXH6Z5Kc/MIiWboCkKrb56txNYAXKIK14f
qKUjZ7cwq0BJqoS9lBudtwPLV9ahSXazgN33kaK256Vv8csarUPLcHhu1QzuYsKy1G/a6jXN5K9O
lv3nZ7U92j6mZLHwPp+jxcX5pReHaE2j3PYZ2yN3ba7RfHzfu7YuJ940B3uKxrMdvyFqqhnoQg2r
f3YXVGU9J303yrjUgk5tspOUCwX3ZaeN2bOmeClp9vxjFN8sbChxgmAF33VRFDBIrW+geRyq7pYp
DBdY6AZJNkeFn6hRdFjy5jh2DcYKJamIaXIaJbpEhcUaNNjJOG/vADMP6sLO8kbZriavwnCXYHvY
aUnN9jcy/ERCosQqBPn3a1V6bK1GE7yGQKozRAf9LNCYB7WDjq356S75T3AXl082wkNu0C2X3TFt
MrCIQU3Eafuuan2qzu162JrbwcTMg5/5+lX+f6cjguj/6+rR8br9PArAxfKg1WNA2PJ3Nid90Jm4
woW2YmIwUmbHoSk8ijpcENfkf1duiln67LdeCz9TOA2UOw4DjL/9/FuQKUEFcNIUeY3yPjnlSoGd
+2NPTOC+T4bnMqqvGePAGZdsEtLq4gd2cjFAeYdMqydjdtEfO7zhgcMVN3SyVvEhRlNOiNPlJWqK
krF7KfbaGD87VMWi4k7u+lurusZhWGEC1bKK8xRjE9m2+mXWiLY5IERw7n3LPewNLnzJonr1Nhkk
8QNljJByGE9KZWfcOu58EzOGbJajdKyawBk9zBuaIT9HqsCXWyosqxBjXfhoTnjBKJa/UHX2lQmS
lmvofubF5h3Ho7Kus7NXLb/5ssmngbR6MseSbE09lbuEEpk+Su82isU4ACrXqMaClC3Ezmq76lEt
EDUObKMCkdep3+dx9WilVJwxssK0vzwgtF92VGE8rsLw2ZhwtiXjRneX7APWf3uJytQMiEQud52y
NNcM4wxDq5T3mmF270yte8rJJXomO5OatLXIX1MmDs4iyZ6X5t1xRHXgFiiPETj6e1VGOCakyo8+
MusAe9oBxqjIb4rKvqfzhrDOE/EjrpM3kKSABG7z+xCLZwxRnT+FAE9jXtBLxX7MI5YvZZw2fqsS
22Z29k+QeRcsgDHKUWV/BCx5oTSIxqVvEFqBluyquMtOOo7zO6cwlyMupsthoXSwg6Vp7BZFdiHL
x11Vj+lBbVa8wwORKkFapejtG0R/4grF8FKiJzHSKvkeKbWNEpxign7ParVaxStJqBr28tKN6nfZ
aR/lKBvcyRFMUu2nDkNWS+qmHj5AY7nDczl7FmlWIG7NZgapUM5FfmmKerxYK3o3Q/UdjbY5ekOr
vBF9HQrPAFJFsbeL+jyc4jR+gyn4UxA09WC2uvJqqJZCfIY6hm5fwGy0qmSft5P7vQW/bj0Xbn0X
zReAz3iXm9gpDVSQjzjy71yc3H903mgETuZoj+wAjFNbJ92hQ3t2T0yJ6p1K+J8W+2DLS3+3BBKz
ntaMZ6/K6zV7xDx6xiCejSYC2lBE+Suv/2ArkFAjTWp/aW3vDts42seJg2C4WcjYWrLlEYjh96zL
0zILeR876T73GFskJXxmgqbbA07gDEdb/TvnzZ63mndGLS33v9qfp7crt86tvR22y7+e/dX3/77E
dtpeom2cx6xMOcUgn6g/1lDjz4fVSNzx1t4ebfPNkKhctLX/6+HX+a/Lt77t8D992+tsfbMmy52h
1pPP3i7H+60saybV9aHqsIQBTv13rzGYLAjW87kCZTckj+1f7c+nfh7FTBlQsZR9nInmvB3qdZod
zQrzsa1tdvO/27hXs4oc0ms16/GLpancDm5hBJCI4petry5sRvfUHA9b33ZQ0aaryRhdP7sKO3uK
Gca+niRJbjyZuPl/9m0nym5pqe+sXsfri3/2pUrna9qgnr762HEGmNkbj5WZa2Hi1vHBqrEar5TG
uqm1qd6iwkuY+ib5o3W19wIi8l1Xlem8RKIIbQKInqt5YfsUzz4Wb9X3BMbFISUA8khhBNUy6kRC
9naa7g27oc3BUqLywa6G7mqm+cFljr2Q5MkSacnyE8qxQ8aW/1Ji2XrA3OWtbHPnhvxQDRW2XQwr
sf0wyillha8+ZJM8Y4ZSXEjvFUTqQOSGRbWEhqfZhJ4U+MdVyw/hYDvJB+3dAfQfStmq3/FbK3di
tMtQXbQnys09W8wem8Yqm4IOd8OD2VZUelQMmTQdoRxL7102DOpb44wQRmW2qilAknLyoYigio2P
tP5tdH3HThlCYx9b78to1rsC7dxLnmBSUE/VT7D8+bJ1tbHe37y8OG2t7YBQON53SL932/Vbn+z1
N88a2uvWGpJqocI0PUg5e/DUpNhVRTa+lCIqkcEmY6jE4/iy9SUVi13IUbet5ZHKeUma4g82NP+6
YJmwqgaVhIOyvsZ2KPS/yWiJ5+1lvHpJTirRhf7XBUNP3IOptPlp62u4b69SiW5eRw1/rnb4JcZP
2lKohHhm895x4xWeYNje+mIreS5KKqhbl1UNsG7z6tc2rm9dybjMgVpr+mFrpnNXvcyg4p+vUBKB
rUNU2jivG8kVOuhTWqfOMe0YX7Fs+Tfp9vOSbmF9rkXfvvr/9zog/hI6pKHvt9f7unDQkvtENY6d
TTEGODhVD1gGmidjWv1zmmTyt77tMFRq9SDXQ5wq0Dn1eVk9n5Dm/OfE18VatjjHWlefvrq2R3Me
VQ9ffW5a/FG9ltVPm3i+23bpQ6VTMhaE9X4++uqzFQmJoPXO2xUKFabPy8q4yY+KDhlG6riOp7VJ
GIpayLcYICiMWDPst6YmqoI0hB7dtWN1byKKVpLPihWuFyejKI6pEJCq1+Yo+prEYHgmWDWx9xL2
m+Hl8NsqE4R5bZoU1Y96B3Nfjr39NpXteBQKK7btbD512VG29byLTbTyg7Sdc9SyKLEz0DlV0QQm
abn96gwlWzBPvG8tq9Cy+1on2FqJG9mvhmnhkiSL562r6mNWE0W9XLcmjCkzIMPxe4PPw06fGu/V
SgYFS7BECS3Pc181lkZHtWRRtzUrrF7wX2ORs11sMFw8oWC4bCcjGB2v33R+1kMwzgb3VV0/qeuL
ZpLlrvS88rpdSCwxa7q5JxmJ4EJ/6xuZeULR4ULlsb/3knpARMOUN20T2zY3uboTAXeuZRw5IBcJ
DFtfjk7e7YUz5HA/4+RQ4hbyGo/Pdd0We08hGDofV9/L0b4DElgUf7U+rGBlvSnZADqVq9/6OGN2
n8vizdKmmXU+oxyhMTlrccO5LAlyZ3xE87dBmSi2eNE7dtBEcEyYP3u9edhaTT22r45xYnRMQpss
SwdW0NnRdQ/5VoYVdRmJt24CycobSlLIaPSjVsZOIKgJrCifEwwwXcIkN/s9MNaKjbks54v73Btl
YOpFfPT0Heaj7pO95sFsBz0/GqbyaJTtt15XiOJxm/mRN40NRzWBV+fsXRQDWWRK8TiI7RqpoY6H
IK5Z1Q9ZDk9R1KivJBlujBu/Nb3oXoBrZQ1rdVVp+HxmDXbRetgeiXWNYVfmQ1zG+WeXNkXJWTGG
l7TLf9W2axw7YixuwsIfbmaJeyma4oO1d/fLNcVtmArtDzEb+8zrLDZLj928+CzIS2rYUkKXsDLf
w1z5W7zyr0XZ+jHZGG9m2p0SiLy/tAJjOOUpJ8bkRberC8685b7SwGlLJS1Dd0xrit7JNxZ9zWFw
ETII6Qn86TP5ZA5VCxBgJ79a8UONF/vgddrKzi/d3ayCEZapqAjOdgFtVZix9qI/L+lYvo59uqoL
c3HemnmD3yikiSvKe/sp6mfqUP3YoNUwpqekNVd9WdrtYQWnx67BI8RSyiNxT4Q45HZ7BPRrQ3OV
lbMzN15Y+vPnF2qQFCh2kKDCVKHQT1Er91NdJoA3tm/qz6QOvsQLI5DBULuPI70i7buE9aVo9Zvu
SDxri/LZYrf2Niyu9iw7fb+dw/rUu/RkaPuT/btncH4zhePdixp7fiIy3gbLmEnRJoR5PTdhBAfW
TKrp2lLxW3xpBpD7tTVQLH4pSeLdWvgB1y+dl+1FVFtvsmoI2y2Lw3au9yz12Yna42erNptnOS4n
U81UbC30Y9bky61YD1IdL0sqdeAaWnXfDfvBVWy8jHT7Numaw553LnwQHTwDtk5jPZNazDHzXFwK
vbVv6qhxNprlEppJMmBYu7a3U9uBAiYxT8Nta3y+VNF0FkXVChi1GMVxHApgyU4QmOZarUAwhHPY
1qzWP0ARwObZK+2ZqgV0IpqT1Ll6cdXl1Iv59bO5ndHaejgnVnYr8uHDrNLqVIB43Yah+dcBB0wn
JFeuCf7nxKh604POW/m6VhqOZvjdpDU+BHKsRdZXSSRg0KSnGAaYUfxoZO60FwNiSi1X40fuJEQC
9rDM1zXDaOvbrnOJBnrcmm5jPqG4A2VYn//VvzQd9kWtreDLGLcs5SJtJ+ZIoDjlUKayhGCMxHLM
a4rIa19iMnpiBBRD57Dla2GVb3XUiNvW8rw5WqmVJJKvJ0eZKgdltFM20mX/qtql/mCT+wFjREJ6
4YoGWiqb4/vWEC01Jvzql+vW1CRUDsR4+WFr1nOZnqLRgzm8PhMbz+JxGZPPP7x12dYcJG0ev2wt
qxiBWEc8UbZmQvZ7aJsrEL0+XdhWfUaLYftbM9cd66lFgru1tvcnY/2Y20X7tL33YuV5TVaqkKe5
vu+VWDTrWh1uzZpweX6aJWk323uzC2yQUoyg1tb2akk0POU1EC+FZUprllaqgdJ07dmmWACQPDeM
1WbVHVWbylBM+OebM1Wzn8ax8wMC8aXlEZl03E+dtfwFt3ifQUK/1z1yEYry4k7ON1M9S0OfjM76
BoMjP9aVHZ2lsYhLFCnJkTpkeaww8XzUi/Q9x57tt5ydF3Mmr91x699lUdlELmfTWasJNXZT2Ddg
P8nvE4X4DgSfjYEWu+ktn8oUJk4cXyiRHtJpebWX0vCx44S+Uef2g1z6avGLRuPnzZ065MXjdlBs
O38EDcUiO/rh4PAYDBkKdHdsqKfFzQDhCuo5GjoVj80eFYsnpwtk+eXUds1PYjOVk6UV86vVN/zs
pieNPPh3ctd+lYsbUKDHubuO9sIWf5q+yB6TNMG3NneUPTJ99b22Uo1Fq9xrrm6/CftASSz/ZizL
uDeUJA1dJb/EiveL5bp6Ntvkj5lUP/tJmJR3GueowRilyuYSnIXR2NSmOQ5MiB88YWT/jBSJ8tly
oSI1FCsdbuysmbydLigvNRABXqrqACKfUvIj9FyWKeEvuBNTJdC+NUvsHS2PyifE9zxsBPaYpgNZ
aYQL33VDdLX+cVF938ZSezHU7owQvfGpQsV7tQIRs7C7BHiZwHtV1uatYzxO0z86iSfGcyVt9zgX
PfaHEwTlNgBnVI6aQl0NTVOzRzuvYw8SGedfUD3UWw4CtsNfyd6VdrnmyC4npkcsNu34e1O47X3R
mbTp0h8dCveQux0BYspBMSdxnbz011wSujiNeOcStfh3QQZTS90jDTDuAmsQ8pnirXawGkucY6sE
lU9qdxeXqvEO8/PnaKX1XxMXTGpBf5K+bxB/C8D6qsYcYpS9r2JSdyK5b3xRKy15amCpbK3t0FhS
2yOcBxxbr9gOUa3DdJm8S4RY5QUbFQ3aX3qEGxGmZDE8Dpqp3mdKq6GnU+vemhZGircixQt+PTnA
LryPBmLsyR6uW5eB+uDgJHaz69xMu3uDIWF5QiBaW1uXZlgYvsk8O29PWGefk8HMzNolOVZatLp9
1v19jqC0mkn9vLXIpIrD3I2I0FlPTuxsqFfL89bydK2/J0oOQ8DBkn7r08kIOQ1eaaOi4QnbgUXJ
nluDeNH1CbGrzGHWZCpsBK5gVZ0+9TrVh/Wksh6mEeBPQTRw2q4A6h7PUYUL1NdLxm5+xnw1+3zP
RTJWQeLN9zkF7pgtTb93EdFoZSvOeSGY6SqZ/rWlja80a6cXR9gv+fi7JhP3FUwzmA1rIpqkNF7r
qf4lMowmtnNAtGqAOaV3hDFqvtoaeYbK4I3hdm1p6PG5IaYm2M6OKpUe4tetQ2Q+Md/XkGHauTh7
ghUEUrTkZTtgjlKFTRZVYfafPn1OCj9uPMy7bT15meMJllfk4f1tHnKRGHe36o17tigM+nBaTlsz
Vbz+pC3QQ7ZLtNE27kxgs1Mkn9eXHWXkCZfWo70+vYnbPXT3CEN0tG2N0jsv2yFLO0a7bpxOTpw6
LxJv9NuUKsjMdQholRmjjiaR5rBdDCIonvGSY08TyTKA9duFfEBTCLH5X6/X9n+rQolClP0Qo4hN
eUFLpxNx1/Wfza1Pmu2u1ZjPthYhptVhaSDYfTb1iGctxSGCuPG4dU3GQjmvT1ViPZr4vvXNS3TW
Sm6MrdVKZThKq624gj+6HQZ7fqwhhzx8dqGCJNFq9HzDKZMnx+U2l3hn2bNu+tR2qRQbY/yyHTxV
HNTKWG5ba4rc7pa07qHS8yQLlm5FgdvG8bezVcIsn1s60FmXpfuvPsPL/niqyqQ31N2zlqAq++OQ
LTp16st24HeEg8dAtfqrLzLHtzZRpyuOPurLEEfptdXsj68LMvYpOG903eGrzyWuTE6fL9oNI4YV
2AgF1mTPVz1Jn+TkFTfmwOJGCf08III4by2CMm3V3x56uXjRpClP/9W3Pc3qqp+tjOKdVjcFJJ/S
ed4ObgtK6CAIQKFOX60qkHSpxbTjLkOjem/TqL5HWQ285qXJYesrkhKsMoViLsqqDuYmUn1++9Fp
u9g0yGitcCk2TOg/tUocVs4wG8Z90t7bpX6RAIUP+L229yrD5NYUShSoyEHJehgvTm8OfACcFNCn
dhRSYUppdntX5zZ97FL3tJ3cusgZ0wDvO++kzWN9m83pYrdi4PscjbfOHOuzN7U9rKA5Lh7auA7L
OlTUsd51ndPuNCteIB5F3d5UDOdhyJBopEOUrfFjITlu3zojqtDDD9eoHh6sIcaxXVCTQpfwM+rT
vSUwPMgsdjoVKwCv1prjlNi/F7eEwdae1CFGOaEION3qoO8ka5CgY/VReuQL6YW/wBIOpkRBSBox
m2/VPvgxqOtNOOiqMp5hTLxprZMcYiYEAG4VSjok5WHQL+qC15zUFIPiAuokVznkk/7OvovBBvbC
rjbUW9HnJ8KolWvT18hjh9E9FQMCOMN4S7sxZfvnsk+G7VkMwr0vhaWdZyra4B0SMNGo/KKcJZop
X51I0sWdmPLtTBqAVw+ZLxfmSDbDD+rwrInOe1pN+GZEDPbcmOgeY+Nqdqm6VwhG8avkfVmWVypC
u0Rq9b6ypXsZCtJgAAJ4+HWYRxzgbaO5YFr2DYbFRAqdHPa1I8hx1fXoNpS/eRlxxm7F8PF9HgPH
NKjcVop2LVirFtakPhs5rzw2xXKxMJyNBSSRQiFyMdPR5M3ZsdPG9tz2URsSHznuOseJr7nbLjtV
6t/iifwAGFN9GC9INNSlfragfzw3uvmmpElzLHBrvGKTCK+EOSXMO0de66oCJdFH9FtLFMTNPFwh
Ehz7FkNG2WZB2dYHr5i8U2nMzS5n3cDWyhS+QZpW0A790WpWRmDca6E52tkegvBPrJp+rGGiR5Mq
ecCnNQTQ4foAdzYQPH43dqdA18ukvGgc8UmAroWXBDv23mC2N2zUNurPJtNndHVmexkhGpyUFfAw
uudtRa2ty2qWKPyMeuogucCYpcywjEhGqb7pxY/BVm55js4Xc5QgT59hL/9dXKM5U39TmQmzFs81
9TxXjfZiovAw+dlT7rXbMYN/4zSBUYrk2pdNfI4nVhiFxv07C3J58r7Gbm9cf711AWTlDHhSOMkb
Qb0sMDMwVLtp24Ow55+uqbrXyc1kABQoBVDoJ9mBbDVqS7ZzigdBIkSMmEYrCS2r2hUp+YYQoAzG
NPndFTUp2Yl5ZC4fMhgr2Fu1ez7Qv21ORMwEDE/1gVAO2VhPACO6n8Iu20Vpd/fcDo2Z25H+phrV
SbSMg6liBss4dEHdgwm05ROepup1SBLtKteDYxJY6SDCzEtf6HEUmj1MPaHp7FAUp2fstbowzjI3
gJS1T6r4t0LlASeGBEchoIxfgzXW7xJbcybtY18SY+e4aJr0mBqIOiFP9VgeP8QdRJ7lmR2JDKh7
NrV5I9a88EkDeMtTVfDnHWulUO9mxMWPkwfA3ur9TFU4fsFYhelTNjCUIrWHh2+m1wnmpU9sFqsK
NoV9pqLhMSXg9ZLHe9tb3Web4XfsRgUGZQb0RlfPITGYJcTD6CAWohp1BPN+ryFlkn9GRIMJtN+w
86DztbYD6uz4ZinVAKPpKlSrHoZyrxDAoqkK9pH4xcRxRGGhdu9zM79Mwu6uQI1FsPQzpmiFfES9
/ALS3PkWfvInb9ZhgeqRdXJs96xEg3dWssg9WytPp0n7H53rXeuEYdbsFIaxvGmOCw5LRKj+M0JE
PTR9/w/ZBwaaYDsOlTqbH0ayiq4O4HG1CojjXL/njnuB/zCzyp4iPsHxn4ldO+hGDH0pTUPd6CO/
qxBRFGkDUCFjk6pbbR0bt6l8K7PlAep6BSnOsyDdMBnsETOfnZKilF7huYV17L22eheUp9J2WZoe
6lmah6FtvI/ce0XL1Ksy+rXY7Q7NO3Opt1JklF+JMQSlVcRnfYrJR2zUbsdO3TsOEM8OFjxQeCeU
pJSIzVuP4N6xKkAP1dyxZnzwJmt8ykc8ihxamMlkoTTj17JQ7MvXoRkr57Nps/I/2S0SMWK+blb0
f4yd15KcyNqur4gIvDktX+1b3WqZE0KjGeG95+r/hw+toVfvmR3rJCMdUAVJkuY1jB29wQLH6GYA
PSvPO/mB7+1DD/U1ja5vz5R5p6sBr6JvGrdzHbNtyujjzzTXj3mQTDfqjHwTQlHPWhz8ZS0OUVB1
7tAtlsbI7IwP8RIs4jlmPmp3qlm3z0PfTg9tvPTcpLwyaJ/riKFuVafnMnDUcJ86PEYwYVelZf7R
9SkjDyt6S1IdnUOzeLKM0T6NecT8ewl89372OnhorRYfm+45dZrkJmR6cJP6TnQwCggAsLGjW8s2
n/XAgL3hjbQo7B4HEFes78XHQamfZwwqWdhjctYtAmdadhEMmL3sSEMVBpZoWovXFQjMvwOlY7+o
R9u08LDLMEIktfwSpMaYeS3LLPg1OMieLxsByqwfdR9bVwy34EhgBurBsQ560FhTMEzMOH2OZWnk
DkHpKw21uG3M6UkN5xFqh28fRlRp9tOSRKZg2vcmD8tMXYBmTpjCK+mQnpw10EWeWdyCyLgME4wU
4EoPndk9Ky3+T7kZJwcdE815L5i5cCHwW+DPjs4w5XAKZvdhTDWNoWCXPXpszd3ETfU2Azf6jNcG
aMPiRzhE6Wc1xyXGa/90C5/GLasEzrJUUM86M52UBuV4rnYvwcQnDICVpxx8qY0GOPZqpYQKYE8f
pMBU5+aNnAbXyteoDvJrFpd02WPnHDDsBh7ClgIguGLeFyimRU5h817Ye5Mu737QoPTWAAXwXxtO
ScP1kBzx72MWWC/JHL6FSMEhPnqasJY7OM4IwX3BGwHQPiQaTxf931TZp339i3lNe9sO2bkeaz6T
oAITB0trNYEk1MLjrOurE34r8tL4goQ8ipzjJz0JrEs6KJ9mFgEWeqt6rszFeCD+rnbGJfbGkN36
gxfP3jWMrIeYrbR9qiOr1Ko5wn8GiHH71jX16U5L49dRZZYaVgEyiiGU4cWkqfLRtUkargcU6G1V
gAiyujvZbHiD5SrtVTginX51g6O9ANt1kcZWJiYCJv20tuDq87RvDkVqe0+wAJxHdXqdQfA9GYAR
7DxoTlWcfCkZGCBfGQGtLNlMleSc6hljvjIDoKko56RzQ8ZPRgr8xTrkQWfsq7LoL7AjitfOrJvL
CFtkL0k9cRrwxrWFX6jS3DNc5v+0nX3Qy+DPyVamcxGn8y3CH0/9DNjbdO3kMUDK5TFotJqdYaQw
nd5Jj1ZtV+cSGrgRwM5QEiTmMn7ewtRwB6SCnZBNxiLYOfOYHZlFPxqsc9CLH7LssQsBi/3I7VdM
y9prtmBmygVXF4KwuJrOY7TgRmtjUq8AI8IFSSrBpEdvimL4x/jvLMmX6tny2tU3ZcB99VrodLus
SAkF6NnoIKe1ugoO/mnCEfJiha9xA1LAfxmbID0F0Hnt1oBbNIwvCJWjbojn3aqrIRghwQ1lJhMG
N3ZQ8l4EN6Sg81NIkuMfk9sEN+CyrPnIYJVfIlF5o60KLtlFosnMChIsLP7eUBegfd1WR0GoVM7T
AilkLJvdFD1w66DB68HfJYq2rCOQG4DFOrKr8s1R8kOiBjjk/mn2Ayjm5cY1yxkltuETbS1R56NA
FSVznLMpu0jNyGm5M8giBr+Pb5eTSC0tVKed7WTpQX5lgtY0G7AIny2ufuegUc+iMOJ4e0juwxUM
589ueX6jGTmXHDVq2QOWIJH7L9GYKTJbWhjfSTLLqnNYKjr+M8tvysF9BnhnXOSS8jNwXg6jakCc
pK+OXln+KcelYwDHfHmM6xOWTMFL5T67LtZCGt3yxlLvzkit4MkE6GPF/kprgHbLDvU4peNR1esf
ggeWYABG3dXw61hPRXIkqwYbM6LKSenj3eYom94rzitUg+89zMWj14Q8URsJ0VObNC/y7O3EfRxY
9znNtUG3bg0RensM3dneKm5Sh+lfG6LZtj00sMM6EOomOMjjkqchsRKPz2QnUWkFVqj77Ct3O6/o
8xt8HT3QZxJdAogItA3lXOH1Tt8yJDNABGDOWA1jBPouKkc7OFKARHaN/GaNzmkPGsqOLnK9sWlY
o24OcZt8mUf9Ru7cepeglu4KK50Ocq/lriRtwfy/1RBfWTAA8kzkCIlJ3tocJC2BkeIY0nQhEE1E
H4fukzz4tWnKrdlag5TUrHzuKjDsB7kV8iP1vub+tEGh71lBZ5RrVX+0i20Icpfr/TVzp58BXhmn
jNEAre5Fq/IWpm14ymeIzq0+fdKXrkM+21lsO+c5mEECY8e3U6FzooTboCdkJXnx/1z43W+QKLZX
kN31UF9rrk8PNRkcSntDP0gXIN/3Drnxiw0ga/yUwuVdb+4Kp3j31rwDVXy8gwbbeEUEa3JuTkaY
a/MxdsPvSpepx+0O0wne6I4LpXvrXNT+KcPE8iS/pferx9Se1RMajf28b7Lwrh10BZjH0g8tr7Uc
KbF/zfO6ckY4IEwO0hL6OD0xhGHqsjQEfUTayYRjvTWfpYJdzVQw9f2ABNtFWvDYWcNlyi2mJdUx
dwaMj9wFXPmv17WL9OqHYIW93ACusABStrY3x/euvgAYjcKuF3kburelW5aWJMktr2D1Z+mRLH12
jr5TDWBW0icnUOgjpb4E29v6romuUSmfK2+4eI25l5awHoKtwFl5axs2CKQvZMLenFHovm5v+NaW
JU+SwdIK1b4/NYD0zqETnaTMlMYuNbbjPzZBSctTk9h6jKTX6IdySX7IW5ttWdn2764HWzk2+FPz
GsCV26XAY4oUkFtvg3BePhy6B9E00JmoTvoJHwr26RkXyBMfbB1jUOcxn9tnh7EB88M7nRWLWS3w
2E6ec0ApQ93dWgtWdR7L53xwu5NpzgwlGl09qEHB2k2PwMyODd6T8A6mfLGLNOehPgRR+ehgXrw9
eLmqJNfXaUtL5tZMPhxSDGl76bEflMYoQb101xLTE+hLZgznSe6+nKQAzziBWaHZ9T60+r28JbDa
yZXou9zBNb7mFiJKMm+ZcA0+Qqr7ZguXIuSGdbGSXlkHhxoSL/iGMdE/Rz1wd2RMjnKPJZDHHi/D
E4RymSNP6R/5pN94sZGd1Hm8TcwSgTKvu0gno9Frt3B2S9RzD2ERrF8Ao/0TUn52lRPKk5cYPX27
sGHsaPhzHrwnzOLcFbPsJ/aLj+fZKZcWsXUGqqY6V47bfp/ejtqhnyDeb3exzBx60mT5zGRuZh18
C7qQkErgBXwFl2wwEveQH5Uq7K1BOTHQRRk167jqmMlgC7xudZ5c5zoBzGE/9ww9Eo3iyN5nOIat
o6t1FhVpQcGem66tnTBc6ofaSIyTnF9+l29H47XVH2cjb0+qaTzLU90ercTyrvsZG1O0G4sCpX8o
5L8naFvHoci3X9LrwI7paYkjDdMHMP5HLbNz2PltPtwjyG5egKZVN8LaGaKuuqEt/CrDLFufrzyJ
rY/ZHgwf6L9S6Jnm5NUHC4I0shiOgcNJwUvg0oMfUAg8ltwyeTLSrAOVtUcLeLBf4Bvyd2cuFbYe
fXuSa4Ne+vvtJmylEpMq//9TMVYbYS/db129/BhJrmPxLS2xNXOOsP1gQIswgwx0lc6+qHgsShW5
7DrkkigOm7xqa5R97d+w+vVDKb/z3ShjPbbM3T2wgDs2BLHH4EMv41c2R1i6ltdkLpCD2QeT+R2t
FdaTwz65FE0Yqkepvkb95QsaAQbpgnQdx0lLlRHdFmx505yx5aChFKkBE1sGYfJ3tmBFSUr63Vh2
/fXlPMLEuR8LdN164g3w9JPNLtW8R6+3YBPqD1d+iFnf6K6uXmVYJoM6iUmwnnoZFkqSjSA0rwMI
IFtlqbIlJbYF22Pc8rZrfDg2yj93CHXQh9FnSsfZAQTIL5KWN487njCNX8rXHz+XWrGLlEF9N4yU
R7i2vPlHANH+Ks01QkkX0PTyDMKuQ3JDWso/R+XotasClNNc3DI9fKSCBDBFtincB06IEDykdCvY
5oBSIMFWT5KD/3PQ6vy6/vqlJa9kj+2dWccza2OWXE/PO/ZP/n7vJLbWkujHtBy0nvVdrY8X+HiU
orGx0dqv2ozUrPQr2+hBjv2nvK2KlK7jbIlugTyPLSkxOe5fz/puOiO1peKHS/1T3oezfrhSsHT4
GM3VXQijb3nF8XBmr6Ka17mqvPASsJQCORMaEZP3ZZltC7a8OcMTFPoddarWILpWku5WTr5VfVci
Ud8MQAixBb+2aHlZ5D3ZXpbtpfrXvO0wee+k3j/l/a+n8ud8IfcXMWi/8eDi0MawdhkLy4drC9aZ
7JZ+t1bxT9U/5K3zieW06xXkPB/qrFcYEu9OU4ZfaueFe+kaZA4qse0bLX3IlpTYNiDbKn/I+5CU
en6PYED/U6uRREgKGyIfLyd77wxvpQmvUcmV9MxSNtPqrMpOule8bN07YCpo41tamRcauaSl52cs
FLCiZGWWuy4d+YHVznvpHlj9R5K1QRn4N11t7TRslTUE6V2KcoaEifjb4Z+6260pODLp3+pszWDL
+9BcJCmlY9CkLFm4ML0GdTYPnaOn817mvwkAA5aLkvE1aIfotL7xclO2YO1Wt7Tcrn9NSsH26koy
YCHld/ct6Q9nkLw5S8BOaAmv0dbZrwPrtVyez3Zkg1cJk7fsarEwYiwrJO9mjls1OVYCGRhsSYl9
qCed6Jb37o9LyYdDBq9SjrNxDyrwqYZKgWuA1GCl3NBAciwfrhJHvPZFui4/S7LsInemTPo8u8yq
s2syx7rIy7490fXdf7eY+W6osFWVmDzeqOhZ0VsrrYtcuYPoiRFHyKToaGUPs1eyHYOaizY9yCu6
rlNKCxhnPW6+yov8e1WrVoMj1tlsnTRsDuZ5dk2QCIYlDmlNgrpht3K3pX0rUNA/C61duegOO7OF
ARkd8rbyYelacDZ1/1Y42xYbAJGKdo3cVXkudQaVSa+K1zKGZyJ8cn15wHOL6E67rmd+uP1yU989
onXqut51mbNIdH3NIzYnZ8+cjnKX5bJbID9gS8qN/ZC3zuqk5COZc6spxdtf0sNQ39tY6+2wMcQq
Lsj9t66Ix7OBEOBRhzFLEuoZAqTFFZ9JSi2dvTPDQaZnKfU8YJ56kuDdVAcvkZadteUcalJn92VQ
tzupNXfZeFHm0jyofQZIbxiKXRPxqkvgZa65tz0AnhqYors0cU9qFFr5EckgDJeZ2R9ZlQQ1PDnX
Rg+aRzhZ7DUjGgvxPHNwL4rVu9QfXxdE+6cAGdhP8G/qA6pxI6ocJCUvQ/AoS9ieqEdUIGK7Sj/F
noOyoNndTzFaCA6whZPO3v7Zs/z5Ka2an/AdL72plW9jbuKqlfrf85IheY0P/I0fqCDFs+a192br
h8dqPTu7fsCGg9aijjMMu6Cp6y/1DKaXKXn5WVdTe4+iDvCqCNkutVhsAUyWkufcqtBvUtVDhUQw
ylAlOG6MGKuHcSlhKQkzgQFHgTDRzk1hlw/zlFQPEpMgKwoH3bM8R1iYRXiriINDWSE/5E/DN5PN
s3OrLlJ+mVoZ2JGgxHFYFoB3rs/MLS5iVK9VCJ+Gj5GoioLhoc0KMEFeOzAfbgr3BqQG22sei+0t
ql9TP0VPwxJAdImefDX5jqymcpWsMsOkG91FVLkKhM8Mi90aJ3hqUMN+UtkJfUoVTdtP4xgwg6Ag
tj2gVanNvcyxFMVDdjcNQ/egJZ33OC9BnQHbs2lbsKupsRWEepbutdLBFW1gd8acMJsbRx1dGP+v
KYnmhzUFmgPlX4c2tx1fRZb3iMpMtK/CdofuqXF0NMs8TFOTo/EGmL4wNPPGdoA6A2vVDrqtJ+0O
K3hkMHAAL72wvKug2t01S7AlaZ/npGANdUDayIabVuo3+Wymxl4zDe1GgmIK/pNZ9JWynzxY7l6Y
stiMqMFr7wMYde2x/5YM+VeDrXRw4dD9ebdM+MwgE0ErFBUqMf38F9udX8I80b9NTQJaAUGc12DM
gF2jg/U4a+wlW1Ni3VZu3t/ofdxe0jQuHngEGpT/Vv3UjAqNK0vNe9XoX2tUg+7dKHkc7KqB+qrU
n+KejSMHscejJKWArdDPyK/nx3rc9Rh37KaleqylmPLFYLmW49jBJstRoN3SZxzeHWzl3510Nm/l
VHVjag+OF14gh+HUmSGLduKDUx22X9AGya8wnJP1vLUxt49N1x5zFVmbvY/Fch9kLxgVzizaFw1z
Zdu8hWjRfIJ73j+wdHyVFEa77SdM6yBDZSNiTUsNyXOM8uNBifuquuhx4RoIUBvaDysWS1SBQXeH
flp/Vw8sK5cpaidS4KBkcUUGMwHNxq3QTaU9I7ap7SUptydL1eVT5YAJW+6PPY4AXaploBef7fHX
+nfSJPfPdlHDOVvuH6rTIPKyycOfnjYzDibKKRKVoApmGO5bWlrb2CIh+S5TiqWkg9xxGB4BzoDA
C4YduC4sFcqKTkmvv9Z1EF56ewjQeA+r72V5kvJ4COtTqqPaVM2Kw4K14uIWznrgtQmi4K5bgiFB
98Q1/PO7gr5PsZN5C3w7PkJhiG/LMcPDcAkkJnkms2wsG2wU1WItavAb/JeKcshaezu6GzEH/F8O
Sd0BfIWqnT+epu0KRG6fx4dSZTVw/+HXSW25yFSUenOXtguPgm1H02phwKJIeR8tQY7AxL0kJ99H
sTDyB8jraszi+lJcqiiX77ZKEsNB75YPX8c+MgfHLqsqYVl5eGJMinLjvFlA8VGWktIPh0pSLtyi
OnpxEAJfD5WrvTsi081jVwLQ+Fiw/KqpjCE7Ps+F/TXFnhTk0uymt+1UpbfuGAE40VDe7DL2GVV2
K45JEWovahkOd65e/5GHmvoy2IX6oof1Q0cH+8DeNEwXRAf5+vUG+l9O3eq3NtCSNzfjVGzmlPcp
agZvUaV8gY8cPEqhWQb3fhHbT1IGUviYQqj7lC81x/otGTTzVfOj4rOWXKUK35zsRW0a6JcPYZ1O
d32gpffjEiDupw87M6mJ2s28o88GjbckpQ5EUzZyfPcvNRlwL3VZu4S5lL5lXo2Otma0e0kafTNc
DFxTD6VpoYi/s62u/4SNFdJF1qgfIwiVb02PLYIKX++88CvfgIKVBzvzzcuIZeZTaY+vQGi6b1b5
Y3Yb94uluO1NVkZIJ9l6962ZAVKojpU/IaKDlm7Y/wocu/0GZEs/zDEu4nbjv2qAz9CwbQfwnsTi
sD3OWMPCF/5PFrTI34Uf8nTLARWbzXfl4NVH/NpKFOac4jVTLPumSbsJze2+eNVhTH/C+n0nhQow
tlcQGF9g8qr3kmX7DfsL7lCeJTmiJnHVvCnZS7KOXfNpZpdOUnLGblDvVbTedBjRt8E0g0sorNC4
rdGKgRZd+6iw2fk9i+5xdwCLh6wn0rLHyh+cGynpW987mtpg0e5wO5l9eh4EY6K3Xq36PRyf6EaS
TqTawBSi/laSNkZE+EDq/p0kZ2X64fLNf5DU1GdP9Nf5kxGD7/HH4BJGg/KcZq16H/nQiEMfu6oh
r54A+hyRneifS6/9nMStegtYYXjW9ZZXJUZVvkrcO6kg+eginkqlzh4kSwITlaPIhsBQdzqGqwXu
sZkdPEv1GDraU24+N01xcju3wrCwPiJjXt7ak1PcRh1kuUUsuLxVVIKmq1xkZtXpEHs9ouN21DyG
moMV+GS9ohCWflOtyjuim1leJAlHB0i9XryV5ogkpdGDJViqaf3k79D0A1WTj7grqy1A8Sr9Boo6
O0PHd046ex/fbMu4zV3FejHDzLkvEwuAxVKtndS/JtCSVz5t2j3DOg03ImLuEsxa6u9ZwWvA7/4n
b6siMUtp/6p6XTv/0/F6CwCms+PHepybh1GpgEsXLtJ3oLpMvkR/5ar/2RwH+61xRvSBcr24y0LD
Rtm4SkHEDfOXvnKfpepopHd1ZHhf6yZXD24dW/dp6WHAUteopaAL+xk60k8F8atjXOxdYEN3aslL
5Y7xj04DIGYZbvPomV1wo9hOco7SUH1BVaXeyemd+ataes3Pjn0jYERmjA7jZFxYsy1R3S2tZ89G
c5zX3UHYUst3SVYXKOOiUXVX0qfe2WV46H09vqkRJ/9dsNaR4nLLhUcC+BkZ/4M6B2p8kPIQ3OOd
nC12XDLtCjph5ZjXNSnFuqcl44lXO1prBpr+bJmJdVbtAe72dgrLMW9t4OU3Tmgpx1QrdGypBudi
gfe94nXT3GmG6ZzsJJueJnxcDn2rNp95G1WgP67znbHzM9o8yq/Ge3WHhCHpWFin5xe7LcyfcBIR
izTp52l9vLRZ4kBSCeZjXVX1Q6y39cU0quEmclsLd1+/xJagc9DHAqxKxwczUy+RxfJ7/1scjJ+T
yFT+UkBarhfKcg2puML6c0qHH6GiOF81u8lQO9bml9BGG5whSvAIhdo9Z4uouKr46W2fxtaZ5YD0
0YUKBMa5sVg/oyOz/Tn8Rgf8HfKh8qce4IMMOokRNoPwJHDNvzKUkfWufw2w5mjaT30HZhmd4ubV
a5kTdn2lPYLb6IDn4LAE78o5sLjm+xddN/CgGp1F0kBNcYvTuuxWYo5TswWIBMJ9lyDrgn/NJ80Z
vNc89b5qU6zcm73ncQ+Q763DtL6RZGegPJc7cXfV4x5hKo1x2bUrgboVjet9DiCk76ohVO/7qvQ/
R/X8TbcC/UFS84IAd3TrUap6mnMbaZb/JKmwD85tWqafzEL3P/sze4mF1byUhuN89s+jnznfYj6V
53ZU27PTDsH3Qj/XQ21/L0FkYZlT1ZchGIqv2NzteytyPzGPvMPkoXiofQXx/ADyRteH2m7NWwqi
gh1nnHUXJst4Ruxo4iVCeM2IjL/E7tBCTC10gu7zVqExauNQ2Z11GrAUfOiWgIYxHRq8kQ+SlAI2
bIuHZsZtC8vqW8BOXDnoKtANGI7uWLsrHowlsJHivXUV4z53qvkTqwBfuzKavk/RAvRo4XOgA4Xk
Xqp/jedh+j7WkbUfl/xoyf/v+i6SS1t93/U5D/C0fRO4CL795/xb/r+d/7/ry3X1aoC57ZlHM7fi
/cCE/bkcpvpZd0z9bC95yGXUz1KQM/ld86QKQpHNc7nkfTiWLydyVop3jnW+iRJYC9vSqxr1RMvI
fuep2Ed7uXnaqknhGHverq7hGwTlo5K1FoRJOF+jVg/B0eFdP/To2ByyUSseJRhNnlfRv+k7ramO
epiod0EFEY9OShIotKt37RJI0jYUSPdrOqsOPdM1tB7/Uyr5W1KOkDy07W7zCEDblrWeaUundHrz
6D6W3K4fPfYfKJJ53xL4TDSqMr96PlxSfXQ+TXbv/TAQoGO10BseLdfFcDRBb6VI1YjdV9jEEI+v
TamcDN2bv6DIMJw7ziqCp2/Qsq5yjTADztdXrXWPE7b34HcaG13LuTGveNS5a5/BjVi4DhjGSW/a
8UavQzS7F8MdcdRZzXWssICcy+RLCiTo0eo+uoCsYKL3ztVMzRJxndZ/zpxEeUYgujvoFw8bsWSe
0XQx0I5BhNwxdwxB4MXEY31Wqqw/M/lDFt/4VZntdyRGhi9RjBN80rX9Y9T02kWN2+zqj6n5EAY6
nhhKOb+lYfoL0GH2i4ND7OBvFNNEHQvr32f8ZM7G2AUPVdE0z8USGCrDw7BALnGpYOgLFakBsmG1
5YOWwotHMlk9Dl7RPUh9qYbB0xHTyAkDNMRpksWTHcg8XrJ98hwg1oGvWpM+ITqEQYSFMZrRqeMJ
H7T6wQq65FxBrblPMkgVxmjOd44Lshh2vH3rZEN0LZAyvvXMyLqy7FHceNM83GTVOF4VNSpvM6PA
2Mfvo7uk8ZF4Ghz3LiknvF5rFkmiLvFPcduqODCo9cn1ihGiK6LLCED1T+xPlMc0drpnH7UndIPB
DtLjgAaq+v5l7rD6wdx5fI0s5JE7c9d3IYtSQaF+btiD3oejaryNrouWN7qnX/Ce6XdVNI33Pj5U
SFDn6aGawgglLPTj+DZB+PDT+Y+kcY8+fmRf2b1u0LWJFq79HL2AJf0V2er8h5IYf7DwC73cClgo
D1z9lLV8nP3BPPfLGdwY/w5wYCUWDyMTKntCpBOIyR8FuES9M394YA2YAmbDLdqo41ONkfqixj8j
ulbfe9bUIYXMG8DMqLxkjYaQDOJ940OMWguD8vGSm0r06iue8+BosGnFCD40eyh3lj9c+nSYvpo2
cydNC17dgjdFm/IC2QB1/BoBADwG5dBf5Cg9Tq61MWg3uaMNB9YSixsYQTFT1QUZbHkYcvjtbs0y
JwQRpYrE3mXaS4lkfizZqo+Z6BNyge08kldVLjw0NvD2GY6BD1bZYuXYKt1bh4HlzeirGfIV3JIM
vW3WLQeYHksSRTvvOLUFPpdLUjcnSEumVVwl6ae1toOdGO8weYAkZztMCpZAz0P8nkpzKm9HL6lw
sCAmwVZHYpKH0zi1Gx2I0pCDxvofjpsRjCohqP/XuSX57tIOPgJXRkK7d3nbIXL9MSrnmyz92kxh
+Eqf6++K2LGuug+3os+NF9Vz/LMxhMp+znnMjlfET3ZVXCQlB5mG99J2mXdvWcoF6aL5wesaKIVt
3n7pR6faGYMT/GgD5RVCkfenqWmn3KU7QAd8H2i5HlEBUd4ui3+xmPGIOkj8RxXVMZ+dpv262N3v
E6sr71nnvlURcb+HKFDd51oVnpAznXeJqVb3W4GUMsD6Xc/Ekqdonb3avQGRwbl5OYMcIhW3ZG+P
zs4ZavYs/77Ih1MrYwJfSPffUjCqCGYuF9lOIMl0UC9sfsU3B3dQnLtuDDAgwjoUxxelD6GQ6M6T
iZLjU2ovva9WgDAwQ3fNg+mLpVLqXhyWCu4dFeOSWEXqf00ueTh1D/fREkgeEEztiC8auyBL6VYg
9SSvqtXsZA64AkiytY38GCELc+jiieX9qv4jgrjgFWr9TQsm6G99Ob05JZP2emr8l3zO+wNQsf5Z
72LUMJ0xe3QNRFViRNzuJ6sfLgWoWhQcIzD72FZdrdRDE2TpxQdHjR7yVK1OGXPdJxWtXVYMWL1O
rVphYb3IPvPrwj1r3u6XxEYBxZpN8zueol/9JrV/lpZ/o7KQGaCEA68pqROG0p+LsrWR72ORgQ2N
7tc4eXd+nhc/jSb+oZisUtNbAqAHNWRZPW5YJlILFpKe2ZwNn/16aNA0ZwIhpaMTlrdhBhVQSnMs
PO/8fm52UhqnYYbnJZpyUjq1dvpQK+b3ZDkTOx75Y1pXL1IWmy5rTggtMSaPHstWVR5inISIB9Yc
PUpMAjULvs26Wl23LInhhhoeYnx81qO2UtXJnHPMRtRO8pwmRG7SbeCdIg663+pt11GH7L4xC/vG
n3XqzjGuVDCRXsbEK9ki8tk80VLt1nM77VaFRwVnPdLO6YxUjBRIMLqoBu2VpU6tKFN12o7RfOVn
OZco2/19mndVLCeGQyYn387WY9Ox752pPKznlWI/jbnEu5qzrSh77LDMg2F7EMGW0ytDDUUQBuu7
A6VgvaT8wDBT/ZNnmm9rniG/YLv45CU0Qd/p1GsTtod//E9b7d/n1f7MAnQb1t+w3AWJvfuxy49b
f5OUrBftyuwxRtgVqvjZal31tliqSQXfrFnmkaiUSDDJ7Zeo6XZINwx/eOwI3SvdcGK0gZ3a2Nw3
SVTtawwsggiqWdDkP6yimdDQA9PYq1c79Oez43V/AcudDinCimr0s9cTrCNNGz8KD30wb+iuYdr+
WWe+d2LMdOsiYRpVenTQ7GmRsvV+2goW2XG3U2o6coRmTeTwXY81xgZ3K7dO3phnXiDhfTab3tv1
vHboekyvtV8BLu4+a8HIyaD5oYidPPRqc+fE8C8rUE8s6BxTVrcKU/8RFsOdwq7nVGCJOCHBUC4b
foXCpkMC3/cCj5hpqpfcRor2XLeJ8qTGTHlL/IyeKv/WZCyCvdySNYw9NKk0uV/zNExcdnMxZNft
qICVvENWI7mEb6ryJAVw0H60M4yrqu2hcs4vTfXSpObwNDAQap0aLfScKfkwAxlBvCzmhwSflRKT
FRxysD2oOgdlh3bcjVBNTQ+8oZU+9NqIA9gSTKn/XA/w+LPi1gkGC9Q/QcFq8R6O2XjSC7TGJC9H
geE847LGgul/8rqZgQSSpvq5wkWvcC3/MVsC5Ci80qmeWhu5prRFF2dkDPM0L0GUGuXFnZxpJ0l6
EOMpRo0CwlCzZm35jW1+iazWuJEsV6l0dMnGGbvQpjhKngSG7utsE6HZKFXeFaCYZ0zNemHJtvSC
/d2pyK9yYcnzw2Fne61xaKeaHevlR0phlKj5rWUjQLhkWSyrPziOchiCMH4uymMBIfip1bTomT3z
X2NU+ddBM+4RIk/vRsyqniRwZ7T+kbWyTlteOvU5Jm4o8yeqEitQGn0Dz+vuJrES64nFfms9tovs
41z4uB+FbYOLlsukzU/xGJqt0j2vaRySqlNdpOYenC/lYWnpt8vgOW7cx9ljdNDPFXtFVWc+eV6i
PFrRbbAkjCj+HYxW/a1j1fJmMtNlWgjfB/c/gBlbvTFB5Sid6XrlRI5a2HhXRE8Y3nUPZTEd1hY1
l1EA1rjdoYrcPBZ1FjybLJI963HxUvrBeCvVJGBIpu+wBSovkpS6GirrB6sCOS5HSR6MihRKQnLP
HG7ce2rgPaW54T2hyz3fGEb3PfBrVEKWfN3Jepyk4p0fuzD/pRoKmFd27sN7qcHI70mNNOM2mml/
xRS1FyXw7CfIos4TDmLVUQtdvAzG2XmSAq1F3FMt2ZyRpBQgmGI+VCkDRpw3FJRjw5atZMPY9xH9
b9Jbd1vdkLVTzMwa55zqVXxyJxATyFmGzyVsiAP2LMnRcFBG2ztt5Z8Mz0A5HP2WZ6Seo2ezbeCG
GgnrByProa6RYiq0eJlIwNhlxi0LN099HhltlAF2eApmIf6i1OcjPPw7tiTR1/uSt3j54a3hgb9b
rFV8zKFvJIZdc8b+9U27sIS6BcIoMQkGAUouAZNagJOSiXRtd/Z0drzHGMGXYnoNV+DVgvNWGXbX
X1V9ZpmlZRa7EB+2gDEyVAdJZ8J66M3si7kQj7qFSVMvPwFvIphHtvCPrAphN9QgWRRAd/dGAr1q
xxmDo3rR3/g7qqfezyjR0cBocmQfpbjvZxiiEo2RnUHyP4nZ5kA4n007VPbWO+ZOWJAk6IzErs0W
otzFtRixl9tlVeaM9gl2BzDMoC+Y/8fWeSxHynRd94qIwCQJTIFyqpL3mhBqGbx3CVf/LfQOnn/w
TxRSt9TqoiDz5Dl7r73TFkvDYjf+LKP4jqBFFHV7UMR/hbbxGJPreFWP05vDZT2nxIHtB0N8JIvw
dmpT1eb8M7V3ZsUpd3+v97+r/ffZ3zvADCvZiZhrpZGSdtZHM+zyWBwHgtqupFU3J8khIW+zztf0
8TAL+Vzwqm1b4dDH1KHzDnMLGB01uQuQftXsMOswMW+mtGpTXDvbm/X3WQm0YdeCBWHfnYyrHrJF
3EoGXVYDiS8v1OX/uTBYlLlu0utBKDpGoGllRL+fhlub2F+iTLSdZV/quVNXfSLn/32wRKquInO7
cuXyURpme4Xlt73yqhbo+N+nletNxu7v07/o1b/P/j7kTtSidvKgYWza+XqLY2msFoMORcf/98Zq
PKc6pSUggM0jur3Mvw9/L/i/L8fSgixjkJsZbR6mddMo/l2O+s9z+vfpsNLwqkpnCf97Z/7u0/++
/PvMM2birTDwsnjXcAL5YG2yv/8+2KNIDqOwz/mmvf+7D/4+pNuXMyOO/Zr2l78/aiKbcIfYpRr5
izWY/hINpDbx/k51/VAYfUf6qFXhAdtcY//71BnN+ZQD+cIkzzXd+BCtIMbg78Pfl1kKhdhItd+O
knI+Eww5+GvvTKSiaJk6O24dWsR0DbVa/LgkWjchnzrU3ZZTjKlHB3o/316hnoxmA+tSj5AbWxM4
h5V+YXS+M8sJ32h+XdZt4sMoY1C6NslFooW5jqMxYN7e+/NS3pQGW0TltXboQVk96+0QsGQ0jNDp
LDbteAI3sB1tV/0e9715XGcShKRLJq3zOnRDtRcMYVCxjxNZLH28TweCKEXla1PJfASZYMiGy6KR
3QrTkMFiLNou0gZiYSZzD/sfPN36bIniVDUN/TsiidJevLdzS2bhUuzBL6U7G6NfPYyXJO50n80R
Z3JS12GPISMZL4Bf0ZNkjHQ1ndFrnNFUwUsVAGVL93O7ZUQPFipcWhQMp4O1MWfyjd0+bEBU9C69
xkn99g4Xxp08olL4+XXyLvGSZ0FKwFZUZTpcUyJKU4N29aQDvrUy6PiEZrbTbxbhyNZRUgVqtd1D
BOtGa4bjYCZcBDh0qZBcaZHgFe9ngS5mfvHcrXVJECT1WP/tsHVva4thwI5x5KnKD5a2YATW0PuP
s3agolgD5o8fFM/Jzl3w7zeazGETIdNxV2pPgTfHBY+GfJMXHlfecszdewUC6cjEU78gpiU9wyWB
Qa94oxtcunjmxxhgsBu7Ollbo4A5hesp0X6HiGyZTl1vd5CZyeG6SNYfm78Mqp6NsuWQrTnRTW2O
X20JHcnkEQ2MeSKsaZmZNyYOiTl6JkIaopc670nAlfjEcHCHBe0ES2AKX3O9COSwIUVgLfvKHF4j
9osQyqtPLjP5oCUjHJffJVsvhQmxTgGqnAWil309ttq+jPvofoG4vrbuv6YgVS/W489l0vaDy0Fw
NqZwKwAnaSVntHJ720u+NTisfq3IJjbU+ua1NCxoQBraj0NEIlwjKz1ZBp08L9PvIS64gbUUYZRM
T4vh7gnCRT6SIMXShM60lROSln/lrTHu11aN4ZIUzV5zXxKtqnw7K6NdV1T0Z6Zqb0utvqwJ/+A8
0BlMDeM2VtkAmnI5jfonJ/8k8BZn2o3dY58T1dqR10U/fye95t0YJvAsAJJci9DjYXpBkWsBO8qS
gBTP0qcaNIIV/qrvEZjqD4sq/cxJjrbQdH8C2SUz8QJIrBWIJMF8FdRHrR5WGekrLsRQ3RiPhhXb
/N3yGnvTZxS3HVCn+jtb31YzB75WJF+Ic8uwN5+JUHye0EsydYGWOp89kKnbbGNQoxvSa1PL6NAy
QwQsI/OX9g0IE/mezfZNrRjaF95FmHxbaczXlk71z5qe7SZSh4emv0TrSIBstRyI55Wky1bJcflH
cjb96qe8Gj+MkUB5fVjuREblP64brremEUg0OoM+wQpdAZkc0QwDNoy5J4KuHgGCZZ8TF8nvGkKB
NUs7NYoiKxFGGwwHrr0eFg4NfyIFzlaz70o7uifbcNgx2skC1TrPUpWhVY0sBBoY2qJ4I+O+CA2P
gXffDanf9+UrelFMjgNnaJWn5CWh3pQdQcJbTizKaLXrteIFmP896DTX718nCYGuTXN89/PJTc3v
Wsu/y9T86luLsMAOMr/OGYoO96Gax2XvlgwLUgMtu1ugI0qW+M2gC6pKYH/zUj/qWXvTbo2qatkG
sT9W7xC9MPMfTpDK9pPw4d51O6XJze7c3E5J5qe1pFuyCXXbWJ1qg02hRCMkgffBemHVlHGQGaeu
TG8dhBh+U9Q3ZV7/lpZzalv52accvJS4S9yiDIVeHBGq0A+KBvJa5ghfvTtfDaSZxaCqwxYF+m60
Mog885SHUiON3tSGxdfsSoWRpX25kI2SaEKInlo7QaiUOTjysKjuiZg3xtClONAFONgrncykeq6U
vhekeu/dRKIfRrOS2txmWv3m6XV2NQVx4m4MsYfJSqCNFy/LOhQh/JmnpFu/aiVfzXq5n2RglrLd
y1hdr6A5cwl5rid/0pDyugZj7dY9nMHaZKIm+lMeRci05WFOtdBNybp/X9Lmw4uLJ9mMFyXRNOrz
SzIUxx4NTq64J7Kh34NkA00zXRLAgQjaAKN1hR3mDSdwrQutjucTqrxdHNu+nmniLjDj4EMDDSC7
IrY/lkF9kE1d+k6hPfcuIJshNd/7Mv+awelZrXrHX/aDbBddrHVYp/Q0ivJpwUYeFHr90IzAy1M4
TFOOoprr8SgIETvUjAHQ/Fn0jvr1wAASmFp/isfxnkwjMgRd+uPz4Pz0ogdNwQ5LxjZR75UA+QtA
2dfETOSlXoFtKi7mUN3noHl8Y53tnfC8g5Le6b3sAfRBGzrVyh7g7eeI5RfkEQk5mqSxnwnFqG/w
DSPhc8CmmzyRTURnh67wYH/p5XDJ9flt5D/F0e81RYQB6bN48TrtzMr3iLis8cfR4dLHNwbJ9LVt
HoZsPqo62vfHfq72PZeFRYKTP7ND5TPbS6n/Z1DATnOT0qU6DuSp6T3BYsq75DWsz9HKmadU+znl
6Z3d6KcoiFDO0adVqnuV43AxveFudIuAPIf7Zog/7JJzIxYyohvm4t3BUw+ftJ4CRjOkPAiiP1fu
DSYCYOMryobOmKlo1M61dATG40Fwzjh5nJbr8obo0Y46INXpVfG4jK9yoKm8Fq7y4fDcFpnq/daB
CKgLBEdWGT/VsvhpBtX55VDMYeuNJEZiOuwS/TTp3oNjUUQuCeTsKp7OVk+V3YzRxzjw3K2juZfA
vJ1+urbo3kFOyUMQd1IrmIa2EShRtFMgd19hECJ0immhWfQOu8niIjtcRiJPVhZ0owxH0/Ew/Luu
P2VzGZaPfQkjaso1fW9aMBv6Ln0gAH6IYNuzwVFJ3nvfuhrHiwGIjNOYfXSj4UkTC9hNb/wQA6Tx
RUvRvYwfXe/t4wmkaJ+SUezlXljQIugYcBQI48NK13h4KMJakQVtTEdg1PWSjnV+LNfJPREy+eqk
wHvYwcep+TYGauNl5vGs4etk6UVoNQlzMwzFjNulTR8Mlp8QdxKqJvJ71rS9xGn9S8ho4gtjZKxk
PUe9S1BJ9c+AXOeuHS4Jg0SwKHXJ56yux7g9S4rFeKhuJo+hIfkioK6uMRC9UGu/uAwtAjvesiJM
9bXYnAByd1I3rsdWI5cwd8ctYZDdXBIglfVwVNvX3Gx5OuZAdqt+a0+lohgvcl+41GCyQLcRp78T
/ezhbNcbIctW8N7U/GzX884wbUVhRWhG6sB2kOOdNqvmlGr5nRVTkJNJW5l2dbDoTLXtOlPQJtMB
k7bVyzKkIfQsk/gffCvYqTmavcRoeQK4abRfmn6faZ2fImkpkoEHppU3ZQPGDMS98AvUtsfVjruw
h4jpzVmQrfZ1N3poU8cfW7siavmSEsxa0YQG+Ij2Lm92WBnvskmIvV6170AWrsZqhfhcb4jmj1YQ
XK08A7N+nTw3wqESQgPl0iTwWz2m7qxTMJNI0Cv3gGjJJhrSmYNMYu6RC64Q+zMbQUBO80JmuzT3
wlqeTF1e2ownMOEK54JQCaaSP7YTTWExQBwud4khD6lUH6u6QjnzXKBI9ckFaXelwXUiSvwGJway
kZXzusSrNCxbC95+1SDzbdq2AHrIm9mfNWMvCTzyPVt7FLXYTwBut0Wq9uGgYoVaEFAfNroc6R85
C5tmnUEHvk+J9c+U2rKPzAlYMhZSiIYcT4sCvB0Voe1x99ca3gEKE2ITE/wr1PhDmsBIyq1fSw6V
LxXtfhtqEusmLUQbvKCp36eubkKVc8KclFNf87hLHNv8pOHyQ4Zyc55yptYmg/uFqKLcNB4A9pUh
UhkMlJYR6nltbz+wS+kRh6bJYN/ND8KGS2sodXSMyaUOyJoA1FwPPWV4y4wWHPVw1lLutroTfl80
z1lRYUeSV4Axw7Wmfp4Hj1RfmhS+LJLDTOI41M71RiJhb8T3YnhfTblmIUK2htt0vHeq+d3p5y9I
osd1WQJpGh+1Sm1oyTOIXswXkeps+CRzFTAH0RvxOOXO/di72DKy8npyRwYorc4g23vP7IFE+9J6
ioaHUeigumGIkiBG4o7uRKFKquvCFhdhSB7deCDPiTlGpzu3DaeOqa7mMEn1OwJHns2JVExvrPZx
sjwkkT2hBXTuGagQ4JJFMJvXN9d7cKWGSMTcWHzloIJhyCiwKTDB18VhZtbhAsWWmHN/6kbmDclB
a6rrqngGm+cx7IyO3JNB1yTWTmUGJ7HJ4FvNtNppprQC96qPAXbS9EO7QDa4N6I5qZzd3OpvWlEw
ahnNQ6Rg7qmIMLwCDFrrjEE8DV9Ji/Tetk7UF31VUGDMjm9TVXL6mm/1/EQlbUMdLkipSr3AqCfJ
ryEPofC0IEKbW7WWEbhu9r04yVvCnHJZxjLQJtiAmWcuJ2d5rUVa7CLzUAgG0hU+VDyo8U6SA1OL
8S2v4q1Dzck/ynjXPNkFbAjMSjqDTit5ddohw0S6yPxZKXZvm1TvfTNTckxyYEzYMx5OCIn2HA+G
8ncTkZGRJ83NECd7iyCRvbeoc5Ob/woNw26SQX7feEPt8IUi6ZmBeL3X0Kj4LU/8ztMczoYej9I8
9zfVsvegAC8L7Xb0XG0Y5TF0thpbYIsToWCqlfV4/4qIXkiaftdRcdEdDah51pAsFNmMntL+mADY
8BEtOX5Xm9+zBXaqeDakUx3i2vhwDO3orIr+iYeax2q+6xrUKbzub3gzn1TU8741k5sV5DBk3zwP
SIOFQrDedgkRrneK3ZRHEcNh9YkkBun39Eu+5U3kEbGcskYZBJ2Xk/PiGeq8dMBI4MyRJW91t1Mn
PiveLJAo92numQdti1xOmuVS2DrU97Qa92nKOU2n9m+a+YVnFBkIovptOZS7Ll4O/BxT8DEGfJuc
iBV6zg1TC0nAOrxgJI38uY1QD3176rV1rVd6209OOVJtIky1VxRnRFdjnTgXuccxlSUqsih4eTYR
2dLrbTvkNe+6ND9aAy1ViWaChu1DzcXzq9m614qclqGw3ibmlkY8TyHpPxtPxYsviS2e4lUejYIC
XcSE8rE6UQFA2uMM65qwW9vRQmgMSZiG1Z2XxPfNDwtvxORnxlmpkum+EJzUZIefJpuJRRH6W9IR
1LCYNXlQ8xMA0mKPhusuc6YLYwWMflpxI4p4CDkEXuaN3LpYj8ZnXLmfzti/9Do3Zm6/kH3xaMoq
FDE5hUQAQwEnSHa56jueFmxdKMSPvaW/jYP9T3Mm+soo3XqL7LpMpxmTsf87a2rhmJhO7XiTt3DA
WQCQwW3wZuM92g6vrhZfVkiFILUvuSlXGnf9V9OqfetoLwWRxL6TWHMw1xTeuo2aIeJuoYoZq9rD
Ki503xbFVR0N/yqBhSIZV6CUyJ+68dEpxNkqZR+Y2khNVSG/1wFUq0zTQrHl846escMKThR9Vn8l
ZXIEXHHVpclez+3vxO3oU3VMAUlSJUoxPZhLc5NLAkW7tjg1E5Gpo97sUIV/5kaPXNQkodtOd1nO
4Dkb0L9FFeBge8d/4Twmt05aIRKeL5VmwHeSRuJjeoxm6yEasFBE0e9aaU8mUUJK1smTln/ATKzs
1Qy0WEeNNZs3C+yx0BqML2ccTqaXPtYzk3UcgN9DtF3spPhYjOk1r/BVk7YA/armNafzzZLP13WG
PC+KPykhPglWTXynnvZ2s3yMzebL09nItdJDEbjWsMdN1HbU5lunUh2Y4iWhtdCa1VOTAHiTbkLy
4dkkUuR9dSkL4pRq+6F0Z8EEXXtf4/mityCkveraZAkXjnsY6toNyhnIXTXs0jl9S4tOBL+t3XzZ
VvEvahq0lmZ9X0JrHJySxUV2pC3ZA3i881rNu4j8eFROeLWN5ozP6NHUJsTpOH9xWRyXGSxhQjZo
luk09cZq4m5Ec74KK9SZqcLgivGCVHOgB8OqMpIS03y/xs4ZB+WnFO1Hsa63E5wvxmrymifkVebQ
2rQx9KoaDaYbH8wuC5x5RHCskRaVrTeYl66g1q6H1rZ2NngD9h+DPMoicE2ermnVpyOZDlD0kYEr
dwSyzotqLO9BOTRvHPopvkVFx11cXVvFyyjykADVuy4Z3pKJEfh2C64LEVMIS/R9LLlR8E/crEV0
oCP+FjnDDZ3b2whQPqcEfGhFa+xIIToXonwcEvO9VFJw0Esoa/FTuR6UJzGwMVbp459UINZpytA8
bo6cxh4J1X5rhuyL0+8TLtDhBDafTOU1CvG9vNnNpWuid8oD9BgJJUpEo/6iMcjpDMJWxsXOd25p
HlEZ0dbLFouSoY3Jh9QutdNoN5w1X1VJb3cdnT152VVY23LmTK+8fbmCollFkR+r7rqqNQYE/AM7
N9e+OPf6C14IkUbuUa0avskSZCUhWbFy46spnTk0Qk5gtq8FTWYTW7zYh6UvjSutYILV4kRgEuFw
UHMTHXuGcVgWrz1hj0v9biGDSRlW+aAtPdB4J+8Pf1/+78/A0Gc8l30RhQ4WDkD8jcleNRA27pQ1
WQZb+pN6c0UKjJsAC+moJWi95VQ7WNIxOX1I+siGQH/qWKN25PXsV4NCdRQRnT4g9hxtXtai6w8T
FXo3s4dNHQ3IdHgkX/hzHIrN2cXus2rzSRiTd3CiX4fMzmApjE90ZOw1PXK3TBcxOcfFuzYCVK0t
Sns5Gz9R5fLQUGGXUfTPysQY0CJyQ7ABwrOAOOsVr0myLLntVTpvJVuinRMHDV/kfCWe+TX1yLcX
FuFojE6QmAGk07EaPPPVy4F+2/tm0a7b7del2wTGksinZsj3nvsCPw/sYUWyxFoF05JdVl0+lM1t
k4nJz4r5sYqZPheue+oaQUvTuc1N3OSO+90pG4h/3N4tdnGfbaMDTytpG6ruLPR4DvrO4onwSIHH
VXZFPkYVtnGrmOEPIcX1zGNtnapJEKhjc3o7WnEigE2g7NAlRALDaWCi5pYDoTHudpnd3HbZ9KbK
LWhRZdMhssrfOV376wHSRkx7W7c5KVuxxwa7WMwHLGvnJfpbujjXXvxr9hYz2Y48NJcDZ5O6Fctj
9ljOL5GVQhdyOaMlsRX7WKx9NcByULUKXC/j7OzYs89M9ZCluvGae6zWsGM53dJiUSX5UEZ6FiPd
FzmJG87YT1IvX/vSLXZaJ1KEFvEbjBEs7K55wM2kBwg9WAY30aFD7BCdQ5pUY7C1PXeTiVnd5D02
t2nrqhEMaef5gSBTfso8W8zC9rorP1ec/OVMqzKaGK6AUMHizsR9HhRnOI3cJbcq3CCX0sDRND0Z
BUBA3QL5MtUNsioaVnbznWct7JdqPhYLfWajsL2TKU5DOYz+EjOY6leaT46Tf440+dhtas2vED30
RZ2c4mzaCmjz3cbi4tOtjMGdqO5OL0sGK6b9r95GT9FHS4clMHKN2nW49PQskcl2VzHWwJFi5D6S
3JVVTbNz1PGdTDcT/roAjUqz8yobSvrC2ENuiTVjS8cvXceZeRk3DGSE/NAlUCoo73zV5eN9S2Z6
2BNvtAH5z/Tlr2O7DYqRvo2CqGHMtDWppZpTNrUQP9gRklZEQTum+vUw6/uSmtJfHJzT6UpiudBv
vUZYB6GP7R5C5GltM8eXebVLTAJb1pjNIY5Ff57pt+cuAvcsVy+yQmSqD89MzXj/qxXpDx3ZKO2z
q6Kmrc65FU5tJolemfawGKBItFV6GRzmp21H076xlIYpFh5k4ZW7dbDYjOf+DUTPrrK3+rPGGrdO
JztnJS3S+qWSq3V0zBo1s6iXK9FvM6EOOQ3xG2j4nLyjri3IE8e7sRMJt4U2CwzYPY1AHjSOWdJ+
KYuuDByjigKQKxVaTlyvTRYQ2VYBgNoeydtC8SvyhUfYKjo7EEJseQrtxRbZ6yC5tpExyGOW5giY
eOyx+bx0klfc2vxK/ER0YmLJssZIRrrTq+3ZCIvz8gLqU53j+l6nhcIdVfkR78ouyXtw333HcY/f
bTTLnqCRiakzVZbDrGcn3aYOsng6Cg7uxAuXRKyOojowLLZgxOy96bpOCG/BK/upSzE8lGa0m7Ll
1ZpxXU7O9NxHeD2RAXWHiiAalujhVqUr36T9ClKCaOvE/xpLjqHjjlcxM1Qah54JGCVeaJvL5ht+
M5doye4mfdQIn3ZxwEwusRsVxoS2QU9r0qEzCRsZSdisuJPtCNwaDxKu/+ZaLAPLjarME6CSeqWs
sLnnRGN8q9j+1M3fSa3foGcItwAUbrd3ay91yDgRfejoE/gWPy1MudcLHBSMDKHX9JhM6Hto83Qz
M2OWpPhkybTrE+3d64S7G42OwLU0r6+Z/Dm7YnVJxxPMdBh7BbpBpcM5B3MvFSvn2gNgHxHAxMhD
tu1TZkXLlYx0ZhscfUSFJMeJa7XXYMGjQ34ctELfd+4djAsKQ315mZRxXHudrrDqnoeJiYich8CM
qz5Qs2dQKBYr//v4OumH90IyIrN+zSm9czntcwhmV5wmhdSI48CoGEAnnkbNfuzwjd/G5JFoNWHW
hDuFc699d/X0bsXkehXRdT6irRTj9+zS0G8yWvCoK58GmgLkvXlwfytJ88N6niKOhxn0hh0GnU9t
c68lznJWDtEFZZbda6KBnm8v3HJrU/s1UpTQmDjzORsTv2+qH92a/w2TTsUi56PB2nPYoNtzXfxD
u0F6JfRT5r2cjE2ne+AVZdxVSUb7xS4OCQhcxIZhrmXHUifQuYusu7b3squ659622jDmIvtL4yEP
ZAhutJ69S4Z5vmncnYV6NnSVIG1j/FyW+pYdNqMKtnzRYJ/r6godSLNfss2wO3DuILQNgfzafGeY
rDgqZI+m7kVB0tJ6TWo75TMaJ0Vcj7eVxJmrfdFrnz+0+Mj0VQftJG6mnjHbqqovx9nYLIKjUdcj
rJt4Vwx9PcTe2t+m2web7luJkvbq749k0RJlROehySWvtt8iaCJ1LJE/osk1WUsJVnc1D4p/Ny1h
07IOR43xlI1pxn2gv/bgJULDNJ0gto6ulHYoVu81ThOBy42edt2X866LOMiUMz6IzO9U3Z5a1T9N
TrMezMxKd1NX3CgkY8yOmc5ZXdEeeHgINnbHHI6wYlbLJI4SjjUWlz6YCrrDO6vrx5upcR+Kigta
rYVfNkZ3M3hDQ4b33mXTdxuYLAPjDahjt1200OSnzTgk6t88GlDEHcby2Wi8WBJlYdN/NC0kFxxd
lELlzuuc25KJWNisog8oWncR1sGJESvMnC1oY/7JuiWM5DQQX3iVd6PaA/5GuRjdeGt8HUvOKhzL
9rnZJMGs5fRjjPnKIH+AIkf9sOQCj3LcO8Pq7tsxpw0j45diYf4p2JdiCNKdtvwq8oOzyDJuUtua
wqEq471WkIzQGu6vY6PRLIcXNUyRL8AgB86iB06/sD5b67dQ7rGziMnOfh3JDbqWxVer8NbqzkDt
pxFiVC3xebaa5y5HTDFwc5n9Ez6Os9eh8ImjZBelHRSP0fQdT3xtjhMKcegkvWdaQWQ6FxPldcH8
ZTfF8uQh+bnCqPhsbDHjcaMxba+5AI747gvMlviIapqvexW5QG2y4smTzKlNh4wiWCBXsl5uJ4vp
gS2i9+QOBQqrShDN6240ke5P3fUy5sUBWcZpmaJb4kKwvtCLyA2FVMfh34yX5bWs7J9uVddCjLdU
qWCLk3Me8R3cnRqCoH6fi5G7e6vOmKPcyiwRlLN9SefEOrb2cDIUOeiletSW1bge0QKZ6ID3dXos
O0rcwbN+zNwa/Ur2r1o9rPS5cjYDrpuJM7NF9NS5yXlglkbP7dMUw3AxCIvNEnfZa8Pghf1aB55I
uFvS+wIyQxCz1tfdAazSCc0kW3mum/j7m49CEicWKYvEae0ntsfPXOT/hi5ZufvNw9zyvoiU8ELy
1vdy7T9iiyZklm12+owJmkXGk1m7cSBAlNFhYGJrc5mnbtojfGKFvcqG7Jn3/8H51zWdF8b0C2jT
0vTvPd3XZo5VdvyjevXQm85PUwyv7tI/MoWIAjPT4OQ7BGd5EKXaiOOAMDb1DnNUjdRgKZBkE3ng
+mO5thz5dabOTmSdAaX9M6LZDdoKndg2zaoG7Pmc1IqQ2J3TpCTwh6vFWg4OT1AV14eShTuS2ps1
pr/AzSo6z6061DqyNuzvSfdTOf0rOVN0o6v6thV7I2LnZE2HruwdSzFBP67+mbmLNl3tRjdFUqeL
hlwGfKfNFj+jLQjsIuPbMX8YaLq7ZPWuFZK0sDJAIyC9TlsdTa+XXCl7NfwsTa6bWiO10iovErda
XrXlYVhsfYdszqa6mIOxkgdjVjG0saYlgqV9MPmHIazx+OfiquNQGuPoJN0xwXjttQMr/GFpsp+k
bjfo1HCyKo3XTSqnkHRxKG85hG0ZaMv8YqyJd6azEaie7HHXTo2dcqqnpOnurJEgCDDV/DfScC7R
urp0y/F729cy5yjUMi4P0kUnuMrKLzD17pF/A/1TDRMrxRBDEe6EcurQDlqzm5vbYdWNc1VO+7nS
4rDNKcqa/lhXBnUrPeG0Snn3VLVzk/U6LVmAoqStdnozXMUuwe2xTuwCiiPD0/qdV2jYlae3QnW7
buopAYb4TjMo+ueq/o4Z6LUZYZRerKWhtpifcmhvhT4cS69YdoNBvVsMuaQfZGEWKiCyRPPdEFv/
GnGOLVZNcgIdxmG/HhqHWtjY3Cfvh4yUT5pfonVfmKAcFDFweFrOFofSJKaMULF5i2HlNpn123Qe
UXsYpyYuyr1Be0CW8k6Z3ibloRxtWoIUF7SuTWe+9ip9QmFJOQqHyh4mjBqVvKlW6zGysgfBmrJ3
nfGQd+vBa4yriJ0cs2gw1gzIiKbcZRndSBI7s7TzzVZZITJKvnJjip0GXUxf0jXHy53WyWGZjL0z
DFQlNBs9Mgv8RisuQnXfUTZ95z2zimz1jfahaMeRhwbLX1S/mYn8TpX9M041vH4ztPSiOQC/Z162
AFZoObXL5B8tWQb2TdXRPNNurXp9SmznJXPUUTetU5tQqmqDeQG/g91DoNEZ2RDt3h39y68htF2r
N2wYoCEmT+ztlh1Wn/91FdjA/J+wBDls+Ymm7r106MQVQ/26Rl7YLas4JIPx7JHD2rbeezJuivg0
uWgzQgqEdqRAlOpil+Se1iYN7tJ91qG4jVF9C/BoQnk1PbYTvZghxgxbO/Ia4xiBdlHzUGJk8L11
uVSjF6arTYoS38LE5GLBSWHM6u5tt3uw7PKz68kq03QH1j6CNH168gTtZcvDVmC7j/NgULDZIUsu
E2gYCchwxXNOQCd2E/BittV9VvoYaqhUW1JDVWreSsMhMxRuYEbPfWyi47blMRd4Xavc9kVS4U3H
6hO19n1r9Td2p9yAWSPHbkLrfK217opR9rsKTc/sonxUw9kcmQbHjFM67QuSA1GP9Fb9uYMgiS7V
dHhrZ+blRWFwLnVOtOBZG1OjYV9bD6MxvpQ6LTCoSJsj/aBh7O69/2PszLbbRrJ0/Sq18vqgG1Ng
6NVVF+IskpKo0fYNlmwrMc8znv58CMqmrcqTdW6wEBE7ghRFAoG9/8FiU8JGsYetMpcB0ZMKkZ1Q
/ZHkALtfr/5SOtq6rcxDa9vooRQ4Q8ZcsxG0sHMSmm1z7AuzOWp52B5JQEyU9XplC3ykv6qVYtil
tVncR6YS3/NYPZ/LjryG/4hOEbdNy0ML0gt8bVEJtd68DxOoDN0KW8PyVnYBB6AOIczPl0Wi3o+4
jjvDSkx1cU8eprwHLvZQqIh3yC4De9eb0lW354A5KsHAdM27DZaXhUikw9LvdWUn4wBbD6ehxL5+
XlUe4JZsAwiVlK15Z7KvtupmAcJOIOPyoy8JnYWGqM+tjEC7awTtEpHQFnF/aw7d+4Fnu5NjZv31
h36TvQFSOj0FrR/xWmmhYmEeqJPqN5fuBGu1Gx+EkVxU9if5iPVUIO54FlkXeundRXh6PpYewKm8
6Jtr2bTcPJ494KZVOETto1v5yV4vySVmft9y52icEx4IiwT6TbPI7OHYq1x85dSxcuuFD1hvJ5tR
4kYbiA3m8ryw7/UHvApJms0vWyWozsXaOVS+lOMWL1RdzKN8pT7EsnHyHJ+EBOF9W6ZbHqeVhWyG
ME+Pvas/paXC+1DVW6PU6ge5jsZMUhlVeZALiQxQX5m53lqONpFYjGB6YdUk+UkeRFJW67jip4VU
VhAsWitH66JP64UcBtGcn3jBcFvhwcxVfI5JwykAdUVR67JOXI8DzwPZhiSFvm4aI7wlxR6s835I
7ijBz8iBojghUWcvcz/s7mMkNZc1qgoPY1VaCw/2zSN7r2rh91by3JB943cn+pdgQs/OToT9KRtE
dpUobf7FrIo3TGWhS1bZi9NF6behyKANRsb3bALInjj5n83AjiKlpkKFI190asGFY1LvvIEdzVV1
IFsFJDdFhca0IuAHWBOz3emInvJNQC3kjULE3mim8ntS2ScbhP/XsI8+O1lQvao8E7B7q93POrXb
qzhKxnVY+FijuFp5wkweXc3E5hI0Gy7LPj8uoFROCpufrixPckDzNZuLhFesZFMOVCHJochPFLY7
LHWOK/xhZQExW8pmMy+Q27qz6gYHRb2fr4HXcw58mjqa6Ms8WEyVra4VQ0OFeI6R67vUBDdDKbrz
W5UDWe21m6ympiVD5PqDooLz7wLq/XkJng1G+nbqYuwiKYHe4haUbttSRFiCFsGRn5myapQhekDE
IFxUmmi+pIlyo4ui96kRnybHC/4sU/EKwNt96S3dwQK5gTbb2wlZFbfcK1lu7G29d9Y8vHb8/lOd
urjRfeq97pPIkXIJxAr2AP+gKZ5OmV1YnwdLzxe+30/3rhbma9dKkdtJ6+4adL+zwbXZu8XWtF4a
Zaw+gyiMEEwK7ko1vs8mXb8xihShBcPqKU1QC2zjoLzhi0OhyM/jm5hHp42B1sIxjs1k05aopCQZ
Ba407sdjLIxmY2SgCjKT4n9raulRa0d9g7KNf9Rc3drwQ7EPcQwRIOeCy6/sOgN0simg9m8NEQUn
diNs6TTb+uYn1+hKWN8bnsOv6sYf72VoKCaFrMyP0KGrP4Qa0JzvVTy+N10juPq28QPoqeiA99mm
99A2RW2ZdIbsI+G56cqiD1Y9dqHLolKp+nn9KdVrnJUjb1rp4dSf5AF7WXthICexlk1tjtM6mLi+
UYhNwaUN4+6IXDaqPv5OD8vhPC+ISCo7ulddUwT/PuHmh1AVmX6w/ndN4SJ7A0+Jp0Fnm+OiAsay
hwwML+FkoCq8BLQzrGRfnzveid09GH0UN6kJESf77N5Y9iPyTLLVB156g0TZVrbkQvDT3G2Eex5w
ZtaQB2EKD+NmfkOXPvCcFaVcS9+1P+Oofyx1pO1uZVfhOhmSbtU2r7BQH5KkWap6D7qCBEqzViKT
/x12kMEKNiJ8TGWKyWXp9a3NbQEgwNxJbjJenNt1WSHARx73HCmbCOeTapoPlyXkQC785taipI7m
tIMMTF/fat6obmXiPlMS3gRfzP9Hpy8sdatopPjlRBkoD3IAHirl4HnyNBXAx2PX2vnzA2gZVMZN
R/7n1k9LYC2oBn4ha1hT5BH5nV4gVCEm+Dh5S8HRsLO3TM/dU+hDvHFL8umyP7XdB+Q+1Ad33u6W
JbQYJWiJz/J9XqAKJUbcpr0xK1eyvw14Iurb4oUqjo040YC9akTpMhVYzmpBr+xrm2/TlTxtRpxL
s6FDylwoe9lVRTGjsn0+lb2X8c6FuJakyp8f+mXzQ5/QHW2XlvGqd8ih4ns17gN9fD+oan0KW/7W
yQQvnga2+KRFkA/UIi6+ULT7LszCelXs7LnRtGZnWoa5cbQoWLmpgeoHGvDPZq5RPoPhkekO11Nf
Q5epSsIXHC8xNeaCCSpDWdXGuHdQ2fLGyFiCCuf6lw03Y1mmb2OBqGdb6598UasgSHOHJ/Zeue5f
trrWISuqUrq/UnvD33ppxqN1A7XL0dPXwtU+40+u3COYne8zHZnB0J4AJAztukyL5KVTKaKNSqKt
FShcXyxvwQLpqn3pKr+41soqWasQxHZ566fPzjjuSEZmr1pv5LCePG+fBl1075n+n/LlJt3hP1gO
+a2dp92N51NlGOYJ8/sAQUlNKwIbmFm+uUFO8muEJOlRHoxsaI+l2QKvFQ4SBwpP6SUAyaOhh+Zw
JWPgcs6nwLThwJn79+bPJWR4WhQvaZrk28vSiQEs2FS6ZtWWUAOGYdqh2+LeyFYWQ0CzO2TvZTOq
QLEAT931Tn1jUxBsdjUZENBharjIS6V6GTvqqlFmlp/tibp1OCT1a56kL8A8+m9YNB9b9qNvdWdB
ycp8HOzz6Sp3oAlcKTzIz+lo14ffkg4gZBzfnOn2KTzxBp7yLC6X2yUKc7pWXIVYS29k8zIQJ0qK
DzI4y4509234rHTYiBsIUh8cKyjddV0A8e0Hq94FRnstW/IgQ8QcJ5vlzC4ye598WWOfwkFVdpkD
ryuFpc5TeoeIgg75ahnOwzKmUjx1kSTkRCshiOG2+o1HeuX6PEXXkkWl++L2HMz/6UbDWUJUwj5B
GGKRn69xnt97acU3i9eogRTsh6Lp14sGHPa9H6fZvTc/coRqBVbnZ59Tt80yJgUGdAdJOJgr+l2l
Os6h1KPqAJflhWdi8ahCq0JvzLorahtJ2Qg8uc0X8SAHBar2S3AgxVYtwAk2nVFsMhu8a9IY/lPo
5faq6BBH0KMBHhX0TsxzOqhuQ2o9TgkoGzf3lbc19TXvLevYkhpVIx5T1loBkI0PgzCCZRElEIhA
CjyQzVwNrHVnCEM8TJVH4tTWecKEZMezOaLuhtlEV3LUNqh0jo3tHSjPIzAahslNUVvVjQ1ijRJ6
FX4t7fS6yiLxXBmFDafCRw5kSsOXQiGBMAfYv8+kllqTVHeCr+BFzjMtrliLYqz1O2pLZNztMnns
ExhKCHiGp8jz0I3SmpwSSWJv+tHS9xH3COAwaUtFO8oPXN+azZiq9o3J57Oy49g45Qn2d6Gq2I/D
LFmEHu9VWZrOpm69abxKZw+G1h61I6XOhMQlqltzVwaC/1jMh3NcU5k53hbK+ww50owjDsm96WFB
CLmdGvcKRGJ7bxlt8FBYaFaECL2tZFMeCDBtq71nZz+zgBAeugTIPgI0k3QgGZB+57mtiTNt5++t
LKmOfdCnqzhNmmc9jL7Jf7Vm/BmKPvge8V0lmT5idDHPcZAq2pvznMQmp1BFZv08GXP5oPfezOw8
J3MT7Up30vc5pQUuJU6yPZQqd681o7un5El9q9cpSJRR5q9j7g0VbtgMZXLo4ymbYGOptOE6Gcq0
xaTAhMeHq+5VzV+PyjM+6qOPCMOVUB2O2dxxOTRJiAEwqNfHCSLtqh1wXK/DwTjkmR6vQhEpL5Dk
b3u+hd9F2N2ZdW+8wFvIKIvX/xbqpe2t3LqawXBXuOF76IdVzUnFYz0vY9KIr3qVGU+qVxWPfvdL
I+xetc7SzyOa+8vIxzmFW/SbuvIAoUxlh7N4rQ7cY2H8UxBVzZU8jTUEAcL5ULgRCpPOrYpu176K
5+c1eZqhQavgqfp7r2yjDF9dTwYpa3dUrjPh76GMmJuEUvE1VXnlWvZDfCd5Kju1dHDQRZ6jKfq5
2ZWMai2tFVsZUMteeSoPpSOoldltdFWgnPEeL0dGzf/SulWwH7nO3/n8NLbJQGJOS8vszsu07E6e
sQt9biimXl/6B8/Xto5B4V5O/T0WtOl7bIN27xUaBy2yw45/lAeB0Cffo9Rc2WWKdknTwv2Wp5eY
eqTc8TFGDluqQKylw1gmBGboPyqIv++zrFHJT8+nugLiS57JQ+1z7wKeFFxd+jrdGcvjpR1bU7yO
UnTM5GQojig1fViHdCVFmrq2uFw51Mh+WYONk73IxkEFX1PA1UKur3PDO4QMsjtfDbK7MhltOOKe
sXRHPf11YNt0CPhdegvDsJdUWo2lnCgPSCtnd/W2miNlR92DD7PYcmzgaaQ4zbxMlBuPmCGUV7IJ
lSnf1AZKS7Kpm1BGFbiaB9kMrXDJDVJ/LFxdv4tT81F29yHarY2Jh1w0ZuNLrVHq5RHC3slRRai3
OGlOJ4yyzYc6m85Lu4nZ7vuoLdBTYhIVj3GFrhDPo/Pb0hLUBHOhGDc9vkovuoczyb+/W3N+t2zD
gjWVpOHl8m7lkjHvNq0RaC5h6W+kEnrK7WLd5D646Fks/ayOPuupX5plHcBEc4HQyFE5MA0JV3bZ
TtTsc6Il2Va2xrTcc6mE4pNoKzdirwstMAzv0HYbljX57NVQ2yNQpiBdeAgV3ORshbBO8gTlhwr5
LBl9nmgbAdjp0pl9PcI7odThHXgzn0eL/hTjf3FAQH7fKoPzouq8/OgOsI5c967s4qd67s5ceDZV
TDm9aWPnZWiMaEEiPjzI0caK8MQY42dfAz3dmFjsDL3ivFSQxtZZFQ1rOUvXe9KRbRTduEriPk/R
Qb6ko3TqAaVXKoDzS3lRRCG3ypSNbI7x+HnCdxYNq7p4rH1vJV/SbaiNaRPO122X6M8mrLE4dI5N
YlDxUFXIxRhZHXHKto99Kai9RJrlgQs1H8YxMZEb+jk8KGAYLlOmaRq5iCKxL7i1GgLWSdA9+EHb
PWC0ROowARzq+TSRvMFAph9fLxFa6z31kZEcZTyuJ/XG6CBaymY1LzhXcee15Jy+SsUCTRF34xpi
07RjdTtk8O3ZAAC1rxR+rSoima1h+d+DUxt0+Xc8nFJwgv7sNWDCtp0aB6J/Hz0Jq/7qGkr2PfZ0
4C9W+cnQRblqUCY8kI20jsWklXggufaXSCmXMrR0qPPpvercTwnecKMacicRVX8/FW53JV/PgqSY
dFb56hVAFZVyYDOmxGJfQ6pc5aHlvAAcOMrQJtI/d44KB1G3NN4UGR35N+ReXy5snqN+/A0xz1Dn
vyFP2VPJv6GCNfQUZuVX4Lvd2itjc52o8bQFHJAudYQ9nmSzq+JsqQeq/mQ29fvo5PrGL0011sst
RaN0DduZOomhRM8qPulLdVSrG8Dw/a7U4nqLbDI6okqYLG108z6NY/cCBNr806n3daJMb03JZQIR
8ghCObMn16tuavKZeYvgQm9kr31aBhv0slLk75K+OJCZwzJqPvvQbBF5xmbYbBY8BxBdlv0IOwIb
aK9JrZtEM1beoIQHykbOIiHvupL9paODBYLonB0Mka/ypscywm+ZYbghxi/u4JwX6HeGbeKqpc32
eratHkwTLOjcKiMfFE9ejefBrgq0VVV1KBLMAzJEjrqdnu8pIKCiH1GgQglsnVS+OJrkN4/WfJDN
IOmt/YS5pGzJfhmhpdSPKPrYKFNnEdT3eW6f43EUiHQd4HqzkALsMF2fCoT+H0IfwGStgbOQQuj2
VD9ZrhM/UE4Pzv1FYi9aTa+/oLYB27z7jto49zDgLye/ML2tj3TQxgmS7CHuKXI0itp9N3p1gQB0
+6qi2rRExlG7QToVB7Q2CddDqdTPlao9+VXcI6mDUdaYuS8iwkMl0uz40BZljweIMaLaP/p3PGNA
xs78E7Ty/mDojXUS88HUwS2K/DRGoTUrirVHIJh7+H9gLSszrnb6xLbiEt/WdbhWGx7ZZJ+c1gWg
8MewTTeyKQfUsHpDtl5cX8JskFR2nae3kDetU1J69a3TKYtLAMoybM2i8dtlmdqwy00zQeqTk+RA
24bDMk4CD8oFC8k+rckGzK7DdCebXe5Z6ywsQEOoeOO4vnhxeKTb9y4gANmsxzFYoVSjbmXTjvOn
hnLXHWQq7wGG+rpuWvFSjD4ENvdeGyLzSOkCCX5f/RMYlrqJqoJHGtknD2GY1Qc4V9CWiVWn3Fh7
U1Xsmi77DBYY6rnr6UtNdaL7fszEnal/bcktQJzBrmKHjBmU13kwr/L4XjVDdalSHVrJvvOAV3w2
Rl3byxZSiuLOzb7KcNkTCk3dsWn9dZ0oyVVQEY2yquyug0ja1J99OFTnNXi4AK5dTp8hvziLyqUy
HVH61+YLUIje68Ol5XnnlrxWDahcXMa631o/58mL3M9IOY+aU/+g99Sq5wvgz8jz681js+DOX8xz
Bx/0o9/v/H6MjzAb46OIvfs2Hbstcizx8dIvz8595UDBrAfZQPilO6u40l/Jdj113xIfYD7+DEcv
FflRnslDXY5oquhJi4HYjwFPU8Phl7Zph9tc9dPrqMeH8rzMZYWuVsaVFs3affP68iDXYlPQXf3x
j//+1/9+G/7Hf8vv8mT08+wfsBXvcvS06n/+YWl//KM4d+++//MPG3Sja7mmoxuqColUaBbj317v
w8wnWvs/mdoEXjQU7jc10oX1ZfAG+Arzo1e3rMpGfRLgup9GCGicy4c18mLucKtbMUxxoBefvXnL
HMzb6HTeUEMze3RJ/V3Hcq+d6V3HDQZ4rQyRByctnUVWgfctr5Swd9moYBKQrP0oNm+qSRjnQzpp
NyaX1mtqw3zWqCWZN6Dyi42i+e3VJU4OUHPDQDMPkUwuQpKiItuWmdMfRZYOR3lm/DybI1BOydjG
gTsNeDQ5erq2a8I2PxUhUFrPHH9puZm6E4E7rv/+kxfux0/eNg3LMh1XGI6tG47z+ycfihEcnx/a
3ytsXI+WnuY3fasmN7hbzOewt2vqG3NPuRIjzmTANgakQ+bDe3dUucgGlrV3VChuLlNTFQjeDPXJ
De0KCQX6Bs8SwEnVLoDV96NdtNW3Mqla3GeC5xK4/m1INfxZ1Z+TuGmfDEhT9zFYbtnrtE101Dwo
hrKZaBRVBkNBPH+eI+AerPykriDvt+IZrEWymOws2cvRLI9/WX8ofllfMdRd31YQLT0N11PPaxDr
qLsj2ee//6Bd498+aEtT+Z7bpqNB+TLN3z/o1skcNqx+9kZGpEcvhs9PfsJ+6vKhCqQsIPahlic/
48twnyOLWmfZ9TkuqFuYwuiIXgfmVB1I68CHjfnCpdbYYpo5d3bOjB+Wp55nzqe2/h5VCOutK9l3
lX7h7tCsMlad00yvTXM11uTDJwxi1mqqt7s2NZ1H4Wl3cjzlKYeMuV7A5PSsmwp540XdOdOrV8eP
AznmR64BHxZMgB/cq64B0HAxJOiWTmK462w7OLR9cZQtRALHu/f+7g6fZxT4uiLzrjoD5UdgLsbS
My8hTG3M7DxVV8xqObE/2eYRKI8A6RAk7MPhXvXKx3HQNAzeOnJJTjP/Lb7yybZXYyvUzyrq/1vA
Qta5aY3hTQaH9cFwMAkKc5FimMrsv1p1nl4ZaCHIr8Z//3b5q+Xl8FtejFXoB82H5r82b/nNa/pW
/+8862fUv35vMul90eVr8/pbY5U1YTOe2rdqvH+r26T5cfWdI/9/B//xJld5HIu3f/7xLW+pZrIa
8irZH+9D89Xa4BLy8+I+L/8+Nr//f/6xf81ev79+jH97rZt//qEI/b8s3RU2V3nbQBVaY6n+TQ5p
JveEDIWy4J9/OMZ/aehtOEjR8o9AnIffUg2ZhiFT+y/LtgxDFVy04JaLP378oe+3mfMH+9e3HdP+
7TfJ/Ua1Vfbililsi/ekfvhN5qU1+WOcOicnwib1uUPD7lr+KOXvr1KQ0bEKNz9fCmXf+VfYm0i7
y5HzD3XycxgSjn7EIAmQddKNX5QSqSEA0dPtgCXA7V8NFLB+tlFVwbGDMbL3XRTL5UE2sXzkziTm
kQ/Duh+KNbpyny79UBH9VQmof3dxbCr6lOKNO6ibs2OTq1X/6ebx+zVNfn6G4L/o2sDIherqv1/T
gFJQEjYn82T57km66FRukO6tqgVnKDL8+GZ7HXloNa5yYexRj4nhDmiOqT33dvsKP1l585ziClE8
85s7dUiqmkXwoNQoSSD6iCaJCIejnSIi55iKiUGhQzpRlR4aYPIROvLbcm8aBv+SZj6VbTkuD1xw
GizjDEhEv8dNpu4vDXj7i8DIh2jlW+W950fZ3gmKCA0ykJ5CT6LnrA3fwsb03pTiKSCh/r0BLE6p
LR4fqHdMaweC1uqXn8xf7Ifs3/dDfLDzl97kIoR0C5uijzcLSwT+ZKI1dXJK5amBzLhv9abb1/NB
niUh9GpcscVKjg623u0vcX/Vd5nr8li099CNsvPvFKr0p8GpPCoh761ubilx+r3sC+M8NrcA0Y/Y
pFIWIgdgPugtBnKj0xnraq4osT1pD2jsfZviIq0W02hv81YzQHxi29BoqbrCB2ZwUPcs7VU9v3nD
mDG8deGP+8vh3BnCSVtAd1dWkYds7+Ap8THobXGa0BDJ1F475RDgr1rDKQ5j51irBq+Tp06HMdug
tPAWfGlBJr3NnMerqBzHR9WswnUdYThPwchZ/P0/y/p9CzX/s2xb2BqsWk24muV8uIqI0A0jpe6K
EzxBi5udmqnqQ91pX4JoSr+hw/0ZjqX2KPg7Nn3WRVstDfrHvwuAsRzdjLBLeQBI+PyMsF0HM+Yi
mg/mjJWgQBdT7XQaLMN+9JWOre5ANt+lFmBr5OzzfTnvJPE7tq7SfMj3DSru5+ZltJhHDRSdKA00
d4pyGEwluockFN07AGd2aYBUimzKAc+crOV8fUdyiBDZp/T5V6Mpy73s8prKv3OAmQRBBpw3E2Lf
D6G1l2eeOtHZ/mxfhqu6uQ+yoN9YQdPs//5/pOkfL1Ua+XBN49GCRwxbV60P+9ypAgHWg5d9sK0n
G0RptPT0GOP1qPDxM3AgMM6Hgf9ffW7/cgqrLjp0mZPvR/fOlA3kTob1X87ja/0w5rG6aZQ2Oq/6
l3Hn9c2o1BZsVACfza8vF+fKb0WoYcxvRVdA6VzFjSg2JMWf62acDR2QypdWdEqrVodGjLisjdVJ
GtO5P7oCEbHbls3aAZFaFzjUzWGyq2OSXEJ2/b6ODHWA0MilBY9IBwWeHpUUw1FQSDHHUwli5FoE
3VfZgsIynqIwC3blqKCpUUVVuBig027ckHzFeQZfv11V9+gLoR0PK0wT9s5Q0gckt1PwaPa0bSOn
3w+10UNoQeRzmTY4DaRj4N3w8xp3qhUlSwsoz21gVOptaUSArQPfP/ddBhDHThfcWztIsQQjkjOg
4jdiIeX38QG+9K+HS1/eJK9+l81Qu78Nm0drf6CW3OqIDFoVv83LokFlpv/pu2t8vBtouqsLYfGl
NYVp/ts2JS51E63MsngoKHyWX0sVsYKxNg9jrpsHeZYoyq9NOTA27WtLDntzbs2xYYT0JCKmP+bm
ipPuk1L80vVhuYgCV3dFajBdqb3l4AHCMqrf1Rvsfcw9CSjvCG3kU1Mr4rFVdPdehOgNiFE8kkAQ
j1MKNzmsZy4yXUhyIX+qlcNBNtknYQSu8K+XTdxCm7XJwxglhcoCMDGYO79004VcqRNGuG48dVDS
la3DfI0Bb16H80GeyYPSulB0kk5cVyP8zyt5ehmRZ7JPBl7myWXMPEVQ6rLEZd6HZZTQLlcBl/3z
+pe1MNZgBTlPa+xhQ52sPsrSQoKwloK+w+ncGp0ZOIsGpGw2fZzeGGVxK1vn2sZ8o1WSYNhjaTyX
OkYNBB2aAudqRVE+dAAzd2RptaPWGa91mvvbYUTDEfROl6Bi+KJneQ+1ggB5KPxMJ/vHIdD6HJEE
5ZPsH8E3IO0ljyZsHohBTri8zJNncp48g8r0H+6fbGo+bMO5JhvzbRRFDiFM/eNuJ4pbuHGWUT+M
YkIPIFLQw0QXh4fwZNoDHF3OBenjpV+eyYM66OlV4SCeeOm7xKE62UKboRp2GZULX5p2oM78ymr/
oV++4lRhvmSZBZed+T1dFpZnnt5O+7pHPPvnG5ZnlzdbaCJF8Wj8m3c3KJBmLgtc5sq++d0hcFvt
ZetykG+2C6diqSA4en4Dcurlr7AxUd9Pg7aUXWTblySWdn4SuK+7KNHsV9sqhhUem+V1gv/yQ5d3
X0G1O2gkoTmSWYp9Z3hmeID1AF1/qrulZSOnbNt+A182Sc0l93UXadU8D9m2h+5WmYZdL++LkM3D
wzmSHUpIKj9Ylb5v7ywS08mL7FPCeqYkO/XKBmsdfhtDVM3s1OuuYCZXyknRvGqljoWFxLAot7Vf
fR0UVFrrfEpxOOUgmyMuitSPcAv52SX7EddJbxovtq/rWmxll2ValnolT93EzQ4YHy1k68OSNVLQ
R6Tk5Nhl2UuUDwEgKuNjMdigdKqqhyVojke3bMejx4/pGBawarSuTNZlTgp9I0cGv4GjKKYNygI8
P9RhSt041sdbh5zGToYkTTgdHbsA9oRt/Erp9WBvuzhEvUebxSYH03iM0JAazyKC/2GbxI7o99+i
zXOXYdNtCgPcPU/pvz/SpaQvisx0/BdF6bDMmZUHw/Ccc9WrXxo/RmSWlkZsaMGTOuNoqvE9DGLt
qrYDeI4t4k5NKpa1HqY5gLxZZcWMow2QzAAwmpXJUdkSpRs85Fr+a0Rcd+cIOSjDepiOy9TSw/Ma
8hXy1LhK23XBd3ePZr2zL7wiadcOtK3306D0N6FhpLs0tZHthYhkLzpkxmZesrnt3GmW0NVbDDo9
WIGiG6stVVTaHdZwpVufErev9lT/jKUNnBhtNYDCfTF70YoSwCN+Vi+hDy5T80VyLUeTWtyjpaut
MjRoF1kH28nOuac5+LQCX9Psh6LEKdRtsdWWoyhLe/dKe5RjssdFWfSqyIP+ujcb58EJeT1daO6C
DVJyO0azXBvSNq0PQkippJuIbGv2bCzy4VS2K61HZGweGUOB7Khsn0/7eRVXriJP5aqxg/0IbBp3
2UEm3KrlpF7Vem7elfNhBBSMARIs3s7Fx2o+QMm5KkoTPQxUgg9FmLg73M6DXY68ytHNx3rdGF50
0mItX4oxG55yt8eaHqmEL33VPhZD4L45NpjSht2vXZj+RmuxybWwtbUrrTrVtV8f1Gq4la1qNr/N
bB2Lebr8n1GGW9QHg4kfun5ONPXGOJTT2NxoNgojFPfTAzSA6Dia2sz3BusMwOVo1br1PbaU+6gZ
0pdLaDmHZgn71QDS1iffQOPGTkilsw2KMie+wb76rujS+mj1TnXURWptqqR5la1Lf51n+JoVCt5l
qOTIQVQl+gE5TqbKODPBXStzqw0qHwywe1eWQ9fG6BooOW7DpntjFX14NECWLftJZ2MOn7MOq+ZL
DueQzL0FuxTi+r0bgRZFzaX7agXVJ0wT8sfEsIFi5KiTmQBDX/JC28iAy9od+JqjVZj/Ye2SBPYV
xd1sPeU14Bvg6IvOJPvVUo8+oLTcLtnra18t5PU0M/mKPLG1nKLe3Tup5d7GMaW1VvVIyHrjuKqE
r18jkEYRZz7IM9knDx23hfTqr2KGJG53U9Xfot2vr1Q7Ew9JMAY3ZS9Ofe1bD7KrbvCq69IQbU5V
PKiAkFZNSDFZNvFbCm5mpVj8s8UDXLzpure8G6cOVWo+PKyhFqBf53hc5cs2DLXDYFTawQ676Tyc
poZ+fW7KYS0xWms9T5Qjsu88fF6jz7x6iyCv/1XLmyWyOdoX4VL47RqtwbXLnQ6Q4Vy8orX+c6GB
2gKL8l3xeJgS+dA+RInwNqEaTFvKYO092lJs2eeQ31dTa6U51r46HVAq9YAuiO5z7fJgWXZU2o2g
2CRdvZ1Y6Cu7Eips2NgdVc5u2LgVqLQN4dcIiQSslIfnsKiwE0nFsHEn/WA1LnBZA8mE0VBvyrRR
/EVXIcMQw9LzcrSISINkp2ZK/VszhcKuVe9dkZHVd1Z8lOND2HA9a/ttlIqUYl2piX0BOXsvz+RB
SdkED9jPLUegVb8MyKZw7W96EGKPPCON4jbNllFmIDEzw4skxqgIEtBHsn2c9OgdkySHLkFyoheP
5MhmFNN5jlxSZNm+LpuXUYgrWGfF10jgFVAklnOLDpTY9Zjab5RRNR9CyMazBYP1HbzOORYO16+x
oaXVULzK2yzADSkLhqM8cAEejhESQYjHk9a9nkdlnxwN59FAjnbwFTAvg8wxzw3HNAGi3M9CvXLE
G4rziAira1PtsXCQhkiBXV57CPEhrzKf8uhYIJ44D8mDGis4SZ9DEeu5lkGX4V/Cz5G+4parui2w
Y22H5r5Tk+ZeTTEtsEXSXMtmDOrjLrRUGI8MykOV1NnGKaEnthVmlnz7AFIE/5e181qO3FjC9BMh
At7csg3ZTTbNGI25QUgjCd57PP1+SFBED8/onN2IvalA2gJnutGoqsz/j2y64/hdTV3d/ZbqgKUv
m6APbpJHn/q0vYxalnwzqtts9IsDT9oIcqm8+RzD3Wws3UEmh60wx4BVNmuR8VFvq4+i12J+k9Oi
Gx5auns/tBVNAou/WoJo6biKffHdYXoGOYpu83K0vw8D+K3hDFvsSB3nU8YT9obXvQ9lXpzcvqIW
XgnKkzpRhk4LA/SzqBwYYh42Ua5El5i3Nujbq5dEi78Mm1dlTx+AranvRE93vXFvZ6BFK+a4Vtn7
CmfYdVd8iTp7urVMGvds1YP3N/TPUVbfDlBQ2EbWseX4xa88/x4ki3jkVwc68V7TDooCAWMAG+p3
vTiOngXGiTpS0RqZ8Ym3uOy3pKJahvqW322X/fe2ujjJ8CNvcm6k1cwPIxhMD97Yf6NsyfrAis36
EEAat5tKWmopJtn/siKWKn3KZKWKNlSa+JBVvIRTqeFfVd+KdXWMxN2u2LZIzepHHNJ9CIJfcueq
KueCeaKB+OcsYH+AtvvQYEz5cw+aN+jczUG8OzgpX73nPgM3WQsc2qlDEHiNJ+sxApjskZsATJ1X
lr2IoDAXNFxC1cDPz/Aflnkxiw+9aCB7x/WTxDo0KgFT9XOunLNZiKyWkLLnHU08VyWPfYo1htE7
+Q3AIL2T/lDZSuDsd5qfe/Ynz1muGAfDNYJvPBWPFJhlq4fvWBlgOMUD3Rvth7IvoaMBx+WkGUpD
s2WrvITazsgtyJ34Veju6HKMdmL8VcC0BMQaeJKKehlHkFbssX3IG6d9mGejOVYeZeYiikGGyk9g
/Hrzk6t0idDAuuEFxDF4G/8nixg2cXDpzbgRWaPbS9NYLG75Nj8Ja/XuMPRTeQFb4NmlOu2e00T+
5wHsDg9GERj7jiXfM71wQNTNPFPqee7pRI7jOy+r3S+Wn3wNi7B/1pQs+hS4w9HXPOdLZibq2aZp
B15uvNwK7KLS9bSTWBfmBJ/WyA9UHuovijc/mwA8/6ZZbI9ZPvvXHOa9DmXf/qlp7Bx3C+Sg6AEv
4MdK/PJccfgHXLy5Yfa9zerP0BlBmJz8jxyrV7cANccdK1Y8aHf0m6MXUkUqLpLGMOz+Lq7me6BA
yh7Upu8gxpr3YafZ0NiY7E/C5GQ/zKk+UBgXcjoSZBV7em73RxzxYy7W0Ri7aj+U34t6eI1d061W
iaCj9EkpjZh+nZEy/EgPTuDW70SSYVjaF+SKovdhvfqVLlys4jKzdmF/l2cQ0GLtcCPKgm89sFhR
hWm9TgrnXHW1fRf3zvxgxqn64Grhb7ZO951Im15fjO90dWDTLxoBrLIZerNTH7YwuRKdPYFyBL21
fvi/cC7AjdtRJAMY2jLvu8knuLLuk1o/UqoE+FuXxt9VIHN2FgCjF5pe1A+D5n2uwKf7PlEovk+s
3jlngW4+l/DIqY6TnozU/ENreH/itfRVLK2U3tx66cXV/9GZ1TAsiCNLL645r2G/0iVz0Dy1S2iS
AielsHQHindoDklBa7B8T6a6mlil8deoYXR2IZYB9CdTxuemBO0dpEAQuvk6ySChVKO+horOV0xo
7HgLkaCiai1Ywvp5V7AoXahC29vS6Y0vM5CRPGRN99H1u/K3rvlKvZ7xxVUy4yEyoOBhm9z4sgWJ
qOugm/wURBzMmto5CWYOdosGJhdXy8Po1Ffmn2NJV0WgdZzzrpZxqu7lSobOArMXCuMRDL+fDJvz
GqxQWXof9gxrsOnBeZLF/c6goWZXmol1VwyN9SnXNBr421w9hLFlfTIifzoBiwP40CKWUWhcnMD9
Jr5ao2sf6hQA/iVydeBs1s+i4WVNNqiA4Jn8c4j4/2MqSBwCt9VYcubKOlSU9r6KffhYJJ4JCtCb
6s3NUKCV6KH13W+hciXOVsL7ZuYG95uRQnmgL0WOShoblsSbdQv9kdE/Cgdz1h1siIHopocb9jGY
C++BLj6e1BTVdZlPGZ1czrM7AnAfdAfxW0OSxPU4bgp2otvq66Qsz6bndpdkTXd4ZwA8+moO8ZWC
vHfziCFo2++B3saUbTt0ZZTW+LB+WPW/fTWhdxXkpCcH5qD1Q8sJORv54KQtJajGF35MfhUUVPFw
KoLhL5jLQatrgv6TNpnmxTHHL1Ft9Z9Gp+k/OQaH1nW8CvXQ/AH/anoREy/vBT01YB+LSGkzlYFL
rtXad2sukSQhudLYjD/JXFnS/8G5PV3pOt0Q9JNZZ43bVkGSOLtOYg97a582uvKpc0weFOHQnEp6
QD4PXRgcNGVObzMjTD73QGDSRDoB+Rlq8WeHNd5dP9DUIaLqdv09HeTTjYgKhJOPdI9/kVDqUfoX
dhWPIrlBHHwej+InE9n0Bo60wVxqOzrPzhA8mx28Ta2qvYRuob3EjmI/gHTzqC4q0fswdp11BzJO
0YkbDwPI/Uy32IkugV7pAk77uZgKdw+OAG2yyxuSurwXTbp+X5aZdxFVB8PWgxbEv4lNBglyI3pr
ReQz3nzg/O4+SlwXyMLBo7e9ozKU+lLAq/tcY01vBxEokJypi8idhNeiu5TFLUfsfqw9/vetWV1f
dl63GlmTnVkH8AfTc6kLsUzDebczW3MIbKfxUP8WBfV0MC247sOu+wog9giq21jDHqhP30vW/o7h
dF99xR7uLDrljzGNG99t/Ls3/03/s3+15IFhePpOI997f8n/Nq/k90zj1X/J7wCgvzdcduSLrM4f
wrhk59QOiq9lDkrLkHrjKcnm/OvIaXY8uuknmunGpxpa8hvR+1oy0WGXRLcSBY7N786gV899aRcf
w5aOyiWZMbBdZU58cEVULDCAxqH0WCYW3RcYryQ4DCdev4Kx5nnBlCV8hnCFaupxsjT3zIuXcpEB
2nP7PmlSzpj+UUEgzuNOZGqvv4dD3NyJdGXQ+Y84zFpb7rrEeE2l0xOxsyDfvA1UlZdVOFTApzGy
L5bKTg2QHdEjm3H5Fxa7rIDm8XNqN/Zzr5UfRK33cXOe2K6A6HnKv2RpCeSTG8zQ/pCD7V/KvrMw
oTQHK71f+8T8M6l77d6UktGqBRxEBsgolpMSbVapQjBvrEVwlmLeyMgqYw/ILGgbjw7w+2AZLFHv
AoA5oh2nNv/Omx74Bn4Qh70NqtQh8tJOuakMlmOcQ4AJB7LTc5hZDi/qfnDR6/Ykqrhz8QugxWyT
THtcxakrUqDPQPRxplC5mbzWoceRBJK/7O32sOm2OSS9+AX+GF6ivjptKglY5gEmBqRVub11nmF4
vRdxdpxuonegfozZhEpLr34IlkLZfLmCTpASWZFTqaGNOQK5gyLgZfPZQkS3Or+l6cIkulPVcg24
yrf55RYd5m5P00lYzGB3NzClqr7FC4tWlveBCu/aTT8H0H0tQ25Or1d9n2G5khfz6i6R4m4uOcZc
PXpKb96904vHzPpiLVr9qWb1umRfM5eKmZ+eR5bDV8XidRjUAsAv3j2PIitsdW8c/c+vZU9uEf9h
ge/Eaz0nAHIyEE2AS9EexC/b29GAB3fZeVLG3zaVXJX6Xx6foKdNDUg9yyrJaHlsZYGptpSaxXMD
cWNB45kUomVd5T5Hnre3ZzqPdhFYYTfAlPb3nHD92rn1XNCOF+fUq6+d8/xE+YF6YgOR44ulVkaG
qNKTM7+Zrzops6kpvzpThhveSBXNO52IYpBY8ZNUv9JtsTLHUMCvaOVFuO9y3QZUxgQYk33KQjYu
42VfU2RXhYPR5oDkIOIsbZSj16whV96pOQB2K+5entcHdtOMeR8uiX6eQXKvge9mWFOIUl92UiWO
NDsJ6X31u+53EG0oJuBhtBG1fciuPaixjzKo9mw+FrOtHDmV5uByMaR6ERrrZUeji0RQImg5exPu
x9vYpiePL3UEgw4Js7LSz+AAkN8bwuB2y7Mmq4fuMWp2oBY0d2nlsShbgBhkKOB6sqqyfhRJPKgd
f/WoFjiGno2Vdx5Z13z877/fhvMfJ6sW/8a2RrUxpZ0eO5g/n6zCKhjRAt3Aa+z5f1kZKCWUNI3O
PQBYgHPkczGA42QXByVxnPt6AI1dzJ0HQNnxylN1oFiHptf0QhpaxDAteVZZAiXFKrOFwqEG21E3
6zxiiuy870/bHGli/j25HaQ7FYCE++0OqKL5Z47NWw053ahBts/ZDKGWj32t01RAGQzV2kNtqAn/
XfXr1Tudr0DT0tbFfBCD+OV9VB3nnpcANr7Ue/9t0Kn7KY8i99Q8H8fFZzPLlanoQBACJafe87ba
08qTDkPFm8hyDSLvJbR8/3ZVegMlERIl/uEwp2fTh3yYOupLOgJSa7EM/EYHaQ2XXq3CcK8an1o9
Oo153i1dz9YxNdIOJFrEOG8Og+56nwEcM+7zOnpgU+cZ7rfsPrNpigLE+babq+y+nSiJVgZOjW/s
LmUUbTENprNzGkpaV8WVTRyaJdYqATS0IH/dw5KQxEfJJXNw4k2qTd6mkivxEauIVxkbTqEsH26a
/+63hb2bQwyiW/8EmUmUAVCjh9Rp/hZptcrl+qddKVYHx8/gDOn8IwVA+85und/jviz3PRA8D/rM
9p+pp8PN2LvO75xW/K6Xev5xyvLq3NjZSPeGmT1UQVjfKmPyh91l7kn6upQFCEFRiuIUGSCObQ1f
YujS/I849J3VV3rFXCgXTqkKCNm7JrIlr1dY6Y0+uT6l7K3zMi2YQfw5p6CMFfhGkUADbp8rP7hp
BICI3cX+3o28r+IfL0EeG2kU/kLIJgFiKIF52dscwR+2vEYPFW0X5MOJn/32SYPB2Sj19OK2TXrR
2s64jbT5u7aoNj1bONmVWKlGuNPyMj9sfuIM/zI8WZIqTjjMB1fnXgybnxiLbkoOdNHzmN3Xf9NZ
BE1Cb0HuTq3eU+g27oeqa4K7qGbDKRMry5Hn3IuHi0ub2QeqDq2T3sE8IM4yWCosQLlLHZOI/jwu
fCvtDwkovMD9sNTAg3xrgg+1TOFxJnOJjf6y5WhmT+d1MtJuFQePaDKbZ86td5uHmQfunmVhfDRI
9xJoD4DstufU8FsoPvjiLqC7r7JcbcP/8BGzeK95Nvldik2Uq3/1g8nmqwZwweFXbmXdvt7lrER/
KDVFRsVS3imDopUWBdpB2rOZinJU2i9dOBm371yCuoWwIwQB/6GZlQaCHjgw3rJsqd7pVNho4F/p
1P1mkCk3cYs1q6+DznpZZtnU69Qi8/0Fk702Xm92c0yUDop3MG1uc6VJDxMsC7f60u8ZmdOrCOia
xm4BpVJZ7KdPdTenT6ahOA9dDcbbIom+qujR/u8/1Zr5rqKf8yPV0xyVN0SVZiPHVX/+qaa2xmSn
s5w+50XsnhQzeQIZQv8GisO060G1f/GrrL9Vs2Y6d44RX8xQBUR1mMZPLofpELGNxo8QGFw4v8y/
zdTcqcGPDG462lT2VpPaZz/Ksvsw6TnVmQLOieVSlOL2TlT6jme9KMW8RYtOiclDZrCO5l3TBZBx
LyVQMvQJ7YV7R0qgFIhNjoGrzceqG/+gCozXa7Fs7qX4bMrJnEHR6tVbcaGYN6CZo+Yssag/hlab
ndfd52UfWrawF71e6xklG6hkkG3sN/9NJVdveskjKd70W55c9sintv0YL3OKh/hK1KLn7Ds7A1A/
7nRboZy5qPJ7GZT8n6t3ujhqYYQCuI5xykLcTYNzxBm231UJWLi7wGfPr5l+La++kluyiL/r9d4J
LqKf0r/dkrisUy46D2hA8CYAXNKCIrofQiVchy6fioI9HmSaFP653Owwwf3e9kNy3FQt7a7379KI
9Z0ORg+SRnr+v0p5Pemj+GlV6Gi8kNLlRyGhrtLk9/NXJ6s1swtnQOsA4O8m/9M06xS22WnT7ZtC
LS5tXRWXvu8/d/5UUtKcp8mt6JJ2GG6L2vsBsV/16uxDXEvHujF+Vsq6vJMEoRO6nPzQO9Q3vsUm
KIWHu5Q1MO3uuv+YJY3/WC5XpRaldyGHNdCBljiKUswOKMv97E0Xkd6nEb81xLPG9K4NcdfMMTlX
hfcUD75x8RvVuGhqDriQYvxIEm16uFKJi8ux5G3EUc9NBbHoRXRbrOiCBmj2uOQRuRnWpCJn+Z+F
G04Pq6ro4NG5GW37NSvvoOUOJPYSWjbbu3VVTic8swmfBiiWQHBO56+j7z8L8JsGPS7VeBOQ95xX
6fTnvNSQXt3ONRzQNuBra1ASzfNX3XefW0P7kaRGcjKWo0bKF0AOKB6CjiNI0QxyvCiXkEfke9pr
OX5efMVnUEL7QRmX48vedXnHA55637sjRHomEH/3YAzD/ySX+iLLlZJyuvZOR+HQwQ7U/CTGuXUg
cF/c1lwi/8flO1fJ6HTVIyimKnx6pLi6E5m+moIAELi+uk2hWaCQ0S7ZsuIEgkJ4fqH9vnzkFXQ2
9m0ID4KZqbCwuHDjArGEu9j52yAubOHK7QPnBcDp+sQGVKJyZmIHj+BP2lDi9DDvTMVIbZKrqCef
up9VDKI0fGzsdD9lk3Mv0hoMic4UVxkVwcsG/tCZUHb6kKXVORyZt9FU5XdhFFRVAIV0cMpZ0tHv
0y4bAnXi7Fc5GFnxxzZcx3qcDeFukwcNRhBXBbc16Mfv8ZjWHyKl0x9UjrJ2NDxM34e2+U6xbf2h
L1P9IdH4T1adYPqe+92VP6uTK3+QfWBIUsIaaGJ2EW2j4tXEcijmgSt0crrXIfeLamEGRB6UwTlE
hT6v4jvHTdSdttw3NUd0ErYZklIrYYBdJhjblLdfNv0Pq/JqGrGrYx3ddH3rH7db2RJtOjYSKf8z
P/uzmh1zt66fA0WvectPihN8NbDoUm6y6sQapSmc3pF539lz59EAnLbHOuEsTPwU1QMbFn6H0oWN
bnVpvYT/8EmfDpIZEtv6uVWr4EI3zG0AkO+dBV/yIe3gKi872Iq9xvgKZoD6wc+MnjPVxALZ31j1
4KLPH4Ic/ebv4B9q6MW/43u6o5yyKs3mMVds/7ciufMo9PgyJwOfsChVb6rleItmk/LIpyq+1e3K
/ELxKb9LwMC+BYmXHdivQbnVGnelord3HLJD+GfGLONN66k0IvfbrEI4Ujie/5JUM6x6aj3xcxdQ
G2Ek+rGLlewDVA/lrvV9EDyqEW7alnLLwrY+BkXwfeDpQaEVqjRjC4Sj94WCGJEOsfypiqP7NLSV
vd2W7i0tjvUFPsLq0rfQQEJyCX5lpET9XpRWXFEzMFTane6Hf4AR4Z4yQQaRxV+8LP62heK6jGTx
J37bolB8q9G/9hXrsqg03xaga7hBUb/4yrJzS/62WOUZCAqg8ubXqwryWz5ZpMr69F0+8agrt9u1
ZZYfEifjEb0MgWanXJ3qaXjVmHbBM3hOYopBGr9Udwr/VvstIi9d7Jv8bxkkI6jKPiQMHq9aLHWz
H74xfAY6e7zf2gg3lWbzLFpExzKG+7UVcRGHJWATJV4xl0bFf4vVNFrGDNiDOIeDSvsuctL+MqiU
3L51qWoc8NyGIfSH0n4qBkqRk50JYuOd6GSIU/eYjeC3rKp/Em1B/5poLKmvamPjL04YVeA2E+eR
TW02yrzY/R6B4q5qnf2n17R/590QfDYo8jrCUaatrmGYXLkq9DSLa2NxRrq5Ah3jPDZUde07QAx/
ziquPtWgR7kBMHjrO34Dht22UJizMLrJGlU7yBIhoTvH2cnK4Gr1cLXY+PWl5CtKPuJbqnVZIssU
yZdtl2BpNTdGyYPO0vl39YuZEs3R+igD7+W/dVTmXxKYGj5mrh0fZ4OjZTFmuW08WqF25T/H9W9e
GTWX+OSezKWVIqnjz6qhts+6rrksDb9wGlx+sakJffRdtvnFyW3S7K51zOQQLt0Y9QBVr9X17mkc
5uKLa+cg1bFDE1qF+3lOv0rMPIyvKTpF604NvUa3baDfOgaAczAR3rHVOP5O8Xew86LU/NAU/XTU
sxYWtLJ22ZMHplyFrvuD0jQ+fPGO9XtNuPdPuA+L9/tww52hdug8QDbZv0iCwT9rWgXMfd64xV3t
VzA9JzlQqqJ886EpNnu2U8ocxa+puw6+lpsS5q8F5irn0/s4Ohp1M0iZasyPQ2l+NUIg+cS2SKtn
1q42kQyd4/BAD59SW4dVjJrIqyLIMXCzh8UgOqll3Fz0Ps0fXN4FKrbw13JKcRMPMaqqAUOfAYjY
Cv7itPz4UHxAcz9F5KZ20PRv7thTJsR7pr1AVqf1Dyjn4j9T+tGos+3rj71h6kf+EcL7zlSKS+qB
rEm9yFVM2f4BumvyZ7zEQJTFGS3MyDychiicn2vgug+Q9eXHdPn0DXafATypfXETy/woKvZAqYlq
vcdh+cRG+UKAmxev/q2frv4RNfB7iF/1g6FSIaxUyadh+VwBmxCcu6r0d9Ll4+lgzVgTgFpitfjY
3XiJqVzE2g1/WnRMf35LIVqLpfqZNw0fNmIyarUDeOjYcJSYFx+hUVEAJgKwra17UNs4CtoPCQXR
3eixDhClmAWtraHHgQYW5070G9ibeGSa754ryuXe6TffSAfwv9XzebfNuM4j8pKdhhHnDqQ0FQTI
qfqkNlBhs2kT3ixXQZ0U768UVX3Vcej+eqVCuvCpGzrIGvTmXlsGzjaaeydvWRCIvF6KduiBteZM
AAelBKe1ULWTSDJsKX4dIk6qojT38EeVR9gKqrtgQUrgj22eKrvzbgsvgURqAVPoWRc8ydVmED+J
2Ax9VrxGbKkokPZuxbA5v5tjc95SyeTbvIaWxzd6DPf1pB305dubdk78ebgW+v4g4HJtFIlFcOcy
oCI+EyOom8UiELNZlpgMcLeaHoGZN+52MM6ekhSP6WwVj76daaepnZ4FIWbTy9XYe39CVd2fIJoG
v/EKnqYv42Bv+qZ6AN0erPkFo2YzrxA24rNe/myeuvoDxBOwgfwoRjs+hVU7n+O3YRqT+WwNDRjZ
zXhLlWubgeGBi/itsh7pryHivZnfpRG/X6cYzbnLbrZwcRUx6avoQN9gd+tZ4KLWHELdpk6ivDSZ
5b+4evJYlGp8ESkcteYZ2oMbcQCTRHmhCP7PgIal9PdYjx55cDTswvKJE9AOgeooYljxIG0zIE/B
sMF3bIZCCFUkxKHhc/Ueh4FK0U1Z+qZxJ+KW20iiZ1XTeejVFWgNNge/rTc5l3oZjMDMTr49U6ZV
OBfRU/tAN4zIMDRAaF8m1a04X5kbr1/jRFe2f1tuPnzXVO1oxaX3NaOW+QBft7FUDerPag32iJSu
u7Z+zErHvfKwIhD+/6uH5DAgdofCgrfMGqgICmFgPPVy92xag3vudev1au4WfthNFrM4vtP5OZCV
N2KWQV/yyFVQLBaR10vR0llk7twWJOeracOIzrkr+e02rnTiIymupry6zavpxGsb5I79qq+OaVp+
EX3/bsZVuUx7lVGtD0pL5WvSdQWNgUNS0TsflcA5KnZ/rjznKDofdnWKlLvqwl6Ac9MDwb0bFu4D
OBVf2Q6yDvqMPvXuRd8txoENgekmGoCb430SQqiY43shQFgvgwwiAwCi4DT8OZeIMgBCw4s7JxTA
uS0Zl0EyyMRQpe6As8ig8esgxHBhUDzL0M1TfxizJKSk0QADSs96cyeXmw9URpZ2J0pjcbqSCwhr
SEcrOf+PS9I1fx+xNpygu0hfnNquz01uwuG8DH42PVha4jyIKrea+qWl7a5rO+dBJNEvXs1/qiRw
1mKaUJfAxWsLfEu/quhEOvUFZQq0ZaqPgEP3O16P+gPc89qj6tC7eUNjpvYIQT04iukjpCCqDnsl
VjcB/Ry8MrhrRCkhksatM3gULfMkoWuWWcuGk+Y1nyR2TSPOKgtvGuCS4ng1Hf1g9oUa01UlIZK+
6/ry0AG/uau0GYSnwrDuDLYezyD88q7V9hPUp7rTl2d1GVbZ6M1/LsUkskSJKAO1Ehn1GsNE2xf/
d478/9fUXoGfYczmHkZsgGAX01QHKFfTtdv1teSQYRDvNUblO7B+nDa76K6mFHn0tAkosKLbXVXD
g1704Bjlg6gCaTcCCPRFz0CkXgvpc1AADpluqXtPelS0CVphj5C1ZYUujPShT3ldU2lvpqTWUZ6z
GlJi0Kl8qECHlrpadDKYPYWxWhX/LRIw1sGLwsPzkrLdKEGbq25+z53KfNo82zz4YFiZfr95Vkqg
Qwmdl3fiJgZ1IX2Xe5H8YpjDTPnXe6mjXqFUr57X+2j0NAjWe+YeTC0YH2C1M+7UuIWkp3QD+9zR
jwxzbGBaZ8iUrPNs+5jkEtzX0ty1CzjLVYCYVjmnBZXyzOyL6KDWInK1vE+12kS7DVdTyfzrrchd
idPVpHITdV0nVFcnXxo/zPfaGFXf4POqb3weNk8BUM4vTet9Fn1aAS/azZ5x18xq+S3P/x6rcv4S
VLV99gJ47Oclul+iLbt+jdZ05bO4D40Gk134Ac66fNfaSkRlitUO97Vcqr6+7JAglwmbI1nfYp8W
5WbxUlO/haL58SqkjYDI2G0+76PXRKkX/sUPdApWley8MM1q2GQQMGueBcuM27RvM17daTWFzcHv
4ICaSoNzh6WPAvi1pWeyYjHPId2t6PKlb2NzEXEbNpeyqojd5Hc+FdiFNyBhsZW9JJTBUzvaP9ZR
ZthMWx4LfBP4KsPmFmz1jgLYjEOkMNfpG/WaUKHSd/b3o2HE+9VuaFr8ZHvRcOcSdROGbODTPMWK
UecFUA9rrGWQPDWx3Zo05U930NRo92twSo2zR2PfKU/bsuB4wOGkzqST6h5kom5vK7RBrEo69nDo
3SoNj6U4ryHrqFpdFh5Xz3ZoontYSf80Mhg1k5GdThnWDKvPf0atGVa9ZOjtfdK72vl6+uvg9SbW
G5I7Tlhe7GclmWkBggM0Owo06wyH3CWaOSyIxuUD0CTf+tjvzmKUAehmKG7qOt67lkKvXp0V+dLV
cBtOE22ZS4QztLCalyndnwc1gSzDbqG7DxLahufBrB9kcNlVf1g6OWFCBe+XH0IuV8viDTcdTcZD
BOfxFiNXWttTw7uGL55hg+evE72lXJOrXrreBZAjBrQeQa98jIr2tTKRqkDz0VkGKTMEg/BocwJB
YR4FjaKSAQjH7NgNcbjbfMUgfk1pH1n5m/cAS//lubNP7y7v3+BHORe5su1K4+k5FsfNoMu7u16V
w1mPwxN7lbynN8tb/HopMVPDF1eU1WIZ3eyuUqJB+diMcXypNZAGl5qKWbW1FzjfOFIARbsfY+1F
r6I7wdH26aN7MZEEuiWIkRbbFvfm+RbnZtY9na+HTCkjDmMosD7LYIG8vF6NGShcm66EJCO/EaX4
dE6iHRoOqXa6Y3TjjQp6wiX36Yhk/cCaDElU9dy+Xm06nnlfwFeO75Q+bC7i8c6tyyt9T1HwSL8R
8VdTzGXxFSIWHsc3dWt+MOMwuAG2xfsUacrEZlM2n80aJI0RmDt+pwzlu6GW69bu5pvWIJoBYj6t
vjmUg7vMuc+ivnmu2lg592WnHnw/L7+5g0HrGBCQgHx6N//Vo3An7wYUgX/PsXlErc1LuCDBDXRY
sCRRdP7lIk5wFjBPEQPWqDe92eufu7Q03ltblS2zzblexM1ZrJsomesFCtRW6ajZYpM/Zy/Tj9vX
QD7tdOE1/PRn69fj3RfIigCTiyBEvH33DWqisD0bWfIYu2P8SMWlvfQrBFn8h5HAdKNKK8MiZk7b
3oW2R5OFNQGXsVhfMXiXdobFpVraF97pJGyFLx+yfoRaWWmPAqowsTt5hF1euwk1+qrO3USXoVqC
RrPiMKQgMbqN95H9SHdfjIl9JydgVA998nTHfW7iOPgUWzT9LsdndRyG98ZMmZCI/xY0KoF1YCMs
4lHQ5x8dNtBlywbGwPxjA5U7pyH0eBc9NVyapcD4btv8pJmRcskm078AwuZA36iN7Z2mDt9EJ8Pm
ki7O49Qfk95K7teAzc+CSnZnVdkMviL53sWq2eSf1NF5WMNmQ0lPTeY9AX0dPkSlHTx0URs+iLjq
Ug4yW1NtbvgpvTaIdXP+VSy1JC+FApXZv4ZK1DaZpKNQ3L0dje75lymXmxC3X4UmlsMWOk+ew2bd
blFp7WZvqwUAh1Vj7g07tm/V5SlqWqO5B6LcWgvVxCqitoBebaKUsW3O/0+xaR7Z50xJ/8oNJ2n+
ym1dP2dj7YIdmNZUjs3W3ZWuocWS8kZ+CmbOIArj3Pf0p0ICv4SFcH/vIEmGwSaF3vjbxD7BHMUX
P3D0cd8avEZlVKofc7VXL7FN8drNMKWwHy6ym4AWZLLrIipncOZVL2LmpewxWKt754FUsl6KcU4d
6G8K+/KrSElURwsNMXhJMImm0S40WnsvvfJXbfTSHr8NWwt+2UyAjGodPVERMLK/clnThOOon/KK
XQd9nC9qkHP+TqnxPmnq8Cl2xg8U5YbnfB4ytk4W3ZyAReLZQXmoFS18Ep0MRW/Zt26qFCzC37wV
g3+SsGcHMfXt4C4x+w9BV4fnLUyyuI0DDbGelYcm77V9z0YKxc5O9qmcnI+chUWwTyPRM94DIUUp
s4iFXZgnvnTBrjG67JM5Gu1L1vd7ze0cqiYbDsB/Di2nvobJDd++g2lkC6XfsZNQMb7NPNVK+OgO
ef6JfbBu/y5c5cdundlYwuuRbv63mb2uco6Jkn3v3WSilIbBjCBK3cRCd8b3OnHRRv2HNZvlcfN9
Fxr45VLW9ZZ5S1/7UfU/atWM96Vqrgq6vOfanqeCr/qfUHdzVOpWxOLn81yFEEpNjnEKA59Oqn+Q
eDSesCsmj+iCHOLvxWOF2tn85JdCrLxJ3K8QPKITl2hB7OmdyjgtpTpzXwy8A3chf6mYr9zF02Nf
5bCUGuy2FFse0VVukB4MuHF27wxrri3D+z9guRMJERfWSa8ZfjWTuGyTSFgrJ6ABP53gwL70gBGz
X2ZcvFjVX5xlgPDMP2nAJ92UXfMpquylzTChysMCUZpfuYLW1CeRCs3rHsDW+QjoGkf1XWgNx8ZK
M7Am/wlIme7Gig3/TiLE8C9JxKGqFfeOB/twS1VZDzGr0t1Yy8JNXxZ4MlRB6gJaa906P+vFzVga
mnpqcDb/COazp5ye5Zs5Nuu7zSAB9MXne9Dqnf2WTgzb/EYJpEQMXcBRDOLnaDT4LDfRz0lvgtS1
LFIz3qXTZXLx2ybaJgfgIFJ4BQHTSubcfOTKNik45LCio/mFv5nyw/g8s1y+hfu6WcCPO/08FBDu
Au65/KwsMme8+lnEUYNl8J6tWP08unN+ovPvplV1m75VGcVpc9fsad6FE0Bu01SBqp4r1i1kXs8i
ZSyb2WZdDFHeWfWNXMpA251xB2ze6coQsxy/31ziPPTvRZdI8BD5+mkC/GVYEm5+qR8ALCTy+xAQ
xMxz/H84+64mSXWl219EBEIY8Up5X23GvhBjhff+19+lpKfp6b2/c07cF4WUSqWo7ipAadZqQzyX
sGQ2MyuqrRLwivxZ+Lp11RvOyXmzBxBvx3A9GXJYh/UIVyVl0XQjSH8GrihxX/Nu4BXJXfitxh7c
XdMh0JouegKSSOvJJpDbDtS67qxOeTTI4IBfFjXSfLB5cQUNOXAoNXmauIIjTwATwcxGAwi5I7Kz
xpFus6buLGVad61bu9iDvTM7j2mXAf516eZl1Wzh/f/LSKUskRIZot4iQ+3YlaPkf/9GtJg1uZQ4
br9eGy1O7fIuJlse3ACISMhnQDZsFuoS1MmnN6KQUmWLkl/CIEi3iSyYlw3SGNe0gpresBMgvCbJ
zleKLDbtjWyAE+VULQcsTMzPEd5Y5h6g6x59rU33iyj2kZ+5LsDsei7FFyH4RtdiAe8+oJZBEx0e
U5akHg2nqRcPuomSsnECNSrJqHF7e1j5VVfsFpnI6q9lHFQnswOX+WrsQk8XY30nDTsBYljhWIdF
v22s/MCmARS1amtqLDAgwxVRmOvlmuAZj8GAEcg9qUgbaOK+NM8lsJRO6aS1+8gWexrlSmQNAy88
sDC1Jy0bmxPNUMNphrqjHZmFR11SEjlH+gFCJhtauEwsw/cmaEzNm23xrWj2Kmj4Zi+g0wb/5UmM
Esi/S4kFMyzb1R3BXeEqJpZ3SeODhUBTYZTGUwscow2OsveuG/2fOGDtw1ICZb2b4FRGsTEY6gFi
bCi6+qG9Og7PQ8BtZ+vG7/zfdgT+OFEZP4vMeAD+Zv+dV913ZoK1CCgyv/K+ya46wJdwHPdjJKR0
EnC6qMYWcZc9IliaPVZ+MXluWZYHXU/zR5poh12AAuyHeYBklKMh4JheFtkCb0hhkeTbGCnQ4EQs
+D5uDf+hMstviSWKk9Ej+WkVS7AkhsXDPGfY9TnSxkeGewBQLEOAFWIJ63QkwedpuyrsyQGnq2Np
K1BIG9vGKn0QaoXaQ5nm32wnKU99VWVbvS+qdajW/tM+Qg+P897CcF7s2sZTaUzOnZYs5ml32kNd
ddYDAjwGPnAZbTM/svDu4lsqImFzYK7pZocCbif4kLdmva7Dxt8FLAdIsByzbcUREqRhnAztvhd+
sB4B0PxhKDmgI33bwEEbyrLFO6g+aZ81XY2GpHsAxvmW5qgR10bn4pn6fvkEcsP02A4FXr76YQfw
OfPYqMYqc2ANTgnelq0K/8w2xb2fZvJq8vkKQQnMx31X6XuaQyqsdTSKtBYbUpu78dR9Qw62u5nt
zZp/dlvWvdlS6EaYwX+kticxssyT//bLmLHP/66nAG+FazqgrDAtVFS8+2kEtq/XSHxqPrIOseG+
i8UJeEqfUBEkd0GCFwnfAMjZ95EN9k6GwV3UhrVC8KLahKYePAELN746HeAh1WjgOcqdG7z2+SDj
2pNMKA3kFM8azJThEzCngdJQB+PeD/T89FLfP4LFKxJXv3R+1wBK/NSYSP1NaxySaQj3Z73WwD96
AOwXEu/iHgnkMbuxWFgfQbVHUttoxBUckLOFWGd87zg4V9MkWRBTWh6SAmg6NdJRZydM58MvXUap
s5p9NDROGfi06a20NQDc17eSbyqkX3u1gs0DRPYp5Vr/iYclIKCDFmQTUeQ8oMrkRSNlqMDiRvjA
a/3YKkgsc8T7vVGUv40iArcEviLrQgInSPMV1KA1BsbKclWtssLUGlRTZBU/FFHzfoWR4mV2JoOZ
GrfcaRnTbp2rFWfQBR+qSvNv1JC8AYwdQCs1HeEITIxFqc2zvvqiRrk8L3KBpJIjHnafdaXVdp2x
ElGaoqqrTHadFdmrzHDKRx7H5SPo1RtEInTrgASO8rEMR8/wc3YlJnaUIDjItIva3cLJjgw9cKLb
wfkdVzuxs0tetjumCN+TduCADrVAu4OcsXVUG4DYyYvknDVBBsBn1/5c9c2hc0X0c+yA1TZOTfgM
TOJp15gKUAi88w+4G8DnqFRiN1pJ366/kTUjrd2LbYzJGdgK2SZT1gpYiwFX9ZPXLjAY8iB8TiwN
KKFp+ZPx+munZcltmCb2McRXJA1T7SmvuXyemLnK25R9lO4ZnOE4ejnIuQ9HfANV06sm6xWqYoia
CRoNmbhqk3jRiI04QkFum+znWeSvc09KuO2KEFFdMkAzoRY8I8NCHAm8wkD4SR+AG7tAWRRhB+6M
uOKALrWl5gGpEVV4VjKuWBirsWbleJvzz/Pw1Yxbm85llvlJBUZu2+K7xWyV+XDk2trOAJ7qg/SR
S48kCP1bGGdbRwOx1hRED1lXjp/rPirXZdfIWwNigAOQ8V2FsfB+EUiC/F92kDw05oh6hcpm9g4E
67/rglcHwneVHXCeQIawQLkODrKshxo3lbCFd3jl4DvnxXjlwxcy2bpZYt7wDzJvIDFMTmAPugI7
x7yVtc1n+QBk4G1jyGa1TNAswJWA+Jn42hsjNNE01n4EKM55MY68F+uMcOKWFBZDfQmIOq0bDPAQ
/bkQUmG5yYBbOTibdxM+ax4FILHw0/tzmbifDVdLfHtnWw9w+4pCFJjJogHIKE0HVTusge6jCm7+
rKePP5XiV8Wr5PBOrkd7RBNxPn1VL0CCfWR1+nERkYUysfuNdIT75g9FE50N7IjOLO3dsmL+kKJb
h0lfXpbPCNxm45RHyKlUf49FziupIz1ZJm+Mkw0UryerMq+n9/+FKdVPokgZeJ3+/GVTV8Vu8mq9
/KUANhptywR0UKg5NC7Cd7/pLV5V0ioA7QjJgp6hW31GImd/IUkf1MZl1rDAj7dH/d5nkuGsZVwM
OETH9QTeKjCRd+F6Xk8Laf7/3Ggx4X+gzUgwX4O6OOrRhhV3Pi8Gh6Lt8ToU4LbnFvGlDOEu9TL2
MXCBdUEijozIcDd2AGss7OYSI7jVrKNQxpe0C3AoMCywWYA9DIQZyxTNU+Pgd+5VsaVvkFEH6MZl
hnqdI09IHx8O8844CQILimY4SzmeYvU8SnwXNNP5L1DtJju66dODYBrEhiHocmvVcyDrQAtm3stq
Ko9FWXyJYq25R27+0ujWdM9E0SBa+Uc+dDxGwZQD7wipqYnE1fgtBVKpkvQSOfqjavwCNAZuiPSW
ZYJ2yq3qy7IJLVA7tXLCTq+bS9dFOavaiazRRFA5gNwEO6QXAHrDdvPpMQnd8RGZScOG+zLH3xXn
QpLJYDi4OE1caZTBSXEE9Enq0ZCaQYLgU8/bck+rwG/WPxTOw6KALA+5A0aGXC8yxNE+sTbMzyTS
KlTJpXn8TCO6oCIEeB9OBUi8VJdGTSQyb8xUeo8SdZZl7JGtiPQZNaRVfYlsYjcL0iPJYt+Rt8Ho
dzSiZvmMy+d2uvEQJt3bz5jiTPzmM/qWnq64y8o9rdLScnjATXvZuGCG3GlxELz5jEOkv/mMRmAa
57I7APcdLPKnKv9hOU+2gUQEX0E3I9EJbp0q7/x5bIvEhxKGVTxM4TrNnxm3gxOKcuCjmbVpYQt7
e4PXFhiw2fRcIww24uB9D4IWJEf4nSEHH9mkNHTtSb8lWrhPFQOS7wTdE56Gg8e4VRxp6OL8ckga
2/QQinaLlZ46G1bExV2TMKcDSR4FdAZgONVaMieKeE+TtAOZa7uXC6p7OPqptlyCmxwlfoncUYH5
XH4evgr7EZWWGya7F6UZwjVurdLL5xIE1o2okr/2wgx2mQPGFifr3UOjN/s66OAmUSJqYhYGb4ak
JlDK8E6evC6gVeADgzW3fKMG2Pmo92gZbRG3F4QWNVCFcxDbA3xDREdCz8ojfdqbdtGtaAjmOfaI
L6RUnI4kARoaaK5LPToCNxEAWi7oud7phzgpqzlqQrNAbbWy/2/6ftkz0Hw/mgqMa7YfgKaFrkfY
QXQWUfTYRqaPg1zCrJVtFiidQImmg6yxN31kPfhHanqlHFvt6JVhO63fKv2znwWBNi97O7cYmzcK
dAebRtQCpuo7HoMoxnHAGwXGLeNkqQR2ow6MudFfeySjWdJ7N+RuXnoRZ8jAVyv+TY8m/vMewF96
HMu42dG2tTWapUfL/ofLIL2iRtlsUhiH5WP8247/JqMtGh3JSE10/B8+xKJSFQl+DfNHjvi0T1x4
x/7731LKfGvoTXmYFKAVU02tgLCkOugiB+HY+Hzck4gm36nRRE2QVcva0BflDuW1z/Psq7nFCvVo
i0VlMe9HbuOBIbrezLNk/j8vJlumjhwwPb0tV/LuapctqGeC/nc9TrXYhizYWY0AgoHCMkVZcXky
WPHzDXCp0aGgExhg20XGG7mL4Yf/t0V5mWorzYocLwHp1yVTjWlp/SVvgJbJTNBDqBHKJYeL0U9m
v+Zmve+N6QNQDKJ7pOfRHYhXRdqXcKDG5UMMutd7iMRPNSBxMfbJQ3mqXlVI2vQrN+funfTAlVtu
rQ7PJpO3NiJg5uSl6sZGTax60ihBGvxv06Vh4/5WqbunE/FoC4Bo4PPaodiKOh0+TUF9YE7OvjfR
CIBrHOFu0xhppzrIrXVTZ8X3JvFIodeBZpm5ogErEa9uyPVBGpJm6d9HG+xarEw/F3heAmvMag5D
6qdPKHf6TSvDOP2eGL71BGeaPNDemWb2tLfN+T/2zobQWqNIbtkb6GovewMNu7rVCOOtWFOHN8dB
6rGsAOgMJ/g3UEcjXlM13S0py/hosgz16nWWP9u9EXsyRv0o641ZF5XYHICa4Yuu5ljVqtP9R8pC
8DsAy01h7OxpmMD1tc5ljdryqQFGrZpdhmMdIN7xqrysRYZYd20GzQfKfp6vazeTXwcdYBKCG4C8
tJNrzRKB5DTIOQAjvToDwbwQonvotPRHqeS4nYPQC8jNJ5z70w+A1YBTAvLSbcSmiwJrn8Cz+gVh
IxKbIFvaIRQAilUbhXVAZSlX0WRaVxe1+GszxxFLhK11rbM+4x7SwapLjoSGeUgzidI2OSo4wASs
IfyuFGmmRdndKXPZkQyS3jzrm4Bi8xlnO8D+FwL46Y7Yw7f0bbZVZYAYHu3quWwMEC9KHPuGgslT
sRIMLpe2CZtH1oTWvqsL16MhNcDOAJ+9jI29q5fmOo0cY924gXGou2Bc0T8mB7LuoVVDyhZZhvR/
omEj07fKgw/o7GUtzS7KZIpmQcdtHP6HtbVM1n0XmA8GIkj73hLRDi6l+nM3+OsUfBvfUHscr61g
0M9TkKdg900ZQpaY0KzikzPY7tNgJeahAPDKxkhy52s4IicO83kPtm8/6SWY7LL0MRr4Jg/lFWg7
41fdcvAyPtYcSGpG/OBkNfDgFdhBnsUZ6NfClwkjQfiFJhops3mFkPBCcdQkgHiEFzwA+rHOQe8C
alzqUWM01bAumhwctK8TYDz8h96sHA+/w5K5syVS+zebs657Ct0hOJOWX+eIupJ8aYDvoe0AsPBs
hm6DNEBQvpnISXFQj9UDz9Jn+6xBlo+nx617C/Mx3Vh9Vayr0HJv1MT4od8mjT/0U+EcF3ntl+zU
6d2ZRLScekkGQm44RQ0vhDehqXrFwFyWuqcFiJkYdubGK6u9lECoghc0yh5RswlaKwPl9fNQyWzZ
ctBJTu5mkfV403P6sj1bKk5iFWl4Q+L6dlGQWojS6ahrVz24ZA+I+MqVaZXDCVfvIwszMr40dgBC
IAmSrzo32rtdN4inDYx9CQuWruHgi04RY8XHzNfWJNcnM9qNQZHtCrW+wgFck1n/MQ0z7Zh0HBBg
Su7YQYBiMxB2AJvZBAaVnnt5pPisK2CJJxOQHPN0zG+szdyTZA7yL0rBv1qWBVC/Kv3x/6fBlA3+
l41meGhKxOeIoyq2KiQnJUipRexDsVSZcvoiHMva6mqki+T3f0Es+weFqo4zPXd0IC5xbgO57F2Y
oEhNDrQaK35qa75NkQG0MoZs+Ghr0twGSR5sLYScP+Y1OCf9xJz2NNuZgM6uEoaXUzXr++XnHFg9
N5rMJ2Ptj7J/yqfef7ZT6c3ivsaxPSrutGTC4/ScaQNozwrRPwqce5BWCAbHuDThaR7YEQ/T4Ima
0iy7lV9YMehpIHPN0Li68LPRiBY5yHJaabjT7EfpDuuOFeA8+/uE1DLE3pACMW6XCTrwwFGe1+tl
uqIXBjou9ZNMN5PEsUZ34/LUyLY8daqhYeEW4JroRutuclbsFhXqLXq0jGR9a4d7bTSOi+47NfDG
wiZNi5Hf8SB5MbzovWyrLsN0yq1wWmcPVDykZS4b0TXHuh1uCyOcbigYmm4Bw7PQtIN8a+thG20C
Lf8FKOMIt16oLHrTAMQCsxrPRuI7q6bX/Q2YyiocBTWWnkcEG6a2t7YlAD3O1JiBeMTBR6HhSmsV
qnJLnJ3FUXMtfcfj7DTmrWaCJAOlk/A4pT7gwKHTUw0mSTOGQJD3XmGU4OXck5QWDPCu111qP1W8
Di+I5H7LkOP7bJZm8uyCW2DQZfFIorzFT4ybIj12qNh7lqUAhQag7ngvgjtTTeEEDVzHVbPqhyG4
UyP7LLxroXjIp9BHfT3LBKjIuuCIrI8v79SQN6cBwLm9/ZefI3+HjS0YLgspwI6pI54NvJt32NjT
mKMkHlXAT0AAbM8IgSG/ntcHF3FqhPvz/mwji7b1aOxEGbq5Cb6QwAQKxKJEvUAf+vOsI9TKeTm3
98Boqg80WuTL2nkDstr4yEV5vyuZXdSp93qdRY+qLmmhzDwQ4reT++5zorNxm1rldNQ1V1w5whZr
oPr7X+sEcNU1CDIjqJr6gHT6UoxbhLRfVHUtB5c7j/2vLK02vZ/aP5ETFVqpro47znoByIk7P7q7
mxnwRsG4Ui+zInPWpCFh4iQdziUvmh0B5yxavuZeX3wfHZj7NloWFSCYQ+STGssILjmijFca2dbU
oZzHzmeNQEVJS007v9PINT9fRWMB9tp/maUd4LeKc+Cg/MM6rc1NBUBhixh4Tx9M8F/EKwm2g6PL
JZ6EWiAfHb2Rj3EqnU1U8ckLXABedCCxTSZA/PlhhhQ0NSQ223yQUzWP33TxLhCG66qJVqAvyo+k
PgC2hz1Qd27CoV65MYpxaNh6//mbzw3nH2T1lgvXqeE6BrI6GMgq/gYA7BOR1wCdLJ5Mloujb+Um
ysFHto6DJkOmYGzcqGlZPp0z194GIJe8zWqs0Pxdnk6Nx6MujzeDE/XrzkJ+HS3x/fZlMZLuM5Qc
1+1+MUizaiNkav1jIxnjoPi6nBbRZsDgbzwaVvb3qK26M0WUKR+yLYL8FIPfm0TUvEn8ZJmZ0eyS
OzlzNtL4dfbNCj5FE8rODBALq8pIDj495A+oLvI57WOuGuoJWxVK0kyqA7VOD8Sb2YnqIlFlah8b
KrakhbOUlo9UcrnYjKf8g4yQxo4QeX6hZhxchaxvNltfD7RonskN0Dzlo7snlZaUB0frVWg9vxS6
/NWbOTgHtW7Xh1aCR+iQXxvVzMUWqmJDTTZRCNBrJTdyH66EBqAqfYYCSsd3px3lCvAED6J+qOsL
DVMRreAvcp8HYHI+cHgbQCKCBAPcrY9pD+gl0iIbWl/rs42ojt/amKYYbMHcfS4c1D3MCHR8APlX
pQDJqSHI8SIJqg3obRFwUhMLDLldNiMYaRSG+QJfzizfXPl+DbA15JtvxhK820NrA+2PVhevtt8Z
oyEtidRW76wCXBZbkc6bpjJBaYmoOPirqwN94mL0v4Rdwm/S0oyPuFXSnwU1atZVVjUQp1UaxqTj
LKHXprVGZC+9aU1QwwEivsqpy75YfoIs8qJonnUQOcAT0sf3INK0re5E9Rl5e9YhYCI+9MBkuCR4
kdoCfVg+8C4v18mUNR/MojW8IYurrzFznhtw3v2STYWaeoTDvMH1gc/Shr9dpG4hEeYcomz2RGHi
NJLwYldIYZqDwgC0Nj38wKIDBY4tpxQPbQrYCBCC0oKw6+o9TkQR3Bd/SEKBnvgDx3cOdtjByXdd
Po5rotcJTBEiKbge18TFUxjN22FmVM7WcMN01/l9/ewXwEmF8+aHn4nPOBeYz1Ze+js2iHj/t0Jf
fAH2ED9VRAWpO+BwBMd9eOHR9zcicAnn1wGFjZ7ZIpnQir53UoJpZdQzEEeP32k+ArQk/jZgU6T7
Abhc3RrAp/NdZKFwpfGfyfle8SYfHBNAbXtZtdxnaBECHiZAJidAI8TatA1xLEdQCrxH3hCZ2Rmc
r/nZRiVxicjDMaaJWOnQbKbrcgPuPxsvG4je4mCfDmAgQP4SrZuaTugX6ooGXEu+bm4dEylFgWbr
HzL8ab00F9nvjWvX6e9uKCJkx2TTh6jj9QZ0u+klsQoBtrlI27LURJIb/uAAB+Soq6jqcktQoUaF
FDyrO8tJkRou4KIVbkjripXWig1wBa+7ot+wFBDtyKQGNayhUIOWZlIIPzSEc23yQoArr0s+TC+K
/7rmzfybLhmx2+p3zZ0eYIjJbySzT6BNAPzzSQd+bbjlWpCcNL9DPZUSUkOyOmgqZ0XdkrrAx78B
IBekrK2Lat+y/U1cM6PmhsY2izWUsApwjZ2bbKXldZPiVUrJZqWgRrceComE0MZDSFvN0Py8XohQ
O6QVIPBtsMq+nXHzAkf6DBXJigIvIha9hNp/9utJ4LAhFQ+eW/GjxowQtKkO0gpRBAPcpSQpQXCv
ppMo29VR2B0FmDvxrc5FimMZi9fIzOQXobJ/kWbhjB6N9RZ8RnoYwMFXD9Uuy3l3SmS7TvpWjMhN
R5bv3A0Kh+MMYbnePI5IwVUKLnh5Pd9mmYeTYrDiY9Df2qrub9TTLSCrThZiIjR08WiyPa3Nfksx
+nvSQ1EbYKAza7x3Y8WOswppI6l2C3SeATDif+yRXAP9bzuO10XcpHiElcWP0Da6N7sblZudkfMC
SOxBeqyJS4/iWlESFFczzO8U6qJ4WhukTyyq7MscKOuZvQEC77ihYe4APq0Kyjup0qJXfRIloBjZ
+KMzgOsLwTPSV/Ztoq7hSf4E+MQX2/Gr7TnQBhpfvGmbdvnd0CJjNbKxWwWuNsAjhUoManrZHSe4
Ti7zCPjKV7tCcr5SoFILLc/sHZC3SmQ9/Fn0fxkqc/Cs0Sqko86G8DprrzlOh5vWl3s2DBbSw4GO
Qo0S+U1mXQgdhbBVlKgoXfOijeZP3OxwdQpRJdK1nVCaCzDL3/b4WG5a3gLMmdVITitivN8m8BzT
YYGastaBVuqXs4jwM0muqvxWNRBtt1o3OcJjuZ9eYpA+kqVlPdksld6MGUr24PfcNjbX8g1g7F+2
XNaRijJFVuYTynJp7/SUqcmXH/rcvLpR0Z2cuN2UbQbQpXwEmURiiMKzutwFWALS30888oE7R91Z
SotorFYOA+Ca5ok3i16sMHHQEVM/WYpcFF9NROf9ROx6s+sDHDz+jHWjRwi8LhW1KMO7ItLCnN0s
DKz2PKQmmFSK+ENiWO2RMhbTRkdS4wg6sl6Arl5lMoI98CXPMRF4kcfvWZtTHJeJiFV7WbPuvIiE
BTAF3jrfyIY5oljGaw2jWbmaKLe0jZHpOBKBgQN0zXiCNAh9n6nX2nWPiwN3suj02KMJy+hxvKbp
uWvmuLGZEQ+3JKzbHgiVtr6vlJnFFvXeyUazqbe+Mh0CegMOz6hH+a2J+t0NT5zoJDI3vTsOw4UB
PeZH2Meb5G8NO/eb/TSWwVkH+I3HjdT5WcgnP/LrHzzmGeAEI447UYGke5maAP0QzmMVWT3AT7n9
qopM/Qz+/23jIuLmekFTOuva2kZj3XwfSqde+w2TF2BXhle3yMWKyzH98ZcC4IVR6GSz20vKAihz
Ddwt4ukz4nLgR6uCn7lZONuCawP/VATxT9ALOFthwQG85g6v12OulytS9n0T8Auv60iRRqniSAPR
35/Zbukqi2nijNs+2kyRM6KQN53u1EvlTyAxFTcaUANfP4pZnareSaU1q7pdvO+DCI8CtXxqh+k+
2m59tx4XU6TOwrZH8tBU7xdNETrxLkMaJA4eCTA8dQBAorAGRalqg7LtKgRtEnipkU/dHbpwGFCE
gailo7jWqIFr5aU3uSIpvGXm3XQ3sbt6U9+9k9Pw/drF6mKPZL6bjGsjztlKy5wL7i/RucM7me+Z
BtNXQV8CJgiQML7HhskBdF1me/PYhEvjigwYnKaV+uBwfq8D3PaVCRpRs5iZzQKk48VMyzUbed6o
+NUVxmiH8vRK1akTjmjz10igxM9WFe2EPxrbL5o0Uuucrn4a6q7bB7WJG3YToohW9QB+Ol6iCjiN
focMH5ogGc1So1XQixFoWjdN2a4WA+/0MplaiLQ4/XpZuxjoRHHXpuyTHdfIx/UzY19befpo9Xr6
iOTYFcpUkjuJQEXET1ELsLLA8orI3gAnXNwqeF6fVDR7l07watkcLGMVD0E1VoiNbTbiRqJFgxaQ
7NXGopH1zYuNVw2y8W+7kMZ/3KVo4eE28r5A7aWeX502+GIijWtPow4xQcBeqAlULc4TFXOAqNka
YptPrb4CxSNbB8OIU8cbZ0fdJDoAui22ng8mVgQyFxFGaXidqkjsZNDsAgPFcCAhNaM14hv+Rkst
+QVBwW0MRq8PwBfC4zczNfUjC76AMpuvhswfTt1oZ5/yCLiXSt7LqADQv4zm5WyaQq+qeqAOTKb9
4Ij2A5lN+yTeWkBN3dGq110cwwRJUiYAr6t27zjokae/diE57YLD88Zw3QMimV+mtI0f/S6MAaDm
apsWR9g1DeeJKUAZnz4Ar1+pIC/9bvaBe27EDwCJW3eSDm1sgG0k/RIg3wp+vVc783iQSesFZaEf
7L6xN5qLsHJcB/dUc9hz1rTh0RZgTMbdNfsWsQE3El9+GQe9g9fdn3atz83PcLd7pKADWXED0J3s
mORt+2y56YMV+ek3oG5Nq7Qtiosm2YDvONh1aWLUQIQ2Cd28hy5AYcwu3vAcXoZyqrNvf18Gg0Nt
Q3J1GcrHfU77vt+aQh6jpJ9uDv5tT5bbN+sMJa27edjrARhzrdqjIYgSfLyXPgVOZD2SpAJJ8SpO
y+ZAwxrJVHu4ePoVDYs4NB9wYpxHJBotIMnrOsCwmeVZfR9fuWqop7U/R1f6Zxrg/fZFbOSADtEG
4DSNvXlY5KRGTd3pQNWye+DaK9136zXUpq/CunPXy8Sip6V4Zx814NUtlpHVOyC0ygAj69jG72Wj
RUXD7/E41kj4pqsL7FGfP46WlME13C2aIdAQLrU/wxFmY1YfAP0GEjtQIAWrZWyaP0Bo0KAmPS80
vK1picO2ndZWeN1ScElWN4D9gFXmmoTUmFEt2NbFmTvOow3Kh5Agi9fWj5r0N73i+fUdEwdJJXf+
kksBOenXHO76YYRnRy0Cus741bHHAcGKejiIrJmNkXxZ9LpJhrPbKbHGcheqNF+TF4fastm5U+nC
JBr8utzgxNisQ5VZTLI+KMvrIHGfjyZg55AsLEaGuC4IruehUnbSHm/JYxh74Gxm4O9RVtUeQTyw
86JXh1m5QRIK9lBXQY1b6eUVoFmIdUFkyWnC1wfpQoHe2wDQ7n6hDBchCKtzH1rbfsrtEKUogTNt
eeEUO22CVpq3F0BMMoRGJ0CZh83FjYEsTvfvOk2HfTtk+YqNDHEDJFZcwsaJr3Qnfz8bjMX72c6q
QHM9uKpI/4/lsnbPZpYnZ7dvmw2bUAveKYDwUSGHUy/MvjS+DG5tOLyIyw7UvYsqaclklJtkcpxV
6zY62DPGEKRyKGjoPdzrH0y8Vu1tRTvnNukU7gYGZ4Qw4RNUem+UnXD60rSZvU3wvjAjOufSAdFL
B8fBwZJsbRG2M6Exv+l2WvQTENdsC4dSdwaofnfWy5xtdbuVeNOFH54mhrHxm3ks/LTJ1rFtfozS
ctzRkiEEPpg8FE4L2tDU/AG8gB6YUGCZJ/J45oz1qU8S3C0MUD3VrtjjXay/N6oZ8A3bBboNQis1
pAmEsjK8XHqLhHouPL4eiwNjt0zAbL93GZ4ONm6uuyY2UYcwJGuWOeCSyMLIw6+pjkDatW5CEcQe
csPZVCeQIDESMXfUeVfwX4q8TxT7tbOr7Mb4VcXFeXDd/GdSmA9lp4nv+ZB9NjOg0eeV88vsq+yr
zRBlbTru4tsI9KxKjvXK12J/27tN9CxQ+01OURpNSI+okcr14XWO/KfL6HVOaf5v66ow9Ow6q08I
N/Hy+xQgmFzDJQXwB+D1KuKYAAetVZna8jJl3Cd53LkvcoATBP+nXACcdbFjmdp7O2SfSRfUQkO0
08zwRnlO1thG+KmGN0qgctTo7znpyhsB9ZCmGi3rYhbfKHnKGK3oruaSoednhrre1QRUg9WosfhT
FfeZh5rI6jtu16c4CYFN2wYbsHShxG1C9WWXp+xH6qJYypzKz3jqFStNs/onDfgBnkxAV9iHj5w1
4nNcDe5KS5Pizs0qA57qOB6aRLTXHqG1ddRE08fcz37ZeO78RlWVH3S/rSb9jZN6+7HzXWeNcq/0
Kh/wdcfL12Dxu47C4FWaG/an2h6/qZv1b3DTIaUPUYIkbh8mq+XA4LPKlQP4ycepq7ptZLrpGTj5
Pt4/+Fs7lhk5n9ysf7XDugF2SnhjmNMa2ylspn3QIqMSfErOF9n3CciP0IuUTIJI9f/xdSXbbeNQ
9l963TiHM8hFbzSLkiw7duLEG55UqooTOILz1/fFo2MqqlRtcIA3AHLsUOAb7v22aJfZf9vdaf91
P7JDNR26DzsHZMaWCzCnwhMoYgBEWRjot8tFWytotLq237W0XLSsGtEglroBiMTBEnJE3L72qxrI
C/T2i5pE4BWm+LNH2n9PhJ00IOD/GYWF7LRweDrtJRxShgeyIgp1jPbCm+k0rxQwQAaAvqOM0e90
4xPq+jasGbLcyosUhcbFmo5zlBspuk58bgF4cLNdzM90HPnUTtihrneYP04DvNWjPhbpyhx066p9
C/F3dnV1AMeSwHWEogC2/6iTDpXBJGtz/P0hmT9uskiyFPTzxd8jACGPQ1MH6fZ9Dz4lMV99+M+m
i2vPUELmTM0RP1F6osFSgXOHwukhiFlOtF7UU+gg0B4AAFGfCvNAisUub6TrS3NF4tn0zmLZiWbL
7rTJnawD3CTCI0336ETVhgIw+KOOV0kdDi9xz+2d1yWVH1pufkVuha/FNDTfI1ZtKAKTNTYgB/jU
vxRpjK4wkLQWIUAckB4rUpTTYirGDG1heYjMoVU7s5pkpAU/anqmWRsq2rBlHcW6nyPFgcZN/Wte
Ze08C83yfRarWV8M+leakR1pQSumf72zW3bJ49IHl9KfHChW6ywzDFzHGb57KToTUEDHCiO2bntm
zAGdOcqD5Amq6UIkXLkO5ruxQc9tkQEGx1ZLklml5YBO5zNJKqAtzWKtqj1UoYGMixQ9svKVrcsL
+XgC4czIZe/7kNfgxFztQ4u4y19QCTC8sCdiB+kFF6uqB7FOXDFn2wER45wlDTtpmR4BVsQaX8oc
KYvO0/W/2FM59AFKon761IPgWzQ5Sz/vwTGm6kBADj2BbdbhR1pO+BI+Ty6e2aMq8ACu660WYBrg
neXiSjztZta94PtcP4EMD6xFbYO/GbVc2OJzbboRkZOEla5Z2smWpXwiU2VVNd2t6Ne9uEzFrop0
fSNaICLWwJibRFg9Vojm0AoX7nlFWJ1uXs8rW2F8/mr5sSLdhyUyPu4mMYrwQdbloza18QtvbHD0
Bmh896JselPypojjFy+Pv0RuJPYDkEUeCibfh7FFUhrRWICc9SHTQEn7U+PYDrq3QYuyXmSLM5Mx
WqTtJJu1pED5u4c3KhCH7YRMvdVijWfC+3ko1+p3o/fLSUWayCP6oJ8zngUPuaHLdTwk9nZeNgMo
IZXCinv7EITyx52cliW+jyPEvc6hHZYo6/aGgwJIeAR9M+7wMWtWtMTzbHykmYivXof2NJJENsSj
iT8HOSIytJiOTAwHqdzJ5EaBG2qYiu07QU7ZiM+J4oKYKR4Q+Xso7NzzIyWbiPbBhqx2QeRyQw3x
IQPktAsYAv3NNtCZDT6qE3ds+YmGxvPQ4tx3wKj6kJlW8cUVeYGgOVLtvzqRyNDNdyeJv4OTzB2U
LGwKJKPXeYkqAfxyDOs8T3nCAM6Q5d36RghYNUDveWjSwu3UOscfA5vSJ0Pk8kDGOiifZ+XdUtc7
Bo5tb0dycp9Pu9tuOTw2GD4XWd58DjoA6Z8nD2+LO1HaA7DXQs11UXVq2xtmOt7OQjDzpQBJjV8K
CYINtTR0O/2UgpxpKHJg7lWy/toyr73oSZ+/mPZkb0Y+3bqOAboByRVEDNNj2so/O0urzyOX3YvL
R2OTDiLb07LVOtQDWnJESBtaEyAbD01kPNGKBi3/HrAgfkaJE/S416K7++dmeWW9b5bIsHv53Wa6
MyEMzBhe7yYU5Ey6jSoF/GVobYTKsirQvAuthYUMpu0G+t6zKkSEPxQ0K5jHdmOFh/6N82Tr2IJL
hEt46J3mHUnf6ii26XmT7QJehwjxgMViHCWYDOwYIJQsz1DE56IhEUBl6cV0QQe/stTUiq1PsQH0
bdmjBgcNfZA1qs8aX9TWyQ4qlMxjFfa62flOA4ArHhnVqkR57YWMyyir472lGQjpJiGoyumY+YSp
6hXtTWvt6qGo/SlLjc6vgUB0bEP7uJw1n42rULaNWz1YJTlAZPXavhqlqqFFC1S70j1NkUSAkpUG
0mhKzbM/W6S4Tx2YOVtwqCgPNZDZskQpR7QKa7zmgg0RhstWLQd/Y8ELH4Xt2T7pS7ayQo5YoxqS
sBePQeueS81RpeQ/RQxNl/sePc4rslgcAvCLWU3i+YuoSDvtkEQgNO6iLLvZl7vhW5mI2A+EY7po
sgDWRm+MfxvqmDBTsnoEia1lu/mxy3vLXQlcef0WGCS0Pe1HH8ANw3rlDqinpCUpMhQkn0Z3fJrS
FFuRzG044jjIU++XDbJQspOX2KemceL1NIpuT3nisq/xpAU03hwLCwB/cgXSKShlOzxuSauWZEvp
YgdwxeQwW9By9KzZgsxoj2XLjz3sfnxJjUD70puInXbSir7wLkXvpNVqjzIf2A7h7vBc5LLzY63L
DzYAGx6MtMm3vXT5M3LxiCVozPqmeP3A+dm/pVlarBxXDjs9TqzHXqVeojK293o4IqlJ+Zi2QAre
ztttXUVms9X68sL5mJ1nre6ClIt2AGgdsjesgHfJgPqsB3jrMsfB3CHxKq83g4Hb/NiKYBd6E9K3
4/DVcaseXBtRhwohhFbwWdozLWlGstrxLgUAnNCpGboNyntgN0/JcFDOXRFHB63KPy1uNyaZLPtT
gfoQiTwtAkWoL9OkVjxqaQNs5ZZHf2i1/ZIApfClTb3smNRNu+uaqvumhxFIYIpNVcXeU1dF+Uvf
RmfuIvlsAYXyJc4sByEwvTiQMhuBOzQ26JZKhgKF42MUPZoZNqSVcvhwJ3uzmYDsWqXlIULoHUF4
FOFWCT+5KBL/hAyB+5gk5hdj0tOvUZPo+7pN2JaWYNOWqxQM4g+dMQAyojNXljIrUMVxMjmi1nRd
R+cBehONCCeYaP04c8s5dXjSPnZ11aHuKXUvIQNoMskKAOU9Av8NkUiJqD8tSTEyPJ+AZPSWKYuB
VdGxFskbU4WeVMwZljE4bWwqGzWm0fHx+K+tNVWCklUoQOheMcTC8qmUFjop4Erq2WlELYi3nbeh
HRcDmtFQ0aa/PyUfTcQtQDSbXgYqbmI2/nerIQmH+NR/LEXHAWlk5B0eTVAkLE5OVVJU4FMn69j5
OU0Rdd7XQ/nK3cQ9FECG36QKPsoInRZEmIiex2qJTM73ZpLttSy88DX/whxZvIZdhNZJPfmLPFio
8ZsN8pKBRFxtQNpR4/MGoQWC5ABt/utJNYMk1HLBBkPsJ48/ofG7Okk1kJaGO9nsQRr8AeG1Y7Gc
hWqvGgXdi3x24anlA8PT3Udm1zhrFw/DYuWNQ3SyTUQ9p3LQt7OwKpA324mxE+8Gtx7znPxmC3cA
0oIGBLE9cNpO77Jlc1LfSufdUakZnWiXec3VB1k+jQQHOC5KsLnxJzWtSTM7kpC8Azp0/hFaR5PO
OkMgLEoQ/ewUvlYbacOjOxoOeEaGh5kjh2SBDeALgMCcZpkcAccbA6Bq0yg38v03tz6X1oksyHZg
3EUc1uHo3sRhNHguc06DPT0sIrJVp5I7mkO0E7gM52ciPfooBE1Pvgbd46YGwu47OSkpSE0zcrBL
e9rZPI7mkPWiIN9lufgmTfsdgcJ0P+U52szvzli2T/EkO6K8GTVRP5/iswede+eWOi2IhTMEJ5cN
lh/oTmahAxe01Ye7TxdIB59n8aIjal4BEg0ZwvnLJCiHnUQ51blRKYgpjIer6xzm/ALqhdB24wXt
BkXAKditcOcGHIrZ48v56LUFtJSzWEzIr7QStrYl2NfoyytCD9sqA+/VnpY00DddAPj2VeqlCMmr
b7+C2/zU5RVf6U5/dbxwAqqtk12XwWUJSjQiLdgvMpqNjhxQMAZ+skXRg+L0qk9Jvh3iNAD4J5ak
JUXZ4iXPcwCYfuchULWCcur8850cNNj2ecrHzbIH6/H9vnKSJ2sKywfadopPZtmLqxWWNWjSgo0I
2uAKgrXgSrOgbcYtEoVsPWr9lIF+Q3vGTzz5i10pq+lUV945Ml8t0UwD9yuJKKATNWDACQDRdVkG
vbWBb6ELhiw9bmd70gCU2T2EKJIIMvvdOCrsEEnpsntfAwDs3Y883Kn9UfYAI9R1IEGC6crcllHI
j+haK88dHuP20XK64kxrJ2vYGuWL+hr1vcV5UbQ6g/OyJrUnjca3TG1dhlMrNqiJyje2U2brrvMQ
QwzkiKwOirFO7QQ06QNNafBiUzsmEulAZdiwAIY0XUxohvq0n1uYXVrx9aJfzK2eQZOAXgPFVtaR
TGbrG3eSTvjeQF+s+kTkPluBRjM9kXCctMcxcvBNQ4bLEQzlpN6B1vNPFeJKo6Nebp9xXFSYVvV4
eR0c50QD0xLXF8YrKeu4rdEKhP+U6DhVJtIIf05nndCCYheaxt+ktrtxAu6Pspxca9vn+AWZSVqd
bTWoF5N5aHFldOOy9+/kFWqyb8xmByUbUEa7Ch23pbeb892eQAi6tG2QHlyeWSeJXm3Ahul4t4vA
qnUC2wfetMPeJwUNix0tM9SrVShIhN+d2hIFmpnGulqTgvabt74zXJzJZlnW+HsWCJqg7fmXT3Wz
C3mQntwyFAxsJl2crRDF1p3ox68x+k03cd4MftzG41ejepWsEK8J8ODOnqgF+iAgRnjq3Yrjv+15
An7EWrq4L9u1jL6BDqlfhSbgFoKM18+8QE5Wya0WCBDoiQddiFpmWXG2eTk+g0S6ehAISq3AJh1+
E6MoNmkKGhsetdrX1JjFVc1iv7ODYUNWAKKvQb1glesh6CrwjtjyPI795ynI0VnTJQBSVgPJaRBR
c7skmRbgRq7exxezf7V1KiM61Q24QdRRNNAJdNbvZF0+JId2Sp7+dcu7j1QMoD1H0LBbLQqwGOSb
TOD6Oz2XgAr3wy5PTjTUXYBnbdsnJ5plgzQPDki5SBm0P81o2QZVU6AMHsI7N5L9zmWxS5gl350H
IFkf7DKeD7nbb1kmIwpbGRjGtEbz/K6vPZ9mo1rSrMZTEcBiaj1P7/Tkwyvv1ltDGGmV6JW5uVOQ
sWHipr5aDiSbu+V81L+b3+j5ACQOrQzzLer7AeaNNPCqUARuHfUVAP4Sd2amuONIGqFQYJ7N+t+u
c7VTU5kAgib3lHoaQl2RwZED7eeBqsPvnYNgHBFsrg3HVgL3yJE2QGVA+hZeGrfHm9qHZjYkjVGA
/w0EzNPsQzIaQJcIhciDdB/HY7JKGjRWh/hWXaHzMnb3OiuOVYNewMbrTDSzWsE/1LwSn5ooQB1T
OqI3s5bdLlav5sudBtUE8XoE99H8zr4ocq0P12iz1WaFaCTKsmPLDfCkrcxdERby5IBzaAMuq6+V
gohGvAv1KiLDF3qlSNrVkhQcRSxov3fcnZ0yyJQC3wBvQTXVJ1qRXA7noKniJ1ok6WidjSq4DjVD
Z9aUJ+BCLifgQSpvMgHZe7MxAi+Zt427skBF95iD9EC7BoDeALg8uhfwS+i2feq420ohh1lhBmwP
03tmBXDHSPRhXygDW7JbewSxAc84gjRFbfZhz+OgfqAV2Rsmftmin48o+GDQEWNaAgaCe/01sUeJ
SCsY182xcTfWkJqosuon/UQDYAKMEwKx/bphmbNeFDeGsjbBfU2qG+nipKEv/GR2HrqX4hEYgnUJ
oFgiXm8Uj3sHjN6VJbwSjUE24O7RjTUTvNMSWV7nHJTPtCD7xYpmQQQGWPydAIXWDH5M9cR2lD6k
7CINknKKSxoyUwlJHgyg02bWYclCznaLXxG1e42PHIA3DRoQKoYcnYPiIxTDDGl3upkO5lBtotRj
K1zPupMWj8I+k5dWTsMagf8UEVcAweA6pegVQDUVnBAAACwgTfXokadAZyalJUBKtFnsaIbeJRRY
fPjCoZT4Z2vyNNshwjoU+wrg7pdUKx+yvJYAC8uA6YSYEvozx2bbmyawiA2nObCivZ3FTdzOsvBj
dmc3/urb6y1eKfLuezVp5YZlZoAbuIbIo9eCdUDrvV/WtaMCRyJH0R7Zx525Rsedp9AHS44Qa40s
Iq1YNSDLlUTZdl5yG9HBCbifgPlA1UgcotqzEO0xVLCIOaBJ/dYJmxUtyQMgomB+wttCoJAOY4Z7
J21HFr3WztsJBZxYTAO4Mzj+dSqZsCOKir7W6OrmYMRMPECC1t46E5W2HRUQjaYGUgyVtkPfigOY
LPtd9OFPBot82YMUzYSbxzvNjTdUnb+004o8nMBsUWRfot6u99T8etcbS0tSLG4kU16jFsr9nfym
HZfsONcuHYqsDrSJx6svRj3We9LNtjRddjFCXI0yOSDof9MwJ4ShanvCI7XA0XDTVEdr975bbu6c
W3Q0UxvleRUe54662Yar/jwQ1iHmrRgn/7sJn5v3dAquASQYHflSrhm2Z9y14Fei0ntUCUafSmIJ
RL3guA09/e+yHqw3NUHo03pLTOtvRHTtl1Qbxo092vkR7w7mp2iwspnAvanrazhEw5epcaod6+t9
VZXleoGvnEFWkBB8h7N04trZNJEADPWvsC13YJeLXQAmoa2Op/a68ziQ2RvP3VWNmz9YY4GCdZpy
K+5Wlt69a1A2gb48ZcNVy3lcA3wptgZUGIBFiziuUjxmz85g/4gUu9bMqVW91p7hfaKFkaGdwwgr
7tMSHTTtDuV1YlvowAMpuiI8CNVMVpVc7poRvXOoDED8ItSASVHW/dYwrAbpMre+/PdvzrH/8ZsD
+QR6isFM5XpIrihckR/fAZAZyv/7H/1/q5gXCZLcQNguDPfcMyRmwARYggHa5K9lxtAUhEYeM5WA
QXUN0CVohQMoVe6iHFjyTxGq81ExHJTuCZWsn1qqUTCm0D11tnyKUiN89CKUntPMqCd0ZFArFcC6
H101kMJG3ZMFMBmvQ0x2FQic0/M6X5PSacYU/xJV/GoD5QT5OLUE1ivzK5BjB2oT3kqEjsBttCJ2
WOCFNHvedWzlEjssQFv4NemOM3WsSqmHKoGuFXaHrte4Ocxm5CZ7/EKAGQH8/SiWzpWz2W3xNZSb
nVfNgXel4p5twDf/378VT/P+8WvxHMvVQOvpcg9IvXf/oVyErxiIQ8PnvEm6Q6ze8HlbY5Dg013P
U7VeNHai3vPS4kjKRU5LyyuGYrW4gUMOa4D1Ypzni24+otABb5CYGgrUPg6/9SJ7W32E3+9iup6I
d2RQou58H7N6/gnQlmAdXfBeZpMRXCXyn09p3H1PRVp9a/s+2xo1qqlpGSGTHABKvjfD3Nd6Nm5I
DN6WFB2wEbuGtSUW76Qysi1Qb8pjzVGrE3h4vUdGX19NUejtCd95hoFuwvzIRhdXa1WHvSgAeI9I
Ya6fF3lhWigVbzy5IRkNrJ6ANtgiSa9nqAAn2XyOh+L8xU4glX/MJlwkFmRr0uaaPLq2p50XeaXO
KTOwmyzQ1p0RVHQOcG5wDn3OAenw1djl7+c01TO4r6qHUEckUuGrfI8N/qy6QF7cNJXHDLGKnaa7
2ZtMfpC+sdGBpgfjU2vj70qBz4RqkHVmrA1Xs/ckS0NDXJUFsXOQqFIW+JN9t2BaCKTRpj0MUzqt
UtvtACOhCGTM9i8cMT7O9DGI011Cb3ywekVI44qR7fHEIAJrNvPSWFkIaNGcFbuZU0YRyzTM+DsZ
mekTSQzJf247S0w8/5N4eCB6GhKhjvB96/lglKc+LVsv+/y6Ncnxbp7oAsDAcQcyD4dGZqGkF3wP
IB1t4mMTx/p5Fs3qtrG0Mw24J0bnvjrSorQB7oJ3QWPL3Vice3RGRTGw9HCVxp2YRGpmf8zuZAHC
BydPAv/kp9ViQDKr7UB5SlMaxrps/KyRa9YbHqjie+2tBoRJHIz1W9l20xqJCvNRVHF2kAz4oi7a
5K8hsEs3aH8QX5FtedHHEo22edzswLIh9j0aIYC6oDmfJ1k4O/QqadvMjfjnkRntDq1zwayVNjBR
GzaWOxbAGIk+e1uXlrYj34AhbT/a/bCxgTZjiDC7mKUhLk1iWehBVVMSTo3lriVeHjdmVIH9/MOw
qlMY0rp1gz2IalJfU9rFZJ4pt56XzcHM7OdFSds1U2++b4JSfCCU1+v2xwhmnm2D4MhVS2QAvpdc
fy2mnCFN25lXGtLRaK9IpM8GZNuiIP44ceu7KQ3PWZHZJCyxBVpMvrkRNi1SoiyS6YFssLt3ESaa
JtIMbL55OPiC5/lns2M+dcNkY+huULo5AAhHyz9nCKOYeKU7oX2p2HhSTpvRzLxTEQXOo0QpyUr2
Q/xHOExftalEDUCraUc03SW7qWuzN69D9b0yIM8JP/XsyUZ8Z6GONEbt7fAVLKju7BnhfXAXG3g+
KE8yIM+yTdqdBShIEBHj2zaTDA1HZXlsxyx6pMEsUYXMgY1WSyHzrYlWDsCkAiB/MaEZ3k1UgFF/
wIMVO0kZ5fsR9HUgvZqA4TrbFNof9SSMY6cw1UgkKtGfGie4kGj+FCKx7TXQQzgKMn/aBSFPcW2w
6tA4OAWQVOvJYWztNK52qnWhA+oOYagVcOLQjVUqAUlJ75TJNjX69riIZuv79exNUtpC5OJTqxCy
STSBsG6LWhZckDiQQkw1VE7prkcw9qwXGUre5YmG38k0BSuCEppTHfJgj76hsZz3I49l04kjhLrI
/ns/0i7GdO7dMk2mrym+lc5lmeDpNzlCB0SRq51xk038LPO2tCK52Y/arCSZpsxo1upJ6gOCaxvY
wyqOdq4Af0SJd5nTkKbRPCOZoxQ0M7wgLlZ36t+53Mk4OuqKVWm71ToedX1NatqR9pq4luCtH4xx
SHI2Jxo8RWMH2GBdNeFDSGumhMtysUZ8PUUBTJJuyA6dY6ZfAkrzDW8/P8wo6p+lGeB/AtpFgZtd
ZV/BrYcKTAshLc8ClZwQKEqLR+eTgzLwfTKlAtRugflouSjcToq++zGwR11vnT/JtEGxwI0p56U1
m6Yiujc1UiAAJaAYywxTrBAbiPFUB3WwOaIEiWYlAO63bCjY+k4xoh/z6FT8hWwBsAkWYjIxvFe0
OAeXWTTG/YMTtZM/AGX55gQyXU7IWmTVFhnN6AQxei+LfPlcOMUAEumFdNwWOehHf/0ZMhmF6yAH
v9uuKsH+AUCpi+q39QnciJCRRgWPRLNA8Fm5iBYzcLLOSjJd5GT767akLAVgUWj2oZyxlxbXjy0X
0eKqvKYxCP1OQwUt8ojZGV966NRnKLkpFLhwb/EretvSF8njCl1tQEsgOXCNruXQDBfk6Lw1gXeG
iSrwoOn9mlA6b3A+ae0GXNtaQKZFI+JPfNEFzpNkM+6n67Tp0bKTbZh2hvaZ/Gp01a/Al5HER8uM
/kB1y5DG6yZGdIKuMwMK0c6hztYC1dP+fP+hq9Ci5TLW2pXrebPNfIWSH7cj2iF1G7Y3u9IFN1gk
d0NSmq85IAZWqJyrLvFkmK8TQq9If7/GrsTvAmWLwJSClQtK8f3vnEiLFMzvnALlZKiTJgv39tbt
e5Rm/0R9l6is9J2g2A7EX0GKQFcg8KSx0XiTqEhC6lVtuOeI+AMGCmDh0sFFK05an2Y0yJThv+Gy
plmiDGsQ1aEvKZn2hZfwPfnNspspmd9tmRlD49/vO6/ncd5lcZXSNcTq3mPRp5GLOH+Ue5sslcFD
bRqPrDSAbyoD21yRDLCmaMEpzWw2IdmsAFDFaSgGfxEN0mcZ2DBQX9AE64kb3akojQAxW6DcoRs8
KTdOGPanioSkH5SRKAMZrEmlR7m9McaoezCzfp9HRRSuDL3ESxYL0DpWTmv8TwHUm4UuciMweIzq
+Ec3KtCibYO+KTVBklGGTnAM4iDzJ9u+HX4nk2jFRSeG/m5Hy8WNFHcyD7cf1GAgRHSnILe7MxaT
+YzCOAfMZjuAmdd+YiS1byIECcpdtZ6nMuKVX+ACIVZksJjScpFx1qTamtRapCXv03kTsrrf5MbK
6Lx9XzAbtQo8fARuY3FEnCxctXR3UjJSpGaCb4IKJKA13e2UwmUl+pRjfeXQna1Risy0gbTWALqN
NkAzOiI1/TT5YWTF51AwVGwgrXxF3OqKN3v9m10bIwoCWfbUNEO3rzMx+NqYigvQSaetDmS9l4Q7
eHbkuf0DLAT4UkNDn6X1z0YX/i1RvHtASx7KSVuODBSaoH5MokuO85I0iDV/T/KxupUlgNyt7Xw4
Jl4/IXGl+hk8V766NRjuyYtEMd7sro2Qnye7Zu/+JPO69lnGY+aTLQ1ghpFgBTKf6ow3s7yocv+/
Iz6GrSI6N7SbiJ2ZXPdQqWl5AFV0iTv+JhAnojgfavyDPjnVly5J0gfNyis/jtD5HZey/pTW4Jng
AL3+A9laNFWCa0+EwRdZle2rO6SgHNZS3H5zrVulAOs/W7E2dasgR+tyaos3ktFwYzNPK+1ba0/P
AV7i0TUaed+RrwJdNtO/4JU/OhSOI/e4y7qvbZfhNQNBBg3ZuTVeYYJzbjX86gIKY5VnpuLYLPZp
Cqr2dWLz0XfDafTNohp90NAa3cFRaxLSgDJvF2iszbXjZv7ugnLjKsM3AwzbLKjtLW3EJfKqa68H
C33cW+BVaFt5yuvmoTIddtUR08arRGPGGzSZdOCyt4NsW2f6egoC5wJ6QIaqTYG/eK8vDviClavZ
BGzdAN4LEZSgfchGrwIA5QMlvM0aE3UOiqZNC7puWyZjvNZdU7/QQIrZpkDp9cqqArlb1IsNzeoq
xCd3i9OdnJbe0GR+3TtH2pNENAhirEPHuLYtq4EhAIvD72xIVhioyUcYB+2MyqTuev3Y9OmfLlcI
/X1j48W7BqPb1Aw7gUfuSxQGxSoBGedfKDDicdb+icYjE6SQ4J8u0O3NxHrS8FXo4eV+WKHVAPm/
one3nAdmB5wbJoGgUzYXVci/RR6pWHvl1FzC1NSyvYd/iQM6PT4HPRg2fQbixHOk+/NqSos/4zj6
VnlxiqiQAUYZLxmvskSbTNAN8VOsAVnKM5mGtIBMN0Frly/A7OvWAiglXyynBfhU7U0XZnfObmRB
s29zwwTeqj4eBj0uTwCUdY6g7fKOYEjOTomT6Ie2EH+FRgem+iko/GXQ8hydisCi1LaLEH/+SXFY
1jRDMGSY1jQlpzv1IrPQbirmc3IrSMRqUd1vdGN6M73xmqf3bsuGN598ni6qm8+7fNSbU26mCf28
5Hpz4I3BzZT2Wk5J6yl+/6dahDdH33je/Fi//UDLzmicco///Xi1jH/goyO5oRvc9izw0HmOof2a
50icrLfBi1F/4p2lCjlZ+jAgyPAgOQP/D4AEN51a2kPZGBu7ysWOD2DYxON60lZkSfrKTsoD6/Q/
aAerKlpj42W65U8OymXRlwkiUrV3n1soP8o8QOBs+97+y0JD0INmWI9c1pFvqBWLUwtJJ8yaIhv2
wh0rVC0H+K9GGrIpDefRQJ7EnxUkC7pm2DsTrkcFb1F6/7F1W3wBPoKXZBe9nja9o6ffRq90tkVd
T34NBKWnIgUizKSZ4Y8wTnwexwZABsAcHFqBfsRXU/UpDHkxWxRj+IirW/Gldswc0DEiQazLaFCN
YR1HjnAcwWAtA8FlsTIdL8yI0SgxOCdSkhzAn0CnBWFId/G2llUD/JXkZNElHuoh+M6Z8FjRY3Pw
NkilAeh3lO0OaX3ApIGO01zxxGP7zgszletHk6W60C6DF7/JTjgXktQfBrRTnk3tbjGlWTWBE5R2
m48koaN9WzYBO89nTQ9e3Kq0HgSefA88ulb94F4cJVnEwIZHDXgBaK0bmbInu1HOTrQDDeiWsx5G
AN1uEuVEMstMvzZjLo6kJBEcwbfuXmgBXmjXT+PiRCs6MawBCEbmrRkwY0Wa2rw/jT4TnaauI/Np
ZEqKnx8xioIe3apZmqJiMkSKaRLpDNuZ5u4fWdsViG8AlNML2/IJFKy0oAFgh0BrGgBxuMjKBpgR
uj4hEP4v+8RoPrvWMWKcCtmGo2EFFJMPtu60Dwhcdw9VrTVHo+HPLTjZ9RVpadDrMt+mFrqUyA7v
Nz/VuubhOhnZEWjJf+4VNRIJINcVWxsJ1RM4YRXWYOMl9UYPAdxJyxkvMFPQgbTWSyBtSFsA0lNZ
zxiChVLPU5LS4ODb9MbyZiNd64BVZMn9YkwH0N5diw4tFMgKAI2ab/SSjIgVgMbqOalAkrs3bXrn
JlmN6/CHKYmXF+4CuPPFJvNWpvgrmhId7/ND0WhnLoDCJcr3EjAqBptGbp/p+zswBnvllTVoy80s
RTMcFACO2XZVCYzOUVZo5J+0E9XLV3jO+4XDv9Jqrqs3PeNbgfJTRHmsqkYXPUq0X8Sa5oYSxEX0
qovRvehO0L8EEoB5thTjIa/SQ4mA3tWqUIKuJdmjAdBZQHOB4AjkXam1szOwOcoElJFI/ZpG7z6R
ZNQGYw/EpWlNy0oZCEv/ZnQiPpPI0HN5NrLolUeTma1Lq7XWnTG1e9Kit0vfmmC5X2cui/YmUNXm
anVPVZ0vpedzHXuj4dHJcvtwX5lO9ejLDosfKWiYd7A08aTHoX3Ivfi76aK8JlWkrLwHrbBeAo2V
lrGS1fa47rO0fByyAZyznV0cAfFkrkhJsqwCj12TFMMRwIIMV/YhWolWVD4Nfdy+z2w5FAKxyJ/r
xSb5sF5cWtydEM1Qmjv1YrPs4Npu6U9DYmxHbuVHtwjQgjRqzTqkgoCoQuvxzVrWMtu3om8AUKEK
BpZ10Y/1k6VQCpY9gDhTP0mzSnE3BFsbEyDMaJ3pM4CaEYvt3Amgf1b+Fk/ZJ3C4NM+Z0OuzlSn8
PSXHx/qbgXfwKcy95KHGHXZF8sZBSkngTeYKkgm8EVQt6rvRlP424veA7iivv2jCYU+VEX63oj4/
//cdREde9f4dD/l8x0FO39Uck1v3TBW6ozAlHNF+Gmr5/5R9WXecONf1L2ItQIy3FDVX2WU7iYcb
VuKkmQRiRvDr362D2+W40/183w1LOjoSFacKNOwBx2Wuqx0qdZGmFZXBUu9BiQQpYlP4k3agkAVK
dBl8ri99lralPNk5BLzfu1GJDx76Lu10q96w5HX8T12W0eim1PtznVqozz/vTqOPdf8dZgXdRoP3
xCaOmjjQvN6Aci+0Xt+KRVnFZ4rSpfcF7NYt61vamDipsZT1qQFFz/hMxc4R6JkUmb+di+yGuvCq
j5u7pXeF4+bJGTYL0Gqo917B5LErCqBW/q4RLgsbpS92nxZYbBbGGiIFYsfiZnqSfXOoGqE/QD5L
3A4JfgQUp7TmPW3S2oMJ3soDpkMf05iZryxdxxYwPUVzC7wUv65OlnrYZgp0m6iLNkKYXsVhtdju
TCDfIWCBb77IYcbMPDcOOoLOUB1a4nGw/FCudUqnX4ZhVm99qEoNFAO0Kg7ot3Qdm8aiKjXUBazh
pvGXaU7Dxsam3UPa9OIux1bBwBxokSRjp4c2lAk35JKVq1ajGAG9TNGaqVbqG7s4Vcvr7mibdfzA
WJ7uJgn3TapGphkDhdAeRefgpa4y5JT0O3c0qxU1Uswd0pvCZtqZQuC62Du8veBWQkOO1kqCi2IU
Rrmq3FI+AnJlruMehNm4MuQjPHVxRMGz/sZysD+CL89azPGeAV/0BKIj35iZLA9+kzZ3kJSb8b+K
r8T/WwaPnWQ3tZp+KgGuyNupeMqgybg2qwFUp8xrTyBQNWvQjofHVOh3lhJV9rhYUlOjTdal5B9T
8cxeUislqqxSe4gJT6x/BM7Z2DhOMyartJys1ed6IgUowUl10DA5W0G93Lwzp9jZxqY7Q7DCy0FP
L4oQkvn5Mw4gzpXjWr8GSAjXZl+/mJNlrSpbpJdMY/6ub+1+Z6RKvyv2hlUL8v937nmbpumKnYMt
kjBuwPVITDuBS01pVHuHFzuK2YpTRSWmSlTViYFFQbo4Q/yDwTJgQykUkgAVQDofCrzw2wLhCjp8
+14930mnRkb63zH6+l/r1EyJFINOZw5bSc87p26PTcX1YOsQwRsj9RXo+C08BtkD5Ov3pvpNx5lb
74RWzYAk+PIJ4AGwfcb0Q5ql0qL0tzQ4WgCGOKXrGC/O3aRDZCZlrvvVtYS9c0xsfc668L6mkO7F
n0TKEAoe3tdO48YWc8MorCfD+6p3cLfpK9Guqa+e5/rGbgdnTX3LuAHdAgZDG2otBKYhbV3AFU31
tR1MbX0AcrfUCqaeE04jVJGp2vgQrHR04M64P1RrVtnaqss6HK9aqQIrqJNW09D/LlZzoci86sBV
aAYMmSNtR+mUuPT53J3qmWLQZWDP4IgT6uyZgkXz90vKWLnBuUoSTAo0TQ2sBXnoQ52C4N+0AZld
keQRK8fNYNrGLdVg+dZva1hVrHIpITepWrv3VqlaYc7of7DIEumwqSW8nK79mcrAfjOeS++jc+bF
D20+fuz/+/3JcCu1UntTgSPoCX0LfGL/mAwlwDrQFcEZ5dw91vxsx1H7rajn6baQ2neKdhYkfczM
sUKqgqWbQbAtc/ZLn3S+l0MfXeaydb5YUJ+mkXPfXSVd3Ip8X9gwcVAOPmXVvF1Em+G0zYVH07UB
60DIdFFdGzqIfFG6NMVbZuEmkPt6H4eqlHKNxbUNCzSOKdHUWM/EBCtMeBRkRVRuqep5/b3olfih
PdoXlUWsMh/awx+yEqddsqbEsy+wx1nGoiwvw8ZA6vvT03vW+1hSMdTojpRF1X9mUefSS27lNG4d
Bdu/ftHo6/Wn2FAAdcuaHA5O799K+pIu31cKtvTVvbZ7vttjKxHvFhp2yUw54+A25E4wgojwAKT4
PfDr7CwSfX6ASgCWf0nhhNTYza59Gco5THpwXsEP7XVoxOI9TK1jAkQfllvxakwU6IPlNbBjHI6A
aigb0vLhDM7AlpLr3LZPhTM+L0Op27ZVbp1tp/z32y6NKqPHYc2HW7ulB0++SdOWfwTdQd1+EJCS
t6u8P1DXP32GoZqfKR9e9PP1n++NVXojYnPfKx6GbN3+SKVWVf87NiYQMsEEEzRm1e3/q++f7lG1
+B1UeVGuP93cIboIdak9CYCl1oGH6maYNrldesE+WXKPTYCHwvKcp1kvdRzHzdVWCg+yPHWZY2nr
s03u4hGqY3F6TxfgjuHMbaXZrkszgEDaOjkwCPyfK2tO7psEJoQWbGgbVaMQdoGwJswjCzrjGISn
gwZaX5WGfrwrMwcqnfZQb60xc1+rofslcNTxNBWtwLGYNz1oPj5Hycv6lnW23CYg1xxHA3ROOYNJ
0gEfc+M5eHH0vCvuWxtr5r5o3G+Z1OHKYcTZj1n6pwZeGnHwv+4nIjE/pEWar7u0bsLU7qHArMQo
onbGY4+KcMx4hQ4n3/iOWx3pQnEqsTL5O+/aTCX3PXsZq2WpXFfQHsEJmLUyRMIvjgm37RjuEztg
+qpLXzJz1deifYHD4x5vO/+XqOdT3Vjy2XFxsJTIGP582J7Z6/MIP1s9ibfNWG5wYA/jYnUxFGlk
sDVznfedi3nTbw1znr5AANDFGdbf8WaMotPvY0RqEzLxuyocy0SeOZQCzpMqeRymcVVv/cQJOYzp
KUYpiW/MW527P/kYZbBYe+/WVtgTsVtFuEBXlUFt/VAj7Tq6DywlDUz3usZTOYFQex1dfRJKKV0D
NKP3z0M9Srr3dYT3bnnUQDcLy94JGGbcSH0Mfxor+/A+wDJernvlqsGUYhV7cOrSHeux6iAgqmd2
dHGHsbqNwYugGsXxrY0upj1ufAPmP9B7c7UAK5YUWD7T3FMeXRw811ZMhxVK15bI4WVRb7BgcFfX
nHSc5r2ctQy6WbgbNZgwqT77kb9ZajS+6ZaBkcnulm5OH6PmyaOdzfFxSfPaaWfpMIrJR9gKBoMb
8ZvSuocxOsd3JP540WS5771+Pn6KezkoZ1XGML9SHUq716GQ4FY8FIMPPZD3UWhQoLmcTROnTnBt
gFDfuO2KyDrPBtDRc2llN1y3xnMicm2VdTn7oVs/fauJXhrHEGu3iYojBENM2JlnZjCNhvkDUN1T
1g72Ny5ZsY2gjYbTqlJ80dnwnKgRhNZAuVlyeLbIbNyDWw+B/G7gT1DI31ZT/RcWJfcMCkmXtO6t
SzY4cjW35ryJVZViUhrTls/YCBmkbV0oWTPq4Vxn+ZZqzAZg1xgZZGf5EB1AfXq7TD6zS0Wgig7U
Yr03U9VspnibTtblUzcAff9llDkFsx6MRNzlQ3EZrMSZN3a2futKLZI6UbGQ8V2Gs+cN5elM/PJm
LtdxNA0H0JOGg6sucLrE0oCKsNFAkdozKlIW1amdStfuS861+Zr9oWUZ88Odrnemnp9vdB2OSg6b
f8H/1omgvZtazvpK/l34wmPHrcDGqe7SUiom8QfScG758fmaszCJKZgYFbjD/95+vRGVaAz2fp9r
qzFDrdWCkcKq7kC2qCZ8++DtnOy5MLIty/Tim+tDxirOitf/zJi0mS8ZU9V8tfAK2tW5D9GAqR1e
DNe/N71heMjiLjr60MEOAQkZXtjcfmst3buPayy1XbuxVxSvcv4ytVl9D7dI79Q6mlzROLPT/hS2
y+7yCJL3JUx/l7ghbChmFyW/m4z5GdSmIoCSZ3Ogi/te+lPMLa0e3x+Vk+fV6//YCTScf2wEWo5n
WqDmQgUan+yTW3MG1pEfTb1/h9lAd/KbNjvDayg7UwkCVm+lAthQDmfaHcX/Nc0Ur3xqIGenhuA6
a8fAK8wMutAYSPCmPXQ1zhtU7Rr/NJoBkvVWtMZfSxpMOceAUq7dDCfTw7KE7uanhmuVSob69hbJ
rK8/fBaYW5UrgOGq0JNmtWWg1oeL1QDMv9eZVC90s5P3HP6dtWEf6WLE2rgvtGptKBd7CnFyuqdi
XtgFhEjem0Qad8fUCBkDnChoq3g68q4c8U1RRbokok+2paF9mYfqLUTxOrK2iW2khwbzEggAMbs+
d5quASEslhqFpAY2VlhhVgcucPMLb/l+y+G3d6bWttchSEl1BqMhmCnDSGwZUIq82WYZBDiiqXqd
uqK6HXghHnfMjavHHK+72ywyX8dxFo9WV8Z7BxLuML1CY81MkEWHMtlTtWH/g7tpuJ8pgCZ2BUxH
1w1cAD36fDTuS73oUwBA7zgUeYO+7TsHiMIyO9i69bXKM/12iQG1lGxlLSD2l0LBe90luR66mWOE
pZGOey8HBxZsAotPKxt6uxe4rDq3KR69ZWRgX2MAfkTTJI5+VCNdhMbSC4tGCDYO4G2/x1kEEA7P
8OSh2JzA4DvAmU8bFFNa766JTVWwU8TYNirUPRwwKQORm1AKwVQeKI7yWxynKAlPfANPPVsVEIr+
liQ+jsVc2X7DzOunz5qQFJKXHamhqEIbkCC4GfrNIp0sVQxufNpao9MLHApWoWU2MO+hXauxSd76
0DikuXyNfRoHnDVtTXlAp9irwSnqtVMW8lwLgIB7N6pDHPqO5w8XMcqlSinYnKtDS/WgFOo7jzja
D7rOeBvBd3Nn/DAOdYTE028dBx3T00YNHrVavNJ8o2jTbY1FBnQjIACBXZ4oGJmAFBWglrca1gq4
SH9n4USQ4nSheFIJ/Noafc9NzbMCLyrTk2H4vxLDAq9Eq7KdlZs6VA0b/UZgVXzjiZQdo2zefIpT
NbLwT4Re9xBSB7p0qiuVYtMAs1yPjvoIDh9cUlIwG5MIOrPJpMHyUXibBJjJoHRLVNWlgMPRrKwU
tPMSpeKHJuzmQRc9BQiBgmNmToEYwZTTAGW+b2v4X0BITx4AWTXuB2/gN8ME9dU2n4tV00HCvvVB
iF/qDq9XnRUPF+o7Smwe1pC0D+o6xyElN5v/AR10//EyMU3osOoM4EHPMT3708sE+wHQ8SgL+2JP
k4RO7gBTnBM5fvpR14YmELfYMYfqhWhMG2arZYbpJBQvKDZY8aYEzBSIfzahcyaHvYHjqT1ZRpJ1
ZccYgxScfCVrSYpTCYRoiAjqUQKXuNlh2BGEWQhUrSGvYkCzcVNn448PiimLkApJsHiKjE4luizi
Ktf6NafE2hdCsQDWpVp2mZUbXKppN2Za5xdD1WLUqM20O/ZVc5JbM9WzpU3VWsuyt56bzSstd3w8
o7QR1tUNoBlFk60bx5JfytI1AzwBu+/Crk9zjx1T6A/Dnicd/oKOxSMrYXwS6Ti7xFSov9eMKN/M
stJORtpku/+eGVifeb+maTqe5zg+qL9wnHI//V9CxwS8ry4a7kqnx3FOkEi4WsrBWEde1sNqgbv7
IvYbWEeWzS2v2BwadsG/+bbGA99vq5+G168GuLbEAYNorpDp9D0RwgnMRjoPsYH9ZmPSf7guXIh0
LwPs3vcZBEOzHo+daXRO+Pm0dZiXCb4VsThYjqgAKHUL57QkQUp/gEwj9h+10f8uUmvNcy6e457h
dZ910cE3tfaCs1TA9DTskVe5HMIFa98o1j72YeSpTjYf4PfM/fbff0Vm/vOVZrkW07E7b7s6+HKf
6NN+LOO5aaz0rs2gUNXWEHbtXXkfiQLAazvubv2xl8eWz6+T073ajsX+grKzgDxBkb12Xpw9VhGW
3pHV5rdjrfs7p9CjnfTa7Fb3Khk6cIR9HNEVf24/cKGMs4t071Wzzf7ZSHxIEnSJv68b13wa/E3v
iP6ZjyLZ+0Pdrykr5/JrN5ocEx4TJqwmfJAK6cib2Eqwly/0GbyHtApLvyq/FLDwvKmq/q4d/eIL
y2Txpfb0dSe1+I5qDtc5NnpZv+9Vho9H8tbFzk5IHbRZwOhFtHc0GHVwbQXBhkYT/FPw3FZYJd0W
zU0B8hTY+2zBEhG2yEiqMhyFp39ADlGDBqUq1cFLt9OEx51j2/kdZgb5Xc71UOLtDz81T8arOs8v
GQdKnBp53+d3RQz/C93EHg2WaUjR/CwKTJDmtplqphzHHUApjPx8w9p5irFbMeNQJfKUPwFy6Ham
B0Eaz2c9JAjUOB7mXLsoEdDlUjl0w0lvogN0Tp6WT5PMXXVuiwZkw15e3kTL89zbWVWN445GYCbS
m9ATN+zoplI1Cl0vf4otfd+7gQ4WHR2PR0eW6vpGOJobZNz0v6ZiWFlVBbU26bG9Dp2lsIPf8lM6
AdQjwJY/U1qVQBFIxZNCZ3tYVeArUcjDFQJEAKEF62O5wFyb2vidWiGj2zkbN0pzMNyrR5GaP13M
+u7KHh7phiX6FbFOVZwBgfeneNHFf4xHLtwbDLjVr0jMlLRNdZbCJyPObxcdVagtgeM2VIr9gBlZ
MOWNv5sTT4D9oOokm6oVwNpYcEBaYm6SCGybN2kIeutPmE9pT+XITvBVFL80bb6BwPP4VGQcMr12
BzBc6yWY5Nvdpkxr/UsszTyAdDEWjKb50qej+9XnvQiaaPBfRy8NZZsoJ6E2gTdY6n+PfcCc52LK
v3BsRq6bSJjnTm8htjpEcuf7XnqbAesfeqMj9oXbPBUlgIww4HaOmVIwpBLFvFiAuDvqDDjqvxuc
wqywI6W6LEXKpPqHcSa43juTU+Ep+57Y1ABkAsuyymhRk6glUNNGZQMfRxTp0pUwAMyFA7ap3pRJ
2OrWI3Riu006z/ZB9p59SGvuHKiaCxi0Bdd6phmoDyppyXzvk1ALBa/NVO3sDttw7XNrlP7OUIuR
aLZf86Yob2kt8jPlUfGYYsvs1vchEqIyzJHBiD1tZUiLGZZ7UwhoubasdDz0hxJQ8dZ/cqwSm3qy
uo1Ejj3ys+XAU2k4OGYKV5QY3Ha6WLptAEddx2/1XLGkykogSO3Vp8xrz0/N1wYagqrXYWcRTav/
fhP51j/eRMwDmkjNziCPopv+pxe6D7FwnH5nw12SxjVIALUDZRk43f+AyElYK+MYycovXeH6j3Od
T2E22xqMEc0tXmAxqPq4WF79IqBxtHe5+RaiuN2CSdWaYxl+auB9FR+waXT/Ke7BdOcWtkqh9GGR
QWN0qb5mibkDAAbLPAF+UAQxlyf4f/ebERioLVVzVz76RutfLJb196Wr3yR+Uz8NCVADMy/mNVXr
pOkCD4DwG7OPh694dMIBHmktnIUOU59DHXGy66dagoefV5VzpFY7W1WY2j52fdJDRjbZDhm+wGWY
evIuS7NsK80J5iyQMNCPWTHcZFDeuxQwIF8uPQzNAsfox13tCO4HhTH6e8jn/qCUJZa41ovXVCkE
Y1RKDovKHQhMXcDVWNcBud2f3VrkO8PTv6SDA5hWot2njtWcu7ziQL9w91lLsXNbudC0wF73dJdn
9ndmJt5zDLJW6IIhdhhnPI48KJnU8+w+QzTL3nhRtwH8ZFw5JgSEhhh6Qp26UCnmYLw4xjxsPzVQ
MrUOOAnaUo9PA4A1VARFlmIb2rOMfWrON51iX+JvbJx6JVtB1aU0VA7Q6bpYX2PU0Ko8KtFFcil3
Jhxb2nUOceH7MZvre8z2xD7yoZDk9RPERWU/DqtGL8ztUreLYeWVcMGjbIBeh50oLlAAhKcZcLmQ
3nUZMCVdUh6NuLF3S3XoLHFqsHMAHV+VRHUq+REH18er4cLl1krmVzUvmYnRz7u6SubAZ4a2jhI+
Pknb3RLAJ58NEwvBIbmr62w4zJneBIMPURRMLvA/mGnuDSTvDezYYJsAljjpD0/ybcIBhce5Z7Nt
AabZ+bLk30QznyhhHuICZHP4w157pnqcPYDThvVnjEXQwJK/jLZ9KgcePUV8aKCtaLP7xoX8IEAL
w5l1XrPXvZjvsa9ona1iZusOGhwPgwvlQnus6+cU+xH1gEUH87+MszltBZBGe4AUQ7ufy6cmBuBl
rpppC7Zk+5Tj6NL29P77AHpPqAujOOpJYwAGhf3Wpui/SzGzQAdgFHse8bDC+xfzNIXa6rIqMUPP
ktmN30BuF3jqQzpwvzyCatY12A6gtrStYzPsLHlxPUCZ7QRSE7As03ycYqQFzrG02xnGyt8HGBCu
Rmb2N60JkfW2ANoWpDDzu6tNlzIytS8cBNH9MItyY2u+/uJmJ81uze+ZBwhI1K1KwAShQoTf1SLb
7w5ZvG5M3gYJhEL6C7XwASbDL07UZMc8aZE/lKWzY7MBWhZev6sRK48Rhl9brF1ntXHrtocJ7uTt
Tz2BcqYGNdpVb+Qd1Dd67jxQOxZiSO2d4tLORRwUOBl1ZIqD48y2v+jl/LPiHoeDGHe+APgnV1Xs
5fulESe9a6BM/DVMZZwvBvOKfdk248pXyXaqifMsDbzpUHOtJr93ICdAPSkEfMh/38nz8bSnsfR/
uxONlkLZ9N/utCRwQIbe/00wdvppg5fCmaNvzApepZa6aIAqLqUI8puQSlV1uiz1a9IMKuSHdDGt
+qlNP0So14csiISuFsWwrLG/OMBUroWy88XSBiyDPP7W1W58+D3OU6Z9lZix/SneQnv0wKqkXBtN
/IqvqBYkTg3nCS/CqJH2JDqs8/w2ladMxaEMCcfhNn2GFtP0p3gyDfK+BeJrye+xfDFwaAp4nZ5Y
8arAnDxIdQBMe5jOQtzHjPnGsAzsB1HdGPv+1I8lXm5UjMnppJMc3FlRbSjGypy/NfPZwSB2k0KR
Ov3Yb2mgdLo0LGrWNcyMwCKHdwrFlhyyQlnuWMzJdzh259vls1Bmgz1Y3AxskW3ZRvcLVAhvpjYG
76ghYBHF6MIVDOla/RDj6TYetXZfwHwFWo8vrcgarNX89smDHdKMRSJoMbV1gyefCChudQVbe2ad
7Qq96Z78xsWKGrtlXdcOF5zEf8eOefckTOAuIsOKNtSpHuYnLicHHrhmdW9Mzm3Vtynw/125ERmf
j3TxsnHajfhJUC2pcZSb9wXQ2xLmy4AVVwhQFMpGqHsje+tIwbL2oTc1aHm4dKKgx1ro2tN4eItX
WxvAxGkMSo+/GLNR3drtaOD4EN5IkAZg8XqAyuyK62UBw0g0Xy9YwvlYq7UV7HRaK17HYjDCrKsG
SCi0drwewd1dCejBhpE6l8yB4tzWXnnygFOx1j48Xg8MzivWmppBRgO9SfscHXgVf6EE6uBJF9s9
xdyto863t7rbDne6a/0FNwD5wnncrPRJ686kMdGXjQhHIGNCJ/Ga20m6L7Xda9+A4EsPXgvLDKp2
YN+vATcAFwJGid96BtmASFhg8qtke+a3g18Wd9Oc+l9hgWurJBqwjO0XqtGAtl46K6qaON9fBqSq
VkG8Dd7UAQ1KITWoAGPmTsrB/1paN3Tn3z/l6GPWRoN++pRUhf1o9uFT6gxEEsAelwEtkIPrKn78
/VOmyRyt8rQY4JKE5XlWdq9jzucNrdhpjU9xKv2PmKw/d732xzMXPjm2jRMDX0zQjACyvTdqIB17
CWLOFFtHXssEGKC/WzU+KtO/ItPClVUO1fPoOta+biM3rPOmfs766i/AYfA2TqfpklXRLw2ivs9V
z/0QE0O2p+oOj8a3rkOUYX2qumI58Jfdc3mB/NS4h9RrtcMfwDhcLzMwyIeqHmxnTUH8JKGPT8Wk
00UDQ6S/8w0DEKGow7aoPqQMAgntytegmweHWSBNykBg6/foKWuXvMXP4ISnP7TYpW7Em5iDjlJP
frmVpdvcglFY7iD2ie9EAqPgAKf07W1VF/Vu5NC0SBR1X84cLULa3Q5o+fwtSL0pOwNpDQ/jLFgS
aQg5ujOkAxKYpo7Y3Kpy846XVf049iNQsDCLTh3DWWe6xffwePkQz2agrQDf4HtHxWesYbHonV64
ilN+76T1AVAYLyC10Q746NTU2J70SK8CpBMedziFVzIi7ymkR8pyCNsz3mHmEIC1A6X3EMLVxhaI
cif0MsMLMRfqLl3CugtokO1ZyeJFfgpDemrwOhgtNIWh7zhrIQmYGrwJ3RYmlqmsTl0hCryhVHGo
OujRODijo5g1lWiu8WcNP2Qm0XQCbXveUbOYHbATVOfP2YPH+xU2gsswLl3cgdo/FKkTdTcEhAAm
84eldTbwZtO0suap31F1dqcKzGtbD6haCgcnEN6L49rd/ad8zKbtB31w3/KTQqYrgP1rnE7NsGvf
c3+ab+Pc0qBInNwK5s+3FKKLZwFk64H/EVxjlDKbDkA9EOEKqeHaDU/HKMDX1t9cY4UaVJbG1x6S
pIfrSJ0U+q0J2Qo4dMc314Ga1PFOKbbGryEqxS7jcNpmP69DU9x2sK85G023ouqcAukHQy88jidp
T8so1EI3ZIOCLnRWv6MYjUWfsJrSvQuR1dN1eE8vtJsEq6/3PwtlcgfiRKk1ffhL0dAaPHW2OImc
IcQBzqbexP4hKzjASSAYfHdmYz+MKUwboRi16tt4/plWWhowDeoQhguLYhcAoEvigZAwthrE7XD2
cGrNrt4kJg5LhDfWK1Gn87Pes/u6ncYY57gBGEAptF4cKExklfMEhuIEAQHDvhsyYW6c0YXTbjXA
HUpW3VYDLOUimzwNSyy1jMqS22KAh41ljpkRULGVxdbxuTh+iOUqZ4IItV6V1pHSGqX0RHFse1cb
HX4MWFXOK9+D4jAOkKagqFrt2eD2SyQ743XO2oNwpzkOsBGB/afagmlz/FcHmQNo1gzJIYIO+Gs0
lC8+Fm4vHdT0gIJPzJsG3ENdkXxdrayAqkj7oCOKLgVz2m439Bstn+uDW4NLbKtLL3T7f5wNWuwf
siI29EQcB4K8luvD8vfTSUjSWVlmzPVwyXVsKpmKbl71UKqIRA0Nvl7PvW1fprukY8Oxq3v4WF2b
Iz4nDMeirXHCSiuE/SAEkdtqDGWmDw/J6PD7yXjGEnt46KNyeOiwD7Oym3zYUdUwpH00Wx+aM6rV
gUb8A+RHIUeZ+GfqlYvK22St/g374llAIVEWxb1pP1GF7jO18uOoCZ4EITdAnk44q0+i6+ouaDEP
PHnYWDhRKVMtfpHfZ3Yebam25FEXqlOeO1YvIhkafCm0aVNxCLZVWGg+m8wCcIO3jzj86A9toU/Y
pveM51ibXm2j4XesTurbacZayhp74zmTI1s1cAQ4gk7Iv+as3NE4NKwOGOk2Gr665WE0c23eZDM0
2qfMKk+ahq37Bq7oLVSQjDPF6FJiPoovruIrquSlH7VQ51IwrQ1U7zL3e9hnqmGrrHR3swubz4lL
WBxia2MSXR9gN0C7aE1vH0WM/0Vq8Iof8QwErpm2yYaVNtv7VsYe/tCxNZh9tKcOm5UVG1/88dVP
/cCu5/SG4LW1EmuHDIe/G11gQq+QW2qAninUCrmHPep3LC41/D4INTp+H30epGF2fhRe/sIwr5Rg
2jz2M0DWePdj/a3e5So+qPio4t5v8Ws+FHM+5JujpT9WM/akNZdraz74yzjXfBrfKawEH7vAMaBt
V0UYW+W2SOwJMkq2a2yID77YlquWxBqnPXG9826AAGjPsPMXn6zEqx5bmUwbyZm5L5MquS9i1gap
tIvX9wzfBduAMiKsO+9LA6L1lAF1qRM2Qf5jDMGyMJb8lEW+u6cJECC38LFU86NClt8AMnX3o6EN
yVpVuUqT5PD8nvIhRqbQ790W62cPC4d1hMc+XBZsO8nDxVsNRqFVmAEbu47Je41rdXFbW/dEDCer
tT6VxSVSaYlK4520zxBjikHSz/wJIjzddDMJv9Me6tKJd6Dq+ZgMzpV28H6/WJ57Bjmt3V7jVgl9
GshnxaDQgg53cGoO4cP2kDSKRUrCnLGvmKeKfuqQCCgFqU4lT5zHaXDOsP6JmJHfNLPNbjK8miDA
4cdW6JpNHlKQLlAjQgv8V+yhyW/iDOIdFMdRG7Q8VAfOht3Qp7j7+6khLSGMidk4x8GxcBMsZQoX
tlbgnHV01/+95JgqyDk2AziYicEVUHxq+nBmuoOTtrS2IZCIeq0NMHg0Iy0AIhJSthCKB4dxkMHs
ad7azAWsmahOTcM0NWcq4VnYHz1frlJqpQZoNb+1UhUw9vvGiY5ekgPdlaofvrqUbFBElGjUV4Ax
RyEFmSPSm6HyccmCEW81PP9tHqSZlTcrSP5AfRCLffJPMWarBHlKdFuq6gDZHE38BIMEniP3ETtH
Ee8aaJyAA3q9YC+xDsvIzlex9t7c8Q480XrG5Jgyqb6UZkuNURZftCFutj7k5Q4TztoNgS1BF5Yf
MTvpU2eeyjEFpouK2HsQoaiNeWXCGxhI+Gt7I5h5qgGVDKpo0Ncf2iHP9Hd/wdN7N5nK3Ydm6vih
jkOTYIR285HbBLZXtwAz1Fw+DN0R3l/9IfYtHBK9D718ygFCrVt3dJ4/9aBqRf8QnL/Ea7Ns4tXU
ApjEmGMGENY2bunC9D46Z40VdLIylxDFc9eM93WBqdm1oVEpTteK9SzAdvP02XIAH0LQLX0jSKcB
AkxqZIDc6+C/T89c9zNM1vFgSA9nZtNxLN34DJOV3MnNFsCHC3jYIFzA0vGWAZ+yG21vxLz3/yj7
siU5dW3bLyJCohWv2VW2VZmV1fqFsMs2EiBEJwR8/RkovVxePvfufe8LgaQpshoSpDlHE8KKp5zi
Ve632YuMUYsuoH/2I4WBHbC3P8dev/o0TN9cmhYro/EETD2eL4scmWx/7IpTNmtPDh6Es9v4hQys
u9dDhC/l3B0YPwOyfVQb27STxI9fGpntrgaw93mM6kMniujcoGz52bJjvIee7zymGOUbLKoATJ05
4fYQt+47lgX9Tngq3CedHA7IjkF9G4xipJg1NPFD6OvltMu+K/UDEO3qGx38GO4J1XgvpngEmcEb
14ALOq+4n499zLLvTtoAo+WET9obn8aQl8MFXAOzC+gIeUsBZFDCJAUEdSLHuIzJ8a8mZIOm/wJo
cv8GNPlhxCgy6V4IeIDvWl2mP2TtEjrgFse64mkAJw8y0fTIjanfsZYYNjqewFMZRP1OOm+dloQ+
h3osjnAzMkunR1g0IycKQGROY0xA8MX0oJp20SDd+htJG6xlB9A3osFb9X7vPkv/CI3V9h0l2T2y
vtVzPAizL8oQ3ksTZf/l/qQu/esG9aMIClAwy4GoA4098peqFPyHw1QlOn2KqmbtafGkmSfAly+7
a0q8LXI60auGrsbe1T4ADrBdfE0hurrqYOuwt6OCiZ1oxvo6tMCpE/C0bFQzddN2TCDC8qQhzHJu
vUkeU7h2r4gg/JsXTQslff89Umm9AcK73Q0pdN0cUb/YAEWwo/NgJHaGPr1cdQW03KshXxEi1aPH
wvKxLXi6jRRRy88+7IOyZUh62ErPIXZg7LNl7NPi7Ba8ueNRS2E/CJk4CMV/2ABVlCMI0IouYjhm
HGNWC3eD+uywgcIvX+CBZLoFlC9eIYMLDEjJwneIKK2x7EXGnkBePnJhPBQ0I3sJCRjbc3/Z+9Oa
xZ3eDTIo9jUfwKAc9vn8xRwnleF2wN7PNiPalJt4rIo7Kwpbpy30oULIDsCIKnyB2luAF/TrCJ3A
g4tfNhnyb1EMy9M19wBNTWZdTBEmHybOy0detmdBIckTQDBkUVU5eWonh616NTYPDQgbdw6P4r2e
xHRIa1PdRVLIM82dQ+oCtpA2dXY040qToD/qsDVHewbo+68z2wfSFTJ9vgvx6lh2IAtC7/s/Pzfh
tPy/7kuGr9zMMSB4cP4vGGE7FN2olORPqErLQ1kE7iny9LayVlK2OWaQe+IJnKOSMvNOsu22cpDt
JYf24UOaqiWA0/1ZSTaslfL7c5rjf2bPbN8fo20IM7imZ8vOlfG1UN3an4EgEKwfjxOc0xfu3Gwh
KXDXAjG5saO6HatlHUFVyo6ORB+k9OUjWAiod44AbSaS7lvh0vvGD/m1yE2+rZTul6Gn+ZU35XgM
a/YtqctF0RP5nOgmvBQ0PSLf67zkBObKOYzJF7ZZBK2+cyGbs7bNBtltiBiKCT61CObC/KhLx4fy
NVrzFeE9wfYsi4rpxVRIP10qgN26nUpmOadKr+0bAXC9fMmCiR1Ce4eZdglsrXw2o4geuib8aqPC
ocXuep4U0G4xwees27WR8fMTau3X0odgXJpAJBVGffUe+yjYalFXvVF8/b2xgWAFcYHJQPIF1j1R
9aYmYEhIYtoNYT3YDwH2JgeYLwUH2gughdpJVdAlgHRtQmPJV5/jqqQfblYB+0vjvjl0aXAHRyAw
aOb/eiyi5hLl7CuVEZxZfnclQ/AVnB0sr61ARem4t6adZMN+d42DD9y1dQcaSwb92KofdxX8AiFH
ik+wwVNagp04zi7k8wcqgHM3GhoUMFlT8C1g/ffYCerF2ObpMwE4A/ZIRXPSKdd7JPyHOzhFlJcm
4SO8/gR7z3Vxz2RFf4JRBrwILz9yCZx3JJ0E9gaVs/axzwEUYigOJR7Tmwl13scgqlHNx/37taiD
XZ750SsPyz3+y/6Jd0Vw0lWEs7k5kDJaYB8dr21fmAIZm8I2HAtmtg4nj76FQ1YjjZd5s96seRx+
VglKf3AzCb5DVGg5eSb82tSBCwkOf3jwuBR7/HAwQEZJ8MnGljyrF3XkQj7F+M2RzIeqYbpb9I5G
OgMPoyYj2Z1t3UImFGFNmebDJWEwgIQim7sZpKdX9ptivx9uJ5ekqdkZ9Nz60tn7Dd4t06+tGliD
62Qq+tPnXg3qIM0G/CyztLu2erzPTOCtNYqgr7yGfcd8M/o59lZu7CjYH1SQn2orBni5q8o7ltbN
5vY5QSDILupzONmk4KF2UN1apXUxPUqUInynfrJv6sJ/r5j8bEBooX6yCyeE2RFYcLbHUMr5CyPi
6EvsPEIMA8rQLYftxjDVP30fG+wJ7Oo4Kl8CqfXXoAGuNMmz4r1IXrR79LopXMZ1Xm3DBDoLg2yS
Da0RY3Q2vSgq9EoF1H0w05htaenle9hDihNSl2wt+qS7agUOBHyFxNcWmbz57qr6Ir9UIvOeeSGh
RvVPayT5XsmYwBtkwtthrl64ECFasyTlKzE3vXlL/jkwsYKv8D5BgaOfd+yf0TbQTinAfxJZPawN
ihZ7GKxBe3E+S+u+WU2zTJ1NQ1hluU+huVtWQpNDmMNf0vazwi2X+AX9hWPwSO+1SXcmjcj7z5iZ
6X0gRuzcWpq1wyv6nhf1ZfKUuLZMkBMEAKEuMAcXTcqXwaiGExJjxRUPBrh7IR7WtsOaFVW+iPI0
AD4XGVvu8mo5TeCmtcOLE5Thd97CvoTWaXoFYtS96/tR7ULstUpFuoOT+QWMQdLolGYA5Ngz22fm
PjH32TPbJxis4wBPv/w/xP7nazqm/vMT7fWczHmRkgO7PgsehmI0DwJWibfWLGfo89rd5iWcGm2f
PUB9ha/orCrw2Tf4ztmbDU0B/QZQvxQVFA2RLB7AOkiwTdwCF5lu3dybnmQXv7emlh//NaAAvg6U
3UVYutl3ZGx3vEYKHRI3gETQKD+6SiYnktblasyy7qsDA9jekdn3qEHpZcIq61IqA50CA4z4IJV4
iiVYkq3H/YcuIcGCNl2AjQeKK0KW6rnkqYfHpZ/vbJPAx3sF/+v+TtC0epZFkuHhXaQbO+rLcLqD
2Zy7sqNhAsuYHkncZSlA5FcyTFD8wauwwpoa37lhRP1wUN+gYrroExl+h1MqkM5JHl4VoIV3A2TU
djY2ziEmHgFa+FdsBQTttZ5j+zk2juto85/XUuHfe1Ckz70A/loBZSyMAzJruv2xgdEdFSTm2r3e
3m0ovt1VMPHbkEDzpxrV0QVE6vMfY/YBvkvzAc8B/MFLX12GHIhi1LZBOKmH+pLVXbaMdNR9sObL
bQoQ+nCoy51rIDu2gQhju/fw6rj32ZSvRNdkX1jfbm2sM5YPI7603wYBox7WsOZKBxpsVeVsc0rh
3wClRwJZ0K9wHHnqKS2fkgoUhBjbxLXtd+HmWdDyq9Ejx5uw7Hc6jo4QyuQHkwz+GkpX2dnxm19n
49xnUkecy9z31+N8libvyvVQPe7cbG1FZHDv6kUTNRUqHYH/5MoWLl5wHRcG2VUbNnGi/8vylrL4
31WNwHNjGpKIQGIP5Q0Cfsa//ynEqAJbzR7vPZ1jV6tDvaNdm56hBTAtQ/jcfM3bZgW/7+JHGGQ/
cr/Tz5nP800NAbQDZtMTc11v5TCAy6eivIeK4fdpMhke11BZGtNAvFLo466rEWJPtulH0DPifdSe
bBPfl1XJmHOtkE169KfoFsVbvz76JoQiQTjA1XCQ064dv4AGFT6DDNGfodD7BBJm9To0Mtl5hkEn
QIbqlTuVhEInybH1wmjVi1fXuera49cMBh1X6jx0g+F48aKnA/pxQ4cpXXMfX1Js2W6DZKjllmOJ
sojdIj9iY/XrMFTDa91TvKfzPj9CNSy7DQKWaNrFZ9sO22nA7MHVwUujdR0oFOdpPN2XgA0vgb9X
WONKuYS1HXsZSO0ugrGY3nyIBWPnlbZfnM58kLAtvylJrnpq8+9VlRw4ScRP01YblwwZX8iIQObd
R+0+k1iEglHekaLBl2kyrwziMXUNnUSoETuPGiVU2w0MIbDlg/NCgvbY971Rd0E4DSeg0Olu7itR
qTcrrHJh0AgAPDBbqB7S5IMliVgGBQzeC/gIbzPQ2beEUf3IoJi0sGY8FKpyEEf6O5QNEo9aSNqA
LYV44J7+io94BsG6+dKuYGzrQunpdul/hWZeGjylmn2IqSFHLvW4JjoCYa30fqq4Dn8E5qUgffld
6ZSCKkKKq4NN5KKaxPPAPVTqIjfeNWmXP6nA13diAmm1B478CdAgFBJd54H47tgiP8S3IHNW5yrQ
aun6tbxD+ax9MI45gh9dHmwrohyeClXVY33VeXeQy38vCoe80GH4GszOAlBlwUOG+x9AD3mLttHi
6mc122gioz1X2QC1IpFBvQaTJkyydgQDBEiqwfyaZNIeb4oOKWirv5X37DGpvBIG2YpfsaYudzGf
2G3w3xEukn4nOAyfR8+hxwLoWVn2EA393YxqH/tW3lXuMdTDibh8aFekcp3+XglaXfys6+mddmBX
ENQ1NmMDCR+SMJwOACAebRdy9Q0cE4t2XMMoPF4K7YQP6XywwWWEOxQKTnw3mqKNFsZpUuRwwIRD
rvNiDQkh5r8nARRRbJfjIAXK8fCxY7YLYHuxb2Fv8cckOsb+ugFZDmAoXIh0xQrarqjtt/pE/CR4
gEBFgH8lDrXbhfjutd4S9DG6HSiyKPZJILoUcm5DpDdO1fArc3l98VBhtk8Geyhg4rWKY6I3dkLK
6uqS0D8j7DWkUsG6l19cPG2fWMrLfT3gDX1rdh2UMocWtlIl2FUxX+s6yJ/smB/mzxrIpXvbipqp
XmJLtutgo3OGA0yyxuoDnHADB4JlVFTdooHlzO7W7sr3YMrZefSd7DHT/nTI+uD9NvY5144CRZ2D
wfDPfNsH7+7xAaUXwMEJpLxY+M0o/MiZSZvHLhf1HYRsoEs7efk9vErwhAYuGbyK4MXeoMghAhn3
zyTpkfoxKWKkr0GyxBpf3oeVc+jTBDWs+SBZplaTU8ZrEAOae6qL/IWzbKl1HV7boeYvMALUY/4i
4Xl4hXQTvC8RUqZjd0FpeG8nENIUDyHeEyp2s+uEatE1mbXQkXpO97ZZBYwdmir/blvDHGECJRcZ
0K2HLBCrtFd807EMBMSgEJesn7IlieroI8h29tkFtDpZeE3QP5aT64AJgNBQh/wWqlBk/4inre7y
HCCrCP4m2LyU8EhblxUw2J103eeSjqgPZhSQ7N+jn03pzIqWn8HzXI9Vp0KkoET1aQiNBMd99zww
pvEIVicYNzXXrJRn2+/QAVQrVma7ro7bdwACYIaYrYlS5VbrBtJ3I28AWHe2YCm7P+tgvGtzEnxt
89pZlEMdPQ5xM24CyA3DchDWrnpQWICkxVYkQbENSuI9+yzpAcHlcus2pfeMHCZgCs34a7SQuVmV
yIivSOLmq7GsB3C3kLMHbzrfOkP/ZzOem82c31dB92v0s2nnVn6hr6rCy9FwdvA86UHamkOraeTJ
u4DoF7KD4/deRT+Qw42ewJsIN0KpYt83jfcQaSiXQNHW/ZaZHzbSLepxgQIL/oMq8e7gwTgsG5AK
oQwMJlQNcvKympu2L835r7P/3Idc2mJKAZ7AKiNcIrPD8agEaxpCujhlQVgvTTlAyxD16VMKCsTJ
ntmDxPJzHY3wQiCGtI/ade9DUqo3UzvVloLRtO4qqt4iAHwWWa3YScpGvIAovrBhKVM+UI9ICvYj
XAhsjdfUFYUhMKQ5IjcYvoBtzwBhIObehd/X2Q5YbiKBhuOCtc6vAWQA6kU5g8btwOcMOxDDsyaf
fHnhrGWPwD7vsHRj97aVQJcckvbIX9umPTht94Kl48uIx/yi4fJnOCNv8ID0bwr/lgoLRyz4k2ix
++xvRX5WEdB4xIF8g0Mi9wlJLtAWSBj+gEYZVcmPAK4zC9H77Ik4MML0BPIpCjvkPvaXXcmdNxPE
j2AqRT/j4XtdC+d7iMrvosHf6hmVgXQNkaryXnnBsIN+7pIhabgPZClPIuUMa1I5vbWMHo2ThN+J
qa4OU/lrIvD4pSLce3zefquqhM+v2kLGdFYFl9CuMwqiwLk5I0WefMHOgCBBoupn5bN+NWI9cpaD
KRZu5762UDo920OD2u4mKupm+dlnzyaTrybYl58++4dA03UJ95lV/Xu+HfXFAUhI86B63OsLQKbj
JSTRYRbnu0uKbaBcxnHxTRLjwaVTT4+JGIuTA9L25IXTo+0iA9GrwE17ZI0RYQdQXljofvTOdA5r
YLi2DXyazFvYHjLeeA5JSPekVUbOxKBQFic6WWUiKr/xJx6U/TcxiGAFCb7owIe6OhvodMPJyu2/
EQM0QBKSfVO09QZOi1WyRLZOQwVmPs2Jn22bsToERKCZYJl5YPPBntlAe3YbdtTYH+ICTDpo8af5
NnXKg/ZDvS5jHp0cXkfLsQi69ZQD6Ya0yz9tYObbdQCU77GOZh0dkLmPWoXZa9GIrVcW8WMZj+Ta
1u4a777s1dE8PYEqDdfJuRnlNECmpIBZ11jmr5BmFSuAgN2dHXU970uXif7BDkbIPHnwFTJOxi+l
ycEXIkw8ly2BPYfvqHOOtRqsn9z8mJS02HeJB+RpXzknnYXBmqJO/QgOAlnWvhxee5IBJAck/Ifj
l9tsiEbcgMU+jiqA/iiVD+5Iq68hfMAWAxf+s2gdINNVH52nIKYbxxhynCbwnU3K+A7/OX3KFBbx
qpXhJeNhtBw8cOo1lD1UxttjKkl7tGefhyiJ6k0T44nRIsntrXzegpQnwIjosd8id1Bb+dWuNFH3
2gbZTmCzy1Uzd2LH0B3bpnhKSYW/DWD3jwTYjcd+iL4KabCRSavocYoAmMuD/Kdt2QPAucHCC5J6
Z+MzeCrfJ15xiwdYK3pE3guCsQCH35Uq6pYMUgJ76FmNK1ITtYf6Wf8WtFtrct4GLoT/h65c99kI
+LcSX2OQoy9RBrlbAGlGsCjKHC66oXpHjZWudOiJ/VAP8ZtoF9HcPemA7EZWJatbk3Q/0z7pzz3g
3ngqNd8ZlgbvoZYCcp0Z6s6o8r/3wXqIOXkrvUbtcx93gu1uUKOGeHNEH4gmI2TLzRuq6C02bswc
mTfq9cR7upXYir8liVkPTVk94+vVwY9l9kuup+DNREyu3EgN+z7n4dtoVtCuVG91TxQQ4ymAXHN3
m+TFUiMFchR5DNlmeFGtEyRJXwa87F8quDJewql+sF0+B5nMxd4Ksp+IYFOSbWFvld4miFaAuIFX
/9aO2rhwquq7NgJkMKmnN8H5AF63i/trPuQo/ZSpVmeTi+gS6q685xRO678DqqaLdhFAK+B8/zMJ
djzNBvpFkOAGwyVb0iHHkp326Z29ig2McvlT6cmFTQqm2X7uN6vS1Q0Ydn4B9+sQNN4EHlvHEFto
5FTAJ16PRQFfsdAdyhXU4voj8rfc38C9eUuDadjZvgle7s7t1M5JMqh/2RF7NXtmBHSSJXYw4NTq
cyqhaTU63HzxAimW+KX5fWpoci6pD13GeQCOYGoZUWc8aUDbL/HU/fSUMV9QbNFLgIzyU8Mq59II
99vtQnpeWcurBjWds+ke+a9wHWXOnCMYpvsGwGhIrMynWdW9lIaUuz/6UkfCI5ylBzt3hHtfuCKZ
h+JV5MK+bJ6Wej3bxE0b4/sYNxcaRUvaSv7wqds0d5EgSsHcgZeE7SewsbFRtmsKULl2UXK8Q8lM
YTne0oXbTmwXI3F9bQi8LqG0hddTRLMKYE71Qp0gOd6Co7LdunrslhHXeQW+j7vClfuzHZVVlG7g
cpejpNypq+RZ8ej7wADNobIz35BBfnXDvLp9svQafe+LAJVyfLC9QqOqXz/M7YJUyNsPY5v2AP7V
Hz9QAzAcGPVut7Qfaa/07x9KR/qYdulp4nF+hiJGcQaDAYsHpLN6MRXnz37dUqhNyKTafA4wPtb3
QrGFDbP9RUGyJSqnLsw08EisXSQUe4cV2MSgGU+BPIGd+Qiwc49KQ4NlJ/JBYmtHI58kD7LLYP3U
HVRpmr2Eguliglr5GghdeNCBfDmsecajOz1hlZ4oLjZt6cMGZD4MRVKsaugc/dFXxDRfZZIXG+jq
ug9sLNZQkEURymval7Bzr2AWiu++oE9wRwbukaTw1MByZw+kjDgL7mFdPUcY/EKVIh+0DWb3gk4/
xC6SHACyiY0IXedFZd65yYz4TgP2GiAr+dxD124DAaFm4wrvXKuOP7CgqlYpNDHeShGcXcOTH43X
bJyyG76akNdL8FnrCy3q5G4s5Lizk6AHV60KdwIHDpNKNSQ/+q7aRG09/jFJeiK5M/MkyKzxByMI
YJfzpN+fFI1iY4BQ9ov3Nh7p2nXyeB+5+K7XBmvpTuTyw6Tx+j9HjIho/m/XSIA9/IDU8e0a+eCs
pjAtYAL4PhSOPNuDC7LguU5EuYIEW7eWNGez5a/mDwgDZg3rfRsnuQSQqVlAA7W7R1kX2BzVFS9O
AWGQ0qH0R1bsZQlJHqTkX7tAJa/BRIrV4IMeSEen3VIHKCk7O/o9O55nE1K4v2fHDCCuEWkPPP6m
bQdo+wLqqsCWgOaNh5FXnGkagC4/D2QzTbQaCO5ZmDHIqiB3js6CNapz2bIr3NpbuY+tAD8gdzc8
aPMtoV3+ztiz3bI0AxYwCsbhWHdH+Xv4Z/e/ou0+xkZnhkJ3vK3fddoF/g7P0/LYzQdfOXzdQusL
o6rZUhljw5Ti8YH1XV480qz17oKhDO5ssXSi6iMieILboiocl/5owXrpA0LJ6b1Fp82RtsUbPXyU
zjXGVuQBiCqApHSznLCHeEXB1j0AXKZuTW3gGjVCh3drRx0/f84LE51jXQZXV5d3vRuHrwLOi/vK
rcOlLjLkLYeQLs3889pSp61l2gPpBGStqZcvejqjkSsvbG9tG2jrnW4F5gTM97AChtEH0odFgARX
nF3IqFYsD/yr7QoBywPKVlaHbI4gskfZ6d8T0kCuDAgI1zTgzTpzYSUJEbwJK0IyHdME9sPwc6dI
XOG+7uTVeEXwdSAO9Hg6iFGXddvf4wbAG4PLdxOMBhgOwq9IW4yr1ouHjU1ZurHMLi33ARiZXQg+
R6GyKNah8MBHh0w/dlIAL8CftHqrtXkiEAS+DJI4FxYl5wF6QG+QJ4pR4neCtY1ysT1a9FCkuW/9
fIIpMgAbZvRAKcUlwhIKISRi9QrggOotLxwUALSDrMjcjC4xLravATReaWQJ95VRvw41Fk+Q8v3d
pir8NdIwHzvA2pNrbP6j/ee8suUMGaHh3i2BSKiROwNRIG8ee+yALrF8TAbTPNqeQrFmW0ZQ2LdN
OzDBZnRRlcLd2j57KEFoG7FxDvIedBtoR8DsqlbpcmKs3Km6rxYpTMsu9mBYkh8NBNIzllbQkRpb
8+C6WHzZJgV3Z1PkLgBsfhusPAGPUOoKf1hkVdyd7KFWpYY5Oxnu0jj+bruS2aj0j7goycRBzcos
c6wNKZDL2WUkxf6Dsj12ihNg6XnC9vbAfp/9PWLDeTgWywDvw6WNtn327BY9Cu3dpRHbe6kShxTq
qgd79n9q/n/1xVnvLODclq0+r1cagBaKhDw6cjQne0BKwpzULDBZefjlZAlRzt+D8e8z2zcSbGEL
J1zaeDsTuGKIRtpTYoB2k6pZ2Fg71QSpC3BwycEUkCn11laGpJsFSVJvSla64Rz4EqiNhO3sGx+J
ftLg1FOc2wDkB9NbgF97PVLRHgNHsky6EzY28lEQJ4dZGBQaGAP2qiNyl5CQLFw/j44Z3vtVqmKA
dlsw0XXE31C0nBa6ic3JIJH6miSHFl9MSGnQ7KjcOVnJK/HWKzBlCdTVd7aZ6OEIJhB51PBCw2Kd
zuVZCUHiL4k3mAdZoi4TNvCfs82golm4SLTzJhjk7G1fZJh5iOeD9KqdgzLHwbZs/8BzeQ/9/4UD
sMCrEDU/TOCHLG1TN4ytKsKCLRaqHkqQ5AnaJeysoEmjIrKiY8HgHKQMvNt9k+xANHtsXIVJox4E
JMvLvQvR4YOPTQheG2aiBzhakMMlb/pX3cMNfPRM+gjRRnMBpMFpWfpYiiJ9VJnmB+SvvttxMwfV
Oi82PWP4+88RdoBDM4Reqix6RsayOgNcnL6o4ZrPFUwwvcr7loDja5sj6dR2BFBmbZvxnIjguQfI
1Rw8XwLCZD30Nk28FjVVKzj00TcnH26rp6k1Gw/WwV8HGMEtAzGpSzKkzh22YANIt554yH9PguDK
bZIah9skD2mdEiuv+QVg3xgSWnJuzOXFtrzCiFUnBUU9FO+UgPXlAbzfamEn2L4SgmSfE8a0Od/Q
TdqXz12afUiST1+aPAEg0e0gtezr4IJU1vdqzlRGQHgue6crTz10rC+aez9svNvRZpl6KG9NZdpf
agbDCjvACamW1dACWCOq6gIXTL6YBHTlecniDUW6/GgP5ZDew8oEdUbW/+qy/bbZBsrAxmssuxWV
EIH/KwZMZXAnEgPv+VCytZ0n86YFoghyr2YxMPptnDrg4H35pk04542wUq4phWd2b8hOCkfepxHH
Jo9mybPUPIfcE2t/dAQL5Blw/6/ZUePz22wOjOofs/subRbYdYwrm4Rx81rdCz9R981IXUgBYnHZ
A6xPFzYdU3c8XHce/ehi2AXBcyh6ENjob30ZmS0WTCipexzvaRAFnuIhgK/qsLO6WgGsO+FmTt+b
eSLw1CgEwr/6NpHrsT/HGbatA4vVQRXwAm2Qvaeg13D8JNF0AZ/VgLo7r/1I1Nz69Nx3Wx/iL3yx
TTtYoEy0S/3MQMt3XQsWnW+IyUz82dJs5dQlO38iItEzwgSsNaJ6gBpyBlloIn8Z0HnDuG6B07n5
1OmE7Cpk3q82LFGoGgI/CRMrPw+Waa2WtA/d50Dib8u90RxtGcT7d9OOImVpjkNegiDiabwBpP8y
kip/Rr0XK0u/RQKqzPhTVXofQM/JD0DtXrza/RXgOpA0moQHFcu0vdSoZZ3H7ho2FIZ8v3t6Djh7
CkczO46WHWqpTu48MzoLJiKEh0gMAc1SbosZIBqQ/ldfJapya5sw6PqzD9KuyF7V98Zk7FHoYm8q
FL9ta4Cy67YZBF6BHYRPl4Fh71Mi5dGOulFbAZXpIp0b9gAdzbWdnox0Z5t2IW2bPMLoZ9OOliFw
7G2QnzzPPQfcbR9yfMwhavTW6oraLnsGOTPnIFP4czUQrHJKU+NRnfEtJBnEFhjz4Smm6ovmwKmq
gr2XXTw92QBiuNj2dTM+YZt3C4DZ+XsNZN4twF6Bg+a5SLqkPP7vKCgg8i12nb8uE+FzrBrW78t8
BtgfBPqXX1xPVlfsrOBq0TogqBUFjL68MMfOzA2A1wA/DH5Mc2c+uJuqDOrdX/120Pbdptl2wty7
qXTd8E5LSsGFgPs8D7E28WAH9A5qWLSQ7pDfxz2Ijlhavhmk5P8zZusv0nMAxKbvBV4EzgmNKGox
f8GD6rAeKXgPYquj8RUlmv0EMcRzDf4QWxBUexdd56q7Wxu8ifI4x6DS9o4NYYjSQU0vaTomQKxN
5HZm+5Qvk5U9422bgIOX/DOaY0spTJat7QZ3zIk8Y0cE/IYTyO3nDnmEtc0hl+2jjWhZ+F8IKVC4
/RfwP/BoHEWM+R6NAFoDNOovQorjMK8ZJEAgoiJ0PxQMSf02WVO3qO5LEPHZqkNqZ9UmagTucm6P
0MM6lebqQrHsXvsV1kKtKcgyTKBAdGvHAjWImEzIpOt/Ypq2S+HPCHadV1bRPQctbNtQae76JI+f
4ByE1ZIzfYC28lRg7f08VnGMd7Pud0CwhxCAZcMCBWXykXYdtAJ4+55wt1pPOvMOTMUJtBVauPtO
ZvpgSE8BVP8RJhBIlw1qZBAaQ+rfD9jKU0HzpZ4psD4+LU/bcBEHxjnjH14sU2Dutn5cXD1ZpHvP
KzLsd3EgDSyHeYlHvh4mtgbQX9z67ChKrhrIIS8F6bLv/IXt5HjqQn81ON36ykHkCyCb3V1qoG8M
coL4H9K+rDlSXen2FxHBKOAVaqaqPLe79wvRI4OYR8Gv/5YSb+Ou0/vcfeK+KJSpVFK2y4CklWvt
iiJjoKPB24BnJCM0F6w6fKBGj22vZXl8T9Zsg2KNWSJYoSLWAHHMNjNdb0kinBgQj6q3t2sSC98+
T8MO85I4q+v6yDrwQhQTSmEmLZp22NvWjE2RatUV+2t4m+FQWshRhXmtpK/L01zDLx0HlhC4OizR
NGJ26Wto9y5Uq+RcOYMaMllvQr4UmoDkWpJQF2+kR23ojJPKDCQmH2VxdeNTyRJUyqZpMMxhfBXv
jY6Ntasy5igd7fR+dzNAZhx1oJiuAVgmk2ascSYD4Uo+6tcb/2r2IKiw3cI8/2n6yHAsZeV4facJ
dg90ehzj8IEklahRGxvk83EeREwKQK1CTXIglAOra5Fjsi45tkoL9S+lzMVXlABbXttW4k4zwfUH
GP7g08CcYy+cO8WLbc01JBYz7AzoVf41Lzwad0DzBYIL46CCw/bKc9FdbWGjwa0FRTUoGLKk6aSp
Y27AoME81Y7anRVx29zQHLUGNavWKEfTcXTNo3DA8etrvKd05FjGIJXCjibr7pcgylEAj7fjwMDi
FR4XH9o8OxQGNGix79OlT9VwsHX1rq6ArG95aT3MwjEfuHGoTA2nttIA5sO9AAZzJKuXQWzAPx+e
KjlEJWCSzxyYtcsLLC3JpAEc5lSQLAyz3erTs2L0FHMslnyUtALxihhL5bxeApt0PcBxD40xW8Dm
G/OlioZTx5ITn0Z+jhU9ZFgHxtN2Rr2OD0S9cTeEqnFHvTqHnjbTnWkPFTcEkhM0mbsWqNDz4rOV
tAMUzdrT4OJDMQIk5frCBNO5vAANtZbQfZAUW1syP1wlG54VwZsT9Ezfrp7PY3IHdZdKNHgVotCq
nOqjMcQ/Fh8oby///dno/l6QaWkumNEtpqmoyzRU1C/K0rEPeGYdlDFOiEO4ew1EvaDnwcNxsNmJ
etp7b/V1wO9GoPw9/Cl2DVvn/08+EKmCcyMTp2iAbEAazUCdugLqAGTbsten2TPWNOHuxk8R5Fum
ke2AWhdbSDLZOk5pRgayRE8mG7ga7shHIRldlOysj75Zbtp1UAwv1GhTgAjnVP3ecJTbnEYAMZaB
rsXJh7fG0IhRG+woupfVfTOLBshHPTCY4ua+2v84bw1xRhMbYZ2Ydo3kLeAOb7cpZI79UkQgKWC4
BcUAg16KJv9/6JjjVe13HXMLRYW6jsohQ0OBIYDYNP7hO2SKWQdopbFxZAikXSQ2xWDlP9IiBGrF
imooqGfWwXABZhahVT7qDJysg4StAE+U5DV2GeYhsHTzUsrVctSlKLnDYu8eUJ/8moTYJKIBpYxA
KJalbwOZkr0NxBUGYj0c7+MeYlEVIMRcPeLlqoWkYd6qm7oqbdzYZvvebAvnEDcV9FTffXXTKZdk
mvG2JnoFd0nETRC4M/XMuJBFjZ3F2IKaag3UwqF9T/MziGDhqBvLNgox5FSjV+zlEuSjuMEeHiIU
/gJiqu24ojlPURQr924Tgw5VGK8D1+zDqNQ2zn9gptgk8gtbhCcy/3MSmOw7r8ic76uUd1bucNhg
3UN1ITuX9vA5U0C30ULmEdwGqJ2u8Zq8qU3wZYKQ2P7MgfYCY/+XCbpvUEYUyZYqryG18x38Yu59
idXSPVAKOEWRFdk0WwrUeaZqmJvGradLaSkgpSyq9MVAtZaXM9CrjtjAo8W/07gPrOPpl1lToGKd
a+a93Snmfqjz/NQ70dt0kAa8TZ/t5jHlObY4QG8CJb8HTXWjB5HY2UvKsQ6X7qQbpgvIWxpvqRrF
Ji9e24thS6ONHZk+XgWaE412YfdgyBzD3znA+OWFyehCm8TCgURq9OpmwNH8hliUUciE9X5e2+UV
2DR8acw62lggJNu7aTQoT+BFh4xrdEK1R/4cy0aAXNETkwF8iNFDicFVJEVyVuwoBAiSPMhxq/LI
hO5Y96SjMlDOpPg6AhRL6tgcQ7pAazrjrk8FX4rg7aE/aG4LntQ6s8+6UhQ+/SlsK8r8jBnKecTr
8DN+kiP9gRvc0vZSJWlPJfVyuqkO5jUGwoK4oolOukklTUuEl/6VXTrGId1FT17p10ABRo3zBDKp
iXIXvxqnMN+mjg1gQmxuh6NicXGhRjclYnjOj70EYa/+UZo8xgtyyjrUEJggxgC1+bynX4RW5AMY
dMAgTb+SplHiBxNypGRRhBmKB9XB6wdZND1P3GmZnmNn6NigFs9znWE7O+4p78vhye3bDhuCdgrq
Z2P6XCm2scWRHtCfFcQWjDgOJHr1qQQF9V1ch6mHs4j5c86wRf1PYVGN7S2a3shsqNXLpjDENyk2
onxXArkSWH1dOz6wYWWgqWNUeZns3tqtmcSVRxOWLupyXng/GUuSxUczgQSrHKgaI8mHSWSzAnqJ
gEAlk8UuM5sAiVQBibA7ENhYsqGeXmEtx7rSOQmN71d/r5ktTramqPPzNky3FGemBohMaB4YocXF
kGweyC7sBH4KIdu0cLrSgxAF4AfUU24SHpcn0QmxD7FfbMuCuFoWytUJ6qujRkAIXZo0MPZq4dWt
zk9LiBxoxR7rMex+khGGafBPefroRzeHzautz/g/V1Qt4E7VfGqhOATmrvqLpJM7cFcA5i9NkDTc
mZ2SPKUsLa5jgRfgcbKrL+t0R1jtkxDxPuqLnzm3J6zzLH6uIrwkolaTnwE/Bi/RalOPYuSMisXz
juLIzzWGtzYLzKajDmoOroThE/W6qlGWXvPeq2KO84WQQQQ34oDHNS1AwkNlvOKLs29HkXxjrq5j
1d2oF1HN2OWf58wnLgerNs9G33Jwtjr5MnMOQYQQ82chIM4oP/3Nz7GaNKpPLDkId75kc6WfQEur
n9ykLwy/bAq8eGQctDvzECYobMf44rRCE0MUq0l60MV+m/CexjFSKCKL7gdpR5JQZQPKK09PRbtb
9SRJkfLG7OP03rTZLlfARi36qLxQ00Ixb+mR2ettebSn4XLjv4k1JYd4DBGDHVjVP853mtY8WPXQ
3Y8tzrW5NRpnK+fhs9GGe7qNdn2Y752mD3d0t3ULHfyfrH9uVOzr540E28sH4jo9scfwGcTm+zj8
WjiaeCQkuY33AqXKXloJK//bINg4DK7r2cvfYYbZfRaVswXvGmR7TOdTZk/5gwZKt0cggqZjr6nC
I5OaSpkanHVl4R5ESd0j+TBJMGxFg0IVpDajGfpDlQDakMafSuwmPoGBnJ8T8ts6eCYyo9tEeItv
PQ6quXOTm6BXd00BkoQwAnBFjypfkaY6Jcp+LJy7ikLIR3Fmm2HKauf6a4jq0YA8lHRJJ9Pf+Jar
QX0TiifYGALOnSkHAPSngJqGYyfCW23g9H6zFW16i5xA2whMzvyTglf/ksENSx+cDl/TxjT8HOfV
jwMQB48TWJw9N7XKE5m9apf3JkD1ZFHDJ7Xe38wCNuEvjmNMoMRHPMjBc8YTvmdgmtlOAuWqdZFw
CxCCcZcoYjwpXdNNJ9BXbaGRWT2krHCeJEE1uEmMl3dLlzv0ZBnYpVd/s9ax/21e2dfYq1MVCP/J
o007BZTYGF67VMsvWWwDKi3dLXh0t+AKzg90AGrN7qPD+v4BK6fhkfHuQlF4aXUOqtUpYDDBJOhQ
JqDZihvQmCypTbUaXk0lfEsN6YLsSVcmEUzA1V5H2fTCCKFfZaS7LKpV1LLJjYR0cNprqYXPtRaV
x6I0J33vduCGaez0QhFLcBhlfTBho7CYS0D/lrn1bIOpQgP4Ro9VHVylIt4CIIFVdj9ruIDMTdcv
IHC4XHq5wvsFKSQfG5Sp1Iayx2vfPooi1PA4efJQx+OTBckfCJw47sHVQgto/tZ8HY1B9athxgmJ
fEOvIEJOk6piSh6KQd+24jPDuuCgdfbBdiDJg7/o5AQDFt5Lg/8YFzRN8wwFCumMqMtq/Qy2uPJt
zhp+m2OxizB2fTMRAkqRyEE5qWcA2Jps1unryPunWi64hlBvSUvdZbwZ7C5QIc7gZlc3NJX9qqiK
c1kQi0iB1RsfDdz43ufXUi2JIqjBRtVj5KTQtbcN494RVeVDNC3ak6mDGu6+jFgJZqGO++SjRkun
4uK6yQEUOdCtJl/k6KiMwFmosPEl9Nwye0tFWWoNbM9TZD5Ybmns+ljMUEKM04cBpRZQkiFZIgcH
jxr2qlrZuDkzA9BsLRHkV13HuZoZftlyEjXkT5Lv9RxZd6t7SBTU+brivLoqVU+hJ14YR0pPA1OP
8lw3jav9el21qq3NbEflFnJTdeQb8vNaMwjn1lz0efFf13qrjwPEEKQJe1h/LFQYgZa/g1RC2r2G
1Zh90XvQ8OuxAXYfabK+8tV4nD9pVWkGHcgRfUf6q65zPKsXKOTEOuO5Qgry87nj+9qtwx1Nj6sx
CNvKfgJpuI2FGOqayQ9NDuabkTkeqyH0FImLUFCLfwfdlQbVNnW+CyX8YR3ooB7taUOt7GnAkaPU
q0bjxSqKGDCbv5OQP2EoVgaC7Xzjz8W+ZMK9ru5oTvpLbwJBITMs15WfBbeUKHDr7qoLvb/oKKK1
ISN1rpv2Y0M+20nefA5QU8VoBn8KLf8w05lAR9Y79W5Nu4ZBlUUDFv/3q44gE9k38fzlxn9jTjSX
subgk9lwAzATMsXcOqcYRNs4p2+OoMNNPdJio6bLFXE/Q6uozcrpuvpx5DH4ENWY8Y+hivtBhnFw
Jt3Oz81UbDiQC5sY2rZnHOsUoMWeeLQbtQwgnWlCbbWuN+wM/du3RkQ5jrrSWjsKQAqPNECzl+jF
HmqQvQMLTbg5ZXaNR+xTkEHAOpRONFsd7OBb8rWiMh+z7EN1cNHPzRZ1zipK3gHEM3FPfpT1V4YT
PVUqFItRY9N5ZSfCaw7Y2CER0IY1UXyJ+xnOA2qtxdsv+MdQ5oUml3H13ID9alSqHflaho00rNMw
OZKTe7Kxm5p4satjlY89fVRShTkP1kb/3aQBNxx4ULfsc99jd351rbO00AX1tAxbfdT7x3Q0Yw2m
uXGHvWy7B+lqqxZ445E10lCsHPZA2uIEnIqkBwWyUhb+in5htW9o6u7dR+BqGiAfChkgl3loEvsy
q3N40mSDekTV8qlLjSG4DWE5ow5PS3cdWkILO2JY9E3OW4IPUdPcN3uZnubgLq4fUESyyy2UQCh4
puJbaxlnsCRi4426VZJAJ69OUGswpyg8tBMQ/DkQ1/WWrgyPptY8M7AMnVJQN1g4bcCXEWuQnT5i
+4F496npYgfgEGBnGp2lkPqwzehCHP24WgSdYJjvIeQnl9257h7Y2EdXibEImmbtVFu1Bg15mNQr
pUm9P5n/Ypohci2H7tr42ofl01AY2qHDYu3qOKOyaTS1egFFJu4jvVt+140GTw0I5HpDmu/nahLf
FAeksJM1aM+jZZdbrTcB0urz6ogw5zApBcSWZSYIL1QvTuJARDsrLfyi8HBhOo7Jqk68NZCl0rdJ
a08e+WgUJ2lutSEbYHbz3EHRzkNhrbVTFQ1/J5bikKQHF1u1Eb0LxACkVsmiAUoh2ipB4O/JFycq
KZtDVI81eBgaTVc3XRVJgoRoCJT2V1GAXtsjFzWAlKWAK4D7QsENOwkr9Uz+JY5LG3qhmBKDfsqF
BuyJfFbbmcmJIjm2UQD+5UfuM7PpT0kXY+07oLrlhMU49MKsousObRSNJ1C7hcbWZZMMkGP/4SVH
D2C7FlDAmmaNHwez13yKdPHZ/AmF9pveLFrotLnN0gw4zexmKDbc+MkEYwU4E6WUxHs8+S0LJ1KO
2fs3fjITtwO/S2I8LlaLM5ESdBHh7OMVv7jEytwJBrxSVB2pTjGt2J2qsHF/U9RoNNC82a2ljYtN
RY9TY961PcQDPlRDUiAljEBLEvo31ZFsKMEr8T5xKY6kmKVLMymHo9kQ+LSzbnkChB3WrJDsudLD
Ye7j5jCzESJrkkuCngeWqQStMeX+GFrtNoz6AfLWOd8rU12DYTEenrK4mh8nfD9zhv1C8mR4RUzM
Fnpv0gyTMD2jDO0HWVGMFG5VP43QjUd1tLRAgLskJBN7/yIASOwzauog94RtMWgFAVdrFTk202RD
JjVjhFpsR4YIlkNYeBmR0us0IjjehyfScF9TrBPX3OvoeoE1gwAKasLSFB+CGoqZ5KXXDFzVPovO
0PYEzXVQVHcQeMta1f9uxAAJvEuxqOZbYlcXzSKTeiva9z2W/JSS49/u9LaFyvp0PJZJ+4xdH5CA
zk4MFrvQDYQZVk+2XT1TncTqL7WpepLxVDnOUD6KYn6wWbEZtZCVuW9aLGGQqoNmKnrmyPsgrRS9
8labeouTxtc5ZM4TALORokLH6T0ZDTAhjLc8lRyh4cW52uSkcG4I7eAo+vKZVv/tx6FPu6SxBP4r
VNcw3cZPtVpDn9fgoehBLiwbMqkBCaUfolb0uLqoBzw0zjZXZ5sadWAaRvnmJHsdpqyUXyZsgfX0
FfWzghv7J3dyt7laWF/sITR2tZJrezITs/Py0jReWyWPTlYH1SHyT3r2CeX3zWOrptEVvx8HgFZM
Lwpg+vNSAc+SremPqMl81q2UfbEdsIu18lkxatrViRvtWs2Rdk069UdlFcMhwn3QBllxoZ2MLAGb
JyIWX8/MDiohxYTVP1N1b82AosswRpEgTTULXd3OTMGemZyLrUOcYVEXoK9zk2rilAMYAw1PeV1Q
VU4HyFZ8n3Esc+1VlOAInJPZZ2ClkyCR8PwJKBroDb7b5CzSEm+f1KWGhpdIsrGiqP00mSR32r/N
sSZaEPwqmKeLDDJeszJ5HLtiW7BGlj6o1cJmn46gSGdM/zIWeGULW9W4cO4a08ZJYzVIqmRDEfVc
mhfqUQj1hil/S0UmNUX1kOifkkRNH7uhvVYxSvFBX5c+Vq0e36HeeEtj1NR4eh2KCXLbq6+deuZ3
cRzvV9/viTS8dF20gu1BF/mojBxHV2D/DcbB5QEbcHbjU7dXQtT2UJfGnb7hKEkC76Q15e5myi0V
G3njx+Z/8uFA4m0uTetO0xTi2f+e8V8kq4pozsHZiA9B2VQH6++mGC6d3fWoRkygt8BD9tCFfQ9Q
yJx/r1sObUtrfM1RY7JjoaoDGath/0svgIvMx/iUtNHwzMOw2EU9tuoSkLk88zJChUheC49G1REb
dq4LjCH03p6pSTrziFOH9J7iVQB/vFHHWpoGLbwmLNla7nbHKAc7BSs6CDzaEEEKZkVpA+qtJgAE
PcDH4D0jn27rbaDKpuihl12DIGSysis1YDcrcYb+WDkdzubI1aSZh1UrOy++gTdH8MQbJ9eo8Hbn
FFAxsLUk4BNgCcC6RUvTC2Uv9e0A1YG/DOc3P0UA/o4K4BaFWgmkwCPUdHxr+QTup6gt7pxM1BdA
1Gwf98vkG1Qtt0U7ZJ/7osBzmvHhADly0HTy6UoBQC++zQxBg5u4an2ppCJQCSqxAzCPXwnJTfjv
SQK+baOcjm9HwaDOsxSv63uoipGGo/xrnPHqD2qBWCo0utnk7meTP5GlJHB1pBD5IXBEMT7g//Ow
+TAUdqI+pCUqZ+VBNDVpBJZT0VpsT4fT6wD1Bq356TgNPyyWlBFeZqnAeBqt/bVTeL8MptJl1Vzb
RA2O7lvUzeGhmbqnwrLb5wEQ2i0Q8Ww71UP7DL7qEMdC8eTRaKY67AG3Gn+Ks7nz9bG9OpWe3oVF
2T2brBa+IWznQLEonh72NQh7NziUxJ5LHR+j2tZrb25jPTC5qYEu+3c7bmyAxCrQbMjRNW62OjyI
ybk0bgVFKMbjc1iqHM/VbiifUTIg6daL2Jd6EJe1ySFWt5g9NlsD6IgvEav/NnaAgu3AzX1u4uvw
p7B/cS2zw4kklAVVv5wt4ZlznWwN+qGlAgnJkFBDPgjL4xez2jfDIEoQni4z0IBS0a8N8pEg5xRK
vk3U5pXjOAMq4sx2z207hOeisHDi3+ZgXRhNVIDMWXheupDFC89kc03xVSVxUf6MN+cNTX4Ld+af
qH3h+8WkjMuwnEw9zYkNv0aRwYYS2qFWndX6MLr6WHqgvedBh2VXCTYs3Kz13koDcmpyZKIgctJw
Zs0/tZLbki4ft/8/pviQbelSbBLhZgAxoGxX6/0n4omvY92FvlCdn+OuUPCwaj9xKecz5OKP/j/E
U57yPU9mzM2xhhq3PzViI08cXsDTb+EsadzMbmSsFpiUjJd8mpcxyIe9Wb/PA3LiJss6T45le1DL
zWvW9YpydI2V11+t9zH6bDaAIoNeFJEXV/XG4ErvgTwMpS7tXOdBLxvNKtJ0100Arwp1zgPqOX1m
gXf7PcguxLTHGfeF0YDdzsCYreEq5At9RxeoxO3G9lIaQ7/jwBSAEjlvL+SjnmhZe6Fei7qpQGmw
EJQTmGyoZ9fZBPi3nKbWc2CUrXZcfGsW6jUR5OHzAuojNwPrNehj2LmLY3uZbx2gGXTN94/RuJCH
HSoUV4Wzap601qrVA3VR4YEuCoXME2RnqjcvDaF2IQHazGrMk50JQNWoi8KJBtrealf7onSET1Od
RrEUaMohy5IQpJHAiWd4543UuLgfHJ4f8mYavGyqUItATgCiH3NbiQN30vN7cuF2/BZHJjU0GoMS
LwXjX7D6Kafr9MiptcUyn0ZlbI5TtiAEo8Lix/rw7+vL2HCYUZP/HrfOZ5WbHTRLGzy66jrwHrv6
15wcN+wtCr8tPCnB4dhsx3EUIBS2OnwBCrvaDlT3nYdyZ+CDPcljE1A8bAAI2eLHmQIz6aeAeosp
Zq7464iijQ6IpFvcjnrHOvE6Y6dENmT+yUchozm9qIoKLbL32JupZNJ8CuERA9UmFqZ9euRVlHkK
ZEWx9mIXp2hiQG7ij80H3+hGx9hwlggznYO2siwf92b8d1oGSrjyUr1P5nlL0kfUOHrJvSYp9GDx
jUO1B4KyhvxPYz0psdoeY4ia1I6So/BEbS44WNQvszairlFSs/MngH3Db+t4VRnYT8WHxapyChVz
M8ZFeVe0VbFnounPjp42x4Q34dEZFCPQ0s7cT1o+XAc9dralW44P+qADG1Dk9nOcOBDydsbhc2ly
sDTkaf9tGvi1m0b9V6fg720LAdzh+IkpIPXx1Cg/aaMqvteK+KY69vglibC5XkD7DfLBtuvH+AyP
cTV12/VjAfXXn8GyVC8fSzNxYtUCQb98rDZEqXJd6BAAgC7jEZWL7NHUpBDVqJ9LaXWJwR7r2og2
WgU5kCzHbdtKI/0hT59pjKJSbI1sOQRqtxRAAyboAKEQn6LOFnmits8Oilm2Pl2EfLE1vugtcO8U
j3dZ5zTbwDJQDoroIS/hMYGSEDK7voJQFnZX16tYhROB2STJ9hQxaY3+4OpPOAyfwNU9gUFTxebg
qz6FWIen6kMsIBGnxlkKaDgO2vHMhz6e0ub79wizHzIfsg3ubnSyAQTPpqx5rNzmTL1SAIuumLXi
k4nz+XYZWON6aFr4/x1hrgFP/nsVkq7aYMwGStgwMcgAXPodY45vneWoWCDcN1Z6mFSoM+kOqIyG
OMu+ssi9nydUi7I69co5dWLgBGfU2ubJz9BWPw91pn7BaaPjgYLPeLabYd70swmautqxwS49ijOP
UbonRFgedQf8RSixIwAkcKpeWmXJKwi/cpAJsWhD/qZRcV7AmXmdmnh4zJLsiRA9ahnaW63VOxTn
qV7OcgaRoHwCPyV2lbBd+K1v5mSjAFCN//epvBOoIfcbOZDrcwC42PypgPov1krqScuglAkgCcNR
alfc2YpxlyoFe3ZAgfUMWjrUh7Jn8gxmfMZ2bnhXtrb17CYgVxxnb6zj4pmpUXbNyuqJrF66dDAN
4Wy3ecC9IH9GmREQGSzWj43RFc9zlnV7lWvdhibYHCSZ6dQkQTZb5TUzjRGYYivfMrz8GxtX4eU1
AmGjn0mnkc9fS6f41XITfMSgYmhC1A4Piqd2jXrQCZtkHWvoyDyiFqF7NEODHdK6QgWdRCpRQ/FW
MauHTo2BZaqDSsvLx3zGpsqEI0Art31IdoDqU3Bsy1VTuzRkRpxjLQr0BNaijY5uMUy/+rKHbIcM
nOUAjd7M+0dzSUXTKB+EhH656s9ek8qxne3rFpgwNFdhH5rVhzNz1AD+1xCa+y/i/kUISty6PRaw
538Ru162nfHY9hb79096k6Yez1onjJOtdV0whEoXUI8ajoL1AMxGXUA98lWT6e6yNn9ZXTdT14Gb
qRSHxz02W9fMVgStRFv7MSRpLIXvUdoB2hBIUaCh3v+Pr6ncDQog82Ntd/+Rzsoztm05CrFBnjD6
TR+7fw0D3nokuxI4ca+l25RfHAg3gRKwF3em0EAiUWTVIVMTdl9M/TUf2zO3hl0Dzu3IS0ACyGpF
apvGB3dWWOpFMb7vvfRgbIkywnFXgZr9l5GxoIhHMHkL6zGL4uEb6Gy/Trjh/eUWMdg++5A/4q1F
7MCFWV7Wxq4G8ObyKLmILzfe1aRer2SKP+I2tnHiDryPNDMurUiAUonmM/KbULf3eddqDAcTI6ro
IVIdbzSuqCci6R+KR4YFwys0m+uzivdTkFeDu5+iHNP5hTdctgg5aHbk+KGBSgouVR+g9BNuUPxY
7a22q8BdCgUubuYumAPn8gVMbCDfBrHQMrct2ZsIBM0dC55iRzs1PZqrudhVCk0b+x1yLip6E9wY
2V/FXLjfTc26U2bc0LkFmq8ZCiQn7HY5uLuaFYQNTee7Nu2mqODf+0GYftUN1rVq1SloIdS+wV6X
jwenwGMVyvGuiucONk7de5wP5iCIjberC5xyLkSs421TgJyDomgwVHuwFckcq0/pAQd0M7xEoFjQ
vae4vMZTmems8CmO0g25WwRuyZ7XqU7Kqvs43Vvc+d452PHUsd2CZYuYL+CINfHCN4/tFu9HKYBn
cFLTo5BcbLraMvy2DPGmUOe4jYGQAS/84BXa3UaaSvccM1c7LIEoj9g0qMkJKM4c7fkCvl3zMFgW
k1vr3VhurHgTRzz5bKYDvrygQPOBT5w+57ph+VnS84BMlm9cVsafVSO2g6kEEyAE9kAC3oA/K0sG
fmpHqOvgeV5C3CQE/ROD5ouJjx11k/G1qGPTZ5bb362xKCR8i0VNvPbaxtpxUShDEVe6abMRwm6S
AUAHGv4kAEDmF3WqzsIZvyYcL8NcNnbRvTVDpHw0aZTiKORPJg1QCFO4dUzAoCt6KHZ5UwbmoYFh
oewUn/Kq4ecMm744OZfdBpROZ4rICrEvWsCEhe1CJtVTHDd9iEM73YDvJbpQwziEljeaoVY7MO5K
4oupi/ZVzcNjPKAE3PTKHEXVgkN/W++GoLGbOoSWGrpOrQBKvQ4tdlU6+la18VlpZHFS/Acbyka9
56QzDsk0vRlQFgGGnF4S1Bs5Kj0+OF2zs880rAx6d2qwRcL2jh3qR013nwhtjCVI91jbqHxqQnD9
9vSsBxL/0kO65kIhkTtOZznBoBeHNZhGJwVvqEWjnVYc+MhrbPRyyAOk4E7erthw6lGcXkK/EIC6
Unj1ADxpAxZrnOeXQSWLL9aGfDoVYPxpGPV9b9EoTja8tJyh7CMzrME47QhGvF7vb/y3SUGS+Nu0
RM132Tjy+6JLgOYvzV8VOsoI7jpTTff4yy+dWMDzHiOHRptprzlEacFX6wym4y2IyqH5lXITtFZW
AzG3FUN5A6m8QV6+z43UsMTq9m/Q5ocsONwH/A5LDu1qzkp9wsaACKipDC6CLDXezKkEKIxXkp7t
Nz+ZNIFib8w1U5MbYN+lYQuwdDEooH6RF8MZxNslyPyTbw1h1eSD8648tfJ/Le011DragMyTWch/
wmlIIM9M9tIVtfZLr7thRz5V6AenTUDbNqAUdKDaT6Bm6oBs6kEhrg7+0aePOJeyX/4UuU4E42q/
FczqcNtA/cJaogAiArHtBtu+HaC4NRgqlts2jQzsXPw2X+EpHuyJzFKj/GjJss7FkVFzEE7eMXXr
jJnmA8rWnkH93J6nKtR3Rhj+JNfaQG4CzHoybG0sOaGtwDeIcgFg2t9HaWA1b+bOQGuAIDVCsZxM
QJddg9e560CElZQHbWeQXxe1skn72T41qCs9aiMfdhCwGPAS0gTWYGffmxyrEUiTOw994bJj6Lj9
DgvB4VW3q6AdIZFFEQDWj4e3fyANbNb+O2CYoMILavgfAcMDAYhvcMeEIiYYcsvBGRgDWxiEQ+QG
LvbDAjJtlMWBX+d9JMT+33GE1OkaQjOoAaC52JeuaXjYrmW+rtXmtUtdvHdPGkg6J2a94ke5GKae
/Ghd8a0rQhcM5UCtmEYxHsFalz1kZgacrowwlZ89QIjfsPUQ+qzDRg1IJsITuNGHTVnEORg2bOUA
KQ8TdG0wU2iaB21qgd50VLMXnSfiMlXRDxpsIGty3zo4wZKhbtQlT73BoHve5S/kKsOLkhmQ4FK6
dsNZ+Gxhv/KSyFJGsxJ4CwEHzb6TRZAOGMqPscZdj0bHvGEgaB58PAbnQy2RiRXWtbsBx9SbBaM4
Dv2bTdBDyCe2OHx2/nqTmHcdgL+oegyHieIwSVoMqhUjn9Ki1EEBz/eOfNQwYd4BOhKeyUrivL4r
HeVDGdpNIgqDPhDogN4TgfN/a5mDMo0eJBwLgMuL2Ut0XtyDGMzFopeFd+OQNpInDCZ2kULgLOu3
mEYHURrFWG4OhsMKxHOjB66Q1ykbp88jRLOAM82eS/AMX2cugIKS/rZU260ytfNhlOb0dxiYEKxr
3Iu/sJs9BDcsWVmeGqdMWEfyQ9Qq0SBS6b62bZoFPSs4FMpLd6mfTUGh/H+cfVl327iy9S/iWiRI
gOQrqVmW5dhJ3J0Xru6+3Zznmb/+bhQVQ1HS537nezAWUFUAaVkmgRr23uWAMQF+fogqWxEmfmpz
trKuNkl6rMBw/OpOaf1WGPmerAaUCIK5FWDLNKQ1oph1u2lcynfTTRM/ca3oBKRrD7vcMt8o/kFh
tOO+aPqvQWDBIUXcg13EbWNHXaMC3MaM/Pooa2M/QKzrhZqpKJfr1L0AYnR+iTgaElscQN1aB2/C
nSmqKfco4Inh2fpuxxCDvlrWOonEnPP0DOC/Z7taeonmvtHiuTuBPLp/IhH+JPj2O/gXSBwXD3Aa
wyOx7PWu+EqjBzslIwUtlWpD7BcAcN2Q1gon0eE8housXTXH7dP1Fn6yUZehy2tJ9pXWXu+LblEt
E9mfi8StowC5zlWh74y4eAG+R3rJ+6l77ZI5uszcehn0DOVPsgnCsd6WcdNuaSgEb1/zqHrhVnib
xJDvBoQmtk5qkiHbCHBWeKP0xFPDpTueehX8vGdDs5/NUWN7kodALdMA0CdNJqBgr/Mi0If90P2Y
pFYMnDby5jHA7k8uezeFbJThui5dIk0Fsoxyc38nu7ssCnRxM2pmj0A6cgUCBO3T7ojjPKqxTOCz
Gzh8rkPwFZg+aU0Z66Oh0pLx/+dc8HmCYaosgcuFPNKJYiEJwuhXlDYsiKdDWGoZeLjwsmuvWQu4
owGla9sRHqwryZSCrCM5+T8rKllJ0S5gFAZjDGoa8SdAIuaWykjzC0OxC1hvRbtttFQ/8b4YXk24
DlHEGsd/ho6WeMh2hnuixfuZN9HHRPALgPugDLt1Yoli8RezdcBzsk/Ktr9YJUowxsQOxw2Nhxm0
EV0+nxY9RDgbpbhAYaUua6P/iUWoo8ZQyjJXGzaRXCKZctRCAjt8uxquwo/FjYXB5dDajU/XUldV
dgWyWVG5j1+nXHRcVfp49mJ0/+5TZzlTY7oBsv2TdKi2aYKIYSNSHYEld17OnFTUZRGIK3edVu7j
LnAP65Dmo+Bo0QBZ8309Meo49ellVW1BM9h5pFmFymhADu35bhE3BkGQB5/UvoQz6ECGd9clcxLq
dTLsxmn5NkWIDjKJF0u9PkYAUMkYUlAWm6VHEim5Gg5yvhr+yoRk/w92dBfyiiXvf7piDvhVBIzl
1bjVxH7Po2SLOlL9IvLfG1RXPFMDtghr7RlAS/H71g23Dwqa5Fq/KVNR6Brzgqj1Yx3ngiHqgOSQ
WEfivqaGqK5tgOWfH2S/GqLEZcMq21zn90grv5tFE9KK95vMGtwDKr4/x4MBrhkEDC66jhdjJumu
2rCNfFCtzxenXrTXto9fSb4ACWubjk1znPNQ+21J9iR26hH4SR24UnPkCvwOWMVzjBPD5zS0hyd8
E+GXp1WbHlicTRFeHfiIPi2JicwmXA3OVVTmCHtEJXYTv6PoabV3pqDbtyVDmY5cVgfJM6Jfydd0
CTLUy7fZZinx76zxClClaZPvgMmqgajKLt4Cq0GGuLUOJqMo36wOJFaNVoNlQhpE2CJeUaJ2aK2l
fCNRCk5Jv+g150BDI0nHJwDx/U4jagqgiXkOynXOtOSymM6x5MAoI205jfULUI6wC3B/L5xqOS0E
whK1BTiqMl7t1rEdoxAtZw3QnVmBqERXYdcC19MnwljpGgu04nYELCoAvYQmMh2M7EXBtMjFhT4v
J9KTPE1bABkjkXhHshXhRV6EIevHVzK6EB6PmwzOUl6hoiENgIEIJKLgTMPOWESDYgXZkmrVCzfd
ao2+ADPi+5yHiTRkZjfvwRv4eehmRBNlw9uRw1mDNBbAabRbYZbfZQAUFT0cpVJvyqTtXuveaSIY
ZiyUY5HeBNSj52q9u2nz0To5eLOszYLq/lOOs0jhUZc0ZOOW4JxfhXf6u25c6vDcqaWcCjV9QPB5
j3TL2YgIaalNfrWaKUNOp50BzxYN9dRQx+XBFo3cJbKrBmGCzkROiUAT7OhBfloVWgD0SxYc1XJq
Eeoh0U87aH161RNQWpEodt5Y6BbgRPnh6g/XJHu1LPWSGLSxRYOjkyO6xQNjgo2skdE6IO77hUbc
Ku3LyHULkcd8+icQ2OvY2dDfjEntAHyVZqzGTTpfsAsETEP3ilSSyqPgbabzS19nztci4tZOj/r+
SBZV2AOPVJ5lPyysYrZ2dsnuLeg8jO3AJUks+3ENXUP8lE978tlnNhMbu0GSAA3BUrAxrKX9UocJ
vwgw9XgkDypQq6Sz0x4ned7QQRv0YDZIuWvB8f9vZpZcjabTaj9edJzCbr0oiLVvF1X3RovLi5JZ
oyGoAGz1EZgE4IQKjHL+lMxGdJq1Cv+kvLbfbe4eib2ic+AEnDJ3urMQGbCbagBJghkCicoNK4BE
ATrYjcpAnhi85GW3gERdZjZTE5hAOCrMBcD7mDVPEz+PevKbMsjxUf0fC00MAJlVB95szpzlmOu6
JLbu+JuQTZ/60WC3byQZgMbpaxro1YtS8DdlP5gRX02McrUfOgNcUdlySJe+ewIUkwmaTzb+MZR/
0HdFIJPEj6uIPf+LgZZrsx9Zzc1A4MBdAgfGrUckDiAk8GpyAOd0UT79VTrLSbSN9u6Ei7ZNeWmc
QO/XvCy5FSKPGxYtz/y5T4PXUo9fMjNJnioT6Ef0S9GvoiXlfsAG+YVEyMCdNwkyfHZRwEC/hvj/
1k5RSRvYuXWOeg2IB2pMQmpMPoKdrekNUDjBUDVaJ6fQ+FfzwFnIPdbyJQOggA66TCQrg1evbQ6p
HQAPTTa6WKxnN9eSYy7AVyVFyPeVgXrZtQ3+D04KzYHMOjPA/iKsipSMgZeKB2+Puld6audBiKe9
erLfjcsmKlCV/UwviPUR3+b2zy+IkQWXno/uqTJM3y5DkC7JlDBKpBJzGqEI1QZxlK59zwuTdsDI
ClGVIGVNaQgA9+xrvP39Hm9K/bkNcrAvijHeGU1UDafQ7tNLAXKKcBxAP0qypEPlfWugfjcF1sIq
Qz52BvJY5Hpnhvnyn7M/EAP9CR3ONR1D100bpMQ6iFgfMGitqAOA1dSF1wFMQHpha6DNLZETljOR
bzvp98/NUNN2og5DvDhc5tvaXG1M0Ydw909Me1q7pOeWhTTICNwOq9Bl2LZPmgMeCVmWvKc0AUoJ
ULkC/5o60I+gU0UsN/XVjIcF1lSEh7UA7NwCUhMsmajdx5t6yX9/6FnmUPwetZKqEiyjj9q2Lt6m
uMh2TIu0s7ZYAdJHqmbY1eUQnElYaRXSD9LQI62S05Aay5iubZ2zFzZvE4k+P9ZutLc6AdRuzXV+
t60tvD/cm6MWxzCrQi2zTB2j/LGoeAWoi/FKElNgKxi70j0nDXLHSU5plJse5aaNeHudrb7/m4M3
CZzzWWUh7023wYRoFlsS1uD6vLrciK8IHxr7CCmzeBBDtlpnTRZf9Lb3STa5LpxRwFffVciieaYG
NdWWvxQghEJ6TMU8uPtvGhRewmVq9+eFFGStu+18TMvmbZXhTzeDqRcNfGiBj0Iwe/O4jANYhCxN
kQkT1SngOav2EKZ6+Dy41a1pcLAL+haBV0gApRripSa78lzqScfepqqiYwQipQIb4y9JV48gVQHi
MGLh8zcLLCl6q5dfgGs2nuIReICZzDuW8sHFDrlF+H/fyI/XASg8MiMC/YRYKH+LdXA5wJEGiDyp
rcIm+FSy0dN5oL0yFGzoxciOQWfPGzvUY1+AbQ5ZPTEAQwQ2QBQdi4wKgTGzaEwAZnQozpVFE50z
4kIVSPI8MHi3h2wBwSY4lfgxSjj/PPXxCFyIFmDLcgi84OXAbPxZy7Hln5kuEeML8L/REHCKxadJ
01dbLcaEbO4BJF3idSDtR5b8NlR6cKHF6FJ5BazkRrcvRCBMzeyGS7LpEfAVfJOi/tYnnHRkKnRX
hyHiBIyVE4l0NsIRogEl8Fzl/SojYHUzYu21BEXiGaGGE4mKHk+4CcjHhwDw/ZGsr8lTpFjpc2Zc
q9CYUQm4FNtJluBkeFPtBOjHPGPMUDuFtLr3YDCXJ2H20Ztd1Py4FAa0yHwsfcec7rRcammuPrmY
K6DFx708NZa4n+uMbMRb12KeZoACCnwrC4DHBtfe8oAhitNJQCtq4O4tL2U5l8g8hveMtGFlxftY
cMBmJNGytwuQfWlaon8NQIpny7oWUOHVfsTq8VkHA8ZzGzeTT5Uwc2scxDQX732Xg/g0G5bdejaJ
5YGFXkXUWBloszctd8at2cnHJx1dTHN+tmsJjoVAGhgrs4sqzJkFQ8yaKnD0EE5iJCKuWlWeU41p
OnpkUssI7RLhy9P3AGJoURZ+NeXDg3pVHSOUDgZXm2eAyiUZNT0qkAMHmV7KluSB0QAIBjTCO2VL
vagsLAC24RLS63yMSuD4BcsAKHcf+Lvxti2S8amXzVjqO+AWieOAopanQefDKq+MBjSLZJLb+bDl
ubZ4ysYdwdtxN0be23KwGLg8CjjANpNkEzE5GMgtpgPrAiNqLN792bYgrESmMLaAAV92Rdz8T9Tn
X1aCm5XsBuFI0NxQLSzevJqJeJzegutS74vgyQECv5+YxfTFQBkXvAr69AVxpVtvkbIOSaunLmXO
ThXGqTq5LJwWwGHIkjqlHswe+deThr+lVNzV1vEAaGg3czUTxe74KlhsC76v+RmQo/PzEkfDNikc
eBsWcM6ink0Kpbpe0m/AwhQHEqWWiQc5qqmzpyiwNsqMegGqBAzQTtL3hRowELyBiqo5JLISrKeH
FynUt/DDZP2uqe8e2Y2od2n6gR/KwmanDAdpkBmh1/eaADWG7LaqS/oO/DOIO3a/0C/xZAMIT65y
113XultWLVPmxTWMhQbatx+vdDedrOO8OA1Y6BA4ufEUzIv+BESFW2PLHkgKviD1X+xJTiJlQRNo
6qqdx0fbaAYMCI/yZSfZBjwkuCfP7VRU70n6rQVA0Bc2jv0LPrPPJEVA1T3iNB8CXkuU7/ViZdvY
qbMDaXWb5d6IAnV4c5Fa7rqvbE5R8oDtAs63OBbTAXk9DBdZ+DLZSXdUh2Zlx/iCkweKUrwECVqg
dgSfDhg7pW82uBaEVVL/OExYuGpZgopIXxp3tsg81xBg36gSZEmLAJyUxxDPAUSWRLZ1OK/yTZg1
l2iRCG3+OLvpjnA7CNSDYDwYuEBgHrVbBj7hdkPqGwYIEBVXFQmpUdAfSqbLJUajaLcgtMZbVi2+
jlFyfL/OKqSFsM9FiRtH5HvmaYiMi1k7NbatIQEDPZKBZOddq6wO+YaQIx53s5iYFRQA9vh5mjXX
WoHEQ1jeddXaao2ha0DCPGR1G8v3Eiqn5IYTSXTbxJjHY1F0OjKc5X5UNauQpeJVD9Nmb0Z965nR
XG0VRN8D/p5SKEy+X5mMLVKrUvgW4x6AhSAd+awZQwEumjn3OjnMk8h9qWJ7XxkIFfvZ8Dcy6Ks3
nc/IlLbCr3ETl89k2c5WjDi3Fp5onbTo6i3Aihe8Mxrx2UzS9sCtJNxkyTJfU9C5xdMMbATC94/1
FEmTcVztUHEKBAbZIHsLvGbUbVK8zkhN1tSIdkhQNm58CeE0ONs63KgA1zO+BLb5h90yYEbwca9N
PPnGkrbaING+enZLOAJqp3uvnVDIIliw8smeau5k5uz6Y8pDn4cWfzS+s/tYAHiy90v96hqzCPDv
py73Kxu1tD2Kv27lIk2Jel18HqFH5wxE+Cs/GfsRLAdd/ik+mbLgpKxCQAAs0begB2/HBISX81B2
/GoZc+qbZoOKSE1S5fYAWM0ktipKVdhhbvNzGUq4VdlQj5oFxIrg9f4Q0jRmcKQxfp/xq2kPsioJ
X1LgTV3DfCzOdSdAQitq6x04R5ITutAPxLLWzPlXE8RucGto5Wcezrj9Nrr2hcb3qQSwdDIbyJiy
R00LZKXNZDLQOEiMzBUKk+AuaawMad6q7rU9m2zk8H0sdYeoqWcihk8EdTLROL848blHyuiNtPgm
IQZjLrmMO8RhpY3iOp5vNsSFTGI3t5UNSb6v7CbOF3ewmpDJUwfe7OAAveIh5iKbYanOsz0/G1Kk
5KlZsE1QVNamxykb1QOheylZ2IH1YhFAurfMo4vdMlLIAahIQVMauqhwwAkSVZDdrBerlgKupBVZ
etMmqPOqXMDW5AxgmFOVHYUROf56YECGy7FuZ4DUJXa2fNUA4L0BqgO/ssmw1sZi0SdUGoO24EPu
6pNzsarIJysln7rC3adzCsQyOV0pQHbH/TkGTWDrFOLASu03cNuzaGeDwvjs5CXPv0yCNT6gFHEv
NK6yrPBnOyjS9ABygBrFrnp/AueFnXmStA0Z2UG5nUKBtDEehB7gtwBaPGnRMWg4Eo45IMWCdIre
x27QDiYYrUFoiiHDo2ZbFgwlR3YSvYOcC7GAMsovNNQmPKqR7vVm1i3qQiLA/Q+RB1LjyEDNP2Dg
BrYpE6R1NqAq8ofBjnx3hP+/mQxJeivjAdIljh1Ikzhb6uLGhLlakX41JVVCXn/qWiH2Q45lxdtZ
zu/hC3O2tDSpI6DVIKOrSraBGLGxq4s5PEdaWAr/seuQgZvZ4XntgoXUPdqI/f/aklnauzvHdmm+
auFUAPchQupSEcL5ueiD5mMrXqabzmamj1JN81zpr3MbARFrMcVVGEP8bcSWGr7LeoHTQ693qWF1
T8w1ERVJs2Uf4Dz6oudWvMnDZXzX0uEvHQlef2MdkddIcbU3HUiqwrhc3gyZMSBHI5In1WhmKcrf
AFGiy1KYGFGbA+4RQMFySNUyUzxYHmrR4iPJLGRPfXLcTdpWxnWB/ynDjhDR8Qjv8bI1tRM165hU
d+PeQga6t+osJpg/pPi2kVUHD9pZ2SsZTVeKErwuIEyOAFewKwKgXma6sWtRH/ONOUm/NSOTHReN
D2DJ/kk+BkNwtcO03qeUlBrJ9NJZYoICHY6faXinofFS7LocEDRkFgfF22yFqFT6sCf5L2d+n97D
MXJ3AW6Mr62RhcI+FlGke0D+FqAULekfePEqV+cVcCkg5HzZD1PiHtmUWMUpSkV4MrRiR1XQVTX0
+7k2n4Xh3AqjAXSXn6kpl0qUHtmRmoQ0pB7JoslExTSNqS6aetQ4A498e6qLaHMjQHWbOdkkE9hl
qanH9tZ7kAWTiM5GbiN0XpcV2gdz0mdMR/Y5DwCuLte5M1xnuk3yW4mKWEk+MDsuOBxA3dOiPI4e
9dSg9tK9GumU7SJnGleFevSPVfJPnEwlqCHwbiDbPF+Mi1wj1/pTl4B5KpdoC/C2NxfwnzUTPLoY
AwhvY7V4od3JyIa05uiATToewm1Xzi28IWONiaSX7PEH28zeyXBmIVBtmv4PlV47Udru0hcTwEFe
QqMHnhHl7yoTys914HtfM3lpqGTrFPy/7DqwfR6BTfyQn0SCNfGoqUDwO7mPGU+US8QC+0+A6/yF
klfnTE0mulvvURaDxDl0UTGu7Iofjf99Li2vDyc8wVFAJ0cPtnx2s20YlP361KD/8PXJsD4l6P8+
lw8Ug54tZNDsRm1wT+pxQAZkev9sWfsPjxQ7dFE/kiFOCgRY+L6pCHvtCouhFrGwjiRz0zxBhQMV
btOn6gxIxykE+8tNi3nv5P3gVxLxn5pE12vfgNNjLxbwB5AsysTBNIDHQqJoEe6lCJoTvA5D6tMi
Jd7AlQleMFMmM6IAut6GqRPsR5mXCMR5GXU1xIW0wD4DdUw3fHG03nrJTe01lIQihgUugjl1UJfo
1Mm2TMww7K8aBzEIOSKHaPyrruHyIsejC0oWDvSd7k5GZuSIlPKuhfNMiaj3IScrElEj11b2alLB
4CCLm5MpBr6jePZDUJvC1uVsL0+uDW7FHyLtpFNh7lp00Q5nOwDI/xgYV3akcFHj7NEFQyOOj1Zr
f8WP8TlJS2uLrUS8E3IYonQbELFj5ZMWVOftszEDL9jujc9DWDefZ1CzSEuSTEK8hEDafabJeT/H
/jxrKHRxQBHbGuCQqiO8gXp93FIBa4L04CeQ4MbeiDNr63ct8BYD/Y3KWds+QRStrtszDeEcS3Y8
b06JqPTtmlNaylLnXAAX3ssjPgPQEMXtuD/wsUkNpZxG1rgqaOTWvDpmuinj+cEpzqNa23bZiLIc
pws2JIx0G/il1O0TKwDoAyzrMr/1FoQMta3S3C1Ewonb03FsnJWXQZEzKN6IB1mJCv1N5QCSnhSF
PANRjxqdDkZqTMwOSMK4n0Jau8/ExgGgw8ZOmsI5WkGPVLcQnKHLaDVPhUzur2KW8wuitNUOm4HU
qxsHHx3pBRdwrQx4xK4qHQBnQBqQU8dydo0dzSq1OfXWsYjiFlmuCDfMKZJ6cc4JzzZt9QDRhq2e
GjMXbhtv1ZGYDKY0jc76N6TdiVNIG0c1T8jJ6zSa4Czp30jCiHdhUONhTg+cgZ4ycfLJyLl1cinx
805h6UHlN5Wd7xLXHM4ROJs9a+qbN2rcNP6S8SG/0KidHWffNoHp05BJswHeKMNc7E8kMgWKJNoa
VYhaFyMQZTriCgKGHSkXQ8CXidxCrweF5ZFkdFEdbmI2zLsQHkd4fCNrepoDV1g7PgjUm1rwynWp
Y8FVDU0RFVqxCbsENA86YL2k7E5R96AlZ0Y0PxVV0IO4I2o2JGuyENGyxPFspK3/llTJi4u6qddu
aoZPuTW8ofal/A3vE7HvNOA9pflSYKdg4l8rAJWuNnX6lzIasXXB7LJ255OTAGyDhjjh4aAQLdF5
HUYoSYqd6muKrNVLMKF2i1YLrRmx/jAsDjSUt4BM+QQOqnnZhZZAlaFsimpE8dGAUntwvolVocF5
gLhJhkLoViCWJ00SYZnMW63NpNqUZTDhKJpAqNZZWrAb6lN0sfOMrUuTMg+LYQcaKtvrOzsBXaOJ
K/da/jYvo4HngxzRUrxtQSpYxu90IVLQUqzyl5n119Lqt3UQJxcThJlXQzYBSk5Bqap9ItHYV40N
Nk2kOHZ4l2yUHfWsvvxzaIz5GANp9drDh3wFjPfwzJBDQQZKroEIeD9GraTEhK1aKEmmzHeCyNgp
Y9J+3FwUTM8TKoEPZsCaM+AXbw18+DLD6GNMPWVjTHD+OSAWUCJlSzIEp+7Xe7Aj7YOMFghrB386
lABu1AK/srM4H45lY251WfyhtZxv00GmZJLrV41XRzEAEPk2MtN+g6No84nmgCfrJxnZddhtbbRk
aD+RMa2l5s4f11Oy/7xegpxIHxFMlHltDF2wOxotItQS3KzO4RTsiDiLANtWYjFSJJa2W81YXj4r
Bq7BQS3axyw1lXo/KmlJwwkPYImsTiqaWBYjiMMKHW7yHyOM2DHVPfDIwMdWGeygtGvEkcYoCL+f
zKoBZUekkfOQf8QOCOs1/YZkIrT/MYG/WgOsMHEvY2zXICgbAuD4SICBRIIJUA+sw+AexEMKoN/3
clJSkzsJkAIepik1LUWTSRaggMkLgg6pRR/XUMZCXlwNTQIhoPG/Xh5lStqIUJiyupullnq4jV9d
vHMmF5XTDInmP96GMraXyQA34Y93/jBUd2q4KWiLy36v1iNb9WmQgmQlfYr/qk7ln8HCn4FmLEDA
wNGt9awB8IudPD+a8QT4UhprrLMA3Sml1NyNDbJabbWm1/18NlufWQj6oUA9uE1Yx0KuHSQaoFLX
aSSwJ1FFO+qqi2NbV0+SclROWVdfp8xWjXPpPNnbIMeX1y6W5zpZhs+m4cw+gAZtfCcxnFMUpjFW
g91QDtOMtU/gaIkBVqUNn63YTd7giCcdNXKxZuhAZrWiIY2zhG3oS/MTNYsI3nUkHZ+VKMGGJuRh
ctVmzfw0irp+Sdg/Sm9jH4R9a/aiRE2nNcelcztgH+m3lRmwZ3c4dqFgTa5DxsACGzb56LgIXuIO
SAFCXuEBemA4kAzkBzWoHcnT6IKRdEaJTA2fXwyuOQev6nXcF7F1NgMLDjAgrNWeGpMwZoN5diPw
vnt9tqnKqj3ficiEGkOuQL3VmIyWObT2N3+R4bqmF5ZfebO42OCV2HcgnwIcLBOfkFxZjoYnwM22
xfHdebJSUVYnB7gYO0BqhKiqYkb+lhnrbH0B/qUGoosN4OoAKj+D5Ocpwlv1yemYs817iWmgaTeZ
0hZjngweGYbhAiwH20RKDNKmBo+MEuQ2VBvLHconZK7TCqu2QVm8Z1qT2Pa0hx0c/C56OORbR+5e
aXcLAIRa5sgK00OhYr41OpTLrXti0gddHB2x03iusjJ4MTpEHZsqX0dWvwQvc4tHcK0zFORJC2pM
sNL7hot9tpKlLkOdaG0ZPk1zbMd9scEIfGJj8jeJyNYa8LXnTPPXkbwC9cIu3YohZ9+/xeBdcjz1
nssn4PH2HTay9Nqj95w9GaFvaHgWqPcm/5DFMwgXhtTlCKtyDuLKVoCQK0bdOY3N2EB34hrC1XKD
QUPSDLJaQmuY6bnIIdyJbC5eBjC3ooyqs3cI8CJb0aoGwPjvioQZv3NzrH0RG+2rGI12t8xl++Ty
3jxVVaXv9abVj8jAnX0x6XvKy1mTc+qc+0tu6qiGRa4OaCfbq1EudxYxPOD+JC1owodF2IrU7xYg
WavUDsHGEHldMjmE0kFcPYiR9ZOOO7K5ZX7IRJE7y8QMAAxrzc9qHZxipv2t8hrAEcw3QE11dsbl
1vApBXypGs82689I1CYz88P2bpaJaLsWE0fphGzdbd9ZYDWIY+Op4yDX1PPpRCJqQGSAfAHZaJaN
jCyyq0AoeKyM4XQnW7vA8sz3Y4V03k84tP1BJ+C8BNlZHs5HG99jfrmdkYEb9qEIszDuXieJFiZl
QPUAx2WPv1mroziNj9EWJAIgaLWb7kjT18O4gezNwQVjyF29J5JzcIqMO2SA2uADWatFexd8n+AJ
n1BvvCDhJrL14clFjeN5NKIfZGE5PpE26IIBDwk01FtAUYnqIpCz0xB0j/jjKsM6+jKXTflUTXbV
b1zsjrwkBg+vJhF3MhwmQXE0gojMCPVLUHC5War0HVDVBKiojfiZ2aaNd52T/VU1e/xvNH+iDLoD
B+bM9yXrYiwEuO0K280ZdEg1kLeNap8glwqZgEDlJm1YAsjam1E2fADP1GtMQ3yCNzXZoC7bAEJX
aG1I4YIA43BLZMCRBenGEgbLRorFkbqjM8HFBcfU5EUMWNjrmFQpkjZzHNw7EMC1/S4cigT812gC
fOUBPW21JUix0e37OhCIjeT6sdeFR+ogyBD6auQLfe2qmfM14IAHoQTDorbHpyzY3hINZc6haHmB
hAqpmFM8eO28vU9G/K6g6Sukx4RaR+AX1uY+QoaKcLLgbABAZcfCPPGiyEWWNQkbmafwOA4WJCqQ
Jg3hDKI5NFQKNflBtq41mta8iThrquUNJVeSRaYp39yI7bid5qc4nt0nbnR1gyICdI0VYldSDVSM
be80IGlhg9cbYtnqesfApWjG9To/NLHd6ltUD8olqMnhiPZsuy+35Mxfvfer456c/Wv3J51mBMEe
n87pJyO5WzOyaUa0TXaXxjzJfOKDyuJw5WelhjiKWgBYh8uWFNjk45OmxGNe1eiSJY3XDBE5u4yF
Bda5hfkPCmWc20BG4N6a4EZcDwCD/NNKcbjQmIF0t/sEONKnevzXlAJt+F5PmgK0vvAlIexIT2jb
RsjInI3f1gfy+tR+SNCj53nN23ecoMe9ekqr5/yDzE0Nf7QHBMMyRJBbNgKboTaqzdiETeGRkJr/
dqxLVDk1/f9aw5BYc2REt5CO1QH+PxxNAq0/KxYUImP572V93s5+lSaG/8DmQkv99zK8v2/rrdws
STWc8yyH37fjR3J/KmfpHACusnJ4t1UKIFt9d6j+0nlKvtVHjTXVoJ1q+nnnFEN2dNPKOduyqYVm
3zW/ksUxcgNRhQfcoH8z/s/rDU68Gxq7BRD094tNICaZclb/ORbpay2JkErZUM9mwPmkXuUykItb
zPaVDCXlYD96MNQzZH8OQXgkOTW0nkGcSjQGzUl9BIvhSS1FvQxY9Lumz3oUmAOqvWWbWIZkCy4h
g+6QgRy8f8YmTbYZacho7RKjY5rDmX5vLxeJPyaphe4WXucgRR7VlxFyuUS8ZHgtAoe9BZzJD6xg
sSQIqzJ3uXGH0ZhIwYbyvZhywEdIdrF13l33l/NIT5P5UszcV+RiwIjqT2BYQgH7vIldZPET6DjB
ja/Q4Y0rkclJQM1IiONIWRxAM6GwyWkaINu07TiJv8iSQMdJvlqTkMbryigfjOKdkv60psiSZ6dE
yFndE62ppkzypfuiyQgwjmiI/VI3rM3i1qUxNcgvACEJaQKg155pHE66ti2m+K8Hu6JkQJxRwhxY
o/sbKolhWi82EEKufRc7zy3YT+WgtlwA61HPyYPdOODoQArDFbrtJRmCf3YG4iUS5gG4gIxu4S3+
T4RVAfW9BK5PWA0burmkssNot/5KboMsfI9uV92Q+pWod/cbr78imaf5xJA+ikXJKEfa4m3rbedw
IGtDeh7AsQAq+LhF1bKV4p2IKuxVo0/t1D2RlCwtLcrOcwzUVZ+EIKxBIjnY5ZYGBc+gRx7PuRXM
YE3GFs6NGvz30CZNhEG/LzMQv69CtcWjrV+dTwLwd4m7fZxI49r5o2vL5Ukrs9pfUOK4iVHndZ5k
bDd1+ACP+seYetSYfQPuHRdAyFKpGpq2yLkPMjUsxFRsQRCKcskPO3BxI8Jld0jtFfowbLNEFznS
fGskndqZ8w7AiGJ4oQ0gCok65CFUkqQH53Iqy09qywIhHLi1sWcDricJnThIz2nCACDTc/jZ4xTw
ughcrIYJGZIQbkMgsczmzbAHrfY2mEFQ6AAg9gAG5Ze78pVRVocpkLgfTZScZugED4ca4HafpJul
7vLfl2I4laUp/ge5mV9ZYYxfByPl28ES7AwQc/0SDbMOIjwAXKOWtFjPWiViyCUKpmb4yJr8qM5f
k9XrTwZcK3pWIJgYMraxUDX3NYuyfxgSSP6pamDTA9kNn+O3VhuH97wvmk3ad8O1mwoDG39gizZL
HoHoqNyE0wDWvV+QgwGQGoRdiF/7Q2RIYj4chlHd851AjKbUTIyr+lEhJ5OsyrXRp4vQgr+8kryI
uo/1wh8L0JBWofug4UpKtt6CNCzkRZR6XUHymKm11H3Qbam5ZPJwq0r78HvRhWL5kSnF49U+PhO1
slpvNf74hWmotLRogLqK4yJwUPz4rdTF1j9DTb/bx4Xu/jZqLXWrd5+WWkh9HkCGBo1RI8FOPxA5
QuSWoBINGbRSlCoEjRVMg/A21u6qW/sD8KhvSBs07wEcBEgtiOgJZMgBNuWyDKA0RfY3ig4liEE9
sHrY0ZhTZdCPNj+pyTJ0nYsh11mnkAz1nyhhpDV/tEE2XXC2QWj0v6R92XLcuLLtFzECnMnXmkep
bHnsF4a73U2CM8EZX38XkpJQruPed584LwggB5CqKpEAMnMtUJiES3nIUg8youYonz9OFjbeukJE
KnEb1da+8HoUYTzUmeSiAABe5uPkiPxt8EQzNgPDwm7CCaABdY4lDjC0l/u5+8OoSw0ZNQXSWOje
4jRFRRR1Sd0X2UcG/ppdZKKAz1XQypZa0VPvQWakboekRGUDYNl+37kdks4w0nY0RKLY61Q0/L/I
HN76G4GTJ2wzkX9M+caApjVOyfwnSZaUY0MptYUAiEp75xHnyJzJWlAKxLEokIj/nt+MGPtbVjPN
YadgqBhrfK62In8SXDT7cEo+BEOkaFUUe9TSJfWddAR+Wo33ZGRsQ0AVr/iwdZD2/ZzUgOqI46Jw
Vn5Vf69Rb34kGWmpiSKr2ngoNt08KFLZTYcCZ1IrbUw9w1Y1Sq9XMAFvnAZeUycfpoLLLeGhGjHo
3FZ5Ff7FcJq1I9nU+v25V2ir1HuQAegZHotfUIMKeZodhCTCGefvYkSm0YxU8C2NfdeO9rId+mQr
czD6POofx0PblzvZWvHnSLbR1jf75uCMdfMdCMKgEJkBElGx+lyiMGxdDnbzHQwhI+qYbPYkZlBX
Aib1IwKLwZMfNNM474yxQoY0TgH9fZk7xTl1ww3DQfmRRiWwg5BpoxRzgQL10bX8arWolHBUQtKQ
DMGOCOsij02HPu73y5A0RtmUZ8PK3rzJ8W52A1CxPurjMKd0avCaNz4Anx5mzw0c8dDVlplJz+ma
iyndnazweJRtXGyXi6g576ZfXPU9k9FyZ8ufqC6q/0L1eaRYXh+XKRKbI77eYoFiDB3yhxcQUQL7
zRWeaJiFHCndSbUjDTWkALEddjqFnwBXT4GRanVbeHxVgw9rt9iQRqTRt0bY/k6fAVOPTnyRZI7H
VNTi2fV+YqyPgu/Ojis+4yelVWSuvR8U+gK/mzYCX9mqZvG0YSF4JTX5I7D9/25s29iS/JFDUtuR
+sFXD6lHZJLUU5NK9QB4kGsmS21LMgS1wV2p1dqPZCFLX8RYxZcgc50XMBw0SC0Q9X6k8svCNc92
UQIKWWS5ULkqW/ybhqchMj+YyBa/sqTZokLeqLZtD4SlME6wYyE8BU82izpRMAzUFIoUR9sZA7Kp
VshVHkApJtbmnEhT/MiAPxkCpOu0PAvSQL7cDUEk9QKOCgSzDA6CdcAFDw4ACwEU9IZbvGAKg5AY
0kd84WUMfqFjUIblQUMcU88pqj8GVLihLg/1qD0qDN62bIBJizY8SMfNw17Oddgtt6Rx0vKwGe1z
lGAdoNwb3oidNSCbJi4QIjTptNlWB89WMU4nkb6QnBGhAkrXvRRwp8iuLmJwWoyRqpmyMmOTg41n
TZVSSSWmK/WWkqpEKMBXpaZiq7s6q6X46ldvKsAib9Imfl6sX7ethhjqnWGDX7SR0xMACrqbpxrL
qOrNUM/91nRQ9LCKLVDvAegKmRJpd6OGjCMOLMDWHNqjVmT+4CAtPXdUkBC+ZBjzABAPDMgzHg5E
6FRENZPjAA09BUofyYxpbrEDtv8MudmcAiBIH5IGudJISpqRoNaBn7Qu5ArnH4C49LrqxkHPooAt
A9coI4CwpGw1ABYLlAKwyKMBkJf9ZO15ChxWkk2xGW9thiRyG4lbV+53/jUAD8HWV9gKM3BRJXg/
XKASCXx9bZrWlzrJMWSdV61H4IRcjTRbzUAB5ysU4r/2lGwEV9gN33WKTSJgjjvi3IzHIsfGFGPd
hJMnfIA4Q0hqiSKXlRUHxUbLfmsdcDxOASkrTnNugXt8Nsa9BczezzTE6m3cm4MHvEWlRdnqdDck
rT1L8bn+S0+eqQpmuonCj4q1bMtgubEEHyXWwuoeyebhzgoqbybH3/6dYwdiVVBfTMuWSy/raccw
BnijAuD59rv9A8nKCOxQYD+//Z59+c1/2Tn4wAGSY3jsi85/Gmzbf3IIIw/UCutODUlG2jBIxRX5
FiuSawcahkAaU6fuxo4UsdsONuBqCvPguvzngzHNOcYISmQjEGLVpecKRz8hsL73w8wbPIdA/OYU
SJHEcVXyhNhuzlaR6rIQ1dl19SXhefLk2qEzIgEZ2ZG1zI4kC1H38OqAdbGzdprZ3ZDQD2VnbvTU
BZZna6xuyjV9xrRBWj6VMa6BbjGEXx8+/GU7RdoAWvq49b5KG5ttUgEO21gsyKxWoMFJbV3AEuSf
wZEDqjYGyOQEKXixaqg3mB3blRbHP6vSml09Pmk7BsScdd7VIXICoCAPrQ2T6mRjyXkiuZ64z1q5
M9NiQHmUjeJikCESQzaRYy8hEhW/vQuZvNvdye66i/fbXDRNKitUY9BkbfN6kSobEaGa56m11l3p
ZwdRG8DnTYPi1qmGeoDn+h7FaX6iESq7y5uDjOuD1XCQ3L+bkWKcmu/GjBddz6fiRqI65ICYVrbS
rD9Fsxcfl6e4LqGdBHIv28q3t/pNQA90auj5TiZmlziKQWNcXhakKJcXyhij+kqWr+pXoboCmesL
0JCugrf6s6yD58wwsMCyAoDwR2NYrZZxAjqMa1bbllxVBjih6so7p0zAEmWpgDBR6sBqEsDU2d2G
hqRYXOx+zM5u2e3uJ6PrcBvh6jkRcn832+wPqFsI/+H1H7SSuVtW1bTSoeWPQ9zcd+sfsqVx7Ef4
YQ1/3Zm4KQ6hGuSBoj4p7xhOcqfaW2UBzn4reuKn6t2QqGacwIGRdtUepHr+VcupRzJmx88M4XKG
5NDgEqadteYKWDZWTT8AZyZzRAHoawxthUyrFcLH9pxk1AwKqFb4Y3XQCjImX60oCeWWXB7mJ2tA
Mn4bowwEsoCFjzfdKBxkoqEBN70DXFa7PLfsfyh7wPOdW9WQLXaPyE6mMWkYYgEroN1kO1JrQz30
Kx8uekw9agxf9FvpxO0yoVZo48U5Duef4MJxt6MfyRM1+OxHHK2qMQC/hwKQOCCcHn0LXZtbUn05
bwavKpg6rGlXg0Ax5516ceqXqZU/zaqdaDo9vLs8aRb3x8s/2Pd0Y+RKjR/tAG9enyLFYekvzJdI
xDmFii/zbuxa+bQHfd95kQUP5uROPtQjNfW0wslAkoZoNObFogYYE9RdpNoJee6oSHSsTzqpLa3C
eF1WyAaeKTHu39PYFj0lxo3SFaeyGfG7Rl4cueiEud8m0I00eeX6PcBF8zOAJ77ONV6YyFEZLkyx
PxPTMzVE90w9UkSAlTmJZl4/yH9nS9MNiRVsQIFjrP51zgff99sBKUR5QRVpZ/RA6MsCfsHJ9jjt
qOtMeXppC/sC1qTu4PFy5KrWla9ZK+eNROEJWFOVz2yOLcJ5ytxHLCHdjGacA7ArTAFMZUvjg57O
DfF7Bo/IihdmYx6d0TZXSHONgO0y4nwNSXz2xq9ROLCMHx5Bifkpt2z/cvfcoqcSuaFMzV7rBxf1
QLDnX5de8vnOVZuRa8sKG2kKsF0uSw/D5dqvV9Q3slgg8oiDCrw4DDxM100yG9fSL++bcUydkyfF
QcvdPonkisbCHT9gl1Aff+cqOsPcCC49pPf8MicZA9HE1hPn7xYzRx7DyvbZBwMlOkftuly2U5Py
pr+f9CJQ/4CDSAuYNrlnWSdU3FmnyUShIGoH0V1URdwDI8e1W387Y6tx8JtiawVuawM+DUakpt6d
TzD1LDxr1WKPCtpV3LRJ2ICB2rRRZxGDgDzGhuncuMMW8DEVshfRNF1QPtHwXUmmWk49UgLRa/sg
pzlIiRfJonxwN8BmtpqCXiDL1F9ldshvSRfEH0sw0l88d35mvEo+LiJZdfvZaME7oCyoMfgksYEA
oiKCgq923DNvc2LaYJOGWZtl9S00x5V2ysw5Oo5phg29LbJsDZy2emu1cwFgmLdJrB5va5T5uEfy
I4WZ+CvfqtLbMAwMz5KsHAfQdqukR6RQXgZFRmDgLOtQsvIDjeY2r+0daW1iFWictl2PSdri3PrN
xTWGIbjawbSzUah4XAwXny7g5WYWbrNroxgsFYXr30zU8N+qDuU0oNBqtyRbFM1YHAwX62Atqxwr
BahCetSiKex84Gu4KOSc5BPJSWTxDFgB+ESOsbqM3688cwTOnvplsHHK8VDopn1cgDxlpUsdLKVB
sGzak+Gd2p3ZLz7MkDHKfd6lnZr4oaqCtHo2uswyJWnMAlvMu/ILNQPZ6FnfrCvcJd21a7IJrG6/
1m0ox/sZ624VGHGLTKV3wDMc0YDUG89kQi3TCiBf29fSwinErwhpNERR9QsKj6IjjSo54qwcEHbI
QwSC/5aEmVHKQ7vksFt57wIGNsa616mews4LTo6CykMG/QiyadksstIFUcgK+WyLndOk4Ym8qPmN
nETv85I9ifS8JFuGdEXAJQJF6YzTseoM3kX2TE2IbPLnfkd9M+pepTY4sM5BOD1pQ1JaQ9LvgbeN
Y4z3GaTy8sZe4m1iWpsHRYtKNTyH0nmvZycPA4d+NYBHz4hwN1fRBZvZrpIXadTId6v68UTDlgH2
txjGn4nDkhcSAY0SaXCGdW+RF/InKUH4E7+0FhJmaA7ySkTlnt8tyExUya1DtWgNEJABGHBHN8ez
iJomsl57WsYHkQCzAyk6JGvfTR6MqyYqdzWvgED7Pp+eVHaOIurmQLT2kdtJvnoqbad9ESq/uz05
TV9fc/1zHvdHAM3jXUEvDNWkqgEjBKDFSAgebLxrohpJjuCVX0akcJHGhrf+u6Oep1LvKFKQ7G6y
Vs+LOGJjrx9MyenOaLlQ4T9zAUo5UPPaJ4YyilNSv/W0zATEyEaYPXh5lIlWCK8Pi0VImgf1/0qm
ZyW3bIij/2pqE0wCo5EgibgGCAdHPnTCoy9O4XXHamBsW7jtU1c39QW8KRfCxvGDcbq9jwDmuIwI
RieJ8ZzOC+TJWXysquNSBwvcoLM3WPwYgmSORHfls3Vr/8hAEdlkZ46dMZLM8JyLGcCnaqM60ki/
kellbDqDi1T0Bilrb292/aJ/V5Lowf1fp2WRPOL/1OiOURy2e0fOqApSjTmgPkiqhoZpPP09Jbm5
pRHDEcMipyGZkQMN/wtZ7OQNEFXU9K8XsjEmRz2PvrrlYnkigQwEgqcJuTugDAnzPAKuj2Mmm1nJ
OmaDHwlxCv9Mzez11T5si89ahHxGK9ksM1BXq7ISBUky7ueNlt2Zj2I2ux1dB2nrm8YOcDbNAPGe
cSTmLLAlhEGisUvucEoeoE60jXah3hBGh9L2qwNZkOjBlWQEe9I8QKVol9/avE9N2oc7EL2Hil3b
+UHwLb49YGFJXWpKYE/5M7/QoKqDekD1rOddlm5vC7GZSlSHaQ/qPU7DQVNZYZ+jzR4tzAk8Bb+b
ii7XuPKlUqR7bVhn17kfEHSV8fcaxTp8bzsyAzgiGiuZk401sHhT4UDnGubmBGTfoAKpGDkW/vRd
WEjFI2vtR0ot+8ZLrL1IeDcPjSPZz2DwwkpiXflOcxoFN7yvOeh0qyyUF57g2TG7Xf9Z2ghOIlAc
/Q3UP+xE8r9zHrQrNwnzT7UMql0LAGdk2LNuH09cAjvRyFHCA3CobeyCoiFmhQXYow5c48DA/eFV
DqDAkC4PRodY+NtlrKwjN0WerlOlmyJroyfkyUdP1ONGimIrJLDtSNZWtQv2zRrrsLICpKA2XDQ9
gK4K0T8JNcEiohkMxGN2y5imnUesGGmGRajn4fMWzHrgb1b3QRfiM8DSN7UI9x5r+QVUaS0ozFGs
ZgJx5DLxr4/bUNpBZigtRNRpcoCAO2JLq7egvTWX2DMm88oXMcoo1MqC1gJ91e4zLGKeSYTDLLnP
mO+u9fIiAbpNXragv1VLCbLQc5CXmiNVFjQSQQk0YHUV01b8ghIRtIcEuLTn5skCignJKXWOEuOo
0ba/mmkL7JgzgCGhgKMPB2BrgdV5h9SNHtXO3JWo7J2CHTPsBmBV7jQecuCG7MvaPXizNE/UtJMM
p2XM7BrZhV0bmABg5RxICu9W2p7Ud5ZLl/Sk0pbUC+2xDs5aaDd4rwAjKfb3seUdyMWWjrfyGqD6
6thPMJdzd9FjHdgCoBHSP0mzRI3auc62uYn0jiVMNBTguR5EtAGIIE40/CJ60k2NUMI1nb+RZC5L
1P/OE/Lgra4x9iRsPZAcrfoUlJVAj4tWUVw89VF58hSoIzUI5Hp3wwdZl+MV+59NyGNOOyA76lkf
pqGh837NIcrF0aj9xeFfp89jFBaJqQLLkDrxA5+McxLqhmhoYWVWrrSGeqQmQxpSw5WzHpIWSS1w
1oYPfmzASfbgsj+0xcNUYmY4IdR347Y/XBtHcJShq6uqPNNa5TOyOZbqq6Xoqp0ab2/5zU/K111k
i74VSHIWsgdjEtVydYBNAEUQ4sk1AaMMRi9w1FclgBmqcMQwovBzQ0InxS99h/gUWMQVdWpq5KA4
9FVR6WJFXsCp81d39st8fTPvMgvL6bEG7gMQqQuUiSH6lFfN8JSo2BQNTYuBOhtrxC3JSKvtbNZ9
5K0lwRL65kq9uQCoSW/Gy5RaSXPoC/bCi5GJWBV7MIF6lyHLy3AnUj8AI+u8l1naNxtU4niXpevV
mVw1M7e35uTZ9dOoANYYyK+jZJ6Qn4Fn1crsQEtNPjSl4B1K0Ofh491X16fSDLb6S777Td2p3JB/
96RE9lKD99qavvRlkocfxZ3P8gOrXEBQm/EcboRCS3HyErAr3iz+dgPP3y1D0nheNl2oFymYFRrm
cYGXWZWDiORdRiaiwPZrmTHmgJJp+B9kYQJPt0cdOa6kPZoOdVZdxCajwOuMlUemEHQSPHW61OhO
y++EfgeAw0ZpZApNiyS0093PZFYuNM5wO9sERNsReBtRyMi6eI1cGL6f56hdIwaMsYFwwhGYR2Af
p7HFhaki+B9HM2zj9WCO/VMZuZvYttMPtmjTD2OcpB9Eij+pNm8jF30MNEi2Bxg6u5KOTFkwfosm
Fp0Wi35gM97ZbD7QHNQgqR0B37Cddsu1BPYQW4FkieViBr6JpygJV1ZtgSEKtQ44OfUF0uVicBEq
md+1UKgh9UhWNzj4mO35/GBGSqa8utyZ9mPG/vzXOUiRjTJaccae3LTo8TkYyNyzJ15tjGwCl+DD
eM6znwHv5WXymv7WyvpqKSxTqUaTEFjagR2yjcxF54mEXTJ8oqCuNPt9luPfuQ/xg937gRQh2BxN
pLLFIAswZgB+d9y5IGE8OGCdC+z3SKF+U4M0H3aRUZrvohE8waCEECu7qe1DSFkigIbO9zbgbNYG
jQHb3T0X9lefT4Cz9jycfQ6J86moArHVdLhTM6EGaRqeSeRa3LvkONikEXHoltbk7Oy+w15CIbJR
47mujyeChwwCy8SiY87rXY+8ulunUqb4yDqssTEkGRKj4lsx+C9FMuKFr+Qk6h1wPsae+YlMF5FS
VshXWNvGgNdiG2bBSgZu9JytyWCYpuRmGDy/plxsO9uqTn5fX1mN360d5vdNlMZiNwAUdvWgMJWd
GQKglwPLa6u1pKAh6G++2rYVHWjiYPK7u9k75ypcxq6PYnUzoH652h4oHHMUn88Z98HJ3PkfgJK0
G1D7+0QjVkj5HIHXFqg0XbrmUYwobG/8JHtPuP6H3hziPTZ6Ki4Cd1J0HUhh62zsdyWO/lP8a4M5
ac5ZeiIX8CVg3+D57jYCKSs2qHbjnqiZggTYr1K6wJ9Fj2SiDv5Blte0tbQZ6pSA3a7stBv1Hnwf
hmSip9G+/zpVwPIAe/giAzhu2ABqkUpsdDOOwxqkCf2RZxXqp0kRlq4THqgsx8PJZrUiqUPdqkUy
ttWXX+IR+cply1HMpIq3l2pt6lIjcMSYRohvURU3ibBFrK7Y4DebHlUoqwbFR+G8t2MULuPtxZvv
fj8BCYoBh7iVrP4eFvXfQIQxbxJPyttYRP+Q2GSut4n70Tu6lZ1/H7ZhwIojslmQOwFSmU0lSkXT
4thfAUx/dQeZfQyb2fxod9W5ixr7a5YJDopVwMy6ftV8DkGKKL3cvMx5wC6oqGRLj2R+Zo1nFv6l
dVYkmm0YmiYomtryZtVfkRYNvh2VqxhJNJbttttJ4nFGMmqwv/nblqO7rwHGdUzm4VL4TnylBgUk
AK7X46kcFxPwEkGRvRv+xkSLqJeaPLmKZHidmWYaUVsua4CYAGChU02vsBRcQl2g8dL1RvGPEIpe
kip5e0XPQZbah2QlYpWK8/m2+MYAnkZKSbW1LQHcV+lgtdKGKG+w8B8DjPfZq5+yEHgFQGAmE1PZ
eYi/bLFTtLaGylkEWEZhvpRNx4ZtUZ1owQ5YmAmHqrLYF910v9ZPQDS4lyObVstC/255T10yH+py
xcLpgwGECnBTAvvX8EPwE1vjnkCAScRRNb6rU9luaEiKNs/+6nHwtZ3bOdkOdtXu+qw0vwLj7mTN
AFfPxwHhNenbH4okjY7/fwuAzFRrh5ly72SOeaZGtom19P6zrJf8BUH/5s7VjIy/HCNggMPlr1VT
vxZYYRv/xRqG6cs8RM4WXNL2OQ7Mv5cS2TBy+WlsVBWyBaBC7KW8i25Q9oXvcJ5xlDOhquAiW1Cd
Q/RgAeTse5k9cuTrxG257xM2AW/EmG4z4FD2bex6q04NSQG6jfIGdAoaxEZTRcjAQFS1TML0ALTx
T4gKvljvaOKDW3lI9TBQ4/4uo14yOgj8WYYLGPc36HHq9WW3rkDldAV9E4Ch/SYEjmTObwMNZZSs
bIHEdS6T6jIBgvhSul2FiECyyZSI5EhDKvPNXRfbLH/FQEq5CbsQKjJN68wAaJNnCrA1DEgETAB0
2CtI76WnHv13Q6Vo8ijZ+K0TLMaVkAA1JGu3qVJkCfw6hVBDkgXMAmRtr6YcPCcEEZ3q3kkbmko7
sAKoGq8gRV4E7E4621vOHf8VPlmfEz4cLeozQaPCAjozomb9O+NRWOugz5tvbYrIRNiaX8Pc8cZN
xXmyK+JoBLJQPZ8faChEJlG9WoKyGDVDbrhaxmQpG1SC7xD7keDWZfPJ8vKfYTFHL0jA7w5sdsx9
GyTF5yGqvqRxWvyFuvqffIr+3QAlBkAbzt19GQ37we1Rg+OYaXJpBwtFNqoXx0GG1KL3MQmZAJ9r
5tv99kEx8S4BPCwasptoRhoPGfYXyBzeD23bH4YkOAUjw9lcA6bkJaS/jCmwv0TvKZpvNKyz19RF
sAB4C9RdsgOWrooAdUzlFCxuQ4f8jtFkEZYo7w5Ltzc789AXEZY/cT+8AA8RuBwgpQepPLAnWzmA
5DxztqT0psZ+Dm13T8o4gX2ZOeCuxW/+RLIyNP1j1QY2jk6g9bDksupke7enjlLsxKWHjJMLHrgm
iG+C5HMy7Ih5gAZ9tSPegTcNUxjubwPSeBJYCyUH56JfdihYQnYf2to3bcCEIwoThwBToTInKnDK
cXScHoehzbaVtKOViRogEMGBxLdeSf9lkIiDuSibWbkKn5uGs0IV7+cEcTalpaZ772kF2YV9DlDx
/+xC83MnOYqyGpDhGc/f0iDDgayonjhCr09tgMQFwJSUzlkpABKKkHkDustFPWJTec6hyMDssK/D
OFv5QJo92/nfVOaqq14X5CCNNvRmdgcuREpyI/whGuJwYFCz2f66xtLp+pis0cv5aszH34WHDKVr
/Lugk3aOER+7+umJYk4gB/xLdikAUxVOhkbHKNNu6zK7OGqRRrkIc0uVdFXzAN6bX9xIJkKXrVlo
O6EAlsqUKEQF8UEqmEi7r3+MPTJ8fZxzJ2svbu+Hqex/mLP0wDqF38P63bgpAVEJwhGh/Wsr4x+i
HFVe3DoOIcCV566v/rDsv5PeT/6cJdimLd745x4JL7eeIXe4stvkzzGKvyfAXHhxcFZ/DD80YuiR
mQXesaJL05uFA+McT5oXEhnS/MetWpCtKFGHsqzdiGABEgoxNACmrO3JgvfOnX1rsGjnRsgKC8Cj
dB6bud36U/x1HHxxaTOTfZR+W154kX2r3HAu1r1du+sISSl7M07MjwnwFz4iJkG60eGAjVKV9uRJ
DSDRv9peOK2roDn4qvoJRNLmmXp6yOYYVYOO6W4fFHqojUeeV6cEDE6UCY5zkBmR0k+p5YMY420k
ynqqkHqi/i3iek1YmpTSofM60thZeTbAtXVGiTaLhb0a2pwpsoEZJA9A8JYyfB5UYwFIAdDHxslT
sAkkn3D+e44s40wiLW9iFoGDrR83JAtnj+0liEKnDxkLrRPqxfwtN3N2CoDHdpusyFl10iv+irxk
L1jVXoHTbK8XmgXwHHebyAMLLJElEJfC76gVSKtN5tKU6y5D9phGBYoJBojGnYNvGofrCnbJMvxN
31rg132nK9WoQFq2IAfpcZB6r34aIIh6wMhVeYQDO7rCTW9x2O1kyoYXHI0PLxJwTAqZOTpOSuYF
yDh3M0+uFq2S8anbOyCSfSZRYSHRHeuhaUvDvBMuHsOiPnQJDqjbiH2kZghFtwNn3LjpkooV69Js
nmpUOF6HqjE/9o4NhGlH8DuPJrSKtQlEqwNNgI1U8kHNObvSXLcB+x4Ho7XxE9s482jMbu5UeKsR
ZRJ/GlGCcJ3TfjGKFAsGWfMDIOnNz2nV3ciA4wezSljj3Eon7M9tLuNtyYLkzxaFtmoGmnqeeLiZ
2l7ic/rTyDm/Lc+WOPzxryMe/mjyjt/mPsEzCn6m3f0ZAK1h19Zg0wSEa4WTKLUoojE13hxNwQWg
Kk+ycO09yZq+oxROsW0jp/yaj5+I4zu2E3lKPJsDXCWcv/m+n6/70m8vExjlvzrBnRV3A1j1fP5m
JagO01Zd/ZnEyLqdT7WTpIuVLLNXqyIEe5HPit1kygEUyBzl6s2UvESWbT3V/Xxifpwnm0Yh22Pr
SZvQZds6sGLesz7/obeojxtdMpFxdWdCe1eQaWN9Z8SXRBFeID6DM4z8mQY1MWXUIGpFiBX4dMpA
K1jdosoMZx37zM9NfxWlzSpF2eNcIXXGHLY6N/gh/Veijhcl7tP3hxRicshQpYlLpSheo7FfFCEA
KacY6NJANF49zHVnbshkjUM270R+em4EYsoNiuGwHM3rceXGPb8BTCxA+Lpv1jPYxH+A7uhrK4v6
JSrAslWanol0BsizudqnQ+B+CZBqcbCAybPLwYz9Q/brQA7sDyDvubuO+fUBNET2V5ySbEgPRkC+
NXBIfBpKkX0ag+4jzefEBcBjh6K4lsLxbsZoYL2jLmSxFjXOsctvKJ49lcUAkCeJwLVb1/O3omu9
LRBH+SF0MvnNb9jZklH90nTO9Iy6aMS3E/vVbBYjP9DwVzOWux8cUWywBtjhUNL91E9J/YQDg37h
sOcR4qfxWMZH+ok6MAOtqIkk3KHaONw2XrxSfElK6f6ofZArh05uP4/tWFznEI9SUrhJfuhEl34N
GhnuC2Ca7+fQC7/Gk7Mlg7TmGWoga3kBsEp7cyoEkOc5c38gy/cHR4H1i2Wn7an1EE4nuYdSRCTn
/IgLw9vWbu0fO6cxXtyp+xIh0J6UeJtPYKL72DlyWtcB0tL5O8H9nGVnNoIDgURdmfRPNR5IaWqB
R6MUCIYP+H7XGeiPMwTuMUEBAuO7CXBK9t9MQNNHXdc+cSfftQqDmndYVxfBfEZWenXtlYjkNKQm
bVAO2vlTtdYy6mm7WebiMjFw94pNEEXjSS8yQbXuVxtab1LzbuITt6qHxyxAPjuUV+lFrbLBOd50
qpzknzjzcGz7vhCnJTknTh9ak9ManNR6SL3FRq/g4zzi68Gfko02JD/Hi0C7tcR/LAOQBn6JeuE4
aJttoipqHFVRk6qeqxS+AcYpUpCMtFoxqgIbkmkFkjhePWLuq1TPNMOurHUqJP5RgZBlZ/46Bd3h
KTNEcBNthupWdaZkTTjhGQ3zW1Yl4fZ3Fokn9jUKYb/ZhocKZm6ITRQ51h4cMMexzSRIhofI2GRB
4m8T4GgWWBPXm8IPkptoMvPjUJX8OLcN8kbIGqmQDXJ5+uoU9w77GBvp9KTmiucScay6bHeBOqzV
x7nLmW5q2Ttzwsl19K71kw6IRtpwdssnr0e+G4kCZ0zX5YQDUc9BiJ4rslLqOfjxdIgYaTGIG5DR
0RbFvOmx2l5PqCCSiJa8ucEDFXSIMYUzqm2xYgNiiFIOk3j1EEpDalJ4hfz2un3Aut3c4Ptwnggh
CTk39iZxjWyD7fEbbBJBIiH6IjgwhMlswVTKlHHgZvmGhHceMJ7dKF+MzZGnT68F0UVz7Fqr32MH
joVbKm9B4YT/dOMPP4hdlWQ8bFFtPf0E2tMPNzCNbwKFz+uiG+NPMZZ5oBf35LObc2wi+tpFvXfW
nhioHA7SqlEGUYhgO2TVsHObAsHTzAR9iOIQAZBVcKyNaKtFJKdmcvypW92Nu0HiJVpctYiQl8k3
YeD8RsbbhJJyZNnHOeNPuPP8c29kYItyx2+TkbZH3xHepp/E+I0B7Rkw0Km8MvAOfQ4mhFqVWeG7
YCFKA9BEGMX0rQpClCAajsD5HSrdjpFXResKqAvXtEKSLON42PWtCVQq5P4GeZkdIyZQ1kEm1Bhp
jMP/JrPXrdc6w578gK+pHu4e2ySj9VQ54ZcmwfM+6PHWtFQtcy7xbKWhqSqd9ZC0lTKOlDFTxg++
pE2ybAPMFkRyax/wD0ubIOvlrT961Xu/AHuHxyzkwoS9eabGVke/eqhl934kfXdervE/9GSUCmx5
5iQ7J2VsX81pwPkhi5N9aAIABasiCKkJFARujuTIzlwEWkopF1kNUpMcwXtQ+f7Gsxt9nH2i0hwv
y7cpKaWjwOZ7RnY9aNtdQJ7RZbQJqon5NnZQ9jO6UbX2gZ6HqAKYO/I6GZ5T1Yw9ovlhDAxjUlCD
ip/hucyAIp7UQX948OBz+i3Fa//44BAjNB6U2BjrOahnjGIX8Xm80KhNEdhccT9beTgSeNK2pWUi
QwgZOB1XqPmqwRkZIHqxnl2GJIvyQuH0KiGp76yxgOt80NG/s2XFLCxBIInYIZFnkaK3wpd+SMSF
RKi+Tjchj4FPIzx/azsIJgGUp7oiLoKHKXV1Y/Zsb+ZGddIi6vnqGbzIUnY/CylCpc3KA8cZzscw
GvC/bwhEhNXGDvuX4VgUWMuAThNkPGE4bEyUc95o78dweL/1Eh/sACBxfXHMuHwuZHhMhh5ssw9T
sboZjkNlhatu+n+cfVmTpLjS5V+5dp8HG3bQ2HzzEMSeEZF7ZWa9YLV9gBCIffv1c+RkJ9nR3XXH
5kUluVwKKiMASX78HNweWWq6u6wO98AAxY8QWYwf7cbFMQ70enal7QLuX2fJrdD82WOM3pAJ5wpw
T4UhiPwKaIZB/CYEb5PuAjov9fBE7Vzg+2tZ1G2oaUIhVdtS94hF8BpHu2VATT+PMdBTA5fRnhx+
2LZW7RdIIoEZmWni20ul3OFlCnBK1uh813vIyhllrM1wxTqCapbsxWvSCLwrOmHZF+z57IvDsv8G
oKzeU2uxZ92QHHA3vOlGbV9MVYTQhT1HpZd9kV77JUXQCzCg1UDamNK3niusDF7DRpsC00zGexBn
MPznwumm5U4PrYBc21YYeY80Y+x3R2m95kP9ZYjjUs3TVYP7NmnmIx0pAI/wUtp9uKXWUizKjmQr
WO7OEpFXLmXDrse7QKe2oFSlrZyLwFO/mrd7FddWeQVoCfUsW0Ac0nlBCCEYJcNR35o24JAOzsUW
ZTUkpxonSBPvMhOUFVqV+btZFmJEfnwEldY1KNa7J3dMjTPPxlddJmET4A0i3PyJ1CSA7gDjiyzO
NI5N1t9P0/lKS6pi4uCldb9PjHjaIfZUPZttBf3QFHEDjf8yUtt9nB3cDq8RF0d8usV3Bqt+kM67
R/CQv1OA//AjFfga4LD1lFUO3galLGNIbnD7zlJFboy/bBDwHHrPsu7IHrbSXxfJpK0X2yjxymQW
vlkcHmjhSs9C/c5HHjMG9Z4Ni90YnybyHfBsDlhBQBnanLxNMyXs2JuOf6Ra9TfNxYX8QEH5PmIZ
Jnm9qmJLPyy+Xl+9IG5bbrEd1wG2/fNHLH70iUuTaldXQWOv/AYIwK2srpKBqwgWmxpRrCz33a2t
mtBN6+eCesm2uOA7A99NpRgBF8dkBF8mzUBD6maqD/hiIUYy+NN+1IrxoFcO8CWs6TY10/MnbmMV
Y1ki/u5xc996EaRrbQa8nW84PyCdDN2mwbOeS1zpmgmmXWgmUIeOB9FxSFWwvNuYAL9dWCyyPT35
3ZBxgL+nZ3ryUyHtsdg6MqzWs4Kip6DMkCkHJM2J+zQYYmtlaYm8I2+rztNlAoODbk0Dz7CjgeDK
bSB/h/90nI/9eU30GlR8IjyJCu+r2QrvkmqR8QDp9ra04kcqCmwDNw63zQ0HnOkRa9D6tsi/yVy4
WI1i3bNuQrDKz+3RASn7ALqmI3RD0Q/uxNWYuuGtnyTa/ejhKvxmQt5/Gd7z1gzvfQnt3dxCVIaa
1MGmbFqL2mEbGmVXHr9FjqQOSB7irvEpZJ64wXb4ZEmnvq2H9r2QviM2LEu3USuNk1f647pj3P82
9Pd1X2Y/GIjeccV5e2F2CBkGE9eexcAGGp4ot4Pn4zHvMmxQQ69ygwW+BnoxxJIJk0ZFDmAGm8bq
UE699d4BbdtsRsKZ/Whs8XV80UsT6wjTu0G+hwJ6ica7cXFR3SF3wUpNbRvaI+uxNepA1kAidx3S
Or3wa2GlOPOYFI6QZPqoVkFm9QAes3Mk+E8IK1fPZRdWW20afRyXF+DS60uxdr2o/5qLbqvx0P2p
XB3bLWfXpJMTMGLcOSKy1V16Dk4CF8SvL8WgpzuWjvlWTKb1MjGcoEyT5GfqxbeZ5cz9sgxKdUfe
TVMRIxFZEe6Bd44Vq9ZsuhucA50yMGoCsf9haxRd39z+7D/XBzAY3MQZNPEsv3JOPe6xIOFT9qNM
n73RN7+ZE5bsMsmHU8+N4SLAiRWUoKnf6mkMumIVE2KK0tzpJC6C2qGKFlEN8qIQAB+MIVg6fIoo
LW2qXU9RlNG4NabyB/4qMZLSQaOzFGRjigQ3qoW/xjv4vZc6uJ7cx10T7w2fjwj7tw6COmAkObVj
AcmpEqgDsmHd9N5BtYm8qSpHvFUyJ4XieJeAKKzMEb9UEvOIkVT3Cok622ylL7/YsDTmh8ZwEc5a
fKhb+pl2cfIIqKZweARn07gt+hCBzTTlZ630Syg2ackX7vJflco50cynztbqnwVy0FbAYo2PEOQZ
t+aQ5zdpirgysP3PptbX5xGBv+XSRJzPpuXKyFS4/oFh2Xb597/+5//53z+G/xX9kndSjJHM/5W3
2R2+3qb+r38buv/vfxWz/fDzv/4NKCN0eWzm+fjXggS4rfp/fHtI8ki5/49YVFWeN9K6ZEC+7ohq
h2h1DEtsdQM5jouJmHeW5sy+k0CnBc/yrZc2yUzIQx5XZD8dYyB4NWwT6L4wPTkueA4SRBYDvE7T
E86Y8TVTFSIOKXBh8KEmFZC6SIM21e+T0bYDiXjlN2iUB/jzuz9H6AetskIrnjTEoLZ67YijmY3N
rWWneCaYoH8j6R/Nwek+9nrRflbUozZ2ltFeUPRyac8KfFjJhKvITeI9ieON4WZi6/n9x6OUbwtN
16EZUQCQSO1KtUc3c/o1wNLaKcXDDUmX97nvm/dJDCn0avRuqWVlyXDbNW3gRQgYBB0o3W6QNv60
+Ft96uyhs4iUb3LJ6jjbZm4o1zQBFdAY4mtzGOpt/fE5OgTNV2bsRYd56iS3H0ByJk40tW7YyaVn
CRiqWPxI8YWulBeBleyZWrzQDaj9IHThhb0Mfv9L8/S//NCALvWBF3CZ7Rmm5f75h1YJJxrTiE0X
3TOjG9JRcquhiGfxpVldSSK7L0lwvDJ3Q3nmBky6eTu3486Q8frPPvpUhPUWOZl4uhGFoY7X66EZ
m2gVjmZ2R4yG1JE2ww9Qh1kHhAsg1zQmxmbEj2qrRauMj973XL3IzMYuzjGk68/MsHAtAF4C3uhs
Z45vJ26Ti1se5ICUrF1kgZkuqn173YA9fGuB1wjZXiXXAoo2gRUUkHQKLVW2gKLomN26AmGWuQU+
4WlXRaI8QTi0vDQmwIK0mVO7N2nlZQCR0Wbevn146KORyUDENXrt5L03cr7+/qvCrX/9XUHgBw8D
C4APBuZRT/V/eih0nTbIzPaHC2CZYTBM/sljpvZolrV/mny7CIouMt6wCbVWSN0tLq2VFg+uqT2T
PYw1vpmkNR1wSmi+xtrR7lvjDSl9/X5MzHBDXi62n24pvE3U1s3eFkV9mwN3slGB1oCanE31bayK
NrU+dxTIzDu3EyLIlcEDrt64IZTvNnlURPuRF9ZLn4CXkAFsk9du8ay34GpUXmM1aNCKwaCwnV6N
qG6QGpwCPqXjubPWrIoFtOSVzMcJbMyydW34p9DQ+7e21cKg9nrrNvGr+ADFOfz5sZu9M4wSuWPl
NH2VcXIo1MNf5s7JHvMN12L09379wNw4XUm/MY7UNNho3w5Zh4NR4NGDys+iHZJZQkg6FdpB4x5O
zBPzdSxC/l1VwMebfk9Q6ZVFVcjy0ZXr0+KDrp2Ri/KGdotLQftGnER4ayj3yIA6LDxqtr//9die
ff3rsVwXCAXIKFgm3ir0yvn06xnN1Euj2OEXDYi7oHR9++yYI24pBu3lxjJ+DiohiUzUSXZq5lzP
bqxY31zZqUlF3HfN2mulNs/7d36NkR4GHRklUn3yMpQ+YRwgEuSlxsuVna7By/3uyIto57TcP1qq
0DPExpD543rHQRtQpa65SlZqUw0cE/5xsV370HRLN9WQbLiPkN27F338iNvJ3L5/3j9O9ekilrmu
pr7+ZHKkq5tnJ/flujMQzGbqsxf7J7/lU5ZpFtugJc9u19TbEF/dkaUpBOGoSgWHdtIR2zv9uNio
dmVDdH0Ao4KagopPbZpibntlAoamBsdQfzfH39noYwAGxCr9qjsGSd2q1Kp8azDgGwwZ/gLmDuFI
Nn1pRAU+Crvoz+4weUfAMaHp52nJI8IA4EkEYuCHkk4RjR3+MgrjG3hTpy+u3/8xSC1SymLotk3h
nbGGF+AiNUQeeHk9If8FB3ZarsWXtHfOBj3PR9Ur2/S9N+uKhHoRKY4facDUxp/Hk0eC8ToCctve
T5PtAFjFyTMtEcgO1NlVgrf4YKaQ3zJa86ltLUCOivIN68Nkl1rI2e5Hr3gzc3fvDobxRMNHH9gG
R7ktwxn+zzQcUawYIsvY181AO0PT2Rqi4vi/fmDsZswd9fiGuS29vF13thSvet1dvNp0fyLQem9o
af9ig5hn0+d2A07p3D9llhVvstoUr2xoFteSQ7Kiif1nvyzsC6s9EPI04P1ULeGFFoiWJhwWuqOh
BwDFlxvyox4qkD6GnHSMuLJP0BoP9LGaNmYPLL42Rs0c5VoiZ0uAq3cdrEgzLEpUHGyOn5FfZwGJ
14b8fSyNuAqOqbF4w0CAQ4t3JBWYZhoSJ6naIbzWrAwn2tRNwo9kkwVD6ht1FN6kHfDecKHNMrEC
wBuVUVw6pXGkmqOaVFs6WpV/3FH+MVXJ26a0YXJCKjUyiJeRbSmK1chqAKzZ1G29rPnhqFVXafTv
xdQlUFWito4zvmrVKvHLpX+QAsiGDPiYXGVQUFGr1IiK8i2oPQCytjJD3d2kCr6yOCKDUDtEOHif
/8f0n098LG5cPDhmrcRM/UHmP5rB33voLwU8ihHwRqHCulbe5I14L8qQgVl6aVP3aCqwKhmpDXEX
c4OFYLKae/5/5phnc+tqyzXdSs9+VggcG4OIVmOM3eGstD8aWJ9uRgNgDiA1dgSgJo8S98qd6YOO
hzx0EGiuiirP1kAGOCdQrh561rUHalHBlH1pIpmwPZZRBZwrMgULO5LID9GHzWi1ZbkirhM3aceb
uU3VuHTyYktVKjLEufVSWluQx7byQDaajWpJWCjIuJrdAbkvjlnd5pTX2JTzGliZe+pZPofG4Ji6
AsCv13hQ9YY8EMxyBIXAofSgIU4oTbL129oJ9UeqOzp2d+TuK4Jz5EB9do/qrg7cUBQBaKOZa67a
rvs5GRY+Cev1HaUoJhPox6hpKKSzVdvZplG9k2pSr8mF3FEG45iFGbjJzd+MXZxprO+YRxkJf1Uh
zfcmVb8zGyfyUI9GFB8ZP8qqF1OO0BjyEANqC2RXIp9LdVHBzazb9JGDIKHyJFufJ1G6pTZNunjP
Q8K+W/9+aWboxvXSzPaRBWiaLnQbDWa5aun2aWnm6bHm4ljCPAO+xZuD/6bzV8srgwVdegVKXcCm
/+iC2LB2UJPEJu7aJoR2cNjd4mxJnjtdNMh/9tkpZf191g7NA5las5Abp63bDTWp428G5eF4Tw5U
1GqQpwYtE30M6u2uXGHBLuZtX2GDfU4K/zvt/zIoSYA2fYrjFZ7D5YGMhomHPh+6Dslxma9Fm7/I
eOBtw/C8PPYk6kFw+JyQ8FQ1oau29Wxe4IWWI16X+j/twsOKQI4vMgKNgglOkHsLJN/bNGqjUw1O
QuhjNvaOT5Zz22HvDhCr4T5Hw1ghBNf731sX5NI4RI6AsPdXrN8x7DBukCYIgdYlFil4ytZ2jR1i
LJ1oWC0ByrndmIj5qoEJxLd//wNif9kY2r5ru77u6oaH3Bfz6rSIh7Ipcet254iB9CeykOG7KqcS
Oa9SBJYVoamVGVSoPT8H7RcyTsD0XUBITWT2moxUaLgzdRwvTeEawq11EErD2niONWGRBB6/FQWw
eAsO5TafpoCakH0FZkgV5L104I/Q3JLL0kF+NGKZKlbSXXrh5F/DWiLoiUyUxz7RIK/sJxAac10k
UCEpKwh1B/ln2SsYEYq9g7BdUKvj1/ZDMoVqZEOeSbpzNflIUiqL/e98P7mI0Nx2fTet+DgmwVhn
+qlwbf9Lbf1yFe5PQJv0mHuI2DWjN7ySVxX3+gmJOOyLk/+ylVc5AjIXOQjIkRe2YorWFHORF+Yi
8+JFg2guA1xbp9//MgzbuX60IFTsGpbh2Z4PPXrj6szABGFkGzO7PdtT7QeTYtamIuYGJAVdcOQs
Nqpl4xCAgoVf4iGEzAT5GXjLffLDDiy786oRB1I1v7R+Eh361q5XshDZI+51CrNT+NzHTjpITO7u
yAZsvn7yOv51jrxPbvWiVZZ2It/GAAWPwNe/Jt8qL8vH/DR79nHEgraqrHmeFku8U82bNz8FgDIY
k+zV98AaTfPorTntSrPRwHLjVWs52vWhBl06gM0GO4yeln7BOctOlub4tW/jz/YC6VFkZ0X+2a78
uZ5OX0MxvmlO/dg49gWp580D9qHhnW/IlwTHRa9u7cmdYh/cCqMpX63IPr+DorhlAzYW/ZQgbTgT
7ka1pigKzwTK+ehzpsZ8/mgRJOej9TEOFIKfZqE5P8aBbSE8UyuP+PwJWQpgZxQBxKqm+qfBAu6/
uzy62I9LIM+Py5v8OhjyFglhwnOU7LxZeBCM9bVbreszKDE7xWOEXRWO7priMdfdd9vSu9TIT+tq
6z/cC+z6qFMdqvuO5xl4VOL4w7m6Fdoe4Pwo68W58JAxZjQdlvkUgZrDUqAu25l2M0EI4Y/4lMVK
RMmd4aRNFSIQyD4JQJrlPmlalJ5xZ/2KuOM82aMf3jfusPYM4T4xVSCtG5ocY/ZADswrf3DdLc9z
a0DSedc28kCuCH0C0xgb0ZaahpmOG9Pu38BTIlZgM7Tu27y17qu6znZDrAFWq2xUNHHJ1mnltZvF
prVhGoyx5+0cx3n3A8T3p9ky59haHg6aAWndiTAqLjQqq/PsXmIZpD6FLDiJK88Abd4sM1idiI7L
FaWOEwOiEOXHSUcqqKxr5w6pdr06K+U4Dc+nb2ML/F4dihfGk2RfdYnclYVuvopQD8gBKtnmenCQ
dTDgqOXB8vGzoQ6a0vMDTYtxEL3KQ+Ed/sNT0bp+KpqG6eq6aVu2bSM3QFc/lU8LrrJLogEiTNop
dsCmviSROIjyOYj1zILVi31JJrmyQZ67Wft+hBQWZLGt4iyaPtG5Lsk8sYQ4gc7sce5dOogz1swg
iUBjlw4LIBxjRT1OIhqkgdZ3DSGXpQ7kU8qBlapV1Qa6dcvsaFxRt4ZDxnRHVchNH0Izio64tu6o
M6wHMqkVrwU4oAKZOPlWtt1F4tH9M3Kqq4rqGnhR/5ym5qprgGVSXX/yQUxErCxnKPfVxmVlcUt0
rT6tHMo1WeYG2auNgWX67Z8sQKzxVa0r4IJkTZCr1PdMcV1RkU+uceJgOmqIzQrnsmAmST3zeyk1
b//JTw3zAHLedEbcBpMPNLJRVcamT5AEZY2HhccmKYq2WRE9EvHaLIXK7pz6YtspvEBYVPGj00NP
D8s7wFxVC4oV+xDnPLiTWxfpqFBmFgJShj0w/NWKqlTkykg1359AesFbd3Pd0Y2Pv/+Bu9bVW980
PDzgHBeZa4ZlOdeRAreewObnAQyQRxInREhof+6l/Vpw062DB6hQiacEnEhPbW4gl9bhzk1jtdlT
ygugHXnpgO8ETV2DIgUwmBkATy4SK1qmGDEbHCpwoTPAQdJyR0EcKiDLnp7ikt/QOp7CPGTXC3lA
IkM63OuChzsnabWmUFQ6m1j7OTR4LOHp9y1yOMK7QB8jcfGjSb3YsH9rPoLE6R8eczyYPMBCfJ9g
zzfHYcALZACdiZASRW58KzdOPRMvA535dVZrQHWse+/lzWCcWvSWDCk3v/8WcLL+l6+B4Z5mpmEw
A/zHfwmuuZbjY8mPk5IutSekIYKZfAqitKtj8CLqJTJ0Imf4UY46v1TYUj+aItuAqxWyPoAgPWpF
bGEr1naIvpRYuiTGtJEs8h94jpz5IfcsSBTU/kNaaN0pxWIK9JddHkys5FBDZOaenHMdtINg+tl3
aTnkQdWN2brIo3A7hbr3UAjL2QKq7enfpiTX7+2pa7YgwGv3UxJiNQvyjBrxy69xXDQ4ih5wMl71
4ytyyVYCe7TZvvgLnPEs9j/70zx5m/7sfQhoUD6rDq3hnY2TocChXNalTd15BsY+pzND6PgOxSni
KJwxh6DU5KLgWn+QUuzIRJ2Lmynw0ATiG35mguRtv/XTG9k7OtCMKCwk01xaqT8VlewOveDFzskt
bFOjaGpWTOj1yafq0Ai+a8fq29yExtO9nMpoOwpQ+680nCgc84npR2wXULMZjNT+VP3kOlc/OczD
1ATLVPNQ6onrFgIvJVCTRWncJEn71o2xtW14Ax4nc9RQUg/AkMbNp/bsrsZQrbJA09DjwbWZmzR8
ngQCpaDlKla//+m71y9YMNrZjo/whIcll62bVy9YQBs6wxHId6iGPJ6AmEQOHlTTCqj8GvYz/6jJ
MX63LbV/9JO2je8mCbv7PHzCvkG8TRly8ljSmdt06sevfvks3UG8GcqcINy91WKrPHdpDkZ3GYXQ
WfOx2yjs5ovd6YBmISkw7OLkaGCTsOYqk9Cs/O9+4pjpWejleOtMeHwGUQjJS0+LqnOUQaCaGa11
F4KD/tKBUwCRTnw0kwWIqEFOf9ciUetTB42AFtf7iNEGpSmNAKo6W0UdOiaw/swjQujcfxWcYyqE
N37/nTCmYvmfQSWuaRlM9z2cEziG67tXxwSNo3e95crxPAqge0wIceOcLPHlDRVjKgooUqEQDVBD
K6qORrsZcugpkYuWtcWNC42n93Gf2rO3Gk2eS7MOw2Zrh1q8yhT/ZoK47kZ6pbzlgyFvqdZ4kOqT
cSjWVx0TuO+2cYEdNHWkasVANRAYAiiLrTiOV/+YSqj54jFMjtwaHpfZyYNB5/aUW9P20xxqpIvN
86XNdos7TUNjqj4PMlCnQyE7NW54PgyXssgSRJ0k3lRuBsyWsgmzFuYKu5YSAG5A0jIDYSiZjdbP
wUlWFbdtiC7lj3rfua+FA4QM5EmGu6FH2kUNKcCNEYU3iPfW1rqq5Ffe98jndvEE2v1NExGWcQ+1
VawMATwJtBHqU3FWGLuBmTrWl64ONk2V9e02PUjrIbG4ay0ThD74pQF0djt7gDnE2LXFpK+yIYQv
DfgYNfnttGtAR3aZZvoBy/rhUQYbBBtwFDQa+ZrAROCfxika4Y2ovXTPUCVhte5Ww66sXYETcwKB
KehQQTHD5NqnvLh5lO+VNwWCo2911rHABMb37JmAbyECVa27ZBq+t+aasMqtctCVAxR7w4PBI/+G
EJ+QmfS2yNTAS3FQyK4FCzoDRCfongLIjoixAtJS8ckx/uheRNzAk4l5uC2QHg/RtCBX8Y4oil+0
eIIkALXsCSZVtBQYml2QjLk3I3HLBst7EFWeQKIGSQ1jjhfzMIpyM5T9tBl77j+Qizm9WHh9rxLH
3luO5TyGvq2ta4kEihJMPo8xgp2nvqi/gkALSqJ5h9BnnrRrXrouTlaQsJcIkO+BkmE6Dm53R6aY
QVdoVWRec7SZcY9H34Q4ngfWON6yh2UU1cbW5+AOS5+u7G0NTRGk/z1/mhJkA0j2aPwv9KEFCWhV
eOAcWpG/km2eRF0XhIq6g57ab04cgU2qrgHRsY3yW6eyBxc3IInFwbfD76xk0U5AuGDlqIherfLZ
oKaAvDktBOBIc4MrO3mQLU3GPOgYOBw9So0jY6zS7ToDEplqLDl/6p0Hu837OHKmYYBKeQEI9nLk
CiegUKjz71bkQEwia/XnJu6GNcI62m0/tMNu6Dh0jCX2sKAWK3ccEdC7IRrqtd2E0ZfS7yH9lRfG
d+Gae5AAJfGqLfkqFb32i+XWa9on7HXMhypw06y8IBEStI1gmZahWR3a0XohxmgqltSNkWVbHWGC
E9m7OgSzbwXSsUDLm2qzZG7M3XZbHbzQeZn9lvnULHnbvc/ipNui3FFMW8cbCBmkXjg3PcdnlwnY
Xuq0KUxeup893CoPL1HaHpa4uPbhQbY/z1GptJjCLH46UBLB2UV6A/wvjuGBdtZTC5l3mSdmG8Gg
vW6AWjwEXlZ2N/ogyVS8lb1lbpAxI46anxkn1gik187doSKuVN3ZAO4sAYZw3cvORq3ksNPMTG4s
jvMfUh/JKuh/8to9UTqrDKFk2GsJx3IUqbBUUAc3QWIeRwjQT32PQ/D3rNg/jJLuATMHR74iUp3Z
U5d9ZK+HL1Y9In91Ye79g6QXp0ws91+Swal2n8bNXKwjBhpq4OwNaG+2gvAc6F66JH5oUrAylnH+
1KrCK42XmJvD2cLy86mxcaiv6T2yZqwmf6oMkR11owElhPJtRBs/lE0CiCc6acCfh2sJUimSCPB8
sxebEKRD+9YfxlewJW1FO+hPYavXF7wFGtBywW4oN1+59apZV842Yan+hIzqILNEfwL3JggEdG18
xRmAUKxybB+LdJ6RqxkLN3yfkez0weSmZUBbCXDA4nise+JJrFLMixdDc6JzitOCle1FxYsZhdXO
azt3Q02vtLog5MCIUNNP2RmsOeY9zSGzaE3m0eFgbFBzmB9zJBLb30pz16WQGvJ9cPJAZxCtBGMH
XvqzabHjIM4KjBCp0mSbzyWGDPA1xxEvc3OCAHzp9uBfxsnjbWEdstDpLnnl6ZAfjoaLn07mMdJb
nA9rrituxwa/ZSR3DjuzBtJgLWTPkazdRRusK6DKErfg5Ou86JYKEznO+6LWxKrMYhmu/WzEX9Lc
d37/7sHqDInWeep+A/tbdJibNBbSasYa2CC8ZJV3l2TxPCnX2v7Q4SFPboudmlPz36nNbWBkoGNZ
IXdjB+ElLEciCJEfkMv61CH17hJqqbzMHYx3RdCZPoLWwBB/ki53AFIJ2wKMhwQuvpIzn6XLqYsG
fnhTy6zLm8oP/SPbWGCE/ZS+TrfnuxUvr/p2oLuWgUK5L27n3HS6r901VOfA7Zo4z1EttXXVuAC7
A7o+xquktlsAaAZr7xtJex5zFRHVEKykAw2Lt13gIvV7m1IEMzfq2Wc5+ADx4LTDAQzkBBSGPlUw
+ysifOn3NyBDqg4L8z3VGkCWVL7GEXS598giG58k8g8feJtCvAutrnXGp97h51Ck/S2Z3MaMAn2o
ImBM0BkCHbrBUs3dUO/EK8Qpm/xn4aQSdDdp91Z3I9bajh7dSNmyL50jg8YZuzcuNbZrEDnekhv3
oxOeydFT6rbijMB4OrtprE6CoekK7O5C9zHNwWmZ4wdc6J53TAVvH6LSeO5GHRRNyM160HFAdfZ0
7yTw0HnIVaGVpb6RnZNsFptp1g9m5Dgn8hA+skdy6B8D+3nTm7rzPHh68+Qbb9ToQCn4GCNhgFoO
vpNHYErBmh67z0lshA/Ada1nT7/uHvBEwp0duk/YBZYpuD0S5CAUWoKtqS9zkJybyPSmPWSqI1Ab
4RF223jadDtmEMkIpeU/Y1fxvFA8yCjF24joHHoPrN3hnuggoEjQYNFrlNYOwIhpBRbKO8Tc8y9c
GhzhBWBUIUSsPThNk64Id5KG7p0FgOWXCGxus0cxiuixbMr/Zw/1KaEDVTwz1YvNiNS1FZifdYh2
15AZ6hrQAMVDv3XSIUK2Il7iawSQxk0XD/zOjjOkJsY+v2sPQ91ot2SlQubM2ugmFt3vEyn/kUMR
NSlBzq5asx8PnZ0GLuJVi7tHbkbuvolWxEeadvZzuTz2hvsyexSJsFZZr0FKAtm475fYVx3oRtUE
oBZ5v8S5rR1lm2i3y3TALVibatARFKQBmtvspLooUwzROuq8cqfJ7qtn4FVVQLr8WbX0svzUSmOt
vtSZaT7bzjD31WFnPUu7/rtxH31gbZKrhGuH1vHwm2v675x12AOoFgTro70fIvebmoMjv2Q+QkXV
uMlDHNSNijWqqyX41cOq2HUqHXl0RtxHTHtiFMus4ul7WmfVqVGdPBLvE869vb1JmI2JCr0PcpBC
7twCz5HUHWeW0YVv1K85Fs5FciJGUrKXFrgcdKnHGyIhJdvUieFGc/s7clvsH8NFqCEJMSv6rT/0
KZToJ+2tn8z32mK7qhVTHH2dwCA3j/Cr+tbL6ptmKmxoAY/mF+TqQJtCGx6Q04pTm+HFq4T5Rb36
74pYf2yVDwiGrBsBzo+V6/L8LGKj3gDbXT1IcziBQtt+gRyddxjjCDtSxW2sTb5YGyFgWtRE6+Ty
oX3Iqg5puODntvWkCAPKiRrwPw+fo64BtCD2w2DOnqqsPN2PHkg1cUSF7BC9ObvqwnqdAYrlxg+u
XWjPvN2RlceVAyYT7ZZaNTi+T7GF3H5qCr3T9wUeyGtqNlFmbPDHl/PQ3CkQ4UgK/eg5lb/XXGwy
waVjWiskMGBBUYPkYQCRN0N29zSAoAfiiNSsrIFdYpP9SlI27PHMQ+4VRE2OHQOtVl/V/a2FfOtb
jvTNXaFDsrpVtqVjxFcI0XGwmS42qomyr9cGSEDXVx2+3lfB6DdiSx1Lr2V3iqEZhwn0kdRBn4bI
3XeWtuWB7InrTWefTdPGGd9CALXw2/byE9VqKLw1K6pGLXpihsDKyg6zNDAmNoIhB0bqpoJTN1W7
zMHBXN5pa0uXgJOCJLv2S2dPragfU3A6qWc3ta3BYzfRFK0S1UG9Auxp/wHIZXrs+oTNYtjt+rrj
MIchb+rqhM3zWWz3xZic9UoOqxlF1UPXEgu8fLtgphoJyv1S7y8EmRqRbqmUur4uDtk/DAKUyN02
CI5DQCDK1qFA8u7Cs42zEkS+4h+LhWqLawhme39Fbiz+4dVFwB1wUI1mfBs1XvRU+KCinQYwAkDd
On5CrEoHbf4I8IDqnWwWPgL0obrIAPJXHG1otX0kd92vBZ5pHP9d5Q6lDXYpG/dMLRoFLeBzxyYB
FIdlrPqIRxAywE/e6fPwWIGJ/rmGhukaG+Rk36gmpEiRcW2DWO//UnZezY3jXJj+RaxiDrfKsizL
cmz3DavDNHPO/PX7APK03J7Z+XZvWARwQNkKJHDOG2Swhq/9zsgnaymbowrKILJHuIgiuGz06jTn
8f0ltgE/gknlghtIMCy7lKcYNdQH+TKzlj1bij/cydBe4zfLYz85yOvYob1oUGwBtjNjQS80U3ik
Bqvpz6YcBUemX0aV2vkYDCX9Y/Pf5lYF6gVJj025r7K0x/7nMRgq6+BFTn0mIdacRZeVhdYhYVdx
lv2lql+6vLZZ5WUCl0l3UHtDtsM7DQGm6a5YnSedd5rFIYwKbDhG95cMuPazV+uRKfezjRy4XOT3
/Gtw2KCuMc5qt7rAQl1gNskQf5XynbILZtmN0tTFSQJFk2YCOJ1a7eYaD1ziq2xVdaydjRZSocjD
2ZK3Lpk9kqPu9+DFU+RiYQiL7JsMylvN2/TsfZZdEWYnqyvFF6eYvjZoHfL2ddMJRcXs1KaRtsgF
pqclKXoZkDMixO0/zMC7fQKqltnk4EJ1K3V3SW+w2PKeoLjoz23+ofH3iAyrlJ0M+3vO2EQPYAw8
/HWAgk/WYLxq8VTcVAkJIGnEw4ag2OlGYyXHeFa/yMe/XBnABt4otuqfZCuHbrSWB9mUAyJCLgHk
IgFmgkaWRw1vZFOeQbAHUSgXDb8vJ18BGcH3y8ngiC/6yfW5b1j8ku2w51cZau6+a+10yZPDfXLi
aj5mxvhNtow+Q0PSVGdUex1/HylT9NQrvcoCSwB4RNNMsvIUsrjIyw6cYDJHx9TABsCgHvOkBHq5
mrJs2PaVEj3NNb4RMeTahZxqJFl+O03jCim64hCEQIaqcsABRYlL2Zx8nSyLkufZ9r/rH5qsev9R
/3BsR/OoiiMpo4O3/VSUMsq41Mhe8JAOlPLG0Nm6uKXy0/OVjTL0CLCgmTp24A4FjxlCuYnawGzA
2GJD/IPbwzdT8YKvpsn3i9qW9dKoMZmGXLEep16ZVzk4q3NZ9cGmdJvuLh79Gfl+O+bhXXX7oJqD
G80z+wPOEPGuH1WT3WfebSZFKe4BwAZrow7bJZBkkAUsN5dOPfavLvBlcDF6+d1KgyO6qFOwKLoH
tS0jdAaHYF15Ge4KNtwNQyy5NF+Q/5zmmZJ3sUr8qThPbZ9voqqcj0qhaLtw1BrKlQP6KvOobc0g
VpAEohChJ6y609YI9rZl6Qc43t5C82v9xRydaOcYrcLaiuaoAuxOutHC45YmlvfQZUmaHWTT84wX
s6z0k2zFbrdAbdR8sus+eazDeCO7A6Mu72a4p5cXGArtBo9Rs/puWSbyJ4tWR9OQkjN1pi5BpkGA
4jovthaFPVcHCUJrfjeHkLQrScZH38/O3ZiNr+k4QGPpZmgsTuTe6lgTrUFkJl8oDtxpWmf/JMF1
BvYwvPrsCtY90q+3aFg4t3aUaitDwD+HetjqWZXfT4ma3RvQYaBXTFhi2+QBYAFn94qHzqqBT8pW
NmXw77jYqLqtqvgRxl/xuFZy6nm6hXOPbJpIacBxAgd/HZWweFet0e9RouRWPndCU1kaQRk+ylbH
MvXasudgVeKic3AT1QSdmVykeROTpx0bYBfp7SG/HRvDXo1jln9Ttf/niLh0e4ixpfdv14jV2fwf
SAlD+4zNsz3wCJSMDVuDhOE6onT5AZCl+pCklYoL18aAquRVWEGKL0SJlqxjN0ZEUUeLoRGHi8qC
bF8kGOQkTTPUHM0LtBdkW85kh9+h0PRbrAESebRswYevfCNQD644sKGcD7IJBgzQujyVnXI4AU+w
snMbzS8RaBseMfL0OvHTda6TPVOp0DRJA6jqpHNmSOILibXtIgOMeZT0O9lEWzC/H5PJuBFxlYyz
0ym/l3EDGeTdpVPGoLXzdMHoRsDDl+4gtgj+9EsCVUejqZe6FrRH1GNB3iTDpX+KqDbI/lmzhrOI
l4BXrdU+9ot4ELRfQxbiO7vMtaNSj9pRngkZoGPYrb1xyj5041A7k0yNvH4fZvWdDA0UH8NDw7kH
XnYe7Wh0wAq27imjWrpyUEBYyaY8lF2T7QJlOuDvnj9RyppXJKdSMuMDTZ16X+z53iKsjOzJYLOH
XIS1tEWsnADG75kUqH28Tk8qN93K+CkNlT2ape/TtZDkhwttat/VPYYZHa4ZiL2tsrRrDiqMgIni
OKuoqLZaRFzMVxnWj54yLZRE86eFwS6UhTDK+3KyPHwIYpl6uZjsk9e6xsmrupX+Kvs11Wn2SmDe
qn2hlShbK83hejDisv3QtGRTHSuShvrqGibPZOwlQlzk01QZ8vk1ZEzYBO7aypNw0ee6Wi6uE1vZ
bpSYXnlhOTRFIYsarBTYvXYPSeIaUDrUflG5avfQiAP2RcVSdeZkJ5tyoOhwz2jDBzlJuDnsSsPy
F7Me9Jc+HEpMUA9zspfxioXSvdVcxtwKZHjsGHcGq1H8Z5rmW6IbN75l1sHCVdkr5l73M1BBYHbY
Z7wEujVCp476U1R5xW5mEbzlz94FNlsScFoCGl4oX1XI4LN4GhSl/8vTffcpq7N5k7OGZdtD6GC4
ytKubP8rqjFr+eBwsSNpKZjWQ2k8o3Ax3am1+6U3e/3ZTlCuZh3x5To2etaXSnX1Z0UvkVj4O/Jf
5olIHs/w05pwGzgmxRwnmo4xEqmQGZHZk33XAUuMyqaLxDMGhz5iWbDR2KuJyV2guOuqruu1omXu
Bkycc1Pl1QDtEhqtirLLS9Nq39qm9P/qonIRJqb5w0NhEKJIET36hn3K++E5dFELXUxKx4pBHELN
aG6ikUL24vOpHIdw19wkcvwyqQray8zr9A8x8jRCAuS/V3rW56eJo5qmrUOJ8WzNgfX+iU/VT7aF
uJLb3LbYwxm6G97kWhctLhojsl3M49/tKmNZXYrxiTrRWQqLGGk07qDGLmrdCC7sYFeZnLu+dnCi
TOEOm/heI9vvVUslGjzWjgo02GVrWpvrzgihm3CRJIrCIxoOXebHETpvyXDZSgEdKO7RCmWjZB+N
uKZ6IpzEPikhYnYwbabMKC+EIveqkXglGPnY+OFU1+yb2FQP//1e/iOl4ZCdB3hgaLaj4nKifXoy
66jkaAjxZbfvum5agv7T5RnmBvz0ci/zN6gteO5imlGdcfvp/SklH13UV27swUFe4yRFl3w39G8T
HmgLKf0Q6EmymcqGrJgQbGo8A90YtoB3k9fPL/+clCHOsxzCsdgNAhLq65DPByUo9qVQEJJ9VqPU
lz6rQUZIDgTGH3GdmHvta0u9RgosxDsNYrTbbhyHfKQXZA9gO4O7vBrdRcD785blCRgyw3WptLbV
w1DNL7K/y1JrRXYyv7GarHj1unI5dL79pjXiHyOnuZVNVZ3ZxVrRqxeq1U0EJmwlp4uXUzMtfeiT
MLy8nIyvU1yi5MtlPvjb//5geZB8SlY5qo2spedqlgGB5R8aQ0lf2aYDsfzWq4fF7JnLd82dWI9O
I02p0CN/Dt7/pYsv3vIizCMjxDXkb0jO5JcTn0SEbA0VuHA+5wPL6eIGLfJko4P4+oKc+85mH/TD
UPFWsN2gOsdjTUTRCE2v/Isdquc5rJrzUEZYLujhTn5xYF6r/GpnXjEukXrHRgIDTTPZyyYqah8m
aUG8KwxFWcCWbzexLxDZfx4aDS7SQnZiHp3trHY4/lvcta9S8yPgTNP+ShFqWETC6ya2TWNX5fMX
2boS8DUHN5xQDLLm+oInRHEnu65hcubM4KXfN84jIJGF291Juw137gQOVqnvqK4Zt2ppjKsKRYzv
c3IJaIA7L0O7qu9CB+LMfwXYflXuZ89bRVAj1Gz339+qf2AMHUNDTsiSOiOmaVifbhc5+Zt2crXw
gPEO9bTFEPU3WZdoL63pLNxY7Z6cpJgf/VhfhaWhvgwTZqx6lX/340p9aevRA6yQo4Mi5ngZLFDX
SWrMZomdqsxf8Qrx7nJFC2azas0jljvMFRtP1ffV0++XU31nZYyYnV5B6lExzisPHeX1tS/1dPuE
OpvsueLWU1X/GCoHZGgzLGWltx8QabRMaKj8fEqsUXITd8e+VBt4t+AS7Mp8a3vuYfHA/0JhTvai
MmHeBT256AEvjleg3Npu1tB1lqPpn5coHe1yiU4b5SU0ceHIVN8vIeeojaNeLhEIdMT1r0jc+tes
+sH+ioeCLnevuzagIAmUukKoQk9PeTiZGJkLzNV1QA+T/5GIccV34GMexuG57IKGNzzN1lWgwn9u
9uwqNO25nJsb8k3wQEQKtRMbfvR92NyLfGvzZxM86vuolavGh+CmNr97KmJAcWnm61ZV003ge9aj
p/hI/JvJKxRu6xGZPOsRZZWjY7VIQYoubDbf4+VgAnz3GLfRq2z9js9ZZtxdLljVAxZBE3rdhd1p
+BP40U4SWfRUAaw1Gl9btFxOtTjIfqPOG9kvW4OVlndeHy2N1s03zqAnj9XMdiaJdbhSIDYAJfu/
sgndEBXbFb8X5jNZ4jzqSuKuE7snNdE56g0F2m6b4YQgboeIuthT/GZk00OOoeCvJv0aFnH218hN
eGEZTfySwp9dpR7yXli7BfvQdpR7rC6+tKXioDLgxxs1Up1t0Y/OlxRGmpKPyVMQ28r/+MiNz4QU
V4OBajqmpdu69088eDIOpjbnVKjc3iUNNCnHToOlkIatup5yV8G3k77rwe+ExpsZ/bx2yTOFlP9K
hzixGorpZcDX6K/e8/HdpfC/8Mpm1ca2/3Oqta9+0IZv+sgKBfyy+ThHmIw1XZOcasW1tn03poew
LePDFBoZyX8gk8X/uBeSVvz0RYdua6gOX0AD+i2Lp09f9MQyelKiRX0wYQ3eQtVwdh2o1n0bFMHd
6Fpida61T4pHJheNnvi7imldVZUdebEyXlEzU37kGbQhvQFPqBuKulK7pjrldlnvpsl1MeRxqiOc
OhN0Qzc/jtwxF1Gmk6qcyVfJK4Udmwfcuf+aiyxEqcdyX6bAKlcGb/G9qg/OVu/j/oZknA73Lco2
dtNZD36CMZgPIPar62gnK7OQbtOV+971w19emn0PQ9V6xWbMX8pLROjy1yd+iT32DuO0LWA7L6+W
Y4pe/UdfI1zJZLCMK6MMwK2F3Rk0f3dZ1SGIinGoH8AoWnOtn30zqR9sbuX7RMUnVY6F4+TepSNZ
MD7K8iWk0gFEeuq/8R6cqh7c10Lznn0tcvieTJTRG7f/idrwN7/ie8J2Olq61Inu0MqPl2EWfb0u
HoumB4CgJ1/lUlKuHf/syhOwZwVy/tsgrJdFpfJd/PMsNhLojWNRQf7ROPswumbfBhZGr4fmQW4j
RQvB7w8tOSY3lXkxr00RKTeVv+c1YospxuQ8OVbS+n+b9/sqv+fJq0Bl8PZeZ4zrOpqmg6Mp46HM
1XQxd6V+6Qsgw2Kv+vdBxl2b8kz29SmC3uR1dwMGOxWUA65XpGOKVEevry9xU/XTVZ1przpj/uBA
PNtGYdiQRaDZz17+kKAyuAzdud3Jvlb08RNYeHpW3ssu8kPlITKbH7LVBTFMAFVTtyjckQ4JsNMQ
mSt50GWySp42lBi3HXliNlgiz5XO6lGVw7LdaSFw9amJ8FIQCa7rNeRZkMCOQ6Ap2prQzvak1kkn
ggU+2pCcDmicWzdWHV74gEWfBNO+7Up1U07oFySegUuT05b7ySgQGgvc9Njl5WNo4v+QGm7weI2Q
fZmIAFD8KOPlgfvOv14jdoo7sl7PnRVF3w2jWTnxaH7B/tvaDK5p7cpaS55LPz/LgBCHtMWokbTP
YwctQaWNVhjsht8rrV1BUzO/ZJFus6dBPYbFB4zIoPM3pNwKVpE0NTOIHjOwF26dAUEXXdwV3yPk
oOz7M0JeYzKtYgX4vL6rVfsRzCjqGlpECjFu6/sYPM3SHA33O+5cpCgQ/nUb+MbwdErM18b32HIK
rduxzXZRWo/LyWFNbqbtTikC5a/SNEGK+tVb67Xhasyt6dTATdlTBax2ulfilCcmDWJSC7kNH8j2
wQbwzAeTJE+Fku3V3La+9HbqbxNrDDc1SUbEE+ev06w4aJvb5dlVzFfZDTVOAdOI9QPGUicvHZap
UTlnPVbsc1tYzk1ZWD9rlAdjxCtq8Ppoifpu7O5DGGhvCU4pOupfmTnvNQ10coo5xZta6z+LtDTu
lbJvyBf0ZLxEGMLs1spA+nEPszBicj4n/et/r+Y183MmxUWUxuK36TmWjjTNZ9FA3/LxKdS1+NB6
vYG0gzYIJ4owXWNuhiAKZau1G47uDzvxk0VtNvqL2kL4D7RkvDe8EFadYTYHf+45kMTYCiPu+9ZM
sQ2YKbPpWfNsdhQIUY7Pl5BMmmenn/sD9Wd1kYhm5QDFra0hXnh50D63ajfese5+lVPdvM3vCzc4
ypmKaSlnv/VgUDKxU0P3MR9+tlRzVk0YOqtyNAqYJhy6OSgPfTSQ+Lq29SyC13RtK1Z7q9rJUCNo
EfbasheqF100ZvetrWdbmADKQvZdD3pS3xhtXFJLIlYePsRiun5Xpcob7lneIq4jKD5Zq4ebMIn9
BVVLdWJZOSmri4UcwuDGoeJ+K13hpCzk1WJANuVhprJyUCCXX7vkhE+xMszCXXVljamqLPxac+8n
zTg2hVbcuqwdFMzicEiCjuCinSLaNhCDNfeN6X2O43fKrlIS/Gs6/s5FUJTakZz8Rl7sMofN4TJw
jOnOUwPvXg6g8hwt1Cg3AGU9mC18AlWiEwYyuK09PFzc6mRfDptmZWVo9n3o7IYBSrCtkDkQeAaB
cwC6f5l77ZL9lS9svWNH/x8quXJH8nHH4rKOYwGLKrBOCfkfAk0DjLjAaKf44GQZHOiKZDIp5Ix9
alihhZpHD50giheKsHvOkY4LvXl1IT1jp86M//5dmp93UDArNfRfVY+KtooH7KeFZRxZVkmCDOUi
R01vJyAOfFU5yLNrMysqYXRVkmITo9xpuo3nljXl9Qk/BUjkdzUW2bJ1Pbh2d86iELtqESUPMZTV
ZR1Tvo0yg0zzoNjlLodztIh6nFOSyqOAmwodurod9Z2XQNQsIWpuJNdK+qDKsyvByjTVv0OEhr8c
/XAQfUNoPPz3+ybenE9Lcs9BIckmo6m5FsvRz+9c0/gjPKO2uslt1r8W91Jr7dvqcGwETJTdSbCQ
zTYDGWrUyBAbNmnzVkBDc6yVFwlc0FUNw36BeFp4LOKWQr2RHdy8Do+yiwIcCG7ZtjPlQU1G9xyW
vred9D5f11anvOjqhKIDVvJ72VQcNVkk5gQLXIym+JyUnls/VU05P6CnvbNDVyEbqsJtKbgzyqYb
/VCx8tuZYZ0u4waChI1U9KkAljE5DXSJ2uqf+JEto7BTzjIg6MsGc5eqP8hBaMCo4abtuJGjs5Zo
MLQydCVyZQFBsXiFl+dvaor7G0macHw7X3YxN3M5yt7hJirT+iFIcvPRzJ215FJwO8MsUiREcAM2
DiEEySV6FYr5g8Lnz3gocbrwMEWbJCG/fo3T2n6Q/CIDEZF17yPyW3XGym7TUOCIXwLb0MFC5eF9
WAwspiYjeCtyuCQTILg9wMTwTYH+r/dZ/Nr0kXYoa11byulkDsJlkdURC7IufQaDusHvUGwMlWDX
Dz4/1wFAijnghDArmb/roiFFQRwt6os8mdYkb+5UZjcXrD+Sn9Eitt14USteuYWcMgEqMM8qlq0P
6hTo90o7fpXdWJb1GzNK4YUJnnGf2WcjCiIWrUSF3fh1EJOdzOw38lpdOG19ks7ssQT7qknNpSLM
xkPhR663K9PkyyQbqGSnK3Po661sKs2UH4G5PieqjUfR2CnfhsFob31hdd5p6tqyUdWep5jdsZB1
qMqouLNj7QGhQ379vqusesq150QoQqheIfc/894bcuhCTdlvpwHHk8id7hRLydFrj0YTFd/hxZ+t
8V4eFGwh74vE3uGr5N5ewrLIACDfhtM6HfE/KozIigIW/9WLw353k/sYRWGva78NdfRX4cXJGWMV
XEXgvizMsXHeTBVlycCEsd0aafvoRs09ToLOW+RriDPVfrfPxqhHjvlZXiaKC2+rGPa4kc3A4N33
NPe5BUx2SBwTP4wJ5lrIjXJB8sDTyARX3mbw8h+XZtCWIZ6TSMcUizZotb3WhTDy0nDiEa1pT0bX
e7vI9+clnqrak9uE6lEvvDfZMkevfQzLZyUmUvbws7vFEUM/ycmWmVqLNK/mm0t4ZtVY6vVLkyLr
WsUy/qEUVAkNEkqNav1Rdql2MN7mavFEOkxFkDrRgrWc4NkVdpOO+RJMVr8ga8CrBHl0KvWZmlWK
XoMccIrAOE3QfU9qY3wc0MUMRcGM6tOM60AtLpUIiYcmLte6V4fdHiOobZg47iYo4+KuKNR/nMW/
R0c77XmzCzs5TsCulyzhyfH7zQvMAxy2Kh05pKQODuTsKYGR1uQDTjR2SmX401H+gszt/xVSF+j7
5H2OUUDApzIXsIirTfxQG+ZYroplmHmdk7TJj35q/JvBJz3cupRzYNU7e8WtbThgGKw2wjSldUME
E+zx9RphloF9ViP/c0Rtzf0afPyvesSXKNQHTDws02k3XUNSxNGmRxB72imB9HLs7BpnmM5S35qg
4c7TlcNxYlf0aPjzvdLn6K37+bS28ZLZhQNNb4WzzvimK0a8dzXgvHIym68zOunB46CM9wNIjE3a
GB18I89+DDQ+8sqxjJ92epRvU9oAVGOtYD1nXohH2DCyhwvV9kAxajWN067m28P+jixoLw4NFmcY
t1r3ssvrqmIFDLfZykwnILTpMDloYViD9sPxnHhtgh5cXPjHhbEbbWFuNsJNVjXSHQ65yd2Fquyj
s4HEwM7yUAMEqI8y1G8rkEu7C0aB1hXOIbhZwmgyhnTTtnPD3zPE8wtcS+APAial+A8aJqtPUh00
Nx71bnpvRPWjP9TCGU3Vq+9lMxgVjkVOOr9EXVG+5Bn8HaszwiPMOuO1LpCQC8yXPrfGO7tH6lN2
OyitIIKVZJvBGEb+6hBvEYNbnF1O012Wa/oKmlu8kk1T9MkzeWjN6X5IPG+vppHwwhGjoZv5N3UQ
3Vz6aihtewuO8E7zLY3VL3vpKNSfWmoFT50yZFQIvG6jtjGkKxuBQBHQYAW+cmBH3xawZe57OL3j
GPM0VqrucciGbg1PjY1y5487TXcioe443EI+UfGqa4tz1SjYGeCL9IJ8cMZzHqP2WRD04ibHXA74
l2tm8a8gVV4URLvfzDROl1lasPqaRh/QFIuGKCkH1oOKsgOm0j+pDbzXQUmslRxFLzLHcT5KFnI0
USrvIehJbImpvTiEjnHfB1Q40Iga8Jcli9tx2zomqXVI+zp5mIQ9sKlAbK0a1ARk8zLg4nIuJ8g+
edBn9LKoAd3J1pjiQuhqQ7SgbomaLgAGkvlB9ZRqJjpEEEz9ctZ3Tl7gRCsIpqbW/lVYr1po+Y9u
bnvrDIWgWxJR/g0bB3yya806g7esl2ZRNF/jvLvF/8X8pcGT6eos/DEA0l8oZmDeaJH9w1Ja69H5
XrDEfZTnXjCkSyD/2d4RQ300DvuoLdDVFM1yULul2ikjyjJ4eA2O3i/Lkn3odREsF7xm3eHM5qJk
G+Twm4MSmjjey+9nEX0DkFMABjGwWnl2jftzNDJrc2GGfbN1qsbctalyunr7yDPp4yNtfVAzNPa1
Y+2CDNu0qK7BcI41nLHEyP5o937jrBuD1/awW529owvV9OgN7LqhawdHO5mLZhWhQLOvbeeIl8gP
zY/r19Gan4xWLR4L3u9DwsJtdREG4luiDtzu51ajDptp4QpL2Hg/AENYAmoJPL4GRfjV7CDMPo+V
/m12/LZ9RCgbVyevyxCyoXpvBFO7m0vXWGBpAHq+M8Bq4URjoD7J8CVVe+2T5kFyjoyRl3AjTNAC
YURexTZQfIEq9yqq0IYFkcBwrXBn40K3qv3MPGTtKhNeR6W4o3XiBvapKQeufeUIjDXX+n2Dlzt6
4IPy7AEGlxpIVoPYcR8Zwc0Apuza709IJF/73TDfybfsGu9ZSKE03JrRmDxJIdXARzjDrYa97JKy
qr/7Rwqwe9mlI4a0UUVOCeWwmORDG2DAoydnzdK/9fFUvWHal67rNKj3icw6NZshxb6CNXF24yrq
vBpFFJvkeDHC+qlrdPetWitJd2vJfZfG38iEIeRas7lQJbB1bI2FloX9QeLl5ahs8qEg/yyCr6Op
CJ7EXENg8GVz8Ot26fN5LOXCNG4axGiTkGqYWKfO1FsOcmEqm4UK8tzeXwTOEI5NF0WeeYc0IBlX
FwigRBVCECjbWodZHGRTHsq8Khft5M3rFLhBvbiOyEA5JQ145MZZYbIyNEq1Zs+F4eyrBfLnqHjK
wgENurIzlowSmwDD82hGcQwNNjAebJtiuMAo9FET3wgQ0EpGoZ5Srcq4usdtJxvPl6VSorrCnmvO
jyVp8jXcRf0JAFe7UJXe+9GF6dLmafbLAJ+llub41nbYZo6NFZ8pu49baCsdRtHFN7ySLRLleB4A
IMMibrq11Sn6XkXTsKJaITTLoxLPn78DmvI2iof4+2w2fwToycM429xVPC9H5KLIn8KkP8lvpWrg
I/Av/VqPPAnfmwKcLh+UiJffek1pulXo8qQpfHdudChlbnQ7KMOB7DPy86LgIytBostIC+j50gPq
d3MW8KzEary7ixJdl3X5cfQztjDUUr8j+71QBZoPYnILKrArHjtFGbYwybu9Vwb5bgoyG/a8VdtY
7rWaad2Ubv7xya6nwyZvVP1wfdjLZ3/CBgh56uJF9huB8fdjHyqtvuRRnq7llXInrbgBm9NC3n/c
uWd5h2Pp+lo5+tQnb0T27zjZlMGf+1hioisD37kA/LSfK+UbC9HmdNGkyETfZLj/2jcIvZWrqEVc
FerWNx77nG9O73rx95aFKlg3+6c1jUjkjLP3GNhtsjUTQaS0dfOER8C8tNxyb/WWcZ+B41nlU9Xe
w4HmKWonSKygdXsDhEdhSzolJyWFmVDADXlCBMhBeXxqv7aFfq4jsYTWrPc1Sd4Eh87s4+/dxH8W
hoPzPM7py+ibiHONabeVEPmwxYWiwdlnK1eGsilH5drw2pQA+ib23oP/v+Zeryxf6Do3/PPPkK/L
W+jeXRaeDUlDwH8Naj0CNgG0AjdLUx/zI9SxT0iKC+RiJLOzBIU9riQqwwP7cpjMdtc0ivU0a6TM
qq48z9ZkPTU2ajG56423nRiMZyR/+nZWd7KJljc36bEc1zLY6wNzb/ol+n9irjZk3jFtuYOLVhvn
7kPqjws5U76UsGge4Oe+ew/bzpMntvOBxU5enrmp/a3szfTG6Ut2/ZZaK+ukUrylL7MAtpFMR8z1
Nk2vWjfglqxlZjVw/8TKK3MMG9JuXhwVu4leBv6q3kUdhJScvU8Te3V593jYn5tpsOEABdwMDcex
b0KfV0j0OX7MizZYDq4TrYvSLXsSmUSm3tG0kVUog3GL3UVyj/lJs8I6NH+hSlcIpYvqB2rPmwEQ
CkSSLlo5gFB/Ft6I5mKoJ69xpQQrC7/a+9Hpw60oWhwGzYgO8ppuj693o3jObe4ncKxtsk6j2+l7
rSKTQ6V9foSMUCHRwQ9GwyYz1IvhnHmzv7Ra7eAg1XFnVji56XpZokFH7ku6uMmDZmKwKthgSlhW
z15i7+s+yM+ShT6oiBTCsDpLpvmgmZcxBLSrTdTC6UCpMlintpUd5sDUz7Zt5AtZpKs99yf8Jf/B
aILyxnEGqsluW35TNPwcKP+pDQQdVHXORtFql58UihKsQ0VTfvFlc5pUmuLxe23KnxQKiO5KDdtq
U8SYZgugpXRGrCL77BvIZl59Enk2wcCZwtuLO6MIFV0azCJIv977RNElJ5IyLE+1Fj13CgQ/266H
cKk3RbxlT/ZHO+IusVB6qmdKvM2bifxbPr2f/O75eKIUqhezZEYGwJyPpGBxotFBgilqcCf/XPnX
yC7ywHeBXEP6GhGief0f0fIj4eUGHnU/VMjmCn1gMpnOCgNLe90GCNPPg4btnJ7OK1Iy1nCZbAro
aRPX6znoh8sryouKrhpO+iXqd5eceH2Dwqhay65QfEyVooJ2rcYl2y3jlUcElodkB3eyiUjVM1k8
+97H6RECb7qR3dhNRIdVCmXm1Nqa+GuThxlg3MPEvXUHGMgVFpzJgzykCLsuO9g5m2sfkPv7KMwd
YL/MysO4OGkjaRB+BoCfQ11ZjhQStlk1ho8e9rgn9FNFmgyKhcz5dEV6hmHNF34um10m+KuSxNo5
43vfleZqxDXJqVEKRTYsdQwF85+ZBC0ljvqtje9lGqoeM+vSnY1p/QbfW3bLaJJ5rkwBqNCZI037
2Qiec1diYazWzUEJlOwb9BmPVNk0IrHW8NmxCz+WnhfeeEWU7czInk+Vo/YrE3XYl0ZAqHrFsu90
NfkFH8u8mxDlIyHmO1vZ7DMf44JAUdS9PriP5kR1Tw7Iw+yb6SpN1Ce38OazVydLFOwTNproRcNG
rbybyw5SG7xtb1nuZcuI7GSwumRC2M9sJHBWSxxvZ2PJu5BNebDT+b3vClkP8/q9T0J2yXmjcZ90
4a5WTQt8IkX/yrPiB3nw1XiFOKB6urQURLOa0DzLFtZ3yUM7kKIdB1Q7r31Gjn5Mxc8gpSq6ieIW
a15xgL7+ftZDug8i6xiZIHcQyWBQhzS3dT2McK6xqRcx3JcUAnJxKcuMx+X/Yey8luNGljD9RIiA
N7ftHZtGlEjpBiGNZuC9x9Pvh2yNmqM4u7E3CFRWFUiJ3aiqzN+kQ7rsZBc5szxPx0sMRahc1NCm
xhgwp2/K77FZBUfRMGuKknFZmKtbJwKZJ8Ekmexdb1XawXOi+GCWbFq0Wa0/uX1RfxrxbTdKNHVS
jkufjIgjmE+ybiudleOjbKIqW+mUSQCQo7XVGNFRRiDaaKCFvOxefj8yc/0v+gie3V5+gLL8UP48
l6LK4QTrkbpyEAvYVGFbO+uKFPnZaYKuvRhKmJ7dHP9XqqlE5SJBmWQUJeQ7x8+T5ACSRD2m6MVn
sCDTaFdHWbuNTIxUZ5PaY2L5f5eZ9WaZKkhSa7Q3ShkH1zZQUSLrHTJcrtK/uFkI0LAln2EP5bpb
KB/m5LzpbV68VRX0QJmUmweb5OhkwMpqcEZ7ikdqEXJRO753hYpiJxHpMzlVbrMUBRyXpMGHoRpS
sn5Ra9f7I8I08LahM0BRW8b6gQVIWsvwDALM/KnoEcRcEKBjOn5o/e4TOOikmz/ZBrGr7/j6NEmv
v8JlnpEZn+KHEbvD06wUSKWZyvBsFVG31rI6/5Zp+qVQA+0fFZQCxEzrhwobbAXvGKBclKa7uYoL
7Cj67hx0g7GLO4CUY+2Ga8/Uh++NVR58x54/40jz5vRuty5q9l7knq1PZhHHJ1R7kd5bmnJpk2fX
U/QXadzHB6ViftKX8ZFGdkJ6Z8P71Ohq9gCaejs3if9oLsp6VgFgQktDzFeXpojnVdRvBgyxHyXk
p4DMmjgLqWUsnqP/o7daem/+dsvTm7mnkl8031PStrs6ARSa1dO7l836T7x2TiXZ7K8FwJaVC4Rm
ZVD2PNROj/ZgXn9OMt94CpQqea0D/EGXcIP9+Vnx+2Ft15Hx5oa2vyHXZ7EcwHWm1lSxVQGC/Aax
gKyCVg+8aXP3IMZ2VvpelIPzViu5duLLBIpz8burBszls9ZtHnlbms9goN9sq3zHg/3NM5P5vbAh
JOA38tL5wCqgZf+ssO1690YnwycWlnVfhM0qzYx2N/fXTA/tF3m7UuxFY8Ws9YM0MycIMSyYzdVg
hNanorCtT4zPhx017eoh0dnDnpo+zTZJ08QrPQWDK/9ItYStoAAE28t/QUlCdFV1uXq1rEH9Es1X
CVPF9NEfYhIUnp3DAjpMO2++cKJ+qvQezifCdPmTaVbTyuEYdEhh3kCacSG+L2MWTsQaQxXrJqAe
KbENGUsd9ndIOv8Z7rkLfwHaA30sj7fCTG3XfCLAWaCoFf2YYwUyU6AUL6VHqS4zKWNJhjlYKX4e
/EgVvr3oj+snUpn1i0wMdOqNTp5Hx6Z265cXMvpUo5a6FEAa4wA9H5StVKHMavBWLfuqg23N1rMV
7izh2ZglyTS/f7jl40qahTkND3Kane3O3JTzPMH6zAr8AbnIHYflZB0ZkbG9xyog0h96Lacg8bPM
uHfIYJnrLL3SIRcKDL/G3XvvT1bt8Gj0JFGiYnh39Y5vkB9jgheYwKjiOo4+NX41XJLSXJu11q2U
zKxvgPRsNs0VYotUJxZ8ulO76PUtvfLukua9Vwb/f8xFfhN82b2KGvJy71IQa66cuEKUS9YDMOmd
lFdlXOe6ynHAM1lauCYluMw1z3G+uCiVeYZa8+yO65sVsquiKpJg81XPlnHNC8o+aafgCNVkzr9s
FyG+jB0lPreg8q+Mlj8ex8Kpoe0UPVmaMU6+CJKpyeYW83Ywi9L0uoJPb9m6Zw192RviqdEzjH/T
djroWo3udlt+LfUcbxj8jVa2q5UvUlRGYt5YgdWBKrik8tDDt3fewFZXevnaHKOGUopIfTqG3m1y
bGPWovUpMX8R+ZSLu9xFthkfGsd4nqbKJ3Xjoadc2o+dn3kc2CD73ONVr1f9ToK+Oha7xNeS+cuo
F49dXvlIMWNQYAS8H0tfu+gcBT65NZ7A2LahumCalBQCxYLT4kcPwhaB1ZntnQUsJYyQO4OkbKrT
8v28WE6VH0y3j1Z/JIglhyyxwnXfqW7F+3tu+T52bC0ghSQvN2C7+8chdH4lvH224481f43b981h
i2Tt7LhzyAkg7m+VeFHVpfp5Ssruua3V8rkZ2i8SLklob+BCHOJuQi5PbY3sU+MG/ZNXpDtbdIbj
EO3qYnLspdbKesdbcV/bUbvROk6JiMQ6lnN8zxAI+lwXMXsc3sdR5o24JGcGWt4024xX4QjD/EGj
7IGyLXp+SVFFD6VarEtthO6rllnw6OmOci396bMLnOd4DyGEGDz6jtNv+KIOGxkmvdJhDDMbb234
bALZAWmyDJYhA6pG8mNkLMiNgEwpFw4N1qqzUwu6Ic3btGZpF0vPh+DvX1IemvPR6xDYsZPSPZe2
4pzntHXOz3J7D0rzf8X+GGJats6XEnWve4f7+9H32B/PY4c+HjjVX6Le8VcoC5u/pI5vGadUNTMU
Ebyt5JRusVu6ScaHkWHeum5BYffIHOr123ARSr7NuWes7j+HVPe0Q8BbXTX9qLGLGYI9hAP7hVck
rJyy7v4CrUZmiX2ljQSJWs14pvlol7ZFbjxEjZaBnWRfWFdl8AY17KBoswXsr0xfMz3eCORpzlL/
weQVtJJmPRneIc7IRUtzrNpkW/Ueh5kFH5X32USiJ7YvSR06pwA/422AONpZLq6KoHjgZAni+nQM
doCMiARvt7dBaUraX26dcarOiBn8mn7rdjttp49FsGHxNaFE/Xtwctou2UAUmndyTJKOTm9eGrjX
FwmFSWAC/bXX90ntwAZIHjSb4XMEFOUiq2IQk8RANS1bK+ZSw7q3O6lXSbtMCwpimN1cObxsJEEc
1t20l/g9XyxjUZ/M1vLoP54vNTG3jsmBU67fk5nVOD1U9S6E7k2CI7G046x4/4x1NT3dYo2DlF6o
pKjjg0GQy2TN13Cx3I3rEimEVK6WNSbrJPPa7bDoKNyCvNyQVFguetauQ1LQZ2ndJt4G6piW9pr7
XVpBBCjEyPpg3eakRx4arHVXdeBa28x2onAb9fZoWxtTRZH4v8ACARPkrOCnQa2Rj6JG92FIrivF
obC0f4A5T3tsyfx9zUv7Cyokp6Bzwh8qQi3rUK+Gq+qPwdWY+nHtJVX0g7r4Afp//lZkRUzOxnuy
NT9kD4RQFDYu3pOhRFRYBu9VQlN/aAsveZWIk2RXAALTo3QBBu9W/ZCpZ+m0VE7VWYKLofQ2ll3v
MDqYt9KrNdjlVOggrqW34gV1weo6XN0ebByBTJS+8zyPo7Id7ay5wHLBxCgwn8q+HM+ItqBvBI72
MrqLj7G0+4rH1UvhkuVwnygJsBVccdW9tF2VU61VGKWBHDC5OwOln1VNav84uZ31JUebfKXwIQfI
QjPuu0MeqOOLwh/mM38sdrCE6yieHp2xeCdZaH1JvMY7dTFoNOkMwyzdl1VrbaUZdV25CSI1Oboh
UnJJHHNcVJNdgnvMVjApLdogV/S0wbeAVwkWSp8fTl/qtlssOKrubEYNfpHw5T+w4Jcmp8Q1QMr6
fI/bocjULb1VFibbGeQ1++x/52a9VR4NdTz3IMOp3kTd9Ou2d5OJQuHYHoCRHaXVwlQujrcx7FLP
tzS2MXfjLrCD5tl3k3jflj0H+CYgmXlvg44wrr5nrJWlci7lc7lkRhqfMFrf38vqEu9Sy1+XfeBv
ZhIOjy2YZnPg7LWOcC09BSZeB0mn+89ycXXf2BZNaW6i37EwJQXfN7V6kCHS0VbhKe5nqvTLsDgu
7EOXtX+jWbUNOlN9kYsScLLGqDcDROHO2XpS/P1I2e4qvX5leUdHS/rVfUabAi5D/wAt4yrRXoYJ
Eu5QdNs40ONzFGufZU92p1x/YFtLkPfSxcni5vDHOKuz3C14j2qlFh7pG90dq02tpPr6rqoMAI+e
Tnfeb0DrArPTY2V67qOzOFrUUcg5fzaHtbU0JSa9rhv+A0WwON7jJO7g/8TeWgaw2FLeUMcrSmYa
59S8vOZKk56GWm05grfJi50guzyW3fxDncJNXoz+3142ffa03Hoc+slYy8FNNoY60LJNbPaoBKhA
S+8dx5Dy7NNUeRcNwAkJKs86mO1gXnFd8zaTm/efUwrOqxHdtr80dNIA7qJ5gn7inip786NTdDy8
u2x8VboI2+kaYqEZWw1mheGMhiLbrhjlQkHaWiX/m+hh3VIJ6Fkg+Y9s2xoEz0iFAJT5cNT9Us1P
rmp0a1dj69WhxZyfsLBirR2ooKvjuzRCVqjL0ETOqspI5aBeqbeAzHGfzcu+5XCR+906a2MASUtw
rGBYbtT7bT0UzlkuEoRncfCrSDlI6PY0ub1NvN0GJMT0aH6wEZqsVx8eZmXYk3ZjWG/0JQuLgFu/
DljJtpKKlZjcRRm2ofo4rlvJ3d5StnX6lx7raEVb3bB1xmb66nYBCrlh/hfrQ7AuUzd9Av2XnP/H
iNFJg7WejOnTQro8+/psr/Wqza8jggtPdZ0qLGpGAHqKplzUEY0hLTFe9Cg2byGJz72/0jWPfPPv
OEn3cQVDojvIiKpIrnqy2KUtwvRj8mCpQ3ITqJeIXNx0tleVUms7m8+it0FA1thTuilXc56P3qbN
xm+3Q0+MSDismJIdlsmdFECU4H+07X7yt7cNSccRbpO0/ueJ5eC2tGBLX2ab2yqTeSgbj93PUMWM
u0fwYKWp7C+BGh356hon9ke1sZFzOu+0o7rENGUOtNU9K6AzmDeXcbof9mcZssyQp0RGVhm3PMLv
J9+P/f990u1HGAosUp0fXZQZvvas+jrIHJT2wvRqDDgfIl/U3FZ9OE4nteqtLyH+Knu17/S916fR
W+8kx25yUYfSq2fDt/VrlGTvt+RkP+jX2Ig/tHLWwYmq3sHwgh6Ob4UWeWyGzVbF7HNV6zb8gKQ0
qsuUP95wD6Njrf1oZlspPmgp74tbG/spDKi63/03TIRl6b/GC2ICwlPx5OtX1zBn3APkKudjOS6b
Ye7tkfJ+lVDX1fOW8kjOfwnSqxGgUzQrIODKL3KPSVMgFxLDNwItrN8YDau1jZXE5Be4z3WaDq01
cQqccbg6tTjI7ZM0GnZyRgQZ/y2bXQDw/MNegtJ7zqYUjPINmVHoHLNroAfCR6hIex4gAi6cPkBj
2qzpV1DFz8PSktCk/AxcX3mRBi95sElzUd7oD2mYmJuwzpK9suiy1Fp/ceeY9D26mR8WCEQWrYcY
z2NZB+4LR+ChI2cPvMX+6GiblxhJ1YF156UwU/t5dM2n0Omjd1q44/kTqZTWi97twmIBzhv3sijh
vmVY1UXRe6U02iVqdepky5w+aqExRIF6kF5K+qycPNkvX291tNYZzOTBad6xlFX2OC9rr5bRfwXK
lv3F1+TbAFDkdYbiesDIbMZxo/ueLzswzU+L1dhy+pYNWUcVJnE08wUQmPPaTST6l12b5cPaTiL3
q8xBn804Dc7c3HZtehWGe6P13Nuujcwa8p+lXh55/QZs/zq4Vqj/8qEGYdAN7AvGgBRmu2AVsihP
ruh3f+mXlp8i/qgnKdpUSr7sjap9ZBbhs3SmSMOuiqKuL9JMSIevB2xWD/Igw1GGxT4MJlpeYL+b
ggqR16HOdnsVjA7eV79frpDX1J3iUk26v0WNKqwvEX99EFnm0z3uFC411sZ6kJC8pZvecDas8cVD
OFffszg39uAOige2QUnCmRevjVE332SEv3T44gE/clDcsKty1mGffvc5HOxvHTJQLn3CsTeInTek
YlEPvT1BJgdh8T100oaUcAacOcgg++vmlB8rH7A6eNfl0Oab+fMATRK72uWcOJrpcw1yh+08JXXX
oyjtVe4ZlXN855vFI/Z2C2Cg3CrjyIwuKNC549KJhex9zKRjxexErF1un55rV50f8Ynx9l6WZYei
SetXz5m+I3eX/RUa83s9tbgbg7pfgAMfBohMTVWO736a5i+DlyXb3DEx1FgucjfB6eStp0XhA4zC
eMr6C+SqAPeBn9QPyETn47uWK9XW9cGLmhqfn8Ipk42ipfp3D2ZAWWrxT5zZQXh6pfZMciA52oWK
FHuulGQSlH90r/OfIh9koecEXwKUTD8BOU4vVovouxrrqBBzak2ww2yQzOT9NVjjiULgVWLITuE0
+/vidMMl6irsSH+HZFjrKc3GKxD1lg4DmR7IFHvb7CpMpvLkrzT63uM08VOrlm/Z6MefFI0aRYCt
xlGj/PGE6wSqYS4468ruH3DZKj/BuD96y0sjx+DlqKMgsJEmafcaZUdfP0uz6r/HcT99ydE4ePC5
hYPGJEgGOJ5glrOXUUjBvdlGrz2Fic0Gwpnf/LjsKdooHUo53FFx6G93CD+8Dapr7CRuiTr+fYiH
61C5UoqpP2fhkJy7CO/DICsPlQhWo95mrWCI/6edk1bYRD3Q424wofn3nrYSTGdohPPZshY0/AIP
vTcFHiqDpbfKAoN9TvRZ+O0xxggx2zWOtJDKk2Hqj35B7l065RL+O0JaJmpsR9tQf40I07Y7JGMM
/CiYf7hJNZwd22pelLA3r2pk7Ts1bV8kBBSg3lWl3W7usWVS2dmbvnnTF7uB3uy+ksJJnyD2269Z
k2NVj+1AquQIiGKIs1Za03gzYc5t9XCEIRlqzj4uxmbHN7NASaYNd5qK3t3Nwi+AroHXyBJdMhMg
kBkkhtByF8MzsLEC2dcxbm4jgqVfkP+Z9zj6DltpFssrucqs9ihNuwLvgIrbdL0NdqdVSDb8FdZD
9DJ1yknz++Ct5gRy4fVlrTx/PmhV/5dvJAqeHvAfu8lTN0rh+XshPPZKhKqWNBc6pDTHWTNWs67i
BHcuq/TlvuGSOwTNcT0ZrHknGzhTvArvPRGpA2rjFHPSOsx3XZFr5yrbzHMwfLd9f9zyVmlPRYwC
iZdG/8hmzTSQQFajwH3GrDY6YwYWb/OejXqN44hL1kGN1S+dlWlXBZNXamae8WZTkt8Pbk7dTkAz
ZYLg3DT4F2kyye5Ldxf5DVSB5USmhIpxjVE/ktb9kOYvbseFxZbpFlsKa7E2whqhgugjp3y0A4u1
XMAdQ7IxMW+4kQNsT8nXuh2Ex676XqIXty+xR3pQ1NqfcQXilnx5u+7rPt12iaE8SEwvDFxjSup+
BzQG3n41l9H3MYqTbO2sG85YZgY71wl66GodhkheSaZTblVSWMCwufRLz/+KDR0Vh9ScXv4YW8pT
JOhnl7KqXaD5+IVjNEFZZFLJrmdxcrF1nAtj/YRFMQxIq8JxrXesS6wn+VOZD6sqH6artFIJKYW+
ta0y2Eis9aYli9SzFHbkbYsmqM6jJGrvbQkmwcy/SW5vg6LaWPN2aYHBMyfQoPysQBb+eoYEq2RX
ZdP4WHaOsiqLJvtQQdX1pLpQkjnJsVzO4STSBsTYHW8liz2mnzlekZf74i3he7MLunwToFW1vnfc
1vsQ4aV/wc2emUfbrlLHPwHl0QJEv19uoPMbylzw50ld8oFYJoL1NXPqZn0Yb1MO2E6xcgZrQqov
ibYfN6yya+0TcJB16kZbad4vDhokitP7ZxXFAWeVJbl1Usv4ZQ6T+gFDIs666riccMcnT2t/apPj
Hu8+Mq2C70fqoLUrw8DoT09JYzrYovyaOQ92fzSBeXl7rXCTr4FdkDCco2KbBGxjHD98yzNX2wMh
sPf+4JhfFD89CXIxYwO2BvSAEY89JtdpxFhLBEnUJDmy8Z23Shgnezfu23NnzOq6nZzxPWzY6ELK
G86DovfvmDVYSvGKJ8e+1KPhyRvhvy7U2kQhs5oP4IaFjzt72tNQ5MXL4svFUp3OvA8Rff2ieO0P
BMnaPaoH9V7MBS6m3Q3f7CWoV029F2OBrxLMRqx3Kh9+rTZY7QOMaAWmHFgHpJEaNr8AfMKxrT/b
rbq7gR4Qg98PamTcmlVenJ2ujj/Bv7nVEDJOPWhumSepGMR25T8713t5YWzM/sQWIwY3zSq8hnmA
n2vh1lsZ3xjmiCe9WFlFVIAws7BPMwnfe4FU7u7nQSmkSrNaUjwhmqaCEbv/SJ2P3AZwkQqqmcqH
dCz4MH8BikmINL/2aAXh5j5JIGbyoB5nhY0uQNfE5UxUhUOTfMFaO3iB8nFbu8N52sXgBR9l2a4r
o9s7QeCtb2v6stjH/5cRshOoxiK9sGm43ODGOf7cpTc9dZOevkxJ9ixhmwrSvsWkbjcUaF4s7PWN
CHhMi9A2VBejwxqnjwGVSGRehE2UBq8LiWUs3rmrqQ9JMH4JFrKm60fRNq8y/agC3Xzv+oe5g+pZ
K2F3KNEi3kmzsPpLleTRqz5hZuZlFizmZXYHGhjOi1pfO3ZRL8tTy/BrXrcZlui8onelUpeHNnDY
X8L224tfY+f0KuKmyFNJ0xyL8llv8egpHbjbwIxeXEw8ruLm2FrteRAyCXqhBpYueJjYnjsei5hD
oqWz9Kb6lG6rpYk+x3TWu7heSa9WqfFLyeFMOuVSx8jqcHJ/lBYfBPC0CGfps6FdujadzqnjG1e3
Kkm5hRXsqyL+R0KWPoNGsKXDyr7ifhoeJ3x98HdQXoMgKqrP8Lirtb8vu3L6Bvi62g+d2e2NxOi+
+fuAVfQbtaxqP6vI3UmUhFbQ/z0jbG2XjtfsijZynmHzIgbr18FTnBblwYoKYIUq//0dZ40Lyk5s
4cck2DWNCl9w6ejtZrjIHYADOAfSvt1Wdn1KHT0+2voQoDS/zL7PQdXCyBaHgiGMnWe1M34KosZJ
/HzlugGiZG6dn3nPBlvB4FjuznCH4jvgaW0bW0ZxagCQnnoLnW10w5HzXQDkSMCu2qiqf4ytPkJU
Sv3HyRzNo4/1xx7WjPFJxpbd1e/wkPRVCzeDJHMvWmZj0ZkNa6w7xouFbsXFWC72jLbzrnH9dgW0
D2hOa4XNNfVwf9NCtje91Y89GhYQ01QPzzplTvULe3YbyQUFJIDTnNngY9QlHUY5NWdrufi1cYrI
T+4jn+zX2vXr+Fwos+Zid8at5YctWph1Uh+aHoVWfFTP5KgRt5Fby0s7Fq+5bo+UQj9k7w3N6c6T
pq9uafxk8UkMtZKMvtz+7r57JFKT5xgp7RTOYhbMSJB5ZngADvGeGVaFkcm/F065zbiS9uRRtk17
KjZW/3EI5s71bUbVTtnajdlbfph2fxYcrGyXUUfonBT9thhAMCJwAMGNCkNSMymOArLpJLOcell+
kIES9Bf48A2is4xWVTc/GkumWnrlMgxdfqiRj1lJhx5axxqg92lS1f46LBc3MGIy6qW3TRHwuN47
5M4Pi1PScFqVzjBUsDRchrWqYp8tBQ2GpSVxGS/NTmONmgNEqKQpHW4V8rUMofnVIN4e4fh/wV8C
pb2mDh/lIvHcghxd4h8EVu6/HapaHKykxOZ46ZDBcmfEZXa18muOZ5t565S4M+UH+J6YE6bG4Y88
rhwh0k59T6lIHKQll/uZowumd2zw3P1YkkF4Nb0oW98yKfjDPruNk2yC2YquSlIGl8T1yy0psfmd
r/nJbfzop9ZxZAIsWrxSRMXYMG5iTAEm/bnzRn0lQxABJQujzd/laSRi63U7+8W+CBxtg/qS8lmb
Y5zHmy7+WYXWGmo0FZoWGBV+t8Z3MwMEX9mG8gnNCWwHinoiIaIaR2X0WBpLI3tM1WJe4IvHIGS/
F+eaexZKSDsJVDD62OzcGhjKclaTwdD4PjbnWhtXVWr1J6SxtHVgwRPDNm4tbBWAh5xvrC58tf0g
2gfAYE68HqKTHlBdnMaMclDXnS0bg1pjucidq/XZOZ055OfJcK26/ldcOuvOSHe1Su1CmvdemR9o
6AY01KJ39977U37/wJrjZse+/JNtYzHTOG13xAMj+FrXqFgkw1vGMn72u8ZeS9jiXcEewqsfYARb
r8BN9tYiAeONONIABAfVtcx20+hVadXwpanQujAd/FOdZZhVIJbgTuGj5EMkuXHPjPx/xGRIrs/K
0SltFI1JpdzyJEP3HM6xRiUNGonV8IEuxhMVHfbcdsyekT1AuvsjmawX7jpJO+3hHs9TRPaW6qTs
4ANL2VG8q05zEnfVxk1q51CE7kOfpIDM4aPCi6oXXlTeoadopeW4u43ULRsNuxEJDNQyp6fKbp9J
5rRnoXbJJc/zZKvj3bu5c76oIWcXE9MOmXQjehVMNZepErtP1TB32MQJ7wDOZ7+mSe993PJTW7U8
lEjOnIVTV/oh0rRxUj5Is/7dFOJR4iW/eqX5oXfhDIubzn2uDFYzu3gQltJ9cKKV3XZWJ/51izew
y5ZY6cOttxgAW5sPjXCPbxPG4G5MiY7EA8f3xNTO98vchPrHJr8FCIHfY7KClBH273/N0qHOfbTJ
m8qBEKhSo3gO9dE/mTCYN+iATN/iYHhQO4Smm7iu93JU/ePkKoffcEEySa9c7CZLt23robr2u6OX
o/K9LQNlclsbSMSAtkWoEtGBevFZw7bOP3CIeJaWxMV0TZr3Eb3RPk8jmIfVvUPGKbPuH3prfP5g
2CZDqgnD1jB1jmSDXgWtbi+4dZY7vhhN0pKIo0nGFvtZp3qVllyQZqQ0MmOULbPaog0flmfcR8gz
0AX59QwZsTzj/lPuz7j/lOUZkFOc81Saf6u5Frx6qfvZBgTxgCtc+BpVEOynfq520hmBlT1jE4Iv
0tIrMQWkZkFt40VCHqfc9ZxG87FfRtSo35ExA5YrvVVYNE/VYnr4ezrckH1jQQ9cWNpptfWtPPwH
mQjqTliYf1FjzaRI3arXQplKjl3eBMionB/5MlKJ9TLtLZ7nrx4pw5OJFEj1owkgGaZUuw3nzS1M
0luuP32rDKr485Tgso7maTvHqInNA1I9xB3FJ5425VlFFoSPNJoBmuHnO8GEpTG8T0PTcM4VjBl5
sP+0pd+1B28t2DIzD15C04k3oFlGa+VX2XiayuDZ9Au+OH3U84or/Sf+DernwUk5Kde2sU6bOvph
exbv/d5+U7BS3adDVxyy2Aq/cJJ9kAEt4P41J2Hsx7DcwbgnODotDBWXP9NDF2JQhjiWs01dr/7i
xvPbMLXOz86wj7FZNF8dpZs2/jJUs7P5PHX+h6GiFfrfoSyZ0akj91Hwoby4RVtuVb/U3gdIEInW
xj9dxwhgHXf5K+Jzw9715+gIy8h8BqGDEtIypEzcVRo64/d8tlK2P0N4ZSMYkit6b8w8X1PHAaxn
9cU3pQm9M2Ld40umuuVDWCmPFiv/i4QU7Bg2pWNHu38n5FsgeOqj9IJcRFqmAH5e9GrOCW60lBXV
V+Mg3aZh55w/vt+mKp4WgqzCpkY6gxZNlYYa9Q6V/ejQzXoGqkCLH5u6552QpL16aRsUtJcY5g+9
eetWPXwgKy/HxriJFN6FfIRDozf3PaKiv8ZEmaqy26v4SN0nyo9ReqQ5FIx2QoTpLq6qQhcmw3S0
pwTZ8kHjXL5kl5LWLDdVbg9bxV9Qh7nKftUFXu5XQf7olxgIxl7RPqH4FPJ18Tocn2hOsJmeEMnR
96i6Ar6W5u+OBK9rBS4NTp7LsCUeqBG6tBnMk9h1ISSqfIAuuWOd5Em3cX0DurHJXcD1feelu2py
/ZOmzv6pQxUKFvzSRjf9YUjrht3J71hkVL8GymgZ96G7onKobKXrfil8Q7XWXpPkyxcohZMTsbMv
E0fF+Vq33JMd6H1yCWGS+XzI97zssZ4nhUEigoV+PekxAF3FcB7kLtJsHxWm+dM9npoDvPOQN8ZD
i0vxKkuzcW8nuTFv4iWoadNtirQ+dAyKG64szx/20iNPHDpOQnZBHZvkWYwwyjorxg7/93B8uEXS
3BhubSAeudM9TEtfKqOlTy49EEb6ZN496s5dyXnR27ZuiuCpYlFkxSr+pVWqAGGgnVHASAI4h3yw
HygRLOWlraj9p7Ie7cVeRn1RURg6F6PzvQkR/lhz0JjAjTbtPh42ksmR/A1+oe7ewJVpJUmfUvzU
UAR5nNquPcuQdsn9WF3r7rM8VD/IucpTlrFtmf4aC4n9zL/FexjbpMEBzE5O8svo1qBdqeQc48ZX
XyQ0WDDOWHVM2IX8ugMaKS8mllSJXWLFuYQCB0CJC6R1dZ9FGfavxvyZtzMFHD31n+smfPfaSf1K
csPfWIONitnUFe9Z/LnoA+1r32i8UxvISZhOal9JciC2mFav+VjOFy0y2rXM9o2COglcuWuedo+j
ixrDsLqh5cjV8sEMHPfEEVpZaQu3BRrlr6b4LN6b0nsfLKaMToQHYlrPkDHL2dhnaatSmu5AfMMd
+66YzZaV0P9biSfEzef8vQwCREOGlOpb0lvHEZWUdTEDlJg5q5z60aofogSecdBbzqudFs0q0b34
J5IBK8cszH/iWHtyBqX6mmuetq6wuYJQ5ah7x0Mb37Ea+PhO0J1Y+ZRjkJrtn3cJeL1TXwfK8f89
ju1SsRuQmcKtW6ufUUGG3fdjFFBn66dLIyzL8YH9vsGOP2gsA/EqlIrBfJ1uRa/btWndS4fl8Qc8
k/Wb/aQl/qVcZtwPtDc81NKRsuLsvNRb/lp+GX6Gt7gL9cD6Jw0xVKXC/d1Cm3jdW1310haRvVND
qzlDls0veaVkO43c1qfZd62VapJhWqY7YJ+3VJzynWpD+viJq/qLjR9FMXvW0c79CUIfzRSBy1VK
IeDK7q5GVnvBFy9VsvtFG7pPQesAvl/iZWr6u8wz3bUTgPKwgPLdNuX3pmz3pVklYfQgsgP35ode
itAPsvuX3r5Q//nFhW0chXq3k3n+NndN7+Sk0FgOcpsu7WEa0aCQWz+L3V+jAnRzTknJYen/UHYe
S44rS5p+lba7HthAi7HpWVCTydSqqjawUgdaazz9fHDmKdap7rlmswlDeASQmUwQiHD/RWzMjwNm
JDmkbWKDFfonQBv2rhiGZ2eYEW9YGnNMWOTLoWq6H8HrsMQGxfisl62Okcffp7V2BEvfDDBbrFmV
nNABwbfUm9ubMWnt+0pJoYCPVvY9ctgkqJV55zn6N2C42r1rKkhAupDObMiJNmBWgsPA1i1IbHdX
j6V+LzFprDm4c2325FZV8r2pR0W/s+1HmdX+mooSMcRhc/5yPVsGW8uhvFjZT0VXkyD9G/aVtHio
5El7vsDNpLvMyLB1bgvEb+BpgQBdGtltXjaefppTSOvjncSuU/KSytjq2kcaGr4XTJ6tTKwQwaZE
PHlIgvngIt20ME+6CtPQzYtsOyR+jax8Em+vbtVgR7z7fp5PeZkrN+gKQciJcew7mFpgQrPk8fsz
w8FpEAx36JdltRoW+LY0v/V/O5Qhp9CL07jIPo3Adrxh2BSmH39bfCR6BWiK5YKnxPqggpWaNEcM
kfP9qOnai9n3P2SG48AIQiz+Uw4iZZuXhU7mM+/uHE1T1prOUl+xFIBpTpqv4biVZ8jt9budLA5P
MLSMQTvFGZ+EdP/rrAgawSekUj9mRYuUrMyiLledwRzLtSTsD5Z2wm0kRFCfS19nVd1DCo3tmERD
/KQAsMLqQAu/uTkAHJvqOmvUaD6hINJu+6S1vtavapBE3wwjQR5YN9yTOW/qiN0+9FtocU7cwddb
mHfSREoLMTtVvO01Ro4Nht4yW2JI9IJLlIlxn/pbv0ic/Vj4r/9PbfO8V4F6+/APr7rmcoSQa3B7
UUiPKjRjZE68oIq6IahvDGTTEXdKjQGYEPnpcOcs+Wlg5uSnTclSSyCUNHZUgmPHaNLZYECLxr1k
rJMleX05wdE1KLWxrgOjrnL9jIjgXuk79aDV+gSkdkmXIxBFjrwDdYZWUo1GY23ZB9hlrG/G6RMv
ovg4oy65DVQECr0qwSuszdM79GDHu7HxyFEY/T4ckL8XzRCRBLnGrlolreV/zJMpMvk6T2IyWWIT
mwSyfwtY7Drnev3rteIBG8Mya3WKiegXCTFMOGRzosWbNoeiLV0ZuJDHKl1Vb6Nv16lm5Wer0Qqy
XTex3YX2Fds3LkYcK1+x2q0NRPhGYnIkjYpfVrOTQyPS+Ppdpwd6XtQrGdK8MO0WSbWfLFOqXbhU
zqVJpFIuh4jQcfq0aLqB+HzhpVHh+crE3+bUjc+c6+lyJKfI0a/zLqewCfj4MU42fi9GXh3sArl/
5VZGFMs5LfgDucUldBl1Lqjb5caHQeGcMohPl/v+Ms4XqyELj1+NY7TNTd+TAPj9cLSNxzLy8r2O
ZtCNzDHCrNDPcqiFdnYKxmhmsTE5tcenEmbNqu718DxELeo6v45c1sEKVLrjH/FYzrjOu54be9y3
1bCkEn9d5TpPCcg5IsfyD7GKfEYKZBGvUNOmi3ax4ng7vVGeil+CFr9pXaAXxXQ2guO6lzdkyDdi
8ydDp8Mg6obc94WbIwSdRICXnYZfxgDgdStBFzuK7Yd6O9T1ct0o0AzaoM8PUqhErdDahwbeJNId
iim9JRH5zZqz/iUo/fiFPaEMSaNU2rs3zOat9ORaka+8qK5mbLs+Vt7tqljHIM2/wJqOd+Nk4d8J
HhMjCn0P2dRaRcumM4xnML0xu1EeWuqdxPplS6qAhNjgiDxsI9mNzstuNGM3miDYi0v5stktO60D
PMtsOW/6dWmPNziWBNZRHzXzXhr+AHtV9j03yhJztMq8n9vAuvd8c2t6FRoEv+amyGzctOZ4cw3J
kZGSAnP6DsvnZS4QmRLjLKvfwMIDIgniS1+jAzdt0OQZb6Vp48A656XWsyPWo5XIwVOl7g8GwGQy
AtjS9ZmWbWJ7nI7SjU3vfeyy4CFy4uZNKU7h4k5Xu1kH8s6poi+2G5FrzNBmnhKKub3Rg2n3OlZq
ZuvwvqWZ6vivIUqNk/QkXk7eOslddnHLSagBOndkHLaNZbX4iemwV0KtQNZsOV1OoGY87iId2UU5
w217ipZJaLH1T/uwOtY5+mAr/J4xS1+aS9+AT24pMMiBVObpRkYuh8kcFqywK3NnVeGPBGNJNilL
LGLSzixznbcW2hKAAJbsq6i9BrpVbZoY8bRr7Op2IPqwMqVapsx2xj3mjk8h2bNT7MJCFUlvcImv
4FTS56CYw3OGiSFSjuhz/4qnDjJb/00cla3wHLbJXTkGqKo5kHU7V9+KGOxVILaRyqr0Tc/XcFPj
vaeAgA/215lyts8ifAN5wCUXpLKXFk6mB25Sb9dmzveGM8HYikYPbAMqFqn5TWKi09OLyE/tg+01
J/1s15W+icvJPGEj8L0IvPJraJWXg/jvg19DywFeYNVXiehW/sVyvpT+cNsuCMW0rtuHpSdoxvwf
vV9jGfTMtc/ndLwAFYx8/EtBHR8f0kXZq4hRo51i85NgGSLXxmMzP4jaYqwjuQi0pqsXBrmfAtb/
Ja74d1jmyGyZQLpfZo/DQP70v15AZjYj+ASnyP+qk5mVqwkF0TXL9KD2JS4c2jTdyJFpBIxe5uA2
kSprCTd5Yh6KQYGuwnSdk8mUpLitYrf3ccHfTpRJ1+Z6dYlBsEOMNPs0+W19ilAD3UgxrY10QIYV
EtodHo3PulreSjwcMwWMUBJyi1BzMw3n3PgI4bP77+9qe6SOv8SToK83xly1J4SSlU8/JGiE/MYU
ufcow8cQF1nYspbGysJiH7KAWt4L/VXC+QQlJIH+fPl75Re9/GFyePlYrn/I5aPREO5fOwZ/kEzq
UWbaalWTr7IhGtrVPJj12YgbV9sZXvWqTLW6d8OoOacluxMb5XzW+TtUUKxn3JHROjc8ZwV6xjri
0m0+TzUE9dyxy7WMthEEh67cktC3vXqNIBUC4OcJgfGzZvnm2vcba10bKqrBvwau3TQP5maFs8p8
cALtFOBnbK/LfApu/t2hi2g+aOYhLlbg/OfT3G0lZC9xOZJLyFGlI3yKRifSQDOa3B/8lybagaBT
zlJplApkZPT2ES3xL6Y5sMWSgd5wkZ0MSmN7CRZJ/GCWLYa2oHGrDQq9qzze5Bk+TTNSGOYqRLj5
Pp7Hb/zpwbEZ0/S+WhqLr9K9ptboKViL5fzSdVoLrHaBj8k2AcxHocKhBjzFBq7Apv/9j5MpK9hg
ctB7TADwr2RULlON3lp+AwmRsjmiZ6GeDU8Pb4zCXmwstId+LDR/5frmplP88K6VbprP6bpMynRf
ZL76YCKC+ICElAWWkZ1fv5wnJ6e5698hp/MRknPLsv2aOkN5kmnSuOQ/tvBItM01Rj318luAklk4
U97b2NRo9XpGvo+Xqk2NbkJafpEohiu/ooatF18SFV1fiXZltMyd9V55xMq8XjUFAi/NOOhfyr6+
bZ0ALEOBcD9ustnPPgKFAArVf8s7vdzEsavcR3bv4XXX1aewVp2zo9fgLnAeeJYrmQ0ryrRPqyYC
MQuSOlxKJgk2NTtTcdMXtjfpYg1j/WiLeZ13s/V1UFgpeFk83jeL6G4U99/akY1ibesoopo2KD4j
Kh/TokP8KELhaikI4rqCtNsyQ7q/ZkhPThoSQ900efTQYIpyeTSUiv9mtnP2yNdveIyS8PJo0Fu8
EepItXayUR5L+83MqvwxAh76xyyUqyzcj3BfyOKU1djyLA+z4ElL8gatFnoSMpbHOsWTp67369/i
WY8CVjNgNjAspoLTFNjDZrC78RZ94fHWy9BwzSObhCeKk1tchsYQgz3nsQuM4rI/uW5AftuQxJmF
a5JsRi6HWbKYtVDWXnk4x68muO8PtUveToVAtxUZUTPpySDzrl10Rs26SxBJCOc9DqrjNjc06zAs
Wt3x+FUbR+M9cmfjZPdaAQAKP7nQ5h3iJm1JAVFzHiMTgM/iJ9cmFiiBQXkxbPAVBnmix0RflHxc
UoBaFviPKn/yRfc0RaHIn38guvAxM/bSj5koCwFfNck6CuYEhwq3VX8080Yn3XB74T1cKA7a22A3
+S1eajAjhAlx4T9ob6Ef5big4JCH6N6tYApU80tcONW9y17CX5VuxXuC9db+AlFQusACb7Xk7S5a
tXGs7JH7BIXh2elZ2Evg8XGnInnxFJmpdszsYd7BKMveSdac7dJizylOXagakBcsivcMQvEZQof6
xI1QnPvCeQ+EEI8Zi7VGHqHZy6htqfPTDzmUhoRtBYIqcdZ9k1C6SNTqnTQNTMhaOccmgItVMsz5
GteeeespSXHXe52zHtR+Edag1puTyHmA7RjeaYYZrWXtl7Tzx4BOteNuYO28NmszwhR20ZMtKtT3
c197plJTrpChdn60A0n/Im2/KTDo1n2UUYEMQvNYaHOxj1jrbWBlzhstH4YbUx3LjTxezKR61APD
eZZ4y/6GpA8F519xMJa3KIvV310zzd/LolfyY+tQpHLUNr8FLI1w2iLnRyYuvx1rcGBSNuinlYVw
zB1AEf9GYXkrOK4/4V7LYODCOl+IMFekVzR45QlFiQyFq+2wcKvUhpKskXslRqh5fBjL1D40RgMv
GOk5NGSo9TzXfom81zBqd45r27elQWlUaSH/YsS4t7qie8fOot/XaCAt907z5hhAWos5fwB3MKz6
KS02cNtNoOq29q5V35tZRavOa6xDFowTVTy6BppKJIzdx2IRkar9vlppYwQYfDm7iRAmsqDCfJB2
I0goUFS6wyXLqlr5R/9C+uXx/dH/bb5uqN1BzwZjPbblhCBkDBYDSPqm19Gec7oi2CVObe8mDDff
jFijDMGb+Cij5BgSlNtz61ZGndg8GH1SPmWDYyO0fZBJkK6cB62q7qVn2NEEpjqk6rdcP+trcqwp
2rs5vIjOcjpsG7zsWf0OQLV/7pfGzJG31NGp2ku3r90ZZHbxRXpyittE746pBrioMR8IU7+PkVnc
RIVnHHD/ogq61OEqo4A+kYTVWup1EpM63ODZQBbQiL/GFSXUdksK9GLLKHNlNE8A3i5zJZSnPpjb
amLzz2e+Bjn/WuXjhDEreAY8huNL147whKJyMILIz/07q2zepARBhdK/c5XyTcoVbuh5MibVCmuZ
6TBT0Ef/zXnLVWSmX0BctaiP7SI128vyURaNvoJivWOH8VmWmaEfBnsvH8eNjLIqTR9m433QsRRe
hJSlKZG1vvW1YX9N+Nno8Unoku/DC8LDyrzf+7WHgk1SpIdUL979hZmWhuZw6NsxBgUJb80KgZA3
oVaT+aQLQXZrNlH/kptR/2BhKVFFn1n8+D/d4WcCdONHpuC2FM5W+YwdnrGLwLHfsAFC6S2wFueK
tHnz7fK7F0/zxg3sZo0seAF8FffWWNfsvSOiM+DH/9GX8XQZ71Kdr3AFXeRv+utc98VKCHlV2DVP
eKjw9CmnWwnVSoG8Yqw/C4FPmmCpvJKGRBd24fldmv/Pk8qQYuMobFw1vPeKmV8ni51t3HTu0RW9
A71z280HQ7cHxL1zYo/dXdFWAFcm5dWCQy35X9u1zSOqOtOmmVizYMYQzW91CDowJTG0EfkTkae7
CO/104YaLW7LtmHtYdI/22bh3EaLQJccwZtybtuKh39YttP2jwGZMlBnwb/J2Ugvz3CpS0dEQtLJ
tLch8mxbIVCIv7Bn7hAcaUD4wLfQSu3QUC48aRimTasrRGzM/aMXlNFJQF+zjMqhQMlIAwDuH/8x
ernCMiLnyaUGJ1a3JravrPYdXlKqApbfqfpMPxv995GXOyLyZD5ZWbCYN+RwSZS2WoEUIJuMBtCm
tmoC6OFZP+mby80k/dEz9E0BgFvdX8cvN9OQ9HcXwYts9OCeaAh5BH2r3MSzpu66xAyeVLxH4eIa
zefBcJ9iUY3m80sKS/3Ld/rPKtLEn9Iwh99dR8Fjin3efhyc4TBa+vd57J5bQVI1doO5CN3L99CK
deum04fnqFTWc6tfdAQueNCRz2vF/5Jnq+yzXCWO7nCuvWy4LrE0wbKF1U6NwLgB+DJoXoZxVN+7
Dc9P451inY5nRt4BKfGMd0xw1V1kNMZORmsXmy0ztICNWB0YbbNEU6HzIpTjTOwGFrtpU5vCG7vF
OVb++xLr6zheGTYweekaqvMxRbrSyFX2QImHgzaribqvQ/vL7I3FB+qVv0Qj/5WsqyQbN1WKkBUa
1W2wFxK4NNeRa0yOBqGIy6HWYZCA2DE0pkg76YNzjEO4WI5r/NQV9ZxUdvAjT4DAwOAEaZZ861NF
/2JXORoDfZ58rgOo8HMLakxrgBrBGIvfAh8pv5HE9stQ6t7a7lKomjrLjTRlRzWHPBazcrzTPCu7
owBG+bUOzK9p7+7TbEHzQcSPulr92nusy/WssZ8ALo27il/4pph4xts1JWGxPGuVLjkq+ngQPTIJ
SZMt7kFXU7TL3MVMSOYNppEd+zQ5iKaZhCplegsHt4c60/XPE1TZLsF22lusHSE8JVs/9EEJLF0Y
5fF9GvYnnzICwlugpiklK+ROM7t/Rs+vPvraUlRerlSSBWGfaCwuH0BetV9A1yvkNagcvVrFYPB2
ppt/vsJe5ei3eQn3VYv4xvxGxsRYdnhe6AAiVcJH2dIlPXJ58NW4HZYdocR0hCt1dw4fJcSNisRg
xqtPBicE1c8QbN+QVM1fIiefSTvBm+8j3leujpvtxJpF+FA5zixrMBLV0fDU7CUC/7ofZyPbKOqg
7PTKLtaFEngFvK9IOyOxu/PnIDhdYn5aP+f9YNw7q9IwC4R/MgsLDZty4LKGsw3tr7wqBtCNxvww
WNZPCVMt83hKO/rRyIvwpa+q/R82xFakwbQJZji8S91aGuRw+rsxTLDFtT5CEs/KQN91tZGu+ef3
QNQWixqHnNFZZMAu7lquWuMwQ5ptLSphgRXxFLfzfNUh7kD9HGZ9WdS33ewEDzwFw4d6acwi8tam
BbhABiQmoxHYenVBdyzz5RJ2oPKAMMDx/3GNpFC/jYWnHeVEGTT04RVJPuOg9TBxChcHP6nLXJrM
QhZjkdCQJrEbB2CJc7yG5Oha+5HuYOl/1f4TlOH8cNnhaWEy7/NgdFcXhLk2TtFDbm5sjMaaLRox
CEAus3un2X9YdhpsYMBd59bz0AT2cxR+aht/eJJImg8j6IpmOMhYUE75SSldEuEBCMvLHgrs87y7
Qj7yaOL2v/YF6vEbOKRt8jeKTsH+OkUfsVvG+iY9iiEeOpAWUPRnxGzRqwmKAEu+UD3LWO4742Yq
52Yvo5GLan0UTsjtAhx/USy1upsi7XJqPWn1KmsWLPQYmGt0JHKKN4sni01O45i5yc8QXYxmSyoH
QH6s3F4+Q4wzt+mMtmldaDb1Z4A6KZjHhzIo67sY1voVziNxlb8EDhpzPVRBfptLJuS3uf5ijnud
O5XjX0C8gR8jMWUUd3Cxx70yKQXLQ1K6mp99b4KxeqjNuHsCR3kv4aiOP2YJ7kGfy99nGfq9hEOq
FD6id5uwagxkfUbvpPt4kLK8NcBPlM2ajHf5JWjMc5Zg3Nf2w8bQlfh7WLgzX44ofMmSzt3iRVis
6wl1SdRs2ycb1cZj2HnNYjXRPEkz8nJl1dGrezgjeK3GLsRIlK8f4gXN3tm2eam32TEb8dic54MU
3aR+JjW4DuDqiH7XNTybfoA/cv8uk67xInLSrYZ51eY60GO1/XdRs2p8CHFl4W58UBVrFJAwQBzw
WLgcadF0h0PsU2ohl3uNy6DOPuTG5zYPzcWBQWLSxC6c0c7R/2Jv293nDkjF0obVRZ7pfVT7+Yb0
TLLGg6N8r0Z0QW0lwmzDbop3GHLuyknN7CyjwWzuPG2KH7sUTU5rkxZ+spUUzTyEP6yw8o/C/xBO
yQz7cmc5nrW+3JFuoNi38DYuJ8iUdMR5WUG2GLNjzKRy23du5ShSCvd2CDT0m+LZvZ2WIxIP7u+j
sflGvilYY1JvfkKJZCN+Nz5r1U1Qj+551Cr93vXJ3AvdfFQwBqy15HVwccPwm9baBUC013bfOkdw
dOY6UBp/7we8IHkttOcBK2V5t8o7M4rmV5To8lvpGYv/sjbCK5T3q7G4M/MbyJg0LoZXwLPE1WRI
SL/XVrjv8854bJfGdr0cg2zVPgYzb9B1k5nnBrjv7aXrKUfKgP6DzLUKXh6+Nezk9AJo5+NchsGN
pY3fPqZHi581acu11rVsD8hJTVutRjban5arp4qvruU3kLPtqn+fDB0DiqVEmZEgWzttGWyv1Ump
SV671ymuk5D4lBGgNlQCpN7pao22meZKX5JsvVG9h+nwyBqBjHQ9nTDRLv+atfZrW45oIFWmjyx/
YiICVi5YBfw4I7vKKL9CKMlzo3yC4luty84BJeUVZ20eapwGSfPaLKqs/Tw5f1a0p6GINknAQ1C+
U9cG7soL28TqJCH5pjoBn6bh/5AIBR5EDIMaUz999oqVBGtH2QyejxiWMcK6ymffO/RpfWssOojI
uVb96nJ4GTYwpey5H1AFWabDIKdKF6OYHZROeG/MYb1SlFLfGwg43g/o9JmreULRKjYU3OOW4GXi
cmRQ/T0pev7422Q5bCyEHuekvb3OdVzFOjSu8yqQJoEwxVngrgdqzutcIE8IfMU3MizNBdYkCKfr
Ob/Boq7TL0G5pkzPGuS7+cO+4iD8w5Z9fETWFwXf8Ye67PJjNC4RaSLXcDdiHyIDl3nJ3/Pcao4O
hjr+GH7JA7fcLLcahfNbJTJ+mEAa9zIYi7awHE6Rnp7bVl1d5/5xvhNieWWVOW5hvy48xeFRQ2fv
3Di9co+DiTyjrvy0LqzGVWn55eE60LC62JfgFlYS6xxvvq+SW7nXC9gk2HlNTz4VWutk1ApdrXuq
cW8u9naYa+d//cf//D//+/v4v4KfxUOR8sLP/yPvsocC8frmP/9lW//6j/ISPv74z39ZuueynXEs
XUdNyzVNXWX8+9cnFHKYrf0PQNFjEQV5egLbnW2tKIFC5/IlX3KjkkGXzLkBQ5d0tf484vTS6On4
ovP2PuIa5m6xWZ+/SkO50t2SotCOcV5PL55VI6+zUFo1LUXhv5zuNB98eD2MSOOasfoV9dOncez0
g57MNny2AVrDCf0884Sg3U3pkNfDvnxxFcAnfIU1vb+zc1XRsfrLgzPqkDtK2pSRcMe9ZOiC0ccu
oIIBruVRD1Zi6UYpcksqThFOYcVrUhExjhU0yYQ+OrCydA/cIbnEoim6tRXuf5lRVLN9N+J8fD0J
BGl2kAulKc7z//6/4er//G8YquohzU62xnItQ+P/8c//RpoYpF3AXZzSBJzPZAX1Q+rWNQVDrdng
tltuJSYN/hHabdnElxA6crC2OuDXutnEGyqu6Luk1XAPn6a/NBhy5GBFC967AKsRd0nDAZRyp+2n
aGiibdtUP9Dt3XzIfJRu494p7RisQ5XsMqJY0BuvfQoNVLDmoLmvlyMZ0CvyAxJzcwcgQtfirSfB
y9ml1eooBuxTy/ChIrNhvGwxcxQz5uJjw6m0vOtTzfjYcCIXGIM6qk8yVU6azIZNZ9gZJ3kFwqlo
jtdLXmJcMq09+0F6csmuGOOddNHzi+9RLLrsWeW6ckmw0sblx8glPV3x0Xhj06vzBTr8+3+1rnru
H9890/E8zeErZ1j811Vbd//5345UL7dtrbSOs4pGVgjbYl57WpZjD6Mp0+UwLVJqpM4SpdjXH0u+
JpreBTsTtsZWGyvvpQn9dEUdylvz6jLXEguxXTo3Y5mv1NTwXjLkDh6GxDohVqTCtGHLnrgvMjOa
oxtHQ6lEXyZCJMhJnbEOk0Gq5dY65MFxkC7kCGXrNZqylcnRCFfLDdzPDiC9tV9M9otlT/M5aEnw
SBebp+yRh9iu6hGElBCSkau2CFN0rZiPgOMbpM/iTnronYXrSDfjU9dNLDIc3zmZgYdVCHiTTQg+
7tANnf3qxUW14SMiOdZSZMjqDPmsOfYuo3rg2bzGu/Iok+fSWGsuLOqCAuSxa+f2tQdFzSavzA7S
9VS0rvi9UlblWftaRBomc0MH0nSZrKcdZrLZsJjl0VWMRak6SMZNrKkRr1hAMF7dxLfO0gCejG9n
W4V55XUb6VH3/IjLtGsMx2BoY0mPtJRT/OwKFd3EpbGjorwcXWOapj+MkeMcrqEx9SElL43EwH7w
JS2jcvXHgIwqkx+RqorqU9Gm1vESw4UGWg46yrOVPJNQy2/zNPBZKLM12BkxIpES/G3k2h/Y+XqO
HfB64rxrc7mCkS1oTrN70Eb9Y3QuXOoTSHfu9DlTnyYKI5VZPEknUV19P4XmtJauukxIcdjUYPPc
SMiPwFcWVvJoLbwmCeWknjaseqadxNo2DB+KvtyU3GClE9zbbRafg3AYnoZITY9z1ppkpehKk5i6
tSprJzoCBxqwT06ixyxbpCL/nkGdjDpK5SNdvcS8ZVoUlT+tcUYSbAnp6DzdVcggSE+uM5LJ2TpO
XGwlRrY43Fil5e2yYr51qFjcZlHZPYWoN5zJBr1Kr8RG+IlKr8mCl0qbxKSh+nPs2dffSa9ltX2D
vd83mS8h+Enlhs/6zUiGduOobvOlN38oQ2d8GpVghsSfIc7Pdom7XWfjUrnqa+qMxgZ2Qbjp3OyL
VRfKCXGYfO8UyQi8pSupKIeYm83aQzTYcEaNOSftXaufey261dzMe44gsULXm79iwNzsa15p/JBh
3pKa7A8jsoVkYnL0HMb2NGYqVLYxPqh5YN8Glh+jpIqDV+z2zl3tGa9FTXLFbavwxuOX8LQmPTaQ
UbfewBJgqLN9ZZvNWclvoSFlPbKlXg+LQeM3GuyDlsa7xCixsKuseF8VKem1AF/kaY5WTh7aj6qP
jJWhKuMpDyMV/xntrXLG9iuYS54vpaneoYJn3dllELIZL4O96dTath1T8z7J5nU56cGTNGQ91OPc
RS0X/zsWote8rSnqb6+xwUMqDkML/4g0W3g5N2gW16Q0fZBpKnm3M+4v99eT1AoH6VZFBvh6UsJq
aq3hhL6X2EQZ8exD9+3NokgR95mqkxKHsNmkX5jlR1+CNmyQXTAho0WJOF1dWh32N9WPvjwlSo/h
m/T13ixPcsQekqnzMt7IWRL9OFUtx5WfDflG3kTyksLFCLD40kjs2r3G/pgXy7tMhi+H1/HrJfiy
Oh8vvMthlvVUmrWVhRzKaWzajyYK4NQkSxM7VpiupC/DEpSja+w6kEQ4M6yuw39e4nr2x0wAzPvK
qEf8kSJ4wZb7qIAHeo7SHpfI7kfa9vO92kP4MvtA3zSm6+96LfOf5zRD1lTTo5+W+RMj4fz7PKAb
w1OcjDW2BofSa8oDO2zzsR8y5C2iNvmBhUtsaPFPGPA9xSs/e1bastkXWmoeDTwJWHFRfHdNp/ka
T85mVuFDW17U7QMyFBsLsMcNGnnpK3TBowVd5HOY9tHODep5zZd5QLACI/khiINXreOb2TUYc2t9
8Krj2uWYmCqhQ99+TuZkO3am8jo0c3WIMKNqR2e4sSFW3YCqR8HX3GK5Mh29NM/4u5Xk0cCQYGPY
tXew9PwYzbFx7AIyNwDWKwyNjE+uon+WB3us6tHWbaxi47/y9pz2md1SClW06HNcK481H+hTHJWH
kFLinQrxa4USMRTLGSveEjVJN5s3k9I22wrz0Q2AMKoVOS4jRoC+td7pxob7BlcRxBY3DutcshRu
irgZpCTc1g4mdgcrP2ZfYGuO/Q30/AGlbYjoYzicu6Ry7nmvrDMFji/cxJ9zED+anmJ+HtMYb4zk
NSUD9bVRoH0HbrPyujq9KzDSukPqjuTBIgtYuMqNH3X5G5XL4pBTmN/PjmU+Y+649+pon7tR972c
YQKPbt0/GsrsHtMpHnexj/hqoxR3yeBVmPyN+Sbzc3MNBam+gb2VflKnLU9BbT1n3DAUgr2NFbJi
r3T8Gqsxv0ld7CScqrhHRBhtpTZI141umFjsGMV9r5neZgRU5NnlZmhsY99Fpndn6+onT0fbgZUA
eyfYR8fYVylDBvoPB8HEExVDqoTms8tjDCZ+fupjnOmVUgWolQUY8BmGC7gHAw2/K9WDrWQnc8D6
p7HLlRelLaZaebUpwEDeOXaUnmwWdDHKk0pbrTwVuy9cHf33rgLF02ae8xwfI9aV1P30m7n2WJxY
2alrovxUoSG8n+Lp1eiq/Dk/WkP02Lc2ilnkqSELdPNT2BfDzk5qBUdgxd3WGauwSb9HcUg5+QZ+
xGM2BqjiZ1+zjGpI7MXuKVbrcxePjwjmszV6VKC5rqZsinjcJ91Zx9PZj4/+zw6v2F2DPMhJmsqr
080EH34q8Ikm292eqhLQdpV51OPy5GDhL4yLpG5v7aTqcFmxP6tMcHS4fUP4zEqoRZB3LE7S6LjV
Xo6kq5R2cfKWRroIv8Y8xn/N/mM4jUBmOSXWsyj/n+qF+A+UZsov/SYvvoXWN6eyuA9CZw3hXD8V
WaqfUBm2slXB+jYNXwHr+auwLb9AD0W7jacI3i9oAnn4esxrOdQT/dXWw3IXlpgqDDEGCs5kDhvQ
P+Mqr45+EmHdHfY6/jMweuNM2UcYWaPn7HKFoi7Xcdzx1q/vdbNyQZYuzh0OeXAPnOeaZ/yclDze
jTjZgvl+tAeV+1tdqfqUHOvazrX1mGZvTubAUV5+A9fDnFUtj1P7WpX5ePKCYTwpS4PAcFqFACmK
Pj/5SyPvGjkirR3uu6lEF8FGlmwzDJQzVRRLTiH62pej3uq/l3XxAqUGpws14ROolleskQ7WfuKN
ABO85jYf/N0cJXdgkZVTvag5SONH5AmVFPNcNaFc30xHK+IPk/+fZlZvFpI9GJYiEDtMc35iAYRh
Yn9q9Nw8mlaOX7GWsUdzGniBRpdvTbUjvQlO6FR42RejaKxtrsZTfcC8HlpUlf9fzs5ruW0lyqJf
hCrk8EqCWQyKlvyCsn1toJFz+vpZaHqufO/M1NTMC4toNGRJpoDuc/Ze+y3UvPrIX+mlWH6x5qic
7BgyBwleieM5O/mDRbQa13lJeKIGXvEoqnY+Wi0toJQNmmO55VEs/9+s5d2dEwsWJLl6TBZjeFaX
3f3X9PsL8WuS79K86u/vEgSch9Zg3xdQl4MPr5MnVhASCYly3ja29WgUGU3w0EMVr0TNUb64atUc
uySiBFHHmGmtibV7UazCtm2OmQi+Yt98rMmf5Q+satfIe3wlqk5u3a3UAKoOZPVQZE9xlRL33bHu
7EPknLnRrzTH+qhtJTjHYz+v2zh/LOJsxKakfUcGjnq5GU7ZaE7Iu0N0LnburjIHtZjdPYSJ2j5V
SRP6ts2KCFJusxXoRNdh4gCIrEy6Y2Jr0iN8m/Qg21KzjX3Nc+oNdAHdhw0esvMz/VAp+YMz020e
uN8SxXV9y26fp6Ic/bEMXS7xgnWt69EKAmy6jdjZ27M5PEcO6qJx6j9Y/oc8Z71qlVg2BDSHbpE3
qYBNnBaTfuyspqXg01r6RsMLsaX+neAfrEyfPypsYm5t7Z0e+l7jtSwOLGCukRfxkMgeM9JufUMl
81kJR2tvW9RYQh8yaLgKdP4mtCAfdzQQDP7pUacNzM8TR7NGqwGWOHd8SEA6P2XHWqbu9llwS5MQ
vVXqKbtQgC6PrXbv2u2DHYAGTKLyEPPMAoMvdl0Wt/wqSWS2A5goKd7gFf7abFPPBSheXcG8rISX
RGRAoOta3XBvtTdwpkY/dNI3QA/qxo7LCDtghU1xDO1HAVF18HQIdGgoNokbvmVm18BjrcmCaMcL
D7srf0P1KY9gSTn9w/JYXTmd96HS2vZFWyHsdyEf1qy6fVd1irWtaV97N6Me3NbR0Q36tVXbE5yj
hqIzmfYbp2s73wurSx2JQx4ZLndB8wrxJebB7Jl7PSJBym2aD69Lmx1/nwgOm+JRL8oXXa+bDf9Z
8952M2uX2v0GeX2za0azXmEy4EOdwVOMBP+vSgxD2eAjpxuHuR7Fls3EZVn9PzSCZmg6jcVBM3q2
Br26Iio8OyYzMahxx4N+KuG5lmgVLNpfp1QVv+Kpy/ywX1ohPZJTemhQAgjmCVT6AS5hvcRl8/Dz
hmuYTM7KUmbK18CTHtLu1hDT4qslP387JX9ZZZVvNFcxzooFxocKzC/PjGmGpfUrm6nT3OiIca0m
2Awumd4xUP/Sm3e64p3NNCrWkI68o6Ulg19qFIaT2N0myJQvrXceQy1EGBqJZycfA7Y/qbV3ld7x
qSFZQBLbW2y6NOnZn+k29EpNIF+OUFrGXhCcU1vDWUOJ7FIhhb7OFgbY2AP9WU1HJe3mnamUX4sC
GihA1fo2DK9FmmLOGMBHseDTNqyjhnVdWw92Gll7FOrItrT6xzixXBGURk48jS5xalV76N/0wa2V
1Q7Vrrac+GSTtrzporPj9Y2f48up+9K9RiM2EqNuCW0b9HZlhCafkSBxztWsctefYf/TV9bw7bKi
GvrM9UMv09dtZ5QrzbCy7Vh6K5qezpPAR0rsOEEgXuYsD26A2QmM26rHUBlWkCkobaFZW0JTUhxG
emct31R8iciEhuaKcCAMmo2mI+FKPD4nmW2rBDMKMpsrx0bCcaT5yY+PNWiuyChXZhNRXzSTF+JS
ltPM3gfB/TYlOo9oOro7yOlbeBdficwy/ABUK88PvTgUpUivxVjH69mw1wT5tfx7ebcm3LkEpksq
K1qeZD1QullPgzMeh0y76WFXbzMez9fMg3edW6Jb8RCIbmFYvEKpeKB/femg1l6Qgk24hS+eVg7b
wO29R9Pqd+nE86fKKmNjq/AQ60pk10mZCOoYu+XnYSmaV/a0rdXiOW36ZuMaVecXSvctybN2a7tw
DcHla2sjxKyfRPR8wV7reLnsgf8INvvBrA6gdAua2CX42GYw103ivs6Fqbx4sXJL4DTqyMTPlD76
ra7GbIBgAV+0qN2Sv6qdouWoa8VwsTODNEgltI42tqohyZkhIosPflGu0+F9njPFz7mrXUQ065dM
CaFW0j9Yy0Nu2scRNyEuIuCz2jxX76FJ5ktbVs17WQ6E1Rld9z42fJceMR3v1HT71cTN/j3kmU2U
Wjq/ww+Al+B2KpEopIhYaLTevTnpVmPeG+9NZ7er5QP9buIyhydQO+9awp4HRYD7zvKD3U8ZkBjc
aiiaTWozpeIW7+x3+ETVrfYlbgiUCAwz+rL4AlZGkPWgqMnFdpLBfa2FInAt7Ie6q17tXJCXprbW
S9Tlxtoaw/JFZNyVJzvS1o4X5PuxIQgjHWzrKQS54E+mGT6G2lmPM0ELunduFmH1m7l29KtnD9U2
1L35UodoAkcBDNWLhblbQqMfCqce9ia8pxNV9gpbQaMdu6inH1rCCnL7MCbOwA32ypRieLfjdD8N
lQEbnUdUlpG4GhNKjOfA8TFO8C2p3BaHvAGfKFS2saJ7TCcVbmuT3ZoaV0tLj3eVzKZFMyV/qRMo
DfFcfilCUfv2NKnrAt5empsnW5gPWIU1dkHaj74x3oi4+5XbsDWxErEIrg4J64dRt4k/q4R9HNmI
d2T1nOZo+P3SJ8ox53uB7+sS1ZzUD5YXjbvamd6QIAy+RaYY973R3OJO7DdlmlUndifQYHGEaI42
7nM6huuRxv7KNYBFT3B81s6ylYgtYziYQ/Zkeh+uo+qvuTL9jHp25iaf10jZd0oYX2si+bap57wH
OXDf0rK6VzckQCMgEWPX19U2DinpKrXeXgLFYDPetJdeDO429HIdmfoEB4X6ba8/wKuf11j7VNYx
ybumjalfednB8qitGz03VJFF0TZDC4TGRjxNuoHUMI3eSqd5bqoVyc2Wb3THUigaIRfikQeXP5iE
NmlTi3tErX+hpdTsuiBhvf1FQZbw57A1oSUKsYKrSALerPWbOe9yoGr1KdKdZFcE2jujtzGhsQ6R
hBAO5SF1IK6WGAoUFoH3rs2w7BrT4pUCAFtKNB4UBF1KoPmWIA6x080PvciMLffHl6oH6Uei+XDu
+MCvXAElFOXxzunq5JQZPTyXEphibA+vY1rZuzAIWrxo/Ve1KSgpgJqc7Yh73xj0ZH1oLKoaWug5
mYCiLD9IbSm25Cy+khgmTh4LhtlVnrs6oD4ieDIpZbkpWg2oocODv+p+Jh3hpRnZQZuusKOXxt1W
KTSIQu09/Go5WzVSI0uogaYtjnHkzbeClbQd9z8UnZ6i5iZITYJuBXr9OdO/j1jwucXgqMvG7uPR
iVL3L69E5Y4rYW2hY23y8Bg0WrKqUcZiQZi9R0Qa9rHVp5/1RDZWMiy/EOHWV0Tp3DIaQdETod41
9IS+HfK5OTbAB3wThwEbCGoFWdUMlIooUWRAlEknqq+qrvIBFx77jnJiy5GXYL6ea7U7sBDud5M8
Lc/UVcWyi7Yq8+XA/Qv8cU5+FT1Tj6bIpp3t/EqqoD70nULfpHbXagBFxwBVh92u1X2tVO09jjey
yNlDlmi1tCi2d8a0SWhiPUWBfUkRBa1F27ls2hGbjZ5wXuEcYnrrN7kJPndoA7FWkpybJaw66jc7
JbedH2E8HPC61DwIitm354IafoB1RqDbVClCgb822OeXw6mMyBvquxvttRJKdFvtWk1gRTO6x27O
CAnXS/OAz34ThYcoTGq2uWBgpsSsVmq4AB+yBKIpccP0RaOngkwLVksXBdjP5NktoQSWQYO9Dvwg
iF6gMHpr3Tm2fa+9dumLOhmDn8QhgQTF8BMb9QTvsYr3lRrRPiNtT8wu68qapq8IjXUxJs1aUSZi
bDEVlHXzKoKazlzwKxjy/EUN+m/s7zoUxc12Cpf8WJu/xbJMLjberAPUm3Dt2famD9QP9uGIWbNu
3nROwGa3cb+C/0j3s4JZzYh7WkcGOTlZ5YQrvHR8ruq3xLSJMnWan4iwupUTzy9WSWhw/l4Vkfkt
qNozKAH8KQjZsulLmGUFyVPE2ANie8IC220d4TwZY/qlyMG6ieYjGbXXoGt/5inr1C78porplyvq
nBWF19E5CEP6ckI9gQK5epY4NFW3U+1u/oYvBt01xB497UGaVKuipZSi5Fq11Sqjhfefa6tY/NVi
m6ZxVbTnoUdukqkp1PyqQpzjDRtNNI2v6Ef6CFkCegm116+mgFtkOaCc0XGqt76j8sYnVzjQjdIE
oInbrtWJ1UcPlMSbHYe9dfBVbQd4otbkrrps/pryi4Efx36kuxWV4W3HrIxuwWhaK0dcCs/2BRvn
d6cZDxYBhyQeT+kOQeMruSDiOhcK7qxA4RHVekTWhR54xvCb4mQfhWqEhzwIiqewTn4g4BhXrga8
TjeU03eHGwTLB6c4hrT6CLXK4SN5fbp2R27we1bdySEBgz+4rLxIOCzXBQwKSgo5YkUUmKsE10dl
lLkvFELMNZsNlYg8bTtTcvFV3cTaV5B0It8ZLeVWx46/qEMxfCWBANS1U4tHgGSHsCmdvW3byrqI
S+ViFPyoDgYyC58ZH+HUuFRiIvKxoprDAkl58yaXzUSazMt6SXkzZhUHUWine91qopsSF+ReKJGN
7hDJzFVHUkFdxaOsHcZzvbGnln8J9lj7jJIAcW7aPbRENW7DZG5Xd7/rb18rfOki6aMzuPRuZc5p
+uDGdu0TZME35szBWW9tv7WBEADjiX+qCL1YrUfU/jS0RFiXhbm+k1OjiYYU9Qui57zYWskY0jrM
6tOUhGx6cpXmHZwG7Ce5tYIDqL+qMYXqz8nyrDxkQbm2YvzcKYXcpTHc4yUMa5Ie1WjYZmPgXe0l
OVm+EBkLTLm5fg7rhgbFYR5Yt86zRLT9nlorkOziKWHrVnYIbZEEPShUCrlBLrD/kjCpBn09rTX3
OtWp91RP41kOy1k2yeD3xNBllss26zo3lvukW/0ZH/T0brOGdDw6f4lB02MB2bHaax67AcFWmiQn
Vp/sO51axRw7ipM8iRGleZRDywzKRVgC5eHyNYxEP7hxEfGothzifHnRs58VLuMrEmKeISr/JygG
xPFzQuYYsT+z7dqw5OqVlZm64y4idnEt5CU0VjEO4w6Xl+TlXPp2nNBIsuN3VlXTc9lO9VGl7HLX
amnBuUam/NWJpmZbIRw8aFY4AX3pz1KuFU1w5JVQNc+51rTAEwZnJU8A0H53y+bcjQg6Jg+bSNqQ
RG4iVtopXvyl771oN0OhP0UjWYFBHuVvhqjfpZs/Fs1hms3+owBl6heG1T2kwRdufPFTMfN8s22y
KeIYRC3tgHabpqZzkWdDEIFnK23OiR4Q/BkZQbLTPBWrqqnETyYa/kuXaS+9avtKZ2p4dV39tUCT
Ko/qoeRjytFUJ/pTb/b6698zm2XmcmQC8fPj1rh+mk7uvpTZWljsmaGdJl0jQUKaVaQp5V9elni0
xWEBBEikWF/AJrsjxzAoNztK6M/yRIRBnhrjwiq7E8iKWcQHJCELcasaXOfhLnzVnHwdNbVx+q0D
/M9DBKiY5mxn29R7x3G9W4DlYGvos7b2lkP5ooOHOE5F9vNzKBTo7iDN4GuJTAVRE3NB9WycmriM
z2ljo0YrN++sA5304AYTwrvNLpU6gFEl/h+ukieSaXDZC1OG+RYb5mqQaUBJJvTzMPetn1FB9fWo
jq/aQoCW70ZhoG13p2r1rxOTPecPiZVu5fhwJ0Ev1zbswascOZH8IsgyQUsHCwM6V0NBeY0pny+K
rbZ+OWvYOLvxp5SU5+NsbUq3b3Z3/fmkL6EVmTjLswSQrG1H6V+KuVEf3S6+wJgtviTU+49hXyOM
IU6WXRxhGkUQ9ttqQK8u3cptTulUWAprvsW8jPMDBJ1pibM85PfzoHdq9yiPJh6P9vCmpb32WCEb
kYNNWxfnuAGQIA3TbIiGg9FEod+NsfoWTXlPkY8Om+naP3QPv1HW9BX/oehXzOUwiaYM/QzyXr3E
/TpExntR6M1ZzlVBSfpJJ9ytnGsRY32/tF9cTvJStpa/L+17635pTMTjC5QUmxay42zvc6marMCI
0YRcmsaV08GjDMLkStbTtViOvFJoL3O2QUIu7gdZrr5yi0ov8hQvBK9BDSGfjel6h6RqGlp1I88K
AoGOtQp2POrGbh1SIrxikL8MFUbILNMiyJwtoG8nbB8S9vCbaR77L2U2ProitP/651Tb1X9P7VW3
+tfUYeouWnmpEswvJfK5Lqxu6Ohs5ELFX9JtZc1TCIc6nQ4DWZsf3a8MjMBH2WcBSxFK33KSvDiA
CnXLl4thK/5xcS306SCn1exDLcxPn1fLr6kXcbSSV1s1Fbu+SpR1MCJSa5Qo22si8G5upJA0FdBf
rmayXhek8agbF28uxEfdiMTvWqO5qrjnV8Dg6KMsNiS1HyiOzIO+lodTpognC66HPOI+Yj33yUBg
bziPxyZUaOHGTjq/JelVeHNzJVqm2puhmq7If0WyKQerIofGgQdmZWB/uU+cahMvNgDwdUqI14p4
QvFQD172ogypumnjVtnIw7zRxlMcooLR4zF7idzYfcbPLQ/kBLOkSke/j1jypjlacNzZUybzexuy
8G5qUz/KB7Rd3Iambb/wJKkQ4rX6TWV3n2uzcpHBNPCz3hAXK5d6ialZzkGhUS4CUMWhggDmh4kF
2tYKflZkHSC4D1jaGwHV/R7u/5iqx6mZox1mc/PJmnDfpErX/DC4yWh5cyvvDJZ4vMHqCrnrJqtc
96OB1iSNZsq1pFMub5R+GSlphfyXOSpe5G3Zelg0nUHd9w2l92Z5GkF7UPdqRaD95OXl6f5PmTb5
hj0GNYMikTQdzmb4Xc2j8CyHcpemEOUSNH7LH7Juq9pxTO15Jc+WudCfZhL+bJLvUAG3X4Wm0i8h
PPbBS9rwRrwHVsgiar6PnYu1JErfCqtzdzTYrZ3deuVbnuVnaprN98ZBBpDD4rmSy1w9tGyQsVR6
3SnvCTZvQZXA8J37faOlT32XUSF3yl+Dle8Lva5+qdTL/vlmmSNHRt4MToq+EAbFzQE542cogg/F
stKi9edXZdu9kiVlnBMkYiv5MZj62PbjgbxiefjPaT2bvPu0sXnXhfdlaK0h2qiAdSnzgwsHW0St
RGEH3KkFeb9VcZHvHPLvfFNT7bU20GSme1AfUIJ70Epy/fFf7/j2fo8Z+VCeEJunN5BZ25l915OM
UFqOGliQT41KAGka6cBSgC3CwYLbB33JdF5Y9FjojVHYFJU+fY3q6SGL0N1IsEpLvPxeuuM0HXCV
UBKq2mR9s9Xq2/JMSWgrXXRCxdibkIicnHM1wvsmQYot6Ti7Bs8/heqFpJ+XrUBkgaYPuUar7pVh
ZKsTubTYx5m01R49w4q2tF1O06U13An5G+/kC/uacWuXhFFBnP3zhDw7NlNB49WB+r+cLcEc3b+A
Mfb22RAPMKn0Y50OB28UoXjK5nI6tYBqiT0DIzrQrEbv3JMOSjq2RPW1IVkZyGtw1jEkX+7gPqWM
L7U5T8fPufKdOs9YGpenvTxEyuTtO6fAO1C4wWNuNFttYAPYLUeCjvcFhgKNQI7ky0xw98GwKYR9
jqGtyjfG8iKvkidcSjYrNc+qw/1wCtOr0+cbwvaocfUGIWWY2+auo4Bc9jQwIxkR0HXsuepBOfQL
jD81hXtxlGLfyrNRGqSbTFcAFMi0geXrJXrUX4GZ66kCSLLvwGXZ4VUZZ+exooT6mEJq37eJQISw
HMoTI8wZLgzijZV24CiVKPCw4YfNPoT7RRPTDG6zZY4Pcra3fC37MWWDe/+SIhcG2WJ2svXGrVK0
zmUwydLcWKQY/09HrH0QL1BLkc8OoUzioSiw4+8SxYn8pnC5tbEm9J2xAs3rqINNXxGvcKYH5OAt
LyOgWp6y/elzfKAD0PtluXAmPKPgV8O8tpiWNL2/rwvM2tmVmf71c0i+u3+ZeGOb26iuw1ur//zc
n8kR6GT37VnXhOEty36lOQ6G9ZzjT7HIU6Y/PARKu9E1E2xCNCi+tLroM7u9wQj2uPRn6vY6yJKk
rbaNOcEfXA4TQRpjK7TqUmp6+GVyt3hbjC8GDp4Ha3Tq3dQKTG7LrZ4H9sv9RnDnRIXW2F4y0oJA
7toQ8RajumVN2PFH2OULuwzFAX/7VKt8zQzF80zp2ifSKduB0IqeBTCmG9acjZjKjCZ1mMQ+ITm/
zxpVHN8CPqFybppG6rr3jG4zGrWGt4kbN3KrfquFerKSTvVGYFeX7+SLnFJnHxlk4Y1CrfsIrlw/
t6mr+EltuW9ZFn2txiH42aLVYZ3W/0gGEr51EdhPMXWzXV0mp7aJAz/k7v5sdqF2GEOkagmi8+dR
G63n1ljnyASf5Qh1/Hxts/s9ZDMm1iI03ijoAeEdv8fGWPtgNuJzk5fKuaZZT1tuyn6krAudcPpj
Qt/OytkM6Rap9dQ+NWnYAN0xqZuGYZ8csktn59Z1dskBgp+b/UgoKIO7jb6C0ig31Jz6E2aKyCcq
z7sE2RyxOtHq54hF/d6bbVq7k2a/Tp31VM5j8uC27MElYlN3un4VV4W6kxBO+fLfnZBjmYWTng65
vXUXqHlkqO0qUqdlm8yhHJPv5IuyAJ7T0FQRmufc7WlmvcWLHt2x/5M3k6jaWimFuElIzdh37VE4
qLnkDDnmVKG9thZZueIEH6FJ3GnQpxfyPoYXJczEqUXW4XsR1byoyu/j0IeiU9Iov8dd5rfLfHsZ
z5bx2A4bjF9tuqm9MF4hAnMuZaLUb2b6JdMhwUWDsB4QJVMITBXji6b3wKMypdlZy6E6eo9qGebz
GzUP24e3NWyoQ0NzwCf0DPvAS4t1C+LCbztPaQ+oaTyEMcrYhnR1XfuhI1mLql45fQ0t/VsBFOyp
bjLnj/E2U+/jQuX6oUeXbuc2DiWPOConUT9cBRbbsrrWhxatYzh8zYxKXas6FAazU/v9ZNfKHkId
LmLH4l83iLhN7Li5ovCyj5lrXXDSDVjex665GqF+H6PxxgLaaEqAl2oidpZZKn8ZfLLaF+ja1pM+
sEjruvbuh0aYoZ4mVYnXcnuaZkG9refO5HfFPpTWn0upN80e5KGTuVvNqr0z7Ldnjb/Fh6b0Yl+C
xvKlZIuY7T1PaCm1CZUfcoPDV7VwHt2kEt9VfbRXKn6sq5YWYntfckSEQO5DvTU2bIJw2TmYgtdq
akILjzrloKlu/CRfau/BUg3kU3WRPHUeQWC21n+Xp+SQ5bRLqwMbimRhRTo5DqBLIu4wY3aTYxKv
hanmu6ZVLt4TMqO8BOKSGCeqGTK0x6UVUaqgau5jc4FXIBLiWKgxaohEsx4/381Z6frRWFqPIUtY
f7ZIbIin7CI0K7tRzR03pU6WWEXv7CZz4OWLhyWgVEL7Isf7tFTXukfi/IikD6Rkoj1OvUVgS2pU
28D0jC/eIoxf7jifM9Jw/D3DKGrzS1IU9xk6TRbiCdVTn+WorUU/dyv7j1d20iTjelmClLlTH3Dx
NY5K1SoAxTYbU3jAC/5Rzxgd/whxBd30MwNNv68EqVwUMn6matifG3gLrW0oxSZVlH7tsovayoR5
mTXfarG20jKr38Q1jjHHMG4At8ybvrxMATSEuOSx3AqsbUbPk7fu9BpHBvPki2irYEvaSbWWV8ix
QBnNh+XLkb+CDBKuJtvLgFLvzq1IZab6tBDlHGWVTWrwIMck1FhGM5fNSN4DJLu1HNOxvZqZbVbf
k7795gps8org97FESYRQ8A9hmwW+PIThS+mfjcjZtKKcJzFw70aHXlbnU77G4ACaommAwIoAwJkk
dtCwoClQgd6+n67HaSUEAo7GqHzQzd5GrhGUuG8eP8c+q7bFMq/pF1mpLNvOo/v7+HNtIa/ry9r1
W1Vzb/LepXnKxZpm52wud7LCG8y9sEv+nuTdbLKiqzwr50ZRae7boE3WDjIF9Ck0YEtg7REJpveX
bDlMUOCtAbsN/ueJ0c6a+xStH+dN3wUoaPShu4TDtOkCr36MSKOnSSpvmVEl6B03loEUOqTl6ZX5
y1wY9jYlSMQ3ls05bYXqPNXNR7ds5JvlJavmldU05ZOcH2magR3Q3sV6p+DeQfcfhVp8m+f09zs5
Fi9j4zIWD1axHZEg/qgaNMGNN0ZHawGIwgWpHhCgf2QgS58dq70Mlgqyahi4Z4IYms4qjYZ+UEI+
agEK0MYetpKvrQFW3ACVHLfNstP/PLyzuCu6ydNIX9Nr8Vv0sAjpTvSPXWUAG9Prett6ruHLw7iO
xXNFRKsWprvGGczk/BuVZqK68GR8SGnwR2WhefNlgL18EMtHsi2TF+j7/2Tp6ayos30T2uxeKyVK
XhE4wfbipmHZJdSACb+ztxx2NP42lqLR7VxwWnBV7xe1Wvd/umgKc+3U18sPWFkkUi1ryxAp0UEe
1ksdWxmT34fybDT94zCpXMoLy7WJrqCMCuO3rDYrv3S19JiZJq0OUrBSUc9vqmI5+JPQnSijyLam
NoeHTGF36ZVG/VSMFGg0r603Joij7+RtL48YgBolnlDFPPaJVTx5EysDbznhYV5VagVVBd/i7Hnq
RY20d/kdFv2sXpx5eu+xKLwqYfnvc4DY3qOawOBQODQzrYbuS4kpERiEerjDK4coROQ+E17/mTLU
g9D6b8fcpZEjv0zU2+3udzbQLLTyOGfVlRqHC0qHLpR8lwiK2DkhNEvx488TINPOHUCL0+d4gdLs
ZE7xPnORXi61VFlBtYzmaFMzuspSbJygLBtVe9jLQm2sg+hEx2Os5QUTPuxrNhnHOU/K4zSkw1pL
kwKFYxgdLKW1nvNA1w7sW7zVQMP5uQD+/zwkfqlm1bMc4bn9PUa4F/aR9l2QHjpU2Y9oKIO1KnLv
TIM7PRO8WflOTh+llZ//Vud3vFCJ4fWKM51NXy5W5VJWjrcJSVnLuBwa5Z/rP8fkNHnV319Dzv2E
1if9tEGHc0Ndi3JX5D8GtuFkubQ1jc8hPPHZnDeZSd7aMqN3jeu9JlZr7UbGQsgXUdTjOVxe5CG1
711sIT8f0YCuTETku3g8lk2GImUBWcqYmgCVXDRMN7MpmzvakhE3c6Zbu9wu5URGjMrd6XpDmRib
EyukDuXfvf6ilqWxd7BlrmR5RlZh5MtoBVh14u4YTN4XbZiiU2lS0MuFd/l8nuhOCrnc8C7y8SFf
yKHxU/Ik7kNy6t8X3rery2GjN8dWrxGmLZGWY11NN70psAeiqdjKMRl4ie0A+03Ssp1b5t3btg7K
Gph66kWvv4/TNLyLiAV7pWqvdGiKI/sqsZE1qGVc6/Lf44mTig0O6/nrP+fL8YxV/g2NHHnrEdme
aWQ+j2GvnZUJ3bysetsKqfWt56REAkZ0gllY3ovmNT3sqTHGrayCzxV1LyVVCVJETtlWHSatvjki
1gKVLo+sdqkL2hYGiiXQHgbz0/1W3ajt6+BG6mMjkEL+8Y5K+KC11WYEM0FFchrW86ip7yLNP7RY
j3/ZwBU7cPWrEplcnsbGt0FHwZGOlv3SdIXiF70XXBQFrd44e/GiNDDop4YV2vQeIYmL0/UXPwyo
crWwE5KOZ6RqvWa9RV4cbD3uextPHgKM973ObQ7yrDk4GSo1Vz9XZWG9Ldr3Mqu9p96N9JceEoK8
CKVqds1C66u8Bv/TfFTLvltb+DYuXlQ8Z04WkDsaVn4/gL9p9ADBvBxUW7M5xkl9lUfyJW9HymjL
Fa4xnqq4V46f4ya4URrS6CRI6IMUafRbGXlWLbA4+S4kWUZMbPo+x63WcPbAPuKVHEMe6l1lZJr8
IpVb08sIxY3y9FSxDFy0J0qa7j/TzjP1RNajehpdrdplRfFeE93YrqYlGiFWUiwVxGPXD13o3U8n
A01JX46Z8ZKcEKLm8KeJgHmt9wddNY+dElCIjHs1Od3fkjibnIbeS07ynXyxBiTN6/txOBIN9Mdo
iMPBqc1jMNt8u7N3qpbevnyGIIMjqks8/teR+yOn/NWLKX68w5WZLI/kU+V/uVyhWb8XSUtmHXDt
KyzzDiEonVt5WCtaRFGRE5hoymNsossxZyvc0xZZwYYtz/k8gPS5X1uQDTpj4tl9XiZPpGruB3ZE
8AhUO4To6niTL0ZE9Xlos7d2uU98jltdeKD54TyEypKVG4YlJO6/L5WT5aVOnLzJq6blViTf/X2p
I5N4y6T7fanbatOh4C+OZZ1nUBJXHLoGcXy4HypacQ0KQU+ck1armU98565fempIk7U0nwhQN59c
+3tXskqXs4jXnUnHjQi8Wc7JWSj4nrEIuA/ySB111Bd6h4RxmSGvSqzpV4ZDktKDeRiW2hMRU3jz
WpXw5wQ/JiXJ9DlJt/KcHFFY1q/+X/PTfghw2IqRbI2YgsMwWFtJKLcDd8LUUv55+HlWTpZn1UU/
4y6TP89+Xivp5oqro0eqDAKv51b/D8bOa8ttXUnDT8S1mMOtclbn4BsuR+ac+fTzEWy3vH32zJwb
mgAKakmmSKDqD89/zb01b3/X90BKF6q1FfavRSyzB6xRtxXpaGuw0k1dQ7XMOh0vXi11T5VT2aju
I7GghwbmUWkXLTSRrM6dIlzaWODuOsnv7nUL47403Sk2Fal0qmgowxfNV6S3JvL+7A78r02SSm+3
6M7LyN34X/+KFt19+xXmhTtH676trZGD5YouoXqHdvYKR+ehyB37joJw8ezBDxDdZhOpZ81GSbFu
8vwVbLi1xdKgQoS4yV6lxDeX82skX6wSySbdDr0QKQ2u9lqHaWHUeniRHSBZGCUaz/rIqrW3vOyn
ET8mqa79ShWAIp5fvhV4QqyqvIvuMFZLdiUJYezEf89WPmebeZ/+tPvHFNdJMTtU4+It9EgzjrkV
3SXQ1nZdi7ynmO0p0BzdOn9UjC5+al0fDKPl9u+Wkr+y4JZ/VrD2uNX2/gL/jtWolM4P7m9fpC5w
3uo+SRD2B+jTGRQxKhJdF0VPpW2bS86h1sFkWdiSblHrq68y26xVVUfxUzS8OsDMFuHkOY6KwALQ
q/TVQuJtNWU9L2mr6kfZ1pt1lPvZm27XR7tygRsa4U+LN/eEpE2+LRC3gr081FQvSAVrfoQjNzBr
ana5fwyj6MWfQE6xElh3YILVu/4QODFAp8Gp6VbzJ98as+PcF7TgxMaKH4sYnWfq6JpkHeIhkZhX
9LCLTE9fhChQSoH+xXOAbk0nsabPJ2BSfimyrH2ZTv7rmGn6OM36x+v85/TPGBmvuFbzvQfDtdoz
9Is3JezSJ7/Q2Euzy6qsInwQLTOCJRRaZnrQ1TB9IoPMsgG62Mp2+/YM4DxaaVG4nCF1dts8uhYk
zemOEFK2e/wco9g8jwksnhhTmCda2e95yG+AT+mD7GgkBVqHLikk0BT6szlWF7EpwxbRX+aln1wj
yivnTE/QOGnwLJBRHyE3U73kabsYJ/ZhnPXgLTKSr+F0Bnr240z0iVERh+zB/zF6exWSOpCX/KHe
D5DG0eTAX9qxSJiqQbnTgw5/ae2+COX6zfclfe8O/GURVQzNK+JrAXkJtb1ggKssRD+Fm2rpRqV6
UpHAekKM9dg5SAXHcak8OB0qWmbWVHeGWkoHVU/lNdn2/N3LFVRBnHRfYS2xtiNu2U6TlztRY6be
se9KEq1tr0ZX7D+TucbsA62bw0TFegpjma09jjjWXEsET+aw0fHTVWQnS1nytQmGmW0zs1b/97P/
O86OFfmIeOHSqrRsSy7jv3+lSkaPzUekSJ9QHJVU1ctKS7xNVleDgc0UqhnVgK6OgFjgWtBuxedX
ffwEW6l4QGO2ubPt+put2PVJK6hzanKlnODqfhMFHlHE8dBL9BUNyuBU88knZqsGwmQjyj0YJDV4
YvruFqoCUE1dTjeizCbQquIM9HV2geZjLry8+XNUyM+JOKXS10MbLYQRjqMYZI0lI+rPom1J5ABk
eGKb2MpIiCoDD3nd8c7ikKHEfCZVspQ9B0Waz/6OBPdO0UoqG9hxCZ+uQqxLs3DXSop5FF3ioNRt
W6NlJnsrC2dN5H2AmmLnWaJuzndGGqPbm4Wa3ymNX0MvKS3cUEJSUViItMOjmqoP4nuFPUxuDNuC
+WsODOXKdq55yFogRZAFvhcqKncfnpPgpZ3NrQaPE0kKnVv5JQrvomgvw/pXF65cooJuZmBm838U
7EVMyn0yHTLnJEr1nS1VK1eOzC0ur89qY2kvY1mqazCO1tHLuRV1QaVRWFelN2BoxzYNkq+KbWIM
DnPHT7mmjcyornaHROFT/WQU6B0DUQfgqpuyt61MVFLwdavuo+kg+mKcMJbtgEOuDGZZHsbMOEdt
AYlUlHdQRYDyxo5gp41JyZLeQQt3OnRu2VxH/XvSw9Gf+ytZfUnV3oZHn+lzlDytOrUMSNmtr6pD
e5dR7M6KXxUPuKusdlzuWmT4O9+vcpiUKlWb6SCGxUAwwcllOFbLXIWnGbdl9FA1qrJDQhya9YQ0
FX250/J4DBTKNAKqCv74LkF69iRC8JBsr2j2w05jQuawx5szGVGv1td5ez+M5fAhZF4E+7KOnArB
1WjYj1W6zuWs7eFksJupldnFrZz83GaPt8Z5asgnbWEzIrwv+hJ4EydTwCsSHMF3fWM9DiJJo0qW
erC1AdkPCeE+x4i0g2F2V1RocRdUZR/9MuEq31uoJ4pvYvrG3IxvT7TEQXxXU7+Ds/bcL7o+4//u
D0AvmqSDl6kU8627bTXijDBR7XgTn63pPfQ9htUjeh2oQQHFwTltSsmEAfVZ5MZnt4PfLaoA1TrI
puz89D9qmugRSE2iz80kiesjwJLj/Mlld4Bw4bt7b0psjVJ6N8MWErU9ixxMo8AJ8EmF7TA4AxKA
pyk1gtpqdx+AgWm8VsA4ifxMF47axmxLf/aMNf0aoqVQFO/DMVrZWguSbxIj/0tv/NYH8Fh2SKNN
QTKc583Hj7zynXfROb8miirJurLl8F9fTry6k7e8BBrCPglTNJh//9WhKcp9AP0h2CroYw6hIh86
U+3VvWGp+jrNsPaS7lK0r8jHfv7b8SCY2sPHv5/jNvpviOPwftQdqWp7Rqq3CSjJIEkRphdAdJIC
1g7d0MlVkDWeCMTHzTk7NUZ7bHexAZgGPCA4A2WPMxKt9Dmj3iw8TVF3rokYoUGueQWkRu2+mmr8
JVCtbtOodXus+6g9wtYs0PEtkhx6UF4thED6TQxdNMVBcimsmtawu3X9W5joAwDUggsbwhmJJJBE
auZyawcguxTN2yHFGPJUkDS7dQnoEsoN7iWuMqgwZYgUFPilxtPNPZIWoBxc/hdCHU1qvYBQZw4u
UqYqSu7n2vmFei15Fn8s/bWdSPIqafr6AQ2blaz15rWV4/ph1BBcldMxWohB0edEOuQV20bfeQop
BvmtwgON+vToNN2MUVU9d2240GwMTU5PWYhugUjDNT5gskSzx3OqFeajZ+cnv+sKEmMSGGXNGNCj
HtyFYVrGVjyQPX+0d8UYvd4e1Lfn8T8Hb/1FV25cCl+HFnLmzBDREG07qy4ArZk/QkrtLEblMtWe
SXP/OdpMzdtcMYqG0ePo4YGoesFEn4RzLpZfrL5Jm3nDQy8hXukF4Y9wsKVl2Xb90evZOpzaLoxw
QEfAj5Xi3sk86adcuRBLg/69meC3SONqVxN/COg8br2Tw3q8M1LgBRri7F+mSW7XHhUFd2KRX+1c
azz3vgTLeMqCfKZmfTv+1rsoJYkucfDCaSmdjM4y1PLuEjndKsg944kK5QctpaOsYhg1IK6JpdKr
UrNA8S67aFY1h4lP6XWht8ck+T/CpBzLsWICXLroUlr9vXjkhD36vUPg/hAtcYhIua4bdLzX4gEm
+jCYARsoq8kh7Wpo+Pxccz2tdi4U9TmVLD5E6KevSZioB19khxIEltajTQL79jnDQJNOmY7q3/SV
6OXgrFzJslfiGQ4D7gpEwj5q/OTnB3bqQC+yyb9uRIR4amd64O9A4WjzY1704QuaXUoEHm8rArW2
c7QRFZXqM/Lq47ZFruQCPoN6VtyCbQmBZUUD3pNxYf8Uz4mmHXYlZfajaM3rgDrs/+gTywDYn7ip
Cs/wEmIhBIiFppf2vTN25n4weaLxrG1f7aw6CgjSv0Xkete+Qlz5I6KqJh1Ro0apa1rRBKFknzJF
3mtBxJJGfMx0DHdVXKfn28fME3BKTgOk89YHN8bfGpabLcWsiGfdfrRDeMNS/a3r0vJZHciwwzSn
HNJU5ZVaLxg/1UnIog0L+Fn9j6GyucLMGnaTqruk32xzx1fa39f8h80hKfkPOXW+i5fuVHUqOthw
EzQTx88oeEvwXzuElVkfSn6QB7PwMBFRSPQZY9I+tX7bH5NUQ8IkHNunMmn8h9GTl0MWuBjZx/Wp
UurhWhmRAzlfHrCO4mrzQj2+L+G4HRosmDZpKBcwLeudqBP5UfIRgcdOeaj+u4ioSQp0DJo/XsMZ
83otY0i0BHMRbW0ljJepCccFsKxbXqXwvRksGHHRAC3W9bGwm0cb2NQrvYg2iZqRxpvczSSUQpeh
ZwYn1Yn1V53iUzJkzfMANP1KNu27iMq83NkaWsMkPgIfbTgGns+SLvNkNBemU7OVuOyN7BGOC30e
2hmbNpi46RNMWc4kvK69HOGXT9SyOAvA+11ixXAQuIp05Ot/A5vL6cwgabZyLSdZOR0MYTSq95bR
OQC6QZFAdsYLDrmnBN6QMgmCFOndgAN0qKX6s6Y07R6NjGz2We9SkDe42g/YyzT5qxyCi1MCTb4I
23XfgL45di/wFu1rq5tvjR2MFxQQYLAVBRQlyXe+Gq560I3E8QAmvw9OHP+qlPFNyizjbayDBhcS
vX7w2cBsANL6ZztVzL2dyvIuaLsOCokWr2RYBmHhNJt8qukZUxlPjVPuqlMf2ges3lAy/2h30wJS
BIo+0wnbeZ7oc80OPQlVbTYCKlHHYFLU2mAhbdnuaQxG9zQUqreCTistEYowkd+XEwlDEIYTVSOL
67TLQba/oARnXW+H0iijldn55Vr02Q07K/ALPqbMmB7d4pIE6YM0rBGbY34cm/4ic+0RHys3RJXE
k9vw3Jj5uiArc0X0yEAWnrOuK6Mtu1h7Epn76MM1vT2UofFjCIylioT0M9mM5jyOeEGW+Ae/NQMS
qXpryHvdKwdogFwpSfj4Ad6ZKsWifiwKy1qobvkpeHeiZSiBvAqH3NmIonLZgxjHxfyXKEm3fv+V
6ph1VqaDOJNr+c1NnHrnk/+rt7jU+ju5cr4FVv0RUcvFsEGqi72ng2kIjmfTgrGDZGFmA9XsTtkG
YDLPczOWE/K2WVZizEVMip7DnVnWK3sy+85wtOEJjEBd75vJezokBoIHY48DeWe+5D0qmlGVvEOi
HXZjh5iPrrruVH7qF9B1qt2oMXUQtozIkJZzm0wll5Grao+6q7wPuqG+9On4bFWq+QP3oSM/O8zF
I1ddRYBDzkYfW0cE6FWqN6hsyY6mY8ZdmYUElqzHmaH3s9WY1dqhSUsNEBa03hO3iWjtNciezzH6
5PEAc6bbciscoQnIyCGpOCIu2+yJdeNH9uKWryDlHKHvB1j65MpPg4FymBWuUdhq92bM72g7WnIA
UiLK+KQZRn6iEzrE1Z1iNhEUoUVeNN1Z4FQ6fqK6Vr4COwguUUPmXHTnMsQxpbXajWiKSb5SlUuj
7XHtmYpkqVVItrPo+T/ZkG1r9mOsPMbc4h/jki8m05FDmQC6X8xCexyc/s/+anpO/zN+xNJrFbfO
3D+gVhSmWzVyIfeLXW48bXDTzwPq39PWVxxhbkB4yXkf8NOQ2zXb5wbKysFFc2wl/pRSu/vOGrtn
FCqLP/qneJ+ayISdrs5pyaZdc/V7w7L9x1wf9uLOXusO1LnGAjRKDf8V/eiWPSe7DDOPo/sPkFXO
eiY6K0YMNwt8dR1M/l+6hZpOXFHQ6gDLzpg/MSwOZpwaAOUTtfjm5pa7L9A+WFlJ0m2dSeBg9P1h
P5Q4FUSRBX8qt+P7SEJdBv+PJ9EVKwVFMtY+Il5Gq1kt80NMouD09zNGtBFmU0gAlahtulK4kdVK
WnZBqV7QD0VyUQlJSxuYz6dS0+2g0/bLsi+Nx9io+wfX5ldFY4Q4f4hk9bvwzQuarFoOJfaIonk7
RBT/z6KZNDGaHmAbtyg7dRAFbL4Jg635pqCStKcm82r1QcwPpQi35gSbw8ktvZOdyRZtwgBnkvqt
MRvczSbIhwCJ3g5lXIPYKK2vty5x1qWs1dHe6M+mFqNiqOOsl2pc8wl4bt0sF3ae7GulGt57WHG4
r2j2uWpatpkKavpBKicvri6/+RGpOypWFDb8kypVr8rk4IR/ak1p0fuVeWF8FF2ZEyfXuk834xQg
ukzDlTdhJCWr1G80JOu6au31OCNqneHNLhX4BttYjg3mvpVJPs4uFVr6Q0IsHDcd656th7UvAqvZ
jH3VvapxfhTIdeBkAEun4gASbtxhPf+CrTgkUU97LmUV0TxaGhX7uYW803fNR6qndwcEtwTgp2I3
u+jl8Oj7qvowBMB87VSdcMWg1VDD3JcIaAEsphn0TbBSYjs4iB/ANMnAeWIx6jZ6w50PcG90zOzI
huqEcCf5HbJevFPfPyHLk1wbkeHrlA1SkZOuHd+e+IZUyx2WmiP129vXauQ9EGV7vBNdiP14By9C
7nCowoLULRidVNJCkNNGse4GK3+XqvHdkbT63i8V9WrxJFiIfrQT0Qd3/fpQh2b6VrVnq8uLd8t+
alWHtEkcDW+xxluXIImcofu6z8hjzf1GVOh7agxoNITWqs/k8pL24GNfxG3FQ5xCoB+kILPYpiF/
ARRC9AhkRKgozmbEEWb510Cao7DUlnj/iAHVcb2di/feQUVfrfeKZ7EzNuKlP9AQ+2JG0LssnpGk
HC+KAtxlcn839XvFs+WTx08v23baQI1JKZS7qijiSU03+Vli9ZDgIilL3bPJlffWo7eC7KQa3zlo
Ne1qTdf2eASEly4Og3UXJ9K1T9GkMlDGwPPErk55VzyzPUSUVdJ9dzVWpbFu66B+EAeFrIIZheY5
SRtSELbr7+zAUKMzSA5lqyf2PXQN+SquyDA277n8ZHKtXIPTmGgBeXMeRmVce12yKQ3u/IMlhSv0
XOWLEqXmAbOXGhcTP32GtPSjcxPzxxTa6VWyzPzILL55lh/tW1Jhl0wJX4wi9+aWK3zOp/5+Ohil
/+JSL9yL/ggYsbIwox+lpr+WwuJ2Omg8Q2FRTqcdoMXBk/meeYBinGqd7bhtRgBOcrFSEz9cZWjV
bGY40kzDs6LypdVBCQcOSyDxH2nVw5/N26go6GkOldy2905qGvFx/3EFodKtrQDvohr0z4FUzbFv
98rjrb9K7fI4vYYzlNmmGDNetTG0cz8dkjKXUDYNKVjEcEj+6JtjKivZeYP0LgbEIRIzxCmyEOky
Da183ZTtxwsG2xA7OZToNGP8ZjWGvnMnhSO/rVCYnH6OgW/lSzAcsFYq23+W/WEr+knfU7SSkJES
TZS6DhjVlE94EMRnMb20vJdZQMDJvbPcqb71PvgOfBBe0PayY4TD+pEtuod0kS0D9G0boAis1APQ
q4zXpA/yhTj9oz1P+GPMsWXM3LU82yGpaV8tqb4T12XkN/YVyNudYvgl5mBdgngfYnZJkufnarKq
68pyaReG8ZTkUXWfWyMK4VA0BsxuDiYptaVmy/mriyLwusbiYSsmNb/UBnDBeBQY5lB1jLsiggzp
tshRNINx9znmuZk5t3gFdiSKf+lyqKN1KUUH5NM1Eg/KARS4gc5t7z2ESXKJBQ+tsMa95gJVdpqx
urMLlB30MfGUN8x4LhWKghd3NPq70ExabuH+u6RHw53omvujZluxJTz7FNTmfj5quOJuTz4IAZDz
XKPxu/SgtO4u7T3pzRijeB2mYXbC3gmsuZvkK51i81dDRyDXT4AS1PDmHI13ym7E3vE4VLaaIeEa
kdgoq+lq8MO2pR2rK3c/L4NqS3PWLObcQ536j/WA+t9abVFf0vQ63/2xVQ3Izfb6cazZGB3yXoUJ
aqTGSQsRo1bk8CJuUdTowpOcDa/iFiW6MlmBBEWudb6T4dhVnLumOpWhuiPBpr3XY9CQuKq8i505
5ZHZGOxAeHzB4PddbAQ+QwvQs6ioBx+hlet6m16L/Be05m+hTltYp1GLfooVUeW33rwssnTpAgvf
2t1WSmK5NJgK9JQhgl2vRh+0lVx6Kjw3ugr6imCtlJZWrq0Bo1nRl6fKRZJqe1e6KpA5yyuQarbx
4fArC9xc3kntAemjL0PH/6ovrH1dNXy0gQ9O3kvuZG00PVuX8RjYW9F0IrnHJtj7KlpiTpVVL0M4
hGcxyUncGrG5JFxRzpSxjxnlNXlp71yPcFzIWqSLfCq5ioMYEGek7fyTmSQwugZnWLj4Vv9o17hs
mz/0ENttpdXs+1yHw2o7gKhGWZfv45ictd6l8ToqQanjKvQEQ8j7/o8TzDx80cNOYz6x88J6NfDF
yxsnQdkwMu4juwYeGOBx1bm1/62Ex9vUOCgY1P0NlhQH1UBctdH7n2JcTDTRx1rmeJ1dEerdW6wN
Hyyvax6VSTpV/P5HnoU5tjALaXKwbMYJ8tUgViBGs5i8qlkn3AD6IHjOZH1dp+CRIOHBPPO3ZVtp
LAlr5131524ZGdatHMUf3USPkpuuC1fpkEF7rqY7B3uF5omGUEAQjUBHSRNaRBuqYkTw0X83PLdE
mhKvovuZ9GU0GUA6E0JOMdhf7BjBhYgdzsVSuZUBAASki9bmk13VvxBIHr4aiksGpn+tMFPajVQP
z1kHWn070NfwOIpInj8NYJNgTPrZWaDURBPd5uwsUGpjibiYGGVvigdxGCUr3cC+qVPl5mjJpvOY
hNJdwd+UnoKymZtKZPVfRFjmfJNHMDBjjsbsxMbiv+qdCq/yFASttM3VJtz5pYx4o1v3O1NX+vsO
PpDYUYhD7ETGSi2MfFNO/FqEo4f7svmIKHUYuOkUkZpDjlIj+xDfKp7Qe07vNd1ggaUF1Zn1VviE
lSa6gzg247Cib6omrrfVCJbEN42NzaoHZkrbnMKkRL6uNSu0hkCp3GeqcgHD5j8Kd3TXRZ6L5Arc
3aGSsA/FFEaMBpN3uicxKnzSY832HsfKW4+FGd0NZpXuZ3t5KvXRzo8Ri9Fk3ApmSGqG2B81C9qY
XlKMF23kU3+3x1bHXw2VZrjgNgBIuLheLqF1mqDsJJoCAmlgd4TPwKPoSZwcQcspPpziDQVbiFu8
CLFx1fyXeC3BiS7ws2hXTrafraWpKymtRhIWDs6bM4Y6i3AGbxSTxIsSSKcxToeTlizE/jaVcXzM
qWwtg2kHrNVWCi/DOokdsNjz4tWNK0kR34l4I8RWIYV/vDORtj1SUH5HYGnCEMvFU1g02tbJQNAi
0VgpS8Sby3UqK+PSrFjLzW9BTcwRGgarFJFhRMcJxhwCANzxVh5beOS8lPLeRoTk0sbWBG3jfUtu
MDfFoAgTEVJirEqY0ttSK+HuT8vIvsSQwkl0bR0EDrmZz/WlOONXhJ2uo8NlZ905LznnaUO1V2dn
xCpAfoxvsx48aMNj1W90FNEpZ9P3xyHrUAFLsRwWIbcBXKfBzHD9ayc91r+5CbVuURPJDK+eYRBN
oCDePw2IAr81G/hNnZYbdHO0qJaIYWcqnooBR8Fk62dmx0WGaFeSX1EA0bedAfVB/IfVkM8vYRbc
wXfBWL238g1Kgsb8XyeB7FwmGLTuu6j37gYfE5FuGH74soTM+rSGD1D011ZqmiDW/BqEYKW+gUkc
YFqwyfe5QFahTBH5rzzAzCIVwxU1xXn4lhwQ0UUyyksbmbF5ezD4UnlseWyKP/vHjgFXFlYEAeI3
4q3Y+gLrlPDsFogC22khbXQTYTl0VactttV/B/fEZheSvGKAc/UK8wXFGQ+3xSrcd76s4ZCJ7o6A
ZMWx7Z3B3K66IkeBQTQlqVyJiBiwv20nk3ZsoF/EoSvaXynpi92tSwYbdfEGP9xDrXwT/WmiwCEw
S+ReeXm7SPyzOEPca1zrCcJRtz4xoKtGsMwpQ27i1EuOatC+3a7pKkG2DiG4t2D6IQTolENSFQRD
CDP8eqXWPqJsGVFPzygCuWjv9uzmf5qIi2e9+zMwoOTJnR09YxhrrNVMq06yAlS00p1xgbGr8aho
A4IWthnOmDEH2ajzGJYvAlAmYGQu7mlJipoHRNl+ETe5uUkfEcD3wfpmzTXpgm+6HkxLdT/eo5TR
rkSzBqmzSr3c3omm5Uo/LHsIrqKVPo6OgRehSIuMLcJQtYkwT6KpmJ9Nukljlmnoy91pWheVy2LS
TkqUNjgIZSXKiOmy8dWNPPEYBFtBMBrE2XwoDI1bevAk+m9hkuqWay0tSgheWXVRAnM9FzL+asZe
uet0J1m2SeU9ckMJl5QMhi9I552HavI8tjp/YQGb+jlq/a+Yn8Zr3mUZRFcpoMBTW1vETeuDFjk6
/mk4pam5lGzMrvwZN6kT782E1GlklF9bdei7ryPAeBSiYEfqtnJkGflxuDUzYVYv2qk74CrCDuPf
4kSf2qxRUPDO4j5lTjcrKOcqN8DcXogb0+0GJkZF03M8dY0ZxEfIbaAyUA9R9KtXDNnahSq7Qok2
vROcZ3EWBlcpsPLrrZvb0J+h0mQo/zu0MeLij9A6Du7AgF5iMCH3USvJm8420pM0dsPBl2vMul0s
ERqstleUeNvntu2axciK7FvNLX4mF7mGstDMNEfhtv9u4y/3WnaFvmxKG7cAkoJ4OhTm0gdf8E1C
mCPuSEKWgA83btC6ezVT9Qc2xeyppwj4TN9Rye8eIydv9o47IgCtNtpbo1MbmQKGEMYpHh35BR08
9WyZ3MuAk0snm5vmWZpwQbdDU7831ZCcbj3i7I9QWF0rfMf65a2PLNXKoiZ4F5RVvmkcwCqGmY6P
Ld6Odw4ancCZx8dOtobHvDJadp5KfxBNM5f8vcraBlSgXxdLrX1R1K58EIP6tBfpY7LdosmqjRvc
aHybQ90anU4J/pEYLC3WZHXiHQH0Yl5JwuuChBfCzkGIWT3aLZgUeiS9p9Y4GdaLkHDsmt0YRT9E
/3wQszDMyZbjGOmsquT0kIGZWpgZW0BbdZprwy9yBcOmfUXMGhSSZ/yKo6UhyekvVMgRj3HHF8fR
VRJBpX4Bppfs3VBu13P6ayQdmbqraHKycrrCRpgdtG3oOEA7mgrReJw5j2ETDG92uE6mqMEaf0dN
3TqZkn9GSUEh/flan1Fji5S3eK3ff7EM/JWbwHOUhpWdIJ074nX90GRhuEUvGcrB1BwBCz20MNVx
hB3PQdvSsgaM1RQzX+BZA1tcMoJxofWquvemYd/r2ovS1gcxf56RVZj4wLHbxChZMmNYdS0eODOP
us9AveQtpjlR35PDD8n3TNLv2fFjCQx0H30alLjFcDwN+67/MUzGBxblNNseMLoJ1eK+xcpVQeiu
hlbZUZL8qxYA3vdomrWx/+vRLp7vog+bkSPe8cZerBdEVxFK3aFHUeffyhaRot2NrSnvStzAuoUI
AfaCi4LYsH8OiwE1zDJsPizucmIUocp58kBC+PcMfFdRYmdnjlZtdBw9dLrnU9HOp05x1rzjOikd
xLku+fHca0op8bcoMfxXjGh6Uhsd0Rd+TxKnnD9a16Y/tRBVcEqBH+mHf/vIU5ZCjtt0niQ+yC1f
ISZ0SYoOtDWgBJl7kzuTbINK8LJ9E6j+EUDUxwF7DkaRffD8za23tAsF39opdA4QQ5NiTGJh+Knl
xraagFDLZkxfZD0zQWnX1v0QBRxc1MZZLM6NgOs2tI3DHO72XrpHphpN+yk+nA5ypZG6qgN1JWaI
Ac+T0qU1/Zm2kNrdh7s1uIXJ8UCtjlZaYxFjty7S0LZWg/GZehMz8nBqkZz13yOGiIdkQQ2oW7lR
lV/rSCvAhITJ95LSfxrm6pcOyNV6DBMbOgKlUwdo8T7TcL+WnfAeS1MNkBH2UpuP9b3UfUW+IHp1
ozbft5OFiZC4kXuJtE6fLArKHJu0s1wwNWVi7dQhPox5Sy1UsY31EES4z/XYmuUl9naZaXLBWmLh
VzdciZ2N7AMPdA2775VIJLBwjTCJhJZN7iB0VVZnxVrkDsQIjdvI77Dfc+AAkgKJUo3yVTtxQ+t+
IbC7gk5dDPBFuwAhclef4Bn9Z4wYFkxsU03/Yx4SJBFuIdWjS0rvyfSsN3Uok+/OkKH3XlRPSUv9
AgyVs82qzFsYGYg96l7BAYwednD1YL8OqcFzhxxBij7GwjaN7v7/j2iM5LkqwxqLy6a6zho+Pfyl
tgX2YSs+IGYh/TP1Iaornf6Kk6e+VB6UrS9XbO6bwN+kSu6dfKnPTiyqrXUbldKTpsEjUTvf/Wng
5K1oP7XeRqVTKeSneJoz+KN3QosnO7mdbgGVdt0n2BIfc5rTX3PE33E6PCdDO3hRuMGfwagqa/Q7
MPicigBN71AEQDdXI9dJe+zSn34fsTebWi4CI8NCzGMzn56GDPOYz1jRP4fobndBBXTv2O1OURrz
R6Qa7xlCQGhuKv6mKuTi2GidjzcAKA1qtfr7FFqk47hw4+QXlTmnwnnZaustyq7Dmqc1dhMKSjrc
FcvHsDS+portf8vbAgOHXsnvsdrtjh7qjCuRjguUO0oDxpew0t6DsNXBLSnDTnYRlgmmhyKuZzlp
DJwUkGgKn1KH/KEUVntPtnTYrJTfeGIhBV8pVrEy/YKlqDnoL3UDFhrkN8qEmYeuYjwkiCuCO4xW
kUrWfAwk9H8ZqBsjOk2ObcvRzo2jr+iPleYGDx10vytpfNxbUPF/73wMewp3aPaiaebvrkqezCtS
NNFjpCa5o/jvfkdS0za06hyEtvaET85W9KNRx30wcthETy82/REbFNQC0XRzV2atexQH045dRKH1
j2YxhDB8GhVzrc+QEtRGsLL7ftHxztdD7jaPFbeOQ93jJCea6qi2LOTwivEi6QJmpX1UsjzBgg4z
HTGIXRBJOcNcikExKWpVD0sxKdu7esMORi96LqURgzyrtR6koov20Cv8rV9E1YtZsgUp0uq5tdXu
UE3udZN+YT4dbNMNDtwwYh4VtnkvBlJZAiPuoGehuGoVLv1JpBDRF387txNb+RFljXVwhZzhNA/x
5qVeh/JVvAqKZ+qlC7NNJzXZpoUme8BN6kcdRMl3HAdefDdLn/W2ULa1yZ0jDEf3sdSyfwso+qTZ
pS2ZScWKNrGOLSw0v5+B64KfdMBC6q0Lkz/WvgUd2PfGC9TnrsKG1Uu4IEKeW9u8TlWkP/rwhLw6
XBGtq+5HyOb/w9p5LbfNc2v4ijjDXk7VZUm25e6ccFLZe+fV74eQYzr+8reZfcJBWQAVRyIBrLcA
VlPVZ3RSfiBW0F3nU8ZHPI/9tllrodNc9ESNoUM9oWvOYT9p6gdY/agZyOrYfm5Ncy/+UTBR2AnH
yCG3Kc4irM7SozyhEGzYSZnsa7eilhaGs7cDE3H8qRMwR32HQEO/7HNf3s5tmAV+HmVoarUQA0SY
0Zv4AbF++Zej2pSUDoTgaoKTkkCeR1zq0z3KoTnwtHCPgCP9+y5zxo3hwJiRu5gFI55X/Jgsvnrs
B0CEhPLG5yyFBewECenp5STPO1fKuuNA8tlo2Xf4codTUuMcfRtRq3ZSkhpjmaSYFkc4WvKA0AjT
Yr//ECbaRViTIPlA9nZ4KQDIijBPid5m699ns6bZRHUKy8GbL0bgxSdXZw8fiwwkL4xnk4TRprcQ
0QKPx1ZA8icbXtu7UbAveHTVeCnajaitDoOOtVzks8qv60FZqUOe7UVvzz+mQK3yzhx6/Wy6PbAY
JlND8q6Qvry1qOYj+XDJLt2DqHrtLzxrC/ArfCDXM1a5apmLMkSNefSS8AU1NaQd9PJpQFjtGlHu
GqnAIngpe8Rr0zYbtshJBC+qHb0qkt7eWqnd3g95tBfNtVIM+6THyUUMKrweLmHu9gfR++fccpix
ZJ/uWSXGx7mR2X9trLq9jeqs+9vc6vQJ2nHiKb7P3aQvcscZm6YdR0vzUWjhIsv1W0nLeY5YmiRE
zPzrpE/xbBSBiGC4q1iLEPabohFYpUeM7u242gdNc4Z5G1zrSt0oKzEETtBC6nz92OmFsUPI9SlA
9ROZTykmfYhcUiuXBt5CdZ7upCxn9+/WykrEGI5hn9RjgxF7ctAU+xXPLOQepuHiEr2X9NGMV5y8
pIneb9JJesm3Wbu0ln+29E4567F0z+4ZXSS/QiYhxyVJQDrJrX2KEoNFlNwPKjqolr6MeWZd2UX5
I+2M8OtUyH8XdI4KRIsojH7zQxSU34Up+H+K+U+3EBOCLj3xN2WJKKGFJXX5sGMB0L9kab+L0zp4
aJIpA6UE+UK0izBXQ2jAZPH0wstl57tx+ABO7R9hzjSbCJPb5kNY0UpsmnxkpefZ3m86DKjV93/O
ZjtyvRY3NUhzrXIJ+2I/wIgsGuA3iESWqBp6LR1Fmivm8XLpFXILc68Qchgk8/91rPgY4kZiZvLi
0nG+7/wh5/uK3u79YwxB3W7hFVrLyLDBTDjOyQg7/UaWTP1GlMIKLxQ30nuMWqaOtgmsReGo8iId
634rAlXRWJXFKjbL6jQP/m8nne7mZbF+M09cpxFGtuKe7xNf2v6XScX4GGDd5dN+mFQBSSxb/sdP
62soDniadPkTXGI///Pf/y5iUtuU+6344PO/+d9N/OH+qWsma61ZCQH81o+emzyUsS1Efk+y8dDl
tNPfiipkOAAfSYlz5aTEV+W1e84D8iOTcp+IyFT/w3DsPv8x3C7Sj8MrM1uKyd6H40AyLvKwkk9e
wyGmOYGcI+1rMg7Bd7KkbGNRpEYz0oZOiIHjNnfb6N4j7fyX0Mis3kJ7Ez6OCB2U4mfUdUvdCuJH
LdP1dTxC/cCL1T4A/AN+ilvdwzidvZXl0LEjWdQ87H9m6EHRkiTbmuXRQpnSGuN00fLWXaqdjrnY
lAcxyhbuHGqAOk6v9yJMtFuegc2OpJIybbFraVBlPYjSfNHwQCDnaL+FzB2fgkXVtbV8mVhgAckC
d6fILWE8eM43FIYrhFF+V0Pg3Bn4VQu/v1Ya1xkZBTREYhBDQTpMdpDdFYtH495FSQyoHA7c+iTm
hoBkfMehPGTkX2gkhg9QgOuHUnoS225RyaUnsSHPUKn9sycaPoR9HiPQAHz//jlGLDR1Xase5OpZ
TG2mnr1xJAvd++Hpfxn418+EP5i69HucPGW5yZbi7YRhgbRE1l+/Eu8wxDxZkLXPwNCSo2MPfDsn
toKf6x+jFOUEp7Z9ZvvyFiWP5be4HlNQcHKAgGWv7B3ZNe7Dzn0hoeR/a2QgW6PW2SidQmYfRsT7
hPhtmP3sZTv70k8D4WMq+wrxg3vbt19EP0iWjwNDr0APZ5qxTX+JgR0o2E2gPVWj0V5VkYuZOQJJ
4GYUiFUGr8zefRLfYClwftS5Fz2RIijWqt1FJ3ZLWHT+ZUzRPwlrivcx7TSm9tPo1BdZcrBqbdyo
2a7SJXXDoqPATcg2Dm3S6pN8AnLuJb8xn6zaaywj5QIFxVs45SLPM3f6Pr3k6Am8YDOvL1u5Sc7a
GEbbMcIHWUsm8VWwvCiPy6OzHvXJF7Lvo5vK6hWS4F34Pdf3AsklBXG4DMJ+uGXZ7+wbdGU3CfZO
j2buvIgIxVBvMg2kZt58ldJBu40mptuYY8iGFQDJW2qiPfMzjAlGXqu5XLNMl/CZ3Oix4i5Ft7iY
skb2PpHOpQgJw+fexNgbUER40qrM3BetJ+9IdQzXhqPHa9sKq4dqwBbHB7X3FeGhU1ZO+7OIfbyu
y7/ybHiy2ih8HQalXMYg++88jf/NOrExK2naciN+2+KSmnmP0Cw/dSv7ZgRpfcxRYNvLLCAWHocS
9f0woPrv3EgtR3nfkCfNUKmfeLxC1zYMm22g2OPBEkxf1PDyjdWEEj6Yo35NWllBqTXwDmEJOHJo
6sfSAyIZWWq/C1E0u9ds5ScCGdmtF0XDMlPbJdRW0nt/ljJ9QAHIixo8Y6fSn70sF2ljE/nW+2dc
Jlc8nmz8UqdRn2N9RoVi/J9zfr7jv4rz8mNieXLxDYB1DNFFl+94myOyV3U96sZUTSNpbvoMn/sY
O9ClW4ztOmBNve6qiDpeaduKTeCNCO4KD80umYPFsoiUO4S6kq2G0Oo6J8eCMOJXDvecdRZp7d5P
/PxRHY0TDJvqq2FHCMwjW3Uy4SPe4vfULERHnPCwHXqzOaf4oh5zE+tzMZNk5XtQ4BV65Lmxqwu9
3VSxpX3R9VVdAOJDM6bY9ibvHEh8j5zAIqEQFz8EJD71FWubJca4FowRs/L8aX8XHwV+fhpUgZjK
fLJ6yEaNrMYuJS8v4UeHtPWizQPL+qE3siryNrYCzk7t13JpV0B+wK3jSLAfR9fEM4AkNmxkFGcq
t7jHm+wJV8ifqRmZ3xVPOhVFxRO+0PmJtRoohQGIaxg7LCU8GU+p8NBrOSgQ13SW+EGW18bogdnn
AGvdmFrxmuv+Nk1C6/uoSlAmrHy8s0ZUi9lHKdtQKYsHvLx/GmPo3lp+gsxxCKtDVY1vlVdy7uyU
9oPrqfG6K6r8WpW9eK/akrfvzL5hZ2oGayNVg0cj17CR5U/yXRpd7Do7MtrTTFWcjm/i7wEGHKiq
VdFS1VqTg6rev878AR1MvTe/Gmx9bR6ZT2TJm50x9tghepX14pOO0ndOchLQ267PtQfHPAm1YFEB
xiZ6RgTVpp4PYclJAHT7t54/xqiQMWGI8USMerRRcqNZk2pRXzlWXwl2RlcW/rLAwvP2P0eMQZYe
QNaXfo1w1AJ/WMxCUgyjPawyO/4mCGJsbKZ+GeBCbKIOXpOS6jVQxqS/RMRFd5ALP38uMLPfcMTW
sGLrlTtJk+K3iMw812luP2I/3myjmlNTpdTde9tLv19u0oyvtT92DwrJ3F0FSHGLMLq1NCb2ICC/
20Sz/DvPiqtzrXUP5G7zF1lBSozDCd6mU1WBr7fo0si5TmzfeCg54BXtmVpY+05SahgkRv6CagEp
JNZoR9HrvGTo+b00CmCQQsYl3red7KUxhFxd3e/FGOhkG7WTige2ifmNZKMpjK118pgpvQ5pMkM2
+8xbdJ3hYYn/KaVR7Sj5qfmhLYwq7NhzpOLmRB2+1/kqyQYeFe+pMZH4ElWzz/xj0zwoUJOOhTpy
iJcmD02fQ1iZmgAz1+RdpuIcMldFyZZwsm7gta0+dcRy1qGtjsk2RrfwQtIi7w/xdKkirz8YNmzD
S2NQJstCUe296JhDxIhLnOixxJC5fw4HOWoj6eB1qw9zi6ITR84CxcVhFRSKceChYhxEab7MbZEf
PnJwSx7RKNNy8beQua2q3N8xteFdxg19/6OGv/lSYslV4Gv4JYsT+SbXz6HUg6/JNX2fIoV5gWmN
TYIBfZTgDwbEa07lipJomyJMUFdHkc8V7eLy5h3wu3fu+Jw2dm7fWJuGq8V7zoS0i/o9LpdY8tS2
vJrbGvhDkN6lr+okoT+3V8rG6aXooqwvmuELRTyQq3o/tpOAMCe3m8pGxRqaVBtvSWkVi0s9GPzs
WrFKeCrvPaINNrqn4FKoZtdiTKhjP3lp9GH5rsMGjXXcZW7cqvFfbKsL13KN1EXfNB1ubBHkYTBM
z4Zr3ArUOnzfGwSU3kLrqMOZw+dA24Ij+pfQUpHMJXtdeLNuXAE8Rz/H8A1jaYW4xc9Czxd9Z468
OCugYw7+1CEmiLNwXFbtECG+D1pR4Hw6oGFov4O7hRsIMlE0znBFQ636pekVACn/AnAUbfMM86wC
LtRZQ39gj7jS87jZpj3AU8U20zt4PuldBO0W2zbJ5F2WZHd21KZ35fitMj3nVlSKzjGuigRLC8tQ
kddXSa4DnfftdZc3UrQkk39vJlp3FNMFgDuvocNtRE1MMN81Bu6+LlpI57OCv5D2n6tONmH8HD1c
ztL+ordChTJJ3ObKd0oHtq1grJet8R3vjXhfe5q5cNJY2Qht3wZ7l4vmr+FV+hZZpXwxi/6K0iWu
ORlyF11C52YdbOuC9JR42fWAVJfRoGCknagQB6eqU9bVXrwk9W58652rwRRcpbKxt9Rp6eeWC7ZP
/U9wT99irY5egsRSlsOY6GdHqSfcKscBbmnXV6qLF7CP1SCaVKaOL1qTP+Jy2C3Goc++DSUGmwpM
4kVekjaIA/x8BJS9BRZgVe1DPObNWm0SpEQqrwW0TvIBmj45qqlXgQd320glP106LwM4FG/cargM
VwqvI0EJkzPx/eRWleDSFGmBkrPZQ+PLcLYsU3cHLmdciirwOOWkGsqrqDVq3tzXNicZRHqRojxk
WouesazeXKIjOIap2w5XwdSpNn6xLqteXwdkBISEgoFLwjK36vJKVLGEOGuy450xCkoeQ2vkPYbu
QtGG4wlfsnLRd2P2nIaFsXVGv123vD+OWlf+Sn0gVOKiZXa97xO2jS0qA3N7/B4h2kQvwqXYasqu
uy7HgufS+wjR8ak6DwNEx+E8jP7VpzgRMt/IMkHeLJJeeXWhAmznzzLffJ5UTHWpVqBL0gqZ7ukj
//tbGNO/toHJhqRpg58daJBKKs2HZEjNZaMNyq6tJIODFbncqNjfrGXYqw9eIKn7lGfBUlTh6tsn
STVfRA1bBfMuauWFGFlPw2UPFL1nF2cRILkuiCXdHI7BaKAfmPPXKKShPAFZX2PYh9HikPi3zXSJ
AFytRt1XVqIqOkSIOrYb3QarNw/wFajXpFoht02TXC49MmhlndaYoITpTrSJmbLfN1Qtf912ZE3Z
R0T1EZGpYHlJlzo2Zmxklfr1pZ47vIVYVzu7OX9aycoRRHh2EvlTThaSMzICl/hUcqNjEar3Ijkr
ArwK/TyO6ZEpNVTpGorRkr1xeRTAVnSTJ0lvTj+u6sK+iHeLXrVu0U4UxUuMKL4HCmhsKQZfOiYw
rRfhr2GNnr5qez3MN6AOUG6ovStN8zDNrXJvODT6GOQbUQS6Oxx8SYFEj/gYB2oIkm6gem4z24be
NUg8E1BcMUws5jOETIpwkUGrDRAqAcLe1uhjzm09wo1z71z6b+Lav4yd5us8EBjCItmLVNRW2bZ5
eaa8fiplVaS+9rKeLMZC/UdvP7WNU++/jxO9HFi8xX26x3zfz3EBGmwZQvzTWaXQAemNeoWtQUCe
nfNKvNejFaxutCunapVWsH8aC3N7v0nK5RRspap/Fqoic7CYDoryW7DoVesvLLia21zR9yq+3k9h
2fXXMDe+5/ZQPQV43x1kc0CTaOoMcMHby4odQ/akNzYji5S8Yq1Fb+oY2PYlJmIAU3DTjxMmwM+v
WFKWT2kogfCUe4/H9tQb1nc6mry3otZVKRRvo7/3Hat+BK8jWrO0Ns8uqjnNYDvwaJGykbQy2Ehp
0BxJ0CYHjM1wSCJReScHGXsarda+oLNzsLRO/6U17TpFm/YbJHqsnTh3uteNJlhX3t0kloeFuZce
UwUNkqmmSoiogC+Afyzq4aDWZHSHcH2pTgoqotT1knVVBdr2crrkSd2wqocOwbhOgbmHdjSees21
HozIdI7oOgZL29fuHSsyQagphb/h+IBlqFhrudL4K5EV54q1Tr1gnxkdhAOJIWfZpuzGci2qXi21
WIV2v0acNqA0GQclcfN74V0yDjcmBO2vpsPSIShy8zFMtH5VOZpx4+e1Dt9TMa6krPGOhg9Wv1b1
DFpWYS/rzOqfi9j92SGf+6PysqXtTNYMitVt3bw2H7qOJbVtD/BuhmwvzlGcWL1FwLY/o1ya34+p
uvMb5AlG2+6gOQCbFWcxYlCKM3FUArstl34R49yeVzC8a9U6NYNnn+ZqZhcLNzLr41hI+giukbgi
9Lx1ZGjdsvTTbh1lsr3AsKw8up78Qws8nPv6EdN7l/3w0RTFwVRzjJPjYh1bfI6yt04AfLjbVMpK
rx2nPzDvGseroFPTaMoxLxy/glbu8MVFPMFaurb5xayL/sqvRveckTm57iodtFUhnUWT3zrWboQ6
sdA9yT2LDitunJXqVey3pzZxyQuzWEQuMLievE44GSaukiIsbzykt5eJzLe8HDjI9PKfFR61i8Zs
zUclwmq7KOroWkMrch9WBhs4n/PZlW+PxYudW4+Gbae/2hLw+14KoWyiMjiiXyH3nKeiJZYb2OUp
RuifKzfEkorTBKSnABaDFptDrdiT+JmG0i6JWh8v0t+hzKpJdvwQ6OOwiDK32wQZfkxtXyYyFLtg
iRLJvYlFGwYmcrlWC2U41eRYkDprjC2gWY23bmQsXZejXkivZ3hU+i8J4WE3kOof8URJidK82FaF
0qzwJyvYx+NKa5V2CQkWy3txfJMo5p1s8a+dIzxkVj5EGLp9V/Of9Zh2Kks3fEG2H3hCZAXge7BL
RPcR3waOhZ9TxdKQICqkVe3HeEL1ifHQtAG/q0nAEZlU7cTX45hM+o+iqdIkZYWE+tJXHG8NJbK/
07JyuPMliWMHyziJJtCVzcHW6h98EbMETSvUnUzbqbYiVoSgwq7UgKRExQuHYqepaPyLqrhI4FZR
aMRYXgxy2jK8sbBlmCPSEs6qXoT+5XOojf0cTgAJYKUtaGAzvjYUqbiuYCcuWyMIvnmutJfRhniC
BmFus9ZQt7z6vOfYBtI6BYiRnQs4uJb7hcMv/l2/VJTmi9A6RbfIWI6mW6zmjg/iqxyrakc137q1
KW3AbeJMnAYfnEZzvGwQCsyaKyFTXSHQtYMAKS8Fo6jCT+cuhG+ReCSAWmB8KDkho4K0CwB9nMm3
6lTNcSdduzxPeKQhqzL3Cu0A0YuKDce178GiGiVVtuUwFEteOzvZ8qj+mAopaFtR8LzEu08jk7O3
RcCGwzRWWTPaT5pukltHGfM02kF5BKUTrtugCl8r8BCdBLu+D3FPtxRyn7XqaltQKOYuL9Pozmwx
uxMh7ErxaB+th1RlbaNpqr0KyD08a46lrQbPGHaiOtSoPjUQMU+i6uj1mueufJ+panHv6BX/S4r0
NOL9eArxfV+Iqqu31U5MWWr8ed90bAPN7o4mhAWwgHJzNuOkPiSdjXNjg6q8pIKFVaUvBjIj67CT
Ak4yi/Re15xvOYIMLzF+DWhbNy8hrvakmuT6tpsujVEiwWjnh7ldT8uUtXOoQq0gVlzaPrBvomwz
t4hSH4fIJRZwPOeOmJTIlTrmL2mjDiv+2PVS9RRrTBdxqWB/UnrA+fFox8rD14NthpR3N2zApRoL
oQSMUMpw8KzsUdQGJazOfzaVk0KW1I2XKFH7c6Aacsy+fB8kTU6EQ97L10n45miNrN5dOqjuXojM
zpqztjO6qyJBIkh0VFmOs19sAqeLLf9zcJ6Y6nUyfg19Dtw1+XARBBAvMwByZbJiSRohVbOJ7O4X
nmrmQbUd41BOpaoEsbr4UBRdQdeZB5fs4C7Tq5No8iQgo0bHasaPZOx9gybZow6AcExI1TN51chP
nOqb96JhrBsPTUps6bo+YeGBd1vvr/QyzxY6NquHiM07qhB/lLC2fmsDYPOP3nmE58ZINsoD6Ny/
xHX5bVvqAalHAv59qLjhHPfp44gbeprxgrBBf5W5lXQSl8JBvkiR6gH7VWAlc8el6vesGKMMgOX7
iE9xvE7xuFRPczNG49ayxOmMJ0RRhhLwgrwgUTsUB1EKvTHH83CqX4pzP2YI9VILDe0yRnTYMQfE
C1EUl0EN7F2QKbt6HJ2bvNXLa5gMCx+OZrKOcT3cDEGHN/NkhydCRMnvEftEglXbzR1V1FzGttNM
c7uYJLfKdPmpI2lLsFHTJKJDzF60MacWKFpbo/xaWFglhkmV76LSz9fCSHGMpGxZhYF8EMJ0jpGs
fCk2HzQdBv1fBoko1wL+wq/3Xw7yjFI/56b9kzwKNgW2g3oJ2ZweC/IvIeyKlWNaxUmVe+1YomvD
L89XXrXe2chjE/7wSx4cbYAPgII4+C6SLQTF4XPc5VoEklSxKnRCknHfdFi2dNMjsqwS/SZVGuTz
1HGSMWpPjWfGT7Kau8DAHXVr1O3wZDjmQQTUXuIv4yRobgp/MI+ymiUssqPiG3JFi5SbfiHNLq0H
KC57peu9ex6XP8VIY6ISGsUo39VthnNrXxvoV0ftFx3ZHhHBYVeJ1iWdML3RCcr8h7A3Lg4YqRL0
O0XF+qWYQHSjituWasPBMjvZf2gifSfaRdig4WNlTFA92VZA3TW4z7im5YnZPoUJSWNlmu3PMDVO
XlicYgrN7uUmGhCWk4u+XeEkBv1CHCrPjeJQWZxFzx0agPaLQ+F8SO2EmEgnBWR4XUb1lp/KsM2M
UtsWsW8+B4225rh//Cq5qDc1ELaOsiTlZ8NPsoVfDfJXskAIEmQo5DaqjoYxiLiVGDE0uLvzm3wh
OVmgbnMVWIaLgompPkKqcC5VIeM1Vy/KUBq7Lsdw3IsWdl+F1VXb3Ve4ey2a0E5uzXhIb8cIPWsw
3Y9RXA5Xc7uGS+JOxPLfin5c/0fcpa1RtbeYLikGKGRasHZ7A9y9DBUn491znKshpnui6gQWb9rp
Ek2+DXy5l3pcJjcQqa0zC3Zjnw9QpIy4gaUVc3K8MZy0WHl13ITLMQMyiPNDvr3UpUL9KnX4YSIe
YZ1ZcFnnBAvevvD9WzEhbPPiGtmkrehTeBKtM69wt5lSb+UsH39NhT42LoX2d+GfXaJFbrX12HfB
zZyESPw+27Ov+yqaRuGG8N4mvj0YiuLezT0+xIngrraqG9/J/ot2oClAPhyrvCQvRO4hUN3pVazc
ipzEZfstUhsxxIq9q463ZkuKe1FOOg2j1Hcbr82UZdslw0K2MDSKDT9+9MMcZTZg7MIQuUQu5mKI
bKryuvfdK/NK7FcKrCpXrWnJJ7dR6hOGJGxNg8b/Xu6Rv6sXby+PDBbCLgTAky2cIEkOQH+mzGRQ
o0MyNXpRmxzEBUvnt5Kofuj+MHwONxV/3OgVkDh/kE4oVPMSww5SOo0Oxy5emksb0WObWBqsrEkE
1kvgLIiYS7joz1xNOZE5F5VLi2YvPARRbl0UqpDUsa4FAcEHiHowjeb7zEkoUW9e8bdqNiJi9Pr8
ym6SazVHIwm9fHQrpjQGKmi/q5OKThKMb1WBtpurAiH3Ifh9bDoZTsmpnqJ2GsScdEIdigsYjXk2
DvFKCdwMiwB+gxsZm9ZFVJD6qcGkmXt9SPMjieAISPzoORskLL5dqurUg75TbO7RfUNzwE23ll1Y
m8ALjEdrdMkAgcFI1OaxLW3rMXR8cwOaSNvD/Y7PAf97i3DCc6TwGx1QBF+9ukIHp1aSkwJ9EUWm
vl956Bp/qftqSYv5PR9qXOtdJT0XXaLuba23NmNu9PuuhhJSNOkXk4ODH2ad7TrTNV9LCXEKC7IT
WqNyfqgajsIQznQe30MBOl1CG13/e6jm5pdZfeMttJpCm05+mzU3+w+zxhxVsQcB6ZCN/dFCzGfH
CuAOUVUnXQVTm+gQl17O+yOqrf0xMbW1UvUwZaYm1YugV34uDtHkehkk/UoM/ttcl4E2u9YddjhL
1O2wnW8Xg+3Fk9Gg9hjjb8KWsYmO7eRaPPcKg2PRmzdadGQT8Rbcu3m4ai3U7qYfmgTyEeBYrCcH
d/o1isZU7/qFlbMJnNsi8eMU3eIiej6N+xADXr5d4GfvN3s7V7VtPsGmIgg0WzspWTw2unx3ueiA
9cx6PIoaXhDSodKiLxdQ1tACAWxUZdiKXpTzsztEJsVkoiVOE4RMi0RaIt4hJyAQ48fyz9kKZrtA
uubZxAR5M0BMD5ehwH9lbKw3tX22o67clllR38Yl2hVBYPdPgwY31/EL7XtY1OtaJAFN31yZRuH9
UFyMWMtcNZ5kP4sRZ5fl2zS1kq0Rye0h15z8QJqg3NaWCfOjzzAwZKtxIy5FPFg4z7bpem7zcsu/
yRzJ3poh4smfOvg2qTxf2Ua/TyIGiKrixPe+abp7URPt9eDvMiA1V0lknn1oKdWyKbydGgDu6QvE
QMY61tkFOcUONnLw4KhSuB8tM1+K3sa1irM61mzYy/AhkIbgwR2klyQwM4ChxIcDHx6js3IjOhvD
7g9qzueOGr3CCM0HoNm095dO0MtwfFwZvilDG131tqpJxllUrRYFYRT6zqJW+sFrNAm3B2SsNm4c
j+eBc4cV4rhoi3NkvDARSfjCWvkBDZ7xp6U4S2BKcIoSP1gocef+ipvyJs8T9etY6MUiQxDnCcc0
Ffy5O9yx9uzXjlxq11hwmMiZo7JX2uN41bHO3nWOa5286c6hBsepjXz2hxJJTq3NrWsk0/VtoekN
hnYc+eotoEm9NvRTkunhBtv39tz6Ybyyq0Z5rKMIvX27Kb5Y2fjoVWPz081TZHg9Pmvd/4gcKfAW
kqxfD0pufkUflYWNGvnPIbiHZR4q6p24c5aAeJWURF01nI1pq5yVORIevCDlqjmUtePfGi3JY6mL
XBLmmveqB5nJyQwc9TSvW+D7487AKfk1kTIZHZgMrZUpLEUaTJaN4q4t0+YGejCLzKkdjJa1StRQ
3lvTqN7gW62Yz/VEatMUH7xS3GhLwVsbMgSvBqVTD5lvpi8mLsMTzc1y2uygtLm2FCQ4EdVCRISO
lGYvBga+71HkzLSlYLPNUWIuO7kw6MAWZuDniUKPUt76TR/znQQOkhayscxCg/+bCSIiLu20ajIH
TuvmDhHsTSPmjkEsxURj/pdpQtjBB/j8t2I3YRqRtegsvDGAEkZPGXIiot1tTGtfmW6HajiWIYg6
1hj2eu2D7rBfdbTkDkZx+9AlPmRXWVYOotNSAY96tqFsBBQApbZ2j9YlEhXT0FJP6hvdTE+i08sk
aYdCjrJkeWddzr1S3W22bmmNa3EM1sc81GNXGfaiWkrqz6KNjGtR0+JsIVV+wkJOts4jhF1xwNYV
jX/MfR3Jtcwku19YBsuvtPaLRyV8dMm+eYvOH25qFOu+KHhHL+uqVO4UiAObSs+7o4IU4BXKvPKW
f2B9q9VjuCpZHjxrrffDSpL0xeJ4C4ccTpLQcF9ymDNW7cJW5XrVhjCiTG8IFlLmNKjgBcmG9FJ2
tBAAOnBga21KvCjuRtx3yKDlEqK8+ZWj6vovSw2RNLTrb0xqLJwml9bWaMpwo3N7k+Qca4sdC0kJ
bCb6LNkVVagfxe5EdIg4C8WdS1wmNi/DmO581YDTN+1ixL6n7DH+Tn17X7cYkgiVMUuIkJW8FDZ/
bWzK0F5cgkT8HNmVfEEcKa2vUgiBNw2ahX/aXqgZ4g2Ip3K6O1lhaEjKXYVh9xpgn7qzW7Z2TaEh
F1iGwf04Dsc2cPJr0VQq2luEr0/CGEEhHyt9eOvVfMfbtaqpHyw/MHBvipSnpMnaXWloHO3nmvyU
DoW8DnCr2Yrexuc83dL09kr0JkH+C3WI+lp05njeeKHm3WsRsrqB9PMyQ1Yl7DGy+0tN4SWOlgR3
k8nHWSUW7ciBtFeSk8RLcYw9V8UxtqVwN9ErjrE/VMUh91/GJiG/P3HI/SHYl1laT1NFU6+4UYqN
99bno1iJbx5SifSEyM4luAiswe9GO5HSU8Lka1RZzo0sF8GjVbLqmDT2bSdn6+eH3gZQkf7chtYB
QGxH0qXP7+R+suHotWc3yHHZ8ux0ZZD7ebZsK0KYX3f3dRlcYWsK1VDW9pZpVHewwuu7OPXDjTtG
CtxV2sTF1L1XOZCdg6jJhonAMoPilB9hmjW3ku0OXx5qNe6/+FKH0KGmldshiQ+jmeGfjiUI6la1
8WDiBbQojN75ydsItbMh7tKFkXvWQwDHbh2lY3xE3To6TmqG9jDeDLHVrJMciEonLPFEPfeRCLps
SvPQjbdR7OdL00zPOJE310LksMswQh5qnsWiaoROvU8dKV4Kkb0UW8+za6rrPOQNj9Jifo6ciXqs
Y7ppvztczl6X4wS0UAQ4wxs1ZW0bFopWc6Moco7FUbEopqwML0HzHJaMj4COgTbindm6D3PtWeXB
uHQzeTyIahBnKySFjIcuR4FcbvNXI4j0Z1vW8p3jObthsO/JSl6FE09EWBuJUjAOWz9sytPcnsgA
TxytLD+4IuW67G7c/6PsvHbkRpZ1/UQE6M1tedtWapkbQqPR0HvPpz8fo3qpeunMwdkbAxDMyExW
9YhFZkb8plbgrC3z5QCjwrz0cXFyM6zYwnhJ4Sz6lVR0zI0T2sZOROXMDqnOZvJ+Zq4LVwvtOaxA
oCVKaeg+VqaqMwW7Zax0SihEUS5wbePRM6rp6YbtSKbWu0gSwcw8ez/PTbO6/ROHtvbelu7OAMKH
KtPfohoPzSzdUp2pbprfqQOBd1Xb8WvN6//U6A7NMEuji4atmsyoIst7rIsawl1j1of+a+3lCgyf
wX+mwKKdefN8HQrXfwY15j/3yGvu4L5aa4nJWMBBqHEWdr6XmBzQ2/sceG2IYAEXmkLVePa/hwHi
uzfJdTRlknXYVfyj1NrAgoCzYnKHfbycoU7zfiaxey9YnhgxysQ5+y0br2au2y0Zf+epxsbgycEl
grp2r7OgJ0ZNnY5Kja5BVRwlhAhIq/DiwqO709WH24hlrFHCtHOtuTneY6VZj5iF8zTG2A9nVcjQ
cX3NDKvC5EGtkUtY2hTP9FPPRvZDTMZUMqYK4k+ujuKlxOqqaMbVbWRQuObmfl3LwHW7QgpJ7dga
m0qqPHojO8Z2qLKfPoZ8Sada38o8w3nqX0YoA3YiQ2TfRjQqd0DIovO56+JvXqQrb5WNZ5sX58hw
w2o6TXoAHF7vitfKgObqFRhGeMiLZJPzq6p09mnDcaWVpnuzJBCleKNm6anULjwcua8k6KmxtrIs
a4YQhvy83FPScZt9u+XuM6VfRt5nN7rbIzzk1296kG0qZJW+pJobHRsfw+HOixd5qNkmA802poSu
FyJq0wJY3UyxmV/AV5MxRiNy1eQVcqYS/NAv47GbIqVSBXvT1oejDLmNbiwg8YkVgqZ02rMczBE+
y2q2Y7NcSSBTEVW2jcXEWoK2DLgNu53jQd+ezSHpzh/7ZHLENqQs9OD4cXxUdKicgRJpz0PNxndR
OdoIZDsBloNCOtJeDnhuAXVLXEDcTa/uMyAt5z/iMkIz0QxaZkrnfXo7Yo2hWN7fgddpZyPBRErO
/q0pMaV0KOXKaZl43iYOuUFknpIOOAxN/hNv3v488jY5t0DybmcSa5aOe++/xTTdwWqjGHd/jFXR
OdHJYY2VTYZYbQ/JDKqatWX+2JmDcdBZNV4st3cvqBMW/q5sQSxluHytrdYKUb60h+mI46ZFJiCf
ol+Zq8aI7+lfhU7Ju26NlV3205oXLBg/phcA3bAYzXk41fXsXuGiuRtsLXJ+R2a+KT0rfplb7If8
uVJ3c8OKfF0WwYvSGDNfIU1eJgxOHqsSrukyVg5aMNgH8MrWSpo4MLubsAfcj8Ilz+CxfgSJYXyu
rOGVzXn9qC+LnqVPWtIHw/JD63efjFzmmZVz7fsxBYBpDNc7Z+HOb0AU5lcwqyO8GkbI4a5XJ81l
RFvDwyep6O8S3Q2OqdM88PjRP9eqinFOUD/US9Ipmsv86XdfmTjxBXsAaBckaS0dR+JOdQqqey3q
qxLMnVy56nVS7kfylrBkaN47LMnrqriwWU2Ohj2dt5CcNlHAjvoo+k2Dvikjq/3RzeO0DW2nPnlY
d7wog/pL+r1sEXgOcvs5gLl5xpMw2pYDZB9cLMy1gwrheXRdNMXj5lEOWEc2jxJne3K+KXNJx++Y
jLhPqBQ4WUicYJCCYGuO8enXSkOXx6vslhuUpuPYxyRSgbEFmfZUorsxhBgbtmqg75149FCGZhRq
38u2qeMW02OI0ep3MmkIk+StfpZL28hzH7qxmzfWUiAteuMMCMQ8V6aHs8QS8tDvOrm6j5ANITl0
S320DtQezyOFUv7vsWSQ1bXJNnsFirXYxoECBDOKFkuy1vo2Z8anLLWmf+rqjQ0d5btqtg6sU62/
hjCjpttO7ds4BEsqzHWfDJPXxFD02aVowvpUOkB/KMJqD3Ltso+i9WSH+fg8OmH7iMymfwgwmNkO
PBG/kzFfU1XVvnCP+IdScdjq6db4XSEeF3VyRZrta9didNUsBzmTg9Mrqy51lZMYYEloNDsVxVEq
Y1Otpjv560OEyD1WcVf54+X/XelXwzGKhp8Swk9IRXXCSrV1mUTKVoJyMK1pXNlR9tlYvOzrJti4
Tppeo0VLWUJYJQBEm/wDCpWms+mt4QniJxsCtp4O0OBo2CsaqD9StjXuirtoHCxMilWyNFk7fPOo
VeEv+RVdkOjUmD6a05nSf2uM8G9tHJQnVa1Rrag7VvfLcJQy040zBdEZRXbzzbanNdrZwzfyN+Z+
Rr9pJ9OLsDnptdp9MivFuECiqtYyHRlbnmnYf12LToledR/j2eWy8qWU3J3RTrd1bjGswRat5TWu
aHhzLQpOcoBZOmMf+SKmSmOcK4ckSnBR+D3g3ybNzm2SjPJjBUcPN3+fJBdynJlyc8+KXvfiLwqO
jucm7qsXFnG/0iJrfnSdg6N5p6mPOHa4V4+bft2wM/oRJ/1LqjbVJzjiyamson4rE6z5p+IDXAYC
FuyjXssOgOebL3mX7mSeFUbjRkVn4hy2cM1nNBwP4kqJhrVNiSC2KH39l11ltXLQZXma4qa63ErG
+HHi67i8fNXlEDv+2QMIe5JWoLrOpUERK8xj1jpe7mynIcAHamnWsrrOUvtH56naUWI8wrxHV9fT
q5m2WwlNyzKJ7Syb7NnA0UtBAEq+pBwkfWB304uTKMpJvu3tLwiC4pAgGmggFJCG5mehzBSBHzz+
btVzET5Glf1ZyDbSwlvg1hqyOZSRM+gP/OKqHI1XvVGo/Bb6hJ5IYX6VdFVXVyDYKTBdJJflx562
8UxkP6XXooZ7aLEwv2W6SmwdHuwSOPJCkpEDucc2c5LXrJuDs12E/aoFFUTqTWEX1Rco9JWklaRD
mgAhqtfE6a6mMfESn9X61R7rkFoorBDplGHJvkQoGxE7rmAHRbuZPfyxZLhTxNOD14yX+/XkI4uY
8p2C3uwQhdmTkZDlHnJzRiw78T5piZUf4xh3OmkuctwXdKzJzC+95li5T41eHqQlB8/cOxaeedKg
VvqALPX8KC3LdloMs2pWV8tkS5+ijd92gCSXpnzwNO4t82vv5sh0z2qi7vsC34wF9w6Iso7VvQO1
fGuOcb3G+tdkuVXYCOI0yomfNtULiEkFAmgZjjddg3xDC0tMqRqYqX2VYQziFedhwdfxAn/yVcd9
crQ2f6vhfKeF8lZMFvzI0foqrT6bi5Nh9fpaml0XLo6pZN9uY5cLRmN9QVavf+jDuXzIFWwxEfdq
tq0dA3GMcywFQ2NEYJ+DV4bdzsLKCrm1aHqy2mi66hT5qB+x0oEAQG4D8AoPAZrQ/96bkirqauX/
apqR9j74j7kyWHr7PLYwdDPrLVvb7IqebnptfCu9unVtXiZ1I2GJ3Pu6ZYDEuO+TnYZp+0p6/7jG
fRwAtwy94V7f/TFuUBvQ+Mqwz0LF6Vkr2/EMhW9q9q1GkUTK/rf8yz34AXyih3azp8I/Lw/QLmRL
jGyBMDrKzvHxDtkOlh9ehzlrMap7b+WjWkurUr0EYY1xWyLdeoXQ5W4cx5q/Dvl8sZZya5prr13V
RF9y1xu2bq3Fl0LJpk3jmr/6xXrN1c1hi705HKOlKcZGcVy/NLljXSRkQHW7BqHxIH2eG2IHJG47
TdF9aRSwrh0+aLPjqW8FVP4rBed01emD+lZWGZkzRTPX0ts1hrXcV+HODmrtrVINDE0bRzlIbxnO
vIVnd76My6VmLXkMvMx7ks4sOXhp737+/XE9rEIe6afM9QJ0EYfyS/fL0wflLZ38/pGM0g9zEe2f
LUwZY7XtNtJUJlODNV2CeG+14ovTDb8cS3GOlLOVbTmm9sYpBkqPs5kjCN1pNsu9qexXIfK2bDrx
I8RZkWxsENgbvTsa5PWA+mcQiQZMMM5W1EEXCuKRvcly6ngtpistmTTP0yiQlfoXMWe9mbeCaa23
sN1tkhjL50nXiJQ7C0SlxH/VXtSxO+uyl9yCO+H2aBdpsP6QPZBTOUxkD86svFfSMlT0LvZymijV
XxPowttVJPQhO0FxCxhPqURgAW0ePpsWD91ndXTN5y7DDDnTVX1Xpg24cbvJyfN7iXO8tTMnPXXt
rF1ldN+VDYyCdVCDcl475YSYWeFcb0PzFjhM2VJHlrFyQPKq2HlWXmDKyafZmfsX6iU/Rq8lURPi
i45yzzX20o7lX8hrUQ0y/aB1ifskQwLXCLYRXxEvX8t5CpbDQmg5DLWJL+pyFeno3NlfLCi395DE
tZCF6danMvWlneJqB2cg5M+p5mccOoeVFqD1G+bpSUZkcVXt+D0GJwAO83OiYuBCbj3/34wIM9gJ
UcaG23I17l3V2aSOBrDldpzMKDpaivb6Ae1yO+WXsC9yIzjf0C4CY0ntHgkpEz6ZUux47KefbAM0
moX00682IsVd+L/awkIhvcm7z6xNgff45O4RK9POdW0Vu6CIs088s98n2YjDtqb/y6thr5WZiuk4
u6ttUJnzZSi190m6YmVnCybJjamPnFa5y0hQ3zn6f/L4tYX+L3x//DWzepUgz88vULnwVKs3flha
b10PJdo0lOCXjlQy/5PJkwOguFRl7X53PUVZTV5QvuY9bwtAOKjTpT4S++4QHLBBdR7lSvCB8B4J
WvUUA1A+laH2oxym+lnYzekSQlDlFhIrbxm1hKQlQyWkd1hTNdzKEpqy/K98xH0ShshOElW5JLt6
S9G3Ofc3dScWcLfgnETf47R1jvfc11Dyl7Z5ugu8+lTYvj4AALQjIJ83bQ681ZIDZsZ7Le3nH7x3
I5zX+/kSZab+5AzQXKUjSqIQor+fvLhNRG6pVg2kL5iR+jidQyz9mg2om+UQmQ/1ZEdfWnYKGhpU
q7YpYszPjf6pnvujsE77hXpa4MxDGvtVInZVvaaU8h6Ehzol6IRAp65P0lkNCAFUmensZGLUOdEB
v3XAogshlqevezYzFNdkLnIc+dbxYmzVYvdnEynR8Za2/k35T1vrQ/z2HmwM/Ra74ekEZskT42c7
zZ9yBSKT04bhVQ5RpHytqsLa30Mso8LrlGgInuQFyBn0AMBUqIWHTvndLq4wlJ3VtdkpWQzlJN47
xS/b53E2zK66nQvN26CwEr/IIWt52CVJHJ+cJbsjsdQ4WE3QPktjCrT0HA7Wz/ucyRw+O9A7wn8S
VBJWg5h0KaX2RYNo+BrpKRUC6DUIoi0mXaZVAnjseEyZavgKD9XAzDbpyPwtvelUQSYxbNQkKHu2
YnfLWi4Dclm4qKyMqNM6vfV3alyqxRBorPpg1Vqd+Vl1omELSsC5qC5cHr0Iul0WtoAtI/8BzTh9
k8b1tNPHDv5RVyeP9gyUbGnJoUgTY9V1VDik6Rixd4LhWK6kKbM0W39SmsS5Sqi3wm7vVi54++Ui
ShvV2K4dJ7+bX2bNrl9dtSJ9U+rbLtCnvbhO5q715GfK8JzOSUWlcT6I66TfJuNJaylYSbNK4erV
i3Tt/3eSm8LVm5Yy0X1STtWZV5WurSt09nHJBf8g7tMooEXHQU9zQPA13tRe07xC2rZnlHD+HDs0
fXScUUlcBzglvHahJWPj2CQN5Nk8CRFvVTYqqL0qfwKi6G5j9Bd3sCl6Hr54pSQuhiF7YR2lBl7i
aW0fpcMOW+qJd/4R9cdsp0DzXH3o+XDKtz4VDflQP7P+c9n7Z6k1Zp2GO6pKtq0VYAIO+/TDDe9u
ZJ/7ObSfygF5Ut9IdhK23CI+Z344rgUGn06xv7EbyA6/J6m1jplojkGdNsd/TpJRbopqlkyKzEpb
p2o/nkMHAL02IviK7Qmp/DJ5rRd+XpZnxsGg1PrcwzhmTcUQZBdWGoXNvzx1MNYNZsKPhR7x/NaL
fGfAsHrre+/zoATN37ybyd110xdvxOA3qRv9XEYGJrXgnzYxfkU/lg+mKtcdnJIXupMlcJi8Mtta
mjq+TX2C8UAFUFsfcyTybCxeskbtT9I79ygAmVHgX6W3UoNT4+nus3Ta+3IaW2S+6+SFtfhRhphV
kzyEMVpbznL5OWu0U+6zZZMp8uFhp+rryswPppsa30sfOfXFlNK1ul8JheXPhZuj4uI7xqlT8J+K
Idxufg8dptb522eoQ9bkX4c6ufrhqr+HxkP3flWlHxadPPvDVXO0f3U9KV8wsih2epsre7KSeFiD
WtXDqHwDS2WcsVU3MBocqm9Z0pHVDcP0AU2c7BUDoEcZf58eDgxDjf5fp9f2+D7dMK1Upstlfc+B
a5VACW+KTd6O7xojIhziGZ2LkWf6Kq1G900DJAtDosqAtdENZ+lo7RmS0li0eFBP/AJ7ab8PxJEP
1YTXD5Nlzu8r/PGROq6kmwA03O27mBnUv5mK/yoeZ6rpkdmirvfnaTIWwworWnMj/ZmmBGc5m3X9
/ewe+zBbuj0XTYH39xW42U3l5tND4gceNszaVlr3gwVE/gE2brlNbWPiCcVYsML8huTUqWBPWlN4
5H6aHj5Mi32EPdyBTDNQKXkP+yMaNR5KEztpSoeg1jGk/9hxey/nDXsTL4Vh9GG/KkE3Mv3d/bJy
CXe59v+gQwZHPOVGL1POme5XVyVlhVSG+klacsjVgvLq0imHZgp6bNJUc/NHR26q1VViCRc+IKn8
ikwU9di2gGmzksl9gdXK5MaoLS5Vr/vhXv8a7IIy1719HwPzFGnpMK5vk5W6anYwtZGOWaxoZTWB
fNJi4rMsLLKcf6XaCEl4yAJEgrniZPB16gbbay31bzN7v0hO5tDvINs2lOnwhRFzmJsFjM92LFSz
8ORUfaZfpPtmJnPrr8vooYNijXtYqodA/fOYjWeEaYZBZvMMUMuz135HVLoqJErKGLeHrqt84CDL
cBmok6s8FmO9ssahtXeSXTeVBrVPpA52knEHHT11K6eJVGDPS+L9PijtbQaFuVPg2Fv/SCslQabG
wKws9tgNz63++d4UaWtpZh4kRn3htNx7Rdr63rz5u0YhqPWcPAqSmkXuvkBtTd/cF9semjctc7qX
uK32pRk3b+ThY6yzva+3PtVevoip8mfQOaOfcEypiZC4YmYTGKATxpFV0tJbjmRcFH3o99JbJi7P
Pmdi6bD05gYmQGHodxfphU3yhnxij8AYnYsEvXyx2Ci841wrw7sol9Rgo65BbjPyk+2tuQhzvWt0
LT1Oab73lJEGCpS/9D34p5DXvUcKv3K1f72Q9MxkOdc3zywlhnmPq7Wp//BU93mybaAwtVtujAld
SWnCSTKfssZyDzFKNCtjaUqHmqod3P6f0rgPxQr1Dfiqc5LQOFuYJ9p4zFhk+A5Ae/2zPbj+WbdK
BBSNeAAeQRIMYvqIEfISQ/XzqFrl36i/rAXIoyq5cmZzh/jLAuBJZ8Q7nZ7NHRI9xpfcHv8qLc14
bNW2/LxMGqq2WdtjW75apbrx3bH4UYFVXmsIuy2LB2B5VIh3OnvST2rshitse9xFgYMhk92RM8XN
Bf/f5gWmDrtKRCkjmOXbohr6Qz9hON8gkNSFZfql7pX4HMd2uJG4TE9g0OROrCPe3CyKy+EYIENt
IbeG7S1iZk46v/mebT/0lX6K1ULjBLCfP2jJQYsS6O2Svv3d64Mqe0WrNznMS68MDqyxYekx0uKF
HMYxFKc3pR7g/3Nyi9AVNkvk45gBoPS2TxWcSDJlfCJZk1IC8TXg0ZBH2NfD+krm+GsXquOTW/mZ
v6pBp8eGHl8lZlWULoC/nHvyclvHN1QWMP+pMt6KZSYqnyxuj/d4zBPjClESI2DKkPe443ebCSzR
jCV70CHXlSVmsmsDdu9pPlaov6jzqlkgLf8yYrFRfPbxsbiP0EyUwPU01BD2zaprX6N98JsYKoTP
xC/8LdpG+o1demeHWnHwU43a6SgkUolTuZ+AxeThQ2wWf0e9Pv9g4wqBqqyKJyPolUsQK86aOtb8
wx+G45iUI/rLGLwYRurtasupv7n6uJIBSoiddRnV4ZlUi/qiBfFjJ3s2kDYgtKuqe9X86odIFUBm
b1jiK9lzGVMG80206NpFw2BQXhIn1L/rZuBty370jkiZ728+9qlB/Zyy07BGciL9lnVA+EWZmWyh
WZreP1adfe0zs/natAhIZGR3npHYSMC0WbDc9c4+xyp2MZ3n2TeF53JM0HgtZrQXKTm/5qNebxQr
sXfhsh81kRZ7qlRRba6uaTy0286yDnCYMYH2Rn++OsiIQFGE+wfd5l+bbqvvBl4znxPAoggS+/Me
AEzyPUdKKsGEm/RoytIazU8JczOG1H2+/zF6uUepsL4qEFDXQ1Y/qlaI//nodx7QDh7qt7ZpshfD
DKs/3AEYcVBsdZzgHiXUjFZwXS6QqbGyShRd3XuTnj0Fi9snkLVPbsdPNtWa/BZK9L4/uAMKcf6Y
U5Hk15kAnUBVZ3nRx6QAcaJRttK8d0gzQgEOjSxP2w1lEz7GLG5W2BZBPdYpFBgZUCZpuhUu2Uqi
Txe8KIwvmfn3TLbhzcu1rW0HVoMYUKQh9w59cpwSICfY6+ylaan9eyxfYv4yJGrUrU6ubzMszrft
oPhwr9AXcBPLfJUYsqK10rgvEqkHlwdpwS7RKsInre/DC1yw+mQDN0Myopy+W3Z8auMh3DcmVb63
ZkBBQlfxfQXEMO0Rso3QgNXV9WzE/bewTp7SLDD/GeNorYee/9MfO/S5mtD8VCnluPVtmCaGY0br
vGnx6DTLh1i1cRmjNJGsAt9ozp4T9q9Ba1qHoVKLtV+CjF4PwEcH0PbPaWb3r1A/jY1nOTD+Qtgo
Q4hOyHIpHy/x1eDDhbyTByI7cLe40QxrIQZIx41pMNnONnBGfk28w6+ZN65RUue11WSQLiG+++cP
7Vr1KSvYyV5icrBKD6+shBtEL/1Hb7Z4nHZWeQqt+XtgJdOT05c8cN1B24Wkna4y4jasZscSp7mL
1SzjBjvS97Gp4lmsB/3Z6VGpXu5HuQ3l9oxN1jGJnjgk8P9za4I5685Zkz/KiHvcjTV1FYPsvd3Z
0jGYVnKe9IMXaSfy6sG10hf7yWxRpx1B4FGO1bvhSJ7/JDE5JEvvvw0ZqBVeQKSzVIwp16vFw43D
oiEfdQGnt+q78C8IOtqujPRyUcQJPiM77+FvRII2Rqz5Uz8t7KDcfguXFtXI9MWFliR9Ml4ff5po
Yb824aB8cqb0MUfX/1G6nAapg1xHnVmGqyb1dnvIPQD/XEvVoLHaiyif9E52Fh7czCk3ykgm8l1Q
ZJ7qEOWkHMMGBS+WTaz2waaCanxF8d+4HRBMwd9OcbMHfCimo3T4jWpc7+PcENCsUamn29j73KAt
9m1unaWAqpYqaSDH58GzVGSdMd7XWQsqQ3UcHrkmsGvCY9Tq17nvi5U0Z7SZD1GHzYA00xGwpjLm
OSCNTHuwbLA1ftUWK1nfs8xFniYlDzjZEJ9vzfsC/0P7w/7gdgo3CNdg3TpjGZVc5GCm0dSs3LGi
ENS2CJ5JW7pm3khUOnvX3FaxY+49LYUsh+vfWey2wgjGEmifeCXNwYEHiGi5c+xP7jzOGHsn5kOc
l4GxKnBUAajE+0aCQUxPzW7+AWhFcb2ZZo+kdtgDlb6DiZvzHC5SwtNSS5CzWGoJ0r6dSrQWfWBw
++N+maNTqtu8M5XjMARhwfMux+TzrUY5ZO/4pbdNlyYuzOnGn7LqOPEjfsMgPl/qVPNVmn2DFx1o
qZfSRRTCa/AEXSZNdl09BlH4XQZBs0cLffmAEFG4YwHSeecBB8J2pMqveoNy7DpqagsmQPdFkHXK
YJWbPvK7Qw/rDNUX/7157y1qvTsADg3WeVLxMpi82j7Iwi7SL2iq6I+3Zd0waMGaH2C9lzXc+0LO
6Q9W3XUrmdAvy0HpYGpsJQY/p2X1Bw4gWJdzUsMiqwpkalh9H3wSuStHVowuT6XHaTrnds2DrG+o
xuJejlNgt7GyKdmLmbmpDy75EfAIhtiZU//Af6EIto6aBkzto8PCX8YgdPkI+Rb5PzUU2qfbhxgF
2XLHwtJcvqZ84fus2xfFGJSH5U9+l+Xt75BRQW9bFGBD8/aXy3RKY9HBs5rn1OyOMUQkXtiLDJ4o
4onkHX4MqwTK26WAZ/8ffbxlIJt7ZRMp7rA2wLIcIqczyKaWCqJgURpAQTOU8tgsuMh7U/658s4x
b72Ck7w3pfc+2OYV+sX13e+dVzlodDQ73zKx1zCsZFcOs/8XOEbWc8CIIJLDH6pts3lAmTY66pUb
H4tuqB700MWrIDa9T0HrAJXGve6o+ylYaBvmuJm48VWgo76tJjzh0uQqaFHplea8YC8Ch977YCtQ
nyFOYvvdWI8IttfPbBO/y66nJVMBaCPIjvZQVt8G+0Qdj3cbCqDDRkIl3psrw47to66k7lbrnL7Y
w+/CBDej7M2mfWKOD3dwqvGtkRtL7oJ02CBZG7/fBjjbuBSe8vnDbayAAmZTxjStDrahWsA9B32f
hRurcpJDMoGF5zWuI6vF+gXpsHngoVnpoGlQS0IQr7vUpn4F7dDuIhD6t92MGqVAAcmlQzH1K/9w
a8d5Fz2AFSehC8ryFpOJcJPO0fQjWwQsRMpiMrovUweoVFpAqpvnLKi+5GNcnW9yGE4NEm1p+oqW
HhGHUwHsIDQDuLt1N5lSqitBDPwJHgB5hB6P2xnz1h1QIY3q6tCGBahwv8aWJNMVddujYPeSNL76
4kDY1dwe75ClNZQ8wRRDR8mvAC6ybsO6W/GkVo4BRZCXKDedh+V6OVb0G2cYcPTY4J0AwC1x1Cc2
B3DGtP6THKDA7vpY9Z6k5ZiWvlJiVz1JM5hUa2u2lb+VZl5X3Wk2Zn7DXjh80pum2cVDY550TOEe
Wf8G6zEk0w00LAHjTEwOABb1bRGpw1rTtPixiW3cVlhmDsc+6r5I7D44UJTuIat5m1s27/QheQRW
PZ5uk8gPaJcE2ztBFfXjaJ4KSwlurDGBB0nzBjJq7I+9zX83u6VZopm8zg2nvCS+lsxv1DO1LQp3
vOsVn9wKujuLmpHv7MpFc+l+6BaBpgSMzQ5AWc+7i15FrSnxy6k5qPbVevgQkbDMkmuqE3wdbaC4
AZkZPFCW+NcotL0rFlU6DiYVdXHpkWCqKAyqE6QwIIWdjXJuVX5ODG+jcNgAIVKA3fTe9X4d6TVV
lq68kdEhY+yHS8lp5bfVKnTIEEtT5k5lc7AVo9mbkwejzmmQhaSOYJttdmws29/Ui9GSP4DfGVBY
OOlmy55tGqPbs/72AE/bbs0/VPcgv3w5qIk38LMox93tPRZ5QcfjleptFOZf3mX02QZZ19LUsjWY
3PzQLSAlOUCqJPkzP6d5174klVMgtq/Dz14GJFTsLlXXu5RE5/BYTZbyYrVtsuSCsp+Boj/N4Pve
rCKP9wXC2WnuuXslaptrzD54O6W2CQ7DshfllP6H3XSn23Naj/FEzsLm7wYnFti7XCNs1cWn3mge
u5Qf15Co1B5sBdt7B1WsKomxKlaxDk69Dnyo5UIhq1P3lFGQ2HeDrz7DxWvxbvWy74MRXWUH1aJh
UZjkRSwdXBiYwW/q0DZbJQn425xsurq6NxwCc64vM/Ccuat3U5sZrIlBiy8Fk9uZNKXjj1jp2wra
V/wD3Tsqpfb5l1+uIPMoKtO+X/Z+7aHkY30zPdw75TKaOqgnp/mnDDA2zhbH425xN557r91n04AO
7n/F+2BkPSlDCj9b5AazT04cRFezT/vjTIaaJSElFonJoWA/eJWzNPYMLAeHb9L6MO4+RBmopiZq
hTbKH5e5X8sKPGdj631B3o4Pvnf80dSm1lh3jlJu7h1qMERrM8nMDVUJHyRAhI46PkJoXuioFuie
eZIOOaiwFBDCl6MErGWgnPGEKc4VctnuZK/hafdrS2UDXWA/DlBgUdG5a3TI2f9bqEO6kf17l/64
z7tPIfUdrcsQTKpdlWuz4F4PGjRDFzpfQPL32XSOsZKg+TpD1YssMz9rsf9DWhIPdVXd6cj7bSQm
hzlL2zUwkQkgK9eRWAZvUC6NJV+wclxACtPOsnz3BIugPvslpWB9ZjPAts58EJ8rDzAPliLJsLOk
h7R9dJl1FcDqubOwO6niB7MkBXDDF+fqP+PYsZpdWPaprg8woP32hkzWfGc+ZDomLNJLKbd40D3l
NjNeOPxRf9Uiy9j0ZeFu8OvqH2zb6h9QuxwezNj85bhWfpCQucRvncuwtNyWthbcRt4n9ixwDupY
fpUraD7/rWSST+lvY2dzsrlfQ+nesE5hRb/sodaTUiIQYmBZnFvoheSNf9AmDQxIoTakXw13bRjP
spDsC3PNBjh5lS2Dz00pLb9X3JWpBSb/i0e9rdYBmsOQXYbRu51Sx0djS6K30ybW9a3q1Sga30dR
ZmzOLD2ng9EbxfoOQ+9yvd/l2CqsjQyQw71DzzFXCsvq2obda6/Bt5Oy4tA60GwmOKtqqN+k0+5x
rTK8ixJpt7gUA6WQ+DsuobYeUXgtgbTdS7U9614Hqg5uYJn/cI9PPdUUoDrj9h6TIToaNYB7lG/3
uOeSIMK5RON3teBj0ZnXkU3Lk2+2h09yVrvjtdQc82zOirH103FGpTR9M8ki/r0MXcA+H4YOfmKd
gWi+D0WD7K0sDFuGBiCrd/wyyv4Nw7240oqLYM0EkQafZj86lX3975CpsEQQ5JnELdW7jbqHfk+8
g9SWkEycU+xUwrovt9MIHHU1KWN1HFX14W6BAtB4vIqCmMS8xK6OnTVxN1Mnvs2SUzlUVVQfR394
qBdNsXs8wR7jDA9wo9R6qq78og8fZnZdm9You49Bd+lxFTM8RH369200QjuLi/IizOW38LkZ4QEh
egijFEFRmbAcWi/9qrEMPtzjsZ/1u3LJCoxdUFzntgTdpBTrqSG9/n9IO6/ltpGtbV8RqpDDKTMp
kqKiwwnK4/Eg54yr/x40ZEOjPd41/79PUOju1Q2KIgn0Wm/YiD4nCifTT6AK68ooAlQBCJw7k5Ib
ziobEDWVmeSpaRztxbg4dB5Id4g36KnDy70sA2+z9cI5pJ0L9cZbR4EXXcg3R5e89Xsqv7/aoY3J
GASJbFU7eXQRA73hw1AQp22TTnJaMLTmieUUNKRRWm/U6VuEdMHRjeEEzUva4lSqpr/zb5dF96FM
svLUUoi+G+QxuWsGP7kTTXEm+nhEQQ/qn2LwziB/rtXgnlkg6DXixOmygmorNvLuekqxy0SwfOyU
O7mtmmsWw3Hskjj6owJealdu8KeROiYaPnL+QJ2kOpLITfemmqnPgRX/KSLM1L3L1ST6jBQ5SjQ8
A4mcRz/pVSGLg08Xe2r17015aoLCeBt1NPstWDPL9ohSqMp3OLDVcKuAOj/ZiGHt8zTvgOfFVNkC
zfsqd9bFMEhJB7W0NtEb+15HSo9/eJo/FxiWb4cmds7qUAAUmNertDJftzJAVTuedlMhGrpCalf0
saEq0HGYdpr9FCMVtGdd3imwKkEJiL5UxIg5pI+wSp/FVg3Kk+vYqXxpQ01SXYEIlHbqtPsJ3IK9
0XQ2oH+4jdzAfgvUkBs9yOrwnYf8txARJ2eVegnaBBig0eor0ScOIbvVpG7TO9EKRhX6aRWb27qG
VteDqTo3QcDzRlYfsYPB1OVXl4gQgxiTJJTFHxOeeXaJY+ibsSfPsNYblD91pX/IJ9ZNXzWTYQKY
SqjjX6EfqevA8opbUeOl2ckIH7hNhW1JEFhrLw7sL6RQEdnz3B+g9TZeNJzTUSpx6oaY6mdlf2na
AgVDwWIN0eoK8rSavnQ/+0SgOEid+irmLozXee68TIIQyrSyPOZ82mCXrQUOQyA2uqh4w3+KPnYM
Fk/v8OdAcyyQjqUpzuT3Ue+QHUsY2nfLOuIaQTSR1Dt13DqiaNaD5z+yYzHZbfAHN7K/jkgC3onW
8neAsh1PcJq/B/o5UNXstSra4Kan1acktLNPEfnyowdgZgPCNvtkVr0EEjeFID01G6MKVyr7kqto
Wv6Fh6OQ8polrdBkRQrPCIy90GpSBgPLiNJ85Ddcunfz5C/R3cJm3PW/opAleheldOG7KLMmCxw4
zvCZG+AFTPLbWo3m/SX0n+a11F7e5ZqLWVGhJc8ZxqwbPfHDfe0UCQpkrn8KkswGUM5o2xTWg4MJ
oxj0pq7Yrl9tixxOXvyogVnssyjt9g1M8OdKH71VOymXD72P5kyofIasnm/HsfDPmeIFQMZq3iiz
H75BW5hDkQpAMTRK9Yeh1YGBNpXLg9r0MGaHbbwqproXbE3A1D7iuUOMT6udohSc/eWhs4izavuQ
Rb6/7Tvn7Wz8dbaMLmdIFHUPPaj27b+IywZQENyG926i5+onuw/XVIUGsIxgv2UkINYhekZfWiV5
nHHyTrEfrb79K+2qr6WEGZvquza4Cs++5ei945sNjRRrgADdQtbJJLlY6clk01tjzrEqW2C89435
NBeZW3bIht7UqIZG1blxmuoFeaEdT/YYd3Z6s2/1Ut3ZwOO+TKClunC85wBt6otZuhS7pn45Hrmr
D0UBnDbrjhq2KQ/jkJ7VrDBeNTuQzyiyTwLDGnn3IesO6JqCDp6a2HzCepEybS+Ch6KjSmvi2CJG
vbx/TFu/uYlBXd01/ONfqzbDrsr2n5GVls96O9gZTwLtsW8tbkSpI59NTR8bSuSgfceylIp6k0Fe
Gv70or7cerJ8yMpU3dUabL7YwVILApiyCiIreTYVo38s0mQlBoU0DjSYb4ZHhlV0KQ64w3L02IHr
3q7Nq+JzwtbNLtvhKzhcHiVc1bgjN1LdV/3Adst2vZ0G0WQ7E3D6mCQzydSnRUtE0HNyo6Xk/ktf
hMTYLkUI8fReMEQEGm3SraM21rDPMUDKTQcxz41dnmEorBrs0rEx3WRdZTxrpiLddUacY0phGM9p
WY035AIPoiUFdGE+nQXN+CR65CR8lnECBTTOkKoglmKZfnYSaykt6cgS38CdaIor1X4A3QkrOyqK
YWrK24Fy8WLSFOHpmbDhAjuXJfG4g+5WnoFR2QinTepAeOdO9eJpvLdLVMKnThEUSnBkdvLUFp1q
E77FzHOWyDQ2SfSM0R5vvegubtW2puLN6ejxeQQUqBzVNg8PupTSFCPi4KSG7hwUXbUOMsV5v2jG
OzgeGIyLUyjJMPuUFh/tMCmPH4ffRc6nXWBJ3B6HYTW33U4b79BqGKS1OHUL7C8w8Tqmxi/bS61L
M3+TxSVgt0pFUW8qeVFlzf3ZSFO0xWGOFKdlC3FNr8ZwJYg2og/NU7vaIV3wkxDhweKeMWiNFI4H
e4i+CqTYB+EQtZIHMThjy5bRXwML/GwZ9BN7OMRh+nW2khQLizhHUjF1SWo+B6hZgQ/isV9u0P8k
fyZFW7uK+e5UzUXrFf1erj3jHqZaSvIpv84RqhV5Oyzfh/USYiuFfr8shdrBGpjFxhgTtvS9Gpx0
cgwrZ5DaZ6uz4luYjUcxKLqaPtvajlk9FOHYPjueiUyMA7FKDA5d0m8z9At2TS9311aFeKabk3yY
E/lbUerGPzW7An0lmTCdGfHZ6wNoP2uvT6174bLSOsBiunxwEApDH0zYr3hOjs6i6qiHOUQMrJyk
6U5vNhCD5SvHFjNjoToWRiTUMy+y16KpmVG/CTOvnEflNr65Zqc8ZIGkPuj5xL2xfuo7uz4iD5MU
o976yBxN+s6i2Y71gBEfxNAOsj8620hB++lWSEHPoQP0F4D4w2fbR6pTUwyXXCRhH1acwvBAGj4v
wtK5ggiQFpp831BZTzqpuOiGZjxh6xVBsqZ6JGgWbYMwJiox86A3sSlMu3vNm7y8iAARDwYQAO1E
y0DCQL86Y3dBktl4El3KQOLEUfxVlbG0P+Es+G4PN6iEOpp6qOi4ExJDHHRZsY5NFPxYusQZekeb
Sm/ci2iJNXKutDasiX0xrSYGcN+zjkYl/Sm6RNiv6dpAYn6+MKLImZKXM4wZ4ScT/UI4oQKQPOOQ
FzSznEfFeVA/vUMmLwDnaII6I2iDgr5bJvt57oJ1jhIKsDkfDCBSZH2j9Bwoo3KX5Q6KJPGUFlac
u2jqEuPCC9TJRnDwos2gbBc7o/yDW4ZyNxfLXLt8/tBsNEik82jRpc+NZkXHuNfUh6qBhZNPYHhR
W8wLPl2VFfytWcLbEaVGESxGRamxnILFXNQI3UdZwQIZcBsACwpqqDYEwdcphQLzItQvctUrw2Yw
65SnY69gB8+IhNj9sJrnJJW7RgVXEWmXeU7Ck9XaT0pEgI95kD2JDFLUNhB04ijczbzqpS1yUSJG
nKXmUK7ZdQVvgaItJorhJXMFjRrAm0gdmTHZ2dymGDTLDwk5Ilc27LOr2OkJsahdJASLOkd+nCi9
B03IEukG7mrzPLTYjgD3TiK1I5I5cVVr8CPz5rCke4qwf+vzjZBtp2JOn67Gbw6SPrWrX+ONYtJe
1vjYnnmOCSJipu9ou9zgASmv7Ve3wWdWHHyy4VdJsq3roPr3la6UJ6zp0EFNgL9dB4xWtrZCfloE
iz5xVmUkV4N+v0wXZ/O6FeItbBXLXVSQVASxwsXEpVEne22d5j7pZB2PySrPNYzqDC8n4Rdnd/y3
sjtxthwK1/Hfhj/ElGbJiNcq0amdRBanFZYQLcAkTa3is7g3LTeopraeZNnLju+ckcXoNKCRxDm+
gawn4PavAZzhfs5YlpIARYgZ4r6I7kB2KFWAg12muLiSRwG+y038MhZoRJFHu1oNWvxjLKuPWNGt
ldZXMIZLj1OG9llEFhX5wWhMHkQLJM6npM/LeR6GIuiEIyNzJwYxgOpQ1kGzUazaGL61sVtEBcSo
VCBg70y4KNFUddShIx3F3Uy8oKBA8Eot2R1OTfFyyxHVZd8e0XwK0jN8J5BGyLGFd42rQTVI3PFn
h131f7jQCnfvghRXDu/m9hzpuNxx11ihheS45GJtqal+LupeP+sxxnzwzr9kU0uRFP4s8NM/T0WM
Cv4e3eg62IrmMnmo8qBdLZ1OWKwBG3h3omseXaIlGaif5Ch8/PfWQJLSwX7t7Ftyi3ic285nS59e
lfCZrBij6DDF6+23gWKy3t5R4MPBaFqpQ2jkOEjVgFp/g7CUYRx9kvwDshARvgyG2c2HX6Ouwm2M
GhUDoQgECXoHI/3MD4RW7RALrWC1ZP6Tbf6hZqHyIOC5udKkOxnm5kaMiYOTf5enANFAG/YtQMR7
Svti+mR7683EEV8tf3WNF8tGbxJ84aa3A5QtosfLWyEC7ekvE2ejaq9U9A1OS/88Y2krnbcpvSR6
7ExbGQ7O0BbHOh0fWmnivmnVNR7K5HOc4AwYKJ5ztiyvPtt1Vm6zES/LHCGyFm2ctYbv+CW3DeOx
HcwnBJytL5RaPTAxo33s4Pt/wqBqVY2j9SXJmn6fUCkBd0CYCa7OSTG7aRJFOcGRxqR+Cgsy5Wtm
oD6J3i2JTBWlIxEPlTNEaTHqLtjnbAYDDHjrBncztebdadM7/jqXEMsRnTO0Dnxz+D507uUBqN9G
nSwdNB0jwQ4ewk6biuaSXP9ly6p7r/il9UiO6GI7TflQWaidXjw7cGHSJOZ5TEA3APeCIT/04VMV
pPZKc+RsizHimJ5kvIV3MzqhdQeqX732SVZXA8TKT6EVhSgV4WZLwlX7pNWFvWtAqpK6pul1GkIP
Cu5AXWhQUuPmvh1CbeLdk9L1GxvrqRAhMOzlbIzcvVWU834NDukFBL1WVVGWXE73tm2jhfeOFXuH
kNLNSfFt4w78XrR3wYpPLJNyg/im9YJAR43isinBDUuNDcRog2eRluxpoZD9QsIFRzBxKg5hpRbs
kdxgs/SJOYHlaKuisJu1i1H0rYsU9dryS7SgZcVZJ7v+psNDkr39TxhtqxTqtUOkWnQtkFlpCIN3
sWgD68cC/MFB6M95GY7Jjj+cF8G6IZiU7fQGl50BqXlc61tT3ojxoHCBRPrWXx807kQzHsNkmwwl
DqwLHESAPxwU9dZgvJutaIrDHDM0fjZBA7/VZqW3JHIAk/imunYn+EZcAJYO2UMLgVJxSD/FqSvf
lg4D6MpQtBIZDeRQheIpAg/j2nflYZ6nT5qoAB3Nneq3DZwamqIv0ePiLrKkJ9ElpsI3/JroIbJE
iQdq3Lel1w4Z+t04NNVONBsVnHXRosAgmnalvGiJG9xEy3lEcFl/jdyiuSVK81QajfQaVr1zEush
loJamY+oftQ9jFUrf59OssybT/r/6PkvMV5X1Z8Dcmij7aHBHxavJgDArQZd/hwbXXq2owB8GGCs
l8r2v3cOMv4a3GWUwIs/mpSy+Ki5HrZGLXRCb1QPbtWgAJxJ1VpHm/lbzifbL6LmR1C6X0s7ba5a
A+p6sNmEh7aafHNhfGPupBn3kskuSg4sQCMYAX6TPfPFBT+PwlWLHoU9me+UcfptCPRND5Tsk0l1
8WCAkd0XqD180Y2bWLCUZGurj2l3RK27fwl9yG3ThXJZ81A/KRs8EIv+wXSAZDtIRD1HXn+sTc08
+L5ZrYa4ZytbNaB9Gknfin+n+EyI/y6b7l0aNvpl/l9PnxUj6BqE8nr1sPSVfuRt9YEqvCyWK38t
b4wjhR43OM7+Q0utMexgedmjsheVw6V/LjNOo91AolWMeo1+D+wq21SenF+G2O+3YZzpz1aGnZ+s
ht6fCRlGfpD0v8Yqvnm503zRVF1epzw8PVCrAPnMV+TUmHq0jjRFvdcNN1n5rW4/e6B7tqEzJuek
SIIzYjfS1pYt9TmzC6rARWH98DbIGCUvqJ1cnSlp6E7ZxLFGtyogubi165gcomsnyjyCojptS0Q2
kxjKFLRMJE/UwqUs9P0k67OU5gbHjI51L8Naouy21NryMaeUtcSJkSVGNDGA/VnMWyp8YiSlILcC
8PCl62tvLcAXAoaR8BXaDHbq8x01YNelWY5fOMpzJxEj0BxFJIPRNKOb6OqDqroMJOVwzLMwU+F+
c+D24+EHkUd7SVeKa5rJafunFErqVy1R2y2Wij5srEG7iUMOb/OiJum+REJu7hL9sTWcCp7wzsGk
pi26TB0jZbwnkC6bpouBwonqvViSnzLMQ+Cheb1r2avc7rZkxOsLAlfJbZh0/bvBrXYtudZ1E/TJ
bRn4e6wYlDXAgS7mLGsRprQpdEUpGs+ILE6cEfPPbFLP6SQ9R1ROavep37ZHreqLW2STdI9RHnyU
LeWp7UrnVDqVmq6swoHUUPWWu5Vr+eepCJh7RcAcW5MMpUAathvRKYIK1y2NNVbg2TFG9qX2I+B7
SmG459x+glflXHBHcy69h1fuRpvEVQeFm35q5bhFlH3RHUat+CwCHYrTQDCmBfrSvvPKOsB4b4qL
hy7YGhpvkogZIVJy/0r7k2Sk8q6E0jo9pHRf0jZAGzRMvvfIYaEJniY3Cz0I/Eg98RgzRwjwnGkp
7yNyMMErDRi8b7XB58DSm0lR27lg3du92g6aDHRzo0c7XEHfzq6d4LPbGsOmcPrmKEYNVTvy2Sqe
mriRb40efs6yIPiMS5eyzy0b6raBEeObIKMS3HVW5d2XhRqd7bK3Nzo74W8tWDshyCRBdWNX7MPz
5PdjK7zxyiYArhtaV/5ofJVC71PTgYVVJgaybEQfxmqptq7/bR7eHN1O4VkcB0Aru/q6d197gU3+
rs+upppkV9Evzv4+6CWODyxoCpkGkM2xj/U0a5naVYly6Pv4i5WiRNMpOXLuoCOcCRPhayG2VtMZ
oqkw8yrf2XwYEMFBlzV7rJCi1TJjWWX6+85R8mPp4QPRKiSZ48exrPMjCmrZJi/d7IhzIyKZUTTe
+1Wq7scqD+/yoa3vIjlv9j2+4GgeIoIr85e8yCEW2/bQdt/yML1gQzLJyb4WmGt4q9KI7vNU9r5h
TKeuTBDwz60OvwVsMnvictWqrnI/HypZvcdXbthIaqNvPgxEIMChVJBPCSRHMyGXTdF2uNU68Htz
n9e62tlGhRWFU/XekkdsCiKpDA7iSqJz0JLv4HHyNeBpIGhSEDVXl9dVp/p17opdG0GOKs43YeCN
2LHQRBB+QCwaHTgej+MBeNgEplFU9ztQcJXf+qnVZezmlhseVhLftQgsk+gSE5YbYajHn2wvKvYi
be9r6l+BgtmwaJEA5LlYnC6Hj+JaYVq9Ve6s+rGcZIAMrCezODC/JaZM1kMyugfdto39gLrq0Rwb
6woAtmIPaJefu1p6wB3KxSrb1Y8eYKi06trvEtrZ0waoeFYdDBBbTKjOstOqJ+ylYJjEbv1Akh01
BkQTv3hJiiygrv0V4gKA+PZjXPbqpRP2E22grD40q8JP946sJmQUEFQPSc8f6uknXfwuh5MpZaXo
L+IHfvlZX2LFwBKL2tOLaC39IjYK8JG0A7yXLoqLfBLqAPjSJP64tgpoVKJpKWNwrizvh2gNsMCe
YK8/1qE8XFo3bZ80Iwn3FvRwlOUZbM20fwy9ecyGC7UegXzupVgz7zEG2yz6uG5lwJgcTGdNjV+O
4YVMjn5lJJ+Kvqwfx/Z1MPz6Go0eYsO6GxxI2+JT7KuA5qa+ZcDkgWdVFuVbXz2dFakWHHwcv1dL
MDcL2436s4AuNZlh4uLjfZ0RTx/gTALYVI0e/znfnfFPg8BPkYDY8jyZrkTVXTIjCTbmGK2GLLVQ
4n3OASY8GdT1nr0OG1NnDOU7EdrrkQNZQVImuo+6xSrW2Ip/iim3r5Y5tifREgcAMMrBNfmrln/x
IO2cavBQEDC4exzfARLBocKiVQBzzahFP0I5a6VNMEWBZVSs3gqPZCgtjDi68VToiby2EYPcowuB
d5CFonCilP0NRnf9KOd6cKotj29VJNN0Bv0+d1HDCGoAVwswTnxTR/E9Nuqq2FHd6LAv+fW9nh9f
xZCYaShIVkcGVMGpaCyPzV+9UXdnUSFGtrbchraezQXmMsqiO+i1kLKmenOZIX6luHdZbEYPlIA2
DW5ooIKs2N0kqQ9k6Rc2dkHJxsNjn6nGRUBmSSz5+1bojPEoqymQueLJkkSQfZOz6tbjk+iQYjla
N3aFzO007gYBzzdTuIq6E5T3qRA93Zas6VDUdorG5TaOeuOiDxn3LNElDjEezlO/aHj4OM/QgdLh
25R7w91yGNsc4lio9XdZ2WQF1EHaZlci2p1nJxEnupYZ4szpZSpJ+bWrtOCusfwCHCji4w2IKSxh
Uv+znyZfAYd1vM9v9CndKh97Pem++PbEwHO96LEvh2HXKj7i8nUT3NVOe6gLXV9hco7Y0HSIIc1c
pdZyd2WQK/OA6BOjmWEP1wbnoQBP5o3oqh2DzBiV+H2mO+kBahAWW0ZVPmSujtNxR916Lp2IdlTm
P9th2aUn0bYKEFTrZIoX7WpiKRV6i9NI5RW7QaaEohut+6Wyc8Q80WMM4/bkUEH42leTLgly2bc+
GxV87DBUlvQxuP19Uj8pP06TEnJ6X8dpkvMPk3rUubFKCGuUScmAl6qkXsnUrYsc/xNZTUnbh2wi
EWHwLhCX2BNOh8aJAWybXnRY+jzgiQgWld1G9IkFDChax9aA1V1M+0nRp6STxahFEaHCQgEiLQdx
Jg5eomHZaBbcMRT5bUDpPRk4w88mOcVJebibnF6YKwZEyLJKbiTxqtYBdi59H1bJqw5hkbyG5/9z
4WURy+tsaLTnpUess7zWopSiY6CNtw/9Ucfmf8zD8FhM/1HdnEApcF3m/7ft9u+bGpuZriubq4ht
1B+D1sUPgBLbUw4BdjX7ZbommnWB3lpwJ/HbNNW+vGlSv579Lzs4hbtOr6zNYqAJleuEUGJ+ZTMt
P7KXOWpZbBxniIQAT8wIjGKTIUU0IyvKriRV4CiHUQnQmEocZRUqtYqVbD1cl8PYacM1s7aFkwVX
ESrGRPcIVmgfFpBFlvgA60MVwDnLBU4CPmaavwyLFXp/J5ZbusVZppTvl/twsWVJUPk3vhPhaa4s
hbZjHaVAe/xQnRK1KMCgj7EImKpbS3mqiXRp6/lOsl7KWcvoXK1a2qI0FkzRWuNKW3EhMWqVa0S/
3Ztkun+Ycaec5lrbJD9KCfy76BIlPXGYuuoKA6a5QoeAxtxcAN3QhiVLuSVe6t2PkuW/6B27Uyr9
1l2gZMFLVGLsrMGQOYpRKxyLrReW+k40cWan9tMrxkYEKyOFbMkqs7UY7SCQAcHi4+pNS7VlJ4G7
MCgn0yr8WHnKja9iaF4MRxVn5J4jWoVePYpXFSug2UlQfur5dEHiKfw/da2TQWtMTTxsg/N8ij0T
pygXnsUZWpTBGTGQmjw2gMnM+EPxNfMEnfjtoE1NY2yKFAAunbIjmUi92vlbuyu98j9PReg8Syzw
j+3lSiJGAZqyRva5JQnx8yVY4sKibVmDjBVkuaol1ztHFTVrR+/989IMpr58HCLIgGp/a5XO3n8I
oegYV6s5Riwh5li9FuLGgjXItLSYIgY/LC36lgERR6boj0iztd3Sn5OsreZXmSftuLOVBA1RkDSn
ECPEkzj7p+b/0vdh5f++lP+7lxFXvhutlhf435eJko77yT/F/PbVOGoO63QYbmLWfLl5GWgAf7v0
+7F/Wu7jS30f/25MTJ2v8K5XXH2+Ii5iMHtFx3+8pn9/3fdXF8uIqVXU4GewrL2MLH0fX9X7lf6H
6ycxoIeP/6B37XeXfXcqXtY/t0t15PfKcgu2pEF6yqeDOOsMI/nY/KcQETfhyU7i7Ldzl5Al7sPV
frvUv5j7YanllS5X++3yH+b+i6v9vy/12/elkaQHBLoRPZ/e+t++2mXgf361Em4qEUyFv/2n/8Uf
/dv3FHc/MmD/9j1Zllnek3+a+//5fvx2qd9e7R/fj+VVLu/8b5f+bcgy8OHtXpYy0SQLIg9Rlwbb
O3s18ABxHdg9r42uwnsUXLkC7JBOf0LHtA10+yhLnK0IFH3LaNeGcB2m0WVgXgEkKyOaAeJ2Wgax
5rcFRdNDqWeN1B5uEmOOY0VVbgqtly+Sl/bnKPMk5Ces4YtNgbtOA/XFwWAY+Jys3bfTwQlM+xzG
Fsr3tMQhgMbOpj8Z9qkXTqpKlWTOM7wBMFukN8ocLQLFFHIQVCWz/LQsYEqdd4+U84d1HW1EQS3G
B9TtHe+1qhRzlXZjc1d0mv9KCbignpya57Av/FfTHr6j1oyn0NRKQ8QcoB3eixY4eJQDIRSJVq6N
ZKDQDBKrevGT3DnBKkOfYJeXxWQ0hRjW6d2p7nqluu6BD731tsupiCX9USEmFyIYE4ArBBxuoNOM
ysTGNl1p73727EZ7TTBzpi6UP7Vy5H3qa9s++X6ID3ypIWTksr3W+qTeidEq79t1EEnKSYyqffDS
U1C7ma4J/oKipjKVQzMkXlcJ6PZvENu+I76kPPpyiIq6H0xeCGn3zUr7NaWJYJ+UeGC5Wt/dWyjY
3mPCcAraVL9z5FwNtpqEtABSM9clIkcY5lop30SPSYCJnHPr3NU1hqjTOnk76QiT6j5g6eFcSEy+
usAgcJWSu2cXYSApC54tMg+Y3J1JNlg7HdPze9PRwe7V6OiNJGQsPzNfMDpTEWvsEgwCaZom6Whk
ogAVTc3Ct909sHN1g7S88WIa2GRi0OK+jaIruR+9KIUURLDWo6ObgMLdiuB0gCuDhJLxNjqMxS5s
+2AngtMR+oCCQstOBOu6rm1RMVDnUWCozVZxWg9JWJmVZSXexkiA7EVwlhXORh9kZS/+BI2kFn5K
kncQK8eqU23YNlcHMVfXwGZnraEdTAnXLqPwyfjzcvFtatNzTj7hk2Pi2mKzzRzTSHpyJAOLxKnb
1/NLqPfUbMcx/KR1VXAwoiLeilFfxmpeQn3+KEaR0PsTto171bO8uzi1e5XbPtxYtuJiAC6Vzw1k
zYOtdQjvTM1Mq5Vrmtg3qR/KZ60pq+d2SNZemEWPYSm96kDN7qCpjXs9i7J1W+s9TnQdtuRt2p0i
x0yxHEu+owUYPdbAxPfJBJ6P1RzWXjB04Q6MPzorjqF8aiO0kUY1Kc+i2Wg6tg3cEvXJQ8cdsucM
LmluAfDOKyl7NuQIxVBEEE5xBDOL74u7K7LeBPqnXYe41NEiUvUHDYzvsTURVxJ9PhTjB0v22l3h
odEt+sQhS9CjqiOHhNA0V8SpBVl5iuMxQrYsJQbU0rmv2lY+B07oTw5nj6PWIW2hwLqIrJPaBHyc
XbMnuexkHC3U/u/EQQwFfHXnZi0n34YKWzIfYFIwYp5ohIX/BESb3Z9VNa9xn1H6wPTya9ZkX5BZ
QqhnMHDgqbJ6W3v6sKOyUMCaOS0HNaoq/Kunztqt3kZc8tSrqEE/rtey8uq1fzZ+G11wdf/Sl06y
N0uU08bA1UGAqhsfGR7FVs8YPo630Og3QWPGh3ioyr2V1d4DW39jrUq5fsti+ZrCO9344LL3bWye
Sr2CZgtOYq1F1Xho7OwU67X1YJaG9SBFwJnVkbyv6FMyHSlMfnJWlT+ED4pi7UN0Bi8Jb3Dfxe4R
DUkJOTwOpe4Ve8nykhUqCtLFMsx214dNtQJ1VdfobcNRmU+zjCpz3rbRtkYZ5NxMbBdxJmJscsTb
Wk6jdeuTT1IAPaSdfp+kgXwTPaQYJkMT3wINR4AYKB25R4QQdWnRp1tKRHkuxbxiqoj3+vcUW8jr
Yntv1viKBWBeNqJPHNLUSW+a9YKvenRvU8a6pdo6xST82Y705xA5hGsR1+VLN8FADQhpF6nyyhe0
9GB6wwFCMojNuZt52YOjlNkD2479EErmxUbSACwAcop86R4nAcjH3BrVjZXL0safqoFj3qfHyAOD
oftBM8n9roASllu3tM217XndnV2Hp7jo7YfGdnrYEr66dasg/tJK0ee6kLoHfyh5KxEupQpaJitF
kqgYpdqAIuXwTe/cZm8AlnmkBuzr8qb1RvOHLZk37HuQ30imimGpIWOv6v0xtklB6HWYPok+sF2X
Vi1QQ8y5B8ZRlh60oBjP8iDpe8oioeOD5UgM7daUWbZBGzF4taquWuFUV4HcqS6t1Wmr0lY7CiGD
dRYHucIjcGmKMz2zkgNZ6ae0aJBBF32tMRX+TK3fxJph7QZcydYQqofzYOP17TkqjpCWEn/Gk2nt
RFK6RtDWOkSFqbzgPRZuOg1BDU+XjAc3ltaYRI2n1pzeoRI3uG0hxclKasKXwZ+y1JR31bLv/zKG
+ptmNuqnzHPA29VxcEC2Jd2ZAIbN/h4r1P7e5/nrqNd1j6G6r2yyPNLWJur1Fy0p3dNQIVg/qmeE
fBFDsfOnQNa3rVSBWxjMr3qrxWdjJFPpetgOWVmeXnpIituu7cZPUo2dg7LnTqJKqzTVnJu1iYze
vIlzWLHOrTCUWyb1JjhaWp5bEhPqzgpEsb5f+obSyreeUikbMUsMKOEoH3oFdculD4W8fAPt8Usu
s1POAWa9uHH8Iw4a5YfhlKsxayrKn52zgoqSPjYBIqe9I+P1rpKJy1oJCl/k4KSapl9SzDtzJ9Rv
LdWQmx1bPwZbSb/UjeJtVb3tjnrZUj3Ia37O3AxCb5s+1pahP5eNDbYK9JvV2vW15rEC0W3QdEYX
wDeP6mwjRlMXN3N/LNS91NXxRS16Y9UC3ax0JDbN9qQodXWLERB6HjNYm2Zg9GCTLPvgd4W3tUGE
bHq5Nu97dCT38hhmuBQ7Ji5tkIzqvjooXZXtrSJLHnyohYi5pd73xDNPRdo2n6K4JJeX6N1RTpPh
0e74eRQRcjA8GF7nvMh+jekLpKJDoOTeM9LAf8QOsnpW0g5XLOfDbVw14Z1iVOZDbVs8bSJi90dS
dT8cvbMeWzxheJpEhLyUzeJb+n+MndeSpLq2rp+ICLy5hfTlsvzsviHazMZ7z9PvD9GrqVW794lz
Q0hCkCQIIWn8pjxYOKS5Ck6GL9ow3QXOoPyjGLmym2bNuKPVFzdIJ+UHO48AzodI5gUFVldlMXpZ
YyXfcyg9i7JCc7Vj1Dissb4p07ZgMT/uDmWvNE9mqJWITbXWlyk0r3MTQhTIzDvFzOJfs9F8h/ml
vs+WHewGQj/XWMV/3mok+YhiGwIaETqNIcEXqUsgs2sK8DOtvke1vPzVa4s8vYyE2mSgUlVmz4pc
m/8aibG3LE35VjhD5eEYlT3KZhyfZMOqzmWhpvuu7BKv9Wmoamfop4WBdI3qTvNaJW+wkhoBRwBO
Y8iHQm1af+FZRrsocFo8sOv63PWcDawhJIHaqHjpHxMkxl5gP1rIH0QIwlVtsVfQgnhQi8lHzb+w
b4McnmPGk7vkEOPpcCtQpkNwRbsauLrCbCnG3fqhSozp4ETIxwe+WR8rvw7uLLXMThi8OzdOkcRn
MwztS1VGv0wT2Rh5lG4XrCtqCirC72V1FjlRLjbDUmOr1oXmtyTR+uNWtFULg77bO8nIR7axjJdM
zb1qzoanfMnhPflNC9XpbjA6jKxCtfY0YGBnkbUn+YZw3vdZ1bN7vN3KKx4ogdcVTXYU2VTqymuq
gm81dZbYlxqiSOwkog9mUOp8QAlpBcYYQaI8CvpdNQ2tmzSafTtE/fDa689jFze/IOB5fJAAk0Rf
lMIWKlzIRxDBu85x+z0fFLBRjvazQz3bylq0rmPjIWumazGEziUY7g2I+Z4cm0+FHWAuSFzQ9nrM
5RfYG3jlbCldk3wqJi8L5vKA12l3NjTgBcVoV2+q5aB7oYHMFVlnzPv92DBnDlVrdC1GFY8qJItH
G2Kd2yvGdN7Kijn53o2WdZknf3gU5YkePhpmXcDO4CPtDaN1SlEYvBM78d79iVxvBrQ2R3h+aPq3
FGGQy4jSoYfDccMMPn4d+hSXdn969a0i39lh81VAI1E4UxBrkrCREHmxAaBGYRkGxzLUMKWniigX
WEtsG+2z4nR3ldyFN5oEWlvy6XsZ1YyuofbDvVXm0pM/mQ+809mXokP5F7sb4C5L1umcvc+otNBv
JTOLGE3F43Seo+AJK4v8NnT+LbI4vuljPb8djfqqxGVzlweKhcepAlddkV/l2kkfuqJ+KU0kQwa7
vM5D+U9vTcpdYRTKHeRXYx9LUu11QRg/+on2VFaycjMsObGJp5T/Z/cXAbeysTPDinvBcZVpdzEU
FUNao4C3kFo8TyyJLYM3vk2Ga41t/XeltCM3wPjjIfe7f7pIMw9T3o20gVR/n9IGP8XJufGNKN9X
lX/R9WQ8JcwcbgrDsI5Ni4HcmLAWYBE/KjPb2gV9dnJa5zEuCucXEJ9eNqAcBgOcC8iVP0ZbY2YN
DOjdhAno9cSYjia/AzIETVzF17vvem6+SzUSXUjtu3lZIJUb4BeiKt38zfLlh4YO8sl2fKSlDL6w
Luq+QDynKvD6Yoa7W7CouChN7CXbbIBoTDjRaXJ9ExQ+YdGocv6ZNRxx1UNeRP0vqR/2OfPPwJWK
b3r6AE/buBGbYYzMG3yq6Yji6nEckDCf2yH0VNglP5JM2yX+pH4JzPLORGeeuRdC93D+/eOc2uY7
MBgI2H39zSwtZuoKlrlVN2lPU1V/hzjqnxjLKaewaNzU76OfOFwMbh+VwSFSI+5nV/XP41h/TaMa
EClIy2d/ViX0p7D+pa85w4nxT3hNFfcYsZZ7cDFIiDXxVZMr9AHUcHrXMiCKjtY4X7qq/tmC+/me
xf1jNFvwmKpMvZcj7GucKpLue7PNkGJLfxZJa3zRoqhmsu07lwQfgasVhi82msQ49ClvdWgqD8D7
3kSuGqqGwUfauqVaLBHF+mHDEkUyYqhRk8eHKWPULE+4U2Wh/FLqo+3KkdPedJh37NrcN3CpKfxD
3kDhKDCy26H4NR6WMO25WEKczs8R6+RHVC99Q7Pui8B03IS1rIOTWwxa6Kqbh63QWLJ+2Jk7wqKl
ayLph/0YKnoQp3Cf7pDu7YGvydXwFeSo+Q3MxZpYSv7sKqzZ+O86cjKa3ywqo0czeng25PejOoYu
71sBdsS0rlml/xg6v/oiy3G4D9RmPAsrK0j6Zo2Smav3ob7jL7DCo4GOwui6988h1gQP9QhBCPG+
8HvIrLCYKufVdMwK2rueHavIdt4zB8Z9U0ffWUDTPXy1+rsa5kZd74TisJAhFimhQixpg3mbF2+f
ireqDJ48NNKQuO8j1wkXPw81YImmn5r9uJiW25kV0TTT9DwlcnZVsyq/JpGB225SfRM1mOEu1PfQ
Bq0IPTE/BFoAPwPjoKtfqQqLl3N1DHNnevarGuv6RbZsxFVQzabiOwNNSKKsng9z8T45LHA5VsS6
mxWU74maxTs/KPWz2KvL3ZvUtEw/ozR+S4dHUeqrVXWf2GgM+10B7gPJjfbstKDWYNHmuz7TIKcs
GprQMPQfoDoZCPJIJ4kPl+RL6ZELLZ7Eptb049THyr3I5WrUHLCQPqUhdmCOYdIUMd/7qgYnSQrb
b7OhAj/TFOVshL7zUib9A2Ln7TfQa6MHuWW4s6fAup2nLNoFdpt8sYrgIIDNqgLHSgEohIufZvF2
IU/73zVmgyY6RIVxgXz4qkqRegN3UtsVWhN+T6V3CAHDV02PpD0EVPOMvGO+r6POcGvok0zWcsPr
sbF+LpBBfJyQhdWl1njurJYhvdZ80woDQKBaV/tMyiE58y/dSYPoU6ZyyVjARq9LkHybpDlUTXhR
UEi4nx2neSvN8AZIyvjIVL19y/SHPMirV4tFzmfeMEgVlJpq4j/M/vRc5tyFwEz7nRqMFabzcla6
rSIVx96ujBu8mXP4n1hAwUZ5EhvFQaqiiZHJYmzYJ54NVXMXVGN6MGfMMUWdarDBNcrofC2HDZPS
XZeThD327XhYYsHwh49lyAAiZ7sLuEVwtMQGVF188RPny2rJ0ZkPUhEX0JFDbrlkRO9R4mOVgWDr
uyjLVTytP6XE3rwwP9aTCng+hZ276iT9EwnXRq3WbyRniB+AYxqsXSbxPoRJcdAW0YJ5iMO7pS4I
jdgr1SE5GILtsY1ZBDnEShmARY1ue2KHJKssFTCUk8Yd6Lz+SaQsVnbXlPMn9be9KCbfWeIV6QOZ
oaPlmmgT/sxyFu1kPzGf0e3OjlPJBK40dRxvZ0QxrDkqvi91YZzrzAsXhw4JCozW6WDMNQ3EdWfO
D8gPD/SrqBoNBjJW+rKj/u8d4gg1kh/iPn4LrRZQURRrrxHaYUeRbTJVfWW+ox6rgmg6fMHdjHv1
RQJDe5XasPSKUol/pv8apab/MGBP4CbPtKOdI/USgcw72JYmv/nJ/CQFyDVp/vCaz3QXTav36Lp0
zd7P7Neokq0ShmSIpbkka8ldnsfhvZaWzQPPpjtLdfC1l31yomjZBEwVzpEdfRVFWViVp1DHXYB2
yYsZlD+wK4juEiXSb9S86FirvA5mN95FgmoLJW28w/OGPOiRC0K+ZsbLdgwxzkLIjbX0Gkatp7RM
EA90HvNlAi3ZL4SRSEUEWi+d6tlSov6oBjgEZZD3r/ECqrMn6EWDNOWIFtB5QxNUX0u1t3ZDritH
4YQ2IVm8ky18uYXXmdg7LpXlpXK9VG4aIPJqMkYPTuE31yZQT6PVIHSyKJ5mo48XbJo+RjVyprTY
xbOqsi5iJ6hn4LgNkQOxtx2c/DI3JSpby6FOTxQHhVqv8XvtNeul9NCmTYpjB08d4cXsMAd1uS+M
1MUlk/7K6YwbuJY4ZC5Z0YfJUnBAi3u4iqIs6JtdEto0UmvRnimgBslK3DzKvb7jY6feb0p6S1EQ
pNp9aTnDNQkSTzZhlrJUk7+MjNUeYw3rW4E61lL/TWpt+U5fcMc6DXBXNlp4FNnRjJKLOFQaUZ7L
Yde6IQwiVovn5FbWdNSFt3ymtfMOPA7yB8vubUekZSWEEWS0ZQuvjiaOpxuDBbRXQ6ETRhOZtQst
wwCVgGdpleHPOfilWIX0bwp5UMslLOLaFkysFtR32hQFN6kFEstowvI5KxKCpLMZ/GyGX21Tonv3
n2P0bM72eHrXd3JdaOcoeex9p35kWld6+MI0x7WnF3nFARHXLrsd3RoZlszjTmumbCfrZnQQCFSx
IWiHvFIj/y4T2FJRbwB1dZiXxyHq+QVTS1VrDF4wYqeeJIEFzf22eAl08KciFf1JbXulgaiEHsss
rcKla4fOfiiNwmH0FPTfU91iMaFR3+IW/tTcRQVDaLN+7WqfJXcqjBZGemgEBo9jMhSsDOGLNxmR
xmfvICrovjqhDJdLF916mRZbbVjgBDi0M16G2ZoRxcQm4pNW6ASZllpb1VbXbTeOyvQodqCTj2tf
ii9mqVmYh0hPYrwqbjSP077Remipy30V5aIoaqyn9daLrEENsVNfLMEdv7VufFgNiWbdirFQ5Ojh
xXcUxxNZ1WqKfYOQwUkMgrQRD2l9ggMq9trdr0wPlFelcubr1BnPWSr159yJYH6nA6pjsAoKVtvx
DPb/pLJWJvBSazeiXGy2aiKbxQkCSE1eedsOJCHToxbNqSuEcIPO7+8IcLqrIaooE5q4fCsj4t9I
HYuybYcdsthmgpj3tjIWbeXzEMffCnQ9FceVW/tBb1ldEVB0gVAXgPUIot4Fv8h7USR2inKRGqBW
IN8DDeSD/POfI0SVTC1Czd1qV0ttcS6tzw/1Ql8Tuoujn1YXDbnoTdJRlCfCnwvtNfDfsNnAfQKU
ZXH3J/oC83HEo/XY6cH4rnfzcV2WBHLuBVFi3OVdrd9bWgeqvVTwMbKC2xkU2ZsczvHJmSEG6r1z
YIAk30RdYZ/yaZBvpD74Xymm0Pbpb/UCI7htxbd6QmpqfGTwjWZPcSsV6CGJAYm1xCV8Y/LPYkBi
RqV+Cnyl8cTeQbJQn3PGB8y3bLTM+FYwnIQUv2TFpwMKYccck6z4sIx53HtNg82ClobRQkEB/i9h
u4yWW3wrfsKIZOmQOvQtYq/mVOk1krOjXgb6g0EwbFVAnfS7sG2U298CqGQlMA63YqeaIgE+obF2
ZKWgeeqcFnJV6oSoqZFFwal9KpJHAnv1oyhJ2nb5nqNuL/ZJWYZQrWMiNZfiCpzqXxpi+MW+V5dJ
iJ0FZ0H6z81ZOihR3sFIJUBiJT5K4q2uvRdRiApa1L9UsgbB3OjfW7/S3q1hERhMtXgfdNSq67Zj
RXHQqu/rJ52ldRmJg6jzH9fiXNMeskqdvlZMU3d+5lQ3c4f9dVjFV7kwbqrfOq7pol9gzE5+r/id
dKysyTzEBIG/2vhADnhMm2OpHbLpdnU3jHvcYTqEzeI6M24dGKq7Io6d10JH9ajjAnAIfxHCSjhF
EQvR4zW37BM51Wi11z81hcjSlvvPPlUxdCxiEBESDkzaZI7emGGkWekmBpRdYd13NaJWi9K42AyM
Vn/XgMGJRSX6P12jrzXEQds5xAGWhHzPn3NMia5dR5XooQJdAMJQcpFiRXmpo2be+9KYH1gAUVCL
mKoz0JDGE3vNckzu+95/DRPqyvgjvijWXuwS1du6fJB7K31Yayto02hoNV9k3wvCRZcIv0W3tcb0
ZIn1hcqAGqt0cnMwFgKetmyqRc16CO3xhgGVJ3LVImG9ppadohrreOMNJPrfNZbypIo6N8qxwp2i
0vaqsEKNXsZqr7cADEx2/Q1ZufnOCHL5NA3OSzel8p0osmArjDsjjB2k9mKD/maCulL1y4JB+Yg7
zARVsZTl7E68APNUSLeMsB5F+xdFKL6hXaoS99lemr8cRFhkfYdELQfLy70vj+1ezVma9f5fB4T+
3Dxtv7L98p+DrKToT01FB9RneXnRYYJeGrMvLyKrySqW03nUeIQTdMyaRwaIzZTvTVrezsA9bV+G
KImwUOsV0Cuz/cAb6FqN1p/UcVQtFiOj+V5y/l1zmj5lt/bQn2UW4Q6BmnH5yxddfL3Fx9+IlMyt
spqb/WfHOAzdfU+HIWroKQJKkenEh47Y1nUcx+BAY1O8WSaqUU9ZeBU7Js244tIa3SiTE90XGXH3
foqudhNLZ0dGEDHSGB6PS1lDNF9xMsfrUeDxKrUp7AvaCsTesqI9BDJ6srtY8+W7bKGQREV8YzGI
QMpBy10jYK6+S+VKu21kZH9hq/k9ZnzDl4Ku6VaHfLwzg5T4cYmADzEEixXcpLoXGwkDyjXVturR
CuAYqpM9ejCx6/spN1hRCX0oMlGJUKTFdG4Heau+bwM8cyAjIWLdS/MuHOvqWW0qbJ59uXyVVC32
Al2v3wuDmSAD3fYuSaPQC1uMGWJgb0A/OhqyPmH5biPvycIRwST/64Rh0G7QlfJNKnFTqJofvuHP
V63V5aONUMYBSJvt2rPe3SWO9ZyYEIibsSyPOUtEu7xJvDAoJjiTbJJMGQ9yhOm5KMN4anzK/PEl
LWKZmBQ2qxVE3EiKwRrKbd08MLYvg9jK99g/dPvIlpJdJWnMNv0oXjdh7RxGq/dvJx/vc8PBn0tG
Rf0iNikAYvQ6s+IugPe3k7tsRInHcN4qlkJcJamzOzXI/bdYyY4IrQYwG+mCfSfciVqBzspKD9vR
1QrMHwNlLM59MRXrXh3CDi5M8cjwgXPUiWK71jBWbqamqmcpWX4JEKu/oDf1O7WViR1xsZCzxW5L
BUoHhonqYiNqbgduZVsVkUJaPweSaE37Tu2/TtpostQWcZaiMv87SRSKS7Ej0LXzgp4WeVFVpESZ
NLUQfV+hHLdH1YnKi1ON/dlsyxfNd9TDdvlREo5ePaFL1RaAEEfpRlcXiy/gC5dhAfprCxTcnI2f
hWKWgDdCw3WMQPLoLNqlx2gvVWOzyLfl48ZEkiLPs/MA1IFlXhwEa5kYtqAHiJMOsxo3/yjLqYnE
ETVuwaBcSmW6b4joAy+t9rUedoiudfHJihnXxQXYD8+YczgDZlDC/MVaIF+fiLh14haLzVrJb1Ue
yZoWxaL+VpV5oXkaJVzDkj7PTs2CU54UI8tO4gYWdK0ttEoewNAR9MXUdLntaETkuFrlWnWdtLsh
6ogRLOXb7RcPU5Stj2jbve3ZykRq24jnsmU/1esimWfehqZ/0pFlwMOCcD4PeKsmiVYh8h2oomm9
6BTk5+QR2alQpUl7MKxc8bbZrl2UBV1n/z5Q5MWd2WqL1KdDPmU//PHtOKWvuXjsCJm5JuNLrGv2
vBctoLXUdPZ6eP07ZDVYhWqNMd2Lx8Vid37ZHvSWFWXbE92yklQCSNseuNjz+TjHdnZ5CWUqCtQC
XI1cyoRY2wL5DzY1MTracyY1sycK6Ina30k9A9qMM8vL1LMsOBYXg777UhO+p3EuSbHBebb6mM8i
JKG7FjlS8Xy22/XhNV+T693Na3PfO/7eUn9MNoP9PuCrvWzi5X5oy+/8Lfu3MnGE2CEO27KijBWx
36eSB4LDsjT86hPndn1TxTspNt3SEYiUJUg7Ii9e5L/V+VsZUhI8lm3P518Qe8Rp11+YMrCBdRV7
IO1YBVr+9vZMxUssHuynsi0rUp8O+1vZ/3mq7fSfDgsdq2LJJujdaOkjIxnPyd/JJd8vLUj0mR/2
lEyqU7Qt2DVlGUlxqMivJxFn+nP4BNwCN7c/hSKl9tV8bLr0JE5eoRi6m7W9hNzl+j6L11R0XdtH
4VPZ9iZv9f5WVigLc0M0RVFxO40o27LbaUST3rIitb7xW+Gnn9pO87df6hUVxcDgNdVa1JiXr+na
+31OimM/FK5f4s+losKHWiK5VQqjqp/XjnwQfeyH3xK1Pp+VkVd+7v0fW6dhLKCwLZssHYvoXUSZ
yIrU/289caw4LNHT3RyrzWntVrdLX7t1cX3/KymeRyR6cpEMgDoB4Pm23QjxqRFtu1Nw/tF6yO9y
ENCYRReWElBrb0QnIfIZsMUFQPmni6twGuna161rFef6a3e7fKi3F01U+VRve8fEjjhwJOLbk7x+
5D+9x5+O9TOJVSz5sl68mf+YSrk4L4P32UM8BEW7gcCFOqcHnYUW0rjY/2ew9mF4EIoBhriQbSOu
2gpiXMW1vUlw4yBuxtbzi+ynMlXcRdBrYnDWhKG8F+9sLpI28OiTzurXURr1rxPA9tkToy1chCTo
fstbL6r7TvcyhKiqRo39YQy6Xr14jk2vSL+HmqkYgK7PVAxARXJtzNuTbrDllfzOPIlGg1hfupPm
fEI89M8dEf94fZSi8EP+z2MEz6fV83jeGtPaxv6MecXpxc9urVWkRJnY+7esKPvbqVK10ZFN2enL
3F5cnKjaJsU/AWhY5gzVbu1utYoZHsICDihepnBJP7nIp/zbLaM70ROJFK4RH7NFmGV7M1N+BZpa
XZKOVUiQedXFR1Hz5EesNNz1lY36TkgMRpFmNBP66vThk8aomK/b9pUUn8axiJPZG4oCkitxBBf0
wY/txoiU2DQG6H8tbw+N+tDFsPe3b7QEkPkAUvFeVJRGQ9nh28s8CDo1p16+yimowlMD1QlFLrDG
GCVEkflUNQ5U8rE6ij5nrlOGMgUM8n3PLROtV7zZjtHxMZpNk3l+F3yRUK3DgrPM3K5pjJ2oojRo
+yODyAd43eg1v9+Oyk7cSbFhLIR2hnUWVymezNpVTRjkoppnP4uyKo4clyWWq2lMP0NYNWeO+/Rg
0kHKiIn/FK94WoR7Je5bLsTx5FG9iNekdrpT0rFENM/jDQOljFU5FffN4jtfjGTPciNq8svj3q5P
Ave8R+TiG35Ir4A7pH2DZcTstdhQnGOZ5To8wVIXKdsvo+Noe6OZqgsDPX1PA/hHXPyHWd06sP5Q
ur5qYri9te+hsasFKsHKwp8x23YXFSshMtK2J/F6rbdsmVuKti1O8qkPWt9vUfjpkFIibBuWyCMy
F58we8LyRgxM/fxQ6KhD445F7BBzKTp52F9uNtjdYRrLR73XWQcCJQpt/2QM2SOBM1dByyYL/Fsz
Trxsbh/N7FpEjrUXv5og6blEHF3k0g9BybybFkRjWV4uZKVcwygx7lNPUtEwPUn1sx7W2jpJXWex
68hCvIjiPd8GB5/KNDFbEHXW5Kf9Ivt/DzDWY0QzIHx7kJPCPzbRcIBFZq3Tpf9z9GFqNbrbeXNc
O1qN25j+U7ehcdzaam7qHpih4SSKiKjzPRF9ypoUpSIvUmJjBhKVAhwsGD8OB12dEd/Az0dvjP3W
cazDYNF6/wy51cKsz0k9FvjTsvrxZx1CNJMxNgO3w9ob1kz64QXcelHxUq7jGWeW4xN9CsuLhudk
4XgSLRIAzATVQPUQmvCPipIexOsnnjiRNlftI/skml4792sF8dspi267vKjndagoruzT7/6tLOyc
JTQb3bY9X2avHE35AIrrYe3O6qE/oF15FZctzmY2QXHM2t/LKeKM1tjILCGFX9UwV+a9Jc1E89Pj
jE6y2P/hCy+ue/1Qrm+P+Kqtr5P4h4bSRJf52az1XVtLxWlb+ch6Td11s5K7HwbEsooDZqnr+dqs
PzTBD0lx8XqSF7ug1TrTbVCBOxWZxUcCzMEhjWmF4hsv5r+NypqaRDQ7KKMDvMv2HPfP1RyZx7TR
D1puMTYVrclq0hDiTYt0evvdrxcPkqpSUZtfZtbijRA/jE3lTOAHMN7W/ETD+txEm6F7ygp/hz3t
aa7DhXn3n1WrD3dwvaPLx1+kxF2UAXq7zdjin/un29K7YtoVVUS392ekABrp0uvZOz09a0EorC1D
IiM3o9MIoAD/SHphMQddk2KgN+qhSbhhOceH5OyXLBJUfoSRX3TSUbTcidqiBYdBxa0V+RYR+YX1
tg5xxO996HS2t75muLfLxkBdb5K4NU0YtbsyV5G3FrN6g4WEqUrOPWy52dNjdTyoBLDF66pl7bOh
xwBh1m//wBIC3hRfPwy5JuBr+6RD/Ys158n0HALBLPWqDTfDxBFs+Ye/b1X3rZ1rFHLFGFQ0S3Gb
uapLiPb+4ijgdMft/jsKgaR4+d5tZetYtl3+F+KI6roGkivVTwM9733KOts5zx5EkxCtQXKmmdd6
8IYZktAJ/xbQQPRI4pfN0Yr2oYXS44e3RiTXTWG4qVpZp2xpMazIOfsK95tziXzxMoCVavmoKZCB
xolld2zn9XXub1gZbMpQZlS2dHLicYiUWqPKiGD9n550vSixb200SiLPe5EUhWIjnppIacSyPf9f
u82sx7IrdkTAv+CSpK6TOjvSc+BqUjkACtV93LeG/6zZWV0rHRur7FRvQIpS3Jl1ZCf6I70CuH4S
yXWhUjz8NTnaTXAx9O+tnw7nba6H4wEDMd2s3E+TwKn1EWWdU1Q0lfkZ/me2D9LJTc0M2B1LSqH8
Sw9fRgKep+loLM8RaR9ABKKdiG5rfcQWOFw3uen0ZflBjAGXddR02eTLZkYEbx8F6ZsoEhu9uulx
AziL6nl4dRwuOV1GwePyRpptjdlE9irP3/rwdqwfVCiguzg/9KX+0LcayBaJsKplgY1olNFTTGgu
DBaCtDrp4MGR3QxdvabxmAT69ky2OleqFbwzQRM+aLaZPHSzpp3RWb0GixNXFOfz0Zein4DZzF0u
9dLOqVADDgAmsZhvNYTag+IF7VTDa/X6d7YsCWahRaR5UWDs4OWnl7izw5OmadLR9KMMei2BimK2
tceurEu+lxEB1CWL0857pBr1QZ0jF5NQ/zpPL7OGV14O7u+apcCdZCezcOMh/NZLEycEmOccIiiL
z8n0qwE3fS370rwaLW1FSusO6naEUrMdOW8NFNYdqFuZHk5yVz/QKvBpUhM8VCmAitlOt/hU3+RM
HhoZcRUVFYBIknVwCsa9Hc8OF7qLnDHcz512koI6/lrq77MWykdsf81dMkhPShKgESfBm9GaXZ6X
2rsZfulhDjXLeBgHJawClqAmtrYE/n81Q3ZE/hKud1//0rCVk7xYYWgL0nIH4HPeIWkWeFUaV7t5
OiiJOl9kO36LuhFSU4YlEnruslvHxXAwdT2+7RWcqxdPn1wyeVcL8z4PArec6Bw700bM34jbo4I1
4i6NSw3j4iA/57PywvVolxFYwcXxCT3y/hV+DwMzE1ugcBK8IMPBYK3m9wQZUWyGFGByNau9Zy5n
EKexRG27/TnnMBWwbE9fneLbWELMmZzBeo2a6s1QW/ijbZw9tMMIQjKc7XtzmHJPj4xmv33g12kU
IvjJbob94HWIq1pdmd+j5eYNATcB598bdXmk2iJYEVhhuhPf7U73HS8ztckzO2e8T0PF93zkInf2
kpU1+Qo7oQTio56lDC94XA8Jd0XqtMfkR/WaBFoW1IUONHGpHNQcDckZ24bqmDupm9qdgl9m0p2y
skeCPhqTXdAl5s6aa2imcuTi4Bvcb5sO7tXFyTNAajzdSidmxvx04ZzdTb6hYMODllsv1Y8YQcDj
q0cNmzIP9e7IUx0jdFvbfHS6PL4huuK7wHJBUks9fASrSVjbfvRbJYbdMcbIId63A2jbdTPpJm6x
xTVOVQOnreit7VOMs9vScCs7OydWgglAYOGLikMJsHopvLfLoH2c9bp9bOJ63/eI0omclo/KbTZo
56ysk9tk2aQWsvj1dJ0L6Dy6M4LFDf4FG5I/znNyqgtrvIyJsv/XQFMUQJl9jtVeu0EQvzohtu+O
Y1V4UIJDDJgNvkFEbg6TTYOyEcfY6X45ulI1G/dG3R9NK2vO9VAAKuPDdyNS26b0I5hCWrI3O7xT
h3F0bcQqrz651pf1XW0ZBXq89kuBWRBIhvTeMYraq23UdY05cU5KJTc7JAihNhpZcAm13gtKW/qR
FM7Fxnl0QrKjlVv/BwL3CRCEGs5MMbX6MY7jo1YUsHSNzv4nTqJnpcBDU5qDHte6hqCehdbAgIUF
Asul7LZViJT4IoIv5aVxwoOPUBVKfl5b5AHBugkBwqjErdKUgkvaBV6ez1/rVvHdNIVcEA5Il1b6
s27U5Qt8WEjpDiTUkseYdWawt3xfc8uu+9r7BW5GafJVquO9bI4VEhwRywJJF/G3ndsy7r7pURGh
mOHjLOPTlkyTmHuUm+exQliYJlqck0xtsClynsKsfZi6qT11kPy8AYuDW1huT1VPEFqSHDcmzn9v
KrLkZh2oWFi9iywA/TSrJrJnYATbJpLlJSbFkUbgs4aR2/7bKpmnMOGDnQZcLPbtY7uMAxqkhAkt
LBQJQBAnu4IC54B3QRUPM0+9xRIykbVdGYSuEyP5qXQWpKGlMYID7VwV0V4P6L3jzlXwVKnddHSy
tnbNAiyLihduklsGQXFun5Jnr2DqM6Tlcb4zdm2WtLhCjY8stY66Zd41uo9SYQOhB03tyFVVY/QM
HfBZk91ZWly+hVL7Q4HOduOT118Z/nKtePBV/N3KpzOrWwnt2UYaQInDlQrUwN8nuUtYwM0l3dgL
L+hZ+49HdA9TsVNHFBTqxusTnVlgUu66oWfBNCvospPC8joJ2rcEIaBPK9XVZcW4KoH57ji6cZGa
yrjiNv6rl+PmYJk6voaJp1WRfqozVhPi6OeAIjP2GNm7WQ31yZiumW4rBx0HEo/wF68piGcXxpF2
KdVZ9Vr5mpZl69Ed2rdpp3yP+gk1iC4GvOY36b6oi/jVnH3mG4T/WcdQCIgpWnmrmPhXp4p9BsbK
moU2BRcLNtatrEgVFvIoHSs9dKUZWkvGspCqPE2LnE3X1fdjUSlP+RjUF6C5vxIEIgrDG6FfHTtT
uleyb1Vtyq8I607/w9iZNjmKbGn6r5TV5+E2qwNjXW02QrsUCkUolsz8guUSyb45O79+Hojsm1l1
71SPWRopd1wKhAA/fs67HMKsqNZCU/pdopF8tJpO3NnzJjfbB9lWp8IP9UMtQ1gdiT6C6VO/lGVg
Q+PRjE2bU2xHtHOlyoRCOSC5k1UjA2EpMdBNGXkVnvdeaiDUahS563Evw8i1xOfQEl8KP0i3iZtr
G1dz+q0RN/tJlIVndWYIF68fAHs01drJBveQyXJXS6IyCYmPldheQdb9TLDqe7E+XlMxNDhiJy1+
4Zq7UWMUUqBZN2ebO3FfKeK56arqQYQKaaFBX6fQbDZKj7vX1OivCeatzGwj2EkTpJshk3rDdSCP
fSOSfZAbG53MqBJY+sZN9VsxdNNJxxRqlVqD+pAG1Fn9Qj/nEoMHa1J6rjBM79KyD4+2/g05YuXS
WKnPulFFeyNRB2aB7hXaLJzeyDkCLccD4Z+b2CknSehJ5+iimcTnQCqfnvLoxe/HbmXUsbrN/MA4
WyOurPXYZ56T3Klh7V6n7qE0weTW0BwA15K1wXRi3VX8QtNgtFtCijQfGwTtDTzS8BbeQr2iZmfh
OtWFzs0hdi0UEqJRjbyMbjynHYbtbdc7h9n2cg2eQOEiTg+FoV4Uact1WinlysIph18n2EeqN0hu
uwkDtLVWGidLDa0NsB4Pfj+2n9KOdgVVr7YuBqgJ2vfe7c1t2rbKEXOoca1FDlKi9fyYjfVslbmf
AEh4tZlTKcHvfp11+AerFU/EoZAHvEJgN+HRRXS0T3AS81KruGl1PK4zMrO2W32JNRMZIUgqK7fs
7hT8wqThwxUW1WtqqhSh8/Qsy9q5w/LOwdkqabZhjTYOvl3AKdW+BPe0qQJgbmOQ3TmDhGAtzb48
jr3xbMmw40jMAaq/KC8TGONDONpA6K2svmmakLeEuFfN9Ph+6eqI15Dnxv542dmVSf/oW4j8hB1K
DW6seEHtDKSoeKeVjdOdoslHc2jlDeyTsXHHgIjKhaQRaHmyLUoFTxNsKKqh9Q880fjDIOVnPL5y
avtBvdSxD6jfqZCn4udbL4OXPkNbi8FwAYPCQkMo+cFoFHlwrJKqb5Nyyq26QYCjisN1E8gvg8jR
1x7c7CKqzlZXgxpghVHEj7/0LS/tNJ2ORlgcl9byNm5yPJrEeMZWi9JF13c7iA7qo1Cb4dFeL6+X
jRXU6Oj2pO5+9lWa+NAGfnx2wXA9VpE6ID/aP/8c0HdNsE4lAlw/+0S7/YZVOuDxDgy8o6r+UXeT
N4QYgkeAUMFjiyv2NoGPvf7ZZ8gK8loNcC/X0wgkmHR2ve/Ul+UdU2FMF2Kt3dJaNk3dk1UedZPr
1QkeheOsdTuPrp1EjkMXRnLQ4bg8Fn5q3LVivF9ay6a20LatYB3sl6aax+NlmDjIebyuV8GtaSEt
4MBs75Y+2ATtPRSGHVH8PIJhY4WTEhzc4n1EpWXyWps4mL1/BiMAYLdrs8fre+lLc6Va55nib6r2
e6m09iOEUPvRbbth42RRjdk7fjMg8gf8dZTwYRkSZSjz5kzYntroYMzB357rnDBXgHR71OueYg7+
Z6tl8Pum72cR8dzflwGc66I1br2O3zJBQOfZc3Ows+hWxju1F8YtIZ65qZMMPKww2sMyoGcRdYgn
BfPuefwyBPWUxHdZ8AaDeciEHj0qpZsftRH5gzSR0WM8b8oZWirNrCBTRXPZOCEr1ApY5ZGMWJlg
K4OUBoT7TjULD0Ch+VRi3uJlhk7EKHPjiWCu31gaDqDLXk6Qu5+p9V7hTsZTkIjirhjKr8tYLI6G
R78K3/cl/TeV0zJOYYWlt0jOeRN/T1BsgCAtw6P07fqeEpd+G+Iw24QQWVOMT7x4LNtbbfXJvWKz
4J9by8YtZtdMv+zf+/zANCCwsvbwdfzInHnT6MUW7nd8fX8X5kgbHtDjZtmpYst7rfB5//mRrZuL
FXhS7bD04eo1HsNZ3X95w9LndxD8Qxhc7yMcygM5NpWbpTmYUfkw+LDd5qPMsc68z5Ror7du7Ank
8w6tZqq3sgESrxoszKSTaDdSXtptcLm2OqN5WLpEJDBan0S2W97gD6I7d8bwhaBIuy1daezemSU3
xtJydFsAYFK6zdKMBCdLrbpNVcT7SpfanWvW/aPZDyh9lPpHJsf+cdlMTowzjNVo84T5o690HW8q
tOj6PmIsHOoK4OwNagG72EaALmyxqNY0P3wzurtFMaUY1S8Qs40XToCzVsw8uZiVhcRfqGk7aNjN
g9LgMlc0uvtprMKDOU3ld5yrj0OuRHe9G3/1Zy1mlzD7bM8bUdn+qoJVfG8Y1E2qqqhvbRl/HEuF
0xYYE1d5jhRHJdaKG4XrHGryJVktKYJQouIxaFm1VRVTrkwrU/aO9PJBv1SdhpicjNy9fWvbbOMq
n8ApmvfYLUoKtBDNB6EVL7XpHrg3g63tK9XKRtihy7VH20Ggovlap1g69ah0IQ5tk/4InYe8Q/zF
dI0SaejA3auveQ1wOFDXI6bJN776VmoiuhY8H6dEfwTgOa4h37osHd3hzpoqbZOMFkohU+w5oZF8
6pJebHsZk24ocsqvlr3BVVnDxJGcazOE5smAK2rI6K1vdfUYlPZXp05OU+FGG32aYNDoVfoaiJ3q
6MR2mGUVZIE9N67UFzW1lW0YRzY13yy5byLlG4xH1GSqCKU/G4xl+JV7Q38p/OFqttWzqWXjU1Gn
Cl6K1ZdyyNRDMptAsJ7EZRMXyYNmN0iWIY1GMNrqqzhJ4msOZQzMtup/dvujLwRSD12avW80jIMr
ZUBXLCqn1RJOp4bMscegXBgN01NvomtoY/6aDHl8wXMnJkIU+UZrtHq7R2Q0+mYj7uGpZSTuc0Qy
5gKwIGwrvxljOLzUo/2YWFbwTcvil9xysJfK0P+CWkLlwazCk1YN/tHuZLqX5lBekGovqKAgw0kc
Gty0zMq9CADwR9dWnu2unL5rCM/Ys/NR7qeUndEmwN19XPVxmT471Wiupyis9ygJaCuLpQGGrFUt
j0gPEpoFKqYkSYmnYOh317Zrm6fGF83TOFPERNY9Lq1Uz1mShup0WpqDrpWbUi/b7dLsMQ87pDAE
Vm2Tt0+JmCc0+KM/P63KlW2i29Z1Ga9FtsCi1irR6uNPWWaSbcM+HjZL04U/esJfg7XjvDeUTP2W
NaJdRGvZ4DN2ccyeFNrcxfgGjgAC9UtTND2UPDDt66WJFc50Dsjg//g0OzPnGWzZtxyfVdqvk8j1
u+XY/V7E647i+/uIMZOswt2RLMX8pwrmi0tq5c9Lq+nGYB2aSboKRj+873BWuwe0kKyyuMnJOtC3
bOLO19baGAD5kEJZj7Dp8TVUg3vMgdHcR0H1XlGV/GhX5vUv/UszhIlqddN47hqSBKulL+gaIhWA
7dvl/T21HzD2brxpu8q9jEOl7uRA3rE2bC7opXPZ4C236lRu7J9dJAjdSwGg3muG2H7/gGXvssOA
GH9I0+4DrvQXVZYdCyu9MKigh+LShOPT6KjT4Ze+EY7SlhUtggPzkFyX4qLVIW+xATfYxN3n9yar
E5yKsj7cz9MPRaDa8oB1VKy+5vcYddFdyOcvjWWD+A87kSTBYG5sKLgs7WWXPo7ZKYKRpGe6uJjz
5v2jABdnq17X7N3S2aLPBz+97rZxlU4XlG71I2w1LE5pLV261PdBZ03XIRwPUCwrdHZ68xnKPnFQ
q763sPPbEfX5D03oms+JFW+rSRSPy0ipZZspHab3VjRW6zqa3PdWCRIXt6ritozECXwlJzneIr+0
nludhaPZuu/7UvlN91mcTq7lnJADKp/LTNva4aA9pL1TPCtwsdskru+XfUiQolGGd/adTMtsayaU
G0xHPhZ4/XbWKtLBKRrCAdupJDVlAArUaWCvo668xROudnU4GY9g2lkxxOqc+hzlHqmK3EPvn+uf
Sy9lcbfXO/IqY6cFK8PB6Mgoi+rgtiNToKGKKwwk7WwN9Z0x86eT0QmO/YB259LUikJHVkYQrFnA
PGLMBQeEajyUFZ11CHR0lyBjtlPGTzKW0deA+M9Dp6y+uigLruDzJ4gQ2uWOG+jFqdEULJQ435Ta
1Hp5NpNb8vxUwhdHbQltkPhWaa31levjwKLKeu5McgoB/NgwTZRXAP7w/PAqnYY2j8gpj6v44uiO
Gaw6HCKlo6tviaLcub4hv2Zu/KFaZMhGfLPqDLs+EqvGHmOsr5iXPFqBHqE6XCVgBLTkPjB8484t
ubDnrnjeLK8cNTZ2EEHilQ/TC1Ul/waDa6UMtbvDzXp6Gorm2rlV8TmmlggjJtNWBuJKnp0qDWp6
WnPWdWmvJ8NGtNiuRlCDSkR2Xr7awr3P/J3IEgkihk2EqRTcpHWRKwqmW0buhV12S0fILkWJ/Xhq
tttWc8pNxrPPC7q+36t5YHuliHWEQwq5lQOmtX3uh895l2h7oUPfF2OXYJZR7dKsjTbCOJRlL58Q
lmKOaRGtRGL1YWk1rv/SKkNzEbZIn8cIWSjYSBC252aihK1nasN4GEYykE3A07NP1Vc/6YxdPmXt
s46Yx6Y2hAU2she3BEldkh3zilmCUe8eskhPn/QhiHaB3aUbkdbb33/7j//6z6/D/w7eCrRZx6DI
f8vbGRuUN/Ufv+uO+/tv5Xv/4dsfv1uGrjqOq5mGbbm8NC2d/V8/P0Z5wHDtf1GC02275IBq1RUY
h6YC3MmA6F/5wT8gk90ftVT4V1MBgNL0VfbVVFHuG/rxg0QHlsh2+nUEZ2D4UGZhvcolSYbFCBKm
HrRZByScyroFjcGG63jeu1hBLnunNiHQmz0kfw52bSnvUTG/OpMCJi/qozXUXyvysCrrqMJhX4mg
qf5A/KY/kE3zSU8r2X7pCyP5EvVSP2HB/CVJe/9YmKn+8L5RqTPXRnxZWsvw5dXyOVrSsIMRxLni
yoksT2DW7JPhhi0yljHG5pWi8RCZaxT1qNL5/nJuB6lN57/bM6J2Pem/DphHLZ88zR+/vGlpLq+W
vqXZkkjd+D5poWXH8he4rklz//LH/l+fZen9Q5cn6u7n570f3V8P8ef3gBBe7xtDO/08rPe3/Byy
HBcFQaafQDvGrvDvhp55d9Ds7KNTFIKkdt6fDBh4CBFRNKBwshbuSELJV+OTg2LPKfINIrHl5bKx
3LQlzzfv+rmZQhRRicYrL1WiHzt+fsTg2ka4/cseqwPbQj2F3HmVDVfRGV/HwvUPI1LU/srWNYm3
u656tqLQnsx0vICuXokODlrjfKDUVO7xJBy2ZAHGT1b3lrSK/d7t9Em+Frhu7TKtB3QzZYlJ+nxQ
3HPUVwWMeFwll2Y89y2v3keKsvTPmO0hIwK46YRqan9X29W3EBgrbjW0uEDjcWW1ejQyf+lvPoKN
P/Ysu+dNZBm1J6mMepUdtTujsd1dZ8Tpq3DsXTsW5mfh2pSFMz2465BWvFaxg64GymGfWTt97B2t
u8HnAQAumwFPdPq5S4O2l58tx2dZg4jSITXM5ClRsuckm4LNJMltYByAZoCSkCwimYYCie0bl/dO
hzvrBD1mt/SpYjIvGDvjszdGKnU/sHvbpXPZXcXuR6MnQklX5vt/i4BqKRUfVct6dpsq3D2a2/JO
t3K5ZRZMHvQ0L9dYwtXPRZsBgGv15JPIqpeEMv5bOaTU3iOoyOCUSGUr2oXQVt3YQ1F7ravql/e+
zDT1VQQZNh775NS01Y8dFA109EdRkXenhqtvGbd0Lu8jcPsaROTZoHgElzg+j7PORxAiuuTjG6vH
RHOeYQGhm5t53nWhJ4toNxnYyC4SLaEd9Qc/Djrl9i4KorlIa5DFvcZTP36izkGUjNPoyeAtT3N/
W0Y/+uO6uC6P+v/407O+Xp79X4tyJMpHM+DPzf/avRWXz9lb/Z/zu/456i+DnoqMf387ZH37P0+/
fS/kb3e37dNfR/7pszmCH0e4/tx8/lMD0b6oGR/aNzk+vhH1NP89b80j/393/va2fMrTWL798fvn
b1mUr6O6IWpqfv+xa57m9Bnj9MvMOP+FH7vn8/HH75e3/rePhUz+zZvePtfNH78j4vcPh5yXYzum
ZlPFtq3ff+vf3ne5/7CFaqrCdE3yRkJnF3DLJvzjd9P6B2U5x1JV3JvB19hMrzVKAfMu9R8mIGbL
1QzVsVwm4N//+wT8mLjff71/P5FrfJ1f53ETEXDDtC3DsFTLdYRQ/zyPM9NWnQoJ6TCqQXrfqSjo
+4gTxgCF+zab1pPmT97omuhp+t8tQQ1kIrhe/3LSfhzVr+GEZv6boyCcwFHG4VxojvPno+hqVZkq
5JoPeYrIfmn5t87N7qZu1DD5NcAFZfJOCtvrQkyBAw2POKv5DgY63CFZjAqSLuXq7w9Jt//1kEzV
1HVbtU3dNZy/nBipGLpdOmp+0IkbVgkhJqTliRJMan/LWAJc06HdM903O8MIvpiWPeNPhFgjj48J
Jfnp3GahmPc8cy0LVAZTH6u7KfFyVbc8G6rerjQqjaRxA7WWB+u6sOVe6es9SzH/qATD899/I038
6zeyVJurzeGCcjTzLye5UtSaR5zMDypA4hNBsrZxwkJuysj3jBJbDd2X0a7GHHmvlSSks5alsSeK
pjw7Q/4UFbZ+n+vOKzOhu/kfjo1L/a+XocWFbpjCmG+S+Xr/NZxs6gZPTmSpcd+mZNSLdW/grFCo
YtwFBJirGlsMbzSqj5bbYhWJNepK76tDKmA/G8iYkae9D5Be/Z+O618uTJQSVGSbODCXlK41n9Nf
wtxYVfCsrqW7N5ND1UCLN1C+9SyF4mip5ecGA9KRnMIGlHE8a469lFnPwiuflfmsSbvLEHP9+1Nl
zT/TL5G3ySNEZSGqW67Lb8mS68+HNNaaOgX+0O2NGNtzK/aVk5DZRtUdlmPon95S/w50WvBQ9Wn8
lGsCVachxIwCbapMdgMCduVwyRG9B0ChtOtuSM3jaASHvJjUV0l9Az6OvJsMIo/UAahgJeaTGMH3
iE49mq25RYhP3mnDfexY1mFg8YiRgA74DfMO1BFwqPbHL2A8Os9RXGKignpkbXfzDIaSSfExJPG0
GmoDpFSs7ZGjuRi9VLZFIceLRJ94HL9HMVqPaija9cAiY20jMbRq2gEWiCuj9eSim9DnfYeWp/P0
96dXN//1PrEtTaOf+15lujf/coLzzHWCOGvavU5+bfGGNwL/VOWue9Jj2AVxRdIhqRzsLv3hMuTm
dFqMHGKkE5UWiVPRII6Qa0pwcjv5JjN73I4VJ2hsv/VhwXcfK/+UQDI+hb79tYRYA+lndDm/JLGE
iVierZQffVa2KHq7Xjro9a7wdfvY6+Y1cfQndwy7Q1jbS41avSyvEjcIjo1oWSGTpjLCUWxm4av7
ZZOGcy3UKQ59ofmbVhQnu84f+RnbS9oMEJAaS3vqzHx8CP17RKrba95kKN8loP8mpE9RUg3vQdNU
q35UocybYB1rhDP0IgVSgS13qVrS01Ce96wCi2Y0JfJDSbrRNKcEdaQyITr7MrZ6vh4GLbjT01Dd
ThOFdia4tSpaVG8BoaAXIZN9ONbmWfTBOj4nWsHK3uHomyqN7jSUTghUg4csfh0po6MgAbYn1CZs
jWWHFw0YHGUcWVWrV8eqlHVXSmet6bl77sNKHkyrsI+pOiBuhz7igYk9BriVdaseU+WTBkRiJcKo
PrcRgLNmGiHmmMO5TgEpZIA68Sf+TLz27ODJcVx+I8TMJJo0lJvtvm62hqF+tEJXOwZVCtujtyzM
jouDkSmXoGxyiA6pfWZWPQD8ih4AS5/gRRjnUEuiB1/pogcVU4tVoVYXQxa4migV5aIc8WPdh74m
BnOr6SI4w9IZLxDaxkuvcLXo5jis2nQ860CXTRJk1YMrohgMAyjutmw+RU2Qn+tBy9covBLj2uCG
MHY4Ig2ICNXILB+jArlxOjgkYkjjszlvWKYae78P8UXHktnVGhRKCo3HLEohSAPmR8XSovtBDanA
wUTypnZGNgqZHhYvlGI2TvFxIIiiODpUY/sZGZTx2mYK1pxN9uIm1DvaxsDodiCxplbKfdSThp9b
hqk+5STdjhRz0JMDECDK2j1a6XRoA9e+XzYWGeuD6wDHXppoPznvOxKL79GA6dgsfZRKepsn1LBD
x2zCSYoPMFw1WlvIdG7cLHK2GUKDXhnUwYOcN2k2OQdukpBKFc25Fv0gjXC4AyK9W7pMNQ8DD6H1
2pgBG64TUqdOgluSYw8TJKbq8YAB7ztv1Ng6huk4XdR5ROio7T51Grgf5R1CPOK6bBqdE4riy9el
lUlnuvD11gOBI54eHULxUZjels2AG7Uz2bOYkxGs6rYZ/JUSoyRqN+ZGpll2nIaqvIIQhwcxuM0N
NZcNE+x0VkpIgK3hvmiQpOGR1f3NKLq1VgQvZZ7Z+xDfsn0LCHhViLrdNBTsVqpbK2hQJdDEJr3w
Br8q8XfDW0x866Mkem5GLmIV/UoztV40q3Y9B6LMQUOrftVW6NVAZvuaFq17BdSX2vonJzO6KxwP
3HpfWtGcTNFigRXKvYDCl+dBtx8bkOfYPK1j7K3xS4oPA/fFRoFDarV9erBSq9rUfWNtIsS70DN0
VxFJnx1Ea20T2FPvIQtVINXdjyTikmkb9KQRuzjR0DWKvus82rZu2Zs8uVpnnQLGW0sdwxttNxVK
6oVGvs7k4D+EafYJ+k+4NXn4wpTISU61zqVAXxXZe9SH1C7bqWVsesqogzYTCB2MdXVFRu4hUvEw
GxSx6QPKsQPSx3ADEd9PkWDb+E5wh/Rb+342U3NSDhNZAM3SyRhiGYFv86vVts0VvxDqjGAYl+cT
OunG08i1LOsPDmSIB2aqC7rN/cmNKD9rznCzRQ8GziJ/ZVvoqtNL6C420hjKY98Pn8waPjWE5Eur
95gw9DwkZmCHiWaxV5cArcx42oeOU+01I/Q6PuBjkEKuCgLzHAX4DGLlUuwSyqPq0INDcyPlWFVe
qNXSc0MtO/H7XZ0g6k9NYF/tchpWiUqWoBoThcqovbfSAlYBOPSWUHiXYx6wMh1fEGgY43YCyrMe
IgiySojvnFS0L9R8JPFqu8HKG2hp3hanmPQFoxqIDiScmtDpz2awMbR8umhtd8qLWHmdpj0i2WiY
6+G4Rw0kmZnvl6l18i0LshSflTzamkp4ZEG9DZPuFQod4crgP6Fy6wWJat2SAPHLNlRXXI7KS9AG
5OCHYgdewl6PVjBdnepBUpSFURFRaC6pQmqtDrKqcZhYQdABpkqASyHJRZ4rvVczB5B3Ot1FMfJP
ftgfkiqzjqWTEYEHzKxjWZD/meOATNkODfA8EYDYnOrO9pA1iouvqlMkazBbiG225V01ezOq7ltI
WgmMrvGBoMY6JJZ8i+JC8SqV/LPSuPdai3i2NU5yk4sMsFoaw3u0jeFRmJN2ym2T6RjXkRUZf5ui
4CCvsgXI3EGS/FzUTvkxssMXCtrW0ail4/VmGa3bNFM8oUEJMVtQmK1/lAIEo0NtHT5FlxyQkaNY
v7FLiop5jVeZUmf7PBFXLc6KneKuyxLDr8otRwDXhbO2gUqvHNuXh+XgZ7QBPCAX+HmpHElmUtgd
C9VrIELegXnFsY9ST+g+dV0leQx00cFoBmZ/xwz3VhR/rGYvsAYnaPDAq1GRzb0Zk7fCrCcj70M5
x41bH7hg51Vth2y5Ud2nspP7od5CmC4PYGm6fTe8SSsv7voC1OTky+8lVJRVHzCBx1YJvbY6aHGl
bJ2gkPu0MIwjk1q+wW0Peia0RJaqlITDxJ6Vg3kUtv7wqnczs2LkK1CAytYJMpMHWHTcNHxG4/s5
mG6tQgKrOxitgVbTFFNI1INmA5MVvgQeNkPQMPcE4OH7VJyzvCLTWwJb7BqEJqSVQMq2N1wmVHcb
L4rFW2pG0xUumx7Z9kFvXGcnYxOjtdE5thCnViGFqx31ZhUjI3Ct1Pmf2n7dKpWzCUpZnfp+bZPN
e5It9e4A5OnQFq+oWJc42LhPeutj1zf5wJBB7HM4FCddMnGOcOLndlS/SysQK6yQ4kfZZhzcaHzu
0EXzJi0rtxq6VV6Iq8QqbroSs0f+Tmpx6zZtwtREWl3UNrGpkUF9DWFSLM0WWNeZmYVT3DknElqY
MljJcGszaAuKu+mqHv+zPOxPpbC6VTqSbSZMxftMT7IPWuhflT7u3gy7PpB7uHNkibKb6SaezHJx
ohqCp0Xdthu1048Dy7ilJ6LWckIqa1xVMI82cRqV2GzMY8vlXW15kh1MOTOzQw878f4s2wB0tpog
PpU1/UnYI1x1UrwbU+o0Ff+bq+npFtSTuo2s7BMQLuXUBVFwXl4tGzvswnWv2tizBYUiqROBfnRj
QF96Z86gL+VUo802ALij3up+txsdRwh1vChWbByFIvT3TQ42G0RO5VPStAFtsPwasQOM15ZapPfO
FH1Uq3jcKioFZaV4MKvrkApxVSxmn8IvH6lEWvuKDA7ujWP5uPS11iC9QHbOri4NhVBa0TbTGFJU
TULPaZrqurSQttaOwoELszSDvZUHIHODJl9X+MBsBMDMDZeM8ZAI3XgYk6jwkhR0dTiNuN2SbTlU
wEJmbA/knL45t2pQ3QL+BtPGo61RRQW4kSGqxeFIqVVgMZNnze/ts9Y4KPH14DBVvELUINQeG4Dg
j/hyeGbNAfqNa26LXmUFpgcbUlM96eL59nHyjV5CkNSD4uzw/PUsWCEAv5V7rXbV4wg05ogZw4Tn
3dy2S1Nd2aCx1w5AlpgF0kkZHcdDQ3EE7+5PR1MJHo3WkWR6B+dUhkN/7AjsALJOx2WDBEgLGPmf
7RCDN+63YdrAK+DJ247iLdLqEXXHvbCrsFxV1kNatt3R5iY6EZdTXkA9IctK9IcHiiJ2GMjdUFcX
3Z8wVYgstNwnbgdbzdfEDYchF/Emjxycr4LsrLcQ5QsBM1kNThDkoE/Fgk+Lzl2hRvywwYPaxxd3
ii5yBvs0+hMR3j7W2ssQcaijRmWDoiyPSGzmGmYBx4LtEmMGUaVIyFd6/AphbqVNAPHjOHoSOUsv
aRwMYrTOh5OPwBLI6Mz9ak3mZ3uy973TPSs55dBu+phRFFiLPILm/BTC6VkBQSl2+aCwAsSrEGwV
nKi638dmg/uM+xrOM0xq9rux2NaqXq1ByutafMBvTZfhNcmpyTS44qg6gghaHmQrv5/x48DkFXM8
9Ha9xlvhqNbq56J9JM5H3r0a54o4UY0mbUCGBjLnVjfsO3x+dmmnaPtUzBabWnRCzkR6qtO+mYrd
boWVfMbzt1yptvOKIEBzyAF7+kToTpCKA6k2b+zSdUxO6WjPj8tlk1lrgYPMXovdt3rie2JruasM
cdAc8FqmaT2IaHBXDbwBHbfZmTTkeI6pbvvOgYlkKAp+m/o+FsqjYoT1tgDcvEGH4MvgtgTxc3on
Q1I1cV5UHdyJL5xoVaEqsxYjBCxLBuWqiBIQeLhFRx3LoQKNFZ9TDQ8XB0uFeVsBTOvNFifJR/gu
2bVUs8oLqiHbzhlkNNqabzw47nkMhavS0N17B5oBegN2tTey4ntvDabnx5a+1QbXegmEcXEr61BE
jUsGVGgQYkOT9VVo4O9SfpBtlB6jkiUw1rKZF+IZcdbx1Kmr0n5I7Dn6yuWnKC/KV36SOwW1ellh
2AJd6LNomxiu7izC1VMNFl3qe1GYqCuLZwiL9uSEeyfUsNQgYUaN8KKk7rqJdOQ8Yftt60Z56Xj8
5BGr9njsnE1ZMn05PqwBXTMkLsx+uG9Sxd1N6qM7XajJFDMxuXyI0Pa0JGKgcABXprCpu5VCn/2d
VmXhZ2dAUTqLpWdVa9SzinHkmkuYSjiCnnGry5NZNZjnSWSkrFRWgGPU7jC78OQkjtBiro8IwoRb
nns8vyz13kg1+xqSoIblifneocNl+HOpYnk3BbZ5ilN33Mdq/qkiltolnfOAIP7dhFy1l1iatcNK
RFulnWttk75rNukTsqb2nkoq4MASmYeiim62mSA8BN+HX63z4v9L3Hklx82lW3YqPQFUAAf+sdP7
pKeoF4RIqeC9x5x6FD2xXjj5lyip/ls3OqIj+gUBR0rMhDnn+/Ze26Se5KkzZAQ/H4rUdGW3k3U0
sLwu9vYQlxuts5uVfG/4ingmqRajYFaekOT0q7jmf58Y0b2DS/Q5x7VMm+rFdvV+lfmix6rQlhSq
0ZRP2I5XWh/fawoqLvw/+QEJlanNsDXRJ0C1PW/Zck0vdL+8dqSf0ZMslgGQgjAeGdOGqjfHTZU7
dJhi6WXeTKdHmBWjMkGQAMABV5PW5rw3UzvfePb07JhOQSwYsMOlXK01cPaL2kPn2BRfHZzIuAWe
8P5s6HUa6KhqRzsUaSIOQcGcsrANLCTvzpS8RxQoDhNjQDIohOnQAmc7E91iCMJgD1U8PxQCImE1
L+SmXBhEekD1/a8OezPz5/PsnmCxzdgH6KezrVbQ9e2sNzsuW0wmibDWlmLA28niXVem7q6aT6Ay
dZhyfCmlOS4qtyJTILCBOM6LLhq1DbQf5uA61hcGaycvaUOs5ylDr2tL3MaGVM77zCtOsRvx96R6
skRf9Q0AIBFhOvTYdHa/TOJapy6C/Ulx1nYMQ1qzgn7j+xEisDLNFrY3pRut9++Bm9de+hja3XOl
Ovq2m0ED6uxyH3y6wxXqjFGbVvq2cHtEwLNcyO2cV3VI8yd3ToKe7GKRkQZNLuBeyS3o5bozXoIx
LFemrZCKkWN8dxMw1F1y8IAZ7PwGj09ft1QyxmyPWFChot2kAumRkh4cXeDq9EkY5MFVFPHBzafv
fNk2j2zF3Bs9KUWOiJpVWIxfRN+4lx6p2HZO32SiuIxQtq3Mqs6ZASIz7XKHsm5CZaVN/PxqRvUZ
8UN2LFv0yFzJK0XNXM4KKRANgbZU67VwpvgLgU2g1TOKDR4hYauaftkpTrKLruXKC5LvfmMzRtgn
jd/du6Sdze2H5mOIg609NdtuaoxH7P/5llsAHW0QZC955hHjGinfWo/qHR6/7jKkQXLhFc1Eye3W
BYPxbzBNnpl1LbHrGm+dH9zj07d/pEGPAhT5Gc8YxFt6d8r8qFxU6rgrCap4TzPdYepl8r2SGbhL
2uABpD+VwZYiLxNqe5X7NQ4SpddXqE1Jg/bcaYslPF2NOvYhpDs1pbmJeNseK0U5bClx1Ic6qyP4
qa118Us/oR6ItVaxWgVnp+Ij1naNFZP9f+plDXQ2svZWqUdzWt811jrtiWLbAYgEr/jUJVKEGdyo
58Fj1eDjnrfsknZcK9VrNIYXQzopqIvbZm2M2RPRScUyapkF+1UaLiOny7eG2iwtb4xWLSPz+8E/
gxm3z1GV8x5SrI/Kqce9+TUbmubShgttGBTAkao4FnrBB4O6ivCGQdkgGLXPfYX9KsrCE5D+hPbg
cKQ7me95Zp47LWrvRUo8J+kPgZFASKDiexeptbIUAS8pjYS40mrx/fAyrn3VWQ3O9L0u025neAaG
M4qrC/pWBEiQhL6rqmADYRnJ4BCiRHTifhX1LbOESV30MbJGki3fgqBhiN5X2kWWpVxT39I2sh40
9VupGwVhgDmvMMQvVoEDNSgC/ZCEk0kVo9i0QnCNDRVdT396Qd6Z7cTYP/JtjXsrc5kDxd20yURr
LGxn7Beu3Ypt7KvTRuMC4xGRLC20ulNMdbjOOT/Qq1cXY/YSCfeiRFN07JLmRJnTPA3am92mV5mj
QqZ1SwXab85KWi9Sg1da1dfD1hzfYAtcZC6UHzdrk4/3MIbZl2RyUKJY1jESETLcsX/1AWXctaV3
soOWO7AHlKEOtGzi0bq6BQCGWFiLGGPSFSsnlxYdG6Ofw1xyROlN2D5MVkwl3fxe6sM6g1e96n2F
wXZkjAj2snmm3lCZVBzGx+m67XUbToXpr4a++VD7MThORGsBTBvyXbdDK4CzLR/ac1BCHUh8KmnK
dO5Lx9zqI3FKalEEa1k5qNPUWnn4xxeun+0quwdvGXftMnRKDVQ7H4dhGJcwdey36hmVY2p6eLZF
Vx2QLD76gwgveF7EMW5wzpU4B4fRNRdxUBB9oiw1l1mkK4S1gxKwCTCfHQIKen3bIhKrmf5TKi5e
edozClejzaRH2ddm2o9heGiJX7tYCr1mBkm1hUUSU02IzQhbRjPcBTWPQx0XNHANhV8q/LvepBgw
VNPZMTwNQlcbbzQmIWufrsTSmvj8GNhaRHQ47bHN3WdcMWD9ReUtZYyTbYwrHjz8EFHPK4jvbkdH
JULT50U/yL+2NkSiKoesfQgHp/3SjeqXtuENa5NQuA00vmLAZ9oWGXKw91vQPWRdrgnhHu81ZHzb
HDcBWBCV+MiBHnDBwC9qjNPkF/beHfIXQ4uCk1kLLMyZQGpYeIjR0trnIlTie4dfsQqdYSLuJ/K2
GO7aiRxOMl1D5v/HugnKhemO1pH8jCXhNgRwdwImh+OXZ5Og1sMQUDWdg07DwHpRU6PdNUJ/oVWh
UDzPy3ozzEMLraLhK5ya+pLg6hNOkSIH743F0PThmreDQiiAH1M48bRtx6v3YBCfdSiMGPNiOGLN
DouTPi9CeCxj5bdHsijMTaECxUPlVB5Ci2ZzEWpPfZo0Wy9SSIItj1RS06OvZ9qy7pV/IupFXN96
MMsNp7sqcbw1nTfVHM2nWqmsJ1Kjd00fv4Vq15wJsKlOJkG/do/PQpsi78AnMlGnC5+asTAvZTnR
zyMgcAUoJj2mxEoeAz9BKFz5xrLUyoxsCcEEkbgJJWLIF6iGvkpMqx1Wwg9/EEqabNrANA6WmjhE
H76kPllJoRZ5S8uO63Rh8WKn3CpYxU8xHcK4AJhOyYJMBR4Y/AeHAwxQeABurW2GzqfoZ0cj6ZKK
j0qMulDVk8u8K9q6XJEuO4AmHwQsKt4vOBtBVRlN0V8CEzt9lNCI77LmWehhD+tqFvIhWh3OUtgH
S2ByeSTHtX1LCIVZUF/lYyfhDkaHEu/s4UrTkrF62TjZxRZpfjEGrT6bw1X4ZrBzIp7wUYaoBx9y
TFoTa3ao/IhzJt1Z01u7HtgBoWNwAqqEfYRaW3lXn4wo2ToMY4+VNZjrYoqTfRClzBSCgC6rzQzU
1Z+zKrEvDZretWJ4EW9u3zr3eCN2faqeY6Dybp2lR7ePg32pJt2O59601kmxpxib1ltoFd8Cm6Qi
1UldHHHhOWsq9c3TJxAQPUYhddLu2pqJf5q2BRqUeFjWYZnh/cqVQ6EmX3tNBKh53WNBlObcNbdf
8DqTLlpAEdD9J6gYRxxA49FHH7kKInsOd3U+xsCotoRo9GslEMeAvtEbZt/VZDXWAo9XcNEK3zsb
Q+QzHO7WBgWUQ8dQT7Nz7T3uiVgIU7oHDEIzh+ofPIuK3qagsoOqUpiLtKzdpyhzt27QLHvGrqch
oZ7QpeKgaVV5LdX8Sol+Hcei+DZ06g/Tbz/MPMt3nluPTwXlaUoLT2Ghh7u+obgkrwd5ZZAdsTUY
cqzxH+YrkabePvEt7nM/5Iqv42ejgl/kUM7YyqSxjJnpCEmNtLSxgRLk6PShvuLl05Ya740Fzfjq
5EfaEw1wdZVk9HM65m4bKltM+2h3Ltuwfuji1NhDUG0WETTQRVflw0vmmj+Aq7OLUMFbWt4EKWGV
TWLayoewntNVgtQ5bc2h+eiRpZzTqoaEhFV/NWZ0NqtIKFtUsuZ5qu2XIM+bpwxczznQxUtc3lv0
/x+t2Ayf3EqjQp2F2pYkF2QCrlodjL4oyHacV+W2jqzptjZBjT3IzWA0kFmFMEtTs+GVEEbuXjdc
e1pKQKxcZFn/qlVxshqQYBhzzEJrF3TusQ/9azWmrb0HmEuxOT/IhWTLufO0S66pEtmZNxTAueXB
/cy4UMekmEy5ZCYG3taz0CI4utIJoplJj5KMKClmcnHjrVrlUWtKdV/r7fe4SUtgYzN1XdLLJNhM
rsEitHiGW6+RbUJ77mYq+W1VwmIlyKy0eRoFtZmu6CsXB42X1mGaF3Lzc2HaQbgusSAzMIVGJn+B
/IW3X/VzXwVlgDSXfJcyAZuWSZx4a3PoX+Rpsdwnf0F8o6lLePbPH5a/MC4QZyFmfJF4o9witIf4
oeAv3FFO4fTgB8BhekQZq6xDtOwkGbCXGXD/Ccz/3PQChYGqP8Nl/4XA/ztA/h8/+vnzOm2eGKMU
s265M/HNhNoBSVbyC5Qswts3J7dvsQSgUw9c/CqNy9CAPVIZhwTcjb5szBRBhhtv+95xKR0+yhMU
490VdbEf7KGojxK8J3+vDafpL9yh5AfKI3JNCxyivaPm43OX3H9jyM0gudp1ajId8/3nr5Nn3H4n
ifMpIZjo52ScBxW85iDjPOSaXMgDbcgMPIlbYxkWjy7Nz31TBFRwOyvBU8ttlZRpfWBctBC+nuzl
1xzIy+3zOkniTTffVJ+8ZQld7mbysmHNjicslVBF+uFQFkTECcrzFPXY/FzIfWkwMTPEdBbFjUfw
LTD0tfxDJBtRLka78tc+EFXkIk727EYdUif0AvgMoXvqqD9nXVMw4AeqNjbKebTklPtcFa94CquT
BNxF7DyR5wN+0rO2EUmuvKKtDXgJxMHBs5ZlDzNhbdUPaxxvjE4DX4G8CxalHrcM0MTRMZnia7G2
JOInX9A6fE5CcYV94WzEGH93XOY7NMKfrZx/MG3mziJYTyXLX52RyMSsNkhyDPxtretng8ttgQrs
HPsl6iNzeBGliV0p8k8+jvYAWMGaR8TJiy0YK/wHF/3CHut3anH0ymmMLhCAxYXHN8MvRJMBMrkZ
8YZS/QeaQnWzWQdJkiJqia29Z+lnz8BKrbfnYe4Nt8Avagtoh+0ejbH2llTruqakR9qOJBe2r0ZS
3VEx27bes6b6UKtH56MwXxsrtTCBu/vajz94Wq9oAvL34DOKFAe9Vjl+TMT8KBixD4LGrDO6zsIv
zGfR298UdavWabQc7ObDaeizQH9RiKmnX+CBJFnOEEvIn0wWeI2HRrIITJAMYRtDoPDUdUsN6Ox7
4VcIpQlTj0RbaGLY4zy5j+jcdClzS8+7Cx36if7IUD4zsG4QELp0Yb4Z7ZJuDgUZxxGbngKq0SjD
rEcBL59rDVIH5zFJgAfofHI1M7GDJ7q94rfR3FcINkWQ0D93tbfc2gqXaRaGiRIsmrepO+8+bC5Z
PurrOcXKcNti4TCuWYEDIRRlk9ROtGL4RSPQojmoa1sPsc1iKMuWjhVVSSHCs1vpjyPu+iUWWsjz
U/xAierM317D5wMGipgq2tghn17lavjJJ6AUVvbC3flPrVk1E3XSqKbBzQB/b/hcXJomdt5k0MMg
nnXqwhL6mfrOBKLmlsXQAlxDi0BE+vADKHANG7Bvr2NDYlaRh+9h0Y8YGAm7VYkxmUy75A/WHkbb
/O5ZHslihyJWsmXV8Bm3lSrWHinlMy/Lw1Jr7AxEXksV5Q4OfmxpTdAMzyJpxWZQoDcwShbbLMjU
VVUChIz8wV0aQWM8DeNMt1az4+QGqAHS1HyaMq2+p6u+meZpg9zlg+6q2l57ULNR4S1kusCMpjfh
CfMM8dre21GcLnHCJxS8hb33zcF+UtqgpIPuqRv6ivlFNz3chKq1d5kkLvIy4wbVQ5vigQnqKjfE
irg8SqZFdm9Y2fQYBMUqB6SI0sdjxKNy2bho/NC1oFfSaaNRmai7p2EYowtociiGpPrKRQPlDhzM
Y5SfQo/fFJX699LRXeZYXv9kG8QlQTDnVTj9SMKwPQgMa3ehjie0TzdklQmeVQm4A3uabxMlfPAD
+xAYOlF1/sLpzO4IBI8eQdNCV7Mf9Ea3HwYthKQ5dXdqKx7LrPoI1NTlEPi4AVL91TIwgvWqRkiZ
Fus8NSrENjn4eSgrOB7dapsbtX7RmNl1edYcEX5/Y7wDnpIyInW/IWS4aPQnO3pJi8hh9N/DpK4H
roL+CaFHA3K67xea4zJ0KhgWEslXWo5xNsUIfFIgVxzQNWwsBapu30bmkip2QtnfBgwaaCdDM+7L
rqO7ZPnDmnJVvciVV33orLPeOKcB3dVumspwlcLAXuGUKFZVCOECMV6wRh/+Y4RihbIieGwozwde
kz5bPXmztftoBhbPlfg11cb+5LljcY4U7UGqbkqso3mYQ2MA09hZ/PP/WVmszY6B34TbDqorWzdx
c2iWKv60WkydiNzQ1osd8WTxru9oejeppyzQDD47iBYfh7SuVhUoT3MWdwwWjKn//F8Q/+b2cByH
B6qqmRqmTVX/Q87uepgoIwT9u1RB7uS14gqkIV8phAeteJG9wQTOZ0FAsXFxHV/IbV26ItWWCuTW
ZV0SZ5xSODzOYlO109Jr5/hPDc3lPdNV9TKrQGU16r/5X8+C6z8+OMdWwaZZ6PANVO+/K95xM5AY
CpRmF7uNtU5MmHF+5100nchmxAvG1iQmbzV02r6zxmDLtCl+m/SdZsTvYT+ePHAg3/CuAbl9t4T6
klPMofhj/kCgYho8vxgCU425q3MzXKSErB/+m///v5kb+NRxyRqW41r8GVJw/ouJYKyBBvealfOo
yxi6G0q+CpuaPwKebYygeo8qI1sieeo2U2J/6ayQx4Nxjhq3WeciN9Zo+0+9827GUQVCzvnizhWQ
MireuPPuojnhbyjyflmnUO6byLgYMK6W8o/4f2ID+//n3Prg8RNmeLl+N2BRQfnlK/o319bjj+5H
lf3v//U//mf6owrjb3/zw3+5tzTtH3R9MVsJU7gCZwpmjL/cW9rs7NJ0W5BCrqOs++ndcvR/oHyz
dXqCBh5ortif3i37Hxo3P1ew7ZoWKmTX/r/xbunq7Ir5vDG4nhyNF7CJXQbzltClSfuXCytBwJ/R
DzV/ICozCSUWRvWaafZ3X1eCbwUrSj7cVgyzz45I3duNK16cpHFfi6xQDzpST/qyPUbPwsnp6+vt
VSVg+Z5OPC21sHyDStetk+gZ/ERGz9fwjnLBi9s7NkYHMPVzWyiBcuxTQztCBLCNnUWkNcEEE2WG
n4ukcH/dDBkqHPN451JUevWLJKXsyENHmTfLMVPXfY+iWlil8Srs5ntM4eqKImahgV3FLwXmDAXn
V7Mol1mjua+dP2xMN2qQV6s2eXTJbLIYZ7uFXLMKl56X51ugDecjchswH5B7xEkxFri1Qfojigqd
WFCnRx850E2nf0177Ci38aRcldxT3yPRJDsMMEW68qf0I+hpAXeNKNOVi1yzDU+MZ+NT25rxqUC2
d1tYxoBmcMT69XMXVDx3XXSdtaAHRuC8GiWnyHDvKN/OTqN5s3DeKPmgGFQCwKMkkTPGYOEpMQu7
xAJcZP2iaYiVL1CfWSlSF9/F69tcNL9BSV4oBuRZIGii82AZzYnTgV/0Z7+on0sKSTPS3eweaHSE
wBLrFWY36zL9zKefd1mdQYfErKv7MjOq+5+75hGq5VfOvTk7ZhQXtVOvDeZjNQ3NQ+l/A5uYwG6q
aCBXOf4TEAiUuMN2PPZO/OtC7iuEPfxyQO7jrfL813fq6OBIaGppfXKtZEIyrdptbSDmquZI5aEe
kcGHqdhTxtVfi/57EIJqsNrUfSv7tbxWMt51IK10OrSV4bxVAjLT5F9VtCSzkCJZRn0dvci15Oca
5ezwtu9zzdYF2hr4LaQgolXT7Myk6ufxpcntPuvMLUFG/q7lE1gpDHMXghTxe6UYwLDrE+rJXliv
ShAdghFujO4EXxiEwY5y7WdNcG2HIsuP6cDBOItrAmeqaJu3BlXGwvNhX/CuWXBF53Q0RE6HO0AP
bFf5hdlyfinJo2WYVRX0azhQOSO1YnmYWANUumXxYbckMHvJ15snmV4+Ym42b57k3J6Ug97mX7n3
+Jt+bsp08Xraz2/f42Q2erkwYm75KEtif0WkE0rVfkI0NO+8HY9q7d2C7rCzUzNc06uwlm2nMHA0
lQ+loV4vnd5gUJdOZCfTS5f01ODK0Id/6fhNgjIenTDc7/HOnczhtsiMFT8R/rrHpw+alxVkeoNT
hwQamCHwANh+eJ9DMF2IsUo/QgK4h6gdXrmYL3ZWQt7jUSAX0phlzg8JuQlAjSfF53Y3BVcrgdVh
RwLR12hj0mKLG7V4JXYlOJp6BRlp3k82WLPo29G7QLbJH6BsP01adUEzlzwEsQbAKw6sbVAnw82u
/Ztb+zcrrf7nS8HlncO1p9o2uknXMvXfR0vohZ3aUq3we8TgPgZRq9AqJgndQOdD5pSoTxZNqYd2
cnhc5uNXFaXCUvGb+jTVo/5A3eN15HPbJCOi8kC2L+brmKsnqqJzXVVEf08qeAha7efKRJF1O9q4
+a4I2nvbNPL10Lb9SW3wZ8SVE63TfPK/ULG52rWwvpug+EvLUF/lqSJgKiFP7Sbxy6m5jdM2V/Q7
dGXaK332fK0VWrCqaMgB0GUYNRXZnUNqRSyiTR8Z1OznNTUxZtIPvo3b2u9H/zxPGUKQtTMb6Pfz
cqdG2l8oIVbDMGfgKzss8HD9TTLhuEHEyEeAbcTf0HbxUE6D819Rj+8XmILBe1jkA2Tq4O9qr9Of
C1C+vD79YFenQjzLo35s/nW0DkmPkUeLMNKfUXO2K+58eZd7fod5zn77vMdv+xvHiM928fWXu1uu
yv2cLzc+f0je+f/6XfIBIffIsyJq7Ju4IGg90sLgDOPdoFUgyMSezQFyn1z7XMTygJ9QaSKJ+Xbe
350cDJ63+2Wodncb3fx2gc8O/F9HPbbGIMqwhK1igddvQ69fPblOKah11Vb+DhrYWWUepoEmbS8R
D8pxMcxNNLT0wOnmtRyvyt6q6gtA39o8yJPnTdScdNxc/aHqBK+tCMNHT9F8F+CaYDLOZto2/gMV
Teo/vvXYluWwIjXHrDeCtKbzEGcZt5UzMmCI5pADcDmkao3ZXUbRjy7Dtk09+hadiMMfAtEgyeAE
9Ey9UZ0+F9Js6MyOw899HcpQVUM8ZQsXcjTks+Yh76x9RmeR2q3+qgOGWo2FYe7NRNGpyTknT7jF
A5Oy/iFqvGNdZ/FLYV+pGcQn/iuAz38uHFha6Eg7JvV1os1lBRj9blevk0GztjcziDeY+7YP93Lr
c1FocwZqQOJ6MI/mPhdR6o/7rocr+XN/Po/yBFEinkkcUl344/FzMXXFSP823aVpI3a45zG/fB69
bduB8Vh5eoqAWy2ouqgpUCEAFDEDa8wfYbySm3bWAWYP26vXhTZ8SucZ1y0jYa0d621vWk31Hulq
BtbayOiDHiMzSKvZbmCCw+y9PTY685GJucEXr9ZLajoI28vyhQb/AZFw/DWlLrXs7TG9y7JM7HpQ
DgiMO/CIvW5CrDGTNZL/dBc7dQlKcvSXcdrlayvOuP19Kg+bSeB2HkVknwmabadFZDf2WeSKdvLK
QRuPreNG775HPd400fmEoa3t4BlkVAnS+IEQdFxv87OvGxOHrHs8xuo0HZhlZCcUG1x13CfZtsaj
ubC8TrlN+/7L14lwf598M/vRXJ1Ji67ZJrAKKFa/v04Gvc9A0U76exP5RfRPJCTBSjo5AwULA45c
DK1YOuUutfagvsMZXMt9U1WOd4pe5mDAxYNIojc6POMh6lwe6vNiNAFnGyRufO6ywhrLVYmAqGTm
ezst0K0Y6RIxmnKf3sfaCkaExb0XGGsrCop1NgUZ1Tl/paP2fGCQGTz+edBnoG4kR4zA073axtpV
5PmHnFn4feFtEQwPa/IY9FeiPBB4UV/C8hYQ06Sm2TG1JgZyBg9+Of4Z57HxH/vUeV/8+3mf+xST
OcltoPXHz7XIE49mD29tUvy3Nk7jlxp/zJoGd3sUI+1oa1I7lAyx+obzf69qrfX991Nju2wp5HOq
Sd0MI/7Q8/yhGiNvK3m/fd5gf+zLZhTo5KpiRUHT+OVGjHpivPB2xLcBfZkl9RrpFe+/JmF87xv9
2VLTmbJvPsIycw7AAupTGQTJVZ+ar5Ptqi+RZUVHI20oxc6b6E2NrR0H2Vpu1pCo1zrM1+3t5MSj
m5101VFu+kr5hZZTe2V6ob0EQPkcnSRQjxaOYerm42gCPC0s7Yuc3shdDNWOYZeGVzt3bczjLuxQ
ZiwpZc4r1rvlSOpysLSz6raZSvjOOPm/bjae/zRMoX6kBF7dV1o7d9FH6vWw2w/u5Fn9qmnH6EBk
wj4Y1HQRCYcx4giOZ174Ka0+uTkRDcujz1197pJr8jR5htyUC7Wx66PnaaQWTvSJW9XutpnjFBta
WeOXqDHeCxSRd2GoVw8R5gU4nEc1YbSmjAiY8WvoOAVC/bWC+o1Db9QP1Xwl49cG8q2NjyLSv3g1
CkJttBmkeMMBnkb63ATJsZqRVXJ/OO8XBt/p3+y3A1UcQkWfbvSCwXLJ6pw35UhZjpE/sQZ/7Gun
ZleRNPDHlSc348x8y7uRNsz8VvjjKr29CzzBTMOvdxm43pORAQawMcR8tfLwOZ4I5yVOhuyZFKBS
Gr4CWCguuOpzCFS8LIcyDLZO5ZXIDdlMtGAi6UNZt2CXLkjtu4Y+ZdNahL9Hp7B0lKVtmfWDXOg5
Kt0otfWD3Myo7F3rCav/fMaY2Q2oXZzxDkqqq90+h4NnOwu4whmqto56ZKiAiYyc9E7uMy0tugr7
2W3z307LzC9xX0NzDwrFvTfGh4lY3xzJXaag3tLDjYkF+VF1S28+WM7TXBqX1/88qCKw4I9BlbBw
X2jUuAyDQpJJZeo30EnKGDD1+Oy+1lQquwfDLlwcvSn9z7kUo+hYDlOY4Ce5WSXqYuob9VlDqnC1
Uu97jhqPHqRRHFsvgxhGyp7ldw9yI66qegXBALHbfEwZWu2sesNDbkL/Xsax+qPM+WZJfTF3o4Y3
wxsGE02q2/I4L4t81VejtRPNxOBrbKPvZV/oz2ZU9Vsgyv5abgYuLQ2BttarAxfZHbKtdtV3BV9U
nmMczzzXuHeCaS3/Cymwd0JFLbK6IrV79IhFvWdigM7I7x/lGbgtmPNmSb6XmyVzrQNtK9Rv85+g
0VBclHHYbzFvZ6fCGGj2ITK3ZjDDVDaFoECl9mu/VZpl4LSZtZKHakX96haOgTmZtDy/CpSlN09o
5SL2fkxakl0VU8m8Bba0dBnS+9j6JpDLZeFqOGnMYxuKluwgNXisrbDcBRXWe4U03lelg5uQuEBM
50luCQ0/DkrnjWJzve6GsDrSkiGcJjiiycWZNGopkP7JP6GQqS/yssoLPF+3oz15QkvS107+fDT0
hnubpykPh1A7wO64MwNRX/V5Uc/KNLmfcfCd3JpCohQR6xwdK7bvJqV70/1q/FLnPjavQkmRCPX+
ETuOtQ8y775J4KHK8g0QBBzTcx/dmq95uVBS7z4myOostz7PkOUf+VM/f4c8I/QHOpdo2BZyaiMn
OXK6IwCzkff0/Y/dchMZb3D2u9uxP+ZM8pjXfv+cLsm10jh3tVNZl/luLpwoPum2GxwYSjuQDMz+
rGpoqXwnGe47RDarQTWjlzbAIZc2EEzLtIHQYHj/tJr3LhtxRyngonNrEt/rRvuaWbPzPrZIeLJQ
VheCOYZQdPssB5JyCBmaNYnwGppSOdYM5mGlPJA5j1bAO7BTlXlOMpB+Dt/c33qjSO+AB2Z3Q0az
ze3O5JzfO35gfPxcIevltif618p8CL3+lTyh+DgrJ89KUDOM7aseMKGpUF2bd7pgOwgtRb9BNiNs
kzAy8bZTQV4EbaNizTEQOStq7KLO4OnZuLyWo/GaKA5ywsk8yeekXNh8GpuQ9Prl7YHa1Q9JqasM
kUpLWXRGJ555nwebuNSLTQkf/Tn/ffPzaCRihSAdpdgmTWnuUp1SqW/hLA/nBYRsAi5ymC8tKv9N
r4GQ5unxpDVNce2oHz7PW05kFFeMKEJueY057bjBwulFq+p2a9pUjLkZLyKMjLvB1vU7R8E0qQ1k
W3S2oXgLnDXdJigt7DPzYWM+MRyC6AR17aKEZTTXUYg773R3GyXVdCCQNTslCLEB0FZcPQi3l7Xp
2a+lbX4Mk5n9KOIZFE1ZC4HKuFPKangn+4hoq7b2ViOyVxrDefWYK6jBEW3fo0AoH/MIJC3j3ngj
D+phY189xZ3lCeWj3EXoirJoGHHs5aaigmk0/bkn1scNfJc+eU4iPTlPyHkYf9d6vUnH2HoMKG7p
oes/4A3Xr0iIYkrpuv+Wt7G/xo/egN2Ygrco/za/cF+nNmiOdD9NiKycpdOdWwSuUoKqVMwns+u2
AYLFVdvCEoDS25/1grxRbQQDR8WnBEMwb8cxHsNxoIaMdWs9TD0F9YVjDHPQTiDm1JoqPARh9GXI
B/eKxcjFEMZaKUJliSN7xAjJZh/nw86r0Ppo6UQEmRfyZHIGjDxiU7qD/Vp0wjv66LeWGRPnkrBB
6pNVpHDlaNECj414DhwzPdc5RgvRWeLZQO15lkeHLOqQy2jGXUcvQo2qD68pukPeVk+zX3nfzlV8
d67i67YaUzh0uoVJMNeIQTI2torHD8i/WG7yxXyYs7q5wBFB0yKeXpx8iPiz7X6E+0lE/dj7xTe0
aNYKwT6CA2zjF412w+2d8DdnFL6qbVwH0X/lJjsTOPSjXNh98oMo9/Ikt5pCtyimQWhnYO+tFQ2t
oxFhdNvE9SEqXBwtldPiaxD9XcpL/QjvJUK+i3Ze3vxlUmdbJFToMeebv50hg1ndHT2jBo5fpJdx
RmyYDqDSauqePKXuHlRggLyElBcjM7H6Y2pc9PNZUdHb2wjz81oeTaA6/B/Kzmy5bWTp1k+ECMzD
rURSEynLcnto3yBstxszMY9Pf75KyAKt3b33+W8QqKzMIiVRYFXmyrXgxq6MK7aPARtnloaUKn8y
gNHIq8llGGnXaWg0XW1pZKGsGWWQHWS+dZwWNB0Kb8n5Gycc6N1l2hs0Vj7LBcDdI+VVB5xE+85B
gp2WdPDgsCZ06GWdA/24GvMZGcFG47+MVnvOj9SlujlP0ENCEM6z+CzV4aXdj+lN7OU7ZC3fgT0w
91NstVeB6+Y/WxKTRhn+9Aracg236z46eUBBzOiX41QZxgPoqYm+4cbUkG02569WntwH7jJ81CMP
1HLkX9jtySJ3G7ofe7UhdcqxuO3A3dMvznZ1zV4FVfpMj7p3oyXNk6POHXbj/e04pf8urILg2S9b
UhgWxxF4AW5CRFMOMF/NX4bJ/rvTQ/+dVU/BM83aJ54SLe2tZbonnZAq5gznqNuz846mafcKHZ74
O/+o7wfkUD/atAjeVmZhHfSkrE+tVUJfX7k/QYm197SaNe/1RGH8Ro0PdQvZRqrbUC3X9E21bf9y
l7/aZFb89LIrUC/lMah8xcNT8Z1dTv+Dks8UGsCLQiwJd5eEpGO6ZCtMy3q7e4a7ta+B5Baf3AlN
IZpAfPvQxqk7H6J8h4QCVVPXgu5tqN/HcOncyEjsZC5VDVXNyjg1Rx8RH6O/q/ta3+tzrtE41Bd/
2I4/PTQt2UEZdiNyZoYC2SBvCH4meDAWj34YJIsiJ4VTFlXH8upiXLVwu6eIeb3MyzhXY9R3531K
g8LBA4tNhSlc9hMCsJ/56oKbVu/yo5Nk9ucpgdDXL+aPyQBbYJ16KaTpg9Pd2BoduKbtAflWuxCw
cmwQeiU4lnTlTTnN91EYwl+gaXT7NRqNSyWFkSKuUF2zafQa1USQoaVw1c/0I4BsCyjWGQ58T231
YJqUPQ3F/FwF0MZcDVFfP+hBVkMy9OuukRkZW+YC7wJYnB9TBWBcHLVJf+x09ykH0XLK5nN8krvt
IjZolJcF7jkxl1AmXLh2ZlTDHGMXbE5p2SnACzxnN7IBlX0nbCj93jMAYcpwsJPwOVjv1/keynaj
XG7m9asq8Ifo6GZL2e7mEJb61AuRKaqL+OSN3T4sBu+WvzWEQ56bwosn9VkOTVdabjmnXPfMz2hI
UeOcrN4++SPVplwNISgwDhWkLgfLAE1dLW17Kvy7JvDzzyiUdid9gNLI74Lki0lqdd+UenQbe0Py
BfnvP5K5yd/DKGk9n8fiKOZlIcGAsgkMGkGYPUD7MT8MiTtcm1OXPaLW3j6GC2KUiLTH34OmvKfP
xf4Eiah342QO3UVnH7at1qW93jKBc/oO/bvqw5UNIeW5gG6JZo6fADJ8ddWHrOvieZfUnOzmHUlN
D7kXLX2eGy8/RtCNZWbYZ5xE6TteKD3uEnCRz3KxK34wuAxyKESj7uR36UnsU+td5eWYkzzBtaI9
TxbaAv91sR42hVyADKMFn83sVNbhXI/j46juZgjW1juxyeyobLQRWgdNO6MBftbJOVbucu/Qj4/K
D3fdCN3HZqMkbV3pYw4Av8/re091m1tgmfW96/X0s6z3BuIVNxB90vwKdvTBoucG7bE2IeffoqHp
hebXyCzAUYz23203gLsdje92DfW1QSfco6bFH0b2sNRKOAXPr3eaDf+Z2La7/x+/xO//F8+q/gaa
xsPBhiWZDJ4DVMrmToGoLrAsetBMhgVs/vOcwAcyXmnAUuhKONBDk3wkH25xuRj8mhGpAAaZZcQf
RSigmV/cpszctx4ddXTpl0/UInetmXDqbUBu7CgRpzdFPYER7NyzzMrIqYP4Q2mUlx5ZO6weMilu
ozXnu8I16c9Ua8grlPy+4d+Uv0KaUoFfFgU7iMbrwCezr2tlgypcY94DzwmPdJhZ+4XeiT8EDI36
1PBjLN3rvIjsv1V4ZcXhn+fYR8lFhXspFRYJR2XB21lOycO01mlCPffVZzLYwQ0Z0YYei6j6nERg
KQ1aGu5lNm+d58kcnSfNLvqPNmV1MacAAU6LQyPrCJMNSZ48vKEduNnLbKbWCKla3Xee533skkdI
IsZ9UbHvoCEI3SvZqtayRVf70iIc1XQaXYttm9DHkm26RKeVRrQKkYvsZy0VLENZQVy8gCZCe6i7
XYWsrZFk7NClSFDb9lNFN/fDVh4gXeJBNdvlh9VvYOd6q7OpgajKJW7O9PFRLbNVGSQY/teniK/a
h1rvOKjJMhaH1UPdleUhoEwYH+Mm/g61T3Rj9MM7OTZ6jdG8b9uoPerN9E5GTdm278+e2YhJTphi
t4KqPVoEvjG9BtpmZx3rZQanQyVrr9OyfSxNPz3NthHw+BuHL0afnVxVNM9gcUm7qfi8udbK9ZyP
wS6uw+FLZNFGp4rmDd9NphUWn6nVvKz6xvW3VenDfXE1cj+6ajINgjqztm6qHLCkFgUlRGK2Ditq
YqwX/iWNY9Wkq4vYxWNSQsU5gmy7NEUXNTC7YncOEvOBTZH+oUjmZ0EiiL0Go/qgkRH7kGvDhf13
f9nYhhHyBRU1f92MrZMZ6PoDHxKXhpC8+wRt5+c4C0EVFMl9EwBlixJt3v2bK6JZiOVFE5SLXvTB
rwznI5l1EM9F7kA3pLUfEFqnOQ6GhB/8Dp9Z1V096HMID0szvvOp7O51VTnMyR491qPzXmrEYiJ7
876hBPEoRWTdyM09glTmXoa1e44fOVW+h3fG+QC3wXI/uuGj3yY6h4oz9S2Qy/frr1x+q/IL9ZJB
nTmYLgrLvF+HMm3kVu8eXmfEtk6vayBP00LdokXf4dHdLSqz5ATUkobO6E4BNODHZgyDXdYb45+V
AV1NoyV/QW1ZXDl0nX9IUcqDMCJebskd9c8wqyDirFx+Xw0egu4E7QAaYlkWInXvDH+2QXWT1cN4
mq2Y9MvQ3pIVjL9rQTrTZeWEJ7ilyJc6ZkWL/pR8T/34YehRfoNTTbtZCocDreZVnzu7uhUHODpo
SFSRDe0ykMJpVLcaI0cFs3oX82F6kIvrD7RlIOyKpDDKs9sETZdKaOPVUe4obNJI/mpDAbG+nqL4
P4JlLXLmP8yYnK9scrMePGR6BhhiqLycpS7rxlfGJ6As3kk8ZWpzksAwm2HCUzvkNUYc6WWCyaj7
PDsQjdhD9T11yvm6yl3/XZz7Dl2IyRn1J91G3dstyWSd3b9ycIPiG/GIvfBNXIT2+qx+d45p61NI
iA0YsQIlZmuimY3ZDSwBVm46xQKjGKBRQAMY0hUVmyC/MZMGUpgJmQmnap1xkuYeboLx3lUNyEXt
IfSu7gBBXwEcn49v7AA0yXYwSRJtPq7Aoc1FRRlqQtzSM3VYQ8k4mnNvPw7nwL6LSvfZViOQ8xHH
EbaMjz35qCuOohyr1DDMF5RHXr0lViYkzql3JBmKdb/qNRMkC5AZJj1E8x7l3RtbD+ZPHnStsqGF
nLYmKRFNj1EX0vGu2dN12jbJd9iab+vXSEdFur8ik6K5GSPrxrWKvviRfg5rAGXUANIJEux4H+uQ
0pyaStsBWwVfJqjZDVkbxXzzrKDaWGvBQ5E6hAXyF/D2rWMi7m49N9Qi6h8pmibQC9Efji4wZYRz
Zph8YH26HrQaafH6DERlCIArgTrZizf1qF/eC33KN5oRwQxfQbF2Zb1zHmF2U39YN7jO+A7dyRBV
NvCHQkDa6+PLzGpcFPbQUJdtRhwvArfV6IJmIXGXwGowLl9nXYeq51UAy8NdCMW2O3j5D12jV8eZ
5uVpaAznvjhrFnVklUxEO0bUpsQj9OBUQDP3WE9N91wNaMv6qRbdGXDOP+tOp72HYMc6O+Sneej1
t0U98oFTk/8UMKsARDh5Auo8viwb1Suvb00wcPqTW8EkAlvs9CQXD22XvVVSlu2E71pdKkTLjwDY
ThUtFC2JUR0J819R4rZFySK+N9PH5dqAGlUpug+v48oKnuy2at//srRzEj7JQMwL8oCvlkHhiQEk
SpQMxBEL568AmUmmf1tHLOLIOguMaLzTu9oYHYrqRhnvwO05DzLW/aEAGanG6y2F1L8MVLAOfZm6
q484rt4BGYF1IX5E52G0UTHypu6wxooPLWo8n+WWItOv29VKrXr135a0LJfOsXp5ACrjHuXiWV+r
5Gw/xL3xYtnmpqigz3LJzRGmlbi/lpnVGC82yO2x+lo242XwZE19vRPHnhQYOmbpjd1D2mhAFHk3
GMl1lNTIM5f8kxZUQ4Edv9ynhTuik4Drf86tljVS/FbDv3iLeVtuDJJpXVgmtuHm8h/LydTlu5NQ
pJv8O4tP++gG4zN9+yXVLBRMij5Pvy6QWEDmOFnvKGO47yD/UkQHTOhhXF875pKfil7Xn0cj+Fg7
gKTm2kVZzRm8+4LD/1MF0gJ0an5HlfS70fK1zm7pZVg5OTRajRQNf9lsztTOFa2fpFdtWoFV2D/Z
hP+iEyYMhKWvtSYBHwHv/j4rc+oF6p9vVoij2szh0YuTe78OSdfIvxbk1n94ek5y//V/VEIbdcTY
bKHGPnfii1GCyrpzbrJ4QGswADOQ+m53UylcxWJT2Cor23+kh6r61LdfBG7ha5D5J8jyXQkYYwuS
oWnCj/9bEHH0khq8z1iRhLuRSm7JtWzJNlGGqB8i6OgqxaPEnFjl0jvUtN2gm3bitE28dbwc2wFJ
c34j1+YArjcx4QqMjS7/0JHr6WZv+hLUcDKMQwa3oUrsipvl9fo7xEjyD0oTQOAopRu8uMnwjRtF
39VtW00WF7fRrzxoOdACfSUtgY8fGv3IvyP/TmZQJnKXbTDnmjtwehHVCY41Z229CLHzOgTBUWbs
CS5Mr26WVre7Afrg3RYqd+LsZOx7Cj+C/frXuk4fh8uVjJOKtLJaeJvdQn8sYdHegVe4TUizAQVX
6M0UXQfjgJhKc+Qg1t0FowaDc0kviNj6gQ9p0Go0qUgDRUJ/aABSVA2ky8IwaBb9ZRHyDiwTp9An
T8D3jIphKdeI39bQoupnZMKSTE7aA7xFrWT9KJp/h3qWfNLqGND1QMVoxQfp/nRjh5a3Fy/jn4Oi
Oh3vgEL8hEZIu5Y2VmO27RMbpM9J49Dn6tHs6qGZC959HcCz9b2H+w9JaKbYLZa7dEaGXoYmGZZb
WWudHUhZqrVkJAuyVg6Ae22ZLbLh++DDhx+bCH9KAQxu+xu6Gcd738sAYDm7qmmrYzEm8JJs0Fmz
L+fbLG5PYqrgAih2cqvL3yKGkI2vXX/vuPHf0ImTbu7UdlQ2m05cJrdG6f/c9rBiX3ezalJFyUgu
MinhEB2ukwZAmPvzwtZxhhl18WIUutXGQ1c7itmkSlYVwUlMfVdWRyNKP8mcXCTIR2RpL0M+je1z
3NgPSeb7p7kfg1PS98kYkLoJEWCFkm/y9fhLh3rP7WDEsEgrMD+P6dU+wVl5C5f6i135Z0OSfOmB
e76xu4mX/4+KiOG+6UIgneehNWU6FkqwNGTab9J5U9gZPZXH7tNLOi8BArK34eLm67f/0tgJO+/z
1MBJS+Wq4mBJjaX/EmrueOsYdUOZh5YFF38gey/+m/13/1qtI60MtEC99Zf1X19X1g9s68X//7B+
od7nP/i/ri/vX34ueZ+vP9f2/uXnBfixa87wLJnXmm4VtytxE7zSZbGSOG1PRkcdpKDIU1Ni7dWn
Ve7k8jIlbrLMFgpm+N8XTKwwX1/rTeh/XbDqySXUjf33HHTeU44++ZOdAdNyR+iCkBf3nmSitjh7
lKFtXolLXDge29wwOplNd7eZxDeiQtxlhfEoI3Gd+xIqtqrs7t68TDW43X6zbS+ToAGqXSGIFZ+S
ob6TVSgud9hYnvYN43F7d7L8OI7d3Rrmef1M52DzCCHuexeKRygmXlsVU3Ae4MLP77UsSrpnmejj
LLnV9ep9aWngCdvfhzKrIrZFqDR7u/8O1jO93yXAyJXT4AoxRmB49NDTAvrmn6tdzgNHFcv9mMNl
TBOMQZeFPvY9dWH9Txh0KhLFjFw3rClFJHZ/jFMuYxG791CZXmeL63ZXYiudGlJduZWYLg+ivdXC
jNtxZH1xqiabiocs9PoKF4HrbZ7U6+qy2EXIuhAtd2BlqgQ9UPXeLpxkPBrxsL39NcQCclZYVQ7w
OlFs59E5qWjcrEq6OblUPP8ux+x1ygc6Xg9widovMatPoWZkel1pta73stTFnIzNfl5XaeQ1Lv3F
VZymCQaiCRY4ElRjd5wGTkwkkmegp1V9GFA4uxVbTPGHvk017dmDE6zWi6DVoc6qNSijwfXFP+q9
vjtGkOw9SLxc3M4srukCIcnZjPrecJp5RxpPnRC5iM3Pphnavxa0s8/XxOojgGZx3OIcdZiUic32
T2uJi6xv9Wilymu652Pv1PY7QS+WaD48DJn1zBmF0+0StA++NrZHf6hIQ9COCd+OBrGbplrzJALo
5RqRzDO5CBUxoP16DAT/KBFDbpz30DXMTyS9q9tAK9F6RH2gvRp8LT7WsweHycC//i6G5vF6rqrk
2NOaMx0aA9wjLTRzctSVlWpLdsfG81ZGpqyx+pzrvH5Zb71lL3pabON8uw5Xr8kP8+kgwbMP85y8
nryJiwXl9uKdxXkKsVGeIAqv3vNbzwurBI2Ldsry/sx3Am97fV2JkZ9r/bnjuqLzcBmQ5wOpAQYD
cQ944kgi/QYObCbzk9dZy+0bu8AHwTytoRuYUO7W/hQVap81BHRUBvNN/OurCtJwi9/Qh6+vfNHt
In7yqksQcJL/hVR88wr/9ZUlPCnoCNy6aLb4//OryvuXd/L6qusvcnt3r6+4+W4/dRBDhheeexBM
//3hziP8d2l1nu6YfMs1fQO6Cy5vnu5FY9Bwy2/6I2xLdJD+MS/8v58Rce93bamXp66pOa6jQ9eH
c3WrGTTe3ogt68bxpmyCH0sLudDqHGYptFihNX3UqqaCTpcFYi/2D3ZK29XQhg5bb2qn15CeVofG
NAFmoHP3WKm7ykhoiSMBcNWWFY5ilGkPtNuwBPNJRm+XEb81JHCm/LaLcTfsKbuv0XNLxxA+qla3
ToZ+jpYrzfqR0YAAT8erSVz8ZRluEtIHMImV0GGosC1WbJBIe1dAwvz9NrEuKuPi/Ffpx/NxNZX9
otEg6Lovq05Q48HfXFQPIRL2N74ezneB3cbvUNWrdggOLl9oX3xCtD78aUD9WNX2/O2skwMxw47M
WpvQuNKY8E5BlL0GZcmyfAHq/oQW+o8st7I7S+WnAPOFhl4eI5WaEkskWScA6WiNRRpZSOUm02Oq
lcPVNv5tARmMkpna1vIy+7wbUFIH8m3B+SXcDP+YVV6Txdu8rjcNjXQ0JkpaeU09r06Sca7PZzrM
W369kjufvXHfdQOaC5KPlwx8FCfa3rJYQowXuXkd70Z5D+Io0+F8O4UzhLFt+vNNcWQthGie/cmG
Gup2rB1ARJvPoB5aKkzKKWJfEUbqaSI2FUqJSj8UWXTo8mRavs1pDau2HBnH3ibFwhcku28FqxFW
6jiJ6jraF0N0tza9B13X7Ocm81AIp0PkOprOzT51Qxd2HKXbvY1HI2v4yLT6Lhqmr+mUN8+J1ptH
vTUhI1A9NWPXfgUc0DwPIMppRuKvrHvR/PUc9hf+TuRd+OtL/XOKtLjpdjVZ+QLRgvvBn/YXdUAp
8rlSMZTb333EJLVYzTQoKsrt5pfSLrOZ3i4lMym0i/dmOO8Hb+zvmlQhCTl2yFF3O/mO+vKNPlyV
M/9V8tmOy2rSzPz+dvOXO1kjTqaLyRF9zhGV80fbQtbTra6lY0567MQCH6MM5OIAAH3Csv4tfKS3
1EgipCFP5lmDRERz55wRI8r7yrmu+mr+GrTWF34O/TlEf5AkXeZcR7a12jXdX56jM/bN38M/NrCL
f89/KjVxiAzt9hHO+/DTL86SJRv5iCU0xEjvYOEOEC4kEWLAirOkGpA2MHTFD/cSJF5u5L4EnSFQ
uKWbKd0npGbQlLM99DnnBF6ggX0T8Ob4fnKzH+fUZVflwyI+taV1Euctgl9IcgDKSoHH0qv4fiDC
gFqMFC/032YYf1/83r8rZtUv6sPjeZfqnqIKVGNpCdCmbPXZugTEr56gFBQPuchsn5+/2z2oss2u
Wfb5Tnw1GjGf1oXVmq7yG7qnMfLKd+srvboWRkurlGpIeF02RRD3bpDGhW1JmW1qv7/uquK8z7yC
J6q6RIabc3fXzOOLxXbLSoFaU1L3bQhHrOZ21W6LQCCH+W38byvIitAJgocZA4qfFBoT8pFXfWuF
fCCBrzhBfQuxcnMvI1tBWAJ50HhMjGpCmKgBWny38g6i4itapG7JtAynUTeOgmoTDBq4c8gKEY29
XuFqCu5WawNEgi4n6Q2mltL+W0zUN1fTr4W2oH9daKooc3Wp9ZOMlH5fxpn3aIeUcyjG+1/pl9lL
R2nQdn+f+zH6aFFrOyQeyobiGsNUsblqKUgL5do66aVrPvfeY0txbdfX85tVxTWk3nyQN5AkSXPr
27bWeTeJ27iwOy5skYOIpi6O7DsZav5Ae3VVTNQbVE23XE6TopWRy9x1n3owN6dM9Z6iq6go5+dq
L5NIsVmPTmxc+C9p8wmy8vaU3oUZh9XvbRhEN2YD+U3j9u/7c1rR49J/mvNx/jJHgXvoKR0gvpMo
DPSLF8uWYLjGT1CNh3coejUgyM0bzwJzB1EXhzp9+gauA8a0JLefW5oaD2bR0UcKOP7BiKf+oJ9L
lJhQqblaes/51hCOys0aHsbp/DYc0RnjcO4D7Upr/We0csJ7w6ih1Dy3fnlLU2O/4rdX46uPQLxX
LgLl1zY9xA7JFcT58ks+85F5nDyD2gO/8kK3lsexsr9YNHh+lDk1Wj0LyINeR5ZJzjIy43e5a15L
NVfKs62viGWmyC+OamKr5W4u5pCfjz7ff1shWNzEQyZ1FMGgxrNf66odz9uWwwcU4ZTlEA8w//Sn
gVIL+yr0EsKfefNDj4P0r7zk0VtNQ/NhsCAt4ZcAPR1NbydkjmgzXvyLmKr7zlkv+4usqH7Vow90
W9W9zn/3mMTLUxOh3BCw+VgbnEeXNg4en5+Fmk96np1woa6kBF7URzE5h/nePZcv/l2Yr/5AXEPO
44u5t/RxfoIA8w+B1+m+Gd2DVQivBV4XmMN578wePN8KfOf47vkqyGztJLP9+JdTn82Pr0uIFWrW
CA1RKsESYzQex+OpJSN1Lj8Mk6/djb1jcUAYrBN0Be5uzCDC76eAfa8YZdqYUvvUAl8Cc+bdil1M
MimXAq1wYB0Gqly4bvbNNzHhGKYbb4G/8dcrrq8jY7W6o1ZX4lO3UTXXf+i072daBvG4uouaDD2x
3+80HfZoscVsltc73TqXiFH2XyFiax8MdfGtrn3wzogCABxgvN6KdRw0rHKrIW3klLpxJyO5bEv8
c4g46ZrWokKJ5HddFzWUamP7jh+2fYfASnBTBsihkT5t3w2dRwekutsmxE8itomhKF8itqXOLQTx
MrE5v3mNzXlbSl58e10Ub+k4Su0WPaS9qf57895LP46Xg2FAO7CzAG8mMmPIv7zdpx+JWdSgVANi
thkVU6TTVQP0Bxzu3I3omqompXxx4BtzC+Nu7hDyfm1eErt4kJ7669xWUBMLGVQU9MaDXCxIUaMd
YjT6vqTxAJpmYJfb9IXPevv79Nw3z6FeAGSzr3Qv++qMVU13ZMFj7VwGj2VjVs9lFP0hdgOMM0q3
4YiSBG7+MFzpcNJ/NqcqeQBfnezEDsH+P4brGQqrQzQ0uwi9vvxbijIK/8toDKoPga3+4Km6KyEd
5rkBIbVMiE1mtwnEpAFwiNEL7RfvaRwpgG/GKrQtVHpYVi6yDqxNT7oBAxOnegC5LvmdLpi9U6Mu
VmQXMDov71279E5i9/OBs5KMK93NSDRl9Y04X0yj6LTGia3q/nb88/jVoP/LoYXrSwHMYz/ovaXq
ouaT3qDQIkga3zUPYH79Cw8naf+Hh6xh5aV7Bc9m8aOhJZHG5ShP/gq1n55+PhQK5WwM2X3beNE3
bRzy6waFrmdXh5Q76Iv2ofCc83FZbJQE86L7cI5Axfma3XynzWoLN4I2+obs8kt445Z0qs1D+6AV
ATzQU67RowgPn/DtWbp1taSGfi+jza77Kb19Yuxf+fpk2iFirFv9frNDqg9EiT86z1XFZfdPNHab
zV3G5KDV/t+RZqXadRxWZF226ZexLNS/8uH5pfFJg9+9TW68xm2QvYJxT2j3wmI+OkbmHcUkleAO
FGff9d5RRmJXXu1/miRQ6s3iqry2wNflV1Oq5GyG0r4H9TjutAnC47VHfCmi99nIDkZYCqg6j7u5
DJaVpYC9onk9xxNyiXl8p/eVdxQqNmFt81x4euOzNe7FJnRu7aA791C4fhKPC985WcN9SQZvoeJH
E05+01tFtn/zXN+GcidfD/LUl+Ec+s1NrS9P8owXk1wuvjW2rwiZ2WLfLCWzCdrkdGq2tC5cW23Z
X284Ehf48NGzqqOYIoHegSV8bxY+X2ACSzmndbYvAGHswDNz1FMNrseAEJhwGQI/yo/tdK6vk2L2
ruVbYPtSGKe8Q/b618Qc98mNY/Pth3qt1TrZKXUpIbRCY+kpGktybxD1ye3bsam4LQuvoJesrvL9
5vPW8WKNdeW8TV+CLqbeRslYV6/xZuWursercEovX5KsQXcXFr51iwgCbX+VH7n3famV9rUdIYa+
KqK7SjZebqG/q+zrLh/4FG0BMrWOz8CP6dwpPosNZn8i15m3S61zYt0uy/ZS8vrrW5F3JU4XLypv
omnQYm1GFypNH1luwwxh7szQH5qLH/CPpNf063jv5pRax+Zhx/nORAj0Wzx8y2COhb8nhtNYtRYH
TeruIjWU1mKZDXJkqLbhEn42ZkUf7NJMDrc1OtON3Op0azzIuKKi9FAMHfOzMm4zUBCYN8WsP16E
dIlmhNebz9vodaE8iH/ynZEfZFpeZp3Yxu6cNCWsLLzi9rKvr3jxTuuZ3EbZApLZGGL0vOZ5KaQw
CqGLPD0Nvg9N4dXoAo783ynaInGHqgMtMrld+WLe3p4j2MJIWpDpg3X5DLaW9g7Z0JuQ+NEeF37O
fR+WUsupjpMXa48y2cJoiRbHUB7kBHAewtVXNv+LFrQ3i5ZB9kGmOKTFTfF4LJp3PiULiUEpgiFr
8OeQhj20Qb9YK0M6MPdTAwZzfbI1RXlWmJmbWIpgKoL+v2Q3Vjm4372etdHe7dKCXofKvoC6CGmc
0MfV0nott4til6PxrdhrDQQlb+ExMm10wwBlpUItybpQUIIkU8P/WEgZJWZdXA/y9V3QHWXtgzQa
tA9J2VmkU0JO3KTGHj11kWE8egeXpN0Dos0vJrGbJm38/Uhf6eYrE+LXVu6BEw8itZn9M/CXkIca
m5w4CbyT3LlubfBQmMrDNgEHoyqA1dV4b6bxHYkRNkOt2iqttxIzt3wUxVirGWRSbmstGbUP7ZSm
p8ZIb6WRbNFd4/0ZlkZa96yPw5Qa782a5IRqPwsBwSKLzmFLjaKUkZrb4l49X+P8wnmA8eQGGpAY
at7wbMIYUzTdvmfL1l11gCEPc4VkNxRrzbGNHVBkQpA8ynyfaePByc8xBWXmB3RHjuiIJL6nlBee
kWWOrmj5Cv5IDA3l9rZAxw2lnsfJgseoyy3tK9nANbuz+eZNsRx0sOqrL/zRFhw8XUcnmd0Ny51r
a4gFJn17mmljQdIT6gvqN+0phmqKgpEJmWWWvczOQWX9TYHAqr+PKbq4aaAhlBIlZENVnAyjstJX
3o4+r6y3s/RbXTo3aigkH+Iss9tQVm4U/Y+rg6faYrO/lqAwD/JJ2j5OgCRbvjKK9SP55hPqJPFw
ldTl+ebNR7RN4u6ezcVj6k8pxB53rsLhREX63cqK7nblPlXDwuu629gNlAbWTIuNml2T4IJkVC61
As28sUnYCj8bC1Tg3LPWHaQJY/a6+GCFi4GODLC4ewTfITGtRuNKptM8RdgTEQMSHf6unDL3VrLJ
hqf/EQAieWrTNPojhSVJzE2KYJu11PO1DP8taIIwESHKdQNx/uCRcpOzYG2m5w9thKa6OibKqGck
B00Z0d2+jth4rHFy1IxBNf1DnBw2219rpj3I/AhYdzRUAF3zXCnYLD4o2LRIHx3PX25SgbxStwf4
+m/3Eu0pmOzql0X5o4868M2FzYCY9yofk/qQjw1k3fIws+QpaCPmspQo6WxPz7GcA+OwPfVizb5J
Rk60F0/HCx9jppKOTs3dCjZs5hRAlF62MFS09s5yU/eGAw2cIM5kw2iCbqd8ccusDEUtbRvK7Ob8
f4rNkRi7D7qqNJ3PBvCao5TH/eF8fV5QTF/r5mKTMrZftOd9N6FiI8OVsVJuNYtyswp5U/y3gWiD
r0l2iLLHfOGhkbsKF24adXTWT3QkMo0oBDLi0jEk0zIjdzVqdi/THAZWwcNYdR7JrFy2FQqd0nRs
de5OOgcu+g62XgC523oTKvR67mqjV6o3v/oI3risy8TTZN4lU3oo54iqgwkTkyLHkEun7jr4AuGi
DMo7sQmNW5rb7htfsYuvdzLA4t5uOLwNYIfa+w8KgeU6KUg+GvRpfkkaY514A+GTUBXVBm0Jusvp
0ZdLAV4HdX2Xw8J88KpY+6qlfJl0y7ewm5e9plDv0znga83oP8LduHxbXAvV4fIcv5thQ3j0gr65
lokqnt5l5ZB+hKqgvgsKOz+Y/hyqBWXeaNplP+Z1AmKM70knGD9CWFq+6z39W+gXxlGoT7LQcm4g
tP4oo+FszOmj2PzW+ugpchTImXKY64uvgzrfyoVvl5c7GZaK9P2NTYbGZP5wFsSG/zU0kvP0Nr0t
34RJ/T+4UA3D/g9UKzwfHDah+7BMK6A3+Pcmdejb03FJmvZTkYz1XmjYfDAIj9QUTysFqRf452uv
jedbmYVoKnv0humUThOUagM8/kL5ts6+xoqvYUfJhy0+pFHsgcOly/FyvgZ97z+Gtfc3Z0LVFknZ
sIBvbydD9lPtjh7++o52D/TGspHqMwynRuY7n2r1UMXqmp3/OJvGukKmgw/2EPXeyaSs4C8FH60K
8HdLYWz90hlCZM9qWBCv1+8kGRfG4F1LZ2Bvkvwf+8jaNy5Nqu1Y0/GW5A+FpY2fraTuD37ce3dW
mnrvgae8eBQG2q2Wmby3VGpFNUfZ82LdmVX9t1mlabuvUByoImDtWqi61hx0LK+dgGe4UMpOqsuj
OjfWXZV2byPMYjy8/NYaqEWPBdoDsNdXwTtPt5sHBHHpb0el889BL3eWOphN9ZCyOgw2mwdKVv6f
41TRG0IjsKzxTx5qjc3D1ca9GZbgWXOtgAhM96hMpD16XwYYzaI+P/FE1aCCiY/isdk7+DKuIqvu
b8QtJ7V0XceOS7HepM20NcGNQ893PHdwp+YQtn9pwLAOEAP8hWYfD6mlS/5YzGG56exGu1W6fO8n
WNOuxCULaOgO3fabrGYWbXByzTk/5mq1s1qtYrWMbom/rDaIUQCLkz9yR+M72QMHF7fZfDdBfOZJ
I7LpBOTopAX8deYCSQCd6vtwhi5Ruu3N3NjDAueftt77KhkUTWZj3azt+bTfkVxyEI5Y2/dhASuP
cxEeL7r+1TIBtAen1RbmjX/VQ31/sy3bnEM2kq5GXS9v30eopV5ndqZ/S7LzwdMi7ecSp+/BzUJE
OKb1rh666F0X/D/SrmzJbVzJfhEjCG4gX7WrpCqpFrttvzBs923u+86vn4OELKjUru47My8M5ArU
IooEMs8x533rJ0Bec4b7oKwY/f84YfrcWhPfl7UDgOx4yv9qSlQXZB3oLYLe6J81UZiPJ1HAu+G8
dmzEp1ygUNEF9Z46ujJ+Bcx+ODy78yPwVVm69Mwk2U16+beAHC3oOAVHkv91QFkES6e3q6fastGV
5mMnxfOj+FxpZgSwA3ypozvqgPqli4r0kYPjNytBIc+Ngai4QR6AOKV188pddyC6vTf4Zv8Avm6g
IGot/jbokNd3oKpHGWsU2njOEKuZnMTCWxcS0pKuqwHGGEJIp1YSaHHjLvwsCM7NmoLUUmgVpeOu
B47SzawOLZAnh+jEjAeGoet73wEsqG17Qy+8h/oLjnuGxxCEv4/kJQM6M0Zrucm/WFFeeQ9ziY+y
YffRihyVN/YmDBks8gJAD5j9VZRf8/Z6ENZbu0ZxHWrkvtAMKiakFankIy3pmkmKPr4psUIK7RM/
BQejSCcWJx1UPGgsInQXizV5Nf8eeuBc8N1qQ8CbdAEvXHsKArD5NJYfYa3A51RwnehrKwAlAHZh
0pGVcDzJoCI+NJCzDbbRYwsMYg3UiRVYEj7hJgKGctH6RhBhWaqjOhmQK3sCEgOI6FJzjYvbMPpA
dioBMDZ/sc7g66geyqr8Gidae4694nLR7fkMjuUWewG/9GNvJpsJ9BdL6SYMqaeZpwy9oCJwCPT2
PImLXzagPI80nOJfDTRTYddf1SQUIGbqghkzXScH/1qyGcRMlI0MYc2NDcNvF2hd4IevEvYSdBba
IG3wlQ5zPq1JVwtDwvS1y7zpRB5cE7uagriRRLr4NsD+Is5wZxEBbT0GJ5GXjJSj1JtLXhUFOoS1
c80b2Xq7n/vPveEV2EwAQrAXRdpz59QhmH7ibp10BvBVhYGDa3yBdp1pr3QpQPTwFRmdKIrnRfPE
WmurEulAjtgPIOpYqCAgtYHUFR0VMjkZCuwfLFg7TvvSmYEKhm+/dR3Y7RL81JWkG8ps7HpEg6Wt
A0FGpCX29JiAA94CqmQNnFsHiAH28ETUROQLAmNtTSL5FsEOWBEV7w518dPmr44RRwfwW/oH7Jvb
9aIWfFQkO27qwwlinQDHe5UVb8x0wgNKbNBXL73JsUO+ndwtt9n81uA1eKr78hyGHQCMR8B5OTnO
xEgErJ4OsNIIlAUO8IJ52L/i22gEKpldPpDohdzepy0YPjX0OKCOLeNrViblGRyi/as+4a8BAkx7
LZ1FOrdMdmSkGShd118WhLYOZ0v9roGDM0QepsGWOl9z6p+NrsphQpnimgVolCQn2V+boC5/Ucja
BtajGAk9MK4VSn4HDqbvfau3uybsAzRVguKDLong/lAiuQHzDzwE7/TpNYB8K9Cd7VvUPCk3wFTg
XIBkmiLpsHlHZxPmhENX4JrHD/SXLWJ93llO2S9JBFQYe/GmF/oPIQ02ycB6WenxA7rm7NcYZBb3
/lH+Qq50idCmgu1B5P+dv1+BNBT+lkCPl/lDQDbRelwHiKyXQq3BY+6KUNoHdxxL3KqmW3B3HSW/
QF0SOO8F8zzgoaOIlkSKCZPkl5lQ3clCl7s8SpQhNWjoZDKFEC8XQHlu1qLFYgqKvxnSHNl1RWRW
k9+s+mYIjtxmMefYVJ+dkR+aoeAHJkYRvlS2VZW/BSm/6JWRfG0vBBJ/M+m4yrHgH1t0LbbxKYXy
N8n1NoBspe5HBz07UToKkS7SXWZWmShEC/RuxVgY4XldTY+aP6B/k6vKRf60emwYPrS+Oe1kjHKR
cbc/Av3YvlG/UfStRY7vZ/Jjr13ktYGTC/Grk040VAunNchAGlo6ox9beagVqVClA6EwW01z424i
Fm7t1kVdvmgr9SKrOhis/POmh9ToUffYTsNG6YDcvk2CXPtdUFFl2lKzYyDkOSU2bsTFsrXhsWhr
NJVa9QNJqEQEdMkwW8PKtJrdYMyfYqduv/CvVOic1WmxbVk1bvOWFd+aH2mf559xz11VhoM7gQdY
s3Xb6fMiE/cOukiLki2zc9aAxwa9gLx7XD1/56N0NCKGolrczXhsxpscJzeLAbVS62bWy695gy7Z
Brv1oBLrT0Pd4MlI6FvbqFec1yAkQeHiH6PxRup0nv3d7GRAaxzBf9hp/h+/iza6mi/b+TQUKbpk
AHq7D7Je205a2p1b9LQvm3Y2vlSVAVrpwvqrL/5TFCidBDhNDqiDsPvkcJat04Q7j7qILhl67z3u
tDI6zUKTomMzSJ85x+kywJWXQVmZ37WKmUucIvSntKqSB7Qq+ZsJ6J5vjiARCQQWFhsM6YtKY3OJ
euKLr8btGq8n/gttNPrAAVjNUcLRoIRNyhRVzqsiaPiOzh7JqsSpAYq5cv5vY2mDUzmPXQIQ6n5F
/59cm+ddC07oRQuAy3Tpox99kWH3ZUdmnGSBlP1MY/qPz7Lm7/44CQi2Gq+9B1XWSyOq4R0BWHrQ
Kn5T83tTAyyHY+sBAMa1HFkoHInSYllIrPL4gSCBwaYIqWRcoXXNsuq5u2YtoMSLHjDead61L12L
dtFZBzc2OHvYjkQygB6X8UraKaZvSoBfBzn98DpYxILE2Hl6BW67mBur1guNfdOH2GgXf6ACTcX7
Toi0MaxE+nuZTF8xseOM/0ww2a4aQM+2QCh7AXKatdGzWJRlWfXLXBrloo2S7OdQskcvdtzPzVhY
KFaFR1FFyanxk62R9kCr6FA5DzjNfGn2kfk4JUbybF0NtTDgjelioAgwU4NRzubZUp+ai4HjyEqm
KvLkbxFqDopwA2x9JCWeXvlWq7Ol7N6IGIpVzO5NSoQVSJdf+pGAwJWeIAXJWPE3UpMGH2t0LJO+
uOjJSDCEE6EU/spIej31wOpitkeCyckNM91gPy9ZKQge0qHkLVm1zEHDiPKRKLwFXudkzI2s1Vp8
6//b+Pt8+Bef17Y3JWv0lIC0qsGTWQIMd5JwOGysUme2N1qBx2vgaOK4sATTuHAlVWaBgyWP+MkU
Tz+2Mxmr0uq9lc76PUGzDUC4BzMReHtAqK4VuQuE33x4nVP/G9knfW4WNgpPnrV00EFO11u4HQDT
DYGeW8/f9CQANvi7QMPh2sKsiwS1g+DdKrKpOLEu94BqAuD8GTzo32yUdRmCseL/5sFEDvNdjnZ8
bquplbhuye9g3wjOzQrmry637Q1eN3BMcAcXp8Q4swF1RLKPE5Z/21MWbMC3bHau7oB2BeTnFgi5
QbF1T9c4aRxcD8mUvl7oGvs8XmbuwM5xMAG1Kwa3bO3P6Mxr/C+Rk9trDTRNKNL7N49Ky9nBxcP/
0haQpkllYV9yZA9oSQpf6VJZVQ/kaBt9RkLnWZEBNPpZelAQz/p+qZkjtqkCbwSeCtiM1HM+Pf93
DBU1Y5ZPG2Wgp34jLoBtrMw1PQtQzDAH2XoO8Gz/MaBzP9lny2ToZL8CPUuMZ5J/G3eHC33j7k7m
OeTuJRn5yQyUTMXdpJVDWmQwaMPZ87q1MYQoPA+7F/AGF19Gi7Urux+spwyFraDiKK1tGNfzc9nj
AK3vSu87qABkUOPXMigah3ala471VPwmqBVBYiYvHdED6I463qR7kAZLHBWccR0L7BucCJKlNtN8
mRbFuCccFdeq9I0HDq81WWcH4FhtwSscMAGxBQUHCYDxW4nmIgMYBwTJ1J9IaoYwX1ooTt1TuMpG
1ptsTdC/xfMos5GRLmJtUxX8C9kj6gXvPh4oQDVx4GK6HJ8RVMPdnbgMcRuGbefWn2q/B1UTd/Mj
XbQqK46o98F2zNwU9U5ngvIWVk8YaGSTlWQ5JG07FRFOLKoGZZm/PO99AhN/eJm35gDfEHkNp7/k
1a0WJRJKlt6ODhBnykvulJzySvd64vaus1Fnla0rDigED5XXov6/XrlU8IfXP/OYZ/NeHnnQQUcb
1Z/SPvYepI5CWDbWK3UMUoSDecyYvlcsfDQyqlaGKr0Kn5rsKKl2AcwOoNkwz5ZdZYavYHiNXvW8
fKoiTXsklVkPbFcD3WxJRtK990jGgu36HF/WUb7yWX+sPBs9TOLShfawSTmAkJQubfHBt2PT3wHx
KZF+EaoOCiConMgNr9XdMXbjVxVEiRo7BQ/rNUglIj8y/GOiWnN3MTfBvj01/XZstA4v0SDvAtQG
qLnEpQpS94CCiG3uNaEAaITVzAVycAUEk6tb5FfJKa/B1DbHVr1TBgoAlBQQNaySr7iI7+ektxZq
SmB3RdqKM7xXi5lSmolSZJG1TMVMlKapgZOEl8tfs6ilUtoCN105C8VKb8dCy3QvfjDyQQN1/DDr
XbEdioJnCzwSOtkidwyga4lLqxuQaUjKGzkLul/2SteMh9Gd8z2AfhZkIO+aou+zkZ1CblKoKQzX
bvD2IrJT5I0s16hMFKREGqnEygDABrk0Skj6m1R3Ycrn5jdw/zOomVPbbPiacnjA/Vx4nYODd+q+
rdF+kTHw9nUtQOPQYSG6+jrAJF9FzeKTAO6NFzlYcA6NMJCVLuRMYXd+d6kcOnVTcaCguZlXpfrQ
z6UENJ1cuZr5uja5hJvVUF5a8cc+5E6OH/0u5NTqB7/mUku4X9c13z//ztTPfc2pfm+5nriHfCw3
qYPKYVvv62e6BH1qbMDVZS2JWcSNQC9COqevJ2wp/eX6lkCGv+UZT/UcPeezs0/9/qLPbJwpgljL
Wsoizsy3QNIpQqlanRJkbvIfp3GdPdV+UrF7XNSXMFUPGiexRqGksioOKtNQd9coQIg3oOSzAXjK
7M/YVxnRd9p2DyWYaD5brf5j1kbtiYyWkS4Ts2vfyj5P0QYHPnjhNAbce7Q89IOQCEjlCRvUbrCi
IBxgxhsjbW3pjNG4RHtp90BW0x5/jGICV8x+nQA99TcTJHy4naDGrrScgOZTP8FcjcnhX1AyrDuQ
DOAfOZZtMJRgoEqDgwf6fSWGWVplP/XB9DpxP8c5Kt5VmhU1mIuW8t7Dbtw9xJswVLPmHKigjxrX
pUtce9JAlXo3YddUOpXqqF73q+FSGyjY0SlYpKpLA3NQDSBFXOeVhYCimvCfM1FSdAnITPcgyb9J
J13eG6oKZYUGMO63rlcBmd7QT6WAkaULXtXqY2tPUkWAP16nowTVHU6E8vNepVCC3uciV00E/iaX
UFEamvGaXuUiVQ8vSkNe73ORK80octl1YR0vbTFRnJ91FIjs/TRyFuBBBq1DX6dvpsZDQI6D/Zes
npY6QDdxg1epG/M3sGSHj6HgTyzROrcnDzLKCzzuctAMFECJ9F857mbhM/DJDAawczAzO1uv1bVN
LWAgwBuMp17zK6mHodU25a06WA2rAKUNADSNLdP6F6gwZguwmBtmInxOPItj6wcEzsx2uXtH3wz8
GIBkze78CkxG6+gmff6SAjV+FaEWDdRUDnbYxCUM+pOZFPEjSaNt5k963O1BeeQny8bogy34cMCq
I+LJpfbLeYFStGqv61nxQoZu3Ia5NYGREF6iCffBcPF2qIIcd7zMrIICb5Azk6oYWjkzTUKR/8/Z
5Y+gZk6AtAJeodLc0dllbVXfU7CuHCJxVkoqnPAHc1RKAa+tAt9zerEG9JkvWa8DYqfIOhwu46iV
/HHypy17vzU26ugUrxbfHZ5WB/KQuf+WNkVaNa1r8EtqFaNSk47yixXnA/oYE89hVbzRYsvDw77f
+9G6DW0LBVWD9YDGGeyC05CUdlW8k7sRP/I0jNtahNy40LCoZ99cqmxy5Ib2JbluREguZFcN8aLq
mcDov2opSuVX6S6L+bWE3G01BIplU7RaNYXcLF0OSXsTJBNfV3cfJN3Thm3/7UtIvHy++3AJfCau
cwN0HGDU8+6+hOapQBsz2kTFvaQ7otoOvQEmbiqt3x/9oBgAhOvgTIxkHucYFqBBW4cWOveVE40A
SzwcpY8rImW46exwE2n2JCm9ipUTUNbWj7vF/ayUVrnT6LpO4CaZOxA8xqAwdP/ihe+9pTqbsCNW
zQ+65rlPJohXVnky+9+atFrbgockhqulj2g6qNxpYwfRxVXXimCVmYn/jWX1esBe4p/gEYnsTBeH
V3xFwCCE9gHmp/jsrSUaiIALoVFux5b0JJHAQdJ+vnr2hAqivMBd+XQ5Vu6BHbTWgOKwVHdy2wgf
CxQ0PpHKsed+NxtOIT3odl5p2vHOo9D8Yim/TX5jpRlQEpAUAKX4W3aKLSyABoTuADCr0ABJHkP/
XilehPE4kLw0idkvh3Yct0qHVuOHshC4sMLN9LTyKZz1HfmT6r9IRH4W8MZ/k0i3wyFZAt3C2XKt
rpbpv2xgmmgHvP8U2B6zdcOzwXPIsZV5h1c2pKgSSDKvfLWAn/vg24WF1uGJgX+4zXG+kBgnunRg
PzvmANcIQftxkm6s1HxQr8ztwkSjVbIewXKEMme8OlOI73eXYLQ24EyPA3BIJSSrmAh4L3+bKEjc
DcC5L+EURJPpqGddkFg7P+KuBuikqFmnBouuDAETORgrUtFFMl/QkOVWTlbyJZVk0iD5ar2JMOd4
XqHjya2A+cr4cChNPTnW4jJn6Xwo4l1W1gkYcwLsrZOePJyqRT+yktHLOx9MviUNRUxN9z0AasVO
PVLKkdZvsYWTyUdc+SQrnzVhAN9teiC3m0dKB4ZWRNCzM9oQccbbAtNiyPt5zYGkuaUKYzOtu8Uw
Ns0jiZmLKh9sEQOk2iuezSI+m66OsuRhHB+yAXAzsixZ5AAIpC5zxE1ymwO07cukNb23kmuPF9Ar
c6wBPHD9LU0pKgrLNKzXKCKccLgmfk/0C5C/IrKPnTNeflsBCv7XU1WDq0T8XlWim18rxSgzhcQi
uzLI5OqPpfLUtbXmKepqSwclmvRDlpP/NepT8xTYmvEZNzr6TaA7zn4K6iZYkNOs+2ynNxYoyET5
dsRAXfc+hZ9y8wSqReOzFqxljAvU3DT6Pnro0MqKDk/mhh0/2CzWNmPR52+xD6zcXsNxrxnr4KJP
7RtfnkeJ9NV5dPEFr+I+ClBVTtWrWRzgCKlGvZasX+2z1lrgExHL0lObV+5zh+1nUYdKAVHfN7s2
Rxcr6eiSc+dnAiBjdByPvNj2xQTavswAKa7lRrvKA55PGcVoGTPaWzE3ar4xvCjb9v7QvPll/p1O
JP3c/YLzIuvNLip/y3Cqt3vvMJRfgfViHoiDe+KgGaGRjeLwRzP+cacmcu9Jz+NHO/5B3hkxlyj9
NP0gITZKFI6aoDSmTzPoyrwGKIvyHqBocUj+ZbxlxfkVBcypSxRpyJ8uKAqz9gMIn4AH6vV/gDen
ODpoyK1QjfUwxlZ+jOawOCbiEoaBqJwMs3GVzxWgDYowAJ6RcKI4Gl2DKURL6wEIYKAhL+c8R5NJ
Va0J8X3kVr50THBwgYbGBGCxv+wcfHA9O0Jh7xR/I0KDD4MG8MMekrqpNgQ9aNR4GbD7C4bhFc1w
IHoN8qhDnG3WrLLB6hleIA21cQLqFpkVauEHqSTCIeUDmjJIkdP68YJEUvH0rwkomNGmAorsgS4J
SrDbIw2x94Ked1ML04OGswJpJ7GdwhPoB9H8T3Fhi9KNG2/ShknRgqvXzw8AJEv2VFLCqtldg1sC
t5NrOQp6ilDSouQWxZ1rNuO/R+lUUQqNqDKF/Aq07C8otaxyoSH5dJUNcs0cReGim43a16i5Tfa1
KZmUykf2zJFSWmrzQWNGBPYfXh2UnkakQ31/hhNp0XZHl7TCf4ShBcFqthx/p/P0myJLUtxJIJD/
D2umAWxigOOS5EuJFWkqQME/kovB8VXK63049NlWfQxuvh3doAefZRtezPR5icRHTXmTC7avLy5k
vftcqSyzmecbtNBEEjHQs5Pu7LtPEixQE9KYny4wj3+Xrp4UN+enOkcxDWuTakGlgjGqZZ+sqDhT
9SCVKHZh9sri2sH/J07Zo4E5a6CDTrJqteBG8VSH1ZlcKejqT6oUTUZrH7QbQMXHiTz5i/wOVcQC
O+V10oJL7uSaW9YuGqIy2Lec6oehxUDcYFO/BIX6uFUHJgOeK+cWG3SkGoD9+uTUJu7IeMqkkxKc
1DtboCRVSxX0UaJKPKBS1DWR3gbOyuz8cd35wY6Now2SghB400L029x+zAhBU4hl5VkXMda1rSus
ktjiGkuIJOZUrVs+WAnqRQsORNqWP0egwl0Fxhigndzmz1MS8WcwKQFNeQJ1MYlkcNENCxzP8Imi
0jGrz36YLEgir3nqusPkoPpbpCW9Bt7mbZ4NKFQWOjJ4WXOZj6LIQPNNYj6VDoTXcj5y0ztenQUk
8Aie3aGwnry47A886dZVlwN2p5h6dLkaLqo2+8JDJ7ivdQcz9gEGRkOppSCSReQ4ArBHGm6CLlmY
u9dRj3ygKn78D6L80U/d7WD1Q7hWsm4MKB+mYv6EefUCLS18K5Wh3R0BtzEfUerXYV/8LD8o7yUn
3jkuN84Ev5kEcfOE7/E1c7fUAw/OW+0Ne6/UAo/qZhKoVz5MPV9YesutVkDhQpOi0wzHphse7QmI
YGbghP4j6XCM1WzcXk8WLe6sR9ugKlIdXzIGkAdBo42YpHX0XcHqIV+RkxxOVttsfBEZAa+iB7f6
oA9fLXQwr82Uxwc397Iz50wDJwSauKIhWaNy5dbDKfx2N09VeNRncGmbBvCly+DVj/3mp5mYOZDa
YvOMCqVsbwaZBaQMl7/UsT0AzNF0rq5Vw3NUaG1abNgD6DFswZbc2BuACrU/xoo3K5BhBI+ABYye
vLJwl9R19s4BYKXBo+Gw06VoO+65gQ93Mn9BSWR9DOrwzwIHihtsZQAiIBNoACDSQjdzGSZ/ll7E
N+QnzQWBBRCCgAhUZopLMs1l0p1iRIYs5dOmLte0B0t7tjiOzx7SagbAwBUh3uziXOrIj3ZtfeEH
0spgcRdLOrX9S7EO4CUXeGhAnZTKRWmy2TNWVaJbK5AZmzhw1wAQkSZgdBXwEaSjCzNG51D4440e
fFQgAqSIAQ9LOG1GAuksoSfCtRMmeKRfGUnBllrOHwHoBFRiboH01QJK7jIcqn6TAfcEKDzjzLee
nTsLKaNsJ3xCzT7eTIX7iJOIcxPiripSkEQXlUamBW7HJU1nargxNa290EUfPU4swD+MznoCWGzf
SS4OwR3RS09QjAna68mTpP9D3HWGSHTkX6X3s7diLR+sjOJMAR93XRkgIPrXMgQodOysU2wVnIgB
XbcAOJbN2AByzC58rc0ofLVLd+1YrXsilfJQlOnXHMojH9pLDtIJD8rxu1nI4x9nKTtUGhjFUC7K
Ti+eeBd+RSmksSOpRyElW9TCgAN7acBLOgADO8PdFHOnLx0gta5C4sOkZxL58NK0qb5sfZutJCGm
Hfeo6HVWoT0mR8NAwUOAFvcX3zTrpeXX+tesdp8bHuBdUDOxCTU1f+UG/2aFkf9HF3JvKYg8z4B7
arYF4EMB2fNBngR5OsqTDKA5susfSdRunbFGbyjuRkmD7glHL/4AEgpqlYDdfSxdFuHFrPFX+eS0
X66ufQ+eBuFaAyd+jU0QYx+E7TY0UPoKXh4L1YkZoFjcTB9e66gLBFsn+mRr9lrifvoJnTPtdvQd
Y9c3wfha5PXHHr7IUf5TjjrFaykg9uwVSNMBN9i1z1SPZgFfeuPDsCKRCtKEB/eji8ds9c2mRumt
4Xn7sMi+hgDASpaAMdfWHV500conZH8Ou0Wgj/re76PkhS6t+xOwyPaZBBQlG4ffxZN1zrrkZQzS
bgHyBX3vDK2z1jzu7pImPGcaZ284l40eHBcl47gT599jNi4484Ov06j3W+yIztvON60vDcjoyEEH
sN4aB764mxZd92Z72bMdA/8JMFczKPjK8lEL2HjW5g4Vl8IwaT0AkFzdOkce4GpAJG4sq7nJv79f
AooR8MAh9B8twXTRTC0yhpVxvwSr7QCF4LkozUtd/Tg5KTuafc9waFQ5ey2utqTCRh9wxWlIF134
0Yj8MnApO4MGrD4vQUssbpdFD/SeTtdxC4WkLoYdgGwHr8FWFFtSz0MQ3hozvoyMq85NDHPL6tSV
N18yUMoQgAfybks5Rbq6iC7pyC3Gw3uJHlh8//JUItMS5KyCoW3R7L8GyUoqAW0VeSn5kdWetYtV
YdZSAt3U2ZoyR4aXLMzSAKypllYL+eBbTnmz1zLA/clHXRCvfiBb1k+jGPuVC07RZepFpQGgJ3N6
iuJ2etLc4BO+Quo9SaSfWTQ9oWFxBLhStFV6GtGl7+doTenIVxko/i6lyMb9strbvvFVrnXoQjzb
gwVC/ihCdAPzVryzkqhiQYJjgupQw6OoYsarCajK7sdwyVhtSWo84sez0OrLNh72GHACuQYB4Ygj
FMfETpi/JlYzn1vjehJ6/k4fuNC/988FTxd3phGnLM24d/NW5iH97/yncDik9lRtI9H9aZnlvrEd
BgZidJGSavSbal0Aw30ViYZT0g1hVT2NQbdEfa7hLUgXlRNDsTM466QonHk24Ol/ipIFWNwYaHdF
VjFHmIzsqPwa9CDj1SfHHGIVdPFqvXrS7W5Jkh3M82mKThnOep603HxtGs1+G/KRvXb8uWL4Sy1x
Qr6f/G48d8KWDGa5qKoI3MNCLMETsoqKIdnN9mS/GRpzwFiIcnJK5GVgdB5sDmBHYaVZrIi91hqa
NNsgZa8pjnRFHrJ/NJM04lUZmC1Vvkiw9xismAD/cwUKobp8qGvG8c+BpdWGfD90I6udON22dbqf
TZaNoGLKiyWbGEoBiqp+jFqePNEzAll7LBn7YL+eTsYIBOjJmKBP3glf/4v4m+zhVH6cnaa4ZgfO
xNHKi/ToDV2LbSKU7CkoGRpF+dfWD8JTF43ZecJu27nqQaimXMkrSKdg3Qnw+RbHK8OK8Ob7SQOv
fIueGYVBz6iJQaDOT4lXb9H9wo6NPix402cHX+Cx0AWvRpcRido060fyzQt8dwlfUpERJCFff/Vv
Zqm5q2fbRMnzT6sV5yYopnoijU8bQ5EbAYXGdZakC/MSz+bkgwDUfQ6PpDcFfwjjaKsE6h+ww8I4
B/peWgJRWVzQoNTggGheJmjdeyRV4M3NyU3C9czabA0s93Tjt5b5RyTulr6ZB48kWs6jyQLsoVfJ
/GRgO31B6s4r8+2HQWx41JjVrn0t8TfobI7f3BEgGGLbmqQ5DBcNWpikJGxRqyVvY/jX1VmZhfM/
hdLmOMXVUbRwmrxBiUCE38EcTvqqcVFUYGoo+Rc1IiFehpdV5gSPc276pE9676JHaWn4od6daulP
eWxLu89DehZ4/QJgdVvNik7UYWRPXXwO7ehEDUaoXozP722BF5yopYs8haTiEpacqBPJmOwYYBPB
KR1RnHyhyg6e8efHMyZqS846aidwpGE4fzTO9H2c9OKvZnpAhxmekdOke57tzgQOol0tOUAtX+a+
7jeocsiOwGj38aRl3uaxrZj/4eXDNQ8D9VqwqOLmmfHO2MxRO+/CDv8Lc8v512AY0sUoRrHQBWPp
flVWNfpnvzvrh/nID01daIDsnRoEHi5QpwsvPVYCxS7w2a2orIS6V9f2xUqismrVZAAr3vVBbwha
iD2OLeqHqk5XpSQl9AAsHwfOQtdxe1ew0qHArU4aM1opw9DyRiJP5zVKSlq3SdY3uNWkJG/AX66d
Dt9eqW76r+WPBI1w2OHBxTDrZJH3jnbwhlwUWDG2NvPZW5NVz735YOtVgTZQWCm6/tGaXfZGitLq
8OUYj9qhL7vw4GUJ9vCvGw2aFb/bLKBNBtqRyMvpsvEQ4gUsXA7VOK+GCIU5Zg9E/vebACQ2rIiX
OFKIN66AqXTEhQwdtXkhKjMAXrEgHbmkUxIDaR81NmXbrxxnBitlVDRAXxTnCHSx6NCB0amE0gbg
7zhY4iQiB+LoQ2MulI3UscZAE0hDZZkDAdpL8r0dXSY1nmLb/uyE1Yr2qfCvHS3iOhjfooHbG6+P
q4fAcvNTbyTYO53H9nuoYfNNvBpmrR2hc3Ee3ookGlY4Ll+C3jcBKREvErR8YpgKlOwqR02rb9WO
NJOOrK2AxaYRkMtw2qrkMGIPObAjgbDDvuQVMNlpFJjlZRSJ0VCM7AuNlHUSujs/lQVUjw9D7/7J
3RS3CpwoLuXG1c3elxWAnbgbNGNJG1mu3BDT4mKBrlV9yxm4xqYWKEZFhiJ9W4iks0rLAYvKJ9JU
lgfcJ2HTq9rbZHMaLu8MXop929DVLjkoYgRprshBQoTDWBQyjG/aM3FTDCkIdUFqHnyKKs1Z9yNQ
nbO41dDszsJNGljTW5kD1rD3GPuP9lwKgjEVU48pXwMaqnnIh3lB5Stl3c8LHjl8T+LsokBodqsv
slSlfm91C1RuJTyVxZdm1r9FbsgOct+ta/H/IkT6JNEl1+cbFW3ZNfBiuqUf6KN29ara/lb1Phdv
sF1XhYyt0g6wmQIjdU6D6lxhA40kPIFLibaL3byWEiGtvve8SmS7euJgy13FRhE8NXV51ucueuOt
XR9CMHKvcKw1fxP6toiiNy+PPuM3qG0iAR2rkPKneiyPVgJiMaFHjSGQY8lKcl/O3RJbDKijU3D7
5IPGbBl3gdpv01OhufkDYLN9nAoN9i438BhqAMwf54DQ5e0o2vS9ZYhX1KNSyZHBmiWAB+01iS36
Nk1AriKLHzQ/b3Q0vGYJ7KBcjKU37og/E8cVeOiNtHZBIm5JF2LNFIguPQBGSEPsmZOJO2QzYZNO
uaJTfdyhEwUUr4Jg88ZgPplBAuhjvI4Ceq5s00/ESiCZCzgrnwob8Ef0bTITm4ENXe2CMuTmm+Oq
c+rMBU4b+2YbGqCygETNHbt5oUvreXztDT06Za460yo+u2leHHFbbl/eB5HKQIO4DGrwNz80uWNh
c7fAyTte8SPrGE0NLuC/A76OGPJYA4KdeD8aC8M65iXaE6UlIM/rRZuTZyPNmx35/TYXY722D0oP
BRj/mOpuzt/nEott9OzZw5siYH/tEYDPge66aMC0sRlmOt7GwvbsWwE2lIcybUAbIUSD2clLAhag
scg5GtCb+kuned0jiwcUL9uzvZr4fBs6+UCHodCk6+Zz0jV/9hZqtic86KOjGp3AyZhmWxI7vUcR
owXmZBJNgBA+taHxTBJd9Py7r/nRK4qx+jcTz4qA6/2VLK/QhkzJYtEm+Ltk2NDHJrumcb6cUXo0
Mxv8E/jHqHz9cpnBXD7j4G7E2YPrs61nVReLciw0T9tMFe7tSqcykI6DYTvigXdow6TVV2StExOY
4mXZS5H89C7EdFMahActcjdqNopQ6YdZDxbOZLItGeQqaUiL8SJ8SdwoVaBYyP+Q9iXNjevMlv/l
rZsRnAku3oaaLMmzXS7X3TBqupxncAB/fR8kbUFW+d73ve4NA8gJkixTRCLznNSqkS6eSgs0PCV+
D826lUQOoKaki+HrbyOv+NXnUX9sZhdmpBzIQ5ce5BbZALSdAEYNaOB32WehSIYHxHGt46R4RcZn
Ac9WSEugFButc6de1pn2bP33V6fsKCoYRnOAp8lXg/KXOIjaCqwi8t2dhem9+TE3c2ePQzTt4Fvm
DeEbEaoRjU7yM6AjAARph2Syb2z8nOJLHJugX5Gykz8rPfCpnGQqXCuBzz7KF/AkWkfD+qNAGYyN
kr+mBL9GO7YSCcteKR6N+l1ErBokJ1GPX1jFo0EicGOvlmSZC5BqFYfMTqKLOHI1JQpBNXMnQ9PL
IflpNVr7Y6yz1YT/9qrJjOJ88kZkaGcUz20R6Wgxz7cpaF+/0PbNaM8m1tuEtoDvEzJ796EN4Puk
dobXevAfR5nddar2xvNEcU0zuhgMJFEu63BmJ3O6JIvrxNmh99gLlKyvUKzglD1A/RBIyXWkAFRI
kquQZGvJuMAldna1BgzyQUMjJ318XlVF11nqPdCMPtaPIvq8CmOKrv3Mf6AZmTrSEQgcC+kKiVjO
nCsBpgY940YA7rr4h9k6zykaLp/7zC/2rlX024E3wzdhxSsy6DScfuci7cAKqlf35Ak01PiH/sEz
bfmbpxHFqwY4hMja+Q9DE5fPSL1eewzfZNvXi+eksN3VlBjVFSkLARRYwYEHkk5V8WyLOL63imK/
zKTDyZ3sLT67Kx8841cxzi/2KdXthQuzoa3xbK2ZqYuHZ2wH6FKcRko2M8mVs6gHM1zHFlzOhLRn
oO1BDxTR4B2ufqq/eixlV5WXoTBYwtGakduv+6bL94mczmX4nc9df1dXfvS1fNHcrvoaDXGCh/P0
N3kA/Mk7C1DWGjiOZQDSCt1bAkQ2OFxD3FJWs4QOSLUesOJgsMl3s+899FHfHDt5IS1dLmSLB2nw
i4DndGW5CGWsNo4elXxxARHvAd29bBdbA3dXbIgLbHvFFB8dC4docz0Zm0XYVMyKtrkYgJBJBuce
y5jEiwWbgF+n2565cxrr+CZTwUl9Ll2io9AT+2m5+jL35FC9mo4DS5BszvxJTXPSLI4kJO+QFl3e
Qu/qnbsq5uY1TlFoM0gUX2K7YQLtbyKcbhciG5KFTnQ3AQrzCJjJNzOgdPvrBBi5OGuEjPxPruSk
bKX7WHb2kaxIPmkew9ms6wF/V38L6TM09wGo9rZuIzCKnLwWgh1a8MJjDE08PBkdCpSz4Ygi2/ro
fdEijt9ybvIB5TXzXG6nDriDvbQgMxotRjS3Gku6kZXbaPBFVhOVPUmdinVegqGaSM3ootUo7Dib
TyIBKWVkbpXJp3ZnfsswwQ6UHIsedFrpAEoUyh5TuniKkukudLE7eE8qk9jzw36Nit9sQ1MuMc5n
acrcqyXNjPIgFiizesbjaCAA045ftD1FIztaSZmRrLbB15KCLXJdpci6FTrX1p1M8wAbO7vJY7SQ
yFkqU0YNWFicuhkfmcwJuWkLUg/DmA6kVO5gKkWWCHUgyp0cJhwt+K19tEqG/KNkvhtx1l6hVu+J
KAjGolkZyNs8EXWBHzYrS86IggBIChe6f/OrdIaYcoU//T6uQFFO6ym/0ys76dwI5+aO4wKUselc
B+QDSKQHIYCDQYr+fjF6B4zpBujLUKKVZWC+hgawCOwqYvV9WDhvxjHgXpGxBxff4gxI4jc/8mBz
/7MenWiHglycjEoICx3kLXUMwHscHtbXZ/LT9ELmFhwPzWNu4NiuS3hAfr2hYbgEPDn6nckPtqWD
ulYuJOWLHQ1JSLHpQjLNn/ByezDPXyiWpZQhOeOg3AYxMv9FvouHekk0V4uQzenNXsiV7Vko+RHR
mw1ZBK7u09v6R2MKSm/am/DpSH9lWwMKH6ioUjjLixMN1cYDFnQQytMWwssnHH01JVkc6kjO9PGe
ZouZdFC2LO70PmD1fGaH1hzAryuXZS5tssmM94znUKNlvNo4owe2HCLOlESaaG7rjmrqSdksOTBp
xBpdbN0RXLHSjGxJrhxI5hIb59mQjAYcL9aBiuOE1msRWcY6wv0ZDZOsFwfJqoWyl+kv+gov32b6
5qqvdGOPr605acv/wOV/CwUoEGDxSuJy12Ta91REbgUsPJxknQ3DoXeqIM9tnIXRkAz45ILwxbr3
kwKkJNKla3TXQ4cn5r0uEOhyiOM4SMMUtkugzE+69Wzk13aEIu5BEgknADxaJ0gEHZIeRMJm87XT
qvxrGrf9tZ+3KCqQ4tI03qy8POyvix710EaY8ZXLcXzux20oUL00g8AVR/TWjc3LTTOy6qh1unVD
lwidZwJlTijOngrvhWTlFJlgUpY2mYj4qs3yBADqmIrKZu3O74BCcwqTjKF1U1W6eUyQhJ/jMUCX
hHuIAEWFInFcWvSWHi3QNi2jYuqsKzePUUYOZQj+5MWMpn3YcHzyn7iR7DMXFT7VbMAzks1kZNaV
UyfLIhfx1DQV2TbUBnGlc90/4GfQP9BIyCmNWvyHyroizJfhhZ58vMY/99aR3EChfmOtLxRkbFoh
IqoFyeZiuiz1z+Znem+qanB2RuWm9ix3E+HAD08QUXMc3AhPnxNdtR4V+ySNh/fRov90XspIvLGi
YDHKiEcnMnosRQ4Uz69AnDe6V7nmIYXq6dO+72pz73ZOCf6FcI5uOBvR7nDSLIakMSs/AdtgOi8+
JKMLMNehyEuACCaJSIMUwNCAwJPQ4HguYTtDq/YNRy8d9wcLfaF2+Ifaa/JHIHDr26q3gYMOgNFn
oTk/sH0pfvoN/woOlOgLrwRuHdKgcMPsWVTaDwKS+x8NKq35yoV1HsEP2yDux3w/yf/cIlynE1jh
2NiwY+7pQM2S/6qDWborMYjkmPg+wMuB94H8/mLF446DowPOY4/H4sVKOiEWWdVFzI5o4uLLzUGc
rAAYiX+fTpTo/9fvQg4UboLowx9h2IwZUO4JxM+OCvzzWv4TofmR6GRfyf4DpwPYmLJHZhWw9cJ7
omAney8J21uakb3fRf4Sv/Imk+Irew+d+akjOiQAwThtCc7W9vSRRhJAbqDhQip4xbXCXSmGxzPD
z1kolRNxQ1qD74D/QQAOoXesG2YMuH8NILwJ7NyvdyQkMmouua1pisJ79zqsn8LMwP1PWdAojKd4
K1IG+lYZT/FYK3+Knkuq3CWCsqHIvv/o5vOuyBwtiDNwsOPhZjj28sLlVoBGJT3o09BFTzR2DVK1
SMHg2awvPD3aHlCkZUiuej1PK5FY2Yw7r2l6K5QMhken9kOkJFNgmNPQiO+9DNQqpLRzDXJlRyO0
DoWL+t2h7vAJ8jIrtkgiTtWOUC0zvUZhV9vtFzhMJC/QMyn4ZrQsMIyYLr/Sqv58lPCkX2TRaXRh
Jz76jkaP3E45fG+AtLvWCivcIFWKQwi/H+q1Pvof5q2bgnoCCKnIfkj7ZLBWaIPzJcx67SWHsMVp
Fs20Zkq2eRqDqF0qAWeLjNLM1ylQFuuVlkRh4Fd5j2pWgK6XYHw49C6Q3GhKHqLNDrk15nehhGVP
tOYtHFmMer+EyyXKezVPMZJR+HQa4APvm0HDYwhgu4K4TP273m99JNEafSOyHoeH8kKKCTB86FV3
r5HjehOd/MlAyVUMUvA5Q+XfUI04B/BBSnNQXarUm0ptqGjxfolHp12agVXPKimV2YWr9BJ61O1I
ftZHq1pbL0L5XvNitqLdXcgvpmYUTuuim8IPHG15bm76UkR71WdGPWsLj5tqRhvpp22hf1vGSrd0
pyFQCeLO/bkNdcPlaAJdOCj/HdQB4GgX7ey2w5hpmSYSKp7pu+4FYkoDpNgZWBnmF8ZRxFZvaz1z
gIM9Au9Cd56thruPqBPdAeXReUE6Ur8RrVfi+atxXlisN/tGCFRiSG0yu/5Grw1tS1oAYvIV/u9M
oN8z/SoawUvam0ax8oBqsB9xlvKUuvg9dYZMC0CKgnu6vOh2MKD1CTk7p1hVles8feaEthkNXSnQ
tvkM2ua2NcURZdvJ/MJQx7322/IQZ0649IOJJEHZexsu/WDUAGZ3SKAmYNZZGQQZMHDWr0AfJIDp
Yqxm12M3s/ySA0w6PCRW+oBGSP+ORDTSEjROoSpVwzPvu8IAdOq2LCJxC8bbjV3M5n2U6c6TKJp6
7WZas5vx3p9iI9XRrsmyQBTmjxZ7zefEYL9nbsZfWmMYt6IMjQOeip1b2wZktZlH3R6I0c7waPAZ
fIduVfe3Wl4Wa9NPzXU1V8gLgdActI0tKsY6+zbvNG2P42S+GQrUyO3EPH930BoQ2Aazt5Fparhr
x6gTavjbyAY1RYAaJfOqGZoiaGJLvKKcd974fY1KgBr0JRy1N0UHFg0Opt8datXAHFjzTDbfFzdp
MdebotaLF13jAOLFGb9pfut534GzJPXsq9DDLsi0a+DferlzP+aVcUjbxNsgD+286rW2Ra1U8dPQ
8jcLvAewZYnKAzqYh0b82u5WMX6fVq58MWPG+1Xees7RrJPkVVirRGMjun4nA18ER0O6UaK8hkAB
mjS7urXRV/8UZclwBeTNO/BLF+uZoxaMsh0uiG1R29ykyJmia4XJKZNTzZx4YPKov/cc8PtJFnct
TB+AE119a9sI0M26ye4trTF3vojqQ+fx/gao4ahL7/puLfBw220n9GiFgceixr1NHf1KK0T+0A/G
uGvrZDxkSVfcAIFz3hhtpj+nBQdtmJZ6P3kE5A0HSxbJfIdX85ILpj9jP4Uybyut7nHmON02JUAK
qUzOTdo3RWG6+sqLqnw9lmO+aRmfvmRuWASGnYS/bP0HvRETCfPJKvXXEjX7qwK8a/eV11mbf7/B
WKb7xw3GNyzbQGm57jump1/cYPCIYHh5X4kvAH73H1v7hVm9/9UqG/3gDH6zzvKs+VYkaR24Gu/v
hrGxHibT+ErybEb2TozruG7RSFZP2X5pt5fTBMzfZ1PSuhV4bUb+mkzTuANBT/Vk4wPFE41Eicf2
IOsN/0dqDt2qzkW3NfspuSoNZ00lZyintx4T0wblAu9v0z75m/NOP2p6V65riQ0ee+VjZ/vmUyvl
sQF5ZAMBHBigQCe4G2Uhpy1LOoGSo29HdAihTxWVnKm8oNdquqn7CGARPSo/KwdERfISOuH3bObX
Q8fAC4OS2A3XUxGgqG+MwaviOld4VhABEmjtw2SUPSrHLMe+Qi5pQ+2Q1O5IFxu1olHaONdKFLIh
PHTopx0eCzZ94bZ7j/bE7oE6HIEkkV9LkZYO3UNce/l1NbNxXQM97YZ5vNl4ulF8qXQUPE1+Mv3i
SR0kZuT87bHmMQ2Z9lrMobPKkNG8n73c242gFj4o9ySs3tzx6S3uqBiy/26T4XG2RHTX2+EInjV0
KgN/FKjp6A16bduEb2VDHgDRu/I19txvfWiP90kzJ09+gVyAFAu/ZFc5GkI25FQKgN7bZhte27HO
vybVlW2Fxatf1UjOuzFak+R00sSTNtd36TyKv8o2vPVSp3mORp4fR8Ma1iSPyuguNLrm2eJijeIw
PfDycW8JrcNOMUEqitjf6EKscHo/S7u5W1VoMD1G5S9tDPtoZ/XVvNETNPqUYnSws3bK+6gILdA7
2v61jvTCfkyi+ID9HtAbOW4HoLKI79pOPpumif4IojggYYTj/AJ0VUCcNjz6Dg61J9AoOr/R2roa
NLNMUKv70k4C5QPo3LnWc69/wNPdhGRQ287P1jCX6d9Da+d7aombuuxQh332QE1wFcPTZu2iDkTe
9grMSEdNcCcdNeT96ednbbwextJcKI4Ap+2uwsqPr6hn28Yzx6GqUXpC3eI88rStPeY1R8U9G/sn
X8fTUhZFf3sYxGD5+sabCSArqd4cRiOavuB7tafbGshyow3Jccq0yPE8DYKtNLYetaEKyqbvk+Cz
ERXqjd5wy3JubfEwL2H62/jlYuRPdvwy12xrmsM3apyYSyQ8HNCD3Ns21zfori3vncl6rNuQPQAc
17uP7f5bnGf4USxNse2MOmBO3T+BpMUsXpsZxEhXHJ/BtTo37/IWBYthdUPnrpNwIlncPge6cNz7
YeTfWpQ6vQ5MiK1X2sXOjlpEN+w1gKbcv8vqUaumCtCq7wNNu5RIlYamAJbmYLmfB3dc9wlD/984
P4GQxcJR/9jf2ihh32a1Fa0JR4mQl+ZEnk0XCWxlwzxdBGgrtLoc72jmlR5QFprIHTcgEdJuG1+/
Ie7ayrGNfd4U16jOr8WaVVM6ZoGW/cTd8YWq0WtuzFd9Ucb4hUUJu++jdVnTgDyxaMW4GcvIvf33
nx1mXXCXor1EB5K0zgzL8jzAZ1787GjMaQoDVPaPQrC12aIJhX5Q4mFXlfig26YuD/qoieX3B9BV
WYAHtvCuQ5bzAc8J38m8H8di88F7DsGpOFrRuXdtNhm+6LF2F+E/TXmnjVlsgJFW71sPD1qhH40H
lFMZwRxH/o641hZKNh6Ve00wZI9kP4xS4Pl07/elca3klWWjP4f73Vrxt2nt3N4ySc9hgBFpCbKs
4/cge5Qx6ZKjhmpfzNgkK5Y5UpR6t2cOmiSUvJHr1IXdrRXNHE7AG1oHqGhYh17nhCqgQAzl2zq8
eRq6FK2ImrtGtsD6wrvc2tGUasDRCG/uBMo/12qqtGRMWkC0PWaSNG7hWLP6306Iur0FchBHPDeR
L24XkEIG7rQdqqKBJnICKbSLCNRApVZtFeIg18y/U6FZh0xiH5L8PewisYboJk2mWxUGjwZvoRXW
oQqt4nwMTXKkkFMjT68XTOAFrXiBHc4LHl/zZH8GP3wJZow8Rnw9NnuC/a0dYHh1NvJyMw4dgzCu
3C+T8MYDPrd8FWu6+wU9/clBm0q+Im0+pvoeeX70ekutJW//rW+zZdqnk31lm+iPIm0LzJkry7X4
umCx98VPebhDfsFcUygti8QOlWfRhrRgas13I/rBNuQLLHp3i4ZRfdHiHtBvO1uEi7ZzgOrLcSqy
1UK8DIB3OJu2tvUt+Y7CQ9+uD6xNWsidwmxjJWgLJq3wOw/FJB1IBuRbCI1CrNNey65oarptvZ5M
1IbSdO5xO/PZN1vPf+hW8yuUqDK+xIRxzDr2VzQ/G7IWO92ADFwu2YsiAyVjoOXET5h0PdOfeZ0N
yQpgXmBN0iTOBLLp9MMxZAVbI887HnKvLL9Yg3agjr5CRGzthNW0yAvYk5zsqzJ6k3+0R3n6dKiA
5/RF2ltIHB4LHDas/a6b18Iq/GMVh+59l5kDmIin5Ec0za/6XHtPwJXV9+j9Trfz0Bd/+QM6eqQB
ec6dj9Ss9NSEM4BIMUl+tOn0yvKELZ4xcoPbxGSLJxmQZ92n/RZlKD+L1rYeC+597WTfDhoI8bmZ
YXs9VZn9aEXOmRx9lOBmkfKP9kr+ib0dD9ZD2RlJYv9mKMt9gyAn7Gz6l6iijFVrO4wPRc7rPSkU
PDdNL0xi9KZvctcCiaE827PkpXFrthKgV0Yl7bsMzTbdkS4jneepuS6PCdWUIpAfyVTA2RvQyENH
hKRRsavIm3D08U9xFh8yz9L5NcOd+bquU3mSSU3Hsk0ZNQLpoSj8DaiW9GuSW6NA+zL1MMuLfhr1
RpodgFSIypApSOIty73oWCNPdZyyLF5GJHOlgkYmaGlBYvtR/ZnLhcxzR/Qh1A5r0FlsGCtSU0SK
NXt6ugYs8LhGZVD8ZID9bJeOOERuZDsiyZpyBkn4iJYqaTFLiyIzweYip3RBjfdiUTcc/eA++CSi
PJ+CMRHuo4s+kl06ZznweUPr3mbo+Uircfg5afcG0CB/kSlH6dSZqefV9mKa5fGlqZl1gZ2GeAI3
rTxAShfkspoR32HbktzRqAaJ4gZnzNrKc/LSxqYdamzR7b3beM/KjuR0Mf2vk+uHN0pCo8l2z1dQ
Wlqh6FGQoGQ0olVyFHQquVoPq5j6/LaKEl+8D2RyolVY9na3bWoQzXKN3QDmNj4QQNwFshzg+hal
8N4x6JQZeCYWJTkpOdl+DEvKOgdWFI1OypYJoFMo11NIJaIRuUqvWYTRYUC31QElB8W1YzuoSUKR
0ho1TeKv0fbuXN5lz52X4G5uA5OG5KXp39UTn25E7PorYsNBbgcnj/JC0wvZGW3Owq9D5iz09A12
fCkanN8d/+DSoUikJx+ansWwLQtnkxQJucs0OFtJOSH79wNFgVOWrHiCzLNiAYgMbZV3aEZaHiku
7n0L7wHz/cVmeQRRtAR0f8yAQryzhpoF9hAjSZXW1tcS3dYBCnqbm2Q2ra8zTtiMOf2asA5/MNQ6
B2TFkjrafeZEWqAEfOYUSidTrjTbeHbt2TiiHcR+40fszFQ/uGG1iQDk0a0zqVgw40jjoMVPgccp
N5IR3twnZgYxMpHxSUsziq6C0IginczO6Bop+icmyv/MmISu5iSHEtStRSYhBeQFp1xvo9Yy77Xa
LA5DF6ILhrQjoJzXZimK9ZnQycb8OOGBgUxC2xRA2n93VvFUAKe2ijVI6EZ/PeZAPj35ksnUHRKz
Mp7j8SEbffFsyA2/yB5mDSXS7xOlgRlpKB2qZ5/4UOUZAgABSjxTEvWDDybdbOWraEpmfHux1efr
wfolbC19pEtrm/MeD1/A1jjJ0H0xr8upj7ZKNtvRtxlwvMd8aLNHC1069/9ZHMC0R1sA7AAR5V9i
6KyWZzkZMEumKb7XYnEIIzu57mcvuueiiO8rrar2BSsB5XSS0ajWNCuYJqCYs77MWMC0urmNez2g
SPE0pWCPmXO+KTketcllMRzneVmE4pOCFuGgPQ4qkTblJrNS/J40AF93VWw9AYCPfEnqhRSW0y3x
nQ4dsstLlPGjGG8iyjUUyzHW3KFz7g67W+Obg3MSUJxpxQPnE8Bzi3w6oG02v0FVDRLQwDN9Tj0X
5VZl6fyM6mYVy3SfaZSLe+MDpukzd4vZb+56FZ65U/7a7Ns7s2nbjddYvOVfmHUTN4aD267ld1sa
AiN8PYAfaH/GYKdI6cgEP2nO8UxNwsZoF78J3/l+TzJHT9nh39MJlvEHMZfvWibzdXRbM0f3HKn/
+R38yVH33/9l/B9LpChOmqbm0Xaxqx0O6M/4bcu+ft20772ujQ8KPZLkvCqmXc5Eg1rhELAAC0yk
9ABfxr3JkviwKMgvRG5r587Avam83vHWp9B99YJ+eT8tbrphCNx0qqcZOZzAnbXuxkisyV+7kxMG
DBjJW7ovdFWNO4uX+tpu8KNCHrG/3XzoTkAXP/mrG3L3hibtyYAi4Tyw3ypTGjUzWAIo2rIkCV39
mwpi29UX3Qifl05i2Y/sxXfNOLEbT4R4Q8A2RwFzJfGuUPXkrakfWXTnJoKh5CKVJvpooHIG2hZQ
D+cB0GoDgA0JdObpGqppWmsJQE3MCzQaRalQsbZgq5Fm6XRGvDhGvhnkphnA+ljkrRS7VlayH0U/
oDtGZsD8qK8fCmOZkAQwfdEhnbBtpCldaoBR4KxgNjfLGeLnMfSuGbIV+YNhug4WW+VLrwGnocaB
8+Yr9faCSR07NnCfA+ATVWxfZzkfejSV1JY2WV+VnsyjPEo4yjfKNycSEiyebQiAT5I5uUcWavkZ
t/6iR4AyXhXgo19Imj7bQ9HzBj1btE6gTEmsHieWnVbhB1b+O55TA/f7qeL6NSqZgUyI0xBCs0jk
GcgMWrjrFMV5JCKlknd5utijixwwjiY6na6lDFXr6Hkiu5PMtNI5qGNtfPBqI9o4xjgsR3kpmko2
aLjBVEK5kbYZ6mFHP3Kd5kYbNf3MV2lxILNz0MVxyI3yAU3V9pV3Kjz2S6fpkTDR4p0F2KylntmX
arI5q1PGYc5DpZXO1ZmMijfpoiJcVnouc2Q0HowkQsOtn3xPHPO1lEjfdBlxfNMFNCy8GN3sEkec
pjPKPHS90PcXcpqShbJVJicvFRIQs/g7hKW+IkbYru2KXZ+jqCskoIK0QR9lK5CYIjXRxLIqRLeI
lA2h3z6QIj7ZKZmKxU92SvaP8ciY1u3k61DxtKw0t6b3DWfj+KoS7LXaw7gcOag4ASrholG7mMFv
3zRKpvYcZWjX8rQdaIZy36MUZExRlXYOk+///quDMoyLs1NJleoazHSBou74jnnBNTBNhu5wx0wf
mdvsgAwMuONqsg5dHgIknYZMmwwPHNNQzWavfxiSwR9SQDuCLDdCMQLZ/6+jlLoNzuLLFSmMmVnX
89g3O1SxsSK4XL91e78IxiI2drqYsqa8d5uXIU2zW90um0MSe/Uuqbv2MWsFDszbmv1AqStAUSLt
dx6FL11T919t1tnrvuXZLSiGgAEhncoERM/kVI6t92MGPnyBA7Lf5Z9Okd5l6w7YSTsWzQK8Me+X
1PHeplbVvI2UTNm50gPddyiSAAIwA70Dv1Na8v3MTcn+MXxBQVUs5UKyfw/tTUCjCC5cyI9kalEl
Uyt9FvoiFJl88oZVuM+WWD4n+sjUaspFyT57BcpueXNqrvz+f0IXevy3nbXuNmXTS1KjE55OtJJJ
APK+HxocwveFfqYpxxCynK4nHyH5NEZ5Ie9FO37wW2SLt4xYzgDXUC4UgZxJdopMosvwaE66Ob2q
xTN1ACmDU7mACl15yX87wOy6psrZtG+8LYpQjLUlYbfFjJKmSgM3gayhpUsxNL8z4f1hT8pyQlHf
yb7Vqv/xnI7O4eTjF06afv33f+EMVNdRdab7OKNjYEK5pFNB4n0cIzfvH+cpyrZ2ZhvHuYvNIyDx
/CsLz9BRI3vISEbaxQQ/7k1Aw0s965LwivlotpdhLk0W6yXGSU/TWh9AWA+gUQDgmKXfbnHAbeDX
vQU6VC2OgLARR9vCniigeZvN70Olp5GaGrGr71p7WCKceRQclFbXFFK5OHpl7HqP3yU+nupx8zSD
hexDFSEuVB00X1RDs2eFNR1bFEVla2X4WaHjyVY+KCCF9ZfTJ8Xd4BUGAED8CijVOHGe+vZQt5X+
BOTB6m6I0WFMcjJrT2aohjig2mF+aj+aWWa2snEqezPTQ1tmoxfLbwAmIp8DqQyGCmK0UduSXGuM
7ko9YVT4Hh9AjhwFCx88zYUdRsHyxKHm9IRAP/+GWb/5qKcBkiWxEwWKu/7ClxRNwTexGFGqJoat
I0vEkravHrIZQGGWC2i9eASYgoNavy2hsmZSaxQjqqMTaFFppIPxBr4RmKexOahfUp6jtp4NyTca
VbaffIulLJWyyqz+Rfsf2zXz1jRwCjxHexRwZa9ovM23ZjqVB79N2gdezDP+aqL4+Z9Z5IAnvxIo
t7suo+Y260TxmmpFvDHR6H4dp6y7HnFGuEF794DKGv3BlsDhLK8W08RAEU455eemRWMvpgTVK037
AazqVv+11Sxj67otapuSUtjAlvo4j6cKeEsM2OVyDzk4w3dQLANSWmFV9QyI6prR/1w2lrThzEr+
3Rw192rZXJJJ104/l42kjDIBr8XXAJGjMLWmUEdP36ChDkc+gpKCZJE+ZHua0sVu7De7HnVU8Ur5
/WMsQvkmO/x0ZXseMXaTeD3yLpvB0fUdH0Nk/HPg6gBF1noCN8LelP99Ueo1V5WGsstWVoM4RlYE
05icmVFZCOhcz81ApVKAggq7qiip14Bq8e8xwvfj46iyUdF1Ift/tQMU8ZGH+oQ31AJOY5XKEv78
4yWxrHJbx00cXCgujDtjBqC/siE/JInjQMgK/57UrmwPoLkyRBVeFxDXGeFEWeW4HUzHuKPZEFb9
rhl7f5VNwOtYSS0/aSepNYzaP2NIq5JhC+5W88zfkhYL7NQpOvFidtn45q+i09rEtWbb8dva9FJI
doqu/AsvO49eAOHr6InKPUYgZbnPhW5utbGuV74wi3uS0WUUxS7KhHZNM1KO+I0ElU9er5QZjYwm
P7Plo4a67iWdVDjzTm0Dac9XdSnOGDwzXSkFFyV2mTTXBg74NLKczOrNUu0f1baRRipE1Digyst7
ayVa+xv1FqFCddqmRVjuaMpY/1j1EsPRGZ17aUUthX6kn1vFbrdYiZg596BiWmKRFUstxJJ9Sier
U6ylyUmuSFY0/dOKnEsW300CWVf5bVNfNPrefSYbinhYWy1w85QxfbuXLy0JL7/ezPf6ddgDne/s
653kVo4GnswNRt0TT2D+ekRXBtoUkRJ/AgrwtI3jwl2Tks+ecz+U8zru6w6EexFyzomPH0HSjjFq
eZCGiVbLVIazgAydFzl7oHBO5tXrGd0wO7JoMse5Ltzxm+OW8xOJ5PJdndk3JPqn5XF2y5tVjzT1
2fJeycDfKDRteSMUTi6fuSN7oHCfLQ8oMuBTyndzeudsrJNbXib3U53kOxCRp2sCm6VL6icb9I1k
9zQLAbOBJDyYmBY8XKnFA9GbdpD+AOEBZhabAU4EMEm3fTAyb/oLOQN7y8EodWXEKEIeogc6JiRx
prfxlSXFsNZYMm7bAp+5KLoKGXCGQlK/zIARyeo7FCyibWBuZ1SRov91AjfuFcdJ+i1zB3fT57x4
7JwCDV/c9l5YjRqA0IjSH/PkX7egMYkCP7oqU9eNQZeCvfOI2u964L8rbC1fL9Yr87K5s7gz/Sfr
9UXrvaQTqnf/l+tVYTU/JUWSbXjStOu5c40rQEnuDA8wb0k4d49DN7fHXsSo9G/5o2Fp3WNRAH9R
86xhS1NSpHASdRnekuh/4TTPFd+WdWUGpZejCWlwAP6b9dxb9ays0MGla99GYXj7RV1ZengNvhSA
a5Wl/I19t17mOIL6i6ypV4Mu7RguHlmE72gQtmAfi31er5fNGu2sWA4+wLq3f9G+LHItQBHTMPaN
eYdS219q1/a2N5TbM3KTWl+MtXPwUR5FUSIjaZ3DyXfRnta40NIL8DI+VPjuI4CKd/JYFi9kf8dp
yTMZuaH//JeZ2gZ+/pCSKyVVikU5YY7/CiA/evM6d0XPg1yqWDUDva7PQIJMqp5YVUz/2Hv+fEec
7YD3GlcTStm3Cxm86TC+nzQD4L7J/yXsyrbj5JntE7EWiPmWnts9emo7N6zYSRAIMQgQw9Ofjei4
HZ98+W9YqFRSTzRIVbv27sBCQoBBAwtkc1Cy8EoI/jZEzaA6XEQIp2GfROR9IBghay0P0ys1olq7
tJRANYLNL4q/4aasryhEqlaKzxfyJsCJxN+8wdRXmv7b/Id3aehX7z/Mjs7ZSsGLYUYlybBrbOFg
MWOaWrtQVYqqtLFzCXSNUKvzu9QRgDuH2e5mst1qJKf2p6LIr0WSU6Xk7+GqdXuZaZxq36ZUPtIN
+drodAjVgiQutpzFrfJ4KlYGeN0K7Jz0U082ljF/qlhmlh/tbz5TGbMyUgPVJ8F/999eSJ2pOcyP
17n1GgPY7C2RWDPI8LGgALfcA7EE3aDCJ1mZCUqCXN87JVHC3//p0WtDOnn0hXjSWjOfi7SqLp3u
LoX0hu+J1oHTvXarXS+T8CSYFKhSq4fvZYLiAVbpILUqcBdumDkAYYAOEPrNh9ZuX3yDihXqm8MV
t0NxkZhSOTSRmc5NEBDsAHX1T17dX6e0mfd5yqH1rlM68f+bEnVm4lK6HmR66vZ/CM4axqiq/EeA
hBjEJiARdxzDQLTkSwzYkWZsWk0Xna+xCeQU7XndEHZErOCHkt8setdfS9wm5slILlW4TYtCc0hb
ql5ktyH9SpF98XR2SSdj7Ah2LIvhhxoB7H24Bnh2mKsRac7aOXGGZNL8HCeo8EtME+hbNSSMaare
AR5+C98Uc7UZUjupTvJibke9htTNx8ZqtLmjbSI5hs5TMbeIgHSJ2lS1gl7H3DZVN9uXeYCy1ib1
pjTHc1U6HPKPGe/2ZQ5cT+OG5VxxxH865G23V03lQoldTqzyyqbGDopLvq6N6wy+izXLp3nUwHac
W9HRTwPlWKojxsnDSotmmm/wKl5lrWMsW6xvbbLsPD7MJ2RMi+S59IAJtUEefwnddsmF5j+ItglP
eYdqrBGDk6e5uwa62v06iI2QnHFQYojwPwehhjL7H1h64un/7xI0bdcElY3t2cQB4yj6PyW/R3wY
a8Fne74mv4kNuSCDgCdHlP2pGQmtgKLsTxoBaeQwANmhbOoQpinKeQaICN1svullh3G8GnWbxB/H
V354HQ+iZ/D2MKyZaFztnPFQvMSU8Z2e5CUK+EATvWvz3jeWV7tRS1kHPYmG4CotFoHxMNBzfQBi
CZvjDNT4kHsI60NRNOeq9fmjmeCrLz19UXdadFYtJ9VTbFbMZtOMHogbDCt3yAog2tHUhrw5tHl1
VpOpAa49oh9AogGO9R4cCghd6CAHPPBkruITyqIOKnlt0CKbt7mnTznqKbihgUpkHHBza8xQI6CW
GLI5bgD6lPi+TfV7gJryZlYvWLLm8yvc5iTIKAXQDHCDxBV0xkbOKRQoVGcDi9t4bCkT6IYfOqAo
D6rlyKyZ56yqVqrZRxrZ9OBFmylicys1puGqpTxqq33gcdaBiUBxnzLmra2ixDZf5BJbeiIgomgD
GDW2lOl2+JttGvsxLBys8M7x0vDOjHXQZjgaPk5K/Kc4lzNrLA8lnWdudEi5z2toTr7EPRLYud2I
vXIrKBgcRjvlurkBtRguEd5tb+lulQy/Iohd5IqI1n5XvXbX1s4SmkwM9RrFJY/JD9fRAVZuUANr
WHmDRH/efxvtpiasv9l5Hf3VHrrgezag9ju7McHpZgxm7YgdJ3I50GMA1ipRK+uVIWpKeyb89UC9
PJjaii9O40hHWxAnmGwupfmspSKey6KO76Om6de1kSBY1KAaR3fsemajfmmqxgE+YUGMUDwWntud
xOA812FpXm6DVNPNwusg5BQsyNOWBl4R1RkD9OMCm1bxelrVdQ6zsHIFN79a0amDw9vy5P+YVoES
e4PAqzw9gDhJvIZ4eg7VuXGUKzwbe1bsAa20nk0YoREzpM4KP3Oms1tHnXWYJUd+/2ZTZwpGpMBD
t+bNZQIUyXFw6c+vrBSVkflrw42KC3ii3xk2fkdzbP2I05BfQExeHH2fvysbQSX7poqrbg654/xi
Mg/VgLWprVWvh/EgUeDX8b1jZRcbIJ5jmDNs8vb/Thib5OtiwcImBIB4z4Joj275zpfFAu6L0Ekt
OsCPiebOWdOz4pICHhT60lspoasCWihAlCuU+IfmlRlZ24I5lXOAFHO31J1hDzCUfVdwfNHqDN/B
9exvTaChepBZjGVvHgJ+O6N/D/WUvmdGKWYsM+pT4SIuMFDZQ7BdTx+iBkzc2Bg4P4ara1Ny1OKX
KLVWrj00yj+55qgu/dEn06w3V9s3UEOiiuI9z70Do0j/LdT8EjuUptn7SSbPSeL/utk56Cv2KJda
ylJ3V2ww84PWIhyicUCifIHb/PieCtZ+d3TUgWau/U4908T2ye0uhT/CcEKL/ugaCX4pD4CbEkXa
Ayvyn6zLvyNSMrw4tEc8FM/Se6MKrYUA5de+SqJo0xVM31Cvl0GZeuaMjFcUB2VqP5jlY1vo9jmv
xL4br6I0NsItK1EpZ41eKADyFtiKFKsK/GILCW2QRVYNNH4eUBNq2J6xa02WbIci8WdDbeSXKiwL
6Kp30dqy4uKCYFwe2GXv71UvhxbLyJXwVKQ2Ykoo39GgjwRe21+qoKMG1f1S2Gax9uzEHc3lWG+O
SE8cpDVkKwzCgPYZeQJTEcV3qGX0A1VCqnp7x+2CFC/ZQ+vF7O8UHEkJGaiz20HZGJgv1izboRrQ
kyge0R8yhurLIQ3tnWLedfH0CYiXOTsiHfKkevtGt3fCf4i8Vl+XukeegC4qEJlHWV71ZzO18gzE
73G8bG0C8IFmrDVUfS/zQmTrFrQqc4UMMrw+W/u910xN1cudYhMa/cou6l+KAQERfbrUtcSBCQ8Z
LTH2ZWu492H+Y9BTfuS4kR7sCHjXMYCrDng2ZidjiLxZljYuyqTMBQ8hzouvPQF7TUWfVNEx6BMi
oHcp3RWge3mwh+SzfWiiXZfZ/GH0txvuv1oEEhamt+c1yoNYQxfqqafFvNhgM+HNW1PqaxDti0XG
6RDwuvb2NaP5k1ZHC0Wg0GdNseG8ymYtI80D2FKLVeGhYGtanDLkkzk2h5Box7IzS06FbvTPKasf
p/LzcKTnUBQLeS2SQAPI9U41KR41d2QwfzkWyG2hNiN9RAzSVBNn18AKwm5B6xCB/mQvWUMWHeQN
HyvZgJqi7/t3E/rOtVZ8i/Cn3rl255eB0Yfbwgi1X6mdpVvJqnKmoF2igAwrMeQP0AbYD1ZUD1h3
k2QOal/7wSuc5Oxiy6E6CymwFlM0FNLneOQMLhP3cYdkOFTiF7pS0eqMNMM9DEQ2CaoWaw8klUga
3SmtowbKawH0kx+qOnQPqU/BuQDVKVA0pLPOyMOf0itePMb4BUSduO+aabh3Qsgr9DUKZNc1aCLm
IKBFXRAFMUBMWHaiYAs5+XaU7L3MAq5PZieN6eGiK61i7ima78oCchNXTfLEu/gA6F55UkjrHK1W
d4qTunLHvlurNqNPrY9xYUjk/N8PG09hXv/YmZoou3UBviYWis9QaPvntsAHA/Ngy0SeaRyVqNIu
HUiDol77LSXGXFGAgF/iseaufxlK1s/jwmgPEEOKtkAE96vQbvyzl4tkpgaBGnDu54D6fAyCBC2C
cljpLzhWFoGS1ai4t0w1Et0jK0ieDM2ZWh99FsgW76Eg+NYZ9htqdcm2KvJ4pu5OFovJNsuAT7w1
TVHFM3UrU85fev89tm7bddZR5H0uSLa2MxCh5AcZdfmhHg/qLEJtdOAYg1x96VDOqlciTLxSI75M
QOOMBzyJ21Xtoco6JsOhri1915nC2CkCAtWczmThBMzX88XNduMoUGfq0KVdt0bB7NyvWz3wwSC+
t1PNvPTIeELn4llDxfvBsZIs4ARIU9QXJauU+/myB6/MJXIqHcDM4TZI7xzv2WJJMw1ycx7NTOy5
Fm0O/hHSOvLboDdQdkDKWObae+9S8YRyc7GURuNtXZ31hy5Lrq6xI5cqZTy6QmZ0BN51WAKXiQQH
vqEtMmHKlzbxVyq93RW4pQMeR8//5cEGg4DMRn72CGnavnS2O83xxQPYMQGlGuI+oDgwnSWJ5h4I
ZF723GQEUtYsfvO6dEXTmFyQoRCrKud87XdZ+pyLYaccBhlx1MHpn0ca48gQI6H80S5jX49XSlbT
Y6FcQgrbAJIzjFAZPgINlfTmrecm4HnT5FS9TYpa8rin1xHqTOpRDhhtjWKOIC6tBorrdrIGyrB4
dkm002OdvvkD+PeGRJgHaInYe8aIPlMdPXLThq61l0ZCdEzW/deRetVgZBxZhxjkGyCwgAKVsFYS
WXRvZXFgUAwjseZTah4KTNAk1FZTFp5mDZB3IMCY605/uMqtgA8abOUJ6EcUIwnTtVVrA5jef5CU
fJgmwXa3CCePG41J/HvQzfQxSM2j7B8D1Qupl/wwKQfl+jHQwVdHgS+N1ur9qEF/zvPl/TTD4EKZ
F9RgFYI0G6OQxkzdlRIytBvHQKAZhEwQQWtEuyH+AAbd8Q6mes3RWWnMp6OzGgtFcW1O9dxh+wT8
+Q4AOIt8VPtEGAPYdRY9Q3c92v5pT2NTe+rKiv7NXjkJ3ZoFzRaGiN6rEgxaFB9zpnkhZg21l7x2
u3u/irtdMtqnVXMVv4I1oP+bnfayu6+i6urfJOxsIOOxiohOrWjGsd/+LX7i4/+2oXFKD7VLILbU
a2vV8qVND+oszCU9gOkSGR6XkbkDgKUe3HoE98jKAAokUI6fuofI5nvpHSaTJkh6HdfHkO8cX8k2
fatdAUvhzuqi/I+5GzC8gisUd5vrpdkCpYflt9GuHbfZxuPmsxz3neqMcZsLhLpCe2orozrcbGps
Wrfbm+lvbkOxsoemfozKaQ0Nvo/6yeZTg7dD9dFQPXBTjytaTG4JssD7q2ClzRIamLYjITBdg2gI
PLhilj5H3O8eQIVhPZRhns5IU/ENsCc2yDLh2g1FNFPN1ujsh/Q5gebZQ5ckO70O6ebLh1LNppYg
KIPqoGoZH9+C+qDTV/O3YcpGItAU6t6vaSIPFM0V6l4CO7TtEfxAA0CPGCIsaJbgNLtTHersdvhi
U85fJvhP54pTaGn69mokvT3rrvVLpYLTNBJgh9HqvUoBN5nI562boFyFeuLYd+630m60Z6BS4q1X
gfNUNetaCxcuKjpWJhTTnhvTi0GCY7V3qtce0qP0M37uh9h/suKjPTqpCbPI/qZaakJbB9WqapLE
vk6omtXHhKo5Tph3XnruOuk/ZdZBveqf77D1i3irJvzyDlVTOFHy6R3qZnK0ioFPE+LJX5ZFdPnz
HcZ0CGcs5qg+GiNuSVa/tywdlioIp8J2yq7O/oetK78OvY13OsjDxLgzgYeOAFCRxyDvUju+xkDm
EqGghzLhZRDyRJvPrEwWr63rWJsSt9t5yUQ5Agh+6UPbndy4709JEf7UQKb6WuApOcfyytyo5hp3
wOtQGSbeNDTFULtJuxO4GNoNp3a/wQVY8LnaohKQaoGutqrnk+ie2sFO+nyqK8rbCLIB/HkYCgiw
DGzdOvlv3QOU2OIq+qpyYI44V2X0/Gwao1rK/nn06OcUDoB+0yO9FlW4SEqO3w2SAIpcqRixvA3z
X4yypntlQsitXGZmmUzkTP/hX1jAphWMnNOsKC8tkkZq+x87hrNIdHCGQKDikz0BpdAiHe3OaB8Q
8kKMrP+Wjnbl3zhxuSV2O+6OYrqvjQKLVs3cQIIs2itTNlb29sjAI/P4h4vqMFld764fNO0oqLXn
7YC1pJaHBIm/kIHyCGfRxxnIl662f/RmPwRWMwsiEHlRIcgpc027LbaQ9nEKOoJxQguEzOvVp1Cl
oM1agMM1UHls1aHillW+RXTLmTLiAEtgf+v4bImIHPJQHRJIPYS+wUzWheVCI+0fbdUvDU3SRSfA
1tSTN7VjjXnfzyxEBtaqCVX4Yuui8jVQzWykuoy8b45r1/df/OVIpalL9+pPsembpTItkYhykjxa
KZ5cRZGraHNv3LnKFhKqzWu7NYNbB6m4KwKULSJgP52rPiA/wjuwuy2LziGB4YAoM0Ieb1dR2zWA
1gCCYEIMSNvFJZ8l136FLWgVlkD0kVjVaU0nYK63EETk5wnse23cULzVWvUqqK86VOumiOA+ZhWV
G10pg9W1fGb6fgaUNn2vuKOdvZ5HewdU+zOFFfiwF7an7aidf7aPKsRd1X72L6n2pua5+U9wAdiL
rrnOD7Y70MZYc8W1a7phcqrLeqlaimG35CYJRFmGE0Ovk7YpCEu6AQJeI4FvlTarpK5wHY3svqWF
QsK6SbqFIut13GGaLiwA7prZHr5yNZVyVlOllj4EtJOoF8bVeCdr801GEfijwHJ23zTADI4MZQYQ
LivQJZTLSNf6l9LW3+rRy65DcR928QmhjqtXITN4jYPGuZQX1HDFPSi9EM3C4NC35OpPr45BolV3
UCTNxrQXA/uoBv7M7dRSmTBVr6llxSqv4iaoVVYLIWbroHx0Q59GgBYCerRNrtv/o3rXsr6S3BLb
8k3HQVAcjIWe97XIgNZWkhhDKU9Mr8lKVdwWTVgtw7z0A7/RmbdqsnhNaxN012UDOtVbd5gOeFt1
XBk7czDmdtJ6y7IqWuRndflAWye9741XKhv8SrVjNNClZ3LdhJl8gMgL+EkrH7XjY9OBjtRDbYen
tKSIxI7DGSJkSwSx27lq5hnn98R+UQ01fw+2yE8zUvyx54lhuxLEzK279cOfkXaxDZGezZKWx36w
AJ/uPeO1cZFJEnal3RFfh6ZlxdeFjIxXBlqbZZGCLkU1iWnhskqrC3KSzbbieo+MGYZHWv/+ZVqr
bYzXpEPlmZoWopXpEzOzT9Pq0OFYhfLpmvWzUOw5aWSaVoe4nt0Nkz7zTYb51vFJTJPU0L+9eQPd
R+8GFxSIfdq9qo10n4MktRRcO2mise/yCD+M6vD4WzTk1TcSV3RpZra58a3EfPjLwMowsbjsa0Sq
CrP95rfvfuwjRj7EBwUQK0c+614LfQSJ3Ti4IcdUB0+RZIBIWr380vHnJKrT8Zvw6yTCtNld7rFv
JlZ+nZYal2aQ2joE6e1CPYRHuxzt7Wj3/rDf/FEe98mftJZ+KQbknjQ31RbpKJ7+l/kdblG8bd7O
pzVOZGUrteSp1X1cFQ5PC52xh1ptv5lWPLUMNNqYr6kZgWbTKy5VR/tll5pkk9GC3kPtpArikcX3
wwNKst3kEWJTeJ8Zw9WjquJdQZp/zJGbyTwCQWkS+u5GyXrfLhtoSz73iLxvWvUgHZvp6NYpgVbl
/MWmNF0/hk0Xm4el/SIstBhLTtumbD4JQEHBr8B/zC0XkRKISrWSH0vrXo4CUkoLSklDhaMbHd3S
urP3vof9kEcTH3pxgBEd+tyvtYdGs8jeFkl0tkE0ERaCPsjSpA9g3gLPqnCxjB5tEEaPzu3gB6qz
1VgTFDnz165mi1mUNO2Trhv/78z/6P2bH4JTQdtLZ98l69A02EEMtnlIsmIkI/AjBGmIYHNlVIdG
0RSg7t4G08YhAk3kNAK5btzSxwGpKYEyisspiX9b8Bu9aaOshfpYLkznah/AbY1DXrx1F//eIPQF
KJSERFUNNfDsAQ2QaObA9DlIdcclEJNju9QkJOZIqAW9Y2/B34yyctJWx0poP3zszNbKdLMnSfyT
atkiHBwDFLF/aPwZStTvJt03tZO4WvSg290o78n2SRIQdLFzQeoY9T5+Nmc9rVeqpG7ohw73eDsN
oMvIBIipkFpnvXNSBXTGYIE72MSyUjXBBQBn/H8DCsmGe9C93qhl1FnbpKBpdlt9qZr/SVVz86tz
A4s0YnpYLLtDfadqwKLK+gGqdX35tzqwqYisGKvAbt3jiKGqdWQiYJ9cVC/o4gJsT6udqn4GcASs
CfhVoLr7mwkqIQUCl6oHhVP2XDlOhdaKrwn1zdcxn4zK6dZz44S6VVp/mbGxjQ75EyQrQd9oHBmi
mZuSx1FANTz7IUVRkKNVV/mC5GxkmofPdKh0cgShgBF0JqlXtw6IY5NjBrIeIx48YFJ+DzD1JkTM
zZqmvNlvr6hey9EHywmc8RWHHNhz5ah61MRupmKz8vqKlgjL4N8JGPCPfMFlmUDjEQCynJHgdFza
/JmAAac3zdqyciEIhyINOSpIt7ItDloMpvamq++VyWn0eGkUjjHHCqm6J3Ffrnun4bOqMRfXMrHe
DzQ81U+hFWvbzgXprW8hx0Dy4tyB12ZW6Hq6VQHLtmiuTRXdpGBHn8kESrhwUJabQ5mydu8XeYkE
DwhoCg9hkxBi7t+FwYD9Q0bATJE7TFGL82gjPpqVQGFkNUXuYdwm3hifnGYAVNWTkgSQxADBu5f4
7c7CQx4iGLg5FiLEzdF32icL8pxTis/BlqDTbW0rgEFAnhTc2FamVc+gsXyH7E/4s4oQv6pE9CP0
Mly+KYiap5EedGtOSFriYwJrczYkUKNd0nUb1+vio7DAPNiFrfHiRDrKMKAVMqQ5UET+Y96DriKI
uttJxAydBm36VoTT3roG8csK8Qmy0js/fLVwUx2f0rFpXM1UKx8tI/LXvoZMHrhmkikOi6qVICry
Ux4X/HvUeu9R1CdHHZojvOPVmXSyA9bW47Optk61GUhrAi1pwveoDTd9Eho/NegCZE0znWhWTVAj
72/UyR9dIF/cgizEeAWP6oFZjL/Eoh93tCjzixJUBMqxItBBRdky9lxQfsmRokNn4qLONK0TF0SH
7SAabepM2SY/6aVHWvovxOTajPmZdpA56ba97Q9L6Em4j5KKaET+uz90LV5wo6Df/UFoMx3col99
W6/GPSBOh3UUWnJdtryBRneWHvu8LwEILt86SP9i3Wjp8yoysDOpmu5i4PtUdt7V7krkvF12kau/
UnBt0NSjj7a7HaRXnFBlcqg5gegi/tu3loV6+5PvxIfSMp78UPOeocf4jM1lexmGxER9jeSHwuT5
Nk5aQI9NsDPHoQR9a+WCsidPyLqPYzbLTdbcA5BoLs1GB9YcAl87BPeLZQNA7EMFVd4gpSZ/w8IU
/2FR32EfYiwyD7cz3y+MvV7W3VOmFaj9hRqTpRG5qUBRHxggU7LWTHPpVoVCszRe9w1Kql1OQrZX
NmCF5MwLi34DwQSQMUJ/8YSttL4CdkdsvTiv9q5XSwQ48ZPwqq2CVBrJj7RxAlMf6m2ZhtGK8+LX
kMv60fMc4AMhwYlFWd2f2yqyoETDkx+62QY+cezvpU+TObFtfgiZ7t3FWKgvADuFFFfipmA59zpA
EEuZ3OOLoTPsA7s30Y6Ibwv/Vl4+WZlHLgXvUXPbWmwjWiCH721kkINceNZKbVzZ4KIAA6IlDbDG
Rz2mv0AVW6yxiBZzQ/eS+6EcQGaPHy8XObuHFjjdgarrWfWpA3AW+RI1/vVcuBLMPciaLHRA0wNc
lOlK5e7VofITsfN5smVjOn8yRRT1skU1l5CAuO96sP1UbQkRL+7vQ7d0n31KoEgSp3O3MurNX7xQ
JIqojRNB5WOSzbAGFxuNxkVmHQolL+oMGivubJICiRyjX2rS2vZ+0vyMQjKdjJZ2tMSwqJPREjtW
+PDvZ5DhfH0GWQ42dY7umkQHYa7rfXkGCWwu7WLwnEct0fSgKPP6PsYu+14S7YzVp7tTJmnn5V6L
0qNqcUwHtnuAxqWXv0Sgcz4DhGKec8N6AM9O/yLCBloc8WAsNMVQmXntzMghFJQktDypMwDSyxOU
T0DPPto8ERkLPJAXJanTOeNWAw6cMoxO420NBAMn4Ibsd+gYTidaZH05ufnU4lg6AbZcG42jzAhr
R38hZWgCDTXUrxafQyc9+laARWoNMct6qbzCIV4STtNnIzUtCPNhea/stpu/gN+Y3wtIfu0h34C6
vHE48ZGYpmauH+JmyM++jYrqymq3uEmz4blLPLEx2s6B2JBu7F0rZ3fACjTLyHHrR1qKLEi68Qdv
jsIf2A8O4HaQ2lF9bybAKo8CMhtNZvWxYlY4y5jIvrHCWcu3Hgg8yIBEdIX0LWjBeno9mATiR0Po
NsGXDtXMfiWmJIdsHJMl7i+szqHeorXePOx1FC6aOX1gPrHOoXgxSCpXjtYlWxmSag64kgthxxDZ
1Cr1oImSRe4idCD8gVK/Ye61XrTPey9b42/66Jac7hOzj/bK3rQEIfiSmSuUtJsBRdXtHqwO1pOD
zYEC8FZOpm+S2noTkcBNj9XezkAMbhdZpFzYkSYvZQoMYCedH75ZHdzC5/MqzyHX6mpZQKOsBeM/
arHt3mV7hV/qge/D4knXAgv3qwdla/LyXMamnDwAE483CNnAg9fO3gBez7CtdpO3Hlmmra89Z73Y
4/uEmg1w6lBOHNb//tdZzldiIMt1fN8HYQaWfqZNzC90dBTlAmZb+PQxEUm287D3msmmkatm3Fxi
y6Ufs5osvdgqlwl2nsifWM+jHtJPgwyzGizCb6ywwsBxmvKeA1i0yjnizZ3s2SHpw3UdQTcmdiUe
XKAGebXCeDUYOn9qLbPdRV4jZnZboDLSMaHpw61ib3LJH6sCHGYXr5HDT5AEHSCfFL9WHpbGuDyr
Y2oDTmdZKV8LE9U7rgPBJRD0ALssiHkE6/gZt2dItEQLvQEhcRBr2kmQLP+GB0k0ywEgejCzpl+0
QLDuwcvPNhx6JJsW+qaAmUsDjKyhgd01oO05Cj2/c9zxGjfCrrwHSsvJdflDJi4Lkiwpn83IBGC3
9JsjZ7RYlyS1VmnTWE9F/qqy7BZWbstWFHwdyoq+1uybMudujYef327bsM/Xbt064CkyxDlyogq8
CMnV1lejeEtXinzdo3oy+NRWY7rKTAKsXBlyWt2rQCD+xW+aYlZmefwwYAu2gGgJcuXjnzZBtfMm
Behw5w4EpRT4cOccVREzQ9fzS5vFSeB7fvXunbKI7RAS4A8+JFuAXXWRTB1FGQdBvcWAhPE6N4HF
m4C+WtKGiHLq+YEgsZXqNNpNLVbCNB5iqFUcUll97bQoiyGGhI4qEtHu5qvO1KEAOZo2QPDKhUDg
XGuEu5gqkxD3mIFx3ZtqiNwmObTM0s+VSLvHXrqzsssQEqKC7TXNbwM1CA6bOA/vUVTjbgXWT3jG
Fe0GgD+IbdImC5BOwFF19yj1XPS0bO+qzBJn3WQbYoGbR4lufJhAX44byQgx4bXFz8OKFX40w65W
n9/K1m/17F9sltkhD6bwrdx1+i3roEmdgAZj1TWp1OblIDY9ODFwoeE2HZrAnKWpc+/bwtsJkT6q
Fn53CKsJBHchNEXXypYDxHmCRt9cdSoTaMuTRZPU9kI1a9uKV6mexwuojYykRc30C4PYgm2hQCLm
NeBfj2Gpg9oZcg46JEeXTtn88saWMqmDNkosV10vNiK3NjfTh7/mcWOnvG6DvsxR6627HFj36+ZB
Es9ZMpfWMxKHQGKChnoJVCQWUTQu78Oi6VFnCTazus3Mo6ED6jG2NKyD7qOhdtdh4lvApNFD5BL9
DevmTVH2LHBkx/ZK96kv5LWZGCORqbSQazV5H2BzwSEC9vss4yjLUjbNuliiOTPAyU9U97rpILIG
WmR+c7jZxRB1MyPKUWk/uvHEGuZaifyOSjRBtegMmDfdRRCaoLOxyXKIE8RlfJ+nFfLVPRGzKgqH
49B51tnU0vKImoa5aqkDyfTsLhfk2+QfU+KgbjfnM9Vbsdw+NzEBBSKkpBaTjyP0GNs/TqGfYu0m
eTvimu4iymX0yKEgpxLkwo+jR4ifZb6vneh4J9LxXzoSxKSUapQ62EP0InTEJJzSF4+a110yLuVb
FjV54EA46dyCEXbbEcRXfNJ33ypo2SoPAqLCuVsU2m4gEKBHhiCbqQ4EPNdhN0RjeKg9dFbRrFsU
sSxpBlEALVmglDf73tdhsuxljrLDWsTPtq9toEnDv7c2qpoKD99oDu2ie1vov7rRH/E6K+A+F0e3
HKpDEpcMVWLoEGn8Ctxi/NAM/L52ebm0iipfpljrPGN7e+QOc96h7PLmQ8Xr0fSQW0MtOkJEfoXF
VwqNBOVRVd7Cq7j9SsMQ+CpHIH0JTaAD1LohMFp2+ZvtP+uxbSIzqSV34FdFnCR2w6MdSmdb6oO/
6AzhXZy4RgWKZ7yXjKaBjsXZAzCI9bpgpr+irpU8xrn7E09K8q759Fi5wFXEDbLydibzbU8M40Rz
FLsoD2lEwJ5gk1s2kHawszjcVVpxLmvUKGCPXi+TsEjvHRdPTOYP9NUT3lPmQP8zALFJSHr8BlHc
nFN8pleoOKSzzDP9EZkVLXWbxnvTw9eeGLVY462zI1aH9nyIqXzC36lG3NL338LGWYbRgPq7vu7m
QyP9dyOXPBjwkY9p1P0fZ1+yHTeubPsvd8612JMY3Amz7yRZki1XTbjKdhV7sAH7r78bwbSQymPX
O+tNaCAQgcyUM0kAEXvvR6gWajvoGvsbYsqwO/C64CjIfOz6NHuZhTgTsUZS4LQkwoZns+h9N0j1
khtkWPvdvy+DAIS1P5yAARbrmibk/ywo/di2xe7F5ewR38nSbrwnblg4tB7XvHeKH9jVRSvfibBq
M3Nnj7hsP4ZO+YxTNDPoNYjBtSgoKOrixzT3EAmxL/R0j1p5x246/anAGJgOYmxDZc0dKq94UEKF
ahnItfw6gIcqlpFmODwhMTKLCk+sDCCPMRL1KcN2CTV/gKVOBC0lNVq6RDlIbsXAyzXUN0Ec14D8
Y+QTsrxS7QAAyCRgA7hoF90DnscnBxyaYGFJYqSJIZnQSZewgxgaudTQUT8lkGIPllJ2miHqfw47
hfUCZqAcoApjm2mG/xJFsfbEmvg1l0W+PRT69oNWg6VXdlMtnlcoQA+P1P3PIBRttgHP/e+KpjNH
gbCXOU85WK/Opdd/BfV08STAIQFlrqH+o3YMc13bKEAc5tr7mtUrgF7rPyaj7g/ACSYbfUzqP6yw
/p6YjD2VYVFg51aiGE/aKRr5HjOwdcteN6yeLqWjNRvg1dLPVj3X+HFr4scwdwGA6PY/fsM+uW2W
/jEbGjimCsN+ggAT6lTrojh2fnQNxxHtNRxlt89pVlxQpFq96SgvMHQWfRoTD5nTDMoE0py0/XRB
wq0JCJTTWVAQrWfeb2i08SIbdLpmc6TRNmw/WXKO/ucckKgKwmRgFmg+XCxDcd6z7o0eFWaybNxB
6ZsRFLVXPgx1hXWIXUdrrP6d3SL7qhkcHC6gIJYQTazfgRZGyVowTlZ7FlYHGCtQqhvci/iWXHKk
kk/FxFtIPcG54Hn7YloH6pA/gEtgWTMb/RCmUa+9CNsftqg+yHAyiT+513d7gwkUnta5dzY1zleL
3cFiGjoq2nmYh/kVnwQbTfwHN0B07PK0znbxgK4Mt/XefsBO5aiq4ZtUptaiCWTfH8vk6W9Ao1YN
SBR16aL8AJO4xg7NqIEAW/QHzcnGC12wyuPHei4OndtdTWQfZDeLE/zB3RYsDjZg5wAjzDv6Sxh4
kB1anOus6G/SNFr8CVDbDfXIww5H7EvG9oF6FF4kbFrCi77rD1AjhJaQ329mnx2LruxfwGPRPma1
ly4yqhVIUTZApuV7Qg1ZcXzild+9lFbc4hg0xPrdzuavhWv83i2q4yyg8EbOlsfrRGDjah5Yg5Vr
29TlRV1Eqd92y/yfFqXqZwelPmNAbkuTQ3YcxPQ6luRyAgoLUUI6Bk6E9BpHcWirgZMwRp4XNMCT
np1aA1R8Rm+dc88I56CJJ+1CF9Cm+IB+9uHGQi4ZBwAGyBMpEMeCvr7OsDE5Qnpj3IVh8UPxbtcJ
iOOjZgzXtSTepoGh03lQCzM7ko0uAsfbBbbySycM09Pv5umiH+0MQgbPnPGD1HTjlPlV80WACsKT
m1YxDdE+Y2OxpT0szrYe7RbrCogR8wfoGRrImmLPq8L90REvUAfYRR3/u8i8adt1TnauZFKxmArs
uWwTSV/Vpxb5yAiIuMxb8iN7ZrhIUTjQyhuwAl1lWhi+UKutGm1pNe+tKs7iwxyCfieLMr5PG1Hv
gJcDbneIdkJKOkGoy1y5YaNfRpzCPaAKPV9K+Z0aK8ZOZChZ9YslEpyM1lucvY4jaDrku6f3iF8Y
kkfqI6nPQTYxRs2O1d0X9RHIrmfuuLqWSjdj+4MIQYh9BLvNKjDTUWwVSQjRjNx1uzh9wjnHttBc
fQvVh/JCFyG/i6rbmaI8eFN/ubPf+ULeqQxi7Hu3rfz2q3i/Efbeqfv2aRBTucpQ6XZ2iix8tUS4
o1tX24XFzm+6cEt3OMZNFDi63Wujt+mlgMzLcudT4Yk3hK+hqe3i8C/uG+NzLYXuvHgzA07zWdx2
SFcWI5lp5p9/ull2+3Ws/A3qU8AzYPtfcm8qPhFFkp9X06EzdMhUSU4lulTa1GCXmIcyh3wlW0LQ
6GrDIU+hqxgNOOQDzRU0TdP4S6kPMaTey+yckN0zjRXLIe+m2WN8ZvKSiTLGt/Zna7GFUbWOzAi6
8u8D4ETJRaDibJF/6BfmW1iUyUlF/H7695fMAVJE/pxlAU5vtb0uyVXpcsOPSn1Tka1SX9GlgrAo
3ybu/PedfZmBhSWW7KCLwTZ/VfAOZ9Et+PEnDxhYljrlkbrgyi6f7KRcUY8u2aTXu7soyxV/Qoyv
bPjaw3+Wolmg1phAeE6XugVqwK8raDwYnn/Bul+ZF5KHOJu3qHLjly7WxycC+vv+9CnRKgHBOh3Q
xNrrM7A/6jqYIyTGPx5rfh5FcSZnQvhTrIswL2/EOgSPDxI9jbeiynU2dnJn50A9Ua/BasO91TwB
FuDqGohNdDP56kG1Krb6tzY1iksee2ZAZjHnwwbF0sUeCfPkqzOzZ9/tuk9Qse+f3ay9kFfv9f5e
d1ptTd2WS7SrFqPy8zq1jXX+G5B716m9iecvvQkZhxZVZin0XeSedmTgQq8DsITG60a3w00Ydt2K
anSWEh63hoigI4CgpGIeVf7TxKh/VgMzgP1YNVnaDuunXRRF7gtud8mnOh5eCNfGDB+5VCNEwYIB
AJvExa4qaFEcCd5WxdESBMGy5BPvzQ3XvqZGn+9wGveV7oQoCL/e66lLFxxUfrjhR/h1qwhysQzD
wHKQOThWAnLkBi9yg48gPIkDjgOUrkZ7cqTLrwAjTW6423Ju/iAPIULeLPALh+UPLLS1Xe40P21d
m1ZYIshXtrDNiNddYUHhCvxoP53vXoIwHHe2X72V93gFhSG3KImeIz/FAYJnWU/+CNZKv2OoPZZd
E5UxT1CxLbExbrGdlza6GOnEL4wle5zkaiB+kAORbx5Ms/DPo4dvUcAkqSVNRbMgRzmdUuG8OEU8
rQ2LT9tGbogyZiSfTNMJXLmDokvoeeM6T5Efo24+1cmnCmex1LOlWwSSi3XddleP9zloRjWHkB6/
e5XM8w+VnVabEvozwTRy6C/xFjR5AktUrCEeZs7B5oyniIEbKfhnC4jBP5AHtQoDNSmzrItdHLW8
KvcR+OllYQuQ/W8QnkhfZuQ7N2kSx6CWyJJtOqcOMsla7mwZG4cVEEO2hnN0rz1aU/atpm5Z+uFD
2YPMk7rzkIRIeYltAi3Oy2JjbgR657wfDkt/yPxoPTuQj4jcFpxE3GJPjiOcbd2B2Gp51YKXb0zK
WzHIFmABaIwbqzLzC2g+iovfivzipZU5BNRP0jxoReWfBs+HbRkhdwDCQHXY878X2zI+kZeaWM1J
MYvTLKJ/XFc0W1JXLMD72QvbAt0GJBz/HwqLSqnRkN73Io1VD3mLMrL35EcXAMKKY2zawWgXzQHV
t2lAd191+54rbB7ycnpQdr0Zehz+i3lLNrpnZ2H3H/H4nx2xMG45mDwN9xyjVoxtyymLtoOBL1M0
4bgTpV2Ni1KXn5cxKuo+SGvjMCIFdaABil68l35f833UDt8oL6fNDGKdIHyQSTqiohUNeAFMYAs2
ZBNjZT/n+eJAFt7NoHs2NX1D/jZOBZ7rMiDm2kpHBiSPcG5Uyq85jnuyfTJCutjWm1zbzWBiA6f3
fMnl95wuhfTDoXi8Cget2pINmC+IFOEbmuHLjuCO+rZnJ4GX+dAIxj4OpF50WoITvubYT9V+HH2U
By42OlEJC3Naex2qM4XO8ajvcTQb2gJpMA9EOVgBSwinBuy1gz/tSuUA2ncbpQRogGxts03zct8k
3kWYk8sDA8+XI6ozdLB3yqY1Zh4PEqsOj/dD9eRfjTRCPmS7CZ/mrtnJ2e/nWfoUSJeoLMUqipxp
TeWX1cTBr1jUl0bWcFpSRYpaHEd0m6x1LBSJZthsU3EnjciIORrqC0rHip05YO+7wG7a2H8AzYW/
d7MJ2rsEzSHwzftAJoE5ZFKXxnQB2XFzd4mlAQh5G6ivhLioW0lqJyr6lNpzKxSXNWuqD6XLwt6k
+omd1v2WNywHYdoQ9Nwy9u3I5gffH7R1Y+jVZwtlIYHXsfK7aTUb5pdI4/VpsZurafymya8BMknG
64D0+sbo7PSBdaC+gJu/nzSuLzNNjFeffagXgmq7dNZOn4Au2uT2uWrH68WGKtomEd4UkI1GPQZi
rzX1cZ+2zy14DiC8hputDhiJFOHy7DOOcn1IEOMg7oRS1KVHAzTFKKoEjh8nX4waChz3UT0gfxSE
g4tHA4obLq6L4zlHwyZTg6yAc6R+h1T0bX+QfSKf8/3K24KsPQ7UrUp/15W9EZJVd7x8bKAPYvnD
hu59dLtUwTdit2oeFRwXYRF0Nv4xD32OH0MKJfBL/vGSjv6PCTXCO2Uv9LK5cRNZPG2gCAFhvI8D
FEE2J7XZKUNJz68mEaiwG4MmsX5UoOW4vs5Qfe0zrJ/tDZam/BJrM5SvD8BjoagpKMNKP0e83Yqm
jY4qU3WXy6JMF+W8PChUkq/Vob5UoErfIjAUUTkTYbNdenqypmadIJ06p364UuTQNKC6deoAGuXl
YKWT998Q0t+Nj0oE6s1d3Oxnd2huWMgdWzsJaypWQwhtP4ICRRXYSrWprhegUR5X8/OE713h4qxJ
QocggzuvEhsQD+qGSL6dUeryg3qERGJV/TJgo39ZeqhXXSakrgU619OkW18S3XPXRgEk3ILWIuAW
QbwWktgrugt7hrUlvWioHKsIunxAIkkigkXJNepDvkX5gHtrpMpeQwMpvBq5q/tVo3cDVG18N6uZ
JH+OYFXZER8GajPDPTLuCzHGr6gvFHcG9lSLrzJRgKLOoCmp++6rpszCuD/mUxjiKNftUlR+JOIV
5xdA0c9+vGZRyE6jHVYvnle9Lrrg7/bSmKoX6e+ZzvinO8bJmrs6FJ7nEuB0e9cIrz1hqvZELSgi
d6e00swqUH1qLUYaVzHUnSdIo0SaXm3uBtxxtK7zVPJlaHgxqj4ZaZ7MGo29r5nLe1L2+7dD73aZ
BoQ9ELhmYCgD7VcEbVmVQhZ5dmlqy90r029/hJzll2Ic367bRMhyEI1P5ziQsMdR0o4QkNjVsmM5
xMhFSHQk2fwmW4X4Pn+iHgWISWO71gVudHb5dJxydmw03fnT6EFl4eYSVDr3bGuAjR6l+SU4JrEu
g6AHKLAZqPpQaFVO3/BONiBFtf+R4eZcOH8i7cZXllb6DzmYp1TVehqD6sef/NOvvsFysOS+f6Lf
CgXd1NH/jBw5BNUbgQRR+JwnAz8Q8JIgmHauzchTSiAmXQYfuwGUOC0uLUklKKwmtUZUDMwcCp/d
rE1BhkOVDc+QN0yMKGx2qAKx8PQx/xg4Fj4h1AZBB8Ksae2nsX5KqmRNHvVc2hdqkQu1+qm4TkVd
uvDqU2J+SRIdSf5ePFTxlF9GKfBaCTN+BE5mQ2N0qW1ILnFkf1fKJqYOlV1xHO+U7eNEBhYiqKNz
d2bJn7UhQ9ahx8H00LPs5PY4dV9Rk4zIW85YtspxJ8TpX3AzJI3LOFKwaMo+b6rnYmbaVvk5Mi+2
QrYTdJLL99pteH9pvbbDQU4CBFIWukCkQsg2SWcwHIvslGrO8FaUvNu6oQ6p8tBADtTkWmAVQ3xM
RNS/ZiFukBG09DZJ46BbgkYNK3votMtRfcC5C2PpZgRHwStdUAR7wFFx+kT+AAPhHm1CrZsGnc6+
ziYy1h4i+bR2SYHek3L2s1wZUAs8LZPMUSJPZkVJsiGjKfdCOm2IpDd1aYBsqns3F3VRHh4HpQaG
9qaxAH6Re3FKSVZheIoSJlAfDRP2IPW+kh40mEiCfs9IThlozi+5pKimSzdCszSvoiPZS0llrQZj
7tsoh2TGCjzFD1Hnxd8EYDirOBL80c/H+gLAsbdiWZ18yy0XBHl9/rXjHE86F4BM1+fW5xhsQ+Tg
JdgaUGRYoRKL6fWFfq9l3/d7MeR/qR80/UA9q5wO10xclBtYWTROh6w76tOawJVkFXFv4JyFmnSx
EgOnMSG3xMGx/M3NMAj3BqRWzYBwqKT02gMjukEJLLhwJNpqThwbIA606OIUf4ROr1/uzKldAkNe
j/6qKgTWiXZ4TLwWewvN8qA2gxZy4dbJY9la2fGE9S5VnHczjifyAifDUbchI4UtI1he63M/BhaI
/h5719EfjXQYQKmLVLjfakYgUIr52MoBSA1dB0B8dh0I9cxYIrxSPLK6jg9R/VHE674fN15+wMr3
RgDMJikwpfNFfZtV5tbV2+pAW2s+g7q1CRNtvxCkJrnDtqI2AauXfMTkA3bC5NFnebC4kA0kBte4
phrTUwZd8gDPq2GD//YJ4jmsX1pkG0ZjfLprkV8pZicAQ/8rat6ajdVBT1WtWtWSllodn+eTawKZ
LxfNv13+5r31F4rO7V1h4yv5K7f/4rVs8LasQdsB2U65O7Oh7LlRhBPEM/F7som74VrOYMoZaECr
6P8R2zsNynkiunAOOBCS/lCTG0ovmHvbXbhlJsvz9jW4B1ZEK+O4evyiN3uioSELB+8KeB0joDZn
UFeWsuwxqPyEB6KKJlRKoeoW88nsQA6C9xU1cy9xcVwWP5APXRo7z66jPIUU2hKYN2W4BsA239Zm
96XJUZJUxyYDZrcuznHLNTyRxBfC9PfF+Ev7L/xpnvJ9ntxCqV8Ndjd83cY1cfPlg+Yg3wA8N4PC
+ntvYeqb5mWM+AsL2fsYh8T23SwqTo5R731O9XrvYzSnfPXfxXl8VbXWDDpCPRUB6ls4nlG4e9Gl
LVN3af3K1r+Pkl+VVig/mt1imUDFVp41Aqk5lmu/HcSltPpum01RG+B4TeCEEDZqjcK9tgRIIU5a
EyLJhUFXXqjl1fk0LmF6PZ+sUhgQXpA2NQu1GlTl4fgHSLy7AfUa9Da8giFPK9+GGqAIes33t9Gw
Ft+8ClRQIh7d5hz1PD3FUWLEW2pa3ZCeKhC1+vumD5NT0Vh/ulNbbGkA8taiDKhJoxSCYpe2xHlX
tr6uIkAyeWVFBrK3BfYIOzgiGKHLmDbVQ4fyIaIbUfZ5jkE5W414FuF3+US0JBQvUDi2OBvu9NK7
RrNgZCsfZxftnBh7ruUQVSaAbOZgQQKeYH3ft554VMjZZaCtjb3ge023vEd6BWwvywM3kDW+ezvc
YUAdGMZDHvbTE70lnOq0q3zGppe6FMBlfGTqqMEowIFqQkEDD1AzM5vNQIBtA1wUK3BeVpuFGKUI
y4/9yUyDaszDNWoENj2Of06o/MKvnppRWEGJcbEmHe4cUIk+UVfZxga1ru/BN2FN4jybQyEm9xEF
ImBnnYb5uxWFfDVaQ7nVMwt/NXAw4M/0bowH4yIqx1kNdl8vwpplUepPyTxvCOZLFx84VJxVcPO0
2AbQ96ISrQYzZuO8aCTTZHrH2tfAZG/pzSXhs4mq5CFemxI7kL3othd+U+NVZZkrATVNbK5mDci5
pM7tN39MsaxBZT8QZusmDPtvKHyPV7Yw4meH16Dr8ARur2YlHkKd62vPmew3XsefGz1uP5uOWwbm
8MqgsPAdsHUv8IuBP1u4ee1aPZ4OIqqmRz71/ipvp/bPMOF7m83t31NRvHQ4I3mbJ/Bml/Y8XOxy
KE/NxJstGAf1V3c082DI5u7vir0C1sW+9xVq82n+bHbMnWDIdZszyLBrgToaWihGszud48F8o3Ui
mXStBQlO5DlYR8mkjfQQvv22lLr9arTGKPnSRXmoV5Dxd68AFKgbmJo7rHSZeUdaf36yGJ59lKQH
mnbctRqfl1FQLrXPfADyOhvN6PgxohTxsJ7SaTq0uh/Fb+YUxl9Yqn+KJTWCHgMjiuOR/CV1evBC
aNDUfvewuz5f4QCcbZcDmOXspQKxzvWoBTQaml1rC+/O4BZiGVB+XQk1vn8vs7StjxgvB4IPLqjg
LNNhkPOxvfsqyxQHxfo0T8VDzwXgnqs8suK1qhmiFmCXXcBGr9ze1BkpH+5iB2Xa05FMyq661DLm
sQs8OcvdAI60zE3sM1AkyMqxxqtR+m4V4TYqGArnVK0YjbhzG27Jcamrowq0oePY9gx6uL0xOm7r
HfEo2zkdlN4tedGB+kf9EWisj3Uj/CO1aFjZ/hsfFUfTUvcaJ6fNUaaRAdy9vZtahY3a+PON4PbF
ILAj35N6o6pLrbs3exOtQtRrFXr6Ahk+Ew8tfGayL2/ul29WvZRy/5UNJ/i+vVKv8ss3IT85jj6t
rZrhJm4JQVGxvWtZgxR6UGsN3xqMB5OkWhY+lsgGm79AVTXdOHaF0/Nx9o4AD3rb0kMlV12gpmHE
Ic13FJ4DHQL4qFEZf40yyPWHn0GTjb9oNfbbtvIugGPjTAR5N77yQK2+p/SvxoFFyAbg9oghepKj
ZZddRwuU3NCoyhfjU93Gk0eCeEDAavykkboduc3Onmnlq7K3UDaZgCoWRffsnBid+dp11p6K1IBE
TXYg10kWAJbJIW06GsYrhU++B+0uWcumwhk+M4XjBAW6dWHjrgSe/QaAwDpbxzjIWika2YVqlkZ8
w9zWHuQ9ervMv+qifyAG/CIZPhlaNgA84dSbgdvtuba4fy4sK94Uwsy/MtREvrvWqdAvSCB9puIX
Jrz0YuOu7cpSGCqBccwZtCPuZOiraAZLGvmp4pisxOmgiYg7+8zx9wQD1bwBHN/eanIZ6eIA/pIk
zLtQq2XTtTW4znnKIWBGdst3ARAiv95K7W0HRO8SSxGNDPsYC8GfTW9rMShvQGq28PtRE3B1qMoY
TrQRbZIeyUYsOctA5c3awTGr2utOdhLaC2/lrwgoiagSKsj91iva73cslhRwZ7PpEEFNNZbQ0SkK
QBVUao4yeEt+joyjN8yo1tTdzV0iDwWb2iHq9N3ytukTJH69ylx3PvbgeL7SHS6fXFKb0Qh93FiS
uZFq0kRJWEpaTYVpHYsKLCOUwuIoZV9ElKjf5vmXGRW14CUBMtjKLn4hU+VTL+lnUOPNZms4GnMV
biYDZPqxhaLaCBph5IHC7vDJ9Lurh56CldlKWR+Ivkm2tmGEp9jN6/NQ+O4GfM7xZ00uN4iLnf0B
4lL9bxOJiaDj+fTayRggLsKTXveIscFXWLt+/LnWAZGJDCxzUMSC9TeBpCQ0qoMYHGDV/g9lWloS
FgXQr35WXdbOODC0ncXXyDjQMnXVr0h35F5ohPpKjKSw/Xzf2M5Z+d2F0QA4H3GWpHxSHD8Na3fQ
0hVA8OV1w20P7aH22njZcC+MrlvhhPoLtR09zRZ32oM3IH24cY9EL1BHKottHI2Ba67r+x8z6g9R
4gGZVtqxJlgCbKhL20tL2MWmlaO016VRE+nzHW1MJxxCbgrN/JdY5axi1czqhdTr1hUwpP++ujHs
j+pWWN04uovaahTT6LoDyZQ7Gnuz9aMuZnZ3sWfhQ8yD8ye6xCkIxwc3dW5sNFBMqHwtrPQhJn4o
8jPG8tYPz9TiCWdJKy8U6UPnJ8glysNKIxHulpfM3o/cKz7j2O+TJw8s57b3UZmEczOvZOw8mlhg
LQeVKFEq/cj6SpF2BjiLOXTF5/q/jyzYdH3N90iaevz4mq6O3BUdq2buBHK72fyafYzsWfKJHOjd
tlP/y3erIj++W1RGgQCLyLZSkM6FVfSjLOrwYvau+Vn25igKLyT58T4GwP0yRp76T8+PccDq3MxC
Y+9xWqOHF+rxKF1eAYDfKYii3j/Jl/ldcA73jy/z8e1R7/2tf3x7sy9WI+/ic597DvhfarPyTsgU
aY+oNy7WvHaqlwgrinXC2+qF6+7VpkZVi/y0Xljnf//aM4kQL/MpKvnhx//+j2Oa4EG0XN/zfBRV
WYCzfOQOyucqSrKRQUvRC3mW7UvbsOZVlAHtHJSZDuQjWE9HgNdI0W5OOHTf577d6hZwfnMSTl/r
GfQW8mAtjqsWy8ix20cNSEgE7MRqQ3blj7z1jf2jP80Dgvgfg48HKBXkgJTR2dkhA9qSCnlU36P+
9D5+31dFPSqmlnDgu3mpm7QR1nMmsJyapz0RaM0wwGTiNQnI/SR8WhTGX2bZQ+Ousovnj17C8VBR
J3WnnXn6y5ZeEKjjz4nPnsJoAkup6R8AoCyhD/jz4lV9eakzSL2lPnhS1UDmz9DLBYFWgVI6MkNh
GWgMarKPUYw7wFjfODlAL6IMjyz0Cn6H84d//9IYtu/efW2AWcPH1w3LxxIU35r7m2VotEmNXPvT
hKozB4zqXc5ToLey9mRXk1gu1I2yDLkmAydMp7kx0eT99E9XdtqGHIH3FScavYv7bXeZisJoPnz1
/mH639dNgmOtQ2tnJ6jYkGIlJ6yCjBMH01IdqD4Z77r2mCFf/jOWPO7cbmZxGMifZL0z2GFAiwJN
GCjRMXlJiP5O9SFEGAb2UBlrsqkB1b2ztXYP1t1kBFFgNT35MfBtrlGyR7q088wesz7deSDZPCu7
mZoJiuPSr710UPZkaHEojmfO5m7AMrOdGQLBo+xtn0EiKJseGz8VTygZF6uY5+E31ELifAPUGY1R
tYGo+/KlFtG4K5jbHchXd0HB9e6bNon9I1z31py8OrnR7JFAxH+JkaSfwaf7pZVUOEUjvt85dLlj
XzofumP05VWX5WucRcll/OPOqrrU6rRcWw05iHV8+sVQZFw6AOb7S/zyS4KuSQu9X2G4u5oPsbtp
EjdeGxkkiein3vNnNwYXdt7b9VnXsfkgM3n5tv9PWyCL6/QlqhwAH+5OS5OlVX+K/RSwl7Cc+pOf
m7IpHWr8TLcoSPpGPXK8CTebHDXZZK0tENERBJBYlzk40baZ2f/tQPT4tDAxU3NJ8ROl8w0zc9Qk
i/uNDZzbqCn3NXA2mQGqQcu1E69jyJB8tdPePXGz7VZW1ExfsYp3VnnSodRJdvE0Ym4Zf9Wt2DtN
ZdUBTFGBEqJxQUWV9NlRDE24Tf24fMUxbRZELnd/2LIEsZ2sv3CyaK9cB8Qayreuuqsv8g0G6B2M
QxXqqNWEVlAKXjTodrPEaz7hJpwcRwdnxqgh1owiD7RxDKLu88JpOLRlBpqr8EpbWFTNtUW23p2L
k8+/3Jnvujkfd1wA1zN64PWuA81n6ac49NI1k0Q0dHEzEFOhtlyvtpAkgx6wmNpoV9VZeIixgwOG
u0FqCOB9D9VwhsleCKWDU932uYam5gbkRcam02PARQA8u3RQI76QS8SG6SwDFuCPcqZRlKlsB94Y
R4WVGrIaGfAMmdgUJx+LwPMdiMosGajxqrQcAzBnbfPGR/2EneBRW/lReaJLFlblyQRkrALHN5pq
BLKnHzxpZAlH5cZpwAnl7n4K1afWzRRxohcgwAFZNG8T4NRK+x9ITu40sMb8Y+sp5PbKpRGPsLz7
yKHBc423Qusjr976ve0v0Ia5b/7BORBQ/graQHCDO/TBL4ELiI30sNxSAOEbbmbRNTcYxdw89KjI
O80Cqq5SwDJ2cJElrU+9qI9zjaNm5mhA5fRx0q3dDHyx5EcuugZeYncqXyE3AO5Q0yuPYOuYz5GV
oDw17msUpqFqppkvYT3k7hqYv+nBhZwdziwbJ6h9Pj2U8kItuuD0gkMKw5aac3C2cChjBqE72cg3
XMikfKkF/NztdGSbrf5nDVYH8a0FhUdfJdSbCxDIaIDnLV8bWWGhvm701ZpRuA5ebPjQAMXRwCI3
/iufZTLypBjO3oCL7o4o2q1PdNEHVOd4n+O+uhrIqnXoKht1aeC/tYFaX06rJlPRarLGYt1mhM5p
cAcZzKBcs2l7z7sfUOBBwhyy1NhAwNE63sVrBJVN5Cw1ULnLLCoWxT7NHjyKSWL/XTSjEzQFmAmB
ZPI/NeCvOkSMdVszrvs3E1wSxBN352EMGbShpEfeN3jWePl35dFx5h5CH3OwDmAu06tu5mi4Neyv
PyeDo1DtHWmjwDf/BdqGXBRwpydEDk0F8ckraIdgORFAO07oe+cQpOLaAtqJJy9a2TYgJVASAGgW
pxXOBoh467Pqkg4bR03kMmqh2uNmlHRu6iFimxSrTAjMWX43LWX8RN7DUDYFdpu6XKsVf+XqVxut
7ulCth71bWvaBZDz0HfRlmzkQvMlpv/ndYfK/AhkjHOePZeGMe4nlCFBH/YnQBl0O2yleaG3JRtd
3NF+RNFneKZeEhf1I3Z8axV0NxENZGUW3kw0+DEOtFGjNUB7MOf4O3IcYUp6QRSsMD/Q3fBx6NMG
K1zZTWse7jrwpCw+jdn7i4/DQGF4/SRN378RN+QAPU/gL/LXstGdBxD3ABEgOSMB+xYbbcKZ9yC7
00+32Kuch7gb/xyF258UN9RCC1Wk1jEfnQPZF0aoKGNvQqT5qXN5dq6xdF14E1IHpDDgmmm3xIyg
SwmazHNMVJpB27RJoUHiefYzG7P6hRvFjrx6gRrmeQL5MHVpjjgBFQrpo1oMjDsgC4qPMit9c3ZJ
h5WuIYYdb7ovIQgu24BsC7c5NY3KnLGOGFdxDu0/upXTBaCr+XFsn+6eBLZTt4GGks79jSsesNhr
QFhQPQ5MnCY/2vby+CCz42Az0rDhwavm7gyOq7WWTO0RdIndmUz4L+nOpe935xRqu21AfWyb5p3e
8i/Uu/NTNhqgqTIQKK04qKGg+on57Gh0oa0rX2RpqhgGBTZ6C//ho16GXl5L8y809/K+6C2qaWLv
laesjkNggCqub40E/Jd6nV2Ic7hNp/gyOfYTkQ/TJQQQZVMmjdhQl2iIi7h6cuzoGmSiVP0Su+YS
1KRQOXBZz1CHjlw/XRyZ2qcWssjjyYAunzVo5o7skWahQmhxwUO3XuJiKgygmKX5HqRmDH2cd0xD
iNWVnPYmhHyU40Dz0ktkmfsgvMLa3diWJrmjLhxvRkV2DMJikQiDbM7aA93yUiuzVoYjrt1JVBZ4
njBKtzzqqlFy/v+MNQuk9OeyxKFhaG0WbC3BbBMXuWwy3ggv5AJVJD1g05sB2+xHBb2lAfKOJen6
vw9UHHWpYo5CLWlXwNXjfwOgwQ0JDBYXAIn8v/LaFZsGeqdIPHKo/g6oIu2dJPkWgS4waBnLnlHQ
glxnA/Wfa+CYG95fCaCOS2AJnpCnJrPP0PBdT37GS33FZ9wACz8ZNww0jEj3mEPUIQeQDuded/pz
AXKHeAJcYRkWckCNLt5my821XSX5ikLup7jpoxJ6mW2xDbUG6hvQ64VCk4t+7RKBkuHo/B9j37El
ua1E+S+zHpxDC5KL2aR3ZdpK3RseSU9N7z2/fi4C2QkWVf30NjwIC2RWViYJRNzrx3jagYppNRAz
aChdzPkVXCLtmXwXLrpRAxez9NytUZjevFH2sZzmC9hfzzKXND+SBYASPg8TqptS62BS8zwVyFFV
nI4C/T1oiNEVJkrq1iV2smhuUU9HQ3JVkaSTiU3mt4ASAi4x7Z64YrNlnADQbvLU3oo/FZCuyFTQ
Fgx2mvQreUk51HzsocehDZ4vsUVDpqgvulNn9AF2ijs7jPeAH9CeePaNOtroolrf9AGb9Z2om10Z
KMizfleuwAhluI0Om20EoppLH7YA3omtszpXk+RxohBupXtPRMfmDju6pozvRFmccqNRUtrdDvxl
2dlonCfxTfDZ88Lg2hYgh9cEZ1aceVJfuFVw9V30MdZiK1Xo88YaAe4GPfmTXkMe0ut8ftdf5a/y
ahtkAP7gPk5L83rsnlk+Tp/BpyX3M8FFjsI1wKLtCbFLuQ2WN322Z0duaJKbH+fZnvZAuA4sIcoG
qnGZjcKVWy9uH/CYjBvtKNraBYsAiTrVkqkJ4OxfeydAbwsB6AlxMk3sFzZl84HcUHojPXzsT4Tb
h0jGKWPmc1lM+N32vuWu+L/Cmf8rXcIGXCk6UIjxifupc6I2OWbgltpW3L/7tSXuObCr8YHcSF+V
hfMamKdm1tNXpRGTcFS8XMhO+iQBeL1o3jmQjlLQJAaKdFFGgDyko0nwxbZLsbFEOzayCWOq/Oti
A6dWnRrSjn61PQ4rZoD8YMOHdKtAEg2znY5TZU/f8E2oA/wUgGU59b32U3GX79SlQh6BcLtxtdgF
9pfAa5GsFm0H+BqivyCqi8TFv2yc4n9xZVDiOo5CDAZyb1kQxEP0l9QZOOnGFM0ZTvo0iwuNlAiG
U9SGTCgeVn5anGZPUmQTWsRL5p/6yvDPykUloBEq/UFw0yUvFEoq8m1MQOJuSF5NtLCQZxwZqMOo
/YtBNQKNKAUYm8E6BU2HIzlItqgxGGwNGJBdBoRLjhsNJ+1RNK/MbmHJCOlcJxPCdmbXtB8buyoB
3CGIcDT7qatS92se2tZBC7vuTB5l0N2xwR8eVj5ZB6cwlh70zIff4qc4tpx1Dg3wlBt7PNK/Z+oY
fOfUWnMmsQSFqo7zzC9VENtPPOk0wM3iLMMvgSmdTG5zpn9eLQVv0ls3+i/2rPrXbpbIRuGU7e2k
wxi0clI2VPdJ1doouZiU3GoWuFvTRQNB0qQ45tCL6UM86eFlYiX+z+zK+c2xvXMbJdlfrYsdrjH1
xoUHTzu2qbLA3Y2ixag28uhQ83ncqd6h0Rh6NKqDVFfpfBOwcjl+fSlqGsHRNWjx78ohw1v1L4lQ
bAAckdYGlpvhzudM07DZL4jnZaMaAE97p/lEGiAI5FvGhuhMbWrKn3j7yEUvpH/f6qgzBpMBqibb
G/DvzF2DV/BHX/xB+wPg5UafZxkaz79wQFXotA2t+h8OAf++yuAac3O0TF2uisXF0Yqj9JUWhRPp
aRejFhdH1eisS02QwZYm4OZotaQTAT3uTF9JpQLQup9uSkAW77lbl/aTode7MGTFRYodiouvLTgR
h/6WawVYbh3jhzc29WnFF+dlLD5nfPid9JIajoZgW/2BX1QcLggGOUkmF5QgshTORgpEXLsDggJ9
Wy72zddyUYf5NY6eaSddfrVSn+/6i3kw/KfOHrxLqZtbpwiATYtjgVdvMrJXPiUh4AwcE7g6DHee
ZBF+QBMMnqWuLkCmaUh6Hsu2wcY0AaUAP6l/oAUnw/RCMnFHrCTd/aNKy+w5AfwmSlndr66NHT09
4YAVAujDxy7LPxFSlVb4gII1uvYUCsw9DafqcZlGvzlRnF3BCBjsSF/X2j0cQKc9OgrTRbjeGO0p
QgeqlhvY08bpyR5FykAXBPglKlEr44x78xzdrX5zBAUgCDmFiE2W9Dktyk8dHt2brTGBVDlu6w8U
OiT4+Q94aJxrs80/z2naHtERdA91kno6xFMdXVElDnxpQDEDbNLO9rxmtbnzWFI8BwXw/nF2ngFM
bv4De6Q/gGMfYvcsc2vsxYJdE6DqtXaStbn2uWqn4iPV5Fo+OkzjCp2nVJNLF/K381k7oaIZm/LV
tdSzAo1+eKT/7+ejjqWtS2VxIopjUc3khmcZrkNMhH/98THKg+b//R/9/1phC8DEsQ1AIdCgPRTN
Vp5m4Jk/G84khX1vt0dAnGmbChyxBw1bS/OOGrDIEffQZ+rW0jKwiLtAJB2LEzO66miwkF3pyLAq
el+O5JGhFrFkAxQ1tpcyOdmEyaCCwMdwsDQQwz1bbvgUaCiZd905+7YaWWaffwvBtrHJeZivrU2V
fxqjPD2ovGgCrfsDLYmUJSv5xUgCeTSq9OrY09LHl6bKjFdjAm1sMn8HDjtwDVpuHlF65H5zrD12
kGxsoTfDLrZK4ISIinkqmw/zjwMg1z6SxuQos0Ih4Iw+IzhkrgsyjjAzN6Zt2p8G/AhfBz35gXqv
AZ9qnv4Zmm5+lmLRFX8ms5afNWNAhT/DI8se8IXNFjiy6S6stAIQlehql61zvmh/Dc/0Z5ItcvTH
JJkCeGsXO2nBDZyxHYGthXxG8wJCuGqjF8wHRTRE0jUo1V0YcE7Z4h2BbmXAqR2+Alg0sE+Zb3YH
k2cfQ0HPaZZaAZYHDsROQd4JpqTv+Fe3XgEexj4IL1I7efCSV20kCcO9YUwPXuPjjyc2YbkP0Fm6
kKistEVL4lAn+c6zfM6/j0XXbksDhS2zQAcdeck2+Ry0T+akhZ/xzHxtZq381tiNeeh93h514YbC
wsPU8OpLP5ftDWQs7Zb0BegJN8lUtU9WYP4tZ/AqQGGPmm8/G1XxG63JB/y9kshWgng4M4sDgMmq
S8Y8dM4D1g3NpG5+4/V8v/hVVixEMpAO6F/W2dScvWWCAhXo2D8jlItmc7/ZUEK7wveiZXBsQShl
KabKcVJ6wpdj/uINHQg3oyF7AqiK/VUfq/NYDOVHCxDWXyqQI8eu/dUzHeuljO2v5DNxtBy2Rpxv
yTiDR/A4B5m+JyuLnQYIUjU7yVCRv6zcFN2tyCTyB8BX/IgvwvG5q3rcKgxobZuqowuUlK9GnTmA
zkHNbtqY/HeAhuF+oTnpWpBdgANraBfuFSZOdN1uByKg6qklSA0a0iXGk5boFXqNsdXlPutaK4MX
fnJIeaYkuqVm1WymF260OMUQnXu0a7BoxVMbDv0IpKyDclpGKS3TfG13P7yonK9t0FXYRS1LgSyQ
VFeSJ9DCbCNgU217YVYGGpGO/EhUulKlUT6WaRZoivYnaxu42ErVreuQowOhCvTfzDpxLnQxeodf
0FR9F0mnP6zKj1zI+Zc6Ox/aHDy4TQNUn7cZKVDaKXw2teKQa9Nv7/mtdGpmWxte66H/Ugt4VvA6
AmUqGQBS0oXYgZpy947Z2qdsuGj4wblju2bsZezj8SwRXPGZvcdRGgqTGR5xpJPeQCd8AdYgfrII
7pVCVAbpQ3GoNblP0AzGbsJz+uVdesaZMPaC6DMbXODmCxS+BRujEHNwv+152eloQy1BC3XU0R2H
x13sdF6Kcv45LK2O45YMz54AcurxPNxkg3UhryGvLn4360eyRmCcwr+GsJJMLjSSiWkos63nWCT+
x3Rg+b4npAQ+ChILG+xp+Q7AaPZLZPEKEAjYjZE1o4yH5xo4ynhgRyFqNWu4sWRN/H3KcrRxPYpT
fX8Kz63w452b7TRmzwe6NbPbIEZxZSNqI3D3NXD8ygLCAJhi4sat4h0YjvF8tSFrm9nWp94EkUKE
27ihie+hSTt7p8Bk887Lo69srsJPA1hUbmlk+NuyK6fvD70TVOktRIXy1guzWenJv7P9wx3EA6AI
DPVe7YWV7ojfZUGALsRkAKLfTG2AtK3s+t3FEy60Ta12moWefJUKcGI+AMJHoFdjBx94eQLvkC6l
l3M5UrpVYTWJYwQM7ro1zuRGddnKLc7srN4oWaWi9FGCUyRA1svY99xWulX6t3OvfElUdeI09crl
EU963TbBXuw43c55gDhYBAHxHrzDwkLudoVt97DVQKElsCJA0YTTQQpceKKaq7naDp5tHcCJ0K2K
p9WAoHJS40Q3N+oe5j0D3foMAC2QEfI+jBydwNdPdBc04l5tM6M8AnvCSWHhOc6JBS5vCHhtOjoW
4iREKhQnK9NAK9dpOGEKLOzv82m4RUYU/NbWw7lBm8pHXpvT5zoqt2Ors68pQ//Y2GbxhsRuSrJz
nub1jsSpwFFV4MX8SGJSA+2AUpKY8VGmLNJ2eAnmMj7l1rwpjKm6MCezrtgCwIVGj4sL3JiFzhei
A6ivGs9clim63fiOQsjRI8sqZm1GyRQ/VBaYIB65342T09CMKsVqxWKdlIbcoo4FNYrm3iyZjwnI
hJ1w/B540a0wtS3LuhK73voMxAoxDAGQj3uaMC03gD/+OdSStLwmOEbHbphwkEO9MsxNM2Mzl+xr
f5LXqclTTuIOmgtWhno8596M4sPHxGohypuSlR2f3C0NAT6060wO1qLOB76+zxwQYbwB2+gj3Xuy
conBERGgHkF0lE2MDV0RoIA5JHaHCIgnsIYLZmVSEbCHmkHpKPTnDG46hbs8RSmB7oBLNxLwWdg5
KJ61Gp00Y30lDXVtyYYtdAWPT0N0VY1cKlALnE0Poo1rPgNiFYzjLuh3foJGKgxJiRKZlUNynQFG
oVxQzbuEmZQ4kkJnAJpwG2EbYpGPnBeAk6zIAb7Txut8CxcKUWuTFjXpyML79G/XFjVac7hDIcU3
2r0t+0hrd3IrWG/3YEExL2XPsfertoxp9zkM3eLkZskXGaGsNOI9YNfApsd3C3NHe8gp0qIdyrzI
zWUGFtM4Da587OLgwowtCuez2wSWT/yE45bnRpcMdE/dBtQX+TbRQGxXkFwJ+wz0beswBb12Hu35
SO4mT0YZiA1QoL9apRseHbe2jnnezjdg5y6a1fI+7oHXIjalmZNP2z4N/B01r6kONup0Q9lWd8Nd
AY5QsYtNAaRXIhqb0JpkawGAmDxn0QFHogbq4lsILDcV0Jj2l7jvvCMdh6rT0p43w03z3KcaxT0n
pddaQPofSG5zIBtELX5a8LQ95juVgU5e5SFsbvoyRe5MX8CBUB4XWMlUuycRjGlIZXzGVKRHN9K/
qLI/6eIYRr8FrWez46IXjbrQtAZVR0k8A6pWNKmhx48PEnKRLGbR8w0IHEZsf4oY4+EucRhX4ZQD
9cwgMfK7k6+PzsXwGPY76hx39Eq27QKH1+Ky0pFIBneewNNmagccViCWdP2s45FAhpCWkqsYOY35
SI6KKoSSk5pR5lusqAyKnYfiC9xnJ+Au7lpLu/GoBwaUxeYv4OK0j6PVabdfmymEfNooAi20yECi
00Sa6MMeZRoykAtInB2UZQlHUj5mQl1guO+dtt3WYsOjFRc0m4BOxO13SpXMwULvgo3GRvnET90o
/oYiklR08eJ2kaO0UZu0obw9fMljpZOiyqmJpx0xA13Uuh7xbWsAoCTazyCl2+fABQMCfTh9rYIK
rbajbp2NMR+/pk1bb3TLjp7Iao2AXcBh9ysZxc5r01ZfkkZPPvmNuSetw8Pghdnudwe4/18HYEVe
AagMYkWRLzAAEYlKQhPnyZhNTU5WNTlZceJUg20J5c16X/FPpQHGXlHw2xeAYKqmZk8SXUqq/KUh
qLjAk5UEc3FV9kyI4PasXQBzROHZHur9ymUllp7XjjfKwIo0TQ6/iltMvZgF238o23AAq+JUm9Jz
/sTf9957LzvCbTwfLXrxF53l73W/K51jgBXbqFtz+295aAbqb3+3vf/dcM8cUKxBe2SoWgLu8I9K
/xTrNdisveh+QSvEePmlLvH6BHBtjbYMoWAtAFlNpkfaRuWiETnLOJKBX5tm0klNQ7OSOW1CmEmW
Q6kVq1rISqlykE4t7ddLVT4UQpfFqhYrIJOaQa1ypaMX33UOSB4f7yY5G141HKysyI5J6hlXx52N
ayRGJAooYoDBtAL4TFhy7kImu1Z/RJuIc1FhRtXjw6YySGeSVYawBMRo5CevC2+VQs2c0kzKQmmc
1o13ScGLrRTFksiF4kinIhYTqDVw1/zLjvzmoFQq1SKC0qzX8PMlq1ezymLEyR95gR0S4MS3AIqb
uIGfTxzK8O3geClGwOZbofHh5jEBFjSbOEowo2zXAVIBR7gCyg81n+hGoCBjQCdCJ3I0CTDyNQvn
MuMEZLmgqHF3m4OUs2AjP3A0MC90ZKCLXujjkwmUMemiDJQgemQppxp8iPUB5fGvqJWen7JqBIma
GzBAJgQAAMd+ON5+WBmIH54MALCcudMXW483Iajxyh3tKNB2A1W3JboRPmms2Mldibc6cisz0KXr
mtHtgtEyrrUdmlcrrl20TAo5ni18rKrO/Q+gptAtIsxkkD4kS59SmBb2sDavoHUCOEj8YaVeZF5F
kaPSDW6X7wcrB2O4SKdWKJfw0CnDYumU672VP8IYz0D5FTr8FIhqfgcHqFdPXJRII6UDYEcJrht0
AK4MFEu6FI/SJZ6Ef6ahYCWSz2jNRxBFpycuNvhKgNbIC3ca87LSkRVUTm/8RBg5L2KFTitL4GWS
UqVRjkonszphDbgAY7PWv51NpVOZlO7XU1LW1rABNBTUGkDS9QwncZr+giOA/sMwgIxZAH+gPKze
x6CAPPeTU37z22d3irPfcffRXcZsApyHUKtoux5ldD6i4lyb/JpY6+Rzu3wsp4dmMLRsvWkeQX3+
86m+DEM9Aann4/mdHDN6qldepJSP8kU8gWINz/gUI5/FgyzD9r3YDiAlxcln/H9sDygvsRhHLGaR
SC3DS+v20ObaN3DAZNdRXGgEIEFgWtGQLt1cZVeuu9k1HHHrvPGc2sKBfV4DHfHhqZxWMUqkkZoG
xJIBDq7z8IB8P4ZcLy8s7psP2O2tPySZI1Ukkf7h9Y7qXsEV+IugRx4HD6U7Y7Cszazz+lNsztN1
DOJoY41d/Ym1Uf0JwLRfjMAE6IpQaVHOjgm43bZkpKgeHOepzcwP5IFipHgPNtv4QB6G73svEdMO
ZCR/exI3oGaSn0mnJiUrRUW9ISfl9RRcAm1MW/t3v6jLY9V1442F1ngzAdoKqAor3iudAbyNmxLJ
zxPOSewV2IkH26aQyIN87TTH0T8pVSzYcDbA12cXUqmIlRuJtArLmmLw0CMz6WRSCnZLf6eVUXSe
DCO45joLrqm40Ih0OP4Nr66Ocy4HSGvY9X3jV7p5XGzei3tPR7n+lxA1HwizP9UTndWAsnoSvNVR
FZ9tGz+QmpAeqokz8dyLTyBdQOYkvUgiV5xWnzN8GzwZMcCIASF3z6NEleMRQDO9zYFDVHNX6iHI
5/B48DGbKvaC3dht77Xhx1Zc8BcyzqWZg3NBeNAFqAQoc4zTZg++8QRQ3RrwW9GAEl4ohHwYDuN6
vWtfSVUNPQD8neaDDJiiFHAjSa/LaWVmFwyGQxcNwIvCvKSrY+85xhbfE0kjjhtoddJfLKcLYvOc
v7M6LUPfdY9ikh04XNn9TJ9O+0cBPJm61Y2kFaSua9pg/C5zFCQI5N0uiVyJwaucJ7BTU7wKVb5z
qN3jVcAqyWP+dQWCmlvFyuIFEZLqU3Vb1DIA6i3ca2Z9XymFDJWN2kZajVglhayLHSiOXuF6fkrx
mCq+aXMdvCR+lbygJDx5ccwp3qUJqD2CPEhfWt0eLdC0+uygF9gx7YUPOVJIMYccRfMamFahl840
tNKdDXjcZ5WY1I3efmxRan6xmgR5aQqcxAdbVK51B5WXDEHN2z345NFt8VgeZQGdjH0as+xv0pMv
jZIRfSmBrW0pEbmqlEMTHULOyhvp5VJZ3wGGiI/pCYw/E3iDHu+Aa+lsR6JcKb0DpZGbGxlJ89Gr
t0zjSc7+dpF4B8QS56nvjsDOyZ6wLZs9OaxDV4UQaVQnnbedxX250pHBFn4cMDjDpgEeEghmp8sq
wUIEdNgxmOc/KJT076VDCdOMPtrI36tVLJKIReWu491MfaMc3ktZ98W8H4yUgwQFyyQXFaFS8qL8
Dbzj0em9JOSW8Cy+gIcLCG7ipb6XTr1F2HaGz3u5ejRT98M8Xd572RQwpbuhti+BZU7fWy3FLVfb
FNchifPPUzq9uLmf/h4IVFi/iSxg10WZjY6+yvMu6pKbXcL2SqbRENYx2xdF5l9QE+NfZDzJkz8y
VOXh002ei5x6rmES0lIQjSiGRmt3pSSf3gDKncy5mI2Zv7MyCBbrXcyyCKEUplrAwkuu0HH8v7UW
JRWRlqNHBs+CB70s/hyjMb2Rii6x6evNZi3jN8zaaZXnbyJe/7QnNKT45bDOE7SEgFRLJQnEjEqk
0Wrezgx/JFY/Hhb6d6eiYDvMzl6DHTGSFmvWBTLBIsVj4uovFkTsqhbxnpNa5wTwPrAKNMf31rqY
j8wUFvZMvqHvTbF4f5SZ3lSztsG59/ZvsBIpQs6ZPN5ceqGRNRgHawa3FpgdjH2mA7UkB8vpE6r2
jCc/C8wnJZq51+JpFIRoZCAXD/fIok0e3hy/PbqLv9Pa4OjgaXEz/pHCSu7Z02bApsG0EXTfuxCV
QluaRSrVhJrXfKsEoQWpZGAqVlcWQFTws+u7UQPA245dbCeLV0KOatU5C9BdE1gpODSQjnLSiJZO
o8bVL5MrvoTEayOVXB4YMp1L2FuHVahcHr2NI3BL5eTLF6vevsUbJHO+fesosVqsZYASp6/cj4u3
x2xZuMexV7Xl2Gx9YkbqHuOq+E4SXYJkRKk9DdFxDsoxlK5G3PfPduHld4P00T1b39keanUXgdIU
enEI4qx4w4OEAzlBzCXjix4V+e0cooZPKGkK6VS7hkNr0fqCoXvH7qsn8hEriGv0hJAzE9/KVjDV
rPub49zvUqZAxKnFBU3G5q2Ie2zdWIGG00jQim5IKYfKqdf4X0k6JEcVTEYlUhjprAm97SHqaR5T
vOcaekZ0mmLr03+ZlZZWAfRlq7LLkTbo5a5IQ3zJaTq2+nGhm3q6BbfLYNyTTj1hTlV219F9OTmv
dBQLzJ27n3zIVLkMG72RUen4B9qvUzt9NIqtNNhFOkjoG9reUz7KUfkoa/wg81A6SkMXpaPtQrlz
SDwfKx/sZoItFFBEm9FrnVdT78NnwwKOg5DwS3q/mIN18IpOf1Iqa0SxfNHk2knpqiYFAwKY13Z6
l7gyfkxr71TEJhCXRDoyxIUT0DSxJ1pLSCemmIoq2xRZWB/AlOVafwV2tWnQrYSGUkHmIC6zOb5q
uu+dlIpGaHKopUeRjv3OL0DXrXS5JVgeRDzp8KHOLxnoulUS5at078zV6QD7masaG+bP3DX6qyJ4
UIQOSgeExx+eNScHpaLRwFGTvlFcEVLOqgYQssCHA/ldAZbHQwbqR1TpZJ8VQxyNiFlOss+RvKKS
W5DMEf0cuVcxOHinIPks40inyOn64WYwEEnOuKt9sfoMpfLJ5OySYNDQ1yyUTQW4RKubrlIXmSht
sCfjRRfG1EEn6obi+NTgzy+UEZrXXyg2n51bL2LRrAa/R6wd52h7NB7TUQTFvg0D6bJz6TLv1laa
eY1AtHmlEV242DIlHajJxYlhAy5U4acMypn8yPBLXdGBXnKcmpOaRwX8dx3ldN+uwizSGbTkAbYX
vYldKsdhKKgu2SX2UeLV4Fh4SyIZWg52LLQYwEwyq0cwG5NM0cZouPaWhuCyhysNyb5wpcwzs+6Z
yYcuqViBV7fHIDHmM44F9OQCfgqwnps4le3aybjFVsy7DWqgjRtHPWK5Y431HwuUK0dpAUGPcQun
oXIAJeJjj6FOL9KyCB9Epslyhqur/bBqEAQ9kyrlPDnpKf9IEmuzMX0es67dT6wz0TjcNSUaEcQC
utjE1bawe8jF2hYBAKX9Tz0E4ZF0QVuhhGyKPikOiEDQSEgiiPeHK9ek9HZg3GTYaEcgXcjDFPQT
NBqIVcJHscVVDkmLHgpwTfzalTJ5oEcBIwSTDBbvr4oc19nV7GReRKoViuRF5E7bwUtBqI5eCom4
TojsbYD6uyo36l0qLNqsJYAkbp16N+T45Q65l2pAZ4OdIimGzylOwElJTlJpZGgVIvh3FU5A8Fnl
oIqKzYGOk0AkXiyB7PbUfwVac3N0TU+AgAWDu89CFL962qSxrTeY81UfQWh2881Au3LyGjV+HdHf
ejL6BjS2ZOl68Jx8KNAYsQ8DVBSCwH0CDWmQ1MeqaL+mDjCXsQ3uVcdJM1NA6aIeW9ZCo7Y+QUPG
XUrAnrXJTYDBSasKkSkmCwUTdu6hxitk4XV8ezGCIlrrlJ82ZH959cj2FLXyVWIXGffESqfmUTry
6/OpKDbvmXUn/isxTLYnPxX2ni/p3vN7L0y9oAwFLSCtEC/6MZtKr/xQzHEo68w/cQLsYz7w+HwB
1eeKi0nYeyTziRUnL8sv0pF0EcH5MQHnpwJlDIX/MtDWotLfSvNqXkpEKf1AMw5D4Vqd8+zf7LKI
duju8rYKsXsB6E2o3kPR/sOHkL/JquKUnzJI4t/UsUDXJC7KZz2LiinrNAG1KbqaQru2Lv6soWae
Lj0DRRMNSanMXudZFyXSSOnc/zVOpVb5VRqlK5JDyg0U8ItVqWlX4Upcu7jzFodY7Rk7djgVwp11
ds1Amlps/CjLwDn1ceJmc5HWLLVwfISGzGtdoA7/QMOFTHaK67UJKZruA0UrPzAgQU8y+amMJJKB
1rAOWSyA2TLrQqWCrdkAMUeL4s/KDowLdm/1S/MYkW4l2qZuZhtyBBrwPUTF/TKNjFtnDPrneAB4
/n9PJWNXPiuRlvnL2dWLoKVmePy5v4h+zgMgIXYoVv5PkaBoY0BvIyrr5olfcGjGL1LWRCNPYKFL
8d9kcqKLiqnxOYjaTCagrJSfvJiZVvf55JC0yk7uSrf2+TdZhf9chHpplJUuv14TmRdr/GXM/5JH
LWbor2h5BbSzmXm71fMEie/p1COGcimH8rOf99lRqVSofBJZyypNVOWLYKWXcb+WKeNj5vUs762E
dLYgJ1SrecxuVe7NygFZuXejwvsrRal2uzHb5GuLjuFD5s+4MwtQjKUHzD27fh0D21XoaEgXB5h+
fLs26b4Wg8M0hOsiIGVRfCXX0cg2qPvwzh6Feylu7mvAgG6SKrMvdIkeo3rSEuwV64Pg4qr+zKs0
RjPdw9zFs+7umfg2l0Mg0NgXkikR+OMs7URKkpWFdDK7iqF54rz4kzsM84DHZ75kv/PAsi9Zjzr1
PWBE0Vkn5Jn7eb4JDXR+bJWWTHRpCgYLDVdmErW4FeFW4x7bIDtbIqUKBvJ/eQ8m5UTeKpmMriLN
O5fat1KcYeNx+n7BA8J48+fxUxAM/hF3dWm3IasvTpTJqsTJtqZdEYJPRiV4N5+IzcYovaRzs5dJ
V/kogYoVK2jHAqCsj5WRR+pM5aktsxdX3Lr64mIzYwYkWgb+UasE5Q2JYdXN155uWmlIniYeuvBs
1/o7Y8593NmK8M7X++KDPuftuS2jvVU5E9uCGLXYtHVf7X304FyjMY5ATu0EIUBWQT8GHmZj5Fts
0IbXsihxk0ZDpmOjwRrCPzxhIJV0lz4LT69OkYXSktvMvX3W5S7/nkxp9FRqLRq+nAEF3bNjP7F8
Ml/pgp46d5MMmXGMMtPHDmoKVLpcr8ZtTSFdEFS30JtvUe/dQyjukarKmuwMZKXkNA+gszMiUNPp
oz5tSWwY05/dsNafpZXjs6V56RXHyncVGXOLO0eXA7aY3FQAxbMyAZ9gF8VyCnKhBIAt8S55ol9U
FAWQWEZZt40yfdwrHSX2tG541l9XSyMTnojwaXqsfrUOA6v3Zi1Fzx1Wr7dgCtgktQMobPTyGgFo
lcCIivNrUPgM4kKi0rEc5O9tz8st6UD31A1geYOjwwsMM6OcN6bD3P3CTkOfXH3eXFkPwmrSqYua
cCys/OZ0H8hGapmZhqTkSRKd0lpfLFW6qBC1TFpblSYA/TJZr+19QJHtOmbx6NAGdXr1QvwlE+BC
oLEYYlmgvXxDQyvTjAJ1jj4/FZGzJx+69K5mR4dVIFkABoUQGtaozfRPlKi3+m4TugyP80MwO9uF
q96lEziLxRpkVrJJN9uwL65hfbcSQPskoB+8BUZr94LC27/RBQ+v/m0eSnvv6XjbSceEjgwrv6Ac
y3NijHj74aHirSmz+o0Km5vnNoxT6aHcVlGZYX/xwQt3UrP8Y3Udz7e0eBVL3iWgTO4vgxu9vZ8A
0LN4VWpOcAtbF6ZHu0HAQN6xGS3A+wX4PdmQki5oVZ8kNuR74kpHOI+kK+3inmpsLfOE8/kTPQCp
pyAaqcesbEy+d0OjH99zUzrhZmbp0m2VksQwjGQ29fRGUynxrZsWWn93IxCt8zYtrupSgSMD7AoP
Zc3rn3LSd6jix07/3d4DKWdvB0m1kUr8AIOyUfnLYch5uZ8qjl6+d+A31dtZoP1sX7RoZPylHxm6
R5Zf+lGq0kiWqdREKuyXOjWHWpX6WPhNn+2A3jOC+LY10mseh+khz0J92wuiHnUBIsgusnv+FBG1
j6Fz9DGAy0D6ddF4dxZ+tQc4HwolvSV8KeckurTf5nRdgJbxDL+y5ymvUN3xQGTHnUsBvLefsOy2
M+IuGh0Za6h28luAra/iSHwX+J0sRaFd0AixjQZ/3+oc+Hp6r1XPQhydzseCir1nR8FNDwd2tVr0
ajeO4dcbGpLSN/TjWPSg6Z5Lhh4X4fiPIbkneqZfUGApg/Gdxa6dSrbIK8OntmGHLE++SSdaBlCB
MflqRdLdTMZ01+L4BtXlYoULf5qd5lPLJjNqNXEz0mAbngyLZcsc6zWK19qL10ruixX/w33sev1i
4LVOHAiXWVEOV83t0YZDQJBzH8FEQ2tB5eY5QI5L3JM0S3+CoDQ8MLNLXMnqp5OihFukWMRQdtZZ
xnbWdB1o0ujndaiJeNX3SxbVBswCgCsPaNLYkZ8MUT40ko2/Skl9wdrQJMeYT1/+Jb9YyC9dGNY7
9JZ3Zm87phfLoFiaUTYl0zI8serYCmbZMk0+QQ3IVt1zzI1bON78Snsr1qyH2DrPqvRgV8mftK0y
Jmnl/tC1/m8vjPi+q4LgCtpSdkltX5xniGHZmDgIEaNZ1wWrOwe2kvIhM5hBWL7Bz7o4FFnZchEv
TeRLsszP+7w8Rjjkw7eQnib6E0AzxldJUu+FAzbV8ubUCx0ZUqvoju0Usg25kA7Vec6Ly6XXQi3C
jTzUNnFkNdjQbl3AC45Jf+3EZWxATUij93S8YvAmHyPSriAMiU4yw8LSJVZ+ydGqMUYtiK3ExdJx
xk8X0nGeD4e06v5W+qY3lm5kULrR7lI0qEXh6+SBZ0JmIp1Kn8xh1mxUxrrvhgN6Hf+mNK0W9Uhg
AWGNGk9WVAa44/zuoO73SPpQLwVTxlvKgz5i36dhvLuQUV1y4UtiMLrfbZFpFa58aYqZ2dKtyMfx
VDvty+Id/P+kfdeS47i25a+cOM/DGBrQ4MbceZAolzJpy74wuquq6Ql69/WzsKlKqHSq43bEvCCA
bQCkUiJh9l5rqdJ/oeaAblur/wpYCc11L6Jx3Zrt9d8lmgHnyGSzeALjGBkpuP8Kh7F+aOvshTIV
l9zIxBWL7CZVMuhhl5fJC5PAUyq3keQ9/FUKpdYMBjhiRn1tIg513bUAX7fjlH2KWwchCfnwIWR8
fKzN6Hs6m9YnQGx7OyfNcYMom79zwu/O8kZdyzehlr+GwVM+1815ue2xp6W13PWgZehRc15asLxp
/bT8nd9/WP7Gb+nTuo7nNE0GNENwjdYdmOCRFp88iCo1XjRPMy9a4O01ZKy+UOECYh5/HbCwlWzS
mN9arfdIIjaw/AAgSKCHSS/qKE2ca7+LrKksJPa7CAyp2mOkdc0eaVLjueurZFq1bnAB2liJJQFk
GTgblmJ4b/Y/LZRImUUyBQogrEsfSk62qst3ixv5EGB48pAj5CEXyxzUMMsMKyt8pBmq3qmmupK9
Gz2vt0MLshTC6uVOWp2qKnikVh/w+plETuc8sne4X9zUInC28R7JoJVWJJKOIWEEd9LivR8kgiFs
JgDYlxCDXvvdWD4UwPo4jEGsnVxE9vYrMEkFJ2cKUO0DhEMmJthR2qYPTjdGVCWhPvfu2hmj1Kem
hsgChCZJ86UPPrTp1jBAIbB0T57L6JU5xQe3xEZZDmlERaVtqVrZuIcG/ws1buZD3V5niZm7FXCW
SE0KNSePZt++z/7mD9OBgLjRWScwUoijHsSTYc/K9jhFQFS1U+WPmrCBAYkXZGbF7qWRVmRKFo7l
HOO0SY9KRLV6RAx+pqfh0pHS5k7M1iaQajdKRrXCrZ1NGTndmjpWWm7W/X4OtAh/PsZWE7PyGkma
LUKs5VxJSbNbLEAEJeerzDtR862LY6hN7mKLZpRju0oaEZ0CNkYnqnnvtQqA381KtckGjLD7PEKu
g9Vk0JJMmai+lIxGsuRIqZibxFdDWRxQ/2M/sIaf68wqT0ajfW0nd/xs5G23ZRqud50SFLZj0Dy7
TZi+2GGiPyHr8SuotYxXyxiyx+Y4EsN0OvN2I2x72tjEZu9N3ktzJGZ6EvxOH51JVVkxGMOlv9PH
l2wCz0C0ClJgKrO6bfd8KsHVJFNRKMVEJaloTSecNbUH2/6ZqqL0sXAMZ3+X7VIaWbvPXVxc/5rs
ko4z0LbdPLN8pyl75OAASfnNmWbjIUTE5VjjB4QASBLUPHTwRbFZtQfJ3jZMnMR5/A/Tq9uNB1V5
Impyo1YBapTf+GrWUHpHspjHwhv3N71MHTD6BDCzqghnUWVwlpTjQNFINI5DLbTDeE5XVdY3O5Ip
BdX6Oi1BCYn4GDImGVjLOFJSK0D+aBX3+6obj7oN3swbmyoCj3KIK0V/Io3qmycd4M9BtqJEVFP9
qxnRSEqBl+y8zvqi8glGU3d0doz/uoH4XKqkXDBAF4Ex1gwnXAsW5yJa1KFiKyQnwun8xVqJFdbn
nSymTsgr/It0qiBORGouVsuAQwUG9FbssjafTXA55/oFnFr6rpS8Vw3WYeAdplL0cw7Ah8TahY2r
X+zZG80V9uEatjb46VDT4IN+IXXTIcgjHNPOr4yodnYDiOENgCWfaAQyIWMaS0SIw1cyMiFtj3iV
MEDIasnnHTFp4dp5XNi5RFdZ59G76FVbmqs5kwmgaRP22wgHKQhn7XPHJxdt6gusv80ZKO3SlISV
BR4D62s/7b0+5Mcos7ybgmTCaT3k0XozeJ5/VY+1FeJ15hTbMbcm7HfJKPfKn6bkv+hyvDg3ZhqD
9ObXTn43rpb+Mo0JeUJHTPF+EimNdC+l/mlqbQLYbfz7VMgX1X4bN3YTJ6bMyfK3sWRkw50+WDO7
BceNDBO7Dyq7GScCCfM6Gfueg0o86fJ1AVDcIxV52QOXg6rNINxjmAOAVxuQCVXJpqt7zVU9O6O7
+JD1XZOcTT1EpE9nPpDF4kvdkJaEv/MtYl3fpn34p7Igh/sZ/K4rmi+WpPFGOaupTQ3QUJEaFD+W
buntunEG89b7SutvZdlkhevlNGgMXXcXSMYutWgjv0Ta0BJtUYyjvmoZ45sImED7QEvAJo+zWSqY
PIZVzX8qs0csvGVPd/53zX/QXTPkN3O682/f56mmGM3Fc2n1PeCEYgSCtWDgPXYIDDpGHbDwXL3D
rSppSHhTJUsq7EH/6bno0zx9iCK73ZPaJXWRlbiMI0Etx6DaIrwZKciHatUh/frIslTs9MS0na9G
XacHZsyTn1vz4LdyYQVIXazsZNEO3NuGHdCSqUkKMnGdwD5YY//hzqFpBCLxQ0Dt9gbcZW9UkDvy
69bWCOIGJaKapVUfYyu2Dnf2Q4IsXHyszvbOAcQut/Ml7TLg+3yVB036fb5hHQz+DOY5P9RzEwFv
LC/BjIEcaCK3JdZaIsNtuPnWNXH/QPJ8RA7z7Nni5JrpgUS/9VfGtam/JUl99ad+pyYpyV/nDuKL
qc+b8QUT+Ua51Vm2CpAjt4pcJNIwnvAHYi+vPCNYWU7DH4gfnLS2bBJ/eSKN77Sq+TtfzzL4Qz45
9cpEVPyRda2+GeLJ2ETTpL92buxdgkScwL+hv5Konbsf4NrMTtoIgwaH37ssbFKfLIB/FSBiEYh8
0ptEHXixVjNOCQ7kEA+FftBcx7sxGZA/3jAzfCEvK0oTv+20YUfNbMyT0xTGf1GLigL06iyNgwu1
/tmUrVRLT4DSuZ1yYHHbT7BZXlcSvsuSGF22LKwSd0ZOlGZbpaAaaReZNOl7eQDY69jvVmKAM1XJ
W4RVvQZU28WSgQJgILeB41XiaLny9tQieSLjIqgJChpw8t1XqU1GZG6J/KfR/6e7LSrf7CcPcPa/
mQENi8XrdW7xqPt1ZVbO2KxSmyd7OzXcbTcV9cHKmukFx2NiZYVT/q3R5gu4Y6yPZNHi27MdAJGl
cMmFw4uNxpH+oWSE7lm9KxTOJ4F2AlegAHRTCoh2loD4qbV0P0XCXlNo9neH4ah05r372jZttpOX
5AfLA/AtQtfmtQeq8z/tPFgZRud8B5wklmbTAGifAXfYXuaGx7KYwiPVxhR8q6rpSK0ycZ0BWxvV
Rmq5dmj59zuzv+3J5AE+IlL/zoVkQ4kbzT5B0rtpztO4B7kztjraoDsbT4uMB/mUN9ellFKbap2G
PfsXJfSE6A4eBygRgM+RDHLXB8BP++qN3JncVRVT5WFBEiPDOUREnyi6c1Ly9ozMnbfSioe9VYxX
EcnJopJmtdd5uJnL9Y3yIoVq1nPp+iIX3fpOoZphiMR6Nx1/UO+5YTKwEcsJUC+IfHEfBsPdKBHV
lD81GQ6Op2CKT39rZkf2G45Bhz1Z0N9Usc4agQ6AP6WUf0qrNfrNODQEWYOrd1UVfX2yda9Y19jn
bMxotM9MFhrPr8UMRolzMG6iAFltJCYDMqXmgCwG7M1nd/W37mCaeGtt197f+VNPoHyYDkYOvi05
Jg1HNdU0wPe9ngwE0PRNmc334/ycHLlaaWifQF36MMpt0ZRp+ZORV8VSRHZ3sWuBMHUpImWJKK4d
DvrBdFYYV7PHBm8yXq8TY/aR4TszbK9wAAO2iuyxZsO6xmkFEEVTg61INgb1H+aUZAfwt13NLFkr
SiRj9MwNNqQgGTm0bDQ2ZRZNa9UxKSaZUO913Q9qUUFeg20YpxapOKoPUpJ7KLEpCxBJKnsaD/kX
f/ROb/oc52brsZ7ntWEkerwGbDVYzKwCyB6jpT+LJDGeQfcB/oV64luSUQHC7nEl8jo+3MjC8FOm
WaCSpK66FPF5Jqsv1AmZWbvcZcOzHjY6ei3mC04pl4EWUZzggmvuP5DHInLAKBHg945dGubjyqKx
k3hHc76ReWFxM2/yrT1cial5LzI570rOuzZzPGOTEFjXkcv6dSWD5lTBLcSz2vI9didTTWscBKJT
pc1SJRX4r0GG57h7alE3OkXh3Rve+JCpkBNYTJUr1VRBNtRcDKl7pVZNGux9KkpOtjcjzxSzd6en
5s2k79Q37tQdjXXjc2dONk7YYg2KdQAZ30w+HiL8VPCcWOGAzDh2Ie55ClB2YfeuH3GooYNbBvKh
wI5sS0KN1Z62VvpYvFk6QivJWIlvzJYq9UNGXsvfAs1JdhMPZmxS5CjkaHQN2lQtkVyIFy+pQgD7
FmVc+cqSajdDMDldcgQbGfqgdtRXzaZ1zHp1I7ztWDopT+qTPgDc0R5u5nY/DgLv8QkoR8t9NUGt
tnwC9GeyeHC1NVWbsNAO3WSsM7qjwOIZB7JD22+Xe4fcGJAX+i4swAY1+KSi2xDWIdw2S/WrOSli
Qp1bbKRj8quaLkoEckpWlW0Xu3AAtjlC6T0/z4tyTU1dctkBMyc7U5NqlmxmYfoRIX3Z3nDTufWV
trflaxFHhGRLRSqKqV3aXRlxRI8AkJx6UT3TQLEB0BY7yPE3eLq178Lpc9V6xQUfNfKmZI2Kd6Ut
06BcWZCcak3YWvus0z8ruXInT6RALUo2icgAYqlpA8skT1emFZgF6JV0/gCEZGxaZK0OkPk9s1n3
lcKVUBbKZPGjdhUEtb2mKmgm0ds/Mv3dQCSbDFfs8fLaK/BZ5BBOHWhXAEZLOLSiqMt9rufPSkSw
s1QoFFpq5tLWndP/wXZGjN/PkCE3qI/q8IlqE5KTN0mDw747BeUyTpQESUdVN/mQS5WkNvCSrgmV
5H+jUv3R0VYhknzDhuk2/ZK6IDteJD8SMYh1inOaL+E2R5L95yAyuwezdCow/UEKmolh1etee4ks
p3+1svlEcscK452H05ctNWfenbOZla91mMyXwU0RgiTdp77F99aKKwDlzdEX7tMYRt3ejlHa2rAq
ImTQ5b21Ddlcn6jogFrXrqjKiYybqolXrZsI/JrUykpeA/733ZDapKFC1+sb40Iak/zaNUIdNpXe
mysRMGsPVmMclkryYivIrgUpysQMV6EkL56Ia0JZg+wGBFBkTsJCWsbSkmRmqOunyXQAWQC8F21e
V1HELgaO4pDNW+bPJrAgzxoyUdeBF0xfZ6lAyvw5Yt06l5MlzvG+iuZDJbKdEol3pZKR7eLAx/mA
gOQdmeXO1LUrZdfTp0Wq957JTZmUUfq9sJl7ZKUA8Xgd90CHS4F/meNyC+fI+bfEb8Y4+Ub63kiD
baS35hZ5Q+7K0oZs23gAAVopiPlF4/JsG0uoeioWG9KYLQilSHiHT994I1bUUrtYkw11S3661KhR
/rNHxBoXI8J1vD7LHwNZlEXs7XKQUK2oSQrNcbCmjZn2gGSPE7WUA8h3zUvcbzQEiT+SjgryjrgM
d7HcoxJRDbxM4Qqh8fP+zmGqxmZdZTbfKA8aqmtTQJHaA0Lg5WSWQo6o5nvn8et8F6VhtjtvjAGb
JvHeg2jO1thbdptaQroTLrtFtKUxB+dyFIsFCN6scUW0VHuvu7rgWwJoFYXlTi4JXBZrgny/G2Vx
ISH5kYvICn/GbctatxDT5DzpQ+wBEAA/cvWlG+krqdplYQIgCXCp4KP8aTg6eXP9PShrUpugBPPd
eRyW38x9Z2TjFk2ws2f9STRhdQTvWXWkGhVaBzDSqEdBzd4J5RHXe1vZhLPVgIR2YOs755FcqB/S
kHNpRsPOiLo3iqHBDWKxBdEGHrcSKZxAwimIRilIRlpSdLwotpr0iPoRvIfIndmFkQGOANyvfuu7
Fy8One8FDi9WjV65L61Zsh3urHNEWXLziUwNS2+/mfHLVD8jcHHhlcXiSFvVXiKeNKuMj3oYg+Vn
KLovSE7dYNsLwlQNuRLIXD8tCRRugu/mmAlg/Op202/qahywlJzy0yKkKgB6XbCZSSkVaRSHq8YZ
h62rNwhsMdIMoflUvbFPnbY7Ns0FxwD5qZMFKalpjm7JDomT95tSjkhCUi/DlliHbJAuABC0VDKm
V8W0tVqgS4gAlOlUkIJqjeYZANpYTEliEEE6WUQT4pBzNwi2pJlH7uq+obXTtuLltT/VlaOnySqv
UnANeR9L3R5fiEJQj9xhbfbBsDAKAlWleEAWlbnShMYWBkLYp3Y7vgRsik7VlP4JsLgYwAVgr+Oz
PT4tReSKx3D8Ro3QTqdFrI1FtQqCwtkrUy0r4l1WNbfuRslATucFGBeBJrvRGr3nYTQSMHiN4s8q
tfzREMGPTsRv5tAHn0BvPvq43xgviddoB/7upLUjIBmLsPxzzEw/blnww4hDcOHw4JMpnTrA21+a
2tAOYsatGTBkvedJjlSYsfizTJgaqdSDdIvUxxShN4gpzC3HLVcUr7aEs5GU4tViAaxfrx6ajQo3
vLG5Voc63NksCPbclHG5jElgJe5eeDddi3CyJtCtrpQkqaweUZ6sSdbujINdpclw/Y+M+lk/eOP8
RnISUY36DQz+FFeI+Ao0D1nXRYyeGO+cjUiHan1nvAzdrsiW3G1t50ysvEcaJnRfAu0ldN8F4vcf
IhIrPGBcWsfIPzB2SvRbiOC/7f630/g7wOP/AZG4LN0RwECcbcrAxWYQdLI73QUvTU0LAvzQxAWZ
eFdNWgaAWSA9aYB50Sw+1MxJXYLA96J6u+loLI1pN3c1EiLLtYZHjByIWHDUkmDWA4C9JkG+vVdI
Y8d2nNWMmPtl8XHTQdcYfiEKHNnKjcz9xuZml3JTvbe627pQT2kAgJG6mPfUUjuiG18jT7EFItUi
zYYQdJu5/qWP4hmoRqbtPTB7uBbNHPOlSYr+XTuSNQ84IJVTgKcrl3vDdxfVFxmr5tIX9b1U7/TU
VN3GU/BJ4220NZx2S/vIu51mlyGepTGardpaqu2mUVrtUXrSptQgLA6yA3jojeKu3zi0a9wkWIAB
rkPfy4z5D73J9+0484/2xPL9kHfJLi4L7TOwGNZkEEazDQLwvDwajVe+tK37VzSDNnhgWoenUD09
me5snqhHUsxWsTfLnH/0srBYeuxFc3TTtHlOsCRdWQmfjnSVZwGXa1VV+Xykqzylpas8r9SvWntu
zQ9KO9dB+TrUbW3pK9PAPUQTtbW7trQoO1YaSwEp0adLrSyGPt6WCLjdhVP2rLRkrGc4XtgqIdVI
g6C9xl2Ps7lNZuChAavEOgeNbp0rSVVbWc3zWLnp4U5OTXIIp2IvulmbVovs3T8uS90XhcPWShFJ
LVJHYZ2x7jkXc3ogWQ0yxxloGqvCKcczwybwnL3X4rJme8bEK8mpiLEe3V/PpKtG/IkUfve8UCCX
7kHXAGd6j0fLBhC6956D3BUJrLvwJwcTaHybYkHYXeBoCSyXjKsYiS6LHXUGY82Ni/NiB8zCwe8F
Tnvt0AU2p+d90JwieEC4WOuP5qR9sebgCyJ2guc68sJL0zgcP1fIoygFExQgFsCKGg/Pmp59S6dU
+wIMOnk5jS8gOCfbD13a7kM3DL/qQRRth8xGSI3JzC/pH9SLUTblXmtAcE/OoNDcFn3vfejYEDyA
t6rxyRnwI1+EnET7PonYc4FSVFT1A8KSsNQvoh+uZX/Ws3H8wkyTr+aWTW9Ccww/McbsKauYttU4
r052UbmHKvcAWpmEuP7vrGo71YF4Ls0Ke0N8tz8MowA6sYj4176yn229nP6aEkTQ2pGDaE6MN7VW
9MMprc+4Zxi/AD/vOl4lx8s9fE2NukQez4BQLC3qkLEol8i0CKY1MSmCQVwVKiZdKdR6mnz/tquo
AjgQjaEi2O/GUOOqrmhwGrdLK33dg4lnI0ABugHIkrmPu3j6bNj2rnaD8q0cTeMSJkze0vHpM5mN
1XQ1m2GG4O2rmVGD7YHcqUsy67Nh+hz0bOktQiyGPmburk20fpsiLO417JEs62Ap9F1rH2k1BwT1
v9K29D7kSdBugqQJTnXF62OOZJItuMbYaxtgBd2VHUiJjfrTcnAnKR+PGc+X5+wiqyPbQbIrKEWz
on1MEQ71Fc+8zrc4L455Ioq3MO0fkaE/fcXdSedPWi4WubQnuY6gUT+Om3yV1LjJzZE3cyiBq4WE
zBoZpyicKG6WmpIVCPG/akvbVQ5kW+E+sl150u3Ot7ciEIS4fKPkyqyNGOhf9T9wsFLhvB0Md40s
qImVPXZ5qk1CS7eAMoD30poUFrH71ol19SEbKv5WhgXP+KCnn/EVq/Yh13GApUfFU4Cf9xPVEIj5
GuYtaDrA17WIwja/tVUKHCK9ApHMe0imUlK5/tqn6jhO8KDsLHev1bgfDkYHL4ys19Pj0PP0SDWv
q1O8ppw23lI7C8dZrMocGJi94y8Ksnb6tHKRXgXHTgsmcB6w+lDNFd+X70TZxHCNUDmkp3UF2ygq
bFIoO4Ph3nW1tB0nOYR2dCAT8iA5NWeyI6FS63bYrLiI2MLQ3QEp62Bb5dYxB4BPVta4z0qvPSCe
JLpyxi2acKrYRjPMbrW0iU5usSISuTaZF89FnQNW/qGtnG0gd2BBn3sHm9vfl5YU5UE/PTHP9fPW
4WclL+uZrfN2zLeR3KQp9yG3vuNFPT31OJlYl0VaPGixue9TLf8cxCzZFnhPPkQI9n3mBX6QLXA2
v3W9dWOBVOvyQXCjuLGQfZh4cS19kEUmEOQ0B6l7bIPSD7BDf8Z9rPGG7XCy8poRP6hJGG+hwXAG
kwZ8R00wq3e7PPKwLJTawAysI9esChwRkfk29En6jDXQttJTo1tPbrV0TLaFFaeABQnqkz7lzaMQ
1p7o+OgzDhO/z3lyuiHsW6pmmcQ+ngDIhJXEf/RfuPm3UTsB45uepyc+cK1djRk2YyAR2hJelgLR
UvBZd7JOM4EkEABvOjORkEZ2S5XQtO78FqwuUboPbaCPSDMSiXeeTKvHpYuBFQlwIatdPkVIb3kv
7Akki6CYl5jl1sB9LwWevPt1aZAZuY65We2MaR7XOg+TBw9k409GdUGYU4M3Y18/mxk4uZgzeAgw
1osjs3BWHiMaGHiYuvEs+t6Pa7t/G92mf8Mi6IE5zHuklp2E8Vq0gXug5sicesvSrtmQQzLiAc1L
wGySlnprx87vWLsXht18KgMr9mMt0s+6ZbeSEh6nZn0Sfwu3lfwGNtyLfbAqRwBR0cPugKvJbn3P
Y4wLymxfM/ukWIWJaTi1aySrktAcChH5VBWeUe80u/hQIKCWSHfNpG1eNV7IXDHzA7XivFh0bPI+
CsY/4rib77wOSwNaOGdzfW3Sslo1SSukcSCNaVl950vaKE39orfMxF6zoNV2YxeKc1NX4kw11TRB
8e4nCNRZ3ym6X42zYFPXJjspK6oZOOw5FIC5pPvCMa/4yohnxNvJlKwlJ2q5TxTYQCyqRUrXj+RE
hVKrVCnk6a8BAOgcbeJhb5N9NSPtLemY1e+cOMBBRzvU20qCBEb4YHQ/7qN8J0LEqyNmxOwBO1Bo
57jec9A3nMmuQYLC3k3dvygFXW+wEk1qpAmpFPRiNrUL076GlNBOWemDaHMfOHTdZhH+NCEleVJv
WMjkPpjEu01JLOQgj6z3BvZlgJ3qwKsVgj5VC58B1uM9DdUZFDX10UIO3pueF09DKKavTujVkrqm
PnphFL8lWXkvf7e3i3jYisky/JLbyUtn8teuj+oTtZLQBbu8IdbUoiLOrOjghDiaAzZk+kKyUOcF
ftNDt9XtaAAU/C+dzK2R+AgrszZ1yM8p4qgf1C0P3QwFuXtOsh43CO93R3SVNLf2jdxz0h9M19zs
gqRJ98Xt2gNn6fy5DvJ237Fp3NgyGYjVWD5PWRM/8jxxXzWQUQuW249YI74uaJg1shQqu7CPiZVX
lm+JKdtUvbED9yN7EQ2AjPJCAMRarzdm0RpIV7aiVyaVQAcoGu5eAQVy4IPs8ibYqywh1iJZTrdm
d0eZRXOD0PBMQziDzDmawi9szJzsZwpRmYHQSt530YcgmOudKw0wPO9XYCTvecZJfvfh9MLkuwGM
3NjrdqltHGOmR6/jhAyurJ1Ln5oGC+PXqI98IwqGJw1v/1cxZJ9jBAGDACSz2EVDGu/F5vlfXcKb
PbWUPO/HGCRQ4RfdaNjFlEUwRQOOi938o3C7j6k24AJ/wmM9asKV8KwPtZW6n/GkmBGqF0/PpiYQ
DwSk6SPw3YcjjwptW8Pz2XCEsW4mYX0uxubjGEWV7KevR+dLQNE2RoWYH6OKtiUilxBmhqs9VYwj
op+BpAU1Tmeuam9e2d3ITggeAv9MNyPrOMFz5ZyD1mFV1LlAVhs0i0zWZiNx1wFv7CXi0kSe/4Od
JE8UZklBmG6vGSe8sk6pnn6os9r9U1YYkJGoIpqyPeDhPawJ8zth8XONG72TouyRIhE16UkhiIcs
XKx+FekcNAYeixBoXPPs4KbNsI+NaN5plag/mF39oQX98bdSS34YKXNeFwOn14HcGv056FayM3j9
LZhm/eRaDCyzbsH1E38vSPNuR/LGMHX/yvpegasUD9aEPVmyKIzpB5ujACsJy3oiedAJzy/jWfOV
bBI2O3AL/7ysjXHxoSNT9MnbkMHgMkhYa9x05NmFsxqvJzSzu2nlAdwgz9CoVv+mqUzIrpFnilS7
c1N27lB/ilqv2v4DWxpRuf5uFjTOnd3IK9xd97UAHxKiotumAkAcvhZbYjMmumIqSEsyZYL/GaKi
axkVrQzjSULMyR7IpWnn5oB/bExpR/tJK6eDXtvsXPO23zRcL94SJsyVZWXRn25i7js3xC+QccQe
eIb9bdILCUTgWh+wHLN9PEO0i0wl2htimg5Zn9iA+C+QswSkuQvAL/I9Pc6dAGvQOJo/qAe+YFO5
tUVQ+3NT9enaHRDdze2hOCwP+zGycG0diydysZoiVR0YoO9GUlZm2BoAAJz2gULBo2IazgAV/vmL
Xn7M1A5L96vZZe4l1ULjBaRO9OylosRCYmMnzNwkdRK/tnXS4H73D1FkTrLOsVjx2wCLi6U92UCP
GC1NPFigw0zWZa6tptQJHpEqoj1PLj56r52PjV0Fz0lnBs8eck/3hWUFK2qSgmMl72cN7pvJi9Vu
8nhNrdfCAkmx3M2OSWKeLGE3j83YXQsB4JoNz5F42Qnj5FbYLPQ88f4Yh+dGLhaxsTUx46K7IBAZ
PM0m5p5HQeHjggnwVvIH67UZfsB95T6YnZUd6KdLisDLjauW2q4xHhNhJdugsF+dvASEs8mEOOA0
9tqc9XBpLof/dO6fZOyvfIiHFohpP88VQIQAVsngq9H2iByhc4C784YaSPigghCfZUgG0e8ABjjY
IGgtOoBFevok5Rw4gy8OLgzXHBScCba9F0WoUCYCt4JOtGVj7yEnT9Sv+Sj4qgA784GaRT/j5MXM
0pVteW25tuP4TRuM6pw1XvXaz8zedWFgr8mYisj+anlD+IJ9SY0XfKvhwx6LLelw3GQ8Mm3ckZJE
NJ7Zptfx9Mm7jkdao8aVlDfifUGXh4B4SU9Ibjmpa0OqzVbyPHoAM1byJtbijY4jUCQw/7x2bH5x
L1kh75GjvUu4H44+8nKFuLn+WJT1Kce6aHcja+Vd39K+tV/qowumgSgPurXl1fZpwPNgHSdz/q1K
P7iTZ/5hzljFirgYT0gVGi+ZzfR1hZvpLcAWNZ9eg+pd2LfsEdAtDGnHv7weqTmVLdg758hDzrMx
Vzh5Bd2sopOgGsn4hBjwsMk8n3gllALxws9R30Z7w0sm3HJ3dnrKJmxXuwlA63YVu4tMhPiwSUG1
maypiuVpAloS3BwHfYzji6pIDio1Dmd77SJTqXcki5o+OSxpdsqGsumEl2sXuwg/pWkwvmamNm3L
Aew0fZomZ63ygLOYa/FH5E3/qMch+KGZbz3Tmu+lXHVkVTW9JtLHHIvimIL4asWt4YOpDc15woGv
mloWFYtIzYxEpeMdeOkFl3//63//3//zbfyv8Id4EtkUiuJf2O494T/XNv/9b5M7//4Xooik/PD9
v/8NYDpXdz1cALvcMxzb1jn03/54Qdg2zI3/hcRd18wGph8SzR7L+bWLhgudxdMZPtXo6F904EIB
CYbr3ynIJNJBH28YP5Q91QYiq/OEBHCuHESSy0sE8leEeXGJ0EC4KvGQl9V24FEA2gjAc3mIj1tP
jYdDx2wqnkhWhFp28UpA+0sR6MbzRU62lgGWszvbeqzW5EnyKc9cZAqxbOU5R5xRzji/cY5Z5S6V
5GflXfVeWWzwxnqXvFf0WI8A4Dn16zayXWNr9u4RGD/4kcjwMYoAczs7s8+dHVwVFCtGETMOUlq8
w7vLEjVGGi5mHJL1KT86+D/tPdsuc5/Cc5ZQs36qIvADtHilueOftqSc7XmUYp3kNQdXNhE3PlWG
vA5oAKKiF4Y/TKCcTfD8QXZ1mTwZNg+fQTpz4+3ZeN6R2U/vwdT/w7tsgnjxTjF2bdjVS2EDLNYC
KWCZVKCQRXRuKlskUkVhC+Ocir7YxT0OzwpDv5qQQtlFXQh2vHTGkcK7CWmVHZ/x4m7dHglL0kQp
mi6Yge7hZZsRZ8LgCP3PMWo5R81BBLGcI7m2VQUvameVeZ2fmtDdGDS/Mu3Smx7uBlLzU71UNDVq
lzxHdiDgytXEVQcMeNtqfmTfRm6z1SUXIV2XiATXsF49euu7KxlSyDO5JQBqARtS1jfgQ0qobnpE
njiXYezfcObofM+9YQdQl+Sr3YBeI0+s8qIVIe5GxyzfGrMw/x9nX7bdNs50+0RcC5xA8lazZUme
Y8c3WHHSTRKcZ4JP/28UHUtxp9PfOTdcrEKh5EEkgKpdu554a36zrcz7UaPNGJmOpgXTPv6H6Rg6
3wSIT2+6sBmWiN4GR6cpEmDP0J1PmRVwzQBU3aZRGxzxfkyWRVeqV4kF+GKAZpwHxqoIbqMmErOr
TwNskv6hLTtvCTyxekvdlaVBlbHboP2ilxhHbCE0j2par/5kgLc4uGy0lWXZfoVijLQG1GtEdMIN
PPCZ45Byz5DMuXdbQ654aTgbEmlANsN6GLP2hlQ0S7kC1el6wqdZZ0+fZjFsM/68APiu/WkB4Jbt
WgxBSHR0ZaZF4xcLQDzagA9MY4/zL/jIUIF67YGx6iZpU/ehMYZ4nYQC3ZTM0X0IQJh2mFj1laQQ
RGwP2j5zUaNEqqmo43Wm7Xtt32URjsw/7ckjZ+r/z35CTeF6yJi/qyrgwdLC+RvggocRm8OX0hXe
0kmr8ZYLjuhlPIX7qGTOMS6qYj2A3/ApA0cyyoqU/WN0Y7Q0debpbOjfp5uVOd6OA8KbTS3btRmK
axut/exVXRevchjUbiao+o1YlY7azYGijIuloRCAjLISHIyBxRZzgTIVM/MWGIUmBeNEh4clW2eL
EHuvm9mi8dHHs0P8bi5mnieYRXBDsya/m7YtK4cTWhc5qBOz7e9e3GPLr+ua0XvbzFctuK0Olhv0
fNNpvD3J52HSmSlo8jYGvgodake6aSn6IV8VBnilVn4TQzvP8r3quhyN8WuT9cHSwrH8iGptCbhC
Xq/6eBrfOvBz6vBCpw2YNsgyR1yZMvSv6WSG96+Hwi4OCA3FXs7Ht/lMN9neJrSD/CJSc2EYfQxT
JTFNZuj9ChSEk4pVakqQRuiFNQyjZyNCjqWwjdF+Tms5i2j2pOldBu/QiOTB425zbytU3zPphVck
JkZu3FX2kgS6dE3a7dpaxcsIpdvp8tOEvPJx+POXbt6PqKKOepTn5/4hcMpXwiQS9DDvvT2XWXlj
uzaeD98xVk2BQCdZROPkHYayeS3G2p1Ritq+yONuVUu/Q4YYvDgGjjKI/oHrJ96jV+ewAEQSFOV+
0by2higONAoOrHiPLzkap2pjih7W+EnIggiIaL5KzGFBg2T2YdFKBGqHPlnRn9eInfFKdfF7wEwH
Gi7+Xfrc7dShIguq2gYOsd3Y2JghiJPJXWv1gM+UUjZrTTvel+WtIapCLAS4xhbosWMDHB+h7+TZ
utUZ5DW4gZuRlbem5OxojdW6tCxxKoRVX3XKfs6SBkkhfSE93Slk0Bk6+BxI6hvh2osaDANLI2/r
NUpkjHnGPOx09ZUn3OfZjnQfXvKuf/fiJpsSzFD678hQGrDs0QZ1Fj3XD05o43tFg462MCp+acHr
XJzCpLuqHY7/2a8WpPvVR625oUqr/OFm6K3sdQkOr+JAsQCW2KhvyLx01lGQwOtHG02CW90bTfnF
ytDRusG21uCUSveGPtwHdPSfh4WOBejhbER9MxrJfGNedjSbvovWSWbF17ZMj6Wbjvic2lgp2fDD
oIswCgFk74AuBVtHh9TpQgPSks4iCv14O1E5RqSDzWdlQTUZVq7w/TXavSnRgG/VG119oMvAxLPd
qHpbEqaAdI4E79QGuO4asUb/OR7densxTxropLRRmGjqibM1NjIZCC1FtASjFtqWJ3I5VFH+2OmL
V5nPkbRANRCw7LF1MmdlsAFhY7vNH2szzfbMxPeQJrRpF91XoKihQZrw63QjRng8DhG8soZ0LZww
2HX+qF6MxNmk3cgeRceaE164LfaW0JvazNdmgxab2t3EQQLCiqpaZnY6HJxMgeSHGeqFB1W67u0i
2EVpMntEDxT2WHLx7pH09MFkZmTWi0oHto1MpCxljERf3pXPpuGG4AEGd53jheWzhQV36wEfvCbR
A/IWvRsmb0+inwRHdJ637shHkYUrUitXIs6tfVgfPuKiBLm8AX6ktDAQFEc3v7wdxakr2k3hgdSN
VC2f8MiZsW0vTZFVCJH/tKM7pF5btLJPny+MS+0ll81GFoBik08apQu6vNlLFkeotLYAq8u8dk/f
Pqm/aFk2TiuvtpA9p28fjfy7srJBkks2ke3ejiot9vQZgTCsLR9QhtJYKD5avP8O9bWJw/Nplsgw
kiFflBaqa+hnnkeASre2rYPgC9nQzz/74Wz2IDUVfY04JwhMXZTihF6UXAEX/9iXfXESRlKc5oFA
9uWyR1EqIjiIXeiL6jQVBMpXl6IrCzATfOgyeDlUNvtpQ0M08cOaJKuprmsfwJVgbau0nB9e+vPR
w/quJcVIf8VgLYqhvAljtFVY0FPOV/kQH2Ucu08hEMOruuUhiiaHRKHRaYMCqSod7Z1vxt0ROfZ1
zwwgZEBAmt/asuuRXoxaoOQ0bCY3m9km04gboazs1gmTaet6AuCUD07XIUF73zMpa+EP1z6K967O
KrprqaUpD/ayVV9oX89cL1sy1dhHlVjJHUpNYuTfcHaowzBfBqxv11ZQ1qccnUUzd13nFdostfk3
HjSorQsS865TcbhvwGC+cW1hP6MIYR/pUNjUlcNCoLz9TpUsvCpC9HQfFkWMIFJpxBNYf4u8P6UW
FtRkGtRrwiz8p/Gw37SeMd2A8BfTC9t/kvb4dC5qLMAfXQD22uHFDHaGA1oN6N2ZO2Jt3BhmZW9d
IwD9iXBuWRLlX2RhSoRk6+iqUq6BwwROPjKU2fdEcPy1WfYlLPx3i1Kl4UPV4tD0P1roTxGIAl03
lpuvhwm9U62wC7eZHwY3Q2jr3prhbYLi9ROp6ILcc7GrZIeqDW1GF9utgxtDqcv5NFDZFhp3XvrA
bskEyqH3NiDkQ7e/yriN+DBdWeGIZKqpdW6F85vW1a1ylnnuqHVl140aV57d2Ms+8NHKUeM5/Nir
75TvgpJuMvvdJ53ttf2uEgyk6WRTaRuQtRarsAdBolH0r56Jt3cZS/tJS6yqLqQkMppTk1nWk+OO
81gjevupcJrfzfsYayM0UIklqqFdr3to2uFNBuC4IAktCMOdLzJ7SSJ4qPuHWq1zwFnvlWT9Q99g
mypFXW5pTLmqRMrGeAwSQGuWdTS9JU1WH1o9UYbpuzOyJY+DswY9CZyVbEAtCE+3HFWk1wlXM191
+8Fc7TfyGBtlfDgTVwM8a69YwaL1maF66lN0nuDDLZmd9R/TU4Em5kBxDxt/HJKFA7Tx12Gy3u/O
uk93KEkNXycFJkea4dfNjWU3bnJ8P07HyAOsW439oEuWVDc2Kr2umoIVR5FI8CvQAMltl+H00I9o
1KpnuAI8IIA2A4S9qursxkNQ7GqeM5trI1ReRase7wvfW7LaatZEejjgPAbsWpiuiT1x5kAkTsT5
lowuSBhNB6Aksr9QkpEK2kcc06rV5EYv6LfErzvXkveJ50633IsXJBl9nNyDi2W4YvieIlfnIUNW
ttWI9twm2PmSBPK/OJiNz5PRNBwFog7PVsCeuwuK1bA3K5LjDzUmYlHwerwTPnJ4Ltg3d7UU4X2N
l+JsGb2eLXOwpSyxOFdbQhKd4UZ0N9rVsDaMn5AjNQkXh3gNQZqBSDNsiUxnhW8Pw9rBG3ZBtvkU
2Zs/xy0sz/8ct7AD32Ooqw9M3wws/ilw7flB5Aylio+sRhP0nqXtfTaIEVxkXb4hkS5t4e94xYZT
1o3tvZoGNP5lIHjU9n+cFBUuyNKMvlnEOG6sRIosKmFA6YITsDh50fezZlZ/mIp+8vwFmQXRd68p
l9JFKFNZ0U3YeuFj6bsdiCuKYhvYefQoO9DHhFwpcHtjdHIC8aCWnh4iBVjcR5Q4Nc6ezEGCmOJ9
IfHravM6boNT1fIjSTTL6OTxd59Gg0ARmvuy6N8/DR2qxEO7Is+fPq3GRttCTuJB1VG4Ys0kdmbP
raezyOrcvhCtDxEpewBdcnY5ep6LhsxiR8ap9BdNZ2BR197P89Wv4qfPPs+nH4U+7M9zK8Dm+6Qv
djUtEEnPHsKhcq8DvaQg1NHcaZWbRe51ovGDpC+ZNauCtlnlJdqxNJanF0ndmXoIrWXsS+d4bjiN
Kt/syhz9vz81osbRoF9aBQqjaGB28jH/bBw1zFuPE+tWqQ7AuX7tH5JBvkotkQpPwt5o6uLGT1zn
IWlUuG5StwWE56e9YYSvJKGEzryz22YxAwsIREDIAgIMiN5kyxSF49ha67gKGQG9FGx6RMuWXRFl
N25XmgsCiDWxwPYp6dQNgMiaiTA2FzmqF0GvjG8mDdCMmKeXM2LhqBtRZHythgiZ5iDE1wEtpaok
eLQ1KLHNL4SfI2RWGTsy+zlnbOJ7Zjmgm0aDqEm5g/1sSlXsq6RZzYdE7DiL3bymyIm90PI6r5FN
sDE4Ezck5WgmuqYLiTSAhOiGllhaWHOUcSOowKL9vF7rO6AdzMW8KGtjmkWfUEf9uzsyjl0DoAGB
d4eLp7mSIHA0KmG+aA5CAuwLN+g2OJE1uwHHsrPebJP+Qp8xYH91QQDZY9Fpdp6pio1oA5xPgwn0
CAEvrsMoOgzCwnn+V12oLey0bG5ID4hySbZnlYHO6ds/v5VNeutephO5xz0T3XRMYHyQWuTmr+lE
u5SliQNyfQCzhb2zDTNclmOVPyAhZqxLtOpBC12/2PumZWzjnPmgvWoQUCxt/oUnZbToQYnzl0B9
sEC0C/guwQ81+hu9kic+Wf/lqXCs8qoaK6CKw4If+7J5tkXRP2ad2T+CM1MkfTwLUWa9dWaTHGnI
KftyVY+jsyXRH6xi542NQKcRTPzwRRI5hC9TQw089PN4LLgz++JW7G17MEfvLF48Sl3FWxXIq7tB
+VbkJcqCgW67c1Wotm2VheiYlQ6nJET0xAZ5y3OP8IXS9cJ6Uqma6k0mqVxKxoI7BAJPTsad6s3p
5ZHgt10gsZbzqZpr3kbQkIHjxL8Uz6OtheAniVQC92lu8+FqiKryFiGrByGyu27Mxud0HKr10E3t
oQIH4cEqwhiU6Fnygtz2idgAES65c4HWexbYUK9BnNwegBfyDjxOzZWNcKoa6mFrEQFawrJb284R
JDbVobc5joyjZkwD9Rpf2GUybEkk4w87aVfdlhkiXqRKjmsjd7yN5bb2E4kOYEsbAjyfRyf9pvFZ
3S88I04OtDREjrG0wzJ6IKnzxYWEloKr0kWAzE+Yg1QxcooTx5nLCUGLYAr/1PhDfgD+nK/GMcu/
MfN/tpClD7I0ZIF/50OyyTn8+Sm0uPt5bxTYgWU5rhmgmszDevTrU4idZdobFRzX9uBdXQBDCDyC
ooVkLX3ZzViSRgNKZpQIDc8QEppkgtAAZNYaO0IyzcQpGFmCM9gkSEW8fK8UtFIThSAfOfm6ARXq
gMjf7px7H0FVs+e9eqSs/TlN38U2GLPjBG0JdNZ/nC/vtqQ6+yDbs9/3CbAFOvGRJHIeOz76sw7l
uBqF+luyZEIVFejxLDNsjyxNxzuWDLNexeO7fgJP1Z22L/TqZrbmpV7bW63xCgoLc91709cmta3O
WobMrI+hoa4dS+aPI++nFbgjU4Q1B4igGLqSqAwGYt/OHm1R2Xct4PFc29IEj7GnLML76jw9qfwU
m3HYqzQyrkCP/T4duFy19v0+u+rqHkznnWsfBw/1MmnXXLMGzSRX1og9CcoUWpx9nWcy68cAJaFG
Ygq1sJH+xNaySdY0mS4XRtLnszPSka+zHXn1K+uZ9CbzGhCq1SfHqvlhRAunfkG3pWcX6zpJ8Wzb
Y1et5qFQKZR7jB7H8h2M+6gz+WHW0S3N/DQdjV/4gXSzoSHEQaEbwK4pQ3Wt0kqi16m+tfFgV2jd
OPWbPC+/ke5igG5rkDW/m5M89aUCgM0D1UObRAPYVbOTmqxtQGuPz5JlPDX9D0+5yaJjffkltNxx
ZVpxfxNXQbGzaxFceWChRXmHBbB6n1gPNjZwC2dqmm+JZe+Fi7zJQnsy86D7ETL/954m7Bu3Ko52
IcdOPuC2gXx4Ybwyla8nzbdalOLvwBL+Y1ajWCjHtg+nBZgOtqasq7h4naZiTS9jH03fW1/u66G0
n7LSUCdW+y8oTUSaPmHgi+rtl/PYGLgvFfOtJwPtQM+Wv5mnLZHhCm6nMtjx2qzvPJfZK8n9bh3x
sLlDVBpdNbROcKtDnRpMqqK51JFJUjr1dkCAHi/FYB+OafOX4Yi9Ic3mr5x5n270UKxtwBj+aYiM
i6h/Sv1uLxwLWDGRGtOiakN0dba8Ifteu6j/icCbugbLbpEg4VEt//y29fRB83LL4yHiiFyeFQSB
ja2P++llawEXYAKqnh3eYdEIaIHiiuow/BD/+TzIxMYEON3HaRiBP+AeUU7CsO7Ryw8hVzBVePva
ueG6j5PwI/T8xBtukU5o2BRaSbJRZVOg7gSjTWCjyRk27Sd04pq+/HNSBlDZcohG8LDpRj3CAsfD
YADQWQ4KfXu0zm3ACEE6tymbOxoI7V/sOm131qE9Qg0kLSpn8lXv+CAZ8MZnLwizeyewwlNejf4i
NLn3Fb0BQSZs+z5SMW11P1TTF9J3GVAXEQLCe7fJiuegK5dDJ/hXEyTnW1QGplsSGZtw7nDj5yBi
1T7uJKjFtVv9cSwz0/s+iaL548i+TpFjpI/LBHf/I8Rg2p+XUY9xFyspoHEAxpmm/ynEkPQVdzwg
qg5BjRxs4CxT1H9HS0Na8c0I8QzaD/5FhQLEpSWzIVqShfZB2FaaadmhBLfyu5+hqnY1/s/XKmHF
3hBdsrHAf/sigXvlMs6/24wj8OSH1Z0ca1gUDaoX6vyFR+xuiqrmbijj/iG2oh19cYLSYvvSRNWk
kqX9DIJpc4UcVnJFIkDIF5PMUO6QPjcWjerajRSTuE5/vTTmhKWclM04ZTu3HY6/szvrKpYfG0TB
+WtktMOCqMQkB/FblU8vJH0iH4v0IBbfl0/UIWRGMycMmh6IRGJh343pYCz87kTbNH/q7KXbG/UJ
+2X7wEp7XFWyDN+mZDZoDKSrIl7VJ+Cn/mzARVVeoRpzNdWyu3fKeoGdX/7Y2F32yJG6Z0GVHWXi
ZY/FFIpVUiAxSCJAaD3Q18DYk0jTW79eFNLizTJE8Y0SPoiO7OCWG4Z7VxTFAxWjD1OcYndbsQ0V
o8vaeRGFFLe+tkrll/94Yf3ja80D7qOHlI6rOr7zGfHDq8jhUzk1e7BWo3m2Dud0dDigo4OO34AJ
EmeFD7Glw4EWKZxzNm5q5y1gpg+yaCdft4ylG0IFBUApHBsneSbMD0GDXMSjwOkJnL6OUzAp3u1p
MAmK8ijb+JmkD/vccfhpdlihYqbw1bIQBe/MZe2IeEcAOCs1gBUY7ddP+De7zhvSk9XgpuUp8MSm
ZVIuzcFv7unCZOAgARJEVyTazRDcZc2qqop2NgDlHtpDfExCbUCDsD0meQbQnjQpjvzgTgKL/zGp
DId214wGyF3dof4PyK7tOp8WHByOsdAEaCnBXCfwA43oukBsRYbELsjn9TWP0NSBaz5RMH/dy3xA
B3hNPdrrC+nprrb7+8H0b/vEs65YKPtnIZ6VFwUv3DQddKwI7VVq9cFLKsApxgAROmXp0D34Xnkg
feOjytZi6NQeRQxbCdHf20GZ33tZwG8qd4wX5K2TbblO8K/dkVnI3SXoNOQX3pfTocDjg/JmfGgt
fDQvRF0uuNDws4zNy6efZdBWXYladvpZFNhvT32Xg6t+0VuGuRaje9cjTnc4h+mmybtzxsoAlii5
rr3MPFW2i12dbv0Ffl+gs5vO2jklqv1ScNaUcVo98sZnJxmC3p30pUoqoFcsa0eztNnAnPKRvIki
RLss7S3XZuRNeKgCRBMEzl9RMyuXURYDIPlzQS0aVCcWVvJKyyutp7+q8gQJ+0LwAixz9bKo2BQt
fr2TdsKixViAbStBsebl6Bp1UxVbW/XQ3NPOTkt5ii/nh0RjtM/Li2ntaEva533Ma/SuT4/RPBor
If1v8z68fMwjLwi/BFcByOAR7jOKalHmLF0gr2qt61ip64GUoV+o68+yDEbs32lovi1SJHccMISv
Z3tV/Wg8ma2ctnMOPiLW2zxx3u/Kj7vz6PnuX+3QKXNYqiJojQeVZMXCQf4TYYVR3Dmx0WHJltVX
1pYP8y4elbhD4dh/d2H0VXpT/gLKQg5oThrfGaadAV5gZtcBSoevyU/bBeLOZGi99+FHeZrnqPcf
al043JlgSAfMla3BLGMcSXe+iA6nAebEPziVINPA2a7B2odgUXE4q85TXad7d3zW0V1odWo5FYh5
t92IwlTXtfbN5DkPqPiRO8csXXzTmPugpOXdcbRdmjzUCNElC7t+UU2xvY9wiNyXqjKXSWB7C+G1
6IppF+h3F/rpscvLh0iXlaKpVfhwtiBdpi0aWJA9XTzH+60PdEk94eD71CHG9mbbzcqTI1bF0HM3
A5a0XVmbyVMp8jsyiCT3FqNZWTc56ocOk9HGqwlw/LfKbFesks5LFlt8GVeO9zyuiqiS3zVifJU1
QXe0p2k6Kht9UggFgGABanh3c0ufmvEHAHmGLXJz/VUk2/pWIqO7dEbbfysdFO8jKf8DTH7gzkBX
v4d4HN9tSxW5h7HNdnFaj3jxYR/koE+fUYTGX6XjAL4jqq8tSLtWY+4qhEETFG05qtoBvODcAmU8
LlENyV9BKrADm1d7PxcCO1MNVvPOBdLfWVFt2CCtYAkUnEB5XiEBqSjr1U+DbNA0k973ZPDyL8Fk
IXuRReotGdurJEmKCGV4t2ZSuH8bvfPAC+RxldEaCzgTD7ysMtD1JvzUtSDfijkHA+PA4oNvuCgY
jipUfMoAzyMCll+aerrwXfIpJ98e3onrP+9egEj+vPxZCHgFjuszDwEuz/m0K8cPV46FZcrrNujt
LF2Yg5Iv6BK/ZigDREGjEa39aPS/80Qki9pprC+sHYAENZPx1g6icovOm43uBoBLZpfbOpfDbYr2
t6u4SM0vKk9S8Bjir6Z9tqYJnxw+ufaJ8t/f+/QzC4+W4/4gfB6h8DiV1NKtQjXstinG7xe6Ga+X
j3mwMUfD8LxlF/WX3etbrOBbcJHiSdf1LecL8qp7u0X/o7PqwtbtnFOVGl/DzED77TpGfV/WWtEG
jYDEwuU2U9g9KWM1IukESMvI7OsKL+kiUqwBWEoXOfPAvjbiFE+UbAEN0brzAB8BNtFF0rODc210
33WIEsrmiqUhei3qsv7M493WMppxOVeClnFULgFBC7bnalFDZLuyytsTlZNi/XURmvung/ME5vrF
Et05AnT6fARXfXBiSYeOUgPiLS0fkG9PkaAjXY7HZeVmA9oDn5XdMOyziBs4aGFapBN5gELOc88q
0lfCqZFb8qz/iBlwFuhEyGXUIPB8z7MtzwpwhPSDzyFamacKIIOo3PfNw7TodKyZ+J7HgavjzAEN
fyt0p5bfi+WnceCQ821ZGu6m1os4enl+AZ7POFU65KOlzOzEWbIzGRzDMlsUKvbW4TCg4e/HHWDM
/9CdR893sx0wz/FQpC6wjYCBFZVhLLH5MQDZ7dvNqO+mugRaUOQhegPH73fjh+53o/9qF0Ul3wku
76owYvdtIFZzYlBLVWDMUus389icTtTSx9jHPFCwoK75Fy+dEagbV3kH974e0vxmAjY1Wlu3JBCE
MJ8ytii6sbiKB99djAjMXKE0w31w7NDdyaxtlrUWcy8W9ykHKyQA36Qhe9G6wRXpzvZF4DT7WjGF
dTPqH6x2NTjCuCcBdJzpyhn6ektihx4gR6cyn0iKoq5HAzH/2xRH3cHAavwAsJLYDnjcl2SRZbx/
GDXQTBn3ZG6NoBAmhzRmTALn1nh6osGImy/xUI2HqHHThWqj8Jpr7LLvouRIpEO8MJWZFcsxn/4x
bMgpXqAYFZh0p7TehwnqfJ49D1t6uHCHJxHZw65skPCd2LSe68/SDCyq4HfeFL1dfeUhP1heYD4g
Wmkd/VJ5C6pey4sW66dAyV1RRMBiKXUx3Y3DcUPe9HSjG9qlMVVIo+qqmqSuvE3GsBcgkS6di0U7
b0EIBjx+ex/X+XBTg5LobJEO0ttEk/rHLINNjzzIwntLFnd+aUZvOXhSF52qrRuZKv/gA4WzMsMk
fit4A1SVcl5il7kbULDwHd7BCRh4/jATBeXFxh5z1Ato/vB6SmxQHostSZVWWcQmTnKBIMFibCu5
IdEj+nBX05BbLcpv9TyS5gGyaXOg7WemjEAhvBgHVQE+rKowUCWvQjSq0Tj/i6ZsGfhe+7D961wJ
QIOK0AImdkyLOtIgDopvKbNZlxz1KbMoQYUSTGI4nWNk0U+VmxSLSnF/7Rj9cJWNfXLHShOEa0D1
/1DsLeVO/dYagb8cU2c6+WE9XneDmtatF4nnqnbw/YelHxtvwq79x9DNki3Xvjwwvvzqywmr+s1y
Y5So2O104tqXQt11ESW8ehOhlDvKI45mHi59lvE95RFJnFActKc84lkkIiUf1Dqz8f/T3LPnyPH6
pQ8IG/rTjoBgIpTbLRJRWjtm5b2xcOo+XI9NEqxmuUI0ZweSNcCEx8m7rcrCu53cThw7314zxrFn
QwrAu0VpwyYDS9GRLMg2C0DNVrsjXJMduWYG6qht7YpsXNt4dz8FjbmNuy4eArBf190WXxKgQwu3
vQ1YZO3mXQLgriDsaJFbHU0vBfPNADKw/eB693kojC+x5MYe2clq6diD8aVxM3PTJOg2R6OJb4Gt
yzfGPY2CowEUVEV4S4Noe4R/tPkFyKzxVjt0ijp8NpLR2DvaYar9k8N6YtWGRqdavTuU8V+5WS9C
Iwpv0XhSgtgyTl/qyv0ClnznbyyJwLD1f8lJyYUnbOOplqMBrkUFwuQyBz9q4pc7mg3OtvfZsel9
zEZqp/tLIYC7EFX4XHT2w1ha9vXUlu6uUIZ9Peq7SevojnQ0+q92RTW6u/Mo3ZHu7IXuPtn9z58W
N3d+Nu1o99Q2prvyHOmu593ZxOxvqYWsIY2Chi+5M5qbeaxHYunKZaxazPKf54J5jO2tvvsWorDT
nENSFHqqKoArZR4isvkRk+KhEV+jniNaUsFEFXgPudlad2jOGuHUmb7MRRBpb23GPoi3VGURxOKh
kbF1l3MzuoPPPh8WYOxnd3Vmh3vOM/CkDobzPITlnij+wgAUnByEwhcWyPu6z26fzxYT2BY+W6BG
wH1GTcuFhW/JDkzry3BCb/ZQJ7pifQntatqQzqNcmL6QTgI7vyQdGXsAv892TPXgHWoGtUGdT3gM
Bj88+lUWzXd487frzsBB9jwg2g57dJJZmdibvs3RTbYsLLwcdHV52fTHxkeWZMx646VzsmtbF+Eq
3j2ZHrO/DNq0irNLUz8KZlOCixrx+OSY+bspeW2QRjjKurzwSqaqnmZTYL9QX5RYL2Ut+AkEp9tE
Z6qy2HT3nTLM5agTDipNnJXb9eEViaL37rPJT0FoMpoPgD9vSR1kjbv34OxiUh2JDRA330ODvbKJ
JWzbN+OIBxOiHAP07LALMJC7yXiUCPohymbuSJovpgswW8e78dj34cUoXjLoQhL65ZqBI3idDEn+
gBabACg5I39NGufQiQGYIxNUsiixjP8aeBItQHzDv/QRSn9bp/NvcqGM7TThSxa1sTh4oWusRzXk
D54Ay9pvPAEG8O6pB6ZHIsblVW6xd2T/kiKx6INas89v0akBu3NwZuykleS3+Etmt8A9lXvAlF9I
db7ETo9ex/zZLR1QdBotoulF2+z8WE3LouCoObT76l6qvwY7AoJQGyATwoCfD5v9J3sSTSXF1XuJ
g+c72YJx9IzVMPgoNI37VsSrSgPm8fcz7vXYWVKQQEyLlE0HFii8ZA/SAq8RbcVJdDyQFJ1FGpUm
2DiSVJXLFLBIJGXjsfs7MSPQBSgjuo/bG9qJ0kWlZrguOhFuaH85grbnPrAvDOSApXJI6mhD9mTw
0wNNOXsgA7Q3LdfvaJX3AAK+uO2tW0fF2i588EKwMr0HI49c9Dr4lGiOxgFv/vvaSNg+zTI8pkPm
fcuOmvHhbQD12zofQLzTotTs88QYrWjXud+YS/r01o/Qa2iQ+Y7KAL3YUTgwyet5rw24XzuPMhW4
oGoAqQ1FjtHFYj1YQ3ei/C1FlEvsh0g1Szq5Gw7YGmsrmmOIAUU9XVSDbrbti23aBG8RS93tkOnO
bGhY9MUtJpDYoi1bU2biOiZuOyKBT5xxhf1XcI3IEzqWiZr9H2PX1Ry3zix/EaqYw+vmpNVKsiRL
LyyHc0iCYATzr7+N4Vpc69hf3ReaAGaw6xUDMDPdvegh7Ix4JQdaY5+icGWd9G24dfoQgW8FA2oJ
EQRWgL07hD1YRxVAKGuNq82EDQK7jXv0Bgiu1fbSlYbzE7ko0C6FKJbzIFK2kXkuDsgvNfexJVCG
ZQrj2++2QZ0Wky0okiG22DqLvI7Svck0+9GKeDrtpRGvuI+MtHlpA5dtPlnYZd5/HQfrXPlvQpVY
upo/bvzSA6eVU4RvQ/UO0d7hHTjUcVP3Vbarmcu+dtfuT9auPVl/6sYkEP29nbsTudyYpiHx/2rr
kx+DcZdupV41kaoDwa+6z7rCvo7STUijs/Hs22ZNvbLCvtqmZR89YY+7ioFnuVArlDzcGm2bragJ
gA0sQMnFa11ewPAebhqEF1H6CxTmROCkAqYbkH3lNxRPTT74+mamdkpNpTKgbIgA2qoeUduWQq4r
OY9GN/6oIBK8DE3NvdShFe8bX7pbaYfmoyfKYUF/cduGaN8vUxX4uuDJteUQO7hDkKZZ6E5W7Ag2
RgAyNsbBwWn8R7rKpsuIZQU4fdIQQnIEOfOVjY5tb43CGVR6/D4NOcq+upmGUXE+TZPZXrTOwBQE
/vsKau4omAVmFQBYdRYmvTyq/khV03J1mPsLWR/nLrKIlb0Be1nJg4mdqgR7dxS4/Lm14hLx3V5s
DG8I3hlHtZA3ftMridtYlDH45H32ZPvdcwOasW+eAxD40HjRfezk/MzBIrqkgSLq78Gbwp87v/w0
IY0HtXoufEyIypRnaFC94WbO903dxrjAneeiSwBsI76lwTFyuapQJkIj1MctH9g/6KmuShZ37Ckf
G5BFgTNngH66UwJ4i0BJpKMU7NAJVi57LY/WgY5wciE7s/zO8vgty4PgjXHc3Kxz2FsWD/85o9G/
2sUcBZadlGyaZVBnoer7NN9k50p/kTZVBXHLOD+ZGcuWxAaP6zVEsZkwUUwC0vi+vs+hdPt6Y6W6
a20IV1JvXqqIlSuKAVL4UNh5fKx4cqFg4NyfVNDj6Uwk82mgiO1rHLHV2lOUt9oUWvyfc5RQz13a
7B9eBHjSN1I/o0Qar1YgTt+7CgIk6ulot+ZPC6nP58pCeG02HVz1FlamWZZsGscMQIpPmzYROVhK
uQOWA0A1BOqQmx5IiDNtAssRYk66nX6nrGb8XIFdGnXxwXuDdNeO+AoSViBYKtMB8DYrqYDMSwFU
zMUjUR3UqANfaq4FcKCKg5Gx6wBSTE06KIcxz76bSeF8bbC4tQFd/deKjQviMvLNAynJMqx7djEd
wJx7JioVHqvuDO6061KM7pei6+RitLHh1xN34Zid9W/LtRt33/Cu7sNrjJ05gJq5i4qTqGy3JD/I
U5DLTUqHYAMCVZ3BWbf3hm4aJhHDiS1iBAOkpSlCQzD17aEv+tLqrI3WH03DS7qNkO6PEnVV215r
wAurYq5zs5WG+eyjTmQapfisY0IKCzcy1pYFuPPT3IZsaDLixuNqI+CpjYCrNgKfh/HeX06RCrOP
q/2kfxg3qIFURa3Td0NUh53aqlsRC2xH+F7Ul099xADLkNeZ7sw22VhAegEQokDFfcC+l4VrbVKC
HAuwiU79BEgeVLunU+pF8u8HOLytzdTXRtajSeXo3OViG1RJuWzruH6kA2gvQPGadu0eYeL6EVWw
5YOMnmaD3A2jHTnFIXLEUGSEQ95Y7Z5seP2KPxoK5y3feRlN74utbgcn1Y82QHBfE5dZKzMKcJ3k
MjjqLrLfBStdMqW3DHCGRw8ck2dpo7heVer6eRcdeVeggKv/1XRQFbBEEUy+pB/PatjXcgTPBf1s
RChMZ5kfvbUlGDIiGzsvI/5ilxA55xnS2rYSUmkMxP9wZeN0OqhhhJaM9TQCYvF2xUChcMSTMDBa
PNi+D4jMJYvsn47+Hb5P/f9jHEQid1HmcdQMgAAHtAHYLI+Vc+eA0HNJwBKsHhHXSIvowW4j5w6y
amJJCBI8DvmCQ6h+GvjkIZPyorHYX+vlip7/8+HmRWE4wC//18LOhNgyHdU5lYvK6rHqsodyBEoV
nASAOJYyuU8tka8awzO/gjDpUip2PGxLURGZNt9mJz+ur04RM5J7HxyUq9Fqx+0VsGmBUR907PJZ
0+Ma0CEn34N1SW6GdhzehPAXtBgHvSRSxSjcO+Xg5LtIbqNmRK3iI1E+g01BfknSuNjnHTIT5Bm3
3mTQYEnRt09WYulHOmSjA8JJzdzOXXQ2IpWAkhFlhyROAjoFdTr1kk9dGdsbo9k9SkMkasGCFyEM
7iP37rtp+DC1sNx3epddKMHhgIjez7rb1m+WNEYpDTUL+UUainJifJuhL7tFIZphS9j/CeI/d074
f6ICoM7UT6+W1Ed5DxrQnCTcRHqnn4mo2NcCaxsAbvmrnPFT2whTexrvNK888agFmt1FqrBpIc9S
avrw0tkXKj00qsY/MYjULKhZeuAi7bS82FLZInMa3BYBREDJqWouXAUXmhDqetKt2lVpOIiJUD4S
yKsrObMZDOkW+95/5mTlnJicEpWofP9scjMV+eVAtm2DXP9n8hg0+4J7oTkFYRreVZ7+hWh1iEeH
oSp4gYu/2RO3Dlk0+viFBkdUlC1iDyVqqAkZLr2mgUFFs51to7DYfVUOl6jwQY1vx8aVNsfY5k7b
XMiADrrwrk6epmXBorOScAcpSX1R2Fm0wcaxvh8tiFUmNu6nFGEtS8tfud07K1bw8FyHGthYWjfd
Co+1j14a+YukTqMfTlcsG1kE/1iD+2rUWf5algC1kFNm7XxzQLbRRlE5UcOmGvCBjdMyqH0q9Tiz
L4p1XgFITYF9O7P6pVkEbDOXtbqqT1d9UyogNSHPQG26khodZAdh4oNGGtBBZ937HJVPPOYotegB
uXoxwvrVbb1mmSPGu5sSbjnniMRrYPpRCw061MmD5zPjkRqzPWIU1pOh7GMdRB80Opr+kzS09M41
9fUok+CeiHzsHMUAuoiiFe3NKVpQ6lAQKNtgijAEAuVZkqdgQ6dk2B9GSzU6JbvU7BJpxAUA6yNI
/dZYU+WQJkqsc5QVij4d3OArDXvUFXVW4FE5N2mAEZGugxhFe5Mdjc7GafW1izXj6BI/FxFJELvE
rKAdR9paOkl6mLsm1gnpYdeiAZ9AfzymldnOq6OfeEmgLKDm3REFv8Fu0I6ZSvIbMTfkISnM8lRV
RySrsEIBPWO1GorKWeL2RJbCbFvQdQZpgRul/FaAbqhBEsPTTjfDAzCgJy1qii0zsm+jZQRL4FIQ
5hkQmStaPC5RubIMaQfx0YT4DYS2wqJbZ6VdHAsHBTFgJCuPmTorVJ+GjcavYglI1//bjZW2Lz0H
ygIqdUkHlB2/2FVrn6hFFi4wOgv667aIfCAtjfISvKoQhAUXoChXgKsJxHIy/66pmmBJ0ePYWYIj
WfueBGW5gkCzuMvBmLLzmf61hQjlqjGH6L0O9O20p2XlN17k1rMbCrHJHV0cfZ5k599NIZzr/rTq
/JuAMMaWxbFAlqUx2hD/1INdvze2j5U03o9eCRV73WrfMjYAsoa6zXsbNQF7I2igWKaWv04fjUsH
Eez3MWWTEweJoaucnLhhyyoEd29q2HI7sZEGwQDVM+2bFUoNsdrIHva65FvijyGeGZsWhnObzoh8
hs6wDTW32JY+zv31ACJ+xC+xlKTO0AJCPgELuWl5WKj1Cd6TXjfqR6jr8RAs45DEtUyjW98M3ZyS
KR0+dzaIbkxlen62g45GtqfXJIBvzpKa9C6cm1OVgOZcRyENgxX6R/OvvihazvaiAHtSHYhk29Wg
xbJaAY7iSBabjnYCf2xXPQjPpzct623kP0IL2rYJWNRBPQiGBmNUtzgyTmevLKxzZu7TII/PqYGE
9tQfacnV2FEWNnlkeW/c9XmxGLlT3rVgxbyfWAGRNwFRivhBrbk/BcUvJGRbkN8q3sB5AAJyK5rD
tqCDATiM1u9lnE/+ZFsNKNhmvp7KeKtb2k9wnmPjGA0m8lqG2A2GlT7aRWpiZ4Vr2OuWLfiJfxoe
kqb+OP7H1AhLc2F3yPNew8plUDuYGJcF/YHzeEAtGrWnU1OX9aoRCKHPVwGd/dEn0dw4XNFQGpag
c4SohoqAadit7GM/tBbAlaJ2oQrb5yYqvNM86muJtaBmLvgWyC9oVBePFHbTIqf/8qtR93X/JdIf
pQrIiSBqdzUgYwenGIazVSR4u0PTsDa94Vx42XCm/j7GO92vNfAReU3mrGgEXJrhsguUpKjynUZs
i+N/b2R3YwlozYLmSUedbRNpxgsyhN6Mfuq8obqbFmatdR8OkXGgVd28VrN+9U88bLR+Q/7pHiWG
OqKs6gr+oHNT/TTHzSLwwz8xq3GNoudkm2SecZFM24CqxEWJi2beMwvqS0Sf5kRGsjJM7myJOi2J
9AzcxFhSUDNqMvNS2eOmKVy4opz21tWwFr4Im2PveyhmjktjoqnkYA3lh96s9FPNwRk+jzQx4FJS
HcB2qaEO4DSVKLA6P4DQZ0fUhXPBwlSYICVIv1B9BeoJyCxMfTcVDORbBEChqGIHokQgOkoEmICP
KaGxF9XBc+OE7RGXuHwg9m9phC+jbjZHIuquFThKdZFVaHNsKctfTbInsw8nmsdN27NrWe6Xsvip
t9j68HiwsHDoqhOrHISijWgAHHkAI/utwVA1NSjbzWRPKxnPdkHO1ImzpWqNBpRHgDER8r80aNQp
dF/87pEGf7enFgfP+rpzlfxZnC7mC4MupzZTqiiDn115/mh47pwvOboC+w/rGxKxZmiuU8xz0zVo
9PmXssWKGXxb4yIudftIB0EkMrrikxnVYR6hs7mPVYjSzs40QG6zB/UB2ZxvNJ8YUnsO2SdVBzTq
zyMQgQ/UAM92v0fIpFdBKoA8lAG4ucslJEnYlpo04OR/dKriJr8IV2h3sgSBUWrnAO52kI1VrdwO
6/uPfptjBZ/6wbgiyAtq14O9ncYQM1HcuBMMJjtK0FI8Uk+tpcgMDBL1AMogBQRk74QAxU/uVlk+
GF0qB+c+0/gCAmnmE+I2W1Zb5mvdVu4hBiYFxKVo5mAhBFOkFewagI1fsz5/ClHR8GA5ufUUDGJL
3Z+cbA9Q9xA/DKqHu68l5AYpCUJZC91l7a4Mg/ZrzOubfiG7FqFH2HNE6WZ7kKK0uxbItDtpSCwa
6+Qt9p34OOevwLQ8dRkom4oUM/Ob7vfxEZhg3E4fDp+a5E/prcZLJ3/Kf1G//HMXTTsDM7ywWbo9
dOO+hyj8wF3QDi9eZIRQK/vvWQF94ZcR+f4/jpKH/jEK+lMQqhsGVA9U0jocnGXJMnGamgwiwKxD
TG1uAjosTpRwY7V5HmsU53XgNbPiJS1omGWYG2vsgPNQKxhWAmjmdgh10YIm6P3bUU81aZR8adRW
xrMvTWXzsjv0KHKpwAofR+8tYty71oR0GCt9XEhWKJbA9ntHwymtVweidALSZs88AdTH1dxvZJWW
3a3TMHqg6QYw9EijUIlZWi54RSGCNf917AYIza7u9eX8t5j7pr+zpY32xtIRVf7k10eIE899SQdx
PZQJGmBIMc60dxmonDlRhcnUpgNYKvxdChNkM8KbfhqcbV1lpmaqKLYgVVjhbybUb9j2SSBYe6Ln
halZ9iKIGdvFwQh4WOOFjxZU9tSjhQ6JZrY7cGHHy0ZDCnbZNCgnBc+oWrjjGSRsiJHAIbD4w3Rl
grcSeaJnZBjEq8dBvNHntVg6Cr6kWERWXcyHA8GRzOLlkxWBmcaCLwCYL089k+BbiyDxRaJ5UvGg
0dl8MLVY8TT599SFeqz8zie2tdmEZmF+f51lHpjno1ni0sWyUx4CvVwPQDtoCrru6/zda7vgudIg
PWwn2NI5so3PzBb1iumF8/ZhmqTpZNrl+dUURRLx2Rug+PxhyjgwFx+zfjL9fdYJnuG1O33MVqTJ
RwcS5KMzN/Gzk2cHC+oawKM1LmaTQvo/gsAJd9RlExKHTosg1dbpkPLlbDw5NwqVoyakgamP5jY7
sz86pb+KwMW7iDLRbhm2YiinhmK3H1UgZuAJKFE8+zt10WCYQxR2MdkVnbdG2RT4lKkzpmNQlOZd
DQK/mxlvPH/NeNNFp4bosLXvbHtNom+isaAwqJfD1HQsz3+0tqBtQ21f3Cr1wc9j8VBggU1+/Zhc
/YSVB/BDkva3MZKUu85JHxcqgNCneTVDROe0QxS6lXj5uX27gS5odUwqlNkEUdKsxdC6z3h//ksM
OZZ1diyp/8SvCX7rLLSfCtT2bfw6lcd2sPyTGZbNWms99xm0XpvrPoRFHfAMioe6lhei/M5wjx24
oxcLx9FHCNVDlXXZer7cNooijmz+5kGDEALXz8wxDpwyjFEFhWmpA0JZQXHLr8Id9fu80nep1VVr
anbQ+V4g22SeCyvMyQy7FgbGcbUCDBuJsHWY5Q9JaBSH0dP4pg9E9rUY7N2fLJDF4ZumtNLZInOA
3+rq4TrH7xaxdOvvTlNDwtL37enBSk9l7JbGDSKnzs3DNm1QBZEru/ntTX3IE1+KHMSDvl53bwXS
UEIRHvWgXgSoeHw3AzliP5eNF61zILjotRhALOC+t1KGjIvbvYW9fyKWpA8nQ+bjctQQjXdUiW69
uqR8cIqz5NVeQvl8T2QgTVaZ2UEWFVsLr0XknlhGaIgOE9+I2ct9nSOfMzX9CHnM1AReOMROE+kp
2d8ZCv2chcNtE3Qi16Y91saz5mq3o7MvqzjiUrjhxSKJGr4NiwHgVLu2t04Vm6/C4P8EUtb3aZZh
BZqDYc1tUReHcO6pMCNociqrvznp0Hp/cEJ732vhwzgM4X5SL4WYUn8nuoAjv4YROZThfgqs9UHR
rrNR91ccy+8txCbYBuQF5VuZNvu0SLsvYN6JAMuOlCQb+rOO4/Y2B+tU1Cij5hHfUX+IjNKf3FsZ
xZN7ENv9/vqq6kt91YJbeuEmlnypxAh5DcQ/z1nPyr1XOP2OC0cDME8HeXnIzVdoFb4NYFf8N2dr
5KzZP0mK37sth/rG20O10d758A5xOaOK/99cO3ogtIPSNhugO6xO6aAxdj2jpukaElj1GjZl0W51
ZOrwhlNNGslDty8Wn3xuppxOh0HrD6JB2Zvi72WWO4AwqYbEglQH1oDdbWSDtqa+yWgoxHhMOuzz
KapiVVq7MXlULlGN/Ct4o0IzCUcNcZyNYHYghQd1cOtSnEc8BdI+uLU1zfo6yacBkN/xRYnS6+2U
h3VdyJ9LvRTXUBXzg2J505aa85d2grwRFhjCbA8atvt7oLT6Q2En7bqPS/NbBUnBpIy/9wkQgY7b
BYcBS/vHEaoOi7Bxo+9xgj/g6PDx0bT6/oC3XzN5SjEZkCf4NLt1g2j0Oc0qCRLVPDVWYThUuAd0
4iQtP59xLale+7a3F5NdggCUKXvccBXQ1zsrdCD5QpLYqOvvFk2Zg5VJs9sTKWTPWtmFjrwk9I3V
4yPztgMq+cKv5MJQ/LduHaWTrQ9yZ4o6QTR2BIEc9L2G6sHvzWTDGiBzaNfxqY+a9OAckv5qN29R
yDdpAMKZH5wl8692Sfzj+oTrrB50KL0JvLQdNwMipyNoigrD7Y83vZ2XDMd6DH4AmYdopGqR9WRC
7SgoUF96c9pH/TtQsf1mpjvKqwafM7fpbD6UiksJJXavrtE7N26zxV9diU2JRrMB6Ai7q8UGxZdy
oRtgjTEsxPTV8y/vszXHS/7L0EJgFtXoL/RY7BD/AE2tiNfU9MahBk/6352g1xsd8lg3Ecr3IDDh
bKs4+UGxCQo+JJr019pYtMtPUTDmDdcBMh6pYGK2nuJrbhrtp4izaMdjHI7xpXPZniut8MGFVjjo
vPBX7VooQ6KFBAiKTqDBdZyaqLRaW5Cq3Uy2pggPIR43oEmAMc2GcrT9NKimVLNxvB+n2Szdus7G
xmg8WpkRATCBG6toHITWdOZ8YQ0KlUOFPW7beA19puibXuCisSILIIdE3b7KVs+lO9m6jg8chQ2S
rtTl2DVl5pEoQlHli9JQF1Wi1Oyg5HkREF6WIO+qlrOxp8hGmeXfGrNR/zcTUbzrLX0cupUB2qez
23mv00sV+9x10OjFOsXG+hKMdn8xLOOH5VdsTy2mZA+bHPxGXZU5ywh12xfqa6Gfeoca6zWZ0YHm
+N2d+lvX5xtITR0TAMwOoyLUNlgOKW7bRv2AaqK+yngEszg1GsWiDcJY1Kg7SbLrlQES0OmpyMOf
uZ3iialp3lPLRHtHtjSZ8APg6pRtEzXGI0qDaIxmpMmSGjpbWdvkkKSJvIPM+vau7FDk5wB59SLb
4JvLgPu2oTMd5bXzA/pXoIiCcsrTCATNhpyKzL06gVBsfKk995sPOoV3lAmB89HQ88cREkH3MdCo
U6Al0gdg+HHp39OALpHloopTIMJbcNWHtwNU5jp7gLTjOhXgzcM7eQg11TxAwRzyMMYCFUOICaBI
yQSniYSedaMUrrmozTsgl+8j0r/21SjKjN0dV3qros3lYrqJJPRO8NS1IdyImi7kRwZ+htYemkMd
aAe/Lx+1OrTvJ5PEQii6gi7kMo0kS9YIztSLFLxYYLBuuYsctG7dq3mEnfHz1FdpQKCoeaZm4qXd
TpjyKxha8rs0R01cgsqf9UfTckXxFesS3LeBRDittlEDP4M2TBaeghhAZ7Wmb12jW5l6gIow0UHF
o+PAMNvJS5FX6R022e5kpvV9B7xu6+3JS5mZ5WuVaPHdlDvqoC5tC34/tdS2Rbjxpxao1ZcOKLun
Su9SArLXQo0HF5x/Ze+a++Y3DfWlPSqU6I1EBxeiaFhL/OojY7KzvNFbolb8Xzuw7eOA+xIiwE6y
LvXOBiknDjTwqQkRnevoJ5Mx8XsQ24JS8tMANclN3Q6+14cHynjHJh9XUYf70xyAVae++YB3fSqq
5qabsuHgkh5AUM1B0qqy5nSgKV0ZfB2iulkOTeJDQBHLeTbmCPF50t8TS+rcpFFfjWrKWFdUR/Mo
LfZpKhr9f/imYK6+Bptbrxo3fYZfoTaYtdBUWfUkZANYcXUySCJXgN4UuvEgbaVOOgzKspFdfwDh
z5I253SAXs5wkD3fzV1zWIB2/VFRaKuGS2tZgIEfiGIVCiBrMkys5sHlPNlPsYXZmWZGIHo3d5EX
+VPfPDMNmDl++ytHAQvHagsGO+0Rv++qBXLmnloF9KX3EpEw8JtgkMtAe7QdUS9YKeID9dlxiz27
bkDFV7mrA9ST+brXOig0KwehDlntAcP8a17UF9zOO030MS+5Ii4Q7Cv3q9dn2j+gQ/0pY6N4zcxS
gOlDzy99Js0ttOOHA/i6xlMZe+nGcmP70cyFgLSEXbzLyodeSAGqxrR4o3myJvjJjPw6D1RhigsA
+8Y2AvvmwRYB+NKo1jn0bfPSgWJ5h/BmvuFKFyQS5oJ3SYGqjf/0gxWh+NqCY/aTPWgLmxcDRR5g
QXufCjv1HFwKcxNKVrfNj1E7ZPkmrLizTqUBGkSGvV/lxv0jxIq8BdS/+I/QEstYbc0zwCGLtk9f
OyNzV1rsBHc6mG4OnnJqjKZ/NPr6ximLURmUeA5CGh85mynPIke5bvqyngb+no9J7bS6saFp/MKW
a1tkNQLlSPpMSaDMd7ZFlyoNbjNbyiEb176SzcF+Mj97iQCscFQjRRchh6VUdUDTkhyGtIpXaSZX
EzN3EqbBohFRs29IigPohQMUHuUibBu/wDaMHxwJdUMaDQXikZAyBsuHWhbkuQYMU4I8tHIlLm+a
rg+sGgq9sJBqusEGSdZAiwFl10MUBeLXoLrPKqc9o1wJJbAI6R29on+vKNyruRVKUMEaPMlBktgj
t9lOKAdqlaijOkZ2804tHcwdD5pzV6tqWqUplYRWtvU6t9+ESjcqE+6bng72xfNk8JCK9pG6q5hl
297V+k3s1MnLVU4OLBSL6q5O2/6ZVE8MrO5xTtol136poF4opR26ENkC5zsR8+gu+PADLIOoFZeo
Pgl1wSC1g9jdhwXSRc0doBv6vQsdU3cIbHflF1tLtuJ8W8mAmsmVkWMndFPzQAURSb/F5k+cGxMK
TQtySfPxajzNNxVOxJPd1JV9zDe1LcfYAwxarkMfOPapVsu0jIM5VvqZCoF4zpKdZWM7QMAr6vuw
mCq/nFTsyH+q5tJK67N/hTJbkKdA5o0mMWChLszpE0rlXygLmvz3T5BFoq1HrY82ApUT0LwxFNEP
kjrUHNqm3FHaZm7Oo6hWwqiqGf2T7/j7VAUKV8xcB5sPOD5Dk3tPVMHw0aJKB9XCW9h7+miRJaGN
1BjUjrTThP0ImmIzBI231ZDlXJthNXxNTew9YvBB3jPTYY+uye+ofzbLLetq1lu5c997kFfOgmRD
/4k2sc1V3gEYNDcrLtxJG4BGi9+bNEo5L1RYXn3p5wEpJfQ5lTH9eDT6//D1UtSFILH6D9Xqd0Va
3bl5GyOWgkp+PeuqOycdUFWiqFU84VR3QYnEHmKmIEuwUIIeufFwD3TmkWoeKiUyN4z+Puh89566
JANgJoF6M5bJkKcDu73c1Z5uXYsklDuUaiZ3qqqA2PiejYN7D/imfo8K2JfEHrZ51IB7CGHkpT16
3s+A2f8YRTm+9gHkTsdMLx6wDXQ2gg3hKZY9cLQ6Q/R9zOz7BIWmq9GNneceRIHYdBTed971W/Cl
YsrGS5coo/d/Dg3emGrK0IKsZY4E0zSlUXkhUkd5tnFQEDhYjD9CIENfa3nmr6hJh9jU80VX4AUv
2ip5pD4JXSeoMTxQozXS7IiatR+zzzxPgm0KGJZ/nwMku8XBjX2UgXT5Oow6DbTaRnVxo1heUNUs
1iZ45leZV1UXGgCmyTsbQwbUP8xmW4AZ06WuqHepjxz6oQHLSVE9zbZ05sfgiEiQxZ9N+YB65yJt
zQV98uzAmmwNkR59+lrUT1/LscduNduWgenOX2vun78WfSMaSBTfkYevNfqQOxoSEIVKDxS/i1zv
rZODzQ+Rngqq4aTT3wc+8aXalQtaPHh96qcmefoj3tsIwZ5pstnsY9rp42mU7GhKH0Iinylbh9za
WXX9TiSbxMDpuo4JkGx5X6mKiMJWSpMffbPA9MTKCWnJ2bbVdfCuBsYT9omc7RiHKHaU/Dpw0coD
6FCxeGg9HenWNEUascz5ZnBMeZANXoTAv5NDXxnBr4BmA1GgrVebUE+34jNApfGZzuqgvp4V+QuX
bnT3qZtMOy18K/1w2M2DRR3zM3kD4totAQfm6z9Na+EvuonMGuVdHx9FZzRBUGXZobX16WvN/bMt
vhaARtHdp7nJG6UkKND479ea/o/G0C/MCrXPo6ZBi1KAYMRhmrWx8NNh996CLcQd2+yYmtqXqRml
qCuSqzQYrYvQY/cCKSv3Eub+cyHr+Hj1ccEeSHN2apRM6rS5zovwFT6HdX5K82pBhpRitYbitAkk
VlmeAkuzT+AZ0pZNmA/vvlZ8Y0ijPnLgCE9FmGpL0plR/UNUZjf9LigZZ3ua53d7mudTvxdn0/zz
55Jczd8+V9l/+tyP7+OIONhamV+hOhJcps0aoIZoqaOi5ifImEBCEXzHMtVYciuO7j2nF8eoGtx1
xe3q1WfxvaxY/LOSw1tdufIZ+qUQr3AGd987nX7JeidaksWvuSCcezsXVGLcddem8lWAnKXDy5SL
BBrcsRdtvCFOd+CeK96wSF0KW+ovve83R7Ny3KVQZiqEuCgi3pwjkTmPDucP1I/avKs7zabcg5Fp
kztK7UDWWjFQXcsLsQy2Aqx4pV4Bh8s7vkeRZYy9UAfuFgGYTVdCTj3Lrha+VhtLw2bZArm5O7Av
ArEHEiZ3tMsfTRUBRVrE2RdQM9pr2bTuqYYC7KHLzXwbR33/UFs9ik5yI35X7mkGyk0o4t64g20k
vXEvAHnobFB4passxX6ldXrzVFsyWSV8tI8Mi74n4ISf8gY68tRv2oV9rJK4+1P/hz2JSuLPtGKt
F+PnBLa9fYuSrgPACnCGcFciWHmkAyIa485JnY3JIjF1UT8L2uT4qe9Tc/Jn2QhOpHm+P0wDtZ9x
BwGYzf82m6fP7Bak7UDpL6VdBg9J3H43oyw98saAijUd9GPnmByiijF7SGzA9h2mPyBG5kBdl9mQ
KefgOJvtLTOIVondjhuTbIpGfnfCQBwhK+PyZVAhX9EkD9PHhRpYAIJx+qTOAQMCGB9YYAAZI4dg
w4U8FKOfvuvZaCIZLAqwF3kafkVwvoXVGF1CQP6WZar5b4aoj2ECnEsCVngPNYPvo3IqNCe/6AHX
d2YBhq2sDK5OuXKqbdARKpzLHz7JLzQNL5j+75/04aQxdwmdvQci4CIerYmFi9pg0wHjFhB8DajY
1SkZuB7YoP2xTVdR7IOQi1i7aJjaK6kFDkgWUwOvLoCADVrad3KZ10n59NFihVU8Eb9UB/A3SEGL
J512DLCkMWKmUmPkR2MNWv/LD0IUwX2YseWEgyV0LEQv5InO3Nxeeo7WHKhFsFg6o4MfAIK8mNsa
B/dtIpvDNBVJsc8uwgGR/ILaQPIi+ApDMrn54GmuPNiJvsE27gtCS9lOd4v3RjPir17qNltbYcNA
Ghd/RRU31SOm51GMQj11FmQGUrb6mDSQoKUmokXNqstSY19lCYe2FuQ/S6E/5awrL7/PPRQB34x4
FH2NgSVZVI2dnhPQF7xEgCmQt9OV9dELQVQOXBiygiA3EEslGEp4WQLF3oBk6fQGP9tLgBX8BJFM
wtrOmFryRmUDYLjkQ+0yFPnObkuQ3v6C4VK/yMJRIipVXbG5N5+q5lceU1c4JvvGK3eaq3cVVlzZ
pW46GyDAMQxjLAd4CwZQ+bPCazop5nGIbnnA2jAXFCRmZr0MrGg3KEr/ZSidAuGtwt42CaidVmTO
y0TP7j5PqSzpI8eU4xsEbTWuLOEiYpBnEv/V2oxPWN0BuO6ZXr8TKSIeNBK5Ib+OkNF0yEuO1QJ8
+j5EuD1tDzzDQ2Z1M89s6PkDhECxldpQ3+cZrx+Lrcb0jaY2c/C5qPizMenHp83fTX2r/6Psyrbb
xpXtF3EtEgQHvGqWNVgeYsd54UrSaU7gPPPr70ZRMW11+pxzX7gEVBVEyxqAql17kwutBjrfUlUz
cFcfHr7foOY27R2N/rhqEotDguTwgXoyCAwQg1GKjRISZe/QgMKI5H7UGvDNKkDA7GsCR7c07Sbb
3BhG3kHIp0UT8HvAvEjLf+LDAVwG0mroeB3QpaEuoEoAsXoCmcIZqj4yRS2n/Ai5Tgaay9o+WAur
e0EdN72QxCWQnfjuhMbOgoYeQGKTwZTVS6bn3V1D3C/kh+b1q19ZgNZU7/BzqPoRWBHoq7JIoHum
hj6D1HeoLqjrj5NhanafvSvNH6Yed/K+Mdx609qVauMZNNEucwNdGTrvihNJf9GwB8L1ROqV85Cs
dh5AoMFacSFWBc6yL+Vg2vdjDLE3u6teeAfEzGD2NbIBMLIyCO/0GKglsrLEYlu9T5HoV1Y0lbC1
6YIGh4auZgUrD7KfaBuF1U5ajvpT4xxoCL3t7xZYuM80isC352th9Egj7gCbZ5tfQh+qEerO6Nne
74x88tTlRwMdA4vpVt7vjKx0Z0ZeX+8sBR/0hzuTHn7bzTbP9kjM8meJ0x7wBWUGaQeVP4WiVHqE
ljaOlaZp13dW1C/JTIYE4iHQSR2D3+6xekjjDnoAC32E5tMHp+khhZITufNgqO8q0UN0CcFkpPk4
quO7EgpX1KcxtWyEObgTIatorl0ntkFUoro5qB2ELNjc/OAF1KfoLUrvXZC5Bhf+SBNCiZLTbBFy
toIghQvZ2N/v42zog4sxvaf1ZpOGfn0gbVvSsqVHfxoy4O2XHmoQy7Lyfkvl/snxZs7FXn3pFZqi
gm07cFfn4h797Mhbpw7OzqBhhjjGYPQnDq0x4BjbZF3moA2nPgMzYNW9pS5kaMoM/0Q7sg9DAaa4
KoUWU1NU7OzLMNvbQKXvUELr71Ps2MGtkA2vAzSZbUXJIfMV+kfiv3mv/y2rtn+h4NZi/wwOk2LV
5gxHl27Y56PebUHkGQDcBVJaC2zxT/ztA2dtYjpLy8EvCNHO5q2uH600hHi6jYR8lmeveYjuagqg
tSwQTa5oeF2L4mjx7n0tslejDZL0XBY2ul814RxbkKOvbeQkwGgYjSepGCQYNAjfYmtE3h8MEnhX
v7iA3L2Qq+n0/BC71nCqLajjtKYEXTuz/XWZ8HTjSkjGeAqjIBR2IS5q7eRCKoNGUmEa6FEZ17+C
JLL3NCJ/Cg+6wQRdFjRfF59DDRnX+ysDmZFOvCS0F5r2RrlRLEQVBweaqwLQwkw+0w7MxlvLaAf/
4DtpuDY7AV4e9MvX+hKkTt2ptmt0Sel/lUMNYj0amdEvMnWVRFYNtLS7EAWyYwrI3kTq0ytIYUDN
uei/zo+OAdUJNYeXDNhA/WDlwjvUpAA0GKW3hhinhHgVqJlWQLx7h/jz5WYur6S3DkOwDM8GzeqN
Xe+O3gCkS6p54JNny5niu81asctDgOGIFJwM2VBJcPnb/Waei3LrUfpxdyQPtwzs+//PQh43vpb4
S9F1EUEu5gR0tnMEbuOvXuF02hIEn227owFdIBzwBS2w4blVdnC84HwC4tzJIy3SYQsJI5BwVT6s
/1yrMCdPsrd59aUfc2Db+3h13WDioNmtINTq46sAIOgwBS5P8y3riebSzv/HI7L6ym9QEemg5wsm
9DNuTdyDecLd9WAg2Aknqy5jDZZFR5blN3ww9r2SGbVN/2g2nL+FGtAWYSHRGa+CKrMedh6aGS6J
BT7H0Uirb0b2/UrFkfbN10z14RPDT4RfSi+rBJg9MGVqOPZ0JUCXNORB0B6C1EgW5tgBUOSBtyUa
THEh/qAM7IIQTN97bfilCB35lDPknTuzAxxRHdbLzP8wP7rDoQJNvosW4x126iDGVJ/L+WMn233I
K+d+no7AprwIy6rZ0pyvEEagsKrAvue2i/mzTdboGk5eYI07J1bt7CMGbkLFQBEy3diazORrGja5
KxZMOtWRhja4JU3U2r5wtPHffw4KISu7tkKot1EQKBQAp6l5ilciB0ke2mq7dVLyeFXZir7MEn8n
iXDO8y8S0hrdWpQon+F/NZw6Ge9Ht0PXQJVpqzGpxUsNLTWq8A4NWwydU//kGppSqhykeI2UwdZp
Nf3OUEHOpyB6G7SRiW6RzDgWPcjui42HI/5DbsjpTwOSSuzx9SoBgQKvp8yhN08vTahelp63R+w+
q8cUNKmP/zFocDci8lvtCX+mdxS8s9Ya2i9OXQkGV5nE6a7txv4e+hr4FLi8xl+lAeFqeONfjoNO
eWLnTFhyAH1f9r0pQRltGu7wRCtx9CqcTKfx77wBPH5plA/3Mkk/roTao7OOwwoATHCkHyrsYaCH
gdqnX+fXIZVIw8/DNPB/O3ut+cH5JpZKqihTRBs/DaBBjE+DEUD6dhD6A42cqnCXUEPwtvTuD1Fq
v8ty7NbISnMcvV83AVEvIXXjpSmoF6JyQRgWlN7w/v9CAJbrY5p3gBivuy+EZHEeyIfmrYdyLNz1
FayexRKphLF91oYIfciqRyd0EtDmGM13V2vsJTb9+X2Ls94dkygwJU166xugV/qbboMYMxffkDCC
tpBSvyq51gEMLtINzdGlHo2dVfjDeZoC0+/hcxDAteCyeg8ym66+K3wUYxRxhmv8SoGdOQGMxScq
DYL+9Lj1NZjq7SVYmNBcT5Pkkye/IhBbnOxUR0GZpvChjfDLATJ9Cd3Qqmme0XH7LfIjJC1d+abz
wHyODI4Ur3IA2VPzXAn3WyaBfda049CmgOcmibsNQz16pEvCyp0TRtWZRoXf2afMsO9o1KtyWRno
7RbVsm45B3VqoUCvPy5kQfVPqIUoSqLceOpT9w5fzPEJ3JpHGVfeGXKfuLiBsYkiKH6VWW6ZSgTS
O3McsM5NfqIB+VaxDtoTe5CAx2s+336YpBXQLWwvxgobh5XZlRRclY518kNLpAuniYxnic8X+yYs
na98B0JmKrtbBbGx0IZePsSyKe8ywws2AG8UX+u2mjwilhoLP03kQ2SzP3rMa/zBwza53JcGmh1D
qTkbW4vB6Noa1gvSsOEqBWhhn+eZ9aJbEky5bmidyMo0c4Oucf9JoAniGdmNBXkZTRLfVzhO0Sgc
vR77PySJpqFbudMT0HB+AlrRYeiNFlplncgaJdZGRpr2mMUa/iqteE3sbABQi4G7Jcwr8IyA5zjO
/Oa7Ff4FZd3kp8zjAdzWPv/gUI1ZtiqRMV9x1ZZueU62Cg0dPB3q5DIASj8sbOpGRw0hV8xXMAH4
dyL7B6ebSFqNzLZaV5gjKvfuvRFlRQLuFgU9iyqw3wEcsbMGVu4/gNJqaTsrBjHAJep90cpLm2Tj
FBzduBJ5t9WIBvqNRePm3V6kHL3v6oLeL75ocnyZlYa5hoIxSIoiyO/e6bbzFVCqoFr7Rb9tTEee
BFkb241W5O0WHnA6+KJuIX9ifZ3M0DyPNhpTX5kKE8eT+1aHPi/9ETgs44+gh4Cv4Svzt5VcCW1H
Rrw5QZ6RF05zSPsu2kwIeYWV/4Ckdwww0/R8eCSk/ISkJ8j9LZ4esoLAys9ePg7nN4Ehe9XRG3Fq
JCvMVRpDFazgfEd10mkuMeOvbZRZO6qkfqisxjB4CZREJj+qtr4vkNVDAuEeuFh5fR4GD3Q9JgQo
Q19rt6GvQ+NJKVCWSZCfDbt5JGOsplwRrRMjTR5oJFIjWo5jP+zncLylwWatVnsPp8Xq6DnqC3dT
KOAD7/oKgkhOsSNFud5k1yFZZVF9HJIVykfFjqxIifxKALtG6k9GOFa9a7wLcHtZrOdnpqTgeyX7
bsQVaFLTAjzSajiqCz3yfci/4Q28NmzVNJ0l/Vo4wH/6Gupji6ponOMQaLsm0PtLrXi16FFqZi9g
ZAYWgt5ykKHp176f5yuy0gVNI+4calSAg15PIm3yU0Pnub4dscFfhuCSW6MVuDRXtQ0Bd9KJSyrN
OKRCZb9Uo30wWt7Gxb9oU6tGew5ZA+hmDtWJhlW+CtiQvDZ9l5znoJCh/jFW3ccgsGKh/x0paN2P
tYVf+vy7bN2tTNTRHHTRYVPq31uBHgKoBNmP0B/oNwV6kZV2k3MQql1ydDX3scdmZaGx3vwOTMkc
rtkgm+1VuK3zcdGDnWvJqsQpF/1QXA9wdMoDGxXwItOBT+H+Gp7razrfkSMZ5uPezZypGH7aFAID
ckjiozMG4PrwIerqRkh2Y8cCDRd1uR3TJPqjDzglQn6xsX67OGnloIjiF4W/HhI0RQ5mmaDHAt2a
viesp14RJfiutwRGMX2gkciDcGWaCdsSbYLJ9WsAWdvfAQFaVB8Cr12NHpRBYysGp7h2JGq2mYMt
gYwSyNCLDjyA6uutNstyCxiovyTHETnNy+9QzVNvS4qlMF44LUgQfdBdTMysE56qKoIlCkLpo+Xg
9y1OonsaVTW0NqGi/DwiM/sIAsP0sRi4uR5zpKbavNGgpQXCK7/mUNZQ4QxQ2UsHrvbJmPeDsdOH
WKALD7G0ih/k3ZIJF6dSi3nxEnSYf3rGaQE0x5nrxgWl7bzA52eULIiOnuhMn+2cIUsWRWuipnBT
4cJmMrkDNdzdh3LYXB6LRd5DzcxDiUHp2VC1bHb03T65yxErgZ86jImDDzxEkqIQHwvXiO4jShkx
s8OhwOfdQSrFo0QWbGebqKP5SiKJIuoCm2UcKB+mUYXcDojK2WZeLhjkPY0oSJrjdUlP5bBoSSuo
imUDUNCygrjgylbw9zpDZo0eCSRaUZhIdslQXado/sbtT3OtWsRPzGMRZ8luXtIBHGOPXo9jie5l
JEWY88TToV6zMZFnSK56u0hgE1QgnX/ScU9IeZXRU4od7LJJB/bme92TwfDNgc3LoiHZujyv74sR
nbhM169LouxSr9HtGZ+5AGswM7xmbzuiOwWJQDleLQliEbnUNcOAUnTsr50q0sGFxtLtVPStzfSL
B/7wI1WN66wxH4w3qhFT3dc3hHFw7BhEBRJl5ABItE3Q6hbQZapGPKY2VArUahRCa3RaPq1IC6Ag
874i+XDwzi+UljGagSMXhQrkp3ZeX9rIHYj4GW22KytwtZcgcMSJq+1hgS62VxsKcTuzRU8GWUFW
Fq/zVgQ7GgoBmuI4juwjDdWSzqhZj5GTS1qysJrrkqaLN7upnqEfkZaiJQvfKfYG2hM3haJ/6sbA
W/addFeiEf2Z5kYJhqOFG/a7JgcKjubIaikeKHwB63vD7h9pnqboEV1oOZy8nNW0yGwBBGdajlbK
dGc7mM6R12PygNr6C3Fejw22rDjqapuJ89pFaRX1zwdpe1cv1dRShlCmkqV+9Qrj4At5zWu9e81r
hYY7rZX+XgulvIPU9PgiAdp6BKxoGVkGVAxAa3NkxdDdU+KshLLSUpY5OrFV5szR0VE+DoZc09BL
2uGQRBKgVNUM54VmSCuRkS5qNSMS3T2lztB9DGgfBw1cBCSTIpjTFbMYPZovN3M0RB5rJ8OOo88Z
Uf9rKO9jMNn5IML0HMNaZ1n85tZyhJRrUIH90GwH9AdzI0OjsRW8TZPegI24QPfCUY9BAAR29/PY
ofE6aQVQwsKKHukCIfONjePcJH5oC16fgH2b0pmTHiLK81td9Gw5KSj+j4soUUX0tPbMQl4qQmPa
Ianl9VLYZZADtP57nGCXe5g8aXJ2v4br46UtrWw7h3xYAl/u2YFCbpcwIvts+ZmxwqsA6sGyK7fQ
N60v5Vhnq6xAicHQcNSKSof9VPwzjlDynV1kYW+aB381gYggnd6D/xlCnqvU0PVL34bQPczK9mBr
Ij+4rVlus0qvLh4bMggdYE1faHJek8UMa9Y4oXEb9FZxgoYa2l/QloMutFWZ58DVUiziMuZrss6G
G7851vKrZAkwUbMQ+vArFFl9iV3XACF9CmoRrtjE1VwPQtZLETjGOi1BChiSC0qB3jlBNr1VVvKj
S2pxFztlr4UA228D1NWBcsdTxMKxijUY/Y+VQD2aFia3Hlrsa150WF09Yxhr9cUDl8V5TJIFukMW
GuSx7tB9ghZfdWnpfENjrhqP6dF8uZnTktxfg2cK7WKfnW+G8/rDUPItTocXD5xsJ7qAhKoL7eo4
z9AjBw0dkwM+5aAydzt9Oc/NzvOc5MAlYCGRgox7RR5Z4qIPtB+XdQme7hAf74XJSvAQ+XhnXB9O
PBFBs00NLva3Zg1Eju3iJvzWaVqOYw07giKkbEHibZjR1ogT9yh0yz1yt3WPNKRHIqlB/QR6hVVj
tdBd/pOjHL1gb6biNpbRUnmEVs9pwby461LR7G+eg/xoji5enV2fcp6bn3a+NXpa5IuPbvZfdHod
57PAqYktBbdskK8K6PQK21Uyvh9U6mVs1gUkDYM7Vmf5Afh6AyCmXLWEq1OfOv/JcbBPxlisaDTP
66w0loUbyg0ZZt+B5ZPvPG/oCSroaFhADSdHXues1cCLBDo4CLuhRcfnPCZ4MuGOCZpMBlZAmozm
XKq2NnXtL2lyis4t4HeLYistE6Qxar9Ju8Y8TVfNmDkXGmm1F68l3gLTBjPsneheeCVICLF7pSAU
Z6oFeofNO9pvpoFe7eclpzksKUthX2hESzZZj1yy2tX6akm/KZAl/30LtKRwoHlLT0NLCqZ5Cxoy
Bwep/yy8bOpKWPmDZK3JdBdCtdy01AX/V/Pzf3RAnsLBB9DcXouX0jbkpq94k3/19sgcdHcG9hgX
ruWmAuMkP7muowyEltmSV966yMaPHkNo9F9zdPgu0tJAM6bq3MQXeLNEVxM6N1Vv5qj6OslKuAyy
jg06Ny0Utj84C6cs77s0uLhQ/t5UYReiac1lDxmX7AFsRO0q7lyxlkXPHiJ16dHNu4hGTf1IulaI
87/9Iwapyp2fN8jAZ7q2rSozOtMCFDZW2OAsjbjGJKxFVtmXogvYgUHN62gXKJt6bVKusmgoANUJ
c+x+YDDUIxpWUNmq0eAER7JUlWPuozHekAtN1aoyvJhDaJIuFIZu/4cQp88trQetKTjPzzT70aM8
BKCgR3l9OT/l7Pyn5zDjwgX8Z1hT/J98m1p3t9caAkt84y4SaCBEgdEEpaGTvLlQHwNZcdodTECW
XwaBMwevk7exxK4V3NFsPSq3egxe3bwzHxpe6PfoOUmm8ALdkisnKb83BvLROk79R5TQoc0clA+5
MIqHNG4VQjU5A+d8nfJG3zqO3MaOCQ40b4EW59RpHTAA71O2np14BFpQIVAs7/tvvdcEB7vnOcCb
RbruM1G8hGb/k6ilzOFnWxvRX3XeQDWtFMVTUXcmGJgQAw6za0yXdB9ibG1nt/s2q92vZZflOzQI
gnVD6T9Z7a+40Zxp2oXo3MqGVuc26DVxTIzObMH3mntHGkOQN9u0Bkr8GVlosmOQ2gRteIkWYWiX
0VwP8U8PjLIIZAzk1UZvLzrIWt2FvNa/AOK/J/A6SCCCdZSE1/kG8wSCVwRc69k/CKrJX4/98Maf
1qF5d7BSQHZtHQLCH/2RCP7h2U2OHqT0u48c6dcmZelGJEhgjvj0fnXa6oQvFO2Rx/Zw36IpeUHz
ddCN0BHMqx0N0eEO9EWbPje87M51jbbKJrL71RDg8IpuaDTEMBuALmQu0dGk2ldyyTKAMRUvPYq6
8VboHepj/t9T/yyOXu6WhQNezDoOs+UVK8EnyETTjnzZk4YxeA/XYQ8tcCLvx14bmvA1FIH0QQkg
g1pszYCD3wFX0y0IZtuF5t+g69VP76NMjQiQC2XdGxsExPQTAXnbTL+x/ae4nFf2MQIK0kA7lR8E
W92zgqu8rmlpGxqmKX7kUCkIt9AFCyatBvSndftJ6JeZlRXjNnm9KPMKUgpoT+5RyAA0PkUDGkKe
1XyTh9f5qMou/+V3w+C3vxsGUlKC2cxlgAvhh+Pz70YVeZpK2mvbvNIqaLfgvxW35huroOCq6W65
B8tk9ozC6YtuDuEPx+jHBbgkmgtYlNNj3/J65Sq5ZRXpp8J8s8CVNEVGrj1FMuTzUOQI4jUVQ6gs
4vRAKnZR/EylkXmeHtHFSQpjN4rgeS6jzEYqv7yvcRPe4FaR3AzXDYTVdrGBGlWkDq8JNiInQPDe
iNyFLtrS9cP6OVKoEKiofKsypzqRBTx18UpXiVoydmopMNqEK7L2IdIytt29kZGmcOxtGywVgIiL
6+kXMLWEG2mANy5xEpQIa3WaUI+we8lODIXRm3ka5h7HOSss6t0cQIYCqpcflqM5uvSG2r8X4KZS
i9PFKbD5xhtrVapMXizAuwt0hbGQOmuDA76YdlC76+8gPlaD8ENh40OVKqw8M914lmEsahXHSmaO
qzTDvwEUfN+scweV9QsJv5EEnDWMLiTMBVvRXKBAenSxzrmC6c2zid+4K/TZmCsKbCcM6oW8KAKN
MOkFZTp3hd2iuZocPq5VF1CSTJjnLbGVAMdaaiLRViL/rHF5oFGQldf5iYtNWaGqgwTzewD5fY73
lMc8RR4UYJ04iBKQCkFZqV06bY4Us26Zw9kS8ZJQKIRLIZhKpCNFaUExYYKZkaG0In2KpSFdKL5K
4gm4Rosgi/fTGjV3F1T2mdoL4pjJixrR99cYlfKCOto0Itv7iGzKk77b3kef4+i77fMq756f4zwx
BEeUaJBsisGW9MTNfYNdLUsS/0K5H8lMfxl7OFZR3gdl3GJT6lGzJquQkTzoqLYvyFp71fAQBXxF
RkoN1ajRRkh9TWknD4d/yEwW3p6Mf1qtskCpbrH9lMShhM2cuvHcxDiWPXirQ0BfwExZtPbGMjlS
P+RJJiDm8vUUfhNJw9mHQkTZyj1vq32UGe6dF3vunasu85Ae0RxZZ8P/6pfnbr2yRW8sbmLn9cjg
BKmYnvdf/TRUdNJpmZuQea2bW02b1vovR0nD4cbtT4gwLEe4NodMlOuY5s3Rw8tYkHUaFJBzFiws
Mx72BH8l5Cs9ikb55kIpej9Pvc/P/jRFLN2a4b/RfFEn947alaGDWd+gYWT4Vog31AeQyYvrZDdP
9yX2cvu2QZYvlD9wzo+XQdha6Jh29G1W12JftWI8e8DRr3jdoa/EwXExA+9T3morCnJ0Hi8jFTRI
nI1GBwefRgVhw/QI8gPU24UXLHOFpaELmhDsRSRcbUfDxIvBu5cso7owJMR+RbujgGnsJZr1wVn4
ciujEGiniLnbUpTGY44PILhnQBvmN8fYjtnPQQexsFGO4mIUbrAnV8/3P7oaJnbYGlRBcZPHrvLt
JysOntjYOSfdSa2nrq7tten1EJ9VxlRq6dkq2osW6TD+iz+r/U3Va4BzVMe2bSFIa9kjvly9xNir
uXRsAetmEdIxVpxB47DZarnh/XQ9L1xackQXYxCLXTRAakx3jeYRXKr6hGUyjC2gPf9wRXEpQmMF
tInIHxIbN/5OEEXT0gzJuR0LIEj2T1dgTaxnM2m8dVAF2gYCMr9CpIaPEm044IQuIGLgDo29+Ter
2fjVgvEi2VZ9U93joHLMIIF3oBHKEIMFBAsgdUltbh3Lg7QZmjKNvv+Okov2C5hpcI0E/GdaZuai
KpvwiUco2Td64twFyJaeLDuM1vgf6C8jgoh2rC/zRd5316DOb22QvbU9iqlZ8ARar0cvN9OJ5yMO
RQrCoNGdjJ89kEytTqFWXAYAgI+StWjOVLvP9+EEHgkgaXFU8ts6C4Ah0HOmtWcw9eUPPKpbY5vW
RnuHpiRwnzSQlOy8OvjRGDpuf9BfvFCKbdmZ49b1e/kKJMIuNdzgB8qdgFK5lToE/EuUKQt/6fdu
/polP/xcc0DGHv9Ezz8eRMZ15t30/gA+Gbf0x97oaiSOQVwGJTpjVfVOs8G+NXhyWVA8mCHIPxXn
GV2kLY2VgPTRhgJ8yLo8eKgVzx60RiDDdkNzeEnyhwENdDQCRyx/iHgj6u+th4I36LIvDdQ917oP
MtW0qzswtMoce3YtZ/tpXKdQ5Yzdy6DQZVHDRyTdLVC4Kt85lqxExjDH0xyw2sM9AHXgq9KBMES+
o8ts5EA6v3zE6ajY1lDvvBtHM8YuMuWr1GTN61hYL/QOAoRxqb8HoVBZPHppfg3qVZCbQK3Zwlbl
NNHCNgpdDrIDc+UoCWluOxZgK6B1KGo3PfMBzExgeIC0TgtJp9qNvF1vyfAhasdoqTuF89OK9oRM
7FOpo33Nah/TkWlbcrVxrJ1cMxBb/FQkS3UMmnPPmdhO0jyFpm/uNluiNEmNIVgnkdFsie+ErPMw
0apPzirWdPOTm4/xUgDGddJGq/G3bgGBTgjBrUVRQ7qPDOpCj8oitEETKcEAb0lQzSI9xV2gC4wu
SHaUvNJb/Cz05XC1Au4KFgs7SFdoRotXQ1r0K+If6dMk3ml9+3Eo1JDoSDKrvlrnIcXmXDZPNTO+
AlgvlhFDKxUxWRIXZom6yxqnSQEVA3RbTRSXyiVXBkdFkGFmypwN+HsafCwsZHvaOENCBHo/yzYp
0OOh2rzTLG3OHvf0Yww+21WeGc53vXug9N/sAEils5dcJsswz4Hewv6yPOrq8gHSRQ+9XeC66TTN
APys8XMFEBtdOoG+K0LhdEVubKwGZKfEDVCHjrvQ0F12ZrmeXcgw5S2k6S7cSrsa7CQpFpQA0ZVh
jiCDsAAeRCFq1aDetCHBFAsf/VPkmi804kpzpbLTkw7qyTNNFdCvXwcmOGJB/IRfO7384G+bZb5C
mQe/jnX6DU3ugFEK+w1Yk/G5AcPgTstkiEo2759jL/9Gr5lyMF2IYk9/aCCs4UiH0yoEagJoFnwp
zIjB+bBKZjfGOd/MkPptA/0VPe9AlxtlHGzDClnNaUwnHqTh9kLJtNNZiabiogy2da7DT7X6afg1
c4v4RUe25OAOurfieZX+CJ4DK21/BAEOfl2YuIegL/JL1LvQKlQGHUBYKZ0UnK4B3zYdPrH4Ira/
YEt3Tw65I/HBzyMI+KqVhdeA+TR03lcO+xDKJdgDTit3HCDDbmTTyr1n63fT90vQSf0Ahp3ySJfW
Vbq+nWntAzOJ9h41K5NFZGPi7oPU2TNUvJdA9zonLSic5SCtej3GihVyHkMfC9RkIOg5Fo5U6i1a
dWwyO3qVZQi5ISkeUzHoT1XB1vj+jF61JoB0bxv0CxoCQm1t0WdTrVPADV7NKkEmuizYnqzMNL9B
46O9J6NjLfgwsJcBLDgXNN+9OF4VvRpISqORVONLGvZhyNdODs49GuZjfr0pGn6+qag2p5vqIDpx
vLkp/JJVk/UPN4VPbbYrBT4clWgBd+MB1LgAb8amuC+RxWuxG5nGyIhm54acaLKQWboq1SR2Z/Wx
9tGnkKYNmkq8fBVVZfgjFgm6L2X9hvorOJVrIfehpfXPSds84wgU/PBatCwkkZdc0MiHXSmE/v41
smNQQ2JmDrwp592WmYm1bwaA1SHaiRYYCc4IbSz2GdKRv3K/fOAVtuFaBKGlvMmsE9JdAdgZ3G6T
9LJ4HvQ2W1hF2fzS7QPHPuqvKu/5QoKn6zH0/X5aH/yr1/VzPwu/ZWG1N1XM+/p8NK/rMztwtnZp
bIfAKoCDrfJtAxDhY9YU3sLNuftDa4dlkvXer5KFr20c1K+xi+jB4dEZAKvyjv0hqGBQgTZcA99u
eYDshQCrYuoED2nhmCjkdmx6vUz5jeWyBWtG6ENZi1t7FzQHT1UZfKP/BAXiH3wN1AvGVvQfQKCu
Akc7XNQQgTsQuRZ3+7+0KHNPNIIi+IeRsnnZ4J6Ilet99DmOOLk+r/Lu+R5nIS2zrDmXUMW1wdHt
+Vl3BO+730CjWhhQEZHdAvRuPRgVaq89GqkZcLTmhTvDGvs9zY2QdtWmhxTjRRV6g5Q3rUaPQMW4
1MOErQ2/x6aEY0+MThjg/NX73Y8rtroWNkDyIhZElmqg18iokuCe6FTfp3TL8e9nCRvdv3rR1AgG
FtQPnXYLvFj2lIkK+9VqdPfClflTCfD6wWS9XJCVLgBWAAdhQeOCAoB43LEG3Nc0pKh6YCvcR3uh
qSR3/A1gyaDFNevsKQki+cj54+yeaUBZMzRvTLeQmCBT5aF1dAI0/iNTnF/vaFrNCJPbO8qi8sMd
ldJH6tth9dKGPj0oFD/dTeM06I9AgS8bo2++1myjvkWXZW59Z01mfOnSNkHzohMd8kLgO8JrwN/6
ydUGzTG5RlZ2dU30ND8z1DZm104dWT+vGvEhOpArfkOACm6C+FvN6q0Vy10CpaOvXLeRRg6wMzcF
CiBpZcQbOzHir5ErdnUYq/Lkv3jgTHTrEfYlNOe0Bj/0aCj9+gePWHl43p89ihbHH7oP8gidvLkz
gZRbpqF1YV2ALwSz3ADx1X/vbOgFoO+meEhM0A51Mhn2yAeAWMjCS4K/U//6KUhDEvdDkCELbzu8
B0XqxZFsHL9KPBMUJb1fbZ1vkBQbPgTNz5RCQOkearP4DlZB78/kDOGmW9UDl29AbRqoiMTiDhzx
Daqg2ErR69n5Yv2fPQZ4AN745zW8wJA/g9ib1oh7tLbZvkTa+Y3w4HQh3Hjhhekqi1kNnDvqvAve
NsE93KKxwT6Q/BLAGZdAN7toHj9bIEJdcQgcvGgyCRcpoI0ghbkjZiHLcF9rK/Ne8QWHBjcOdTVj
0KqdoRXtnqKd92ihohUK5z1auOarNeDgh6+XEcAi21l4rjd8S/MQtKCjKS+Gb41nMlDtJe/1JWsN
vBGVAK/WACodOF20rKl9gEFuElwfMdsEVhVDPQmyaa77hbayZS+MDTCV8a4enPjN/jj9yZv2t+Qd
dWgWAhrou5vxeFHElXspbaJ89aJlrEpBZMiUQQvM4gQ1lV5r5aOWlGylM0c+BiketWoORLJs1aF1
bHr0v/rlbXFv9am1pcaA0ch+OnoanKmngBflhxHDKG6Efy4VDaPypFFQNv1PVxND8aN2OpwvG6Rx
g9UY2M2m4ehE1JmOv6aVyR3/P8quq0lSnVn+IiLw5hXad0+b8bMvxJpzEB6BsL/+porZYXbu+dwL
gUol0TuLkaqyMrsy8+d21wCaaWlas3KBUL6Bhc299Y1eIvgGnfLFVhbmfa1DsJxMGaowb/F+ngKc
L8nJSdrHxTuPoUePm6AJyFYjTLTSEicLqswDv4082C34c6hJZza4gWbb0vHF70uT/MhGsySt1mEL
VACVpBkp9BOxf+uE01zorDJQy0odRJ6xEGNQR4+vAPTosM8jZzqoIJWdRywdNHaZijrIpldFA8lN
LGetqE1mhQBX95KbCrQdKQKQaIA9QkevLvPqmIBK4UHN8Vf6MiCyUBVM2HuLQQJJBzkXByAYK011
OkWQVz1r+NoH9AoQ+UNvZNb3QVWmlRB8OhW86c54VvBpZflbb439jmhoc9QVrBrDGzYUqNK9PLk1
zPRRV4vE7dLrgkFobcdGs9XAxbNxwIy8bQEyfOVt/wgYU30bclW5uU54BSSgepVA822nKBa0XeCl
awrKGrpwOINOOnkCKGFFdruwlL3quHzVSLc0U4C2aBXlSL3OzXC6+BW7PSBAuIoojXQqcrVfYT+u
70Wc8deyN9cV4LCPIzfds2tOuU9uVnlloFNLmFP6GXej75oFhm+DM+NiTEp9zpQeVPuyIw2tnw3P
JOaf5SdLtPGqdUX03QbRIYBsLqhJ4/wQFlYJeD/sIQrUx3QyX8owEbvOhc4r2SsAsjvnW20DFoxy
mGKngyrxlXMbdSIiWwEN1OzzGP8M0Nt1W0h0sxs0IeNbpjqoexrHat3nvIxAsRxbm9wFVeDcnrCd
3wPtiYoNLY1vdOhdVPT0Bb/QDGTiY9NfoEUxey320qoClD8qZ/Iie2yI+1DU+nExoQ689S2k43Zt
H6OmrGhi1wlaSTFdkNTwFzBwoeZImMfaE9lnly9oYJNAvwkpDZMX1xS2xQruiRxtY2C/cVBsu7CK
KNWgnHvtO7GLLBXchpblqzBnEMj+4Bn5w7U3sQ5+5yIAtMZYD6SHK0z1FBlTuAJvHgtID9cmFXgH
r6IWhT4aAMjkIDjKUsjB5MCUNG4a7frSDW91mrprZlng2/EK5YY6/PAm6tbDHiLtZpdW+qkQ38SO
X7ujUXkFMlsOnDX1kQmIR7xjIdGCvS78qWOZfL6WvILV5yjWVur3yamjS9N58iEpNzFjCSAA7SbU
9AwKVIXlBS6CRdtQhlvtwdUvHnpd6k1l71gUQ5Amw1ll6RAIQ++lcqL1AIWJ4gDAmuaDfRX0Ajl/
Aatsf2/ISM3iS6XV5GtLX+qto+KXkyga2DPyRMkDi0KSeVggZz3aB2Z7+EB30JLezoU7BaICvpZF
ANQaxn506vIMXu/yTEAUOtOL8DI5ioFXAuw17vsDOBEPusSmf7n/5nvNqvSD0rxR48vd98X2j3co
IrPL+DyH3rMtoNSJjE65G1HIvlbspnzxZAwiSREZwd1VvVSJ86RniNm4eh89l8NDinLWFx1cYudG
xeeTmssU1KQpmJyCmnIKcEB1m8KBXF/MoetltmDSUFIIvMilLErbNoYydt+HxuBgCZrKWzhEiATV
AvLcuhFf0o9BYBifB4F1Zx5kgHCswIpWfi1miRpwy+gey2/UMjKg+wRUm7b0AbJcEJmqJqqdaQDZ
ClDCLwPGqL6+rxzM/ElEyc8ckPxvdRqCqVsXyV1kttYNr+VfFdfHb46nQHhIEcVd15jqrWXGX+Sv
C62GoDUyIFMRdTfuJhALkBMxVa2CaoCWnIbg5g3FmMyf4tC8Y4XrbQhqS4diiM6e0yKx9IEOJjs1
G6vs8Z0fCwGAK1htvvjEAHbyVdg7/GDn7prG5Sn0AIA2wkLOH1ztxziJZxXKeq9tb8uoUxJfuYa4
DqQ3Vby5AZuLHBYBp5qETzl2S747uc1fQr3WkqDzz9FObbJ5NLPNz6M7EdV+CywjAioI+ugpL8+x
GeJ2HzU9gEKosupaqMH5FBPigtlrYWg/BcpVAhQaOpcYnC9gsXRQUlcV3bU1IMWTaGP3bUTuFljR
8C8LMb2MedpbLQdNYnIuwnHeB7F27K5egnTE4HrlsUR1ezBDw+g5rJ0Jyzyl38/r6flBhK2VtnnN
jb/u3KRO5Cq9Pciv+7VdrKEM4Vxtu+4ZlomfW8CMQBncvaaQDLzl8gDLaLQvCC9Vl1IxkkuXqSgS
kvTonYFMaGP32DXLZhuq+0qbLFAQwi0sDVSvS3p0pEqsIOIlED0Avlo5/q7MGPsTJQuMP5vU6yYV
CjrSAhz9Ruse8MA/j2qVPiEdaGwtAIx3aZGwx6owforJzn/mw/RscP3dQUcF6HqKjbWCcoUbD93q
OooHxKrq22Lp2MOAonmomct+tKir0doQtV+j4nd2NZTpCroJOYh5pujUASK3V2wEtWhBvzQbWUK8
NGnxT03mwHlp0tjC3sw4NcPQr5S/T4dYOTp1u6OE/ZLSZ16tHPNIQDohlkGwnp/bLmG7CjSOO6hZ
DI+eVn5rGSt+lpn7VggPkXbpoPaQqep4PT5iPz07ZFr4xt3+3YFm+BcOg8LZDm+29xkcXIJEOD9m
WBzoNzR5/Q2hSbB3Evqud9QnVzCGPJIhk0m/D0zFGUdC29fA27VeOr44t8AeIveu29t/D8zT7K8Q
fWCgdc00XQ/F0KZheLL/E0S/jlDIH+axu46GGPR2gM2XdnpXqcL2RafwQLURjaKldda39Rnf/9O8
tHZTBy/2FJEh6o0dsz5jb4ZY/G9xCBoPtM+5McJHbNUr5Ad+y3uRcJcn/s7qPr+A8/ZdHMwzqyJI
xy7akgN12EJxdjScbHQgKbDfwxcz1qVFkPVg2qMrUQcNz7y+8qnpltXFdbpXZlsq/iWqjgUDXvlR
yr6V+SjuE2ln0o7KPvlmD9+SKBT3rlIgHm8ASTqErgEajCkEtUNrX9hgtD7tpL906AnWZTmhLeUI
7cVRMmtvekhSOLbV3NMBSKI+sJtK27YfUrMJ8DY98q5X8tDb2P06KiqRCZ/0/vOoMC19SfxxpYlM
OQpMXkhny0x+i4jQBlwPyarSa1DlSdAscREs/O7Ui+UIKm8krrYgSC3xwndyXKjImhzZQ4Pn7v9i
RtG29YrPBFttDqJRji8DknraYSm/mqg2fKmmWgquyCZH1P9yxDIsNHWUmEtvpijR7xu6GfUjobAI
yfUV46VwcDiiktdbO7JQb8ZnybNlyAIIW5xprrgsDv/+cTRsWRHzub7CQ32FY1i6YQGl5zmuBEF9
ehwjPbI8S9hs03WVi5pBBGgEdChQJGC+crCu7OxR6TZ0V9WwZ9JeSrsr7R/+vBlNYK7zepcVeb/p
JLY3BuY6tnXj1bG1d38vj5oDylqwqpXrVVGWxTYMI6RUKTZF7UhBe6ansASQmOB3TcELIlAip2Sg
kddKq11F3NEhZtygGCJBfCpagUJMO36yzqdtNig+ym3a1SeveS4aQBPQ2XLowDOOQq7pKnSGZDpI
Ju/pMAnl+1iY4xG7AGwGPa6f8Q/ZUR+Zymbim38YlLQQVCQ30Kx+HVR7Ft/Ywm0/XQkvgh8JQ30q
Dfq4El2ETF+uRB12FP/vg8b0x+Td10XSn4Q8tCp0TC2s0lt/aaNyG0ohFaKoH35ujxUrksIYMp+2
Us3UjEvd10DCu/5kpCmXychRA/X8vheIuv7TRT9Na5j1+4zLtUEIpGy9ufoqjSJzH2tNctTN6I4w
BgQqICzCn/ap7yWzpfQt+vhubpIzChhnG7U+jW+gIxnXVUqkoxtd03+4f4r/vmv6anrMvyNd0Rzz
CZDkD0eTQQTw1JNs8OxKTi6iOl7w4arJgWlTn9/VcL1piPxmSLujV9QB6Hmt/dCAWwaJhu5IZ63s
/N9tTcf/m+mUSLiV/++n/5gqavgREmVDwJXE3RIb2WCE+oqaM7FZnhpzs44TUMl+NKl3cf6XY1F3
g5kRfh0SUbxkprNBDaB4DivL2HdWJNYU/f6wTxozZ3tWD9k+61FAQUytYBYa7iKv/cEnzd6SaWFw
pU5qxvAA1M7eErPrMnLx/fBQEZpGgEzOS70f4xXF/XyFZShdpqiaT79hGb78BqUf5t+wTEs8tEvz
4zd8sS+Xkh7/9C8lj4/fQb/UULxooxcQ5oa8snmbkLs+KX12KbMmTcDtrsT7yQR1AfU2aQlmN5Mn
m6IM65WhqEAwKlKpXU0HZzPPIKfB5yJH3iOMDvM8RpvtHXdw72iGIkvSWz1sF3+nzyy67GKCRGuy
bwvw29AY6nBTFCiCs6VeUZM6DLxkAkRBnM18KR1aqn7ZFeww/zx5aZe57h0N+ePS88S//8WDzrP/
UIqiGbb+Zc1rqihE8fBR1/Cl0zRb//KRDVPb46ZwELNLvRuf8En26xpJ0NZIb1NaFFdN4x6ySGY6
+LGDj0qbuKAlkj0gkyx92zMQ+AHstVYne5169bgmoGttTiXBXqmTTHaZQAQ1d+5YKpGwHzBZRUAp
pSvjblchkRtklVlvIxvbMtIfJVsibbG0UUcPZYCAbORSl01zs5KIB0CKvI/tJysHd7BW7iFUPEEJ
t/851wY1YlAPOTSYPjUVk//Ukxw7PeotpUKTrDJyU0VdQc5k2CjNJGVBW+s+VFMo86G8ap+2hnWd
dCcP8l4MP8H3nsps7+LqRmCFcs3QtkGe1z9kTXRXd7p1mvfUg+eemjxCrV6oAjUqe4XsdRxRXYw0
WwEI2h4cq4TuKwiMXgw7HVbF1Nd7K1OMF5QSX0MIptx4XeQPZZvvyWsZRF4qALWr2N4ovQrwhQRs
xhMQ3k0tdgTmJLxmC26qAJVqQChJj9GuH5qqVNe2awLex/LpW+kae9Nux6c8Kjn4bCYsKU1j/JY6
9r6K4nc7+ZNdq619V0x/M21wnt3uO0Uy2iz5ZbVa+VzE0LICTVxxl/MI3zdlgPQDi8RDycLJb0SV
/wrfx2Rd9CvEjgAPUIICfhWbEocFoWHVV0KAJ6qZH0CwX/nUSbZR6/WgQ43tdrHJUV4WZncJFjTG
2hsRtk1NL7qrUDJ5B9AIXsV0Sgcjahw/zlWxVksvBhtuGx9zFmrAqmzpVqabWrQRGDdBEAWYOG7o
OhLeLgPLCWrb0UQeOH2A/3L/CxWc3UrcKw+p3ntPbuF1fpSX/GlMuLma2rEBpY/OdpoO3UqTK/XJ
GMoRAtemjgALwIWItMavleh+IKnQ/1UPjW8Qn4MRF3s2dtUPmpKFKn9SP6YMk85ZR0avHkgYYTlU
yP2cqAkllfsW36xtLnUVSHHBJj2GpZ0NDDRqhVRRksNo7McwMi2+1BxaG79vUW8go2kM84Vi0O+B
kdR6SEDZvx2YUW5LufUsnyctqb+FUK/f8jQsQfcAbaTyOWo1/o18S2klX/b4xZc2r+wR2ghqIPoc
W9r/MPn7Jbu84N+4rfz5Q+iS9EOyIqt+X7JGEmubOw4YGUHkviv0tFsrXc/f6tx+AVpdv6GSt730
lVv6yCDwN/BO1ytNM6aDWcq0uvtEZktzvC+ju0595iC1PiD/lz4lsQkCXbV6aThCqaCCavxEhqZB
ImZuxVj2AOWiF+ygRjBkuThQb+bmt0ntARwGlvypMZD7k4OassMLfsoeXRDDIRjndVctswYkHhE+
JFs0Ivr45Yz8zEKJVrmZQ5N3YjuC5LYNn1aNbDakEBhl08pybbYbG5EfBQPNj4gGxEAnfZeA/+jw
nkvgTnm2JfrZVYxdDZ5Sf343TqYwA8VKh7vEMYc7OtMlgtLWvWOoi2z0yaYAa79pVPCiuSAHMKRM
jMaS8D6r8xWBq3hseNQi4BW1pCeBq6JQU4P5etgj4W70TXyhjvQ1s7OxuObjWriWDl0DfNro0LE6
Xo/6BOgxfReH0AC1OzTEuMJbN/IHMNf36ym3eewzBgacY9IL6yWsuxpUSkgP98WvLFOhNxQO/FYq
g7mzSmCih9Et7nkD3fKqNOxfv13tzIyCWOhjEKLS5hTr6o4KpqOKZ+tGT5IDT13nKfptr/sUSq1F
826X/qRqbpfgk4narJ2DUUVbRidoyfxYglFtiLgLkJ78QLYwjg+DpxvYtdoy2q+AZxJ6q4jb0wPi
acAJ2Ho53WGV210SFN5BjIBPAIsa2SOqEsBohcWD2GRexLcUoRw5Q3G5kwIYWr/z8dMZSGpK5Kfi
B4/YJRab9B2In+LPobnuQeehA5sZ1TYjKjXtG827zkXOn7JOhjP5U1n8ALpvQogFuTDLG2Pw4OA9
Ilt0UHL1b0XY6YkyXpmKOBD5Uz5sUiIbDNIZZF2fUic0znRAcIihsKQHJLzzRmXl8Mqceyx5hpvT
uMvKJzLr0JYxfOsXymyrNzPRfQ9MmD+EZotVLuriVChOe9VNfQJXosN+6IATGyyqHnPXQBmj6mGH
jkwnjSQHGoligottI0lQGFYLOhXO17kyDS9JVN8gg2L/KkG8OqRW8graVxDg1xAQc1MAR8lVlAAj
IT2CzLZ8IoUAXULfGRH4ddCkhzH/eCxBkuFtkb6J8FXyEDmibjosPRru3T02jwV4Xlv2ULQNKNeM
7I5awIPyfa1ojk9NOqD456EFU9Id6cQmiV3tzWR0/FmU9mO8xdLk2LkTKlwkN2IlaREZc9ugVEKQ
FZNRp+MnB/LKJbVip4Y/1cQLdGd6yCU78HJAHlM5D4idW8WEsAVYDTysrIQSmHHC1nMbsjAOyG+G
h7lJg5E13okkAT2TU51VaEMf7Arg48EOo7dcqzcU8u4nLBQ6i01X8sAr9h4EJbckzx+UKE9+KZ39
qOhF8dxyXWxcZEEOo9IrF60Gmx55eMBid97PQVFFILrIuJj9NB0MvDI3zsiG5z+mAk9B8RymoNf0
VKFtG4QoVF0KTSSQ4pnAnx+Lv63ye644BQPlSLOD2KH3I/c4cARFNT63Sp4AuB5GNx1BsY3iZvxU
i648lF0idnmRjueuBZcSKtH1h8oApqKKGvWNRcOTCxDm3yCARobkfe4y9TD3iFCra17CAXlohkzr
osBBT3fdA8JBHVRmSLalA2VO7yPIpha/QIDnnfmE7XMzitPyLvZ6J9mGasWCkt7F1CP9Bunn2Cbo
rweUIZ0HvJUvkWLvOp3nr3mCWjkkNYB31PBSMxVvAu8M0iFe7e5GaEHOHkPq/jceKHq6czSNgTgc
BYk80opz0WaHudqwjnW2yQ2AiHVrVDPwo/avfc+j05/Og1EkKDiy3KOWmtM+4l0/L6XjDIXgWgPB
wqGY9i53+nUlSf8/7JHTvfvTkvzDTv61/BSRv1GVG4jA5htPKT18vvToWGhKdOwtKyn9pY0y+fee
xaaX0bqsR2+3mOgsnErUsLvYhs8TUHvx+aep/nGIa3HX9wY8fKSwSdKatt3gKU8tCPdKpU3qiFBv
swHv4hQs6psDarYPEVefFxMW/+q1fV0MpME5je7DUHEZ/BHOLN/Z6hCMSrsaZYhS2ZMGhAgnR2N7
Vl1hPSJR2/hZOEa/LBSdQ8XO/Dsu62vHJ/EGPgQtqCMruoFJZwL1fNMcWqdAYUuK/zsarudu45tZ
zGg4difJeqg1ZwdoaXkOy/4+4kb+KDyeP3YToFeend/IVGq4G4SqjLgR4BHWbbdNLbdGEBnNj+GW
nhSP05iAtxoAF5Sl5O22TKPsEOs1P4dqrK0soWoveT09kcaf7sYrcIKOPxDVZkEHuqT77mOQUTN+
hl5RrI79leuleS2BPQLwHvdknIIvt59kfkfp+CbpPONKh7pE0s+RAsCfbAq4YqMKOQ05CdmBKTSv
Bi/n6cieSk1UsLWkKx1lE/TaxI44DvpRCxHHqfmx4F6zbhC9eKvTdvYAS1zEUiXgRd3PBWM8TYGA
7pLPzaW3KyU+WvZS/piaSy+N9TotXxdhf1T1HlWlcVR7d/iB/iwz1GWad1fhZTY38fmetkjp6KfS
5NiMeewBvEfsAQmBPrA8N95RM1J18wwa+wPkhqY7dVBykHD2KF+ONFQF60BnopQqKFiM9L1gjt/g
FjsnqCK/j2r2SHbAIsp1KKwG9JcOe4vB2pCG2pudGfouS1trTV5yVt6hfIGDB/rTrGpbB1T3FTY9
GKXw45rGxipk0hrzHGaxeXZQU2olnX1aTGRPlbFfN3LE0uFKfIQJbHsFEo7mW9U01s6txzJQE2AP
B7s29gBdj6+WGCFVBCiuMgIAoiiJ5WOZNL6WCALNbhxM6OtcVcWKMFhNHGsn0IvWPg+nGNUYaAoJ
5iJY19KkM7I1wvrLkPA3Vr+C1/mOqrRTt7p3mVW/gBpdrAu86k9JibiJaunKCqUT/LVX7Tu98Kr7
UZiZP0xARniJPuypPFAD3j0IESlJ4mydGGq8i9rGvMRaKVD5kWnPtoalfI281C8INEBWCNl/H1Ct
kx4pyjfIxCr+gCfuwWsKb20lcXynoXDm8GWmCZU9z6OdIlOV5W4Aeu1u5WRZBPEFsOQqiaY9RiVj
oGGNAUyCzMhj1TjpVptqe0XNTHfro2uknc9SOPdM065QHttVKhQpAhtpXaAmm3uaKa/jyJ8shCdp
KBSb3iemXq3G8iPKAJbEVNlwmtd1tPYDUuGCyguEaWhh+LEcpCbrjYvIPHO/LA7JznPTBgaUvY55
0gGyhuXt5GRvKB5A+GNCXdcwtPGm4thPG8ZftIhtLVVdjWbkHCcIeVyXgQ0vQVxjmQ857zeFVSUr
ihw17Q/NbSDnHOblznHyCfUSCDQV3ieznkXThj6Cf3iTmbzL5ucyCR4rDtUJr7sYURgekPiYAlJu
QYm+s0J4x9lRsxxAFm9Z4RVYBe+hLSakECHoQoNSNZmCSp3E0cuNBm9+hz95ZjdqFZgu2x9F40IK
S8KLG7eonyq8i9ULEPQlaFUyrBRSqMlrepVuqZm3g7gvDAW8v2qIxT3y35EohwNqDKHayDJQGSwj
0lA1AlyKHxDDCSUVW3oaRMUepih+pv1Z59Qg/B7G7OQ1Q/QQY1tB9i/+H3byBzYrW+apU33cKylq
DSLEYkAwE7Mtk1+gFuSVB7xMHZ+ateDKrdKLgFpa0hePwGi9ZIU63c0mJQeVzOhEW1t+sgBPMff9
FBS22QQdqODe0hK4GU+vxR2LnRhfOGhASjtLHWPTTQA9DrI5DsZmTDr+ZDWonmtzrwlSqd7cF7bi
I1LV3BXZkG+nHMyW3FdZH9A/mWAKeMB+Dg5Q7p2Fbx4+J87PpjBcECTY8V1nTTHUhjRtxdU6Ba4s
MlcUrKD7e9kQMXCHB0IAy/ulg1y+9NIEqN61wfMehgbzq1yp1gDmhYEGWPfFyUBYYQ5uhw9o1V8R
HgSDdBb239oUIGJZg4LqTVQoZurbMijMVAUlD53lDxCjmkMFrYqdE2816+Zy3u5Ez7odTwrzBlpP
Z3Yx9dz5pZgtKi9qngaAG+coZYzGrQGKusNoOt1ZGRsoR/aF9wLM2GMrNYFRJwzQYlj9KEUFkmp8
C2+9Zg3bAvwzh3FqQOZVTgj6+ZMqY56l1VyECS0EYCwyJATb5jJTNSzGuW1JzzJRoZqA8gnf5Cxb
5YAHndN+WI94N7w5lsW2Icgjt6wvtLeBjytvHNtnoIHYsRdKviI3I3Fjv+oh2xW1ZXwdmynzqUN4
kNJOwItzRFEhe/5385oAZqrFcCGmYX2o8hMWR0+qxUAZoGJpuikjm6+mhncpbtZE9e0SqqBzWwjX
b0wtu9JgL47yk1MkT3rL41vJQDYOGqoixNt0dKo3u9C9DQK9xZaaauJsJytRHnW31U8q8xBO6Sv+
Bhb7JABHZ3KnNI54BGh0T3YanvfIeZmVc4+irPeIAwUkQHKkByUzy/WXjjwOc5A0tf4csphDGLVR
nL181L064FED/pOwKo90qGL3/YyaaYRgGJ1h71K7AZ2C+5FV/tLVtqAfMVA/uMql+9JRuSocaQwd
6lDgDgNBAliiPegnKJMJwTwTbx4/SsIRmBsWBSMixt3mUxcvuxA4CTYgGKiGUIZiypHcO3w9A6vi
mImMYQU86Q1y89OKumiObip7v42n5tRr0Ux0wC0zxH0cbRuZ3k3aVLnVrbIh1gPqky0D2oYxUEhK
um8qVwrLswtRTdeTmt8JAIHpv5xMoxjZluuxHZBtvhdUJQrcQa0/0Vj/i4l47z5HdTVs8i4+Lu8a
Opu/u9ztDik6l5cOndELhslO4UafOvMOlPlFp4/+0LF0k0eIjaPY0njBniYFT9GgncNOB+7Ruyhg
9XsBgD089VVq+LrNzZcvg3oTgSGUIIsGRRhm4neiy4GkVN2TIw/DAPF0MD+F7+2G5e3adlrJBgUb
qPbfO8h7GacO7XREqMEnD/KdpzKZAI0veQub/wpb/fPllvlmP7ocqCssX93qnpKePwWp6O/AeP/r
y6t8brrQJYjY9Gv5O39yq8BPITuXv/N7tFr+adNJ/GINqnnyyFA2CUlCkhJkVIL5jI+pg2RnjT+A
bJKNepcDuUw6fvRiYzQNDWF1aK9LZBXn7k/ykzRZIrtz2T1f+ssVlutrJfRQ6QpcHcNdr6a31DXz
u86MizuEmpRDhoV5zQan96nDLD2796m7R5Ic+kpZtJrSvkm21E8HsBBC78W0kLn48J5PHaGxba9n
8TzF1ympLcIk9SdWe5t5Xix+8+W3fJry0+hmEu+/hYxQNtcAYUQajnREpgZ56ZwViCdKeZuPg5ak
4Gs35Trhtz1LrR5MIlH1PrLm45WGKy4CzbLVbRxwAkPFCqBNRyDCXYNa/b6SB2PoX9y6a09kKoYQ
tRpmHfsj3mX3eZbZ99xwdTxyY7cnm5Gm9TnNmiMNIA+PZdmKjb2yIRs2m9H9EB6WizBNZZsY5Zor
ss1eOjgJxsK50BTLT6OLkIfujS8aGEhO5EE/DcQ02LPI3w2QwjFWHHFqndTcjU4JXXMW44up6PW1
cOv6GjnjIdLiBsXPv+2g6Q/XRRE6AblRhwVtnmuypyGLZwHsbJBBP3azeKZqmp/ccTzO08sL0QCs
XwtfjydvR750GIzm/VdRc5k9NbuDa2jNafEFc2K4rp3RH123CgCCam4QUalvYZEh9plr+DpQup7a
eB+HQUbUS0ub3JWka26dFjbQ7BM/E6gtzjF5r+n3HXfCZ72zjW0WtdYWoD/32dTtPe1aNAMl52Ux
VGcvqQow0oOHmaL5HyNzHcv09/VnCAW01ZhzD0weirpeHnV6YOlJJxsqwP6fy5dXB9h/P7vQg53a
Bd+q+qCvMysCpke4z/aQaidPacFOIsHzrYo0l8UnCLLJZvLbDaxibcCU+HGS3DJ0yPsYvE50KtLG
3Fthu/nHXjJqRDkzmsknR9R6QuVNHjhYTMHhLE+XKdpeNfetJTbgicRftUKqq0QVMdRyoDbsgX6C
mSkBfDduVCevbY07BaIdGpSeCoSw4yogtwbZsGM/5AAmyLJB3XbzlVK08YFGDfaEB6stHlF2/XVu
VjRiE+kGX1WaBW4doXoHVR66vn4/W2zUoQMWVvjUPZ8qplNthsx9+ach/2T7NMNyKYd7ny+qoUIF
SKSPXzK15riFkpkzVEcDRG9+ISUooD8HVUw6rUmYgk7BDlIeP7XJSIeo09KDimzk1yEjaV2kpHUh
D9SvqetCqMbJlfoCilQh8OLilasdyHdka7EvTTHYKPoyzG9kmg+59T48Rlh/8OUkqKmKdjF2wbgC
8jZpq2Pt5fTjybOqmxfHyo1MHqIl2wRPWxBLD7JBcSNehbwdN3rvQiRnGq0fIrTSo0nN2DmBRTme
fcGDN085u4ok6+VS28OuK09VqKH14yqT6Tuom8rMXZJ1Zyb8TyY6FWMvpdPgPPt1bQypiNFVsfIH
vglF7lC4RxmHbLTxkF/pLB3baYWQHkC4Q4jaej7m9iVtAwh1AzdFLkVeTSujawCcaUu40ExwGWVa
eZ47Sfm6NusUJcMIc5egVkQsVHLzf22DTnzEqgOVjibTUbWc1NgHDrrn6aipa/hqUNUOkiJWvW6G
rg+oGTOwy8Wppmi+OXmIt2VduV16NFH153mcCkSMPuonai32yIVGwdjkl8VEc85zhGG9dlgN7jl5
ndlGF2NT96ymoT+GKIydoVVIOQEXnUYg2aaXc2rEQE/X5e82UzI++88vc2qT//wyX9oI/Y4rZHqy
tQcF8QvUOrV97/FvII/QL6FVQsIzVRkkSiwES8hodSGMltAUH0oGzuaT0TUBTCv67OiQj5Jb5hkJ
PJqZDuT7cQ0j6cp0bVaoQc06ywhso5S7CLFnMfITSmGJFVGeVYhp9z6xolGbDuTTQLJkleF+WauT
mhyySPmZychSrYOQ24nsEbXYqfkCQANC9Vg2najXjB0/s/P+qQUI6PIxyC65uy29YptrtrYBFxjf
2/VYX6BlD8hBq7I3tUI1htzUh+m47ZE1+G5VNVIsEOO7mlYBOhAVnEAIkNQXVLyifCku/+oqPiKy
CBgEJdZscIis1IRl6xn9Z1jNcHEBtZQ38ZyA68MoMFuxwXMUeIh6MfC6tFhtlfGvKlPwmQK25GXo
WyNQTM+9VVNTbprSZHem4iCHn0TRvscu5c4NIXs8Oa55HyMTFNj5ML5yTXxPGC/+8gAHTJPmffKu
NeJflpAfNzk5c6FH3+nNQ60l1m6SiS6wvf8fZd+15DbOdftErGIEyVuKklq5k0P7hjUe+2POGU9/
FjZlQdZ46p9zgwJ2ANUtiQJ3WCs85CKxlSlaDIhOIZzEQDPNLadNVCufHuTkRrKSclxyG6n5Vxe5
/XJNWs+IDxqW1b00elKDuNb9PBoRahKUDiTIXQ40/4adbbFywrJcZ4gPb0hpmlZ1MjX2uaossMlF
4C+nTj4qf9DrJFwBFh7AiKJFYRYDzchEasmYZI/a0QRbvRN/TruC4ylP07j71ihNiouk7efciCa/
zPh4GUO7eArx7dmZNgNXQB6Y67CK1LdMrxzERZr6r8aNDr05gl+NJ4AgNabph9wpQUWdX4Ad7zKm
1bpVDNz7tI2Toz5XFV0LKQ5qqLLvDI+WNPS5Dj4okBQ8SdkvJx67zrm2RuDdmvlZV8uVO+v5MzWP
U2t5i8LpVYO+3aWhnLSotSvIlswQa4tXbRZXqLJA7YNeWs1KbfpuHVFrM62jGs8ay1oVel3owXfq
HMJ2PMS8GL3CKXpAaKXXWShkcc46QMM0/9A+2JHvn3Yhu1G3Ms8eGr5ObXQM5L8PCYBoTlpZg0S5
S/dSOU2c7ZgL8nWzHS6hEQ/v4AYe3hmg7zQE+V9pVddgPMo6MzzSEoFm1y/jDH1QwnZAImBn1iUq
EMRSAUjvRexGKxqsrPNQBKYBVrYbfDcdc78dxmxfoA5qoUF3R1Rc913Md8TsXoS4yapZ+OoCzOk1
R/kbxdinyPovTqHasFeezf+HE8XnxZVm5JTxXytHfAQC0D0DEBdVqoN5yQUCfCZA2lvGQRIdOekh
MfToQDIaOsUOzgGbStRmGjrODjCmgXwjICbtee1cSNTW3TlIh+Gp0TiCUUT8aWbAEvUdPEGhTyn9
JhlB76hDl2nMcQ4JxmZPrT1LF9DS6mOJDiKaJkWpIeNRf5NNP4uJaCei2eJHWzhlo637TE29mWXa
kWeOeiyaCRUpiZEDg3u4ykhLgyrs5NIBdAr4WZ18LWW0C/mSjJY0I2PUGBVrKWtNFOsEKInwQc9Z
InQFZFEC9nEADa3yUv1kBCgvAdjqwU7wCI0AYnlG8KY8Z9y6zgwVX5wgrhkqFn5TkPGcIazXuSPb
OGmGoiSyAZjDd3SBvFmiv0F2KVD/wNioP6Z2ANOOoIsmkRzIdlCnHwB/gwUhR1KnBO1E67DcT5Uy
ekqgZqjMQPc1DUXlog9bDFJGs0UWNubiQXaLgivPEcv4LijtYlO1YFIy5x41Y2JQBH87LRVAb5Sa
C+ac3+WO8GqEFynyDGyRqElC7y4rwZESFdGhHd38vWVRs+EoUV3TsmADPybT+JNWRoKkVoIzqhbl
byTRUFP46J0jFtQyE+SBNgdN7W1wbzOSsa5Oj3HtXk3yMWg9F3Rz6wcFd/na0hnbE4S1ZSnjCYnL
Yq/xaEerEn3Tp0Eb0KFC66I07rS50JJ8IpPWVop9ZgEJNWy4Z9kIwgMRbd7l6OH1ZmIsqbjxKTMq
eylK00bQO5NWlqH1tYYSJm4fqQxN+pMFTsHulvUD+HTFczKBqy684BEyef4AaLXVsh7Nqn6azTxG
dLp5JSTmeuKWlweVc4naQD/mDIGfSgA5mh2e46I5/DC0UdtkQFF9Qp2S+97F/SuBPJNnZ6vOBWTz
q9Golv/G8vfj/uInDCVtd/8J+Z8BdbnHHT181abafVescYW/d1hWuTJ/6fM2PZOuC7oAeRe33dOS
2yXQrlNebWlp1RFKNivT8mkZxmG/V5MYLdhi30KpMwSQqy+Ah3Xf52ocX9VwXJGOhhkrEtMKB4cv
4+3C6GlZcxwveZTih8G18TvRW8apbwbj1CqdMfsgrwFBSznvBjAxg320qTDmVpoC0xS/F8L6KiNN
WaDSJAqNEJAKUOUkJKvAmp1DZqkr9ASpFy3o1AsXAyqywk2doD+4nNiIZASC0jgoA/LczBH1Imsa
yNqxtB+TkuS7xZhkgJfCa9eLk9y0jVkN3OPEX9xxaGZekaLPZIrNvx+25GF5fQEPik5zplXjlqiR
QJArYLOvFeqrMQTORxym6OpzWPmGo6CxLttMO9WJ2ezsqI3RcYQCktntx/VgjPqbE6CJVO+a7ltd
VM/h3IHd0fiaFaD3xaOIfrdjYPXlm5roBorXbPXkonw0txC1DhpljwYXwZl0C7JBNAGp67Q8tnWW
u9eFBbXEkNkAkXSy7BldUFUFJlq8ZCDO9n+PU6lebGRQLpYYqimNNqC9GVakoKHMA/VSxNO80tzZ
XUchqGU80hR2+jPlyMfQijagmVZNPkj08pPc2DbH9jSVyuO+v7+Qu32c+v6F0N51jIpyowouST8w
T0lCY2m4p756M6uTJ72s1aVj3rUU1IfhMKTiKfLZIYqSseT3btRZP5bWvZvsyk+uriShxnx5Vdn6
T+59hBQk6EdAo40yifk0MUQsUntYFWOhrh6DQcua4kSPkaBHU4oJkVGi6cMKD1jqEnB6CBaRiZ3F
X+0sSF97s/VNw87+RhqFewool99Tt0d1NrosUIUDCA48gubbAEXxLzYrED4N3fxboISnPg6t/+lu
7YcWIJ/JPe/0fteE1bwBPaFHqORIwqTvdYQVEIU+RYiWvbdYUbLupjOBRTd76MA6z4KnnVVucOjp
LAbQAtufddBDkDALeIB8JoaW1DS16KgWG6Dc0TrUxCrAXjP0QT9QG/8DBoBQOmijP1A7uFQSDEAU
X5USBWCKoy+Dopd7MGhMfgqqrDW9yfSu1oqZH9LBfZXvO8nbpDzECar95Sckjqd791KJk71uxcZO
UxhgmaxOBVpv4F6YVl6HCYF+sBx2ZykPVU1/qg00OQ2cu5dODOQgN5EKB5XOVcmAM6FVaElP+PCe
4Cj7XKtsp5Zx0K3yPl0ntdu9oAR+QJ67mTxgfMcHsq173I2KQgPFmdDyoIn2jYZueLlTrxnA14aS
BWtHRZrJXLtoH+jdy2Aozq7I+UdcJO5FEyKSg1/QWSUh2GFJUceWe6GZlbSglUzco5T/vofVRcbR
BipQ1GvsaArCUxos0OTYTtoeSD4lCk5RpLizCwOA3+ZFubqT3TZ4kI0gVystu1n2UzN2LqMMOK1D
CaxsQLbTACiysPNo2hZ5sQ7sQPOUOi+PqAUtj5YRQk1TsrlbF860NuzR3pE1aclOLu8ugL72FFU7
PtpK+Ra1M86LKYgDAFtXfbc4epwFkFDXJO9TpQdf2lpFS4sL/L5BLRX06cFpQkH0S8eNBImULAb9
MqIrEXINKGFKQc50Kll50KKx25k5D8ZzGrUHhAi6nTIG4ALIRCddKTrpbgoS0ZCDtWxVz03j29Nc
H0LEmpbBFUspQ1FXVXlozZhAeTmj9JfWZC6NnAxgXd6/7kGKKtPC1dJo19fdZzTbWh59A1SXqajB
LMvJa8Lc2cqvBf5n08WsVvQNWsyKomxR/4LSRvm1oq9QIlph+2ilA/mBjadJayqQVAPCGA1MIXo0
TyTG/zhBWl4o88pjYKbKwj3RNHEAyr+4IXKrxAyujjPIBkFARcqKgVgVZyJ05NgtmMHnIN+gT3xa
CJ+SnoeHvjQn7/ediPBpLBXtMo/NtjZ15ym3rcOClkAoB39EPYhGVngASMo2epQCRlpCHtDM0APn
iefmQcqXHfNsBOdolW2jpJvPAMpIdyCl+UKrWYvn8zIbQd1VtPhxsRjQpEgWmUale4ubDsabWLEO
0phmRa4ktB3tNItNktZs95zh+0J98qhtONQsXMvHOpLL58ABWJKwCPzF4vYcaA0q3hPSoo7MX3rk
3QYo0L04dN440B/A5xa0udi0Wg9tKoh/C8NF+IBjJ5dtaLM10DrA9Sbu0/QRqnPUqo32VD/Je7eT
Guh3SN+khGbRGCubacDn+EGhG851jzHE6RCVUtkmsKNyGyNU+MQzQ/mE54sTJTFHJ0lXXWuEuP/H
eOBC/nXl2CZakmy+GazU+SI92zQNP1tTfVL62usYALOUJxRDHtqwrw+ZOqqbzmi/1GAsrjyScaRD
DzQ0iXGdPchAW4Vfpj/ZlOi/26B0/cuD76QX6VOulF8ewugUSydZkIXhWjGUKxVJaszhiRRxXX4e
ykI/a6r4rPH8b6TJUcqeqMWzxqoEoBRoeEzHZvi4WQD4VAGn5i+LvuETmjmt4YPxfNmjzlCuSHvo
aOywzLxe60lZtj5KksMTDUGTuYdq/t7ogg+zjQbcBEWs7p8WFbjU272doeglcOJ+PU5od/cqE5QB
JgDvV5VuTwdEG+eDNXHUvi9TwS2+WEZBhYQKSWkI7a7w8TMEliZhhJ7in3MDxsIALFEH/A6BG0kJ
lP5wt3ZRW4y7kdQBzdz1kJMDpaTwIlNyUsp5OEj3uDJs/5pnS10HcLWzE+w1lV+HOuK1sqa1C4Jw
ACcnI9gZ88FakfAfevL/h7RQ5g+9LDkAtPNV1zcdQjyqgY90Dmw4pX0jNLibjkiRbysq/L+tbn4V
Q6HF9RONTEC7acRbZIhaMg7OjJreNoqnavTO3jSTlnQhUpV4L0l9UywuzTj/rCM1Rw6mSA5mPyYH
3lvJQS4D1+lKjzQzL9O9G33jLopqvD+a3FmTnjYbghpb3KloN9VADT2qjREa8PS02rdhFL/YRZMs
2FtB7YAAE2zwJwORuZewQHsYoSE9KNCQnHiKwOd+UFi/b1WpLTuFobEecvNnwLPcC+vefB5BYvKs
RQNKmJsDLXrbBOE2MMC+AR2y3y8GcWI+d+JMC9KUek0yGmLwQe9cvcxxS8RGNOgA/r9YMdpQ4KTV
AATMlaYJkCNVvxrj1O/KDJ8NKqKmQVPxm911VvQkZb32YuKQ+EIS6bTUVUcx0lWBGwK6ThRm0/D/
4xDnSERaapj7CY9TT7HxvHt3ytcCFR8H3q/kcb5UGhVkIMAsACjvMw302Ffy7N5/0QKOLAZqMeA7
20vk8vZCM2sCTM3clINPMtTY/kx4Y4TxN5ak1YlpznDQtED3qO0Z+NvjoW1jw6MOaaSWxkctGQdG
MgNnvUy3gQi7TiIya1cTWo2Bur+KhxBEEKwUuPf2+NnUQrxXwMXM3HSLo2P4PWyQ3AYDZPoGeqxm
M4WAP0QvGz+EMdqU+m7kr6YzxytgwzV/CXdwnpr/c1KU+JXp+IRq1c4HlxLf1iNYsnPRW0PDrNZb
9D0NF1oNcce3jZmwVdGriqeWYCiRpzZ8s08hzosH+SwDHLLsYFrT8rQjT249aJr8tkxtn35QpeK2
B+NjA4KzKF1RXq1yEUKPTTauZCJtQdbEP8XyQOtoFh6C1sFpFMgtf8+J+XnMOHvqCAHJ1oeDDWoV
3GzVCTfiZS51cSgCeHW073VAJ7VioNliJ9fk0VUoEVDaMNlag3IB7pz1v3iIUWIBAsCAI6vQJbbx
bob4+erRwnOyGtApjEMzbzW3SF70GoAIrZGPHwDEfa4SvI3C3enS5COsUSQ+Nkn3roWFDYC8dvjm
Jj3uJhMye3G6VSi3a0wgl6hBRtxnXQ9O6cH6lOdB66NuBVVlhZltlaA0Dxa6SvdpkSrbiTvZZZgs
xS9Bv/muZgkSDcBP+YbeZLk5sAkAd1qozdnpHQ4GOVSCoVjc/jwBsnXqA/YxoAl2y7q23dKS9Y4X
5MbwBaUE8d6OVBAZIBHwgd4AsHzH0+s05AYO4A2i5kKuug1KA2YrP1sMFShh6X4le9RLqcvlANrB
6HIkd4Aeus2qDCd/8K95FXc/U2dqr7jpCaC9/tId9qel3UW+qrnNJrHz7CUz4rNrjOb/xtReNfD6
O49RKKMaZv1ut5axTqY2ANOjq4v2CmDboPPtxcydYaXjifsjndKzLdy5Yq9EA/4xS5ExUTw6gtDR
onV1oBqiO45OG3TumPFMjALP2+njZrKcTchN0eqi9YehB5CiMT2RjDzoXHKt8lfMarPA3NWzsi55
ON2FSAInAvn7ghdg4LGwKN2pRAk/YM8TNz+4qAiw9nFn+XbY5IdIlMbaKZqMAfNhruqsOiD3wr6C
t8zyS9VqTn2eKocqjtU1+ufsz3y03qnZy2ytxVRpSwt7g7kzHMPAC8PyNDW2/kNMgPOk/0jMapnc
JP/FJrr3AlfGxxUXQqnxUFxktr6brdn1Ca4DzbM/DfSjPhfIKj0zQ/sfiY1Ws30TnfkoeEM7U+5F
6Pj9IN8q71yfkEGs0PjJyvOQ4fdLwDK6PqJorY9nbe7LNvVK14NzOevjvo/H810fOm+BA4NO1v0i
Q5Kz9adQxRnSnC7k1QhX2klh3bhv3OlM8mtv+y//Fvctw1uuEzetHzSoxP+3FzAVKIC81oLjdOj4
XJnR01wB9FCrEpxgOY2EvGwKAGe7qQCFphmfCaqZRDSQhQt22GNvDagfbzhevlmYe1L8Y688M7JV
RBekC8iNlguq5oRml7TYqKq2/vd0nEjbyUycPZvurjL0u3Qe2lgML0BEe/0AsJkJOAEpI5Oa6Tr+
3QJRUyJskk0+hCJT0a6ITCKodfSDJVOG8sOxRfoBw4MCCdf2okT2aHmLteJmG7KZCQQQQftqlUx4
JF/WiT2fzWwK3nU0+kcVwHDsCjBQWTI0J0Ph+rFSdMdn5qx+1HqwGVwn+ZGCSBIQE0PzNo4C6zcV
6NKxOb8m4OnC7aFDJSYaoBKxW6wiqB5nGb6GQ635UVa+9qia7bwAn9GjFRmYZrMd+JpZuJ5WO83R
mXid+zS1wCZ3AMLgerBqBb/TDHD1eDo4hwrfUWatMWJQhFoaThrCgmTAa1tVdhovPH5gxEtbNTgq
vKqtvapsC14HR8AaNda+MBcd0fqhpxatRjpit4BYR6HzbeA8sA6aGEhWoQVr06nmF5KjMzFv8DsN
D1pLt9ot2IGJRyi3MYwnU3Qqxba2irWuPKUsaS+N6Gvqa/CXoTUqbgq/zXH6yUGiYDqqeaRj0yCO
TalpITNdsQ6NX42Jr0KJFBvdrrPZQdmLqj/31Oxq9uqRZp1ogJ1uS5Ipydg8TRo62sm2idDujgqu
Ui8b8dMZf4QpWHRoRjJQxsYfD7P/YBeOaIk1/gbCfbcDfQcawWfkYalSGRldxEfwOrqdAQ3JjKFY
lbrjZKA0jepToWSCkddFkUQH4gz6zNKHnUTm7NNnmQb6qP+yJMnvzqmt957J8G6NlmoCQsgsAQ2X
FwiQ2kG5oSW4lewTOGN6jv+5MSDplOx0h3XcA42NfSKbelReq87g+ILgV8S8NAOoJYqYf9KCWD11
kQg4Zen8NQosAx/6aNqBFxsUXTDLWpO/N8NzlDngA1CrYuvUpfnWZQE6j1nBfqCPwEsn9MWFgFME
YkjmXkA1e7VF9+r8UrEX4lUEQURzrDTzy9g27TZnMyqjSbYQLuqR/cUGcccWlc5PrhYER2JRaxQU
40ZTdaKV1VbtC04Di4gY1kiOovI/ihI4RhUqD3QN8W750X74pJOCPu7ShOm96ZmhznxpvHxXaJ3o
4eSjCGda5aIeBudPsFHMbe9pYJ5wfVBsBWeFe02uq2dOoq52BBcqU1CLIEzIJcqrHt9ZUZJTo9ZP
UTLj4mbGO7PC4OdctX5ptt33bq5xmG3C8BV1ZSNKot1oXwxddy4YamlRjcm+gA7jHZTNwc8EjADK
VIGzLdIrfBcBO6KNlukvzJ8i0ic5QGl2NUkthPsAlxoBntE3UmfTinaCWgxmlsZnFX0qcztofl4j
2JqgklPvkJ+kd4TeAyGqykpb2O96VOG9MO2XVc+sTTp10QrpTHyZWjyXboBbiJa4whhPY66Bz3ss
QQQzjmBmWE5ItHarGFQ6zACKXo2GadHprAWTbxVT/aUHa9luTkAmfpOPPPiHfMQ7Vbpa9G4AbJA7
xnRqcxN5MwHNFTodDl81uIdpSVr39yVpqTv+P/jSztKYfAkDDIQ/78aMRDviE9l7OQZfid00z93c
S9o2fe2AAbQHYJmx7hgA3lBQCgB0EKSWHU76FnjLTkXf2+caQasV8Ztm+BY5RqB8yZIWtT9aEu5o
7yh2vpLBEDOg7sfmdW8gcTA8feYmaASoVbjMJs1zOrU4MwCAv6Gk/7J0Gk/ARlG0JnoiM8VW0KTL
u89VEKiHIgrv3c0IIB56nYCKLmaiwrUDUVIaO6fY7uxTFWW4L81qjFBpar6RzABQ4WmeM9zPJsW5
umhCSJqa2R+abWc7wvAHvcs6V0Z2pGcMCet/k0sRWczAIyP70soAGEyIOnkT3u3BWNX7SBqg8Zg6
N6gtIzEmf9SHYk+dGtS+Ids1Hhs5Mhjzyiz2f2zuIL+lheS2K8nqOat315BUVTjWKkp0ZR0Vqf2W
NqYGluHK+Q5Y/TVFEVzAAaDNcPqGNCygvbTEfbHMNN4CCzxGEW8yH8vOubq7mqp5GTDv38GlCAyu
rWrOzS6wq8xTK3NCiwmqYGUalmaW26KUEp3BeCxZoKnobAJIwkPbseFM55C4Dyv83gYoOhZQVooT
B3v82j1T53pdO9Gmt4CWR33tJmA8jlmuAehNtMWborm9nfy2DvQ3srd0DqRwFvcHMpDupE3A4pZ2
ubeAIhIUokRGJOBEKaNlZbiuV6ut5T8oDA2ta9UACMAywfEFpJXLMIillCntpK2HAp2LZCIV0iOf
2/sNUjfIV3PQqIm1yvExQrsnItELPHFgiMrKFPgUjg1S2iWtQukWqaEUjJpFuNORkOf4bQGNC7KS
shBPmlNmpgOk7SoH+9EG3fz6psDJecl3yHhOZlq5Vw0KX3ImFLfBD/V4TqxkSa3IeM7DJqQoaxMo
mVHbgAgzOIxhEn6KC1a89/yJFr2QAChoE6AQ4IVECB7+xeLIONGqMjIFR3XUT9EyVAKOQwQY3WiZ
ghBp02pmBeA1XXk3orHdOaGGOhexL7pVx6M2g0aIlvOYps/iZZDtby+j0YbwU2W2+PGMxxfSj+W5
V7btXE1bl82f1CxG2YnDnbB67dPCj/Ks3A/ZkKKghFR6HCDzXPI5820DFdlBWwCKSgiDeKqONLPm
ojqGTToDw1BsrGBjQ8gyEyXAPhkuW4xgadplKUOkixnpSrZ6U3/3w/Kx/ZtsFiE1ij/4AGwgBNf7
P7ddXIBj3q+APTkZDEzatrqZBPWRFa4DEwSvtFARd0Ctsq3g+wtdmiXGDikfF/lWLH/ZF3pUvoWB
a72ZOTBsJtwqd6lg5Mtv9qQlmX2/fzKgIbTN8ZvTdAbYlhS3Xy/NufnUBRuu4kNJHX1LFy/96C/r
xsZDWAfMs6s5naiXNkChCic9BzaPWmysFswcBOhO0PAAdGmeOjRXeRLpfRTPikaQ/llBHrOL26CE
hZdbkYKg5iXy/MM1SIEEmJkXEVDuqoXYWGV1/4xk/UJlfFu5aAT2dcCkrxiREdtJASB+ohKeM/w+
Gk2f3XEML0aScxhdDuPCPpxG2SlqOv3pjtn4T3ZqXwZAtiPsGrN9BT1Ztp5NJXnNUOvw6qZpiqcQ
qweixS9Z8E3tQWtJAt2N2N7JAd9D5iSzmdOu/3UfFH5WK6VMkzXKIxi6YdMhRzpMDCg3LL1E2bUM
ZYlZhkoeN87zA1lIM7kkLdndbVWXeZEAJxMbqvqyFdA8GJI7tD2ZJ4Vl2Su6KBkmc3gzIAFZLQ7Y
JOGM7xcb0tJ1cxxm0K2XquvUUoZ1xCP+kSqu3411/nfrDOEKj+/pc2G02YEsEEriH50CMgthoTgc
tHlcSZ4DcPT9V4vfr0J7DOIqo+N0G1BLF2vF3pggjj019gDGOWeyu7OSmNG+LNh5mBTF9A1gFZ7L
HpGPwbVd786QNO1UtiszbMa13YDbDb/9Y39efOrgUzGhn4R2JfkMIFmUitsbtJ/+uibZqnyI9nbs
nDVxtUUUVNPR6dF+nIxuhcolAE9SRwgtWZ1flyFOr3vAER9RwFaeQ5CZ4YYUBV7NS/OUjIGxDHFW
/hhqi21JVONfOSMqCG0FesYjq/EkJGXSzUCWdJ22VrgiY6mgGckMu/7huNN158bRXASRh9FTh2o+
0FA0Uaas5LoGuMg2Q7WnFN2ZANoF6WSpArLI4CNgZGyLUq9QWsACECRjhkqp+1kIFK5FhvZ1zEyn
fi76wmHfECfiazz/FiKGwD8KVIYss/kPMmkHVvU1ehW3dzGCzOzZZjJMga8Nhlf0+hVeM7F8w3FP
PJjVfB3UKe2WZQLKvV2UDjj4woLMMjaCzIKmJJRurYhze7S+22Hi7T5ESnS2lHdVRYshxUqXsGlj
DOlaqScHWfpf0VaKnSJjYh4Km2+lfGgRafBU7FIoeFFLGJY2GDZonhtWZoNq2mqI0RaoFaizpXVa
ATu0MfgTrUi+mKD/r9nXY7BRgSd20m2AUvhcuJFNXCCKq3c1noOFjGxUsqE1KGBfQyCNrVzQXqwq
xUIeBvRu5sWOyz0wjlC6QDL0aurHbDQ3fZHCRLUz6xKbfbRFZSfYK6UwRfB2FZUlWrHIEQWFaLOZ
82WzCTmpU9ZazgXo/n8NTsf/iisd53dgnF6mrq9O6OFG155QmHqA/qE8+5wnXHvSc03f4H5pfTQD
QNeEgaJE6Xo0mLmPQT772nFl2dHlM8BpQVxwGZBb24dsLJEjblL+0QOSZEUFmrJek2aO2dZr0i5k
TfJ5wXBQ06HwqF/JBwnagZZS+6cSUdp1BNoecDyAeS1iVQYFpxoxpTV4WdF0FJXHiWJcSIIinlXV
CbpkcMnFmoRolcZTmhagKMpASrVGNY4JRgG7cD6Zdlh9aWrbAiJDGfu0BP5DAgClqXyiZZnVmddP
cXmmJbZocyP8rOsDqsKn4BOwvbLjNYqJeIrlDQIqA0V+KEbIEvC/E3JGpE5AcayUzTDjTQaz+oST
ALAy6jFML6qB9h0hooEcyF9NG/eJZIYbvqdVrD3JokuadU7AVk4BnCapQL1dXy/rukv4ESUK+QjA
0o00oRlLGFsZ+Rz7Je8C4BBW6RLrYaIUzBQDhXlU1ApvQQeSgfnHGU+NiAQxKvei9QAqXkHMk3nk
RzLpTDK5g1SQnbyS0iO8pQKFBO2SQ7vPlSG06w3XdGWTDWp6oGEcXMHtqm8tywEx302e3GbSTGpp
9mDyJzunb9IDXYK0t+tI0TiGP6/vNPqx9Q3O6qjZAkpifaAhEvWXCjAjl+W/yhAjrQ+Jo9d+FAG2
Qm5AilDrEd4iIa1pZlfqV5BE8A2jzDcSsD0uMlYBwJvQRzM6vQEXsb5T0XRx6G/kQTrw3AGGSNgI
pQi9NQNqCXRBDZnPDFQGt2XXJNo+nHW0oPIOHIti+aCVS/KVxtIXIQj9bQy+VTioHlIBkqWrKLDz
5Nq09Ah9PegEIplULIZoALo6SnVH8FlyTfvK5TKrgbnkxGE3FGwFlDwdjH/i0IdfMpw8xTEzFwdO
mjFAJiabBw0tFTpDSsu+Ld9tI7Y3d5t1dKw1JvVcu0zbUgUZ1Y3RbFnKsrMqcr1Ey6P9o4moNKta
J1aWorOlMu1hs5vzY8Xa45o2B1IOyuDkFiVQDsoM5zTDcvyxz9JTOgNrFID1NTri67YHRnkEvH6t
LZ7VAA0ALI+PJKIBedZso9Sti+YrtCoKjLkZ51n8wRyAgWJpKczHw0D9OUHr3wHZ60yg4WkfAA9P
UPuYVs+otcie8cuWeqRoDS3xB6YWh64O8899mK+RYtMe9x1DhnxqHa4LHpXgpvVSZRhW9H2jrwd9
6dqiYU+O228e5BML8TX91+/l8n3703eXNuwSoGCI7/TMJwuIp+GgvHELER1XibQ9R9Ft7tVWre1p
sGauoVvD1K5CWpNmEdLamHLopYr0jzv9UUg+dOEisvgGKcRXedk/evxRePcq/g93wDJUazNRFKBS
4CTAgLz5FLGw+wSS+stgxfF3VHQEiGQUw8W1y+Q0WpGyIkWhxGuczPuv5KmhWOspmLvFs0r56zii
Pw0El+rRHGanRGIJfIjAcnf8LFZxqgLrQ++R0Bo1+1/0ipNrRxDY4ExLriqI4lfkxAzzl/+yv52U
ji/1rZmgLKK1gYgv7kw0LLeVoMk/NUhaIhgh8PpIs9yK5G2G9YhDLqq7exHdqsjewR4o87Q2cvM/
uyze0vHOSuzRidchL0u73ZkUA2qWWVKFOLA41j7h3Novszpjy4yWUoaqtAKoQMI60ws8RcQjKNLD
IGmuWwhHdWorcyU9pXuqIE21uI9ijz/Z3G1OL2jxScTGd+5DngLNU090cEyjcgUAeCkqmuUUtZUV
gNx/V9G6FfiKrR4h36Pq2WZis/0kFeTnAgc6RWZBADHaHIY0Xa5BBrQmJxDvhMBiQ8hFXvHOXQrJ
pQKuAwBnwyLe4Jv+wyXWvAFQhkhspe3Cn/f4i9uJErR/59dbzIPZuO7Ri59qICWXwYqmRArY0Zqm
oETgwLMX9mNbAHGVVPRbT/bLfsQnqAJudK0PNggWCpS5zAMil95Io9Gk9p6GZb3oSNDimWNl4YFp
RUsAunSFR9MOibAC5zzstUzvDO50JH28DAmHBpRLqxA/PaBRQfdslFT9wUUz1boy0fKciOUcKN1h
LgCnslumYk2GmmMDyd/sJmPPUEgQK6l5JBNjbPKrdVKiwsqbLPfHjKM1HnsMVLSQd0Yasi+BklgB
HwcbM8cNA2Ttf72EZStyID29pMWI1qSx2qR6wsP6qWxxSB1n98ip/wUYmc6uc/WPGsAsFxos0aNQ
5wCBi/JUX9/JhMnNX8onnthP11MmDmW9tyR9M6ATnbLhx5Ly7QWyAuWPGxO1G4AZiUHcLJLD+VC0
m7BVlKsfQznXyVH+NlHth9+p+XtZlt0xY9N1SG4zkpEWLWbWzgWYphSlgFG98yIzKQPvWwGg6RBA
GGK7doz0zutpXOYkRmKJr8DdlfjS85+mINX9jki8spEvlMy1ttdQMCP3j0ugxHF8Fkgtre9MaBpW
gOJGYexGXlUaP8iQkPw5u+KWOxn6xsicn0uuruDNPRAb5eUkONvN+BG/Tdot20wVnhr0IPhJCjUp
Ue1DU4NSirTjbTNSyB1oRhdY/G528nXI/OPd1oO4pvhL7q6RjQ3gm8mRfG57PVzuj388Gd/+CPK4
Q76j9ZIhTYsRxQS5yaO58NCH/r2f0xek3/ot0FB/xccUDRCHMlL2j8gZ+umvkTThnU96v31wIWcp
Q7Dilwdp7nYcsUMqdpAuj69kWdNuj6pijpdXL1/t/6PsypbjxpXsFzGCO4nXYu2bZXnXC6PbfZv7
vvPr5yBREmhe2TPzggByAy1LVUQi85zpLT8oZYv912H4vwB9jcUmVYEkEo/zi6rE4d60CudMg6o5
+Hikqf4mpOVc5/gQlpZ+bGHdgV8g3zAwAQp/jSn2WajIlNY0IxthnkS62Bd0M68xF+HFNCl19TDE
Dt7mAEJVFiDa5EC1JgijLhVDppsQa0lmccUCwbZTrBctKYeDhJldodiSIgQe465tGOcEeQsg8Gjl
Vn6voEYumPsN+VAc0tpqEW46RUWXP7pfzxMY4i80qx1HOdMQWDlKnZr0B62EMkP+EEBIrx4LDXcr
33xlKJLZU6XkG+mHLl1meXKXzI/ELrbbo65b65863twFYK7PiuIAppV3dFFvl5C/NXj9WYaKDRxc
yHnhh6ADLtRFUCkHcv14GDL2ga61aWAOKChwExxtF8SDkpuwtkue8uGkg2SZaX20lVyDwdAWifAU
llOToWQfbEyoH3+HgVB6CjXgKB67P9zR6n4VQTOm2iAVN4HGoOObMQri7Cc4wXu/a/72lapFXsRU
rpEVx/eG8XubbPI/qYq56HBVi/g/fZ6He2p1XbWyrmTvtruubCgCDzryoDIeEAiSY+1MTyY4iZ61
NNY+xtNeLMygeLY6BfgRJW+dH5rimRSdWjLPGIBQS0tSgEPupA9ldte4l5IWoBrpsw8zX5EoxiF1
H6LSEdVUr4GCEOCZDL/IZwpUqIb60TV/v7sRoVUcnWHVVnbql/hlPbMcbeVNBpDwHKSa9TtzMnOd
cUPd/7+zpbCgyRMRqfM/5kgAAihA4AEs57+arkEDFvgB9qCAYylDupRyKdmIs4VpbNF+Cd5skbJZ
aGrUf/P7Q3RNp8cyc05d4s4XGmY371H9z6YZoJ6JqqACZZuWYf5YkULYkHlfo1EtrgrHa9Bc5SVZ
PpUimsF8pdz3JUBE0Dhs4g8DcHL4GCqiSxDM067Mwgj95l3+EAr9GCrhhVeHFABMBxgW6m8n2yMp
udLsfS8rtB5RRSjyj1Mka0CFg55Rq7E3xLeIfpD85DhAZdNZYHxhfDkBpdgjpsbGCfITfohYchpH
0srle76rUIxHJl81Gh8bySVtJPeVvh2YKvDeqv1Q/XKXmxH4fiogqlxY6gQXhw80W8mKOEN2bqWe
kiS84OcPmEHyycgI9Bn2kQdfWb+3AVC6+r1p6t/R2oUslpv6F5p19qx7Q40v2ZXC5zD6f5b1val7
jjo8fKWx9P2tjPZt/NpEr9rrRmSsaZbvuUpWeqgJQm8nCnL98yynESqDH9LBKlA7zpluzRGXOR6u
vX8xFV4kFQZ2NiHtlem16UT4zcnxZ48f4Vnjg5t2jwEwg7hVlGuaqfxFQsrWNhSCgkkbklU2u2t1
mhxW8vds/yyTTyntxLaJ81x1NRrhQss828jb4j2IT/tsMM80a/iSZgv1bHb/uCMwdFcmtCTfHvxH
iyhS9luTVSim6lGOPuXX3f+vfrRTWOsRAH5UTxnt8EIDimLxOSLX/jSGFzUd8YlCwmiMI2GJy2T8
/S+cosrgH0w4Fu9CE2+cuNwOUcTPhXHpBOHeRmHArvPHeFN33XilwQbEwtUPzfGKliAFNy1HkpCO
xHJJsvLNE0gqaIRFMe6eZCBSyrqNDCe3iCtgydboiNxQQLmt3ERDH2y3ifpaPoGIB9LOfJugLxof
hqmSJeD0Y5yTiVfqqW6PZoQ5mm91hhbUjtfsLdTtZOXoIevyaqu4ADREr9fwJUhR4MMvAG2rxPWi
BvSLEXyG3/wpRj9F1VY70s44PHm6qSdn0uZK/KkdTeOJYtQ6yBd4jLkA2UiMpONe15o+xcc//wpy
WAXmqabHFSb/hqKh5rM6Np38qxSC9nJboTf9xDJ9KD52/GtpwKXbYWrD++LkRserx7FM0/7pa4YU
o5GAppc0i9MXTXPYjNxmcSBcmEf+JNTyDEluCxNxJoUdbSU3QcEmOo54EorelWigVyoJKEIyV3WW
wCQks3pQsOfgOPCk72+NZYBYoJYgibzBXby7rdzAPtMAWgFkMq0AhAq0Zkb50PgtkMBdo7is5KjA
QB5TRlipaUnxZCiSiZ2kH6nlxqswKu2ysil1Bd2jSY68F56y9FP85cT46vfj+aBOlXocOqcFWktZ
1peonepLwAdayoFkkzSUNuTiJMBIwp1htZEKcqYlmchY/+f9+BM6zaQeZSgZhWb9ANQeJS9fn5+2
0064Mwan2+w5uu0cV5SW6P8D9yXxaNKwUr8ni+3qqzs7w/7Ptu+5Spng3KQ1qEU/g8AjOVUcOhyl
NxEq1cCuTAOVgq8UVDxOdKyGOSTbsNWjnaA+JBcSyjBkSC6rMJK3lRSuiQLhCUj2ZxdoV4CSTFt2
lYPW1Wgq9FPOU/eqUAIFyH20jnJ1Qs2m9mSgb/PhjNoJdlVbU3usu/hvDZjzl4WITGTAvndCpBOB
uBqBnW2x+yIUPYg1oMhi5Ywexm5TJmm7w0+lu9jjCODFoJjay2yjkZTX47V7rQj+MkkTFR0geISV
mAt5jVzjBVWTH0NcTh3iUtHLDckoKki5XObRVBgOEWOesLLQYYYHZy9STdv7Lvo0gC9gOeO3MevT
HXAlhmuvWj1Kzgak/mntdD6Q1nBF2tvNcGUDCLs3nAf4StrFWpubGPdTnQkOOoQgtYizMOocg6GX
PbW34QyWR6MtznT+oSMUHbLkkmbvybgr+t2Wrr+1lbBtZAIMKS+tAZq2kkt/epJcmW95ARoClScl
aAhiF2kHmirOAMDzDJ0BXItLkupSUlKC1jVNQYRR4b6CpyrW7rQm/Zi198OY4/8zMir/vII4ETgm
b7AnZcrmB7hJp08AUpLmhW/g1ZdirJxoSYMaJXcdVHcH4UzGwk/GMcLPWhEBjT9QHJSfY6AZmiEe
M5LlQIXF1YepgX0s+VeaRXGJPlBpTLO1UJpLQylbW5NNyHL3LK1pRi4Wf4QnXDvlKEvq0MsNRkd8
eQwBGutQZ2ighu91jsse0ilGCqk1T481CQ2+lDJhQxoSinUIZEZUF5K/1AVowNz0xeCKrYURxSOb
pRMQHLszc3FFXeOKz+3QImP6yJ/hfeasUOqMphVPt+U8GUdLmqV8uZL5DlM3hl4A9pxrWztDMHL+
s5+MJQNKt1F3OlA4oMV+QiGnz7zMNdm54EM/gdfeW0/BysDOoxWC55LPSE0zX82NfKMBXfTYT+1R
LIW1rSGBs/JZ6LMKNLBiIxFzBDLGo/bJDvcKulWfmRpYx3AylE1RJdozyWKGlxcf19pnkkVqmt6L
bLiQkgbf7a1tWY6RCEIyZAg94JT3T8Cr0J5TdzCPFuqDN32TzJnXhDgGJsAq3ihDi25OxwYaYO3+
mzRFeFXMMbwyPqBCOG1gB+F6rfXxh2Goo6N0KaW1DEFqGvByC84hbCLsyESGDnWArdVmdpK9lbLV
0gFm7dFpgys1Vb7biywbl2UjJoViLdiWcOF5Tji4nl6AqHRD05Lj7AWjU+xLEGlugLQP0IcBdSc3
0tBAhtJmpQi1EsHy7otqlA26LIKq9G9mn33JLJsdwygNQVrdh3eXDzRTusb1IvTpbhnY7u/ShGag
zzEPOqghN2QstRRAL30wCGhXEttWlQFLlQcWrkax3pXktA3YsV0vZL66Ncy29Swtrb2prU0ku5ir
oaI61wGNm/zT64N1yPmK5DTIZQ4y7snJhU6KyUpLgH2JpvKvUk5RZQh0lTRb4JT4npTRTNrxRxgA
D3cgOQ2JFZSHxAG0t4+vk247T8ZNLYb8NPhuN53DcQJ3R4Dsk+TUcXsHKYnB0m59Y+ansO+G6TxY
yCGQIUr3a+s+Qd1ydYrSgeSg1wYoYZ3Y96gHWWP2gQGU9UQr2ZZMs9FN0ctPLcm0VnMAIOrNw9jH
H2q7ec/vV+PRzpqrNMurqj6BHOIQZCWQNRNUauFMgOpsWltvM5JlbvWl7gp3T0oaSC7N1FpHAKlW
eS23XE4uclOWHedbzTfQHtgjEwx8lfimob4V3JcDquFpHThdctN69PtGNfjWpQ3NgB4HYm4WD8NG
C5KnyDSs41pB6y4JxqvVHSk8ea0i0ZKB7fEAJKPv7z4FmaQz2panodG8RQB6ALlO8R4CsqoGTcL8
n8Rm5ObFv0baBGhMmaocFaDchAbx76Bp2wXRucwS8bwLrXx0v/CRwm7VcUMPSzZSK2Wrnx39PMXP
d2GDn10Idgfxs1s8h/j58p/dpB91vBlNhbpD/076lw28BSARtcHHATCwx8xV0DQ6GRVwTIJ0q4S6
8r1Wog/6EPr/SfX2EP3qZA7mc+pbf4n8NU9iu2Zf7zRnAtU3X1L2epHjTigdTirhQzlvke6mzLVI
gpNOSJlTAtmXaaim5pnxhd4ZzBZ4ZFMmGIElhSSwuXMPF1TzTnSGZAxgEEQnKTWSRzsgtdSQITlK
m0YB6AJFrFA1fmqAnn9yldq6pUj+3Ww+6yf2yQJ1/JFENKCE9WERV35/Aun3nUxJuXJPa6DzzXbY
7KR2ZZzEW6DZNGK7lXtbAN3SMVR381v3Fg+IkjznSGGlP83C1wcs0nyLPvtRyXZzmH8vOIiC/HSR
H1ZSRh9AQwie9nLuUUXJkV5cy0KlAE1Xn0/ScBWLdpIyrZ93TQTg4tBR+yvAWYcrzRQ243xVuEO9
1YDP5ZEQiPr91eUDzYSNXDPnk+qgXsAM7QF9mjwgPrJwfiNrKzf2AAHIzhKmaQHblAH35Fga8SfC
ZaJhIFAnuVbquJEmNcEXktbpZnyrU4TOST+JqKRZGPWgVjkOUNP2hBq10JL12zOQiQjTKKfHGx+A
c8ytrBdcVf2RAjeZBaC5o3HfK8H339ouShLJZrGmSkOxZonu7q1e/4pTorHLJgbUZRQ1FeCaMdXr
CkeFbNIoBD4v1/YDquY6xzFFyRuVuK1L0ETJmyhHS4CifWYAF6ESNbJclMVRXZvU4EAP6i2WGEDl
AnQaKJNwPhNnsT+f1+QZTsl/TjMgnleHKTpgdWOKU90qkggvz2e/PY+9d0aTMnIrp0xFBqn4YLPg
Qux0grDOj3W2AacxYPg4+R0NIasTtGgkF/SSAPav1fobekKuUe829x40jKDOqfttElRo1cdfYHvv
+VArQLvHqSU+SJmw0RT1gi7k4Ryhn/ZOYchkAhIRAoJQCeJFuKSo47OvlneyktFoVkz4zkR7yYR0
PJ5n4YuS6sej0fOQtdwMnY5AznOa5CB2IpvGAcBVotZgKVeh4DRtfdxnAJIY+nucAyvOB80Nibsp
BvpKoG1oGasmbrWRnzuMcflwSnGz7EXOzDY+4bBySFWaMY616vCBZr+VGdXc4OsNvWrS2FQjNFBI
vwZ3vKd6sHeU1h1btQLK2lvSmWbFr8tFeljkfknfm/587OdWxFnYyHTxKoVc11rAdqvEMS3JRcRe
BCL3oq/YQZuSU1rPlXacfH0+FloHAqK3XHfjaKX2H4pBQ6Qzx/5B0yHMy4VTSU+glPhlrUYzRjNO
Zrb9CYRET0GRO0fwaeBte67RGzSNVQx2Lf6O7QCz6eZzusvOGJ+MtHeOAb1tuy36e6yhBZg3qiOs
+2/jMIoAHOjNPAKHrNBqfNJLlOwGEMz7pHXjzUIjILYTw79VvjMd864Y8y1hc0vHjuf08Ho2bx7/
HDP9QlBUNPQNwMRZoHm4MwZ+mO3rodcUbdUlV99PP8WsaJ9w77QLWpyEpkBtn5BuaZ+SBgjwCu7K
tqmLplGgnsUALEflIDmAvgF/76xMqo3ehcaRhDSAwac5ai6KO6WMZoOCvop+1G9Sji8OY6v2rr8d
hq65lHF+9RNAaGydpHQBxa04YihcHeRZWSxW7E25MiMHlJkN4K98860ScIiHfuPupCxLIh/cU9zm
vRAoUu6PFeDCu05D1lScds0+8WSeqSzd+FikPvAcZJqK1NJG5qIolSQsSbhYiwSX9Hw/4fW6CxJg
pqH+uvNrUmxhA1wfw3v0QeF3ucMXIODpzCybzjoyt7obA5OOZF1nJdcyGB7DSmZ1bDyP6OnRFCdG
spUaq6YIzDx6Xv4wktgdQSqJNkUfuVzHziN965hjfNcDN75bsbqtcDC5SJEZKp0KIIPsZw4cv2M/
zr2KEjl40NC5TePlQVjtlrG0cd6BIA4YH+RNlnidiO/MSqYjM7MfqE5niwch5XpTB09T1/2hdmIU
+HBQXRrQZN5tp1yvdwsZwys86Nw/SxHNuq49I2cwgVY2mRbuYzXUaOp+k3H3ETwk4BwFCYtwbarz
VIGClszIvwuj5c6kqF9dyyisNn7CyoPARqlynx9K+3IHXF1cothMS9DfqJW7Oi8Bo9kNuD9xar/f
lombeEWUJLuxA9BlU1eAveQzueyzrr5MBphff5XTMkMf7YimqSAVUZQkxnsRqSrw9TiBViErM4Qf
XBtAyy6ec0fLsHTCDzQbc+Q0YmcABSWXBUGWmRsA0k43I642Iyq7ASHGI9BQjtVzYI7RmVbCGPmr
ZWjSUCx0u1qHAuCDIoCI9RZaOMsHMbtiEVoYy6dePMifn5gC6n23TUwkBkUjsGYDXiOz9b+p3Zfa
gmX3b5OyipSNO+FMJ03Iq4CX7DVehAMn1d+y//idcBRIupYZurBrHxV84IS5TFHRcDL2Hl2kYTKA
srKZPNLIQdXcbnwylTC92Eo+A6yOm2tp00V7kqoxeIIM/IqDPVt9nnEFvp/TUMH/Hip5/Fk1z4rV
ogyEdcw8IwNunklo96DMBNMR9O8KXa5ZqaVMKiis2IGE0kaGlTJ6MmAFo8boLf4fHm9GT8XRDUs0
RmfKFYBE5uewmp0zYNq0reoE0wvKB29xEJqfq8x9yOu0n164fTe1D7kbtRpg6iD/1Z7k4Op51/4t
fsPjyH3fiU/P8yaXz0PxfQstgJYCbNj+bAU/V4wTJhC/wQzQ4d1irMJ8Q2ppI7gnhNFyThbSSxis
fOVSxqOZCBRN9n/tSWq3T/FN2nUfQbTc7+bYcg+odOi/VaD73OhWN95pCd7EKWu/JWD5vs8KmrZS
/Au/5TOKVcwga3dklOo6eOPy2AcXMrSOG51BE6KDTw9coWavncgqBjH2BZXdvcdStwOcZ97vXG0E
ogV3Ki0l/mVf3DZ0H4Ih/iBRYVNCYdQq3LL1ZfddAsISP2NHCVHJ4UhqMo7c+vtSS2EGnvkkaxre
DGk7wElcisgGdypqjr3GytIPY5sEV/SdK6gGcp2XPp83DSGscIt8BtdxmUX6qQVt4UmBZjfgFvgl
n1v8oHjVza9yvWrW8gkJieNQM9cz8UIJ9HegKXtIZCDfqQNz3kmAzSg0uYNLE7xeA4cZMosPNOud
3N4D007dkMymMOSMZvifKGKaj3GUIzRZGy0A0tK2Pf9X+MDCp7zZRrtVfFo2uPyzxjHfu2PE+8Be
kREI9YAwEnzFajytMJMdLaWCjPNYT69ZA9Zhjp0QcdhPaUGzsgGGG/mvFGScZ3F6zSO2kcFXQYIA
/xlAcVnuP1XgrUkVFu/NCaWqQMTDOzmz4mca/AEFDW6ZVfupGhMhQ5XRFzNt0ytZ2EjpPYUohpVO
QG3LThoPhGa/h1MwAZDHGJCH05VmE6GM6ESf8vR5TrM5sPH5Lj/66eN9ZSNlpJBLGYZkVrPcQ9pK
MzfJTYAbtD3aaA0FFT0JLpeNDTLrJ6eoyovfTc49G3P3TrPOVYMd8qK4fwiYc1cU17nTrMvU7BYY
2gavOra7JeN4QJWyogCUjxk9Wrtt4Msd06r6j5JH2EOGftuNQjHS0k5Flyu4oCXUhUFt01uCBpSn
vFR/TukwfQdnSr4frW46xF00fS9j3u3r989vVjFjnFwcB/XfWbm+/pOcKdb8FisLxg8gK+mfFQPt
4XzHldXAHwAYlx+sqQFRfN6CbZJ12sVAl/WFZjNATi2AR55XcotbKKXDuYHsAuNyPsKpU5qH03/r
ZXiKKkNPcygcRTSpDZRiODx+hiYQ1Y7gmWXANUfZvTdFk+F1TqbMo5dntnq0VN//Uc32Xy0Akr4Y
3QTkzDxILlkfIRej6eV2Tpv4pZ77Q1EY9j94kxGmRdA8TFNAqN5B/1FugR8Yv7Svpr9GDQojxpu6
iXoX9ytIFZynEMQCuVagDEi1wSVXTmnutTVa+FF/6DzR4BR1vkd6z/HIg2StEgxnt3FepCjSxvAJ
CSdVz9GoU5WF82S7LZBNwD01ApRd2TR1mHsBruwPepQlByNzrU1q+Ootswrtlmmqeov77jK6OTuR
iJRy8Btbuyr5F7KUYmmK68vq2OrJ97Lz50nElnZgIlFAbAroGhlA+pLdoKjqxmRDuo/5c0lfmpGx
fEL+vM00qY+N6Okq53Oc68b50bNpM6af5J99mTrPsQaIIfk5896ng5St7Er+4ipl8gNoJUOX33of
stVt/4ALIc4LqHS6dVKyaePmzgjw5TkAFYqmGjcua3nBW80HKU/wqUIrkpPFmz2JSgJLLVEA5NVN
BFjM2Q+Bxl+FKBpSMUty7VrgS8oONFxNCxnXkl2usafCSLoTyfGW8vCipRXak9f1aGxfx+T+LMOp
r8qdbLPY7C3wyLfNsK3cECc05fRAMxrBwovvnyi+uH79GBpgVIZ7WpMmAXZfjgr5juQ2t5uDXHWP
ZALMTC3cg5Hm4V2E5XxWANIMzMgI3I6u/sU2ig9hZ0dPvdnrX1CI+YF0DdeZ0E1dv7DM0fJUW332
V6rVe+YPwQ+njMzdEBXWWfGb+SmJQjQMUpsUyjLwAs1AlxH5u9xq6o+WmsUHv897L8v7Hh9OavvL
ejRAvzLU5s7ygQXUK92Dh9kJo+YalSXgtEkoGZrTGmQbE65DNmRDWjVvkBkALsKm6zv/oqAp5uJa
gE0Hfqu6o6VU6FmoCJPfyqRvAeiL7WwO/TH0h+Q4s3C80iwY6/EacxnNiqZ8zKRWyv5sR9qRR47R
R7FPLbwyypPnOPxMqyC6CZE8YEI+JVV0WxxPOSQunS+hAyhK5/WNCtQtvCyegxG4cY5v/F2zBmU/
JHMqhnoirlVb9TGrfB/lRSRcTHWUeqCWi1tNfJD2UiYC0z5qpf39XnARBvWk3a5Qo2iTo44LxVz8
MJpUmXXGqck6j3qvujta2w7AAj2akhHpaQncd1M90tRExWWVVMqxA57Yw5GsF9EXU6sZ++CKQv3h
nCzhjVaYRrTMM3yfW+j829JSDhL76P8lI6gWAnNxxnQZWSpkvD/LesKNIWsKSDO/LpdRpYJikYmT
bAr+b49KNKcHfEDxhg9YU7QHAH09wJRUyRhphkdTQO4q2QbAT8ZZTNcG9hB3KBQbcU/OAwr1/xaV
NiRTiiyX6+i0djQUxNX4X94yTRkVD6DluPlwGIB7LKty//IHY0bNeqBeFMcElSEQXS5tn+XoxbBA
drVxuV7VxoeTPud+uXf0tDpnYFu2k9yYUVudxejms9uD5uI+4VDbU3Ty3flZLGOnxTmE2wyo8keC
DMuQDzQDBbFzI4880J+NgnVoaXkLCHReIIMrTT4fFKN/KUOQPCS84jCsFRzSMrfEF0pctp6uawaQ
yLlqiE3/TJbSnGQ6GhDzTc5jiKk0X6jIKR0GE2XbPBLA6vhWZEu69dp3/ZNhD905KwftPtupdu/M
8KvmAuE7ahz1LuUN8DdgOz6TFclRJaLqG7xB+sA9QY2aNCYbpQEgvh29pAzNW2hXxA6dbTDQi+Cv
l6KT2RiiKBG0Vu7eByj/RW9NUPKoNegp56nirEcAA4tiVqFUcJvVdfYpCSPjk1HhHcodgOGjDrbx
Sc2H5mwUAOBs58qtgP3vbIzK0D+SMT79w+0QxQBqA+rop9bphksGVrYNaWlIG3U/FzhiONzCiJiG
O84WuAt8sxCYyVe0Kv0l7dWguwI5j90pou9bzY7lir8TwfpYuc2p+3HUgM06x3sVwBlfptbyz2qU
+SDVel1Ovy5JS+BmZOwElY+KWWCdSd8MPErXPMn1S4TX8A0KzGvBH6ukabDvx8nYEWFslHT4s+wA
n0hLpHyCj0YFiFbONStEVXIEvfz4FDVB//m9aJNuAsS/Bt3xjNpegro0Zt28zjGqU6fQv6dJ49+b
RAXpw1i3Pxugmh4n3ejZFojr1g7IoI0n1lUVWNIv1nTLK4GPuZ+MIvw0WAM4H3PjiVaRCfaEYAT3
UTyVGerNg8FjU3gv+flRsy0gYhKwCNiLz4GuPIHwERicBD5Cg2oX5wjNUBeboYZgW3d6ulUzAHZN
Yz6A0MLo0zPboXbvRmBPBM5EA9751atcklavkRkJK/O+gH9aIDkR3FNnxsJG+q5CaWAp9VKWZ1tZ
byJqRkYd/ZtFDVp7WWpiOQOgxkXBiROV1+onzUVlyaosRVSkDFOl4/OxabfoRcXHmG/61c3N92JF
2ZCiRf1ghF7sLXJh4DIQ6RjAW2+YBZxruvs3hgBUPf5woRUVCnTRmD0pbHKRd7ZqUSdACj02wquF
2heywP8lYNu6sHfxrRI2BxKS3VtMYCWgnmCwp3mDx3V2i3MqPz07qnFQ9co9ruS/PfaS3eLI29T6
AVim4yuDTzbhCMTU7HOTWeanqvNoIYY2iDdxZ8VI2oX5Z9Mcpl0caMGetJWWgqZvUnBhwd1LvzE/
OROYmorscwyO2LEcrRsdQwKruyZFlAEr7pfDCpenJRjRVocVJwJmDZcPE96Ld29LOrtkPeohqx4v
tVXr5vcaVMv7wO/cjcVBiB0+aMqMGoTKAY5Qb+O/hISRkVWg/eZCMkfGCXSOv40RuPjZK03ReYrL
snvA+i1KacwnJZ8MMTiZc1fnzL9EPXuIOjszvFDHa3uptuD9zG1NOQyJb2zITRjycGC7wt3woLc7
HsUqvraOox8KlIJWoJHnICtNGUyXmeOU0IwGoclBM7EQmurXeR7U89rMZj6AUJXgBhBrFAFMBZqO
cRS444UEVFVD37xklb4fFN/+J8jqn25UtF+kKd4SP1oxmOryLWhrkYnlKPIq6F1AQsTY1k3wu9JW
YfshQJMLKUlk+9lftRmbV2T9rE9InA97NaycraEqTnofGco2usFyd8Mq0SyTyDSjxPKkIuHPTMXd
SW2UODfVqbV7ptmdXWyLQHmpfDM9diy6zk2oX4KKp41MnkFarGlKQjmQzAHu8NGacIHMPWhQ1Uq/
JApQj1EqqewEPQRaX8MtTcNeK8Jtiv9ooBMoJw7dgLPUG+tEAHC2egMeq24bCKZWYPvXRwHknDEk
8if2TdKgSTkndqEVDYIUDeWxJy6PfWCRqGN/Cqx2X81qsdxWPAGxXcjHWNFbvPlJuWlUDWD6NHwX
czZ74qXvqHC+jkzNYwwFfqBlBDMi6QGHhVI6UkUmiOsnWwfnM6kWXqigqoVwEU/Gl+4WRSaj99Sk
EFt0kfLCnP7fkLPebAALAJpOs1X3g2tMKJKNZjEUqvuCH9pwSvOojXdVrWyVSkUDALcgW+SL0nsJ
OgHdChsgBTMQA0Zz/bwKNPVhdwBDFbICFEkFaOS2ncN6K0MlQzt/aBv78SjCkEW2eAL5UK3jZoBC
mP5qqR1K5dzQJW+XMl23O8UoVxAKkpXhDMgAsnGJL1qYk5QMhDTkfVikQoNZvwhCMqtPUWGCL50T
ChCKcx0OoK1Et8y32ddvOA5MP9FLB/wLXD98qmq7OuZm6R8a5qafmW3+ozJr+ln49hN6O8evxdiB
agJdZuhvT5qPYFoFyDy3SIx6l2ax+UPtwUGA1Di7gBDZvONyWPPIwqp5Y1P6kwPlegOSOmAbLdsr
jsDONrSC4cWwLcBgIJaPjobNXATWk8+q4qyPOk4fipF90w1TPLHNuscTz0FUH9NfnriIDPsrGJD2
VN6oTC7IjC2QruEv8EEsZ0c92htJTUPD6yDDGYZjN//GUPhII3KkkFReafpTuS36btpSIkcSZ9FS
ZHNKnuIByS0Qwz0Sb6TtwmwxpTC0nrUYrGd1iADCSZ+zO0gedkMejqjqx4HBB2C2gT/XC62IUpRm
cuAWkwv6bfx5P5ykO8neYkg5uZOSZG8WMixtBcbcv1PFH/YC3IWweAl2VwLuLqB5owRXOq47JVtS
k2FN5A80XcSYwTNxfrTLTaj0OXTIBD+bpv8UR2Fwc2yrecYrenprOucD6UgE6tVmF2lTuQu7Vk1R
DfZwcBvzX9YqbA3FSdW1VKgrAELlmupsrXQ3TKg9WiB2Lkpx16W5tNamwNyCIVTfRKnjXGiwCtQX
sJr/kvWJK2SkANMt6rikYWa37iVxrR4M7E1Xgb0cRNKJiWIxsll5k0yo/RxUPA7fAe9/MCfL2BzZ
HvxEOCyoqe2xRC0+x6h3FDOSOVyWchnN/mxH2jIEb9rjGoyZFtuAk6rqUd6potnFMY9iWRJsS1kB
qohgUkyavhmRjGxoZpN24UMgK4T6AlDmU8LjkiHJXQc4KoY9O8c8HwZg3wNXjb946nywNePFV9Xk
Rq+fDMyaOMDg/YaUQzmO58JvNGC34eU0ityFewp49v2j4N7ODe1ARc4SwXMGXfcWfRgoFOLg3Quo
Tlq/CxoqLWlGFdMUJxtRZ6QzQ/PcACw6KXHhiL9Pms49O0WFi5JrogzuFP+U8KUwpD/Cvh3DY6WG
Xxfvifnkqa6RL94K6W1w9fpIL44Lr8XUBbqOleaXDhUJ+1DVUq+Z1fIHPofQ1ppWn606y25qnUXe
PEYVCk9BMh/hRvPq6lH0pUyGA9mP4FY6AHgcXIKv7hGqTD/P1mQfytycXijJHrpGGB2VMCw3iWOx
r2g4i3j98ACqk1s9VCoORygYdsGVuAfNNji+o8T8lqK5Y1MDxPT+6kRWgQ78jykH3UJTxeiM6vQr
XXvRrZbfZc4GjPToRuJ3ZCQbWl3dlbFSbcU9Wo4E7imcfMBs8ls2srEYarh60EiS2+NKDOHbIXkN
z21xfrRFeIZs7G3EB02JA/6z1akoVO+RclANpXlO7SB7yorWIyWJ+sQuDq7jmp6eW/jEmma0olqo
vDo7A87rwOX/l0jWx6kO7kMG9gnkr0lSpvpjllhawEvDV2JavuqIuH22s386QwGNNy+VJL5eQd0r
mX2tsgICCot/rth85TLLxvgIjKAPZQ/29P0U1LvIiLXTFMWK+THhaGI0DH0FThJOB4WWPtClLchU
UZSsAgEAuPcFEWQTPxQJa9+C0NGsYUvMUFJD5rM7g2ONhEQv1bSp6iWNom1TBhRVE+9qRv89a530
ClRr9dlSwF2jaPpXt5/U55iLMmAjePqs46fOZTREpxH9PGKOX8nuEKCR0KMI5KOW7feCByXrZlQW
QcEJle3xix/vnDKMrzit7ifKt7Qc4jUJ1G9J6NSnlHOF0pBxglCjSVCNqSs6an14cqZzjehq9/m+
JkZQstFRSYiXIvNSjcMZ2Dm4GdIiN79Z0XQOQEgTevPrshim+uNglf9D2ZUtVworyS8iAhDrK2df
vba73S9Er4DEKna+flLFaeP29L0x80KgqpKOjY9BVGVlPuQcX/FKlRzxZ05PdKaFAMB9sH0YGnmE
xoYiL9YUvMyluA/B/3G9JW5epcs/eS2g5g5AfGGrEDLqIsy/IdfCaj0mNQCr9BuTa3R4e5zM+G65
WjUlq7TBPeHF0z/Ow0GL0JcxC/LJpu3wNu/lZzpETLUu0KnNIpxqEq+uIe68KzJqVVacfXVY5nyw
0bAd7uoBt3kKJQvF41ap1nybD1Xk4yQmv/YvyShW4eDqfgCR9/CUGjEEXaRdbcIh/elYnXNgFgpM
ARfI94yGESIXoNx2/lPPJb8Du0VzD9mF5t7S7WidYh+NXCKG5HB9xYNWo5+TFhkcy752OWBesmfr
yc7lSqcXs6WdeWl2XmLetUp/6Io28OCc11lWWFqqyUYznNJla6flcrXELZ+02IYC3LGW5f/WvFoE
tB2Z9zUf9jDvdkCz39GdE6ij5J52N5XQ/dvm591uh05H9VJOq9NwOdAnpMvOysnAfjqChtDxfjPU
SE70UyaFkwQsdNwtDedWcTrNVRP5EmPJ/nOKDsdVjb+GvjPDGNSXWVFsjUkX+k5/GwtKLE2WurWZ
/iZNGVoIQVr9wkO7WHP06h76xtBeDAm9VMBx6yt5WRoGnduwZxk1oKPUgUFXUXhBr8+WljM0vmKo
eZ65oyVpSEuOrl8c0LVmfMo7aIP1KXTbBeqXeC7ioDuTNZ+h1/8IVF1ycsbQdtcTKKrmYDxBYgao
evg8ccvb0T0+Uzh5OvMjMPtVeYR8q7ItjjYahjpYhODJPVWyAPywfqkqNHDHnfj6AU75DnKpQ0Hx
tLjfeewRTd1vk5c49KAj2SetEFUDJJ1dOpBAAJ2iW3ObuUYEnkx4bXLQqTeLECiRARUjZXOLWZah
sw/D7MS8QVedl11yYGiJ5oovYTkgT3wbVkSQ4ClmhcVtjEB3GrHItouNzpZ5i2OxyQFQmLdPIzuk
6MDWsITQNOSOVyEDwRhIAJy98KJPs+43SX6DgBDZ6iEUUTD6k7Ej46IITqrhqYXWZDWPRu3kyUtk
NvJSxEq114GwJiDsYPCmgt1cl6vMdDqgfnk1lWBvzgpzWtMpkr9I/IZut+kH8Eaql116f2VZrkNr
pLHnl16y6T7yNSbKRqv5ddhWMTSeX5VpTHMEazZGXvknfNeKKyVnKXlb+/Ib3uzavTUWgJ2Tg0Ja
OGrloLDFTmdG186zaLTkh/922iXyODqHOgp6Hbsnt4HynuDNsKUhz7zmGnP/EpYJhJg5Lgjygll1
SjOne+IOOqVK0QIrFbfdEx3wrAJ5Cp8eaETLxW0GUnY1QfdZfvVBbeqFOyR5nDMdota4nX2wDX0C
yFLF7Q05ei12zh+CaaijHewQDhCM+09r5rZ5EG3mHBsdrw+WEz/ZSuK3DxsGHsuW7WhYQ5b7zgBc
g0ZLhF2ZDBKKSfzUqogwTOYIWojWsMSAJtG4b4M45/4dHawRulM1k7gJ9ro7O0LQGqMCijrPbBxF
69/ZKfsJFGt9+DA3dqp15g/a5tb7xSOw9yjuj8YeH1wrGvfaUBn18b/aosge9iWEZvvATQr9mMbQ
nFMPXdyK/XWF6uUaIO7mvlK2xM2nixlNG2xD8ZAuAD4OIld2+yVEE52+R54JWV4tR6MYzesgKOB4
sr7QyhRMy7N+tCF7reJo6S4cNrZMzEudNOu60ItLo7pYlkNiKMwGR0/9YqOzJdgH5uWCJPNioYBW
rbbYaCHLXaXojpy3zsvOetlJo0spWvOkKuYQclAc7bNp6PTQpu1cLZ+35otjCZ7UKmYoivXi/fBp
tIpRQmdNJtoutaqgVYJ2fQaVWWAP/KPkhf1YGeUP2XnTNzCcoP7V6/yem2gqrWLurGgCDxPIX4T1
iw681d4rTWdr1eXw+veKAEyFRzP1rMeuqn+4Uq83te47vlw5Mm/Bx+FAYXzsnXOHXiFUu/lXMhWl
B4ZLciwhNKyK8nMypPbuP8dVsu93iZ3OS9lFaJ3GSgSdjgxWA6WzSyXS+6wdmkcyFYmsN0xU1YaG
5EhtR71/xpe/J0Go2DxBpwT5d6Ya/pwpfeH+MK3LcJB3rt7IfQdkwcFCifJiWa6xiXjqPKUJEuZd
nQ7fmrgEJK6H9qsNpL03yOrnh5WqPJd3bWXIPfiEnhvHcgAXc90gT6wB21F8RW30Vg4BndJB9wF6
GTIT6LQ3x7vTZfbylaR5hT08Ot4YHfMEavWeayXfx1L/1bq+A5KkUR7Dgk8biKM339J4Q/5ygso7
Fw3k5OLMeQBfRAb8fTVP5J2APOeg9yv0RXgno9IS0FGgb2Ao+fPY5vXTYi8qc/yq8/gZjKL1k4l9
xhyPfZv5wEqo571VgbwxNHaMa3eLabIbVKTejVW9iYZz0WkpMtFkL/XnyY1TWwFvrF+2adjrbnTL
Vw1SamDsnur7vGvYfS+cn2QXeFysIf44HZy+rF7de/R08VeQTnoHmkxWX00euqK+9/1Y4krE2ayM
oKty4axj8E4PgaxR2rzoJvKC79ROybEIMNCQDlbK0HLLJt1co0ASriMlLpb2WXsHzHDYTahPk6kY
WLO2ijHb+COw/bMNRYM7SNanSouMLOSj0Lyrs83iKG6hIXgu5tA6yzQoaaYZ+lclskMZ8EknOhS2
bW/TiH/66ADG9xaCDRDoQj/MI/dggntoXmwJf1vR7UoAXgA6S69zmdIrUPVtmDdenXK8HWIRj6um
iaG2lCaVGSyewe42egPaXTJNVVOaQWiO0YGlzRfokCN4WYuWsSCEtjFd01rXbmysO2P47kcpIGf0
cq+GEHlmt1d/SH9/L/CaAOUc9PnYbeyhGQ3Xy2XQMkcGGzkEHS8JAZLH2p37ky72zVKiZVUOAJmE
Tb+XuuUfvLjWQbqhtLuW7a+wm3rrNCkqVcsuusAzEJ34Uac9+cavJC8h6clYXZ4lONytsbWuGnJy
1zCd8CbRmU2xitLB3cyBE2AlVx05CYpmICMHj1x4oKc0V4/vuWJIhb+i1ou9ryXP5J1DvLzfAJ2q
NQdRA38cV4Z9Wg7Ix9onntmgtSMjjekM5TUbcm84xNLQV50nrNWHeeYArnrNt3YZJDjcFa6OOOF5
Lk50FvVZeiqZtylK7uyhp9okW3LEMdcL/M8hej5d5rwzvjsdB27hxb/mXxxLAuieedNGlv7wxUM+
CeU3lt7lAJw/cdc/QMJ5nMMMaxIB0/rDZKFBS1S1P/+jLf8hoWLPz3JQT9BfneLsurjFmSGa4EuG
X8Dz5WMu5AS172vv+E4UtGl37zqj/FokJjjpssh4MkU8bJxBCy/ozOKHtuuqQ+rYxkUfGCSP2ql8
yoaOo5GoDF9zt3wUpYsV63MZty5uQRlaBkLpHAdt8gBiCj9VnaddDUVu/zYycdOkUZzk0Z2pqO1b
O3rRYoxSh9eHKZM2KvajtF7tNmFB3wzDpWtzCFdm0XpQTSRG6owHaPzidqS6WAavvIW5msaRIM/s
VcyM1wYsbSdKiTWhLx/+NnV/TPIt6m8TjWj220Ra5s2UZmW6q+LsSgX6yOzrO6rjTzkwL24EWXrI
MlPdns7+mBfLiL7rnQ5KIucrbjc2Xu90a01L9H0PYL+L8tEajwioyoNDbFNNYsAjPc62VWykx3Ry
6wdfOMioKjy5TMsD2NPiL3FdZFth+hXoFfL6TDcAL8W14lL8uTmUlqPdZd/Jt9x/bXULKSJ310+C
rWizT/v5lF+5nvBHspRcweU8GW/00QDKDNIeqXLSy4DTyJtzeV9om3l2Wo+XJnWdE+3pu8K5gsG1
AK0K9vu6OgCX1p6gQ3ARbmpAX1nZPBO/vdUwY02zluC/52fdC2s/ERxIr8bygg7xFWGLcmps+NtG
YYQwSgtvjv2AN3qLJ7sVm7dmijc7mayqx3/X0EJfS7ZjhfRi1Hcbd1AaMp+01C9fvVifDiDLBfRA
DXPGfmqoeN5Dw1jeOw7+dcieStMGyK73DqbRv00epDcd9Ew++yw75jGSwE3sTk+T4ZSKe9U8WFUS
3/sAk67GMO++O00fRALond4GBItiIb5e7eoKEmlDl/u7RLFfIE+ENx1FDdhH3qk0MqQiPSjLKbpK
bTUoL8VB2jO7E94rxQtixRhbHq1yaZY7MlKsBO/moW3KH+/iCq7Pqyc0zZDoFWL4qo9RGAZeHSY/
XfO5x6/3vehQj9Sbzr4K05InkCMwVGwdA8AXUGcYDf85FvW3yjL4pxYMMNtWlsYBezb/ftBQSqW1
6urdWmWji0OtWN3LUSQgfkyma6+44Nv8UNZj+5LYIryLsvoLWTkYRg5QL8nXTHG/F0Lz1l1o9nsa
0hJZ1UxXGmKJrO/RIePVxrtriTviAYgo/bxcOxCOyI1jNfWaLiU5bNOXV2hQr+aLQrZUFyZwqki5
zX+HAQKWB22CxCpdzdno4vafqvXJRgvaoQZKYh7vAC0cA+l27LNpiXo7WUzb0jD2jCJwIGd4rSqH
f47iTVj5oNzxe+CD/55kqEmgKz/lKMg9e6az0aPEfrGRLT5wPImw9cYmWdlzR7dewnDqoecnxrkZ
lzvuHK8ZaR90efNNC/E+Fyk1eqaID5ZDWIJ8bQh/LpZIcSbQEH/4J0CovAONFns2Wt6qjtx0Qw68
HYJQIdbwCWhRBLC76dGMSa42SYAubH/ppl0eUHMDNxzEIq304CWJ9hCOKFFFfZKua7sKH3hrhg9F
ZyJ/Y0zWbrENXoevFjPPNAtKeP69cOdwmhPnU3SqCvFzmeLiCzAvTRHk8HWbgzwUf5Yyf9RVO2Fl
9PaJFA7obBm6Cin2wbYM3+YvU4vJ7U8S3DZKDAXpOdltqSZOBz5oYh3VKi3/z8q78LrmAAbTDWEU
iIWMzuhA+IduMoy9k6Nw+aam+k9cBLk7km8m/xL+ERkhUaHc+5G3BWPic5do0S6DMuu6Y7H9xJse
yIwc93itsZ/IBJRchmuXtycAjeynGP2/u8bLsjmk16W+aTgTm3TI6ofe9627EroYtt7JBy9x5cNg
FzaZaET2RFQFhCA0FrQVBNtaVIE2iS7ACSvoqE0sAmweB189eXjXN9C7xxCvn2ujCl/j0X+JHRC/
Egsh8RHOJIWNZ80Osi2EhzNbYe6+oPXO38+xeNojVfn3UrONaA3fllqYDmfvm8M2BnEE9Ry61ww9
CczG6fHhaX+00xbtEGqIpMm0QwGh3NAwGYxsI5Dn3xlDPry4YS9XXlzqR/KihhwHibCTK3k9Wxwm
p+CPxTg0L+2aYqY2DR9GCC9i1z68VEUVXpYPF0N7+3DydtjQzB9O6+Eu/Nni8g5sq96qzaNwzS2o
LKMTscY7kO4l+2gE4/hoJON17NmIrGozXrkNNWFktJ5oNMdSCGcQbPUnx1/PRvJ3LIwOhY8WWEP3
T4MVlk+uWz4TT4AzxMkaoqD/tJsqHnxec3wGsMNaGuawpVQw5Y4505xt6zld0Dl5ydaUXk6VETvY
TjWo/4ELR2Pmgg6/eZFOD/aexDgv8DA6+0DB12plsY7ENKKUBOgZhTiGjHYAMjUXU1RAmfd2djX7
yXpq4+YkRha92mGc75JS9VaoYTRaVwBukLHFNblOADwFZOdONqyL3OdHNPPErw7SrMDif6lqUz96
A8jeKCqrVHY27yBjVuQfP8RK0IqsiEDQQzZ+5VwEuWebX6xG1Ps2xv3GAIby8wDSm8zM3HXignmA
aj90oHrQXBqaC0JEwESnbl67a3QxghPzDXgwJFq/AkUch7oXmC0XaC+dzTZsnABf7LYLO8WHWK1J
wz8JvVLUQHqisPuxRkuFW/2hjDp+Xiq37wrFFLAUekEND4XgzGZzxfhd4LtTmkOrTXe26RSbCu2W
D+BimAKwucvvoWfvDMA8omCKtDVHF+kPGdcACHdx9wnpbH+tp5EN+HJs74FiaA6tIbRLXkmwLGV5
/yz+WgkUee5Xu27roNA7Y/sueWgC2p7L/O6WKKyRGkub3zSiQzh62dr2itukuhvHhwRPvth2jS1d
atwVoWKaubW5tsuIrz5c4pKlRxTxxbHS6z7gupi+eg3wn3Vci7vGsfU7ptiCKdNW2JmJBFcs7kJd
GHc0g1JtHefmPCOJOv0uA1B9ngFQz21Gy5h2U2ePsik6JC2Qt3Wf8+PE9e5J1MgUOh5oExx8pZ5a
7HyfWsm2TR/H9zRKtWLaDLqtQxUJzibW/Tuz5zv8UGG5ShPsCwDFT94tl44u9E1Hs9r1oYtmhsY2
A5Di6Z9z4d/OFlv5D9sSR948SvXPSxx5wTEFBEieX5no0gPJRS56kMvw/2Uri/Z3HWn+5v8wn5f+
Ji/CEF25EIBYDpKz90NykE0tXjLL3zDGCuh2/B2nJUpaYlmGfoJFw5IcJQQzIYIyHPHuzy7LQUP2
YV+l/DsSCmg8q0ArcokLLRzRbSkFXijrFu+6MIboyL0I4bNx3WHfPYkWmEkjCuUuDv8soeIacMT4
/nQGF5W3McYKaYFE5490SBlK1OBuY4fFphUvLPLxDmFp/JGBkOukhenXxf8f1+FVOa3Dqvmq5256
iQDMutjoF7gwdaCzqQGYuvV8DTtCeA0XWYo1ecZhrM5Nfk8D/LpGH9Aq82ltobvErR3QzKi15nnL
B9CySKbjDQhv8Yeu9O+oj2w5uKZzrsDbcRzQPQj16AT6k6iWDOslhJrOwiKdjgX3Lh6QfdrO06x5
GrWcoTszXwEXqV1CXYZTwNPKRYPaEG3JSIdGMO1CZ0NhjLswbpJgjv4Qw/j3QkcZ0yiYjwfa2zTX
xRbMi5AooAlhYr06QDbshGdlF9ambF1ONSRpIOSD/ZkyQtXGa9alphQUfeswB+LW2azpNG24v3Ni
/oosB+ISNcXCngAsuAL3FzwGxJYC301M+zI5u+wHmbCLBe+P1v6ZRuPlJ2HLR91+qC46RuhnmX8S
GemACbjluG/TwtoKK2seR16Ask6Y4ptVmgfAO6zfsYSm2lTn38vSd4IsRi6t1rtiW3WmOGuZ355Y
2L6frjMfTaumMMAXCYiK1hfRuUi6CH1ZEAdtvLrc0BD87P1ljO2XuHGjZzKVmr6V0dTfAwMaPwsP
MomibYo9Ocdx7JBoUG0Tyjvkonyc3DIgJ5nSkb3/vMlwIVMP4AXan/AJZuR09Hkgg/45TfHPapD2
k2mDflb3dXQ2QZ79iWy1+5CKwnwsVEBVp91KM7m+X+LLbGCg8VRedUB8i8zEI7PZ+3ha0K8AiBGo
jQSzV8Xb3UOUZGhqmLMv6Qi1qg8IBy83R3SwjlBtV6xIEWggpjWdNgmURC1xIejDO8QEzQCDgw6m
uA1I2oarrZL+lZffDrmGliwr4ReyUwQ5B1zSfYO2TLTSdpkDVTPM4JYdQ5QBGiDLAst6aimvTJog
YV64olzohA7cTeVr/ZbSpq2DzExX2P2W8qbLcPFS8KRyrOT973PJOydd1cqu9KK1D9Cq87V1J8jt
jXH8XMV2EgyTCUmO3IieITmSbwFVKDc0NECJcjEH76WKe16vqmzCPxeaYaXfxM9dblkrdIoUELHH
VDQ9dYfMEXxF3kaGxWOKkhk5yaQlZhJM//isWv0kWVcHsftqE9VbkeAJjXqlwALzMTPMeAMtXhCh
9JNxmo10uhzQNG2AdkxNRUqAR+swTpJN2ABGQUHkd98tOseSeVmFzjrp3T4O3Fb7sGDTGSlo6Ln4
Y/WI79V0mvokvKeDZbAwsLocIIkIjdmA543FZjRGZGHBC6dhq261+3wCLwuFR06DiQbkAKKyPnPw
dHQg5d741ljP61FA3Rf//BwX23qQ1NvHMkcGfWVq8Wtrp+PJV5mPRuU70H0JDM/0IFTeo3SA4krz
7plGdJhsCUEnAyyK8xLgJ3BXBQBBW7P3sCQYaF5rtSRFd01bnW103vmWlQROnnrbHOCLy0eW9Jkc
3TGQh+P1LYbo1NEW1EY7V81ePLQEHdw8AbJYpM95CU5tOmRuLM521YDKlcbIbB5YncSHDyGVEsFe
bKmbxOglmkq16WM6enSRkqeDnIBetjNWALP0x8ZVCp8cZoTqzuLoQYF9lyQV3y8OCkZr53sH2Qyv
XHsc9IomxMvWiZKUozQyHSgpXZI63X91VD0gHUCOzf2oC/gJ/eubzmqnE72nLnZ6Y+0EmHuUc7HP
na/Jn1n/AkWpWbUGygdaUoPYTOpbcRC3rLuPoJFpx5720scG5JJEJldVVUafm0zo2NvpckteaeAd
TtbVdKShi8oPRNriexpV3yOZsRdaL+fZExgStRdwhYaqm0ZCoBjLF7i9z+uRt03FAArOeDqSV63X
FH58T87417Le28+nAZ89r/evn4/Wm1wLeOkyBCZKxNhmviH5QgXaiwHnddzSPJKdTHRGiL5/gvtG
L+rX4F/maD/8g/r7ZyAttsSIpg5s3AmOBUEGgXewT3kfmH2ONlKqTjYNR3OptAu2wi3BmEuWS1WT
YmiY2RK9pjSWxvhU17lxhD4dcDLSvpurx5Z2Gy7lLG0oAUKJ7LsZS64i3g3f5s9eNWS1ad8ZXo3G
NTWXVm8s29wYBtisdd8rTy64IAPCx80wuNC4oGWivRLkrRR4fvG2stcz5K2Kx4eaGwE5wwg4OfAX
5mA2hVYHrbEsSV6KE4yBayxp9rIyK/BDArs19bse8kkrS/QgBM4t5PPmrB7l7rwmBvK6am5+gPXH
XVuhwJDqPZSKZMI+DwV0hyqZgA5dZcd9O7kbqsF50MA29ihS70BRGW/KIyg330/qHGzVJ65Kd4CT
5RvwpgWR7Yw/PPBwBFMV+o+9Y4Ros54YpIz86SLsMt4ArWi9tBr7mhdD+OttEgtLC9NrcciZ/NrI
wb106lAPHJRqRqRSAeBT6V33QmcUQWfIDyfg0jSnOWRxUDDNHw0gSLyq3JZp1qwmN0cfNlp1Dkhg
pfMw0rXhaXrBNs9+In/eVNGqNkV/qPFf82Sn5i2cddmhtHX7YEJ/maVlfUeHxJ/qu8o39XMa6hsp
RLIBHUqGNpqoOyy3UVOCCh/cEme6bU5U48wL73/ZVJyr4uh+GiUgQsYDFNQTQz/Ot/BlLtnmkMaA
yMGtVzAqyvhTK6CdA/KQfl2qEokDIgWASaL2SCUSaD8e3LFJn1TXyoNX8Hv6ay+TWj8D0baRgt3G
S+6Sro6+GGzimwKb7bN0vf6MLVCBMkhjfO41877ONfvnW6iZmdbKr+XaAobgHt2lbENnHsNX8MMZ
Hhk32/8hLh+GFBt7rFKD6nXXl0hmR12qYLgCbC2DzPSdhMQumiHaWDXmA6y+jB28JYxICYKH5ZDE
BbjSpqG794p6R61w1ECXyfbaZ0l4pZEzNDEU6NAVTEOvlslBlkl9I3awVMUkkjtqrJugQnkwbTxV
i9RIrn0yocdmlNmPQu5825bfe60BQsiZtLNRa7cAowxFkPRpehRN0hzQsfW1Gdr6Ls9rxW7XJh02
z9MaiErQECretdaJvaMnwUpI3WMa2C/w2gsvDRcvkm3mJ/JS8DKkpUzu8I0+AdyNd07AV8ryaI59
fKpqB9gWw6itKzgf2NY3K4a38g64ljBNFMQFB8epju6Ugzpdynbb53V9gKDgdhwM47U1NWsruT3s
xtbWX3W3XYXAzbzUmcRNXwNEiuzlwH9H+ujcO2Y43VkTJFbjPjdeo9xTOBQQ1TRNM3zyCm0LrSPj
FXgr+8OybZu+TE0SbWzDLvHox6/rJFLsaEgXw0x8dMspr+xL9skAV/o8pOBlSF4KFuEg1kOh+In+
FEXmW2vhNNEltX2wktoiB+2KQL9/Z+FO0XpdspvcLr8mENdu8Ud8pIPujfG2bm0TzI05etrsuPuC
HI6GFuUWIWOaX7ssmyegtvhbmgMaLvLiV6LVzqVMOPsEBe5fmpM4lzrs2KeBJR98kYqUKrJC5DJv
qCJsvaZ9Biz35zIBv2qblR4WT5GOSiMIXESO/hj7yG/4rZX/6EoN3OWF9svh5pfM0/k8aYo199II
sO35kqMMZUUWJIpQ1wjjOtkmoql2NByySAScSevqQsLuJS4fyVz5oXs2Ix9fJz+15kmmp327lSeB
aGNrqcWbbMiSb6aGd8CpG7WrFXtgIjAsHdwatfNsgAoGYHzT+alrySblVjzHisTXrrkthmOSy1ts
NAFUYKnYf6y7xEae93sok/BM8V2Y/ed4zR/erw3WOe2bZYYb8AE3oHb7ok9NempN3wLgS4xfuBF3
K7tI7VMxTvxLVwB1hajxH1GuisIDEpCoep68RNEkvCCAq2rIz9hEG4flhkF3lFzs0obV36OBN2sI
w2lnuuUYLrvdcv5bQIMOyB+duW0K6D0MnQ34l1cPAWvNbvuvZ20r7OwYefpxeQa7FoMKEo1dWd7m
RkmNxgk+8rNjhfwq67BZCUuae6psFrKEUK0+QRLgrdoZO9fMMuxHqnVSPPe5uadJvtam+N5qw/3k
+/mei24MaLgcIrAnxJzfz1GyGu+5a0L4uImmHVC9482hpmvAwAaTshnGBJX5ON40YcU+Vzm+8VlW
3kvBjOekH9ZkHkdblZnrahW1+MK7hZ1tnCqt92+TpHBB+zVkq5BggVqoec+l07ywJszuXWxiX4zo
IeNe8bmSQ3V18DqkMrHFZ+Dnq71oDXzx1VD3Sr7uDZ8dyAuBiXkJ1B85ErUPfZMVaJ4FQhxyKdaO
IDN1gj5LNEyic8XVToY3TCuya51hB9aAf3WGUvdTFVkXssuqb7ZTqFu7QsjqlascQBr6n3yjXRu5
IkmjvspCJv4KDcpoCFCdlIT30nrQh3epKvITHhPS0H+NaY6R4TustwJsF61e7+gaNRUoY/rCcEB1
odUvrniZzTK3zwUgkQFd2BjQ5y1NoltGLyEj74TocwCyoTv2TQygRTigXqh0OEILBzSG++eeWXtS
2yATOXsxvfSNxmbFjzn0bTrF+l3mHQyHiaBPrWgrfW3c1KzNnrURCELuo1uJhl6f56g8rYAORFZO
BYyhj8cTmudONGQOcsLL9CgexBk0OM9x12yLRss+A5HkrtvBQbXYMrHhQrv4Dhuu4dGeBi/guGP/
sCGv19Rl+IulKbpq/5pUSSgD49HV7uMoNs59xPu15FW9EoB14F0NNjpAMcA48yICiJVOWxVoshQ/
Otr7asN4DkHUdKenxrcob8vP3RBlh1yMUDJWoCD0jBlrN4sgbqS81lD9YsiI3RHcJ/6FLlvtxVML
SIt9oxk6mh+Dth3iLe7U33TVzE093KiHgCDMGsst2mlU+3Yk93lW61cK6ctMB3fT+G3p925Hf9VW
3XeWud1Tib/6FruY8jxZ6CSqoAu9BWl6/hhquEjoYPe/QoThmGaR9XuAqmdtRN13NIJaQVLn/Twd
fIqY7uJpEE87evzGQ/MMFHCPXA8et65lGJfB8nHh1LO4zF0TRFoy2szjkXXPbpb1Z4aul7PZNWmQ
TuhklV3vglrBSrcZSuznzG+Go6/j/8gtreze6gHkEJGTf+7t6pcHTPQvXCng3tFZEFXDVe/M+iuy
gLd12lh7v07tTkeXW90+9JClnYvNmX/pPTE+A8kenZrCu9n12r1o9fDeTjITJuxLvEoZzOu82Tnw
qKoNuF0lYhx2WinEQwN9nNXE3P41nry7+apCAibLIv9Hm3hg0RWd+ezwZNykwkdpwGzao41K1jzd
LDTcbTLZP0pWAfU6pGe8hocnArcTmjIxHVAGjeBSXADv5FCx4ajfYqss/8JA03HwZZ8GtZ0k37vI
+W1CuPdR+mF7zC3ZK16i6ZvH0eStx989/KdvYh8gJKNi4cOHiU7u7FxQEQWlouEfB1zVCsmOLfpD
xCPZoCj2ZepCBvV3RJhAHt7z8DcN6BCn5XjIa6cNdDvuBe6Ff63BdM/Z5t3kIc+eIhOl+9k9kkLm
pp/G25kOQME9gH7Ghs4+eN/FoYEoEAD5xpASPWhtVAHXAc6HDEyia/yvJLOE3NjwU9mjiIB7vHgU
uQ4GOUR9mGRIy8e7ATX0ZLXVr4AGAwpDHeq3s4bAFmo4MGmc3Wq4VEDc7imMTDXvhgBYewMZ2gY8
Bjsr1aZk7elZtUE3SB/Elo3kZNB71d7Qu7Oeat3ef2t18NrKPOqd95yOJRD45JBOKwMFGNnTV0Gv
uLsF1oXNbWsldaERyF2m5jcIvPW7j4D4Gzbesr6VE3qT2sk1bw1uAjahoa06quJjC/5nqA4CV7CK
wT1/eDeuc5YcJi9tA0oCdTp6FPukGgK70N476JlHNhCZYjGFkJ4x0W8LUgj6q2o0d/61KHccXM4x
3pFonOV77dZH71eA9010CZGRDvO4Aq2wmUOB9aODxvgHaLeamu2SiJySoet0FziM1CkOfVZEQWVL
73ms+2kLxrfhOGVFeAU4U1s1uRt906N0gwqt+5PJ9BYLvk6Gv6n1HbyDR0A89V+xFR1B12f80lh0
HJTlL9d/iSm0/yHty7Yj1bUtf+WM81yMQoAE3FH3PgTR2+He6eaFkXZm0gqB6ARfX1OK2A6n9z77
3Fv1EkbSWorGNNJaa84Zju8M2yRelBPwjHg+8oy6yzCGiF4OSesHn3rl3psGBpQ/mikJkjsLhfOm
ZRwA33/qch8UOtoAVBDukuS2BRaz3IMCdS22pv7Z60JvBTQcPaEj64yG1zPzXkOV0k/oSFuB9XpE
LMWUSR+RlIhV0KOv6QQF4t2pth71YskaOgsB1P2k2tlzdl0byK/pyzRRr6vhvSlY7xagHE02XwaI
Hs0T++hrHHov+wFeE287WIiFjYFjbzIdHTe178dSeD1gIUK0sVId0jHDZ2tjY/pMKf2kij9NwxgE
7SsFOBCrUnuZFlOyNOwmEjtNUJH54EQBSA0ZPj1y7DTjZsT4WDlGTJPXMUghJ+1zni13tFqloVRR
Er/wP//xv//r/7yr/0h+ihtRgmqg+kfV8xuRVV37n/8kLvnnP+pj/+7Hf/6TUjskbsAQAXF826a+
rcffv98B6qDN/5fXdJTMiH2vQa4qtoEH8j5Kb02FThDk5Q56l4DPaISgqe1BmL1AIT5ttpnhsfo7
h9ytighgt9G6dwnqvJi3BH0jf/eECqMuppCv94CcJB4U7UQtprc/DNIeUOe2QNlRnzoPXRKM0aD3
8L6Lpastpo1pcb2I4A6W0elIsfHXFubF6ar30af9xe9O6sPAOFnAN4QtqHVB3kkiowxiSTFFUIiZ
LgIsv56HremVGYee+SBIZARLjFE5DhOgfv0Nyy3CQT+c5LdeKMrHIB4R3v39aMSa52tf0O3VCEKG
nFf0GjmyZFeDdXrb1gTSeKCtjgKUXbzGbrVjNIl/2pRcOm47vTiWjI9OwJElOwTj+60qmpNT5yJM
jATAL98O5NYgU7IRBI0uEuCQeCqurRyyqKa/j7tpdTarLOdoxkHqtoytBhUKBTD1Gg1jV1l1o1sm
p/vRMglfxV08ZrWlRtF8jBk/KlBdIuvhOPZhGZB2jv7+NPbtP53FKPwhHvbfbhgwz/V/P4tDBha5
ppT+Guc11cwqbGMhe7EGi8T0PObjL4WVwfXc0uBOTgp0Aui2rZxtQm3V/GGVM1DNHs9YXpbVypxA
Qd1VwLbKn6ZlzroJZfrYlObzOjNr10lMa5vP+fXvDsbWdBkHUTmRXaIOaPYhLN3jobU3NMn2XKSX
fSnfTCv17PS+GMJuoYriZKHEfEhIVS6ajG77UeTXXhOm9xDoYptU1BAXrcv0vmxUeq8tOjBVX5sW
Uto+tjlTsai9ZoMC/fbSqUVA1rU+hHKMvESMaUC45C6dkxF5f92VAxXAlxaCD//m/0Rs6nz5T9HA
BWeU61CCwKjt0i//KTK4QZPZWHXPgxiZvVIjarKg+AamtC5/Mkey8k9HeHaejs6j56NCieLoce4z
R0mfLU94/GL084WNoPpGzAOYWfWRHaDaSKAu/Xj0ZfTv7YqCEa37h3xDJ5bYPSFBUZQUeclyJXUr
gazKPZZdJfbMSE+bvlLM7abCqQaw4x8OFGFeY9uKNrmq5uwZEMUdqO2dR+G01T4EwGmFCpXpVfdb
LiNf+6lff+ovuh6hOC2Ap+2JAOpcoWx6I/g8RDO4bR/NUVIPpyNs6f7U9/d2R6WLALIK9gpsywXC
/fohxxz5IoaMbM9aFo1mADNiF2HZo1oCElbCbRVulFjkPXqKBpBMSdrbTL/kLep5Td9gI2sDcMLF
7Kdglx8YIuvA+G48EQRLR1YoKNFN5/emGT0bG19jTCXIsSbIVSowybiIMYhImb/zQjDhYZV6+vvn
8aSuxqXdjHQ76jWn7cku6mTLN6DBwHoW0KAukrpthnttY/pYC7Gjo40lqy4y7dREacwcpm18IDSI
tWw5/jGvnsKn7ngBUG4xgqqJoTK5SYc9m8cSpABJ/GoBlnR5PMnmeFjnmQvgsz7d4oEj2wXb8xnY
Tcl3Y8/dkoIdzG9Qt5L8KlM3fnQ71q4GRBkONoiBLqomUWsyNs696nK1YLZSP7zxdiIi/qk6/otl
TfzoyKRbBSmCmpYd1kefsC0sAFtchDpGpMdFP6aP2KKpCEIT6aNIahXhq6fAVqLPHJk+M/ov7USf
ZLf2kL43stwcfzmXO8lVFmSnH5YnuGDmvPjc1MYI/jpgP0GER4HjQCCoA4pn8KR4KQpokwbnY4Wo
nabtK8Iw2dR1Jdel3rr1LYo+caLWB9PMszVKQ9Onf+k01117r68+kqXlAmXD/o1jQSfA6kgO5U9c
sqAhKTVRDfj3pPd5oE2RWTIexwHeoaxZX7TGowQybiXiwl4lSeasBO+xcdVHqqLVTY7KtU9951Fz
lH6M/jfscrdbTBB+g0w5FptnVRojP9MU+WOeu4CtmqWnzNNxGdcWktu4jIC1d1CcvcorBDZOF4Nu
s4n/1v40DgqIGXlmjB//ncZ/juW8bMeKPdZNb+PGgOgKFAqyHCENCMovPV1xlyWQOkilWuY51ogR
H8FZmPmQqjbn+dn4eNprY1FPS5Ay8mtgga8g2y1vW996oZqpoA+h10taUe5AnFq/qPbCt2TznNiO
3FOC7+hrqwa70gW3pXf94S1QNv/ipuNnbzBxU3CS3PEMAUToeG88p/R3Ye6xaw7tiqjIy+ptKCFR
ozd9dCzEIqO1f++FbokNWe/vEGZi18qBFpWxnZKfLWLO+i5g7gzSa+crjvIuKLG1n7pUkK2Mgbnn
GCvd5TjYGlQtyTLvZ5FRjggFbi9u2Q8RKZp8Y6zN7NyFNuf8r/poDIy+Nbg2AwlheQ0ZoupmYCVb
zm4BYgiD6DadNw0ClzeWxvmbdo8l19HINM1A36qHSYDc9l5xZGEN4bo1sx2FPOH1qOna404GS5eq
aW0GHbsll2UZf+9lgXve77bKLwMwvSfZwu4tLJ9SW92YFxWqBhuXcFwgDFjFx5HJWvuDHV+fzdI4
jRedBwaUc98ommYba9dOJzUG/SK5QpC0QWhFuGun7LK91DQsHhMgXsHWmKGaS3OwhDLDZaDJ5My4
GTm/zAXKS5Z6isEhpynM6HHAHAZ1MK0EqLCOM0DOHtVnUDvcBZr/EbQWdKHh9jvD9FiwOr72qFpS
Mc48asGWsLKGMlsZY/NCmnyXS06ujIPrsGIP1HwLMO0fFJOBArtN4vvFzlBIVkEMHiRQURsHY1Yq
kPvlOUtXyEnmS2b1ZGvzAVI82GWsTJlCgl85Ym7mXJimjyRhj4Lkh4Z22Y3K0lfTbZw4iesjzvPs
JLKUX7cFT/XOe9Gxrvo2WeCeEdCDRzzEV88xBOCXAfIvO6+up2dtBkB+9a0sZHGonTyAtKU7Pdgt
JCaEh3wp0jv3AcmbdT7Y2WXO7fECZZ/OWhZqvIMcWx5VADh9H7J2xyvP/VVk/noKq/zNuKOyrTq6
s1RCNUOGJ/epLse7gldwLzMVlTOh29Itw3XuuGRbEL95RIETBA+D9K3zWLiw2n68FvacgjsptCKw
TqVvYDRZAlg9Pv8rT5uBeUnWE0FpC/QfEbbh7q+uRMAz74dqY4IQ3Om9ZerqWvKPCIaJSRBee8sg
Tnvw/+oIhoHyczc/dZ4jGD4HZ21QcYSw7WLYqmosVpYuMfI9jsIJFrQXDmu8p6oHeQYIeR5ssNnc
AGr0ZLq/OIkO1RaQ+OwuUIcIsgWe8SiEsE5tjy+NjcKMOPD99ZHLJjl86TaAHPDe2zUfXyyIiWyC
D2tMAroZ6M2gNG5popAFuIdPbBwI6ImI5YN/HDny/ZtxYwkqTuBYvOK27vwly31y5eR8TCOJpve3
TUDhIQDhEHDb12mCshnlLULN3gNqgXvETugDdN+TXSPZvJa0K15SB/ID2kAGLmCg1Whf1ljGHz2T
3k+NJ6gC6EOqPd14EKt2xK0bP84NgOL1CqUrMSLVqIMwR0mMyytAlRYi1Tj679rZg7sCZFte2xCX
ukyIOJy+M6PuZTdUq9M2KEXsPg8m1F2dY0wm5tSlHRZNekRkBPBBE5wSjl5J6c6uRK3J0oSkzp1W
qmKwH3T2YW7JxYgIxo0phmi9+SIBY/5Nyx3nMUjc4xjC2vZFXngTcshgVuFWcCWRndp+ovxMSQ3p
ht+HDc9lgufRMgxsqu5dQDA8CFRNzqORZBYesyPs4QHVnLSsn1eRJdIKzneVf/u3BnTwy/fzDCmH
HCBrMgKOMRtRb+extKf4+ZhGbsYRoWNnbtaG2wOZxjfKQErQtaW8S0txY+IphV0PG2OFRT3IUvjw
1sRWd5OU82Pdjm7zFiBVyDY2C9beqAC6Wsjy7bQJ9lVTpUuw19DiQESJ1DjFxghgCKCCOQc9W5vg
RPZqv13VjvytPXFFl0wSPO3ncTlb2H84QTjddQ5qNHqdwUlSyMbFsUjv8k7XpFYVX5nUTpyAe0u5
3yvm9ytJkKjrvHq+A5cPGFQ+PCFMmt7ZA9jKZE545Mcgl3Cg6LZwsZfd06a4M8FcEwc2R108QfAp
gLL0lwEUeu2HwQuPfBvG4WMOCOUIjvQ/XIMJRD9A82VHIIYT2+QGnKk4leUJlqHAy4k67YxcGOhF
xYoGlU1lg00/TIyD3QyrMy4jB0mTzIMeFKuq6KPWz/0nO54fTLbXmQaczSjcCH0olA3tYN0iSDFu
Oq7SvaqmHiU0yPqlYN19QmHUQ5zT+Gdo45bL4WRppyocwrUw/2XXAxoB+nvQhenidyUdsgBLN78H
CyxdZwQ/oxX77SGF5MWqq7rhWzHZb0rvtXwtvC6H8B2k92TRaadU2nQ9TPivWX1xyMCtdDGBAvuY
eePQWAixKniktG8QnK+rTWnz8AmpnbX5x4cDsA/OVEOKQVSgNZjoJ09Le0I6r9kqPlabYprFBtVx
1VKmQ3KooJm5Bu2EWOTY5By4LqY3L1+aX+yw+3V3joMQT7d0dWw3ye0YSL2xvkG0AcLwNXgLU3to
X5q6ww0RwWBj0ZZ+fdOEQXLB0hF4TBR5G+Z02CMgDqpKUEsX3hMoUvMqZN+CbhxAK65DmXo7R5Rf
bHJbK0Tr5tnJJOZicXSy0iBZZAMUAN2sLcBuD+EhaPOqB1nUePTaoDxj4J2IC15uDIV86lZbgHXY
w+TY9DLvx+pIOX92z9JJPTROtSOact641wXCSjIO/esEWeCFnqOtLZRMWc1pDjM31R/B4iQ5mDk+
PsLkgVPEzGGmhCDz0d18BMbb6shub9zNN5gh4AQyM5AkJSgH7KUHziLIxVzbrBsWoq+n1y8DY8wH
ZA3dzwOerLzrLwPAm4ACrCm9XgB6JZR3Ij8vxyKMBunL5SfKc8Oz2BPvRuII+0TQwbV7s/gwL2ZV
kkKYkYnP2ReNYTj1Tqb01ixpTj2BW9/+fZAY9TlfY4/YAIQ0YBT0zrZDvPD3KLHL7QxBKFFopSL3
evBbsPLz8RkRuHGLRHgL2DF+FzBtHvuTEmJNZfPLrC6OiVGhGZhNmwZ5djEoBvZKPNQ+pU1Nuwdz
lwcqPHfYU0U5Ss5Q3cIRlLgsm7BBcg9F/+HsY0XPZQNKyjn4BjaBZDH2fvlzaqvFEaEdJ+LgOp37
6tYtSt1xRt3/y5n8lDdIUyfhcSYZeN3dKegGAhIPFJ++s2a+Ez6HLFvaOncf0h54kGDyLh0/86+t
QoCNUd/46yG7c+3RerAgf7cVFXHWs1PEzyxOl8ZgovXJs+9RrNJKFkaWp24qXmcgUwfJs3khDEzP
0ivHzZQiAvVlwDRTqm5skmSgkdCUz6ZPWO24CT3AqsiYXJ5iDz0r8eTQG1LzEjSI5jSlcreWofuz
SdvvJxp/4ybVHescODC6YjHXtbvt1FCuYp85y2kOQXTLAhYZ4t8GFQ23po/hI0Y9qtEg76eqVa9z
82c2hHOzK8uHEiwPG8vzp37htxlqfY7H8ZCDfomFO0glOLcqKX6aK3AC5DYChFMcgjIgX/od36sO
Yz1/tTf9flmpC4fX497cfGeJ8qgBpDgLc5M2fY3DgDI436CNjeZ2O965SZXSyHZQ3gzSpYN53k2x
t+16ywH9ZDdFspB4vJK23fqoVdrlDiHXtLOsqJSif/lwqiTbEi9zXrEIPzl1waqzcogBM+U/zxVd
pzjT33nsaR12UEbGEtXFvcjZyuu74Bk//tGitqD22JChSVZ+Qy7yeZxeIScTZV1rP9E2SXbFyK2V
6ZelH2F1PR7+/lbgk+DLrQBKpAwUADSkITiCHOfLrcBuEb5vZntcBdMCiUG+HYcWl6So2AOV7jNU
Hvk7mdR3O/Xkw/+zgYsZpo8ZmkCCjYSuEofR87t82ADzWG4D6YebPxskgKFFLmde83ZclIYA8W2T
OKT32LdcTXmsrgotaJcEWbcCFVUCCUEMTgihHabQelA63GJeYuV+tQeFUb7wrPo27YsHU9cL1naw
VRD8EBbiOh0p6oPTzyl0P8W08rBE+pbZkLTRZb3alMXVyRT8jHhkHeteRreiKxR0xdd22wXRWCQU
+UsLgq2Amgx1sGt7aPzlTeZEbsLam9pS01YNQbC1hIyv/UmcnHw7vTROnIY4Q6HxAkqudmtOeoQx
ydq2JkTt9CJFZRUuhy+rFHwOsp7DoTwOTGVarLpQcoTZEbtLt4YKxBCAHEVHgFYDnMcdIIJBCo07
1Czzs2ENIeb1eGy6UQ+NaEgqq0VKUI+jVFiKqG3UazJm4pJqBmvP1Ujksge+3hDU6VFpIcAlcbfZ
SXvE0r+d2OvozisBKdgfrpf/aooifYxthObpqMg+oBa9MqbMS/yz6WghqM/SrZzmGeQnyn0C5UsC
YVWPg4THcp8Cq903mevfhVlj3apmujJWSvFplxCnXRorsNgnS8AMqi9OLpS5q0zkkI6n5T0Ytd7N
7pZZGfgQm2S4RaKmvUjzLFya/bCfX6aWY70GMcJIIyL9+zjhWPym+bsZ78cAUjjakQH7c+FMmRu1
3CXfCxGZhAOLJZJBLK0evdpyV00n+8vamtjFNKAiUfVO+0C8uFlUyKj+tPKjk8Tq+Og0F9RdAeTX
rsWEB05C8XBCiI5cmKMkEc6FiEe2/XL093ZAHLFt6sWnWT7PhyIAB/QB7Noq7e7KpLNsQv31kNd2
ZFJcAIU1N/jp9zlWaeszz6rhYq01Ilu0l0QN7GB6zIuxAnhJQelpEqBqh9V5wBx5tadrLcH0d2r+
QQNrmpBscfWU57cDeKk+9KTnUOA6ZvCGEhWtph6DH6zZs954M/JlwLA5wZVKDmFaZ8d6jdM42KCb
0z1IOo1vvzBo5kan8L3DUdeUN7ZfPys8FxeeuVcVUCPaeQzL8wwaF/c8hYY16FzYjzC2sC3yizeV
OXPUIHp9PQrUHRpbYvdfbd25A8EBxJ4NUMsAuHqSQIgNmBjTMv1Dm8drMBEKZBY4dmGgro58h6pX
q0X554jvfQtN7eFQMbDeNQ6IcFAs7jRvpWadlw5Pt3naKcQ2cdFKnIT3hR9AOyxkV8cubTEqdbJw
7ZxExwmAaFYb5DHEFUcR4RVC7uJqTMNhzSsCLQA9IH2GvUzbZ80fP5kABuqS5wCoTL1/PxILQrKm
mdsh8Idje31EkZk+Rq37GSjsdCUpWJ9JMGHHE96b725szdHv7ucfRiEOvNf2x3cxTTNjhv9M485X
RNcN56ok67ywIL6qm+alK/mv0Roh06Nkd1dPI78OWr4+G3g0ttcoLak+OY0uhW4wAoNnmHGT59Vh
hjq64bqsDQlmCIbcc1+nlXeNw0e/l4LnEkw5a1xS6tYmc7/OIAS5snVmuKxZvyY5mGQd3TSjpkl0
ovhsbFS3TdO2wK6OKhoEWZBvz/dNFYyHrPZ2poUQH+IZykMeRQ8CEJtcJGJYTaOARpSxpRVXxgEl
+yd3068UCoQXbYuiGWg4JS74IvwZZEYgx2VDPP9Irs2T0vdAOxn7VbydAPLazLWV3FMP3BuAp8nd
0LjpvRBDfnBCdh/XMr03XUlMwXQOrdMdJRmKss3nTxsxXAV5515xujWIR5R/TWDWnV33qoOYgOxS
5Ap5Bj1LS4GtCDttlYByRtjhk0J2FISpoK/wAbW7/d3CanDJgh/FXRZ1K9ZCtvk+n8V4mwze14n+
vcX5rf5ijgEAtaeisap1ETo5sHIxQvYfZ4HnFtOOVPHzucucIqa/pf6x/3zWfPSbs8ab4gDbg669
FCR/zVmsHiAcnm67IU+3ExjIHwoSvxie2g8DOkzpNiwSZ4nIiUycrdeAHLaJ6SnRWaEP3MFsec6m
AfBIjl2mLsDtIPwLWo9TptM46KbJxs0VuCeO+bARiuvmWupU9fVaYikDubi+2sxFFsTiV21VxYVp
0aCsrjtRfnIyV61xgsAAP5ROfWkV1KkfB1CjJG3VbhVLwO/E7F2c+fKWal7C2QFBPUHA89hniAmD
CWz3ps+YGDZDYzc2VrMhqKdzrPAJhYT1N13cs4JsA3iKBKBwbqgUKLxZ91KX9s4sYT5Mwf96Mk1K
jx5NvXp/XMVmle8eRlq76wpR1ivsKt31GJanI9NnRifd9/9v19tq3ZAsiZzMGTbQlObQiIyhxp0o
RLmzsRiPnSC8E1d91xfb0z6lhzZEdNTzGQHKW8ZatidosNMpEHJaGbpyd5gCsTzL9eQptsin8Duz
/dU8evJyFNAMXbM0ay9N20HUZU/mecnHDNVXps/OBaqv2qYNos5z/OgT57k5NO8GvLSNwFo1HWWH
TN/xUxldIWNYceCCLGa9DAOwQCZ4PaY1EMeINFwcg9bZGlK0wRPqC8ILkTttdKwN1FY6HnERTjlI
buryDTjK6mYswLE8VNPBtBDcQFefNusUO6XI9IFgqLr5sFWj+myL6vCda4lLUzgoWzFsUV1eLz81
kbVfmtJBM1qj9vXTaPV7cySrv98Uuq5vIkCfq2F95hMbRAGeR3yfoRjo9wjRbPe49FsnX+EmQlEe
hphfSDL7NYCo3YIPto2qe2jHseDC6cfwFo/DXRs3IFpKwic8zpH3GlGGDKAFYGb1wZNxv01oejeA
9/W2YI6ri9QP8cCyTQHiu1Ck2PAx+zYfaroPrPh5qvNiCRKQblHFzVXf+83OSoCq8V2kcUF/ssNa
EDuTQN1XJbLApYUa0LwOr+aYzyBz97+DtynfFFX/PVUQnFeyLdZ+gDUwdsI3ArwMqzx03XVAr7DO
zi9DJqMq7cOboBA/H6qJQBY+5GkkENJgYXpAISoETfsB/I0uf6WFLA8cddmHCogywEaB8E5SlLMP
4fU0qjQaS9ABqCIF39htmTb9FlzOzYL3JYpcEsAQGxbM2zQGdl0U+VYECLQp2/dvU5S/YkMnd042
+ItmDP079Zi7xNlPsYXi2opdUCax0LM77GXCdj10lVjNDLyP9nToWze/8Ckfl4Byry2fbjIbdby5
O90MPSDvcWZfZUWdLuIeVMwVS5tooD/zfgoi7ldLIa12E2btXSAbMCNZbrvNURkD2PJmrHPE7+oY
EnZx/VD63XMtJ+i0kBAiatYjhHnTDcpT+oU333rJ+FxNyY+hArk1HzgFicAeRZZOpOb72KXY/PVD
v5iEPS6hDQRd0VSGC5wDWQkWiGzcNjZS9VWAWudK+kvfssWSjuWPZkQ2xGqholYLFi9nobZTD0tc
nukqmYq120yvgCb4iziTr8OQ5IvCAQC7GYbXkrBb6LckWztJkkVNgPCrpbC23chuc+6m29hp62UN
zk1lq3FXZ288b+9b8K+s85dStqiId91ppXBfXlSlvAWaUCB/7OaRkO+eE27jbH4rMxsbMxBT9nVP
VgQ60JB/CN8Kjq0da/wO8OR10kNnLoGCC3SDIuyQmzXnrb/IGMSI28z/RjIkUZIUCoUSEadFq7xy
gVvAmoQBJJFqq99VYAyD4oMCcqpk67nsn9usUosxa7soSzNwG6cT0Dtaq6Z96eb2WbUoBOMKJFYJ
GHcYJ/3G7+V3VwzTqhB0iuKgD/X64oEr8KBZvEDFeYjqIWy2kzrMLtIgXUBQS6ziBBWUrUfkIglU
txAIii8oV1ADjcWLHwN6xfsR1N+B5o91wB5VTv1LJ9RVU1QZVPhythgltIIG5UCtJoS4QoK8HnJK
iZbEjUbUEKyLflmSHIR5Dr5U4k9IRJcL5GNZxJSHTAkqvSXMhJfU61IS8GZmd23Tdxs3KRdBTv09
CCUeyvknp3NwAJHPHaqCQPozi7WLcOkmjuN9AeZQUN26PwqsKVbUAhYkjmm/DUPre8gO0NhE6ZBb
b5IkRH1JAyCz226y1Lvroa0ABBIeFfMW68or5HO3djct47mP6rba1KS4BvrlAKKfHyGQs6WbPRaA
nS8mG3ogMq4XeTuPa4HQzhLp4UgCQPQNZfTtIg6z5JAgWRSQudmEikhEe+Nk06VhcuMOPsWlMvAH
QPGzyOrr8Lml6Tv4oPMfJAjWow98C4Ie68lHUcnCof4F6ePhTTHcNHJqdyDBwGYN534IhVWOuBj4
Nq4YSVA0XWTyIutsBCidDoLtZZ0D+U/8VYGnEdSPhiBCzArJuUriBjhZ3fcOxS1ObPm/siTF9+nw
zpXTITRWVz+p3zxJdw5fEtIB7CuD/FHWAIGPLXTqvbRCxtRPs4OMvXLH+5nuun5oLnFipBsweljX
VdNBchXfkYCo7I1WO7MtZyB+ifyWl/jIfXiZZx2QwdrA0VcwFvRl7jBE1YLiqusBowTosV+2aVJ/
GJxn+LcG57dA5Un9Rl3IZbtRUlNv77bcl4tSy+dOUwP9UH107Dy3RejIaLIgoG6GqziBwDarw5O5
Mfw60RefoimHHRFsLfW+bDbbLqZ3XMwa46WColbk6aYZPr6I8dQMZydecou2kRkA3mzaA16JK1kj
H8YaJ37VWjtTKOg3+Hags+jw9TCagN7iblbHwlpT0P2X9o5+e12U6OEZdZeDbFM7m55gei6UJR7G
gddXdV98NxtS0wLu7rvZgJoWT6pPLT12tvx3fmZXS8pAQLm3+uJnxn5/hwksM3vOnd2QJU/Qshse
2MyHhx5SejkYG7uC9Q9xlbznfZ4fzFAzzPVy9CZ342nLATnJrZWFYWRGEQZmBz3XBLbILvpjHjNW
43b/V/OYQWbJ0zzmPT/mMZ9plD5fl5SUUeUItbDzvH/PsO6tND+liC0QjpXWi+raIeJZO9yCrq/Z
oGrT3QdDGF6yKnBXwwz1b+NuQSriXVZhZIq8tLur3YsAkBw6IeaYZOPJvcLVepl3GWrdAMN4mDi4
FqRD52sQnJQLxFnkZVEW9QbI+Gdi1uOmL7dKkBPnoE0wI7Ze0psB8zLpppdjTwhJnumC97G1jbVg
EeJk5NLSmkbHpj4yfRRYHaR7VbP4NPrF+KN5NjazIDMbRKxIvEvhqYdax42BpYDyZkef4xL6HVgo
NYfOBhuB5U+QCwy68JtSw1+Zhsw5mdq0/WTKinppBRSl3UgkQ1UACfRCtbfpWI5gXMVCihS+ekXk
IVm4pGxvi3EYD4WkdTTVbrgqhtFeOVLUWO2C1tGE1EwkDUCu1dxC98K0wFBZb0iZpkvbRM8/Ro0D
dUI8NpMeD2QvjLyJxIcib4tD2YbNskLk/y1TKPfKqvezQVhlBSSCMnk0GMD3ohM6xoC2mlcDCVdU
DRBk6lBsjBKt+qnMKFRRkrzberrJGUQv/GKCtKZG4jfDoRep+BZyCP5VCQfZOOD6cdmdpjA+KMi3
UCQ7t1vjY6aYRqhzGmNJwfZiV8cpbCmejI/5FFhLYa/oOhWyyWBMqydUFA8QTVo5mkXTNJVu4lnu
PI5zyY+j56YTc4xSQLCEQoXxX/naeir5FzN/8XVx2vdhOq3Br8Z2A5ENCIZStpTIKH9LgvR96vP2
lyu2CEr0P8s45gtEbavHpEgADW/m/DCwwN8HDZ5u3SjruwTsnUiGt/Q7q+naeLclghRBmL1moEKM
ZrsLb2JbhBu7JmxXyPT0lkzV9FtdWW+kns9v2TD/T2/J49nf20Jkx7esYzxMJdYP32XurY03GSrA
r1vEgtLi9JZpPoYoSvjtW4Lls1n48dBdziktEJaAmBio6RGZ0y828l5Tx25NDxiUijXgFeGSajCW
6RumbxISibem58sMVGO0rPbpr2YwzsbpjxlMj5kBd6h4wbIEKJRw/l7kfJ/WnvwGNKraosqKrTPH
nl78rF4Yg8RrUwQt63AfZqBxgSjJu+nPajIv5oHkN1Yb5ofYiWkEidzjjKB7aL/FslLbStR4AhM+
vWSkXhgDXFvpinRTuEctCbvzp+J90h8F4pXzwhua/IaLqvg0ozsVe4Ii8lUa4AbtpeN2qOrpVgIR
9qhbGQJGt42mf0qd/jj20TqP/c/8Ov0OrZ5T+/lt2l32UGLIZ1L2O1TE0QvJsY9MvMpZpC0WFK1s
QFVoOo9GtR5XcYDeTFsVXgOww4dnBtA32MxYM2/bvNqjuhqrIl7qVVFQWhfDkKn95MwLOgYxJKTx
Yo7OL+e+o69px6g83KOS/OhmjD0z86fDiaRsBcBe0pIrFzvQCFQdfEHBEHhpflLTbHkaXppf0TSR
6PncNKPm1yH9/+XsypbkVJLlF2HGmsArte9dvWl5wbolHfYkM9n5+usEmkOfHt1rM/dBGBkRmdCl
KpYID3dk+f40t61M0HFN3v91Lq0M7cH0rINHZyo2jna6NXuePvdZyh6gy/1CZnwq1r7Co/zanWqQ
yPN2Kxs8sycqNnZ68n9PojVYD8z1Mmk6kjH4AYiPfkFGVl+jqzo7eyNeyAPa1ThHwo12/ckVQ+d+
Jf8USTFL4DJMpykuT/V1GoPO3ZLqRyZ9ZAvb5Ik+6T7H++Q0og968mmofc6jv31/R/pRka/lRGvS
yyO1gQJIUD966CzduyjAzk3N5PDBzQgVZReq6VMIOl30e+8ArY4WZ7J8mjR3oboAF/77JD0W5ilx
QBbhAV29aQQIgempmJ6edVY4HXD9//CQe6AqBu2W6AQLbBsZMBc8EXTnGJgSaFPHkO5JNPTTrt3T
XWfx0j3pw3C6Jy3B/9Vc1oE1orKgIlvj7SsAwCkHX7BnXkpojM1tU0MrwfeLZ7Z7rYbfDurAgtTt
v80gh5qWgmRdfk+mpVQm+cpwo+E7HaNry2rzL8CRE7E1Hqm6C7QpxNzYpUGACdR7o7qjDNj/2THN
MGwoOdHxmsqMAvS6K9RZ+O8Z1PG1OGTZteDISY0sWSUleyJq4U+8wZ9sNCRW4azoj4WtnD2NPoWR
rWsmctLFPc0Y3dTZ0yEACYrRjK/36Ee17DI7LtJN4WiHJxJ1+mTjJVpxOOdQSp40nWjzKZiG5FgW
IBvNrSL1Wy5qmev06JP5/SmAwN45zg/brVHJdRQ21erD4zU9bgs1JRC7joOnBVWx1fIgPntAeghW
MbC/gbjaBo990kU7PLhCrNEen9HmMty7nmV315JfyGyWyt5WIVoDqe1/igqBkEJPGb5eUxSZC8fT
Iavn5YesYOWXusW1bLCMJ3S01I921R81VpVfPOhPnkrhFivVc/HFhVLOtmJqanXGpCEdnQCoHHRg
T8NGxfMaedjXj+ieQR8nJpXgrjpBAq9Y0SRaw4DS3JYmpb4J/gJlVmdAg9pHq6+hvzix1RgAc+eR
Ge9pKBV/V1kF/Smt5i9+IVdsQtKiWgURohQ0SBTV6/iUWNv8V5O8YkSLeug88SiVe7PLoSsB+vEX
vNSJeRjlGsgKrNAFl4AcD0mW/KqBscWTash+DcrqDjNYj7yq0n4Ssm/Z6JY/hxGaj+xp7dcbYPY2
+G9vDhWaWJHzGX7vLbbxD7b/IM5x2ui0rLLsLev9B6v8B2fl6Zq7KyARZPS22g6AMXyBmAZoUFUp
L3STbNAzyZr0S4v+/quGRN6M7skaPdr9/ye1vach2+VbYnyqDA/Xdq+FlDXXvG/VYK5cYCffjaEG
P6jOnCvqfuY5z/J23YJi4x0lsMmfVapet+CXAY2XZ17dmLWzo+kBrbdY/D0VUG319RIC54nrPoC1
zAjmqbp25JBr/EKT0DCWBQ1eGTdIZ5ovjtdr29Jt63nop3G664Hm2HR2C6nVMi12LNf47O3KWgBU
UufzcMzsahdGQ7Kpp4fM3PTaHSSPo9lrlmLcjVrtr4dpKWWZ5g5cfmxKo2LlpmI734LkG3khRubv
ytCgJKv5AqB2vEeWdZy90znvi1Hr5rlofin3SaKaeViWg9rHlqfmYdPX7b6tdPGvAw3Dnlmcz0Ov
ssy9GZoo+EynoVs523tJD66pEEnUtmnKDbq01BmIa3XGYcNDhsRwFiM3QaZl8yebmzbGqY7n0Epj
ct5bQpuiqeoAUu51HRQphD+9qDh9dtMYxPrIgtLh8A6x06q4O8yzB9c0t1rYVit6q/aNcrhHY5Ec
e5DXbhNpu18soR3o7bzykOH5FKEciZ4KB/pJ0/s7RQhNPfZGFqK2AYWCHcTqUL6w1Hd/DBkqPCAX
vXSs6S9hYkZ7UTbfm2kELg5UEqq4OfajFx8Sv082VqSGr3htawNeSDDB1rX7rHsZkuj28NUc9Pgg
iirZFNMQ1KYt6P204gq+M/e5xsMm2fO0+Fn4yE+1ocNPaGHwjiGAaHuzTxroR6MeOOSiB5NSYaxU
qYovjSs4cPdh9Z4A6Zg0A6phwPX0GWgJgqFnO8gymD9GmfzF8F73lYcmgG9pOj4h+5RuitFStwgM
0rte69BiHLnNseZpv3czFV5MibpTlxjaPe4BjRRpN7x2DLWgAr/DtwxlrkgJAJ16ZP/peKDs37Iw
rH9WTfiWt1r0LYeAMTLpfv4sDOmuSzN0b6Hp5ruqYelZKiM+thUAmEPatxcLbSNbSMM19xScqGse
+uGLJqZM2aBHb0Xe39Pc0f8Ke/Rh0PGaFH2bcZb/kqr4arVRshncxFiF0hWnsYbKE+0tm082N3fc
AA145g2xr05lRX9BDXXleix8b7jjgbpyGB5j1waBMIi3j1Ga25dYIW2TFqbzWvDwe5jxGHjIIsjC
zvuhWxztI7EjIMgFCDtkaNMTBAKzCx7M1UaEnfYCEZm/6EiRdw599GoPcd2gzbeJn301ii0yEsbJ
8PX+rFfM3GR1WbwwsGwFnQFMI7q6ervRzyxpxyag3SGRrFyjObrZRNAXhbTjv3Dk5IbAMEDjC65c
TyALZigFFPK0kE+YclnrdmCO6L8TTmyd1LSJehvdCNPGjpV1sibWoTxPGPBg//KSg0L+A1tc5frJ
3cwrpsqTwZ8mpaMNGOWnhQExNzdAZyILM53KhyU+HRxZmfrgmePWZQPaejRNDGgQzHayLfTrbOOx
N16TeJBr4Y/tmoZ+lZlsrUfaBm2x7qmaoh1aoR+iZG/ZeYJyH+bROuSmoWmXHYRYvHg+wOIoeVtc
EvTgLyaaMPqdfuW2zzcd4FCohGNNCqGFaWgIdkntUkHv+B8HdEpeHZqueJlPlrxZBc7GlpXhpklQ
el3TKmYTxMKR87rLIm7RiglUC9XcaeHC4r057zph9a1xoexJZwea09YM2nJkR5F7x8+fnDegG6eJ
U6Qzpk+J1loO0qJl0qlAL7iYbFzHdsAnosbPyy0vS1DXjehMy9xweI85tLvzuOifIzCWbqwajDlA
+A+HEsyT+xrJ+JsEn+3aLYvsVWlTppz7zU9cZlbzSkirnuyWhd/zUESrHpX/JzQng09jyOxzCnaT
o6dn1o4VtQJyBHc5Q2uGL4Pevad+Vfyle4d5HZUNaFYcIeKoS7aFZpYC9yI2xd97oGP9bUtLRx0/
DZFtBF3opymzkcIFgLD6ilbDfRWhy8Ifomj+snJLkYuxRD0fZer/80RQmNx6CXCnWgdWNSBstXWv
N9BynYZ4AEZ9fshcaN2nyIqB3mJqNffvugJ2kkJoU48H8F8kd33w5a5sIwed5ba8WSzdAQRZnIUB
TVMy0QbPXEcmodMw24XCuxbQKrdxLM3jEkZ7fpi9KD3WDp/shde/jb1VHtKBt7gJT1DLGk9r3Sjd
94H5z7ntZi9Om0f7shr9XWZw8VLJ9JkClI+vhm+142OsOh2aBpie+070laNRUfSO+15wywsEB1kn
ICbNaQQ74UYfIv87tH0CPkVE+NWsILUbXU0zrFGignQqLR5ZuBRz+y11MxeZV1M7cdS5b5DJTVe0
tq2nW26MztdOugmQCTI71sD13LVCqvkPQG32QYMgzmvJ3HZXanmzH2qjfg7d/FvWlt57Xmu/wINa
P+mhmxy8uPK3+IDEs66xtVuH7NpVoICx8L9Utmh+QR222gkQUmxpKJn/VDPNvxcqyh+AjPmLzMJu
e+g81cO+FZr7NZcN9A+ZeqliDTDYCnyhrW5MvY11YERGtEc/1fhcuM63NsmKH2mlvsuCdc887ZN9
2NXRHh2c4/OorG/JVNzQ3fK7MPHbpYDKq2r0K7tvjm/pK4LVetyFeoEegQi1Q+vLLEe/gCvJ0Y9j
v/Jf5B+0oT/ZSCV60YAOoa2xrQBFWcLwalGogMZTF9AHSeklhvb+nrssJ+26PoFROt+UfW8cPFel
r9447E3Ldb4PovfWhZEaR/yf6M9x04AOSLLvcaGVa9NwjFPDTf4kLe1FU7XzXcO3bZUZln32R+Xd
mZX+AoOcg+ID3q2NvvYuaDAZH0oLKXSaIHDTDlzfTG5hF6ubk9YGpFVwBB30wkGIvs1rx7v2vJSj
HYZnnSpMT58zaTQu3HT2UjmbTLThuRXt3dp/t4bUudKGJY1zBTX/E7q0QNz3Tzveh4sduKVbQBIw
ASDqHOpz066bFofM8MrTsgjtJZqubZgVF6vPMwoWBnoNTSdydHi0BSAfDJA0FK7rrf1Rj9Y0dOlA
ymzNq9qQZdnQCUd6HK40C7ou5CCbN/0lCpTsZw9SmYt9mcpz/GTtniVbmrA4UKfJTsi8IXtv//5c
yKll9jsPdWvPfQdAnKSVu2USrRGmYADtpfu82Jc1gEv5gcZ9c/4bl2NWvEj3Y5GmwYdPlE6/66yb
xI/quCxHe2OBStaYGeb86S9eWhRivFtPK935P4OcZEcyetygzb7546cBjElp9ONlOV+a2Zdhv26m
B6TlhMlh453pimLhYqZTpiHed/WVhfrGh/+t2WFDhpgrEAYlho/i8LvpQCir1hob+B9P3uwMj9mD
Z4Kd3OGvKub+kwTKjdhoN6BQNYCDgfKNVr7xfgBdhmTDwcTV5Fm66B8QpfEmpv50ORjWtZOGvKZG
LlY0Eenlm+MZyQuKieUhZIpvPVDafuf2gfwWGoI2WVJWxxI9JU/Q8/1GC9oM/Y6AY1q3BGrNF5Da
gZtiOpLvmuCjLsWr5YfdvgLWDE/4eAwvUIo46HoXPURjBL7oIrviDS56IFOLZtEdLhtDYBp54gVz
XAViKWNwx/1sbAc3vfRtuKF5s00MI6iKRog1zmNyQb5254Pe+lyD0vGBTKHfxMAxIvv8MQ4fcFAh
zbubjboTGVcHNAt0+NmmOcLZNIBZAHGKs6UVbWCa8AwUow2f6cXd0f1v3RAm3xjeSCZKrWE/D3Nz
BfyEfK3tKj03vURCpqnSb8hxZqhXGO4ZYFvxAgHRLcVXuhHil5P/a1hGz1bZpY9tL/qbX1VFQNNb
BkLWrEwdMGbhoC0Uc4ZafhVta6HTFs1CyuySb2GVDsFgaeoalWP9BGJ9yO5Ndr/wtsjP5zuaHXnh
EbgHtKBYXQilWtcMyO6aTFuh+To9DU7kfImcJzKPEKo4iKaLNrTYYOADRX+gdvNlqd/bMf7iRVEK
SBUE21LdiHE/KKuLMSTimvcTJC8NzXewnqyc0HW/DWq0Njxt+iPglOO9QgYLOQ9E9ElyF5mwX1Jf
omdF1cmeAWj24nnNEwWEKP4HJeBMIO3M+ARb1zYJ2jC/ZX23pgi0vUMbNquNaw9JefROtXx24A5W
t8J400DeDQoVvEeabVI8RDUU0MH7B2AhhwoZmgHtk8bRHKjyWr2g5QD9V3rzFxiW1QtH580tQyOS
PY1cVoDhDK0i5EOfjvbYWmpFvhGV+Rd0cZKLVtI9FeiJ6p9olBoKdw6tu1OALqMHPPHrN/IpX7yX
oCzA/1tRvRQ1aK592ysgto4TAioiDARepI+gjC7WaWQkmxJYyyc0XnuhfNIjpZ54h95z4cXJrs0s
9dS7hrpqnX5ZIhq8UkPXxGqONEHETnkEpyAwP9N8moUO7nNkZeOVZhUtiEFjZtd4EUQEOHSLp+xI
LopeDjn7wQp4bbXuMi81TdFMMBPSIWlWiLrY0XHBcEgTaGOhu1AJNlxpRIdsIPkyH9IN8+mvJFeZ
hcXKC7k8ZL0rdpUl9XXt42mscTNA+RMXFOxoT3tOcxU+CgbF1clJptx1b5Z0wiuZwMmDSkXYgDV8
iu/wtdtGHjJE5I3t3kCWqZbzaprFk8c6x6PatJqLzu9tVMT1acgjO2AZ84+hZkQvPd5gIZDUZXtN
T+IXz8mK7ZAJtiFvVOjjnvcaapWTV2vG9pQWwNXO3lSwayjlkzetJBJjfHQY0r/TiDY6oMpjOJZP
NOpG+6bJvrrRWmGJ5EDno42NnAkQ9SAma+PD7G15C3pX1m8tMAA+9CpHQybyCSsDWby1J4v4klnD
RMLh/d44cZJ1H2LI89vYNOjrJYOAwsoqA2XYmoa0UFhP7g/zF/9snAModjkHGbrOeZCr3rYrfDo9
QLDtyG6NVemBjn7Vt26C/Wdp7N2Fa8fnKi3KddyM8g1Q1n2LV6PXSU1ln2es3vYQAn/TfpDbMdGi
AyIR0Gd3WfiC/74j2ctijNe54M0Zxe3q3qZoSaYDgWejRVYoEg/pqOoLUEbDihw1bx9Mq34ZwCix
RZPuQY6iOxgGWFLXUurGed7t2mrD6kQcU0Ma58zoI7GmXaMAsjNwBhYwG6Bmsn2Oyac5kJXKwtI/
zRM+hIjI6s/yCOptg23JPof0fWSeWPSFTLOXTojGwOvgJbSExsWkh/LhRFUc6cgdIQcG6eThJDPo
Jd9pNwcV0UbVKYgzUeU6Tfy65YE8jqhzbUW7deoK8Ej8HUpGo6xzAQbTfDjyvFjZnZlfJ50s6AQx
+QMN/rgJhe/KBD++YUKvARoZ4lINKegyxrp+L7OD3wr1wxwdc5WLqL+yVtZn0ZRo/IpY+uaDJZ4i
hsEXKydq2lscGTh5oxab2i7cb6Y59YxhDVT1J4aqvnmoI8s+No3DNp07QuKiw5PCFKG7LaDgltHc
SzTnoytYq7YV1Aq/RLE84yeufnTChKRlytpH3uI6ge8sKpJJAuAYH+8UASXjODDQ04Z3HNbv8fno
u7DvkpfQ8b5QxDi9DDad8QxiKW/HwG6z9ystfEqt4hcFhKX+lHDTQUmw5rsUaeMD1xPvsYK+S0AR
dRxdC/QovqKnC4rKkWEdRr9g9y7W2jkiyqvDWHf5V71L4i3Eu9qjm3WPOTLIIFC3jJsFBoK4GkAF
48bmjUy00d6F1JvbYkX3un2sQY22mChwtCCJZTRGsvrkgFCrtQK1gL0hh/H3+pW03zoQZhw+TQAf
bjCwa2718jSEenqhDeil2y6gXVW5/KBy7zw6ITjppw3Zs7zDvZnG0JexN3WWmPOMD5MpkmIyv+BI
yI3hmmyLYxnS3ljaLzIW+X6xfz4m0gxc9vK8RLj4RlqaIe48msTMktfGsfhTyPi6Gp34NXFkczeq
/OgMRfI6lh4+85Y/kc+wWHLNRvHLmnxI74PvrMCzPA05MiinREGTmWItrtkHWwM7fWWUP/QabP2q
SPkpLl1j78hyOEeoh+0s8HBe8hwk6MB9t7hqGsYGoiXJ3TU9NlVq7EeZ2snab1g7EcnUE0OwfAVA
lgUWYxzalZAuyl1e4r26/5G6lXx3ivERbTrtzwTXMq+GulAtx3USRkmC+9Vj3pn11krA24Dr4Xgp
urE5V90PUQGdFmitOV7IThtNd/WD7N3zYk9wa+vXAI5OfFcynRcRPvIyEEDEejwFYx5nNV+hPdI4
dgN7HLwYbPEe+wG44rN0Uu2tqUJwXjj59w6tlkGvRc3Xph6twKsN+zVtQNEU5l72kuIVcep/GZ98
EA2tvSTOHl0olGwa3ZenvPSvPIyHfTpOap4JL14bw7nh4dl/jy1A50WU+vfYjDNA2F0Uo8LI+gqp
ym1RW967P6CKU9eFffNbi50Ax0WloBL1W+zj8Q0BaKcAblsT9qUSjgGoLOrwtLY0714nhjdmcn9d
Nco/aYAE3krhgDE24oGniuSOx910rw1RdejzRN4E0nwQKTe1r7legt4W5B1GXe1QfCje0E9Xr/TY
gSZa42V7xdGmXIlE3aQZ5Wtm99E3qGreXC3Sfg2822W2mb1FqWhWHFe+B9sC5Qk+Mnkw0ap7q3Vc
otPKjb9Zyr/SkaAxtOOVSt9KhseSCISiD5kvij2II8Rh0JP6Bq0QXNerfNgkImIrVOvkvQaj1TrO
XZS/wLV4J1uUiX4tR03fOKAFiiFkbLjrWoKgdB6rJMw3KSALawqniQbuBhuGZ4m1RXNKfLU3qKED
kVLFwM0IPMiBuhZypPMao3L1LfIg9moe+8yId72E/MOyJq/CBn8SOFTnNXoNXTJhG0e/x5YEJ61V
eDYggdN55lUFRn8tGn6PJSgHDx0kj4O6lfLeTpv+h5LIput9Ci4JX7cf0GWOuz6Ygt7wnPxrRDrg
EZB078h0yMWCGct6i61Xn0nxXS97tU3aLD/YBlK66Gq8JaFhv8U1wCtOKoZr19vVFV34YoXapv2G
U7npSC28GIBNHfI8brd2VuYn5Lb5KuvBtl3EY3vLOih0NV4vbkaHOlpjo+vPUALfYBF61yxDUwwf
TROAxsLYcot118qDnGiTAfyLLgd/W0RldkWHeTxRoALzndk51JJR8ct5J3ZF1g1QMLbQAcWHCnx1
EbrobKO4AJ9h7tBgFF0M32S7Io7dcwYpkV3ptSDfQiEHX+CdcJQG5Foa32WYZis09bIfUQ498ZD9
rGs2Ts9iAyQQEZo4o7Y3/g7t2+pTqFVWw6PugPUUzKUMxV+QdMVWCiJTC/TwJnKupEZMNtu2d60U
XQxQQ5+CI8/cSPRdXx1VsutoQLwrHyq1p6Hr4iYXVHYDQiDuoOdsipmNtMsEP7YDco40og0I+Rn6
z5mx0fAYuRqdTExKsZhHR0GnvZcbYj4aAB5wmgO4+dsYmTS0w/VXPlGN0J4eon+RR9rhkx2CZv21
U1W0qUbBVssEclBwZcuvoymjeSrZKawXeXPmqFz76I+8uCwLFh9NRNspckomegSTRAf4jozpVGWx
RWnvlmORYwQD9zW1kTOaYtl0+nWXJjsXl7SgZMgBB2SczylMraDrnXGrxeWxLiw8Pht4bcLle+Ar
tP/tM2QBb6NXeI9hjBx952o5uhUBbl2lTvfCOVjSyFvGvD36WYOeDZqbO5O+eWjoR3K3ISShUXx+
nb2aW+Kv8Ztub/wEybh2qlwzVAHtgnoCTXq0a/k/m6HyjjSgTQp23MP0a/oQNc+th7Q+cKg/fvAI
CAuoS+tXoLQvtL9ohdnmmJ5xcNx+P7YAUhpmzHd6NIhnzbb7QzWE2YqGrlmMDwWg/zSiTSR9EK1z
FI4aqwMYybJ3IFmONz4kX469L+NXuzR2ScOb7xx4m00dGf1BU3nyRXYATuJz+W7KFtqAFvR0PHEI
hxSkEnrXfu14fx2kLH4NQr8kAEJ+hdS4vh7M0gPJJctO+zKtQMg+Wt7z2Jkoe3a1Feg8wy140Kxr
mhRP5MxNPN9E0NognzkFaChcFjmz7mQyIuvdTuP2QuFeKPgqHqb04BTKtRQ8b0ntbMlr4BVrF0GW
ZT26nf+sI494GoShB7Ruy3rtqiL9Tk7fGLonX34nF1lKgctdl7d3Milp/Wz1EpQn01K4LIP1JXOh
RE2nOHRq4yaZviVvw1AF4H0s5j84zqDJ4EmwdswnyTp+AynlQ1eASKEEa+kaDQZoLKr9H3j9Lm+0
QSGuvGW5BkrCfDiTKdLSGJcevOJcYsCal1jaS0E5egtBYjLgZ7P4yBybYhfGRXoepYMlZq/IXkD9
5B0+2AoTHQKJV4a7D0acBACLVcO3dE60IK0Qpapal1pkrxcbOUKAPTdygEbeJ0edjri8W6oPFkfW
gBBdK5HbanQz+TomKIDorf+Cx8j6iuY1JCvAW/R1nNhAuUBTKYUB1f/mlejc0e0CGW05on0rS9Ej
DNJ+qO+oNUXVLAX5n+NzVHHgNdGc/B+sPSj25pbah7VRxyxXCYAmG1DKJIHVFQUYM3wIbibAfaoh
4q+aoaxDVKNFuuvH4lUYVbRvmgZdNpO37Hm75XWcbckLQuFsA/pAnPXkDZ1aW8XMx1PANBev5yi/
O6iYkNeFcmoA4l20cw8VtBQ95N/xMefPHbgEAY/H83kahjHe5Ovy6tq5i/QsM08QK/UhdF40qNam
JdjucWcdCt292qKBLGeWWXeII/M1pHvc5x4l4xUHqFhK2wN0KByHoLBC/dK4g3HRtSKHsJF2IBN3
SuMips0cVyu73CYRFDfITZ56GPQh6CBQvAPh1SSBtunjtnlkExET9LLZJvHwU6UhbRBgu6x5pAYx
e/RAM/d3ANkQALZCAxAc1R2QkrfxsAFoJ0MX+6WLu2KD5Ez9akL01UdW9Jdh/ZU4XfwTbLV6gE9Q
PNEcTwe81J7moO2v2KCXqHodrfyH7Lvwl83nOdzPjcD0it9zJGuD0bSzQ2yAOQe9EvIYZdnvvfQP
tiXuT95l7p/jkNfuNAf8RKzZkOjNyI3mMcfleBlxjEgfx4vjlnzL6L+bt6w5zROuXj/35us/D0kH
mdz6xMNk/PvpTD6H69YLzfv7BP45j0ZmhL5j76a3wA3RRjOG4WRbEXJAtLt4aA+0PvDMuyIaTqOv
1RvAQH/bluhPkz8NKe6TDZ3y9cacllocKJi94z0EiBDwMylQM+PS9xDhqw6xhAK9U0AdPoTc4A+0
Jwz1Wtddd1zsPfT+9iC6BSXeNPWfsXrm/I6tkXMGJC1sAm9KldLGKaC8NEwJCXdKpPqU/6TdJaYa
fP3fYsjNQAeyz9tcVsmu0tyXVpjx9PsEWk3UJxpBki650B4PRXKhoRcl7NwU4CaB5X+NymIdrccl
JBGnJawsAyprCaa51YjcXujWZwqxp7jleIutqBtrlw7GNzKFtSO3vpboAW7j/Q10Ev0NSFkwGKaO
h0ydmbMpQYznFagzr6oiGbcUk6cDqlqTA22wEAMDrm8PLXp5dJzhiSLIqaB34nmhd6R4stOmR+uB
2w3dZbG3Fsp3UTIvupiBAvRPucBf9vf50QpcmO0BqPjvFBq6MmOBLU2108CsG5CRzoCCkfDtN0Nc
gVh4Ou85GrfNeG13rdhQjDtEq0z3zSPTAB1BzkEg21RZ72m0Ih15x1fIl4In8gKlEn7Bv08BYNFF
0c2TvwPcPBHrxJb2e+HhjUAVP/60wj8CMgZpU2c02YdDxB3e3TK9fAWdqHFZNqFd8L2p8W9VV+I6
T45W97Cb2MAZqDjpVmQUrMZtgoJot3CiEa26eMdeFpsn0jiHeGNkJ/HxwzxypOiIPpv1G7qg9Q/n
Ma85nRudkY0zyv55pstZ0JnpXdGtlkU+HKbHpSZAsbnckvFTTKmJcdXFzkMmTGvf4at4jPAzPwMw
5G+RjOkg/BA1gHjHzUsJvgTgfSqoJih+g951ecsnnmwjLUAXCXrPFQ0XB/hR4/0owH5MDmE3IB1u
VAlupax6/WCzK1s/+XFzWBYogFa+QR7DvGQ6uHfqwVoZwq9uEB9Mg74zql8GqFSKUFM/OI+Q33Bs
8545erIf0Bp0CFVdPBhTy+5ELfjmDf1G9/PqVxSBALhR+isDEGqDV2v9PFpldvbL6fZk+/6LQt9w
nu3QKd7/NJGZD0cnf0d9SK2yeBKMgOzznhdltwelXXKHZl+5ihSEFvAIjToIDlEy+Us17viC7Ie3
GaIQKWat987ACZWohBvha9qxVz3N619+prZmLeM3tCGbqxgSzDdHHyWYfxxvZ1hF9AiajqtdQunA
kNaPKvk2/xEO3rFNwCCfmQJ/KENR4aQ83bhEJnhIQG8Uf81Sefcy1m5szY+39VDED+3E8RLWrhY4
lZ95QTMBATxNfxPAHR9mm5N5UKmflOejXO01NwYhgsWeE1z2XktHeJdesb8GKOK8GiWkzmMO9iUn
HePXHEWnE1gFo5U1DQ1jsEF/a+orCgaQBKBMX1dr8urgU9pFlZdvyJuUWbPtPDvZtpzvw15Lzm0M
xoA85glQaMWUEjC5FZSOyc+WU25KcIp46whUmFcLncNB5vfelgKnZLrdXA0c/9q4rn62bXT+TyOZ
RsCulmqYna2KjY1SLcg1JweFkBcYVggwgGCZm6kMpK15YLGJHDDGSOeCXL5zoWGcdwxA8RHc03CS
nSKMwsPPLZNuszZ5Gs7urqweQQKhH+zEOuIhTj1bjaqek4llVa+8B5AJq+eK1+D4bWo8f00RRRr3
257VxYa8IASMz9IC/tOKLLAiu3jFZXj0veYcZZwWBGhvLQ//gowiu/uuhvwR1CtWZMcd9JbnoP+H
SlxzTKa0WpEn8ZsG6vCyKpsvCXeGPRBZHWjfYWdgx7IGwBTwvxkIkzu7DG8xKyN1uyewMMmn6rnJ
8OGswFhtrqrYjfcSd5GnwRkjlCS0X0XYdE8UnnX8oeiK5Eqjsq2gniVtG2rNWCuptfJeWvj/mUbz
BiLeQQ6OmQOtyLox2kBhstsJH4CLKnxuQUfzWvS2fi36SWO0bpwvbdtkO9GAP6iahpZlA6Gex+pC
k2SG95tcfUmLXEN6PKoCMrshA6FVCKg9rVGnpgpM3N2vaL0RXyAHSFF9AyZyOcpJFB4n8D+UXdd2
rLi2/SLGIAgEr5Wjq1zOfmHYu7cROQfx9Xdqldu43fvce+4LA60gKJcLpBXmLHobe8UBdSJcHws8
M5g2i1uRoCHFMm7aKGsffeuBTIO2MA5FHXGE53BTEnGGpeMWIIhsnP6sl+lTOPDf2NJW2DF344PR
ses1fPx6D0D6wbJAObaWbEBLFcYbmrZJy9eaaeF56EJ2H+odatFxY65VoQbRa+rrbdegmVmCil2/
OvE4f2hYDnyfQPh3OjOuf6hCBkDncR+RxyzP2EjHc0DPB+ugEjnAQDlWV0YUnzulzYVTXM9sH2hP
qZ+KLSk6QM9Vnm8ugLIYXXoJfh1mvrc5uoHm6AnUkYfTUCOqlHmVxxedhTpiv6O2JNlV4RcvljTR
u6DMUNdtn73sncxJEgLCcZsO7vd5wJKigwCnQd0977p4DkjRl6BqPueoHQtpgHJ8iSLdnVfeyNZR
ps0IvS8c0/5uGvn+dURQfgNDqORL1/1j9OVnqjbhL0vyC9UswEcErhN0X5bX6yldBcatP/h5Q8C2
adBvg17Gx1Ad7Ni/tKlEr7Keo/njS05nV5lKtCHUReaTOKtSiYIE5VCP3a8ksGYeEcCndn6kMzrU
pSxWlQmGev+fCsRt86Nr6OEwYzwECl+Q7sgjiQEPSGecB9B2oKBcgsEMZGZqfjqIuG/bxfUU7Tcx
unb2PxV46SGPg/+fOWl+XH66Sq8995ynB7IicT+giSPnCCpwNLi5RlD8zs3mgeXUc+jmS92u7IPT
NvEh1ZiBbhmRPVqa9RpIkf9GQ+4yAj/kG6qQzDk+oXuSePBvS6xKURFntqhM8vFyyQzjL5Q8eNGQ
/3aKEswjCN3ctaxJ1iCciXaJZYWnVnPFQhiRDTA8WyxGu0cOenQqfWeoA50xEX2e6aOOM7L5k3qS
AQAwXgSOraoH4Ux+0zQ/ZGUVoo1pcv6hpnv4j7f0wy3zRsw1Xeqqnj5VTdeaPta3T0RO3/SkaoTv
ob1bn/9wma7w486CwndmCMeCHBDwfRzvu7vQQ/1UOcZy3ntuuCEZmpz4ET3eJ4cJBFSVWZv4xgwU
KvbWU0Mvt6x9K4sPUpJZj44v2XGUfign00n5tuEV+jvJXh0cGZ8LsEAgwo8RaIzjTdkDIJSGdPCF
tawzTZzprozelKvCt8bFZMGrNWqAhwtJzNrNloYHdDa6ppX75a2FVTMpr/dujCEIzBhaQtXnZGPh
34RJsCML+iQNx8PfK3y5SQAdoW6sCXx2AL/tE7mQaEDn5axxUd5IQx94QTvNGIrrlUhWBtZTkDjm
gbwCcPBsKgArzuk2SAYUn10GdD80OOEqIQOOpO2jQJFuQw7+K/JF4cEd2vZUld3KFIxdmDpY46Ch
Xx24SY1ji2wOguoZaFnSWzKpR24htcFGAK2aAAaKWIOCkpW06+Qt6VHKOYwsRNbeLB6BvrExQDz6
BvzReuE0AL23+k51KXbvRukjAZv12FZkKFl0Ay8+gdTKAfAvFJkzfHQl125DH8v3EU00C7pAB0ZR
IG49R4mZ7R29sICe7DwOlhHe0ChBaxdSnmLYeqlp3cvQcJesRankVYsUztZOqgqJH2i9jPtHMepP
pDRC1t4V8tEC82U7j7RxhwdiciZdWbWI/X5dM0fsfxGitAU5ObyouSW8dTRib0vGTlKJQ2+hVpau
Usokvu1re3VVqnvOo2qOrHVzIVHuWH+hggToZ0rHR8HmoRWyDQ3VggLFq16FbAdu2fZYvktMhcOj
jAM2ajdOys6krMdSzkDx0CC7mq5Y42knozBRMGfr5cpCB8mChoGQ7CLtRcFbpFJ7A18NrucBnQi2
CdhJT3nibVvDDIt5onsAbx2aeqvXYXFn+a2916r6IyNf23beNGQRD+QKWCZ/U4VmNE/ByV3MK61f
ozBsPEnlqiH1s7IZM7CybxCgrbxt7Jog9WzHwNkBWqvU77WsQRPqGBjzyETc7YwCWHSbxTz0lmSF
xFhvbIrO1LEpCIZ1Ffn6jZDuEUW81l0Dct47PzSeZV2Kq8iPqmElC89dkNJGlxJoMcsN2dMhtyIx
S/JW29Ow6/Ri3TC/uDokeSJusfpYTA5GArQdxg1tZ4+ldceTPNoIB+iuZIJvoLiU5e/JHjFesOSM
brCjWyjc2t+MXMuv9qLpx7tgQ6rrDThgsARNmQAFjLvFL7dXdcrZPETC9hnMdO9lgDdZjL4TUdaj
QIBdxy9GEx9aXT1E+qi9jDxzAXXK5H1UemyhaZ5zQqUz8OZkw/ZGJsGuB8ihTZEybD7TcVjaSelf
egQC5g264kA2mHyA9lb7ldb9qvW4BIxu/1YPuf3hjdHFqdBYPyarsotQq46UEbbE3Qz9xUhwJUM1
9+tAnvGAT7aaabhrnvvNRfPQVEi22XYUHv8ri2PgbkRZevEHYJ3nKrXdguDy3OUtdtxJI34JHs1M
sBH+jgLEMC1bd+8SywmwxObxDrv+/DSiRW0e+5X/KnUbFGGwHZvgVwbksoceL51VXILaY0x1dszw
xS7wcvIBjSsOYR4iAW2XySaokmxtaqCq0Vo/fARPaoQ2uaZdmS0afWzbBJV91aHVXGmrNkoXIyhC
N6RFGzPYlEo725FWNB0WZXpmAZEZvrlRJTMUp5dH0oaD+5RLIU6kbAv/UGcRx3845s39HsU4jX0p
uwEj8x7ZbrD/WE76kDQ7cmClEd9JF33nyiHE2+KWgZ6edJ5bVSeR66ioVZONKHcGTybK/tVtjKEM
DlWGQgLSqhqyHSpYcvRewxhEmRF4X1A2ommo3mDaeAMWwAT/W315A8yAZh8ASnnZonb9sc7RycR4
9xdD05oXmO1Tm+GlPvqxs9cs9C5pXo+MZRvUr1WiLcGH2/01on99VoFE+T5DonsNApd4joykty1l
n828VoLuqMHjesmb5nOMtkzQB9QIdp7IKETZ4aeRrYx8oNJvPEPACLwbd04AUt0ESLSXhIOtzApk
+svlKPQBgeRj7wOkBPQiOapD/mGBMqATFoj/jUUGogeEb9PiP86BDI63Kkez2A5g77uYWvd5H+oq
dB+FmgPv2WIbmDqqV6oIhOe9kDv8qAegxZWfZ4boMzBOfo0n9VXzx3E9iDydodEBuAGu1y9o4lHN
fnWise4kwpzTzGmtufO6GPWbRqQz7IfC51QP+31YoBiKhnbtAGjDzfUtDWWEf/i6kncxaqzOna+/
xE4dPXN8cWu7C9FUq+aQyJzjTRHFNwB5AzA/6OVJPtjV59zkBaqSboEGy8+5u97d6Gpu20vbc9zJ
l6HVgbY59N0yRkF6HroP2LzLS1UPa/QfyEeQgLbYxg+/aeSBr2uHpo18TsMWC8k1OL+iJQ3LVquW
eCih3Eu5dvhho3Y+7HY0jHULtXx2rh1pWCBBh/eguAgt6R7bJfDZh0dpaPxWGumORhwok0c9F1gO
KWWNItld1lb99eIIgDRr/OrNRZffmupLpD/99e+vhpOMvohpWIhRfYXKpqVvk/QVSX+4fzP90+xN
Ak6BOPPB3uzbB7yao33X+O7KiYb+wgMfAbzO8t4yd1yVcdl+JF58sDvUEOapDmJpUFHfgq+VrQdZ
ix3qmIMbxxHBstfd4nFomg9Ps9sPVImZFZbiKBsD004lHn08RpboeXCOutumO3NM9DU6L8pbwCG0
87SJu1fkyPe5uiJWD2sNoBdvYT8CvltvcpC5mOBa7GIABYLt4hgg3Y5ipCh46DNkpOCl37M6fhuF
dWuZDOXh6Ma/6/FjA3i3xRZAkRnugBoV3bKW41mAUaosDKdAegMN39tiMOQd6FB8FK1XFqC9AaQ6
93m/YIkIjujAfisFc1dmVTevPHk1PJs/GyBh2ARjX6yE7jSvoYV9Q4y14hi12dYTMeiOlfkAEHgB
hobH0kaJUunG4I6N/PpVa6qdKLv8ISxbtkNUxliQfWunJzASxehbDiWAmcZ0QfMbWvoQ6H5wh9dV
c2iSBoSpav6uSt8Ht8BCuCmLI1p4qznN31k14uNYf1e92A4jH9dZ7Gd3htenN2UobnTNwBqjAlX4
rDYsviWtDZDyvS9d4I7FbVCgVSt5tfEVHfy0zLEz6/0NbU8kOQMMaIOF7rhyOobEvpp+AArByhdj
u6AhuZn4C8WdfrleH9ymS2kn8Yp0Qsb9ue3k4jpjP/AB6Ox2vCHjJIy6IxqDLte7QfMf+C5BBLMj
bYAK6p1f5uD3otvpK/MeEdLkSDN7Y1JvQhug61et2l+ivT05X30drHixmOQLMtbzQrtUwMlWn4EO
dekBR0d9OBoihGuerDpeX++kD7psrmFveb1PK7WsQ2Dzp+sfdRyBBNCjQ1cgDoIcY7JHY71CrMHZ
f5QFJbNyQO3DZjL01AwDotYL4cSLWHUoxOiqbbGaMvZAQRZb6ohIKks/UP9CSlo6pcM/7UiUMw/s
H4DkfMjQ0Q7U/xp0cPNCMT+Zik2EzlBhifKCQRtWk4IBityYkaZ12adGY3hkpJWPhousCLcjECgQ
EHGsMx00E9X0uryfJHSWR92zFLGJgMnflnVeAKrJRsbCEdiukAIdRN9nJAW2BIaaESXo6Pb6mo1n
3LjORlbTbNMVpvsbUsNcBlcUuziPPwDtlSOIz9Bk2csqAP8JFjazEpQIaEAFYs2Wuz6/qlA+CsaT
ohlPqBVXv1gUDiQ+Eh5MBCeqOYgwClNLu6HCgS8d1TGgTOqbjunaw+SndIHyo1n+7UeW0nD9WyzY
8ALs3foS9H2+amKjR4NNDhYeJSv77K0yc2N/FSXIfQSAXyXd5FS2gChqUz4qvKD4zQeg/Z8cQC5o
LYBb5yx6BPtuPPCu3tQREOwGVtRLkrVfCjoj7ai0bpwg8U9CMiRNzKN6Obkko/2vWekik8JsC4Wt
pUoXUN1sxUeJer0dQzPwsccrQc6cOkReiyMdQEIQ/AA1MnGK4egqTeUAAidTQ1KPPlaeEvRXoaIt
I85fzXfiG9b/IokmeG/PSKRpv0gfuxrqCPStHUX5DnuF7jkB+2VqFi8Nuqe2zBPZkobYNbwVoD26
BZy2iy6DPgbuTVy+dI02LNBt+Olteusf3hFZgYyQvLHT9U7cVBgWkSxfahZLfAcOWjrdCLxzUg74
0YLDvX3O0u4WKen4IWyAyJVKdOjFTLefO9SvJYjNvUfcCBdB0biHiHPzNHSMgxEACuXpV1H8kJTN
p6eBkCx5kgHKiD49SzO1rp654Yp3MFXdyrzZhH5UvoFSYbB98YFKJpCrFJ3zgDxivcy7HhwCpYZC
L20wV57t5HfAnQe/OO/Yrxadz+QV5/IFDSghoAmB8IQWU3ED7sJiZ4BCBd9oEIMLwRcopU/K97B3
Fwj8hB+ANrkYwHZCQR1QtSO7RjSi5d12iItwgw7V4Hb0s24eNNJ9FcWwCdGB8AGkhUMcVeZLBtDB
uZ/b4dlofHPjIke6yS0DgcUQEKm22Q8vzMmPdKWWaWvsr8M39D+CugNtArdSN7W1r/ty6wEM4cau
0S9R9ix9zprijq5U+qgG5bkOvF13wKKwH09RlphHnoGQXo20ItVPdFYbvb/1y+RpEjkdH0+gHeSA
/kIqjBRYJrXOTBi8WXh2DV4KTcOYZgBirQ6E3KFdu8qRvEsnifeAvNNnbqghJIpXz72PJtcuQfeK
Fdb+ghl1tqtct3w0RmA9onPmVfrSXzYtyCNTAH8/F/o7mWuGG64HdxjWNARaPEfu9SW32hKYjQLs
NmpSiaYLbOPSJzwszW1uinJJk3aavUOgSLt3kNpcRhaWWSoHFGPjh2hFpq1qyt0AlxMN5iXI5FT+
pwBl2EnIbtlREskJqnbjdiAtuY7/S+frVOpqf5zACPB8j5p8S0xTfoN6ThOVmZGBrv3WAAUDyTNg
HCyKoAcXXRvK5yobvpk1bvLdzMG2fqubXnX8LLNCIOkDzPH1LK/97oTdqDzH4xhiqaI5L4HqJJda
OAKQ1M0eKkAW2UBAeWGhna4cyYqNpYZ1uWzMJn0BE6TYxqk2Lkksohy92664T928OyATM8xJbhmo
NXU6NMa7OZKMJtpZZmHq8pe+9pCJzpPnGlQ9+7wFXXriWsElxG9mAaaP8n4U6PW105w95hHC1SzR
0DYOxMqZQFP9e2Vll8AstL9sh68jW9OCmYm0gYum32g2tmsANyGaEA0cOeM6/3Cq5BhavPjlZ+lr
ybz+NUy9EgBMQNDzUDuAzRB6MkDq584Dv9EuQc75gmF7eEZTfLDSi8G8QYVXvgY5L3pSxvQ3gonm
ZuCetpNBUuzMhFXbDmQpB7AT8nU7APypYhHy5ePI8TT4Pz9fJrAp1bMqQQvP6N8yoOPNACyJNoC+
ZxGwfCx0O7H4prUy/3aU3XCKK4BXqRE5WEEU73IBUjbhZDaq5tFttUwaB/AXykbDNvvWiasQhUsj
uoa+ZKlX3+DlI440S1EE7NymyPH+7YNOuWg/RukvL7NBXaQnNXjQB6bNQ9fqDmhWOMUIF5y6ISpP
AVoC7LYJjpOIzjxZ7RTMxJ5GFS+Bfev3+t0Ivq7dZKsVZb6WaIzYIzlWLUMk85H/TZJTnPafBxRh
JIA8R60JC2KTzUjDRoGVgqVtaFRYrcFmHuigT2G3CYdouElTCVJfRQ6FlhzfW0VdBTqtSrDliO60
Q2hI9NM7dWOuR394BqJQ180MpWG9xQ9FCYaaRZT5a+EId4uOdvdA2utkJf6lFqMeMrTOwvqnN5mn
gW7sNBDVXV2+2WRV9oGudrH+lA0Vrl0Msu9mZmyWWBLkqIVU90K3apCexleHvIhnDbPG/beLX29Y
dxEKLwpuLUhF90Fn5E0Hxpt+CXyMam4DxMpA08nRDl0HjYyRVeEhjkL56zgawKdVjYFi35ao1gkq
S1s541jPr2Mdb6mdKdu365APoXszDijHoNkQmvbPrQHqL7uKbzo1ctrRP7vSwq85jL3tJOsTRXxl
ChR+hKV2tdN71MNjQQxqki9ZnDZya8ZYkJAvXYKhX+EoY3c1TUfyxG9m+HmXJ7oqHfogfTZHBy1d
6kboILoI7Q3g6l5PMr1Ih2UjqkfZi24dcYDszYomAnK8OgSG7R5oGFb63DeCYP9DPg3J1gw9Yxa5
ha46tT/9p0kmWaNqNdGrUMwm2XUCJdNNna2kGYEqjzcILCT1ovXwHzDKBJDNpHB83i3dgMWgOAFZ
y4IMSWOEzdVaKN9JTmcoPvl0o+HVF8VEO0fEDnimIo6SFEKk7gffn7fO2AO3828Ma1JMyNUTfPUP
GfmWvOxRxwaIbLJjRYm2zWmun8LUcZq56+nNopR2c7bbtjmXfege28H8JiK5LLAuN5mebyZbW1Z8
E3Wgg766fk2SZTUAgQNUOdCUSl6iCWcJ2BF9kX+Z1X9fi8wmOV2LqWtNMrpWji3IjK4/KQpcqzfN
6DjJa3UtT11run5ucA58Cl4uR31M9wBMSPeDJnVEiYDIMskiV3B+HedoJsMe98sczYUYkycJv+lp
XNftv6b7o+GgpiQNHWhGx3A/ZdNQDCiCu96Ai7breQfAcNRreW6TDOjGlcVxQEASzDF5qe/LCOBZ
QNX61ADu1WwXQQMUTxvl5isyR8LGite+tFC6gRd5YfXYRoYou6wA0Ld1vbgGzH8V35ruM+lIUnpo
veXcQ0uasieZg2TnLMySaGvEdnURvZ5e8quK9InlYbmtu8BO/fJhQo/mMRf1Bj1V6D1L9RyhoTQ5
jmGfHGvXDjailU+lnxuAzTBcHElDNiEyj/Pa6KyFoaxJwfPWWDWO7iMcx8oakSx1LGI3PGTq0Beg
bUIjsjF3TYn0tjoMGfYvlVFre9ynvYlFivrCQNOf8hg1bqaRmjsa6nW0RcYwuuNdDmzbLrpBFEJ/
srSBb5PGThbZMGDo8WqBAMqwBTiR8eRHBX5EPXhE6mG4Mw2JNU2bovDTQ9k3MosOHr9AxGWWjkpA
QLciK5yY6G8EaaTTAHIROzHbnOFxYd4I5PNvEDU/aUMX7chukoPkodkIs/pNIgcU1n97get0Jjrp
AV7hSxi6ibmrg+jgqonJ5XqhUGGdATVGrL4JM9ReHgGyfb2Nb9PoAntNe7DbxXQjGY/vKuCAL8YU
xYiNfafljXtfZOa54DI+6a7t3tet4njhqFzt+tS7HwGbj+qghq9Jy+reWSFllCxBfe7ee4Cz2I5a
l8xpJiwpDJC+izdS2iCsu/j4r/bK9lA6abUADBift6iSOacFQPBnYW7Nud+juK/EbChjF4A8QSZm
XoFNOF/KSlu4ZiGPOvctAAHFw84sdESIhji7i7MsmSNcab70nncHDkUURSborLbR546ZQMsQyuit
a1G/VzZ5ez82brQ0UqA2Db0pl2URSuCyqUOE71zT+2r+TaYUNorZFoiui2/GqHJ2F+gDSLYVixOA
LwJOymCGBDp9PB6Bk5pukhA1fy1Q/3YF95rtWNjhwURV+toxjRL/PUOE/srUPoPXngGVLeru8nEY
56p29rFz9L+aJFqFbdHfsgABVdMDCE8zmC2hRXV5zN8LBVhVMA/1A5EGUOFQAkbK5ajdR22d4bxX
CGov9Dg1D5ZW8BuJ5Abwk6EA9gCiHbX+0vW2tQRI0W8v1VwsNhsEQPwuAxL1dBrZcb7Tq6Qe51Fg
ot8VQfmlPmg+ksN83cRJe3bsqrgXHVI4LMyqbZMB3jIVRbuuaqdZkDblg32s+vQRSGEJON/6ceYC
mu9S1IrsLhSogOc9HhIjMt9YdgB6JHJnHjLJr6NTWys7BzAonhv563PSGulr5rfY5vfgPw7CAPAk
lphLkdpPZWSh/18r5ZLkUgZbZwz6B6OqnJ3FW7kged45F2b5xR02xAq1ST7jAZEdtMDwGEoJNEBz
AMV1juBDHCw5gsxo/YuQGwv97HQ1EkjP7gBxdkcyvx6zEyBOsxO4E1MEBp5jC6n1LPDaM/Nd8Hjb
Hbr1sCF/zexOYvvWlKeUefYJ6PkIZPKufk2KVJu1uKGbDuSkKC4dsYUX/YOT1fy5dAJUYCeyX9Mw
ivgebTr9HUq07Zu2QhcwyQUHqKiZ+niuAVn02eB4rDLJH6O4TA7YaNRzUP7yZ6e3+zl4RPneKYri
qW/fydsPCmfbaqWxiNowP3FHQRArvl1kCJ/rIWEbtwfsW1qa8vVL3iq5o+T533JX9OFzY3jWBn18
3+TTPGQ/GOjbqox04Q+O2IshCvdDyZZDUDPUmEM0yachnblf2klB/o1onXkQS7mSgFRABw+a8sEl
0dyA0w+ktgL/KnENQCaXI43fgCX4jDSoSkjT/1Bd4UUi8Uqzi/ai1+IZIKfZq++66SLQy3YfOKFx
3/H4QP9DISBJl0Yh+NZGCdTTwIcF2Rt9j8RFntcbJy+7lwREzmp6AKzLtV53Yk3edY5IQ9C2z9rI
/Q0os/iSvMMwXaNbPni0XS+Y52MQAkhSs564LZD+r8WjLJr4BCg4QNAopgetGuWalzVHCQjMXL9y
FTpTfyDt/9sLyeDyoUl91Cvp+aXzWXcGK8l7kMQIr9i8Wrm11qwDMOU9J6l+nqxyV3sjsZ6B+HmU
abtu3EE+B5k8AwfAO2LlMaKTHo36WsP0Cx1QuxjNR9MYNp6ShT23z7mqc/iy4LmGqvFB6ItJxobi
mKFm7MiGWr/4TePuXMOMZqjSGWaA93AWzLRQzsLt+sGt6/pYdezDCpv6ofLM4BQLcU86S/Osc+/J
HelCFHJf8LNckG40WH/vGlcVSZhxW+ZOdk/GeRMsOyMrL9eLeAZ6XvP+TLq6Nx8ibjO0N+AGelDX
zbIuT46k7NIczam1ru9Jq3MvmfugZbleCE8bb44+gUiUazsGN9S8QafmTKu1ansd903xFHhBv78O
gUS/kWhlOSYCa8W5MJEg5+0ZFDzjrVZVgJHEfplGdYd287B7YHXYHUwud5MUII3xHpTTr5h8vCV5
hOXetnHiAQjeamJb89J1zdDBRPOQoe6BVmSwE2sxTSUFSLB9RCVWk6xIEShBnRXeFeq26OCbKLBo
TRNokOqaNap5l1gv3TYWcLd6DXFZOiRB4uFRrITgZXYZ2lOhqtE7vElz7RXV/fvA04ZjVCQhirKr
FHvadBl0HgiYWRhpG9Q4mrPrOPXGfhG2oAsbEQqM53EwvuNT5ntyxhPOu00OOaCPLnTQTSvYayX/
6+odap23TFOAt1y9gx7sbDlSgdvrmKf1oqjr7iRHQEKYpuVig5jUHVsD+ByhTGnLaGsDCskiSs9s
rOqDTlyg3CqjLd5H21ExfhZWXCF+ok7pEIGYbRUUMTLeHCECE0EAHrfsoRieutyJnvCWMm+ABRYg
+ophaEXRNmV6u0hlFj/5te4vyiaoN1dj1IcgcGpYR9KGAq1yAFS4R82/uFTYiuTKyW19c1+iMntO
Q6Tz+aprwN5AQ0XUOI9alGzQ8F93RTNnWHP8vKshcNClpm7yT3cFnE3reP0I/7qrCBVtT71fmUjN
mv+6K9Lqjtb8uCsrMLUzoHGsh6Z+vn78TMzG2Jw1AOY59HnabmLDjK9n1R9kP+w6rfnuMfn+F3bD
P33/dLW8Yxc3FnYZqczCbzn6NqAVbaBe06mFqroNYEq/yxIkN8Xim6WunCbzovVRwGDYezp8s6PT
1K7AThjwKFkFQe1sLLdfAgmovUlRaSfmX0Pgo1e3pTq4/nC1AEJAdUsHJepco72hEZl+OY5GVF+t
vkT/nAtJtXSbWcmbbjUD+jcrf0+cbjQM/jkkra5oRzPsqIGgbXwaoxlpmKFl+iUcsw+9RVeFjPTu
rrV5e4d24RUQwtAjg4TTHSLf/RIEsqD5VcNC9uxU6HJNo0aJAh2tYUBwT3fkXhYIxiH8b81oSHZ4
Vl+npKvQlGAa/pwyBTnYKa+GNSnJ3h8xpWJZ3dEQAJ7udcrrVXO8rUoHqNWoZLzPk6A8YKMZXYay
Fme1y4uQ9ojn6KwIt7zvjRlp6aCZNmBn3ArI7MqDDn6f3etxUxwQkf42yWSQAsX+/zURoCTR8A4i
mhsQybybZisuGiDWDwjYoZjGtIdXOxmvchcVqgddsmHeB7kkOViXPu2BO4xuASX3vOabfaXmIbma
X2rjuu11+wlFrFvfZOyjQ/1qlzTZO7q+nBnqjQoseTvEHxz8cgvptXuUpLOVnmbNRb3H5oMJUDDl
7jjM+uCWvLrjmf7dHciMydXd0AVbNcHYXMwclY0sy+M320FCqR4HLKTCceMbNnLY8O+PAMUEB3Hf
ebMA78YjyUAjgkT9pBEG1kqzgJl3HmI4m7wrUD6Ksu6jpafp1gvAAYyVPcBBIafDjyEwIW5EmGVb
kpPnD1sTRZsIbIIp64diGpa6U+0z00SDRgnkpAeutcmiZpWxbMGcdO7VIRU9Hg+JfW9ZHip8lIjO
ulocWOeB4RZVuoDrZT62FJX0FpNd0YfxIS2tA4loNvKvpXvHqzjcQ59uNfzzboDRMrxkaIDl/ozX
yPuDUuWNCigy/GvdgGDpjQovaFQqvnNVsOE0yVU3WSrdZKn8qLQDIbXy5suPZvFL7ZVKO750/6df
C/BgDxyju76M8GcVlnzuBArC8d0CjEwNeYJSqzR+Fp3G9pwhf03iyYqcsJoDAwvqrxPzu1Wj5upE
lO7tAnvNuPw2148r/sOqMVj0XLLcvl6xchqGVQMaMocKy8jKAtFAU0dornDsDjX5XLx3aQdsw859
sTr8SowIbHY9oBHv6zR4IgPydN3607PLO9AscRa+h8j5T54+oDS2qI2M7xvuPZIBeWaxjZRoZbdY
/JjmrOwL60HvsmFPYatK8aVJNfyhnYYcTEk/tX/ylWCfXJY1Uqfb0ZUCxEDhCEpLvc82FCikoCBF
C1vNcbdtBYSvr2ChrpVVPZtMJg2dMSCEI2fFT8jrBJtJSdNNwykgOckYOMTmlhno30KTf7IjD5qP
tA1Q7DZgd7nGMn9cZzKbrjOZoMlkDdrDCtxHCIPSrU9m02WuMVRy80osbzm2bt/+ItN8P/56NMOY
Ii/mFeZdH+r1vEmk9jYU9cIbyu43WoVeK8+rHkeOgl40AclDVhbJAaiC1jLFwvXByqu/St9pfzcj
Go1ad3x3cyudD76X3w6NU6I1Aixgg4dAUaN7IO8d6uEtNMslze+H1bMbGwzVl3G5DNCbATDR1N33
EQjKgA/YggxcoHRFXcAdxhlo0sWv2nXCObDpx9usNKMNUD7jbZY50dkqFXnamKHUFLtwh9cxeMzC
HDQEXIJbGYeMuRXqEdVpXaQnM0WeM4uScZ+ow2RHZz9kPpqY/2iSeDPRBkCD/boMedK8P2TTcLoC
2VlpiGQuOLB+XHQym1z/9xt24jRbsi5orx9zuuvQCdEI4uro28iH5k43BYp6RNQCoADD0cq8m8AW
SNt5zR2JsgCw50BZ6Xc0RNEN31qogbv6k6zgxjrhunkir1hHmYplgF6elBL9X+fctObTlGmFijZg
JXgbkv0Pa9+13baybPtFGAM5vII5iKIkW8EvPZZsL+TUABrh6+/sAk3IXPJe+55zXjDYlRokQRBd
XTWnm4Y9SmBCoM3Lc+hHtGdbPfhDBh4tbSbMkxePxj5JNLE2LC3+2sTGT1Vr7R9AoV0lY2R+I1NI
zNNQVgZoHJyLqV2psymw9C6mZN8AC9GnJda0IgPePGiSUIXu5z12Xaa1Gem7YkCakVR1mv9SoQtx
M3ohf9Ba50cfOvopjV3rWaj2wkiG+IuOrONTraKOQ4qdTM1OnCHnk8vhqLfWDvieQFCQw74AwaHW
jAC/dVvr2auEtgBSdgb0GGgNTGB2KSAFpLIVwCu30ssEhsZXJJ4nIJ8kNi4TkLY2o3KdJfa4Jm1k
VNoiAGHNnrRZxn7UA9aRLdAefQZEXCPEnd0CeVIJUCF08Iz92lVNlJtmwG/eKIp1GY+jilO1TKGg
s7kHHtqyM5LoDKTsFeAmwyc6aHGAfHRvZkDchOxqEQLJpVj0qR4t0W6ebZSSh08eaA3I39XbrADw
AHybrs82MY+j2XeODsariz/JStMKyb9wQF4ISsbYr/B9bkOZwOq4dgB1bfmETmAUjAw6gPZljkpx
YnsVR9qnZkiRRz6561Flr8YgA61DCkT0oDwwDanpUI+CFyTgiwV6wqIDyJ+U57hGD4ImtHPJm+7Z
AxIcksrPjuk596h2fOmkje4WLbZ3BBAqpFJYRbE22tFYk3as0dhHAUmb/gqYXwLSNLYzTAHpHCgg
WLHGBSkp4HyGhe1+SxtcZ6YWosxIe8+52/xMUamMtm/srbEo2g2dWr0rCVguS6Sqv0aiN5Zt2TT3
2CoLtkaqiT22SitUOFvD2kYH3YPRYfctyYpPQwJBc+eUMX839Ub4pq2ivY3pBjajALU7cPcSMla8
Cg/jSNpSSB03kzmkw5B+CNy4AxRwAeoRS/lRsORPL/5bG7NvdpGW4GJdKNP1zkMARIdg/LPDxwBo
Pj6uvOx7nQwnA9twz3aiOaD/kpsLaT18ZqGVrQMYF2x/cCRPbizQ46A9h4F7iXFj0aBn648WAIUB
BwjaW7CNnwPs8RFPgc4D8mWtivTTokIP/Dbow2QxjYE7aCLjJWLAVfPm0cwi56HBY/+NcR5WuA3X
A+hwWAtjDdDxyMmmrp+1yMF3bjIcUPA2HJLGQplXZD2SaJL3Y6KAhwcmmSGAlj+r6JUnArBa/HIp
dac/TH4y3mwbshIAa5OGItrgKF6BCu7VjpAulnB93LRDtLNa2QIkUiPobiEL7So8NS5DPRmUJLLB
/QaIJFBT0BD3rPB0jTFbfBKDlP9xFlPOOZSAhtQkb6/l6H9pCstPtXzyNTAy5IihdfNR9qmDHU0w
n3uDc9fIg20Wl1dIMDp3EXiOig4NBKR0U9GOWGTCxMLuIP7N/uBL8aRvjKcoNMv/ijnPozfxxd9Q
zOAOT1h+Vjqo0lfzaiuADb9rKnW41zQeLg21qt44NlLDxGI/WV9vez1wvvExQZli2JlnTTo10kni
e99rPTrOa90t3wbDugNAGPsZDP9wChTX8lEog+dHb8glz+LwDdkO39aG7BUQLE54EHX6M0WT8BoM
8XIqVf+KDlYDhcENhhKZoxQo0iQtJYJ0WwDZUoMxZX5MObzRzr5kTEMOSHuwGhxo8ejlSM2qFXKg
tAqkIVCt+Za0XRhetPOQtFGMyka1DPIRvZ3UhAFSGICMp6j1c4o8uvNSq0MjcsSmcu2gTc8FkzdN
3UB/84huQbsP+1eOPnyqyp49XRb397UJxBGQS0XvvM7PVqqBHed3z7ZnSzIgT2Rm0WVU2Mkd2DT/
UstxOI1p6X0Fo4uvdqBDFCq4D5UY7XE0rAE+tSwAAbWjYeN6+z6zlEdAHsUPlqN+IXHloYG2GZEX
m2IogP9C+bZypKES5eGrNSCtkycSbJTx4LUddbHKIkCtk3bI2y9RhrprYL0Ha+xbgDE4a5NHl7fv
tcGqQ+VZKPGNWfRgICNloZtoUQFsHvCgsteQxk4LGAWGRP4qAs5RshBYZtujsA+F9C2LqjtjpXAx
9oAOsEM+HAhC5BwpEV8qGqvWNBOaA+pzA3r6ZxM4CBsQ0ynrthjEt7I54iJo30yviLaZhZp3EhvV
d9117VddNeptUYHnkMS5rfoce7qvjaUZ26Jpk0mO/8GFl8uqEweJtAyPcNiSx85JKtCejtrYF44K
CaxE0P1GcUaVrz0VjwBGiQcyp+7wYCTPRoQpdjBi9jVDbcG+UNCjTHI9jfZ4DK6/aqzo90WO3dwg
ApWFOtpnVW4KeG4LxIIheEPykh9jBU0Aa1KU3EXr1VUtFDB70wEUCagKJ3Mat3WKx0lzhapzcdDj
xnvyXPeMZdTwrQEm2VJBjEluu+xMqbkC38GNnFJ/n8hne/SDtwfAril+hh6YO/A/gZ+v7odjl7nK
M8BSsccMrmw1affC04ENkXbDq1lgQxDZlQHIkLBKVXC5esMrcA+ayYqceK1dYoGUa45lXGN1MhbW
E59Z0YwM7JxykxubmjJWkLL+GGIX5QUzkvM843xe89nH6juJZys6zfk9ZpLXk2u5udITdgxtD4/N
ndpk+0q3j+BGyNVNGCEnLLVNrflBbDwOhQtAESdjp6zp2YleRUHNVpnqFgsa1vZoGT66dMM74JdP
MjLmOjOxRZSYP+co5DFHcVx0C052JGTmxyizcaM4DB1O2odIDbAAOwtoGqbO6u3oWgDSENg7pQNy
Q6hAqKMFjSq1QdOXZonH0Azaw2yW5q6yaOMiWBtAe5pcb8JVeoH/Hg6mRxkuSQejWclI+mg0UySy
oEhx2+J2cz0JNW4b3NB17ATYegbinTQ8MtHG61JFUm8AnsKDh1o3/Iejt9yuAaqah8XriAp3kNHo
5V4EefHgSAvqPr9azDH+3YJmAVnGn2PcWPSButWdtnilWboir/ZO1uUPFCOSj5+ppW/tAbchOtNc
vhcV2CJoahuwGMMntW5tQHtZCiq4UPzroDal3eqdlqKEOQZY0qjzY1HYFpKyv9liTWPfe7DtQ+ya
fmZrtJaFjCh4VuoxQk1mFCkPSauzhwqIXag1EdEOVbnsgRS5ji7yOmtPZAHQvPB+jIF2cnXKq67H
3bJv/NIesauBi6leqUEbreYgc2CKQoociFIscJspsNdmCAxix9mJApcKCiFnp95IAdQrg5MMOILd
kidFtAS4XnXgHipegNsKAnkNm6urLkVp6AchGZEa+ZPqUM7mCajuXTyIwJNUs2WSm5dAAcqZL9Gn
mLPRh7FpGNiWR1V5daBwWO+/ubXINpoTAUao0M1jNNTmkYb0CjX57o4l9SbRlRDV+Fe72YTcuAjQ
7iRL++cAc7wcBBjCx7ObeWyMDrhKTovmq18TkR3Fi+MRSATYZ5vmvDGZhxGdjKmh5PqzOW/OjYbI
upx1LRbbyXeOhV6xRamF4PowkFYGDsXZsS0UraK7a2/YYJSnYaumzWOG7tsFqlI69H7BhA4RvOpP
vExbwzpH0cF7pxbgZ56jyHkMe/jHPOgEx7Jq9pjGn1gPMRCl5zOwQUO1CAH4t7nxADIDYATaNPXp
zdy44a9PxW4ATo3eG8W7TkaissJDwWdeNx9BDi4p+gjIa/7gqrC9fEh0ivPH8Mlcs9f8Qc0fxfxm
//1L+swrrgGw/8lHPr/zm6+WFNdPg6afz/DGC7jeHgrp0MrCsxBrsn3LjUUWeKhxa8p2HxddvWVJ
yk9NzoeVwlLvkaFjDz8U4OXYifEzy4LoB5im1rGJJ3ffyQM/Uq3ub4aEEcsSjh4pAN7Eona+WANq
5FBwH56FDfCZm1lK265OEbpWwJlouXjiBirPn2axjb95V/b/eRLdZNkGmW13eivRgNqy3DRrHzm6
fh12cbIRmeneJV2VbDoAs06veilTBLQqx4r6j3akDTo3nuz+h1H+29n+h3Z0VoX1w84T/T7NPfOu
GfAwDZ70c5Mp/Zle5ebw3VRNZTfLDWC1rZ18tBcko4ONjqs7c+ST+2wr3XnaKTtxjQiC2H+4q4NV
bcPe0c5guQNUa9ygsRxgWtuhFOMeWEbeQR+werR7oCi1FZ6p29oMn4XR1qg9QYYtL4t9gm7+0Dft
Q+oYUeAbuYr96yH/VqC1GEVsUf6FgjddFNyLKscehx0AwxAFqmDZAtZGho2bKTiIVT8GD+wS6EAj
al0Q3HVw9aE/SX/E3uUluMa07AswngH3IYM31+AAIr+cuYf93rORAkKLgoOy/MOZp6iqoOBoeMaZ
y+DqiAJHlIh5PgXvZHA68z9+LFxgSfHJmce/gv9/fSz0meNhZclbrLujsu52BdaXp8hxXWx7B+kz
/juBmJFn+k+gfiGBYv49jtoLep+VF+6gK6ACxfY92sjrbRwm//C2UIo3eYftHuTA1uxtmOitBRbL
xZvmVuy2Br5NBDTN69wd8FPl3IqsarBRqUlz33hnFtqk6cxZUPzD29b3nvRGV+cH7wzATtOZz970
viPUna1q8I+uwIWMKp0Rlc49UG+PHHtkqwSp/Wdg4bxbFW9/5oG1MIe8fFfGsFpEBVfOmhj6bZ0i
mYEKMOvc66IGol4dvltofqvxs/oJokcQ2BXFM8U3gUsF/rykPLpY0Uzxi86c49syvifjo+NcOfcs
6rdAydKQf+DWWcWO7RyfTooBEpTi4znycv4CWf1NaGrAALLrB/QaOg8KkFMeMnCabxOrZ37QpC36
Mks3WnEt5Cuy0VNAAAEz0PItj6nbyWbUAFloDN6RTBoFtYnV356MRiFRTguMZrt6mKxBUwwmNfSh
Yyfy16xGgJ8/0GwqIEDDjRQ0Czj1tO1s12MmQCl7RzqPoUXFYyrLelssiWka+WbmEOUIkiphtmLp
FNiJ8bSknVq8qCkqM8We9yC/muVpnoiV6sTl1KJ16acaBtSRuD45UdcVyY24Ad2vAAPWrOiKotnZ
KQpVSTYr5FwqABePs8hG5f3KUIpyOSq57vkF8vanwLzMQ1OQMVdV0+8T5GBoSIpWzkPvaT4fmZ0b
w27wkz6rHzJ5QP4pXQpPw9rsKutFkk0yL3L4AynGP8nsTuCmnQb61jM0mVUa3mjhp5nDNzwxdl/C
FDdUdNEGW68X2hdp0IZh/l0ttW9xFfwvDEZM4X4yRaOrb005iDMebfHljtxehyBdXCY1Ux9xL9Qe
LQ5o5WQI70g0OC72q1MTRHK69jiJYpSmDDX3NjSMSm4+eOWdWXRjtqCIgRiy5TRuuvwRUDEhaioR
O9TG4SBAS0eedPBAC3QbLQruAC2tYutenh9FMzwtu6+x5YCu8KWh6JusSYsDHXBdXF7NMrQthqVP
44EvVH1k+5pEHxSknca9bgUl6Gak0/Q6QxPFFP5XkBjLzP1Hk9tQ83kA87TYuinHPt+pZcZzo7Jk
lVU91rlxabyg0f3F4kV9zrQEyIrgeUtG3XgJUZhwEHYL+gA5ZDXaeT5xQoFF/6VGQu6PTkIxwFrp
+TwcFOxOBNUGJETZNByQ/sCHKxXXQzHeVYGVfZDMVmOGQsYixZYg2c+Km+CksNsQkACzYQlI9D8F
7mVgSwuL9W1MeV54Xqg2ujxr4Zagf6s78D6eu7T8GcldzlH30KKidMZBYyJ4Aej/HbDTxENpjqMs
s+3lvqZsa77vA+edRoL1QK4KI7agYYCOoFXTSlQSaYsKhGBBAQMZX2iAebwGNNkLzRqn4RSQRhQQ
cAUe8D7gchOQzjAFpxsoTbUA/2mteUIntnlSosQ84QFv9JtBZWu0OOBzIGFfauY+DlFOerUjN1Jm
HHXeHZBI1jScFSqe6fZYxB5muZmVa2xfYzsOGJrHwOP451Wc5iXHfp0AXs2PUY1PYe0Vr2UM2Hzs
z7BjrNv8mCDNN5my1ntAZ9VkWqPm94OpQH3aknWSgTsU/K6lfcF8ZO/hF0paCcMIl7w39LtZr4Fr
/r16vtEHgcXvFBQZLi96uvnVFlpUyf9zPXeAMUn6hkX13aCgLQYtS8Bjw34sfXb06WiopxmCajhM
HzHJhibmaw2f4vSJMyCTXD58ae1luDuRXZSj7AHQPrj0EhV/5vTZ0iFAB+wqyKp22SjgcEvSWJm2
dwJR9H5jWfj6ZOEgl9pMamm3h4xJS8WC85CMZ18qF6ThZ76zdp7oxneOHOoguddCbA8YoV7fA4w9
94FBmm47UwAlcx5bUh1VagASsXJVyd1Mt/HQ5ZUY6DLARl+xcFpU85VG8WDJXUhbag2jBz4/uoeL
hQet4/LigQEYeN/rQEejBGkIEoX7AeUac36U5HFjP5k6Oh6mJK3txjFAoyp3RXa1zL72eJDapqif
/uB7DUdBJt85lPQi/9Fj0RSOIpGx3lj9bTjLqNB/0ByDDr3NItDeisxFu5Ee1huza0HPlCQSmU59
thTNw2ZIC0hmKY9wl/Pxix/OIL0EdpPs2yJ/SXe7rF3sWphoS//6e9xwsPmG/NMQz+m/xyV3Q8di
/49xRzAGHZpWfIiblxpbc9BsYOdcQ8qlz9FBh9o43+ZacUdD1Fcu8HRhYWvMwWNq0t5X0goMtuqe
DeO4IKukBhR+lrT9Zo7hyhhxZhcvhtZMMVA33Dz0eX1PVr1mq/tBFnkYrlq+NMWgrRyu9RtyshUs
zUprm7oliLX7YWknFTvNB09X2clNx79YESpbkjtSRPIOSYpVZbti0Sd97y0piDX0y2lI1ldf8lDL
FPsRZsHQMOqOYuH2wkZtmJyzLoLhiPXwdAZFb28TG/hCg51qx9IBnrKOndfVmLrqERzMqEIBvKl2
JDUdSDMbzjJ6hepW7UgmkyIx2gXvum5XIWt5yBSOjRew3rzYfXLqACv5I/YCSRWdfXUri63VKDB2
Ra055yIBQwhZyHY3F7xXwMW0FkOrOqcUCLoHw0rNVVj04wvW6ScHnDMUCx3q6VcFy5d1Yxj6DuUx
7u+xXMXT38u2sxajh95biqVbHgDp8giIQPglt5qNNgsduYwFjTvm8YcS8HZgZK8/l9leLNZkQgdm
d95iQFH+upW+FOAmHiluZPMcczzyneclkyioUv+y+T0onbUynG6j9HH7LooYhCsmG74kcYQsTKmH
p9qL+S7zAmermaBiLrCRtQTGFZruuqz2Yxs0UMDFRmNxiMIsNgg8xQ7tO7Oz0dfz4R+R0CtlT5FC
/PH950gi7qI3a9ReO5dtcqvP9kqdFqi6x8EmSgx6mSMrszKrHu2fgKO4iwoLVd+koTG9srJgq6Mn
fT+LSD6btU3trSwGPKIbxTykV0UfblUZCZmH9FAEIn3sPDXehDEqX+nvx/CaeKNn2BOeh4OC1ST9
dZHxjfaPvqPABd+iO01pAK+tVJ7xknWA3OhxBqfcUKIXxlYkRjtKecdHDxT30qqNwdg9Owk0tPgd
6y5OBqLalfly4xRrBl87PZbiXh7WvlX1f9P1UyVKtZRgASsa0rV3I6MLi2RKOHorGt74Tr+L2c+q
y3r6XZAMeZ2L33RtN8rfcdN0ANxjQYbme5BbtEBfBWKgn8rn+aGsi02gJ8mahkmLUh5g1rPjINcE
3LwfPDE+Z0OINfrvTnHMkzVZ/Sen2jMSf2jAGwwO+2o7XwVO2IQ9yuS/G5UXH6fRrKVXqEPQ0K4N
dDMaeuRxc+X9CnAjnocUBA8JlyCzwgSkOvhmQNLMEifZDJFoF/ONok9UJItJRjeieRxaMW5M5MO7
sV3Ql0SHWfbBxkFr9GL60ihGpqYAV87Fd7fIxakEmtYZ9C3AWnXZ8K1QOs+/UVCpUCUVqdaLU5Dl
Fw9SOK568WBo9TpnmVP6kyIEHRd50ByWnIMUn81Bk+M7uHiA1nsE0q++o2tvrJwd+A7qu/my/V1E
bz6u2GQ1vXdpYShdfTdfw1en+ZKVIutqNf0i0K5As82OqM38cAIkl46xYxi7UW/A8bFheRH7QZ2L
nWla8Zd0CF+MIIneWRUPvkDt8HlI4/hYea5YalJhJygHaVXvDf94OXDXxMUzyZVnFztt76Wb/dkz
4pn3ppZZsaY5kemt0PA8JBywR4X5xWnyV2FF0XvT5kB7sVLrDFoHdohGPHOQgquJr3Er/tZ2LFn3
ajTubNx2nq6eqleBDWmw8fgoPYH1OCzVSAV8ZYxfrqEl35TIvHhqmnLxbBL+JawFMjiR5ecR/lnN
CJx8qo295VR4w7esZuakGFHVca8Bx8ivUzF8YyjYuvWYFXWPgo0bD5rDsUW3a1RUIANqt37AJqY4
FWmPze1faSiWN5OoZKr83cghKJNXZE9m7i8LSm85ouGLMbTcUAdMEgAgaxVNqYDdAOWCnn9Vvdzb
u6LMmd8VDnJtY8uXbLT6c4g+tHPpqgbSccPOsxSYkGLI6q8G6u/2k4yX2sVtGncDm1zI+GLDyq+Z
qWyB8Ka9jhl4etqmekXlwLhVK1QJC+CeALJA911LKdH01IxbYWN9O/1Wnc/tC8hne13GIXsz+R70
iyJznNAPSsWfXkmQi1vZ71rAUSAn+X9n9+fZfp/3z3byXP7lrAK3e9MG9T1q71vAq6MIPa3PvSvY
m8nMYqEPo3jsWVuvGeOozqiZtTe0uN9URT+ccZ2Fy0gx1RcZAhRh4d9/iANmNfHY1UWNf++IHx10
v0xx4jgbzkKgzpPi2Jnx7uY5xRFmxyVgZHtGUDTu2z+GEFvdlUi+R07pAo7U6R+T0kw3FUrF9kqa
sbtINYHAjRb8lyCoXqn4M7akUx9PTjnLgJtQ9OkGK1aki3nH7qqucZZ6NGQvZpq+UplpUq7xroHW
ptsvll24WyNTwunyQGMrUoW/5Bl4Kid5Z4gP8nZIwQYiq0p/l1vXOFd5iwpolxlLcMs531A47ANR
J/se4Ill0VhZes9DRzkMVaHcWOAyrxdYj10sYqUB7BBAAcH1BCTQzmc8zw5cFTa4k3k+9Srz0rgM
qZ4VYHkftebvw//Wl2phb4wpMn6M+aKI2DOyuuGqL9RiH2aR+hX1GruiLfH/epVHXBu/Zn0HoC+n
n+SBxi/2BeRkH+OWNcW52lcyziz/1/jzvJGMj4Im9E0aRrY0cq08l7HzVbHr4kUHtfjOA33tMpHL
W4D/RqsB1AGAqcQwMLHnAUSq/ETGbvkFXKLKV7sMqnNlm1+5XD8Dsd/atW14CWEF2GZEN1KxjWSI
VAdbC4WgiMJ7Uow4eL6ehZ5Ee84b1LRYv3p35y7eMQGdaTfm9ZK0s6JSe/zBgoXEXShWjb0K2Qdc
qHwPmnnnPsJ27RbM1/USu/ggFpRDE7QGS2EK/cOwlo2Rs7a6Dm1pPA9vfJHMu2iVAWhApCXjHMgS
6GJHT2+JKs5SK9lKS+30efTEa5Agf5i4yc5SWf+WZopYdia4XXgrxCGq44tpxlF9KfuonDID1R5g
lQeRdMtxjC+myMj8FKCfW/BEGXYl4JEf0f/E/Sges+/jaBwH3YlfckNTAZSWj5NF6cYXi7ayjkoN
AsAKDWdrVKGNSwAqqnsquR8GdJuatZdPwzzj8TFx3L/UKe2l6OjNstR8z2VWTAc33TEt7L+4ZpvP
SiTUezd00TRYRe99Fgt/NDr3jE5pB9gHiVwDyUbY/G8tw660WjoRnvx7bVfXg/V0dWxVdMrabfrR
sTCwvQnHHgWXkyNYB7Sdp7LJEVzklg9sRgcYyHyRG5JWyU1B6UmvcshcwMZib1ytLq+k1qz4xe5W
++92ZpHiB87bodh5QNL1VaXFhsK18SE28I/K25Ef6FNV3IjtJxOQoEy9EbPJ9FkqljeZ5Dbg0bou
QHqs9NgBzNHskDPkWf15PAzVRRN4P+0kcPZkNos/MzXqDPRaZPOb1+waBQAunPpt9K7KDyz31KPX
pLgmkFTWjrjY1aPFWbgso9HEExXUSB7JBmX50qUDjdsGHI9kRI6kHkog4YLDRVuzQc/OEXr2NgmA
3xfITSnFKlZBhDZ24ggIVdf1Y1T9bATW6IsQROZnRYwOAJRSvqutuDuSDMhO4ypswTcytDYKtUOj
RQU6r94coOwLw34twf27j+xCXwaZV74Jo4n8SqvTs+sJdlZGPP5IOXkbhdKi+B3Dol+M0puJ/uJN
QXWrung34LY749/tO8nnuftiZ6A7cnwG2mf9aFUeEselF6AGryw32LkKn3ojY/dBhP5cOaLDbEEO
odt591aCm0iYg0DP1J3q2VO+tYDQ9scBrINUU4pCiW4LeH88vMkq0kStu0cvfw0D0GIvAsDYSRzq
fN8ZIUpMkX67ta1t3PZlNSrZUtxIgAly+juNWabtemIIGDx7OBg2WuE6p7L2KDEZaZijDaBb1rYJ
vHQt3OcVGzeGmTEwALLhlIRKt+xiO3ithPlU9R37KUHoOYiI3tMYaA4VFggP6NMfN10u2E6ryuGE
nvZ+ctJUe3LqO2fZSCfQB6BzuvXsBw2FHJs89/WyVo8dN9CRJh89QqynFDRVPJK8D9yLvEicNzdK
20mOyjN9AWSeW3uSU5xYrsuu9lnRdosB4G7bJAISwQkgupsx5eneykbWnTQ3nYbowkDWqeHF2tay
7wXgHraaw4vTKA/0CiijYGuoyu8W4BJR24nRLJ/MFOth5FwBPFEP6GLBxhdlBETy3gNTz3Yeqi72
UuUQt2GU1IRqCSxITDPHNHiXHLFqX1Sp/lFOFpMyBy62PIcaHfzALpEvSdHWYDeaFXSKn4SrLNQF
XPrzVLuqSz9X+3Y9xrG2xC8HWyCgi/GTwC0fLFR8P6m52QLzANpaj6Ct6hZrv7R8CKsKmRAH5NpW
7qR+l5r2m3F9VafmRTa/urEDqlj15rlIdIRGFRwok9TqgHXVOPiaPcM7W171JZb5pqDp7G2DJ9wl
WVVuPSzQixIcbOxAvoQ4f+C0/ddORc++agJkznRroxsjvWor4MVaJjdWJHPpbkg3RlLTgYalDUZg
MpwjzPfKFj/8BfJ3QN0rcQu0gdizMy0Df3dlVO0Sr4gXvOfWk21m5tNjKV/SeLYmmdJW/7DeUJzZ
2lE5/r9CcCaDUPYeACfVcaiRnVrogXUPZLXqiG0M5L6rSt2AIOEud9DHRoe2VYEOabRo99ai8A41
zBcFablux51/YzM7k3WKqvxjF29w8+0XTdUae9MJJIm4iWxT0T14dqF9QUXegsR63wCoFrl7cETC
KkZZ34Zpg7HquxHPsVY8LABla+zDvC1fOGJY2tg9NKZQ5xgCK6a7yOrRFi2dBrMTm6zODPQ3IqR6
jdFFWO0UxQg2BVXp1o0LDOMpl6Yq5m9jXY651E/5J7K3tQBIuZSvU4B1hW1DIF8SVhPhMTnYil8A
90xDVhyITQTINGhAhyAZgTGRAskHAKJVpbaZZeRrooBm8r2JN2FEfYwFLNfefeIo47pvgYy7V1rj
1A1CLi/4+OnQBeAh2s3GAFtb0sMctYtHa1iZ31RRu44kfNUoYa3oFR0qL7enYUL4WKTO2iRYuwJ0
B7NhSghX2tV7jjNpyPLGcQ7u8eRdQfmLTL6ZbrhNp2Z4lJJtQZj6QvcvunNNdzcDz4OkmJrkZanX
tk6Kl5u7I91ESSmDdEGQqJvrcHK9RiqxoAK6Xo3WV12xnukHPMS55mt20q1o+OGx6MNLMnLtqlt9
EM43j/khi4OUEiXZiEay6RnsNnAnp5yNSH37tEZCikbTgp5N8aMGfOIgxUD7WYhq26NAvytykol4
qYOi2RSlx4+kiGYbEjowaaVJJk3Ax4kWnjZHeyyulKwvlvnghCCvwZVGooZeQQ6ooYt8Ekn75Jf9
B5GUp9hXpjgUYj5I+YDrNas9DbOGbYh2T23rJaDkvFz07vhxKLVJnP3SqtCama3eAYP+LwHa3E2f
Ktl5lAcNFBWoG2F3JKJDjYKRdWUyfTEkKn5B0kzPqny2neXg5Y3WeWzrAE2gkLxYZcweVjFAQEFt
6WCpFsXA49HicWcayrgo5ZC05qBj15mJy5CM60zXvybm+FarSJ13HbPfMvylySwqiwywtHaOucHW
iv0G/AvVCZAVCNlF/Muay9TqLP7Neg5C1uhUJOtZ/MuapnSS7iY2iwvbx8eFLyqPQGvS5MajCVJM
7NdihVtqd0Ipx+9gzUSxT5s4Z69L4l1r2/Zkiga7AZQnwv7RKneNNHUqln4wpahVvUsGxlBn2Yfd
a+pW4SEdMmMNvLnqSUWvti/QR/bD4d8B8cx+opfxe1dU1XPNm3xlZ0F5F4Du+aBbir7OlJg/Yctz
9tG7kP000vH7iCf+5zEdJQ/VLx9X0VHEUfRfKp6J/Rg7q1j+vyEBFnw4zDIDiJt7lqFeQ5px+Tc4
285mFK0Y3t0A6L8envPXxNdFlF4dNj5P9Ep02HMnbQzIDORzJXEYaXLutFg/aXwZlvlbM9rZdwsw
GmowFH+VVW0vaycugNdQuqc4w4OrPvDsuzrGvtXFn1v0RRBuQSobr/IuTHaDpQF7m/77i9YCLGZq
NYB2K5E8J300uGCokA8DdLiRKVYAVMFrnKqo6w92FJtMQht2FF+va44yGkrhAUlI0w2Q0zYFUPrk
T45+bVakOQAt04/zD5CURedYfpiF/fQrJtvB5M4B7C/H+Zc5/WKvcTsXNzZ01h7IgmKXsKfY86H6
PTYpKHbSWR9ik5xs6ZxpWIDQwh81dHinTWo96Vb0ALgslDpovfUE5iR1lXqgc3ETy3zCD4jdGS12
n6WSRGhymezJG4XH6so1HAP8OAjWZyq7S/ocWLgYGRbuhWBrb/xPnKxBM1YU9upE8Ul0tSdRolnq
6sZenhRNQgf0euM53TH2SjchfeFR/16LUIxhOKa7CcJWPLW9LY7ovvgrzWzx5DmheALb8zOSWukd
jUC92myQx0qW09AZoicrx84wnCnCTUCeJEBKRkBS0oEZwRSQ5mhqu94IocRLUuLHQAHn+SngUAYe
KiNUoKFjQ5mCWrz5i86B/ORZ4vpP72h0OUv7Y9AeWWb5fqZzsIS1iNre3dBE17dNSjKTAY0cz6nT
+5Rvu5dnSe9Uk2cZ1bcBP/kcdYHakTg0nz2UH4MvnfdH3cRmntC8GkBRDQqFIh1gTAqPHrHyQaqx
+H+cXVmXm7jW/UWsxSx4NbbLdtk1J5XkhZVOchkFQsz8+m/r4BhXdaVvf/eFhc4kulMGSeecvXHK
QQqvNAIdS5Uv2JQXN5NVJzug0+evdtHekAGFxAJ/OMpo+IeQtZuYa9l503cVEpy3Jtjf8/JGmj4W
XUiZvRZafUMGvcvTtYWmp00sQi9IRDVs9NBKvhhujm531PmYpfZDB8LtyzgwfmNbTbMHE2b5iFZP
hv8MWFhRvLJasLB7JTi3Gsa6u4b1OjBSe9Coy+oqmI1gTpTY74N5SXEOhlbXORiq6sNAqmDIR+og
YsaT+dlgP02m/YhuInD1Gt2P0LXC28qr9GRNt0bCZbdtujZEzdK1zceGZBNHzY9KDNEG7zEFMgwi
oG8+yEv3RB3ZWaZi2L1ZyCTzMBc72xWAirkwUJYMxBPkRDIOdtIPnGJgWgRc0YBQNGvwwVaB8vV9
lI7ZOsxiefBSbKczVBM/ddjQHTiwWjYcfFTfCjGiF8hu/8q0FOAh4CE7Dcy1QE2JkyNSALNh22rA
N0QNib21PCCchm2JWlaOan3lucQuJzQ+57J4HxssqShKT9r/MbbwjeKJlaAesHJ9ACoRsFgJv6BO
h9ss95JPU4+eKz0RZ/mgDtAvcrIn3AQlB8NMOtu/jUNy17KmwyJvLFTjd13yqRVCv5Jf5iV7mlcv
ctQugxtiVVbgFUc9DwpXuDnY8oT+sHLVNGDMqdBIsll2biQDLOu1LMlkAoR4yGgjR8aL77ywXcak
pm0kydjFj5z/GOvdnEu8ojer/ci9bJXVMr6nSx3K7zZz473UjLOI5GDTaNY1gHHWE8MPYx0xz9rJ
3v4JVoEG1Ig4u7ljQPH/HaeYelQTGn37nbkjSPguCopr+BpyMwxcY+8UOZhKKSzJl2eg+ACMtifQ
2qiove3mq6g004cePbwb38From2S5ikvWvQiu+AWAGLHiUQ4LARAZzvNOhItTmRPMl9HwYAorp3Y
YDyRji4RSlPAjcNWXA71AUzGOQrqpRdgTSG+e+0AYBckb7MwBqdfl+kvSZrbW+AOn20VfuJia5mc
XdlqIrRm2wyY7+AUAGN04TO+ClV9TlNFcYDXEr8LmdAfolgDvzwlXWUGnk+X5XcsNvQH8lgUoQOF
rxSLx7tQ5DEOsgCLBnHF4rjfORlGUu5NPXXnzQkNp7rEUG1OcBZe7gEm6M47mcWYNjY0XLRkPIdS
vk2a/GR4PU2fi8rf5a0CShktga6BrHgQVlc8xIaDPRk2OjoYr0+LvDd17Fg9JsB/BotFcbFd5ECD
M+e4TDxVWuz95VT2Y5j07WvFLbmJIlEffTcBCAgY0TZovgaYA4pS6R+wrt3ZtMAp2pUpcCKijalM
QW9/V+Oz9Xreo4CZMA9yc7BeszwMQDPrvzABxL3RT78VSuwWAEhlVQ7cQTXsuVGgCTozb13FDnFx
Ag9t/MAa/o3EoHr42Ckd+PDY9ePOxDd6BXCaYUdvBXo/xDnoYkl23hd3KP/gGcrOAbh3Ij5fzRb/
KXHAhrNArT8R4+/C80syJDL/02lRf0NKA01s40wFDDg906qd7FSisvgQxcwNysrjLyUA/4JoSM93
JFu0g6O5KLjt/pvduyiD8piU77t4s13mDSsARXV3yeDMXwg2tPYmGvxiP6Z58eoP9izvLf0s96Pc
OPXFVK00KOkz8c4JbF6zfHFqcaz7+naSzAEJKsk/msS2Zvu6550ChtJXiSPEA8gJ1qNVAizN1uPn
pEpBYIK37A3JyELT9XVuedEzidAVxQGPAW4ScvB9PdqWyeBpGzYhK8CQUJiPpijnoPILdIyluRHY
FfCT1vD2CSU6bKNYutODhdsg0ZCaA20C2xGUFw0zNaQ6CRr62HVcaZu4PA+lj9zfMlx8CQZsGS6R
ydhSEGKLdpmI5n3nK2XfBJ2Xanvy+LcBmg8e7Y//la2NrrJqeATFhHwRKcgphXpx45MWxFmtfxeD
bwd95df3RZugUpgnYONUtmHCP7RNk7K599CwfGULTHHXWJVFxJ/B1e2C3mLwDw5zmhMAnLIN/kW6
z3nV/TUaZfjLGFN0ZUb+D1T+mCugeebPeGu5W9ty/YPtdWcnQIz3n2uz/kuta3/pqMgL/d774cvY
XDGLhU/Da4Y6tm3PAOjURTYoL9BfvotqD+RhQ+qtJ9+LP+HwdEQi1NG+s7446G3OAKmA5Tc+4e4v
N9G/uX5ff/FZOgU9gJweOzDMb0EVO6JPGSG7yePvQ1ZFNa7AfTuH7AwDISOEBMmZ+4tN5lVI0KkC
s+bylNIv3Z10/jMaGn8ehjEg7GoalRJnY6p+4zJadBV0y+itXw7ojhnyWsU0UNNk73x+qtSpWz8I
68V3T436FtEAdSOkmTTPVJorM35q1NHccNa88TEjYT+jkTBIsCm/7YTTbrgPnuzJsNaxKsXoZRUH
AD9LHv67xZSUxa10Nufse+9titoOd4kAhRsT0xMVhlYghFu5CfPvu95Dt0Zr5WtS1OrvFvCCX6Oq
Mbb/6OnlYB2LmjGfi1GznAW2y+PZU5cR2GmxfTlYUVigGaZVzS24lKjYOEYuACcvIqt06nvHNItF
znVQO0WtkRxjs/CQVqktgHHgn4+GaBO6HpKW/pFI2/jcWmdRpz2VxmCjaLzEifNjlDmbUo/AoqLu
JrPHXVy4V7I0q91TLhKgIavjOUpEiZyLNS9HK1jSTaSg4ZKmcpperLuxubZbolR9q+1q1CM4WPCH
gctMNM66wgum0DenAt1wGkgOutIXq0VHQg1IcrdnK70ZfxkZMsONE30SYVHcYE8g8AJW+ZOrbMf7
5EgWp7P5khtZTObECjrnsIOrQ1X6o6JdZhiH4adfWN12Lhuh+g4qCFnqQ4BUib1unIChGD15/iZT
bUH7D2tNyKiu83ADfutz1YkDdrrMj4oj+Ol3Uz2yWztG05xd9T3QqSCLLIZzO8oyZY0zDykxIJxc
5ZYgA9Sed3uVJ1CH/8rV0cJ6ZVnCRkoXSNMFH06y8Pr5Yl+GrpeB+Iuh81EpF7nRl6B5sN9oZ/+y
v44kwSpM/uMAwNTV+yl+a2n+VpVKaPj14/9QjdOLtpE7mQvvkzc5J6qNnmLQsfk+T+9DQJ6dTFd3
Aiq3bhO55Xjfv/7J081EGjTmkNybk9WeUKB89hx8sdVkpZ09+XRsw9QMlhL2wgB1Q5WNGjC+fndi
kMzAiumGitVJgT1uiOKwGGyglJCsTes8prJ6MvznWEtzAvn+MT7FKw02bvOk7YIcZxJb8IsIkL/3
+OsI8/OFFFplimCRoTIVyZ90yLeLotTy0cEf6BshxYpVwAyIYu/jk4Lim2ri3tCQ6EyUIY07aVsb
lF75ABTOrAr1opNxO+QGq7Z0q0fcvK1tkA2istBak4wuZgasq9mmkShfvFLlQ+ysJiSWcVJxiTk7
DdxEEpkB1NtB/8/4UkZlFEyoCF9PIzLbU5X9LH3k1GmUlRYLirjrdzR0itLfsrGLNjQcQaV4G3vg
aqNhN7jiQfcAJk6B1AXEOitWSfeJRGAh/QmYifQqdu2Y/S7JDJiq2KMvrmO3LTq+5thNNsdOgTLQ
BiquW2vOE7mqZwYtq4uEufzRAxXgDVQwoQZfAQj3HbOCCG164NhuATJM9vMtfnW3ZN5+GGTxvA6n
nMh98G+nqi/vqZRsHHLUpuk4rDOA2Uq1YWCkaW/wkwW5oCo2WxQX24zKzBY7cpuFFxvk8lGKtthQ
LDKkgLmXHvUQRXokImVquud55zI2EuZFcUysEGQffNhJVQKIFBgARXW7vyoarG3xrdXC8kg1g5Gy
SDOvX9GQLhcLAj9eYry1AMGImGNIXZxjGNSYfPEnh9gITA8stpTaBfw9XrZjMQWU+W1iB/vyweX1
kbujatVI4nTtR1gRUu6XjK5SyHyYAMHnuF5gDa4l7rJEHqKiq/dy7F1UkHL32GXoqAR+fwEIEAe0
wmE8DunzxZD7qrqNLPNeQUMpm0J4AgkVp9WP7FuXevxB9k51lwK8lEZ0IbpavRm8IBxDFz/2kCoF
QWJjFwAxUGS2i/Fid+XrtMdzQQHoG9GnyxvjoMex8wAYbaSZ1GLOs8MtaDLdL5EPRkhgURgHoPY5
D5oP8BqyiKPopjd054vMQPqo+7W4cTx27K0SrTmdO57cYgTDnzptwAdBfK2QRaC21QlnByshXP0Z
hcMg4/Ndc2fXlniyU6dHwxY6W5tGCzQJoHjRp+dohsu6YyH6aDPYgI1W0ahdNgFMxqpNWv25leAE
TpLJxLcqreZoZJIJ9GVr0kPB/u9nY+A03rC2SNdTid0QLYHRl5af0hJ7DFoE07AEXNWKlsHLEFj+
WKErY9L+W9+PJlp8KzXRMnw37x99hWG6gZeACNtvW0CDC79Gywxyq4O60B14iFGKp7R4O2Jb81ZB
JtpFS8aLG8dGbvZdIpMJKZbIpE3jo2m0gHBXdS7LMu5q0ZctZTJzMUztshtQjt5/bDObvwuX/PZZ
ZuhHoJMUZYdVtETb1dz0WZZadYqr+DBXMdGwdJMDff7p0meTJIt5RF3PXMyiZaUglChytf2y6Hgb
K5HjcD9F/jrq6yooXV1H6//f72K3r4LJiI0PteQBeHPjU6rsrqKEmb6Jvcra6mBZvfO1fGc0aXer
5QnO49WF5K7WN1vPigH6UrsKukJpTOUBjLldng1YustOgV0ohX2xLjPhsLUTh+wwSRwixSB2r9FH
EJjALrzVVJqILq1KDX0ka0A1hyJr5ZdjrwSebJVUIp+Y/fZe4iwyGXvnqbDXArYwa7JVYrhrC7je
z4a6JN7krfqoHfahnfTggWnGgw2k+hVp6WJN/b63QGFMI+DRaRvL6csNDRWM7gPoWcHljGiAKjiH
TIU57GkaCsnGEdQTqPLGkWzeXYXjIc6dvLAqNzQ/hWOGM4crgfyxd1hUrhsUnyo0NCetX3UXnBaa
zrK11mvefdo6cldVzbAXHQAfOdaVa2lryeeJuQk62q3p129vbqMa7+KNczZ/9mZxPuwjtzt72/aY
fEajYbICD8r4K2yOhMTGfs9d6Wa27i/eNHeh5rbAxbvO7BpJ6mtvQqBT3gWOqb+886a5yZuevFFP
Tt6dKKdfXbbMzZsUCddpg8Or9mjE+f3cgkhDbBXuJXUkpmGJY0vD3xHwk3RBP+8AUZmQoTSz46cY
9QMzbFSGZp51WgMdfR47/XOhdTgDVihSpo+WdhDuoKWBMKdUJE9ForjlBCgjz45m2xljKhXnaJmr
AVbKsJ+YxsdHUlK01pzwt0uYUyoa+lGa2zz6rqMv5RNSzeDR68HHPIm+e7WtcoXDHP1TbWXZQzGW
X1zT714rkOXunaJD7aOykhXg+KTm26Bbx9DhqP9uRPbYeFr3YiKzRE5sBEei7ST+iqxQQFxt5eQA
sl+FlG8nZkD0tfVI/ySReX5gdfNlDt2yaD/qOEclpxIwrVcT96UPPGlA7dv11OHor50f793Efg2S
KqEmppCuI8eV0MEV3EeDdTuzD6AeoV15Mfggq7Yztmmlo55BDZ1mzMCVXiWvQEgQBz+J4weyi30b
xH6a+RjieBMWsRU/pKJC1WrY5FtGbmTIonXBU/2eXOlCUxQOsMWtSK+KjT/5n6PUEIfZS8PyhCKT
8Syz5DSiRbzIt/RUpJmf7zr6LDFLHBup6PUUspsszPjOTFL7IWqqcCs8uwo6ZgM/vDOZrbBADgM6
oB9mmduDeagwKuSRIaMLEvvYDeelBCpZAjcUKYdbp8CLnKKSTYYqlmNeZYc5CslS10CfhKxOIRBg
UJQ8RucwpCXfFjR+68HQJerynS8j6Ai2gMMs0SaDC3pwAVj24ZhHU3kLauGzZQtmXXSlX8bkoyIC
xhpIHhRntqkidDPPMcl8ll5bXM16iUDxUvxxgqu3jjbAakC9Ip/4Aeu8CkcZIG1FNSBw9SAyGl6d
RjV6K6IRyZVVK3tQVSLjvEntPFrnto/TrrGIT3QnYhO9/a1jbRcZKd7Z4Zw4A0p4ZG9JkaoodNcN
bbnNC9TOSRByNjYQpFfqLsP5dQIcJxcbFSVTd7Ns0drpb9lil3XsKorPADJfhETXMTDH2PcxKNWi
cvyWAN0SH7s4OtghyNWVPAXZ6zcGjPONU1VX8sWe5L5fxZ8tkMwRvf0Shym5ipOYAPSxKFcVgttU
1ML/xIphnrfpwxxnrG1yqCrT/+RATnFKy843kW9iYfTbnhMFw1t71HnNz7nYO1Jnjw5S3gmQ1W6s
qQQMcOMAWSoeqvNYitp0gY6/4wxHDjjkKh7Rvudj10PDoXRv9ay/nYcgTcA3rwq1tV967XpUww/9
olLD+tIeQA5RFHyDYsdoQy5znD6KQRDg4hy2OzQWyrmdiePNB0wMoO73xq0/4g0cumG6QV+CsSVt
y9xuXwOKPyAtsGGae9ssT1WKlyZZ2ALUB4Monki0RCMlyEKyORppAXLYqS9+GQCepnt5G40sVLQe
jT5ztF6me7Ci33QoLn6pa6BQGXacHQAd2t+zyLUwcWF/13sTyRoUnA5GgjYRzS1eqoutmdrdbFuD
8fN7YxpBPzbsJ9e1bDXVRfkiO9S5UFyp4oaVYQVk+0HcxTYxmrPtPz4DbyMgZToaDmQ4iAP+RGDw
jlqA0OAUxYGuyAc6bL22/5uFIjAQvfdxDIN7e2vI3cdBjvmucNoeLLJAaKMhshg9WAwwnC5aQr1J
Qiff6Z3o1wS6xh3w0/zRdzFeIi++pQRTQlm5QPRFIr5EefMDPoVyk5YgU1nuAHAkAfAE2R/tyJe0
/8UOuFI3sm184E9aqT/e0Vs1ThgPXDBc39Cbll7KRpcWs2x5R6PajAcASxpuzJSjL2bxm8eu0otF
T2OKSzG8SQzb3ERzNI/NW7+MtF9GkR/QOyi+9UZiIUUkqwfZ4N+sbnS2K/s4esi5wQKJ4wCVTrql
Djrl1EtHfMskqN14ksiHdrKnK6ek6Vmgxzr7OsApj3txO0bcrbd2j87L1G5/+As2RQy+hjhp7VOW
mWUIIj0k2WORpdvZxmQNXr1J/YPALTQbCBcz1sVbt7Z2XRyyght9RsYgtxgzkXHlVms7Y+0TMBSw
Gedxd0u533xozkNKFKMu4Xq4aMn4n31931v3IDVNwzC86WTx0iaJcWwaWz8OljSOy5DuaqV9a+vW
CSquFzvNNDDmnTXH84zqSzoz0umZy9YCbDZHeblgN5wdxxxIi+9kTmuC2arEx/5i+y9cyQuUjKcl
ZAEsO45E5VwHFMbsC8rsxyewdfZHy7ftgKp98t7/oqXT+FTzrj8mhX4lJ3uh7J2LvYqz2JMcGLf5
Q+WhNFBl0gwvbFZRbmVbqmUHPw66uZaydrqblE03+hnAUFH0bqRlWa9JE06R+ui4KPHi1o2usbso
SgcPrSY4wLXVUTDd0cUPrVQLOG9hWKLxi+jnSBOFFeApzreKlO7qlgKnmXtHMpBsPdSst7OTyWLr
6Em2T3xwn7ZjHL8IsNitRVOZN7Uaup6XHlIfGExTYUQvZS35s1kCALzM6sAxigo4nry6JSVQ7UFi
jgTXmoYaQ0clylgepd/ELyR6O1WhptKtwbyZ3T+YSg4H0tGjuX5VrTLNE7f0aE7r42Djn6YbQFMf
J5V53ySDvO95I+4ECpFOQBWTqzasUEs0JS4wZJMRACS29Trldbfq/HY6mX5uv9afRmZ3r5zn2slx
Rom2VRhpNnM+9CEtsLqUD+ikgVuYALo6Q9XT2nMS7bOcpq+tIp5LQcHAtbb+wWo0hxRZbj8hFQGm
NhtVQrXt2FhmWuHaGoxwcYrhFPsAoCMnM0ZZ7junRM00NEg38jjOdgkA7YOWWdm+YVr5HIVadOxF
9tMJ40xgR6D/CKWdHElZDKBPDB0Zo5YYtnQBKdkO+KzdfRtK8RwJH8SrHBsKUhpGUT7vSDMHMPm0
Ro5N35Ks13lzjzqaHSlbeyqfLd26fhyrEvEREKo/Zws1xdtH6tEGtzfsIgbcF5Rk9vaREvVI+MvQ
//ZINGFxeSTyzevh6pFIRI+UO122n/8T1f8h9UhacUwbuSmAkDno5mk5r1wON6HDn7d1omPM5eCT
DkgzoMhg53UDPrfHOK7cVWWBAVhLkvghFyAhoLXzRwpatJNiUhWzIZDU3nssigqchytabpNHh+a6
vS0KEweZSV6NAInA9hdEUTlWpYEbuu4pTFFkjI4ZsWbVZP2FvN47gymyi1PR47wD+I72/2KAkpcC
WGJXEQwjLHbc7O2AeIhBEId1c+KA/7Eyb2fWYlIIK5N87XSzYmYu7hX/27c86vQt13FIpAOvY64W
iQcJCCAvf9KrSN+TBarTstcOeB3/0iK2G7lCeSKfY3ALECBVJK5iLBZ+ZAMaREGAsCxFD2NC7MJY
0cd7JlCBlYIB94VJT7vDu/0+t9uwCURXr6qmN55GBqgv2y35ytXN6JhKp3vBZsdbjwYODMg1Aow7
3sESkZS2dAbtrgr7e1LOoqS5iuZY+cfRaC6Rludo4VCAdkp9siuFsAbABf4DVD17tAmEr6YApJo9
8uxQd6x9nBjqnD6wkDgAOhgh7x4pRpvV2QprwPaUjuDy7I0+PoC5VX9iHBTDTEbdX6Fe/+XyRn82
W6BpAsBk2BY2WOr0xNmQQdMBFKlDMckdEAfHU5jEXkCKqcDxdaiZX0vP/nPsPIr150KXH8ausdsE
bkn5b2KjuuRTDNL1Zf1AKxRahLRpZaLvU0QBDe2qGevVsjx5t5ShIbn4eR7h5Yo1TtQ3ZQZGwN/L
HVArsQCZ5mydsIadQlNHMTaX+xEI+dPa0ix2wmuY33RFw1c0jLvOaW6UoVaG1Z5k5NtXDjhX0Q55
tiZhmyXeie4WQ+WLhv6dKPLwBSgUP5mGJXXLvpReLn56ejmtKrzUngeJv23XKvNb0HHmJ6OdxEbi
t/FZ+XDVMwgfrLPFT5nk06rTje7ZTlKgk5hmdsvzgp+iqTn79MP0kxunWE4zQyzOidkpUcyxdEes
sVXsfo6GadqRHDvt5swhi80J0npC+7nYXjHMKjdWoZWYSGNnN4pHbu7g/aSRyACcMnpOu49rHEQy
w/omraZ4sXydvwjQo6eJ1z/RCLgHxqoTw3CgoaaF5rbJc23dVjEWyMD9OyWF+61XI7IocYT7zt0b
wHO5uHtOpa3Jwdf17KT1rxWAdB9Tw7VOQMMHvUdfGF+lridBr7P6BNzl6hknXw+oJde/Fmalbxqn
8HeJMvOfWtBvfzXsku8BZtRsyLkyyie71byn/3dQmiND08bfg/ojfwL+qvdU2RmWIAZ4lOXtvOOR
IILaWxbAdmivsmxxdNMLDPAf3M07oRH/poEHCLIt2dGFsXi68p33PuNvP9oykd3ie441OuMeUAEA
n1OwgktA5et1WFzSY1CAxZfMSDFe/JNxTOoNuqTmR70yuTzu8hj0uDRtNAL5QOhNvI381rjtAbW7
RucuqF8EM7HwzWzjdr4lPV0sJeyBolOtrsYXz1lDRovPVYyrW9InQK4NHM9otkA2KV6mBsdTiQ9U
9AzJ/xc7RbVjnWQr02sB4wOel++2WyXYpUKZqmoYpuOHQENyRd4fxdWkLf3xqZmQn7Za/kIWyl0Y
+tkdWfezu+5Y1lPqPi4wSVT6Bqr1ZKPL1pihllpjAuoSFc3N2ElkVJOUbgenONsvpXGkoMtHMiTX
7ZvMd9WOOS2QmTA71/w0DoD9HdvMvaUhwLZGtOMzZx6yFJ1QpHWmxvxEWhraYQZQoLKMdoRlUHaJ
sXNN+XXGPSAIBAJDIAXINL6+A4ohpSMqdNFDSaPF6W1Iki/umu90x4GFBWB9eWM6J3Mw7HscNQzb
XsRFQEO6TA1QRCxf81chuo1vmFHZ91XapQwAMNp2aCr9uBg7dRodUfK6X0R09y8Ckx1Fpxn/H8Hz
fho3QOILTYttqOo+08LqqfXmqnwqvO9EnG+s0D8bpHYl8Zqai/Ln2v2kwLGxhQhUvE8GvyMsBkuE
31MAwwR4OO/CiynccgnkgsLQ17UEN16Q1RxsBXqOLJzq/q0d0d9YAPSd+4x5qoUPyjhVSrLQCsDw
o1uvufVUs3ETDX9zMNGMAABUsWqNNLqPIr09RVr5Jaks/hKpSzGgeipssica5XXprPBjKg80rDQw
eknROmsH584vU1S1J1HLL41fnd2zwnvvbuPbNbtPbPK3pjM5a3IoDMPd9Vl3rCZ0ZpgRMPDQ1FJt
iqFA+Yrwhy+6j2IW8NG8gJDSuAPde7UieR8CtpuboKu6mGXKbLiYZRrLtlPG5MH0w4coxRIA/3dA
vmchUWiMfvRs1lm2SqMUK0lYyASAfVkJyr7Cmq4tTLX3EJ51M3U4etaa/rEbQvGcaeC3lwmQvZNo
ONhO6wY0HDtnXIs+LwGwC63DvIc/ORnYUgWCddZrSvTgAODbSzWMPByJqpmkh60RDihYMCMYNs5R
oLTyYUYdNK1j2ZnDMlp0CSxJR35pxt5Zkk7hqOzjCedcgFtznC2Wtdo+0qImoBeSmMC9N8i8CeY3
kNLSkLRRVl4P/+gLfE7wyqtQOB/mOFtytj6zPus2Xu+harEes6S7wYYITbhqKPmUP4cCedK2ewaB
LhrLbQPVPYPv3swGujseTTZ9y3TXF+jnMOZgXDWhyxCFeJY+ospZ+VMwi69+m+LYssjN60BWbX6j
sGR/eTLWCeOedcaeNyPQraISa+sUAOWgdXhMrEI+mhNmM2S0I1gp1+iNAz7w6vgNoFP/zqnxCuMQ
Yc0cUGjLtc4zxeBa0ds2vW0B2PgoUFE8o3ULMfDA8jv7RAqz8c6KMGl4wFugUcestTSOtsjWDqq0
B3y3mYLtAkBRWqnZz3k3vNRVrJ8shSpVS5QJhYNoN7OFmaOnCvalsifRxZ68geV8bY+CCnlMah2N
ra1jbqmqvxpzE71uo7mlFoC2coyroWy16yFp/4XvpN+F0diviyH3j2nq1ccec286K+9f3bx/pC4e
3ZV34DDgXxKjjvEGgWk/jO9NbdV9qUxzOzubWmYR78wq/ewAwO9WmFqxLdHq8tJyq16hbz3/VXsb
Ou3iyBmtwD7ffDJbX99MaTcdnTA0gPhZl9uJ9/ylYxNQPhLJL06ZcqouTmWXT0ebl+btYIHqfBDc
2KH+wwZyXhEPJ9Cs81XNbB9ZWQs9eupCiqIPse8FJSJfxdrgb0nIjOQ5C2176zfYhxJ8tik9bIxd
9ljqY3oiOZpyxm9OrP3QhvZa/oE9oEVRwK0gZ1ScxZ7kF/vOyb1H6ZTn+Bf5Yk/zelNvndw4c9EW
LyQPH6MwekYtSfkD+ez5Rkl80y9/XFSXG2UTDa7zpA09GhvDBtUswNSgz6pbgxenMO0CyLZoq6OP
r9sNJzQsgdJJNdlpkwM6w4sFyVQMzcvH4Ny92TlTAkQmUPn4mZ89DcNxrpdFK0uyqV2pzUp2Vs5g
qGYCJmuda+Gmc2SJ1TvOwifiSlHcKQJUUiCEckxnl6DwzupHHWkCKOyy80psoXFLwovJrOBJkxxb
6z8a0mxbH6hsr0ZnHenbhPUiTncEy5+8xpr2f7LAIvnawuv5L7sJwfc22P4qAyPnX23aBtR0xtwK
hTmZfB3AJ7Z2qyq5c0ZNHpoBMA+oAGqeFqfOe+8U+ar4K42SOxO8pIfGnMobILw0T0Xn+ashqv/j
ub22SVOmemhRRw2eqvhEF6+Q8SnC6ek8JFkdgXeG7NzCRq5hMVz8UBVTrBUC1R3BydPfm8GBWpPi
TxWgUxO7A3C3vaoU+hFhzxMKPVeKdx6kIKB6gpOnUKNCq6dQICQ6ezSAxPkxJ/q8uAGNhp2Em6ux
DcSLc30H6VPZhZuiAL4aNo2/7R1wqj14fFP42LrnHKRrYCtP/ip0gfWiqAFvFGpbFsc4O0Dv96dQ
G+7JwGcNeN1waHpPni0wQYOoBYouUm6bPvbkHz1HD3ju5Ml07zxnWqUvkwu+HRReHAbZsj3dlUgz
znfTB7LF7iPt4lv+in2A7pkc6B8g+liNvS2PQPzNvT2wd4e1V408yHopQBepzkDttAb+2KIie/PZ
BznSXs+jB9pxXOFTtlln7a00eaBdSEGYb7Rl0TqQMSjFRxsYzeaz8t0GhoYUUs3V1rm3Pb+fOM65
946s71ADI/fLa5fuUG8zzG/haqjuUBFztiBljEb/+T1NQ2uqgbkt2MFwJ/suZ6E1X0YTXEFVHXsr
y5xQmkoaskmbfueKtr5tLRwYAkwOfmQte5+t2Ihm/jVZXwyn0rS2UVbVCodY9PW6rgC+VhUaiHl8
t1gT0xnxmZHCYpm2jl2jWGP33tyX1ItFwsWaDMmFwuT4E5mjLmEWhU9IgUvsxZpkdJGpa4ApDEgQ
bnVDP7Nw3TKv/TaENVZoSko/13hrjW37bVLSa9sik92VlL5hZ9s+09/aUty/SSkuSb16qm66Bpj/
mh4IYxNN3H1YapudeBuDdfitJFWSpQOqBRrYxxKKMxuyObLp1Sj7QlSaZ3Jbez1WBXo7zba9JZxn
+ugQADSLgcCgKKnOyNsXkwVVuvcBfOs6IzvY6lv1LgqFKrH2+zDK/EFbIpC1PoBhk55jLJOjiMr6
1s4FmrTURVagXDezpgpSfzrLYnWX+OO1gmTkQQqsnaqAhouCQtkq1CJb5lg8FrePQiHtdwDpiXq7
/8a1pZ+81wMQ2gFmLr0Z6Jc9vx58dUrRjlFAMrJdXDOJ1s6L8uqlQl49vOaXjw8a+pXjtRXokwEA
HRe+f5fKtvxcym+04u9aZhytGFlPGjqZE24aztobWsv/705lVyDnj3raDTXJUX+cUVn+UUuMNYnm
9rgKKH/HFvDqc68bkPLCo5ZP61lLhiRTJjSKTfTOURfdxXWZge4ucpqURHS5xP5IruJT6Knv0eLZ
pWDAsPMtR2nifjCHZ3DeZN6Np4HDlBUlDsSrFuUUF7WpSD5nmZMAUQe06uyGyCdnvsr/4+y6uuTU
le4vYi1AxFc6T4dJnhnbL6xxOOQgMvz6b6tot3r6zDn3u/eFJVUSdtsgVFV7d76h7bRAf1ZaF1wf
Xca/uLxbFL1hvzHXsbfcKKJ1YLDxO7DDFoPC7TfdTpwrubDvhJzsMxTfrEvBqWBDfmPvhtn03Rja
RaFmK611m/lkvbCXRR/rz3QSjsML7oUWjlhoKljX10pfDyuadk2YHyqniDya0lE60EPCkmnPdHCf
VTjCkO5oHIhwIvrHvfZZduVujPW0ZpWdrupYRyE4cnOUF1PDDpWhqXJPGTWgNmHXMRbujpRdaPF1
wlizoiloadK96mudN2v7bnoU0WhGIZWxv8sby7+KhhfeOVrdT3zNjKHB8w8JPYqWN+Z1NC3R5mjA
hhxBJBj/aIak2w+23u1pJKdhAsbaeqz5stWbs1ba/VeyWgSgeAMb+JLWoACkkKH+XVa5zskeKnsT
il7qLmDoHBpF505MTTqp1cUrFDjjy4vAa6+saHhr6pT2iBpwhKILvq/Rpm06DrIlUbi1fBPpYnFp
itjap1XSbMqgfFa7CGYkAzrhn+EsleY0uvjQLBtra/+p3SyMMnZIim5c2HqtbvKUG1+Zg+5hlEK+
q2BhWSV5BAoSrjVfXKT4TUDAv4MlGt1+gMI6KoE2POgiOU+KrEMpTpKAfL6MrOhouDgOA59S/p62
yj3aTfQv2HJGd5pd4zxBrACcRlBhWeE3Pcm6zcdbKISB/g+3UCXdhP0k2LQTp/yXW5hGVV/QUp/c
At1a1/Sf3kIG8oas6Cr81ScvKA5T1wzsVhtg049f/bZ65pllPmpu4T8ko/mVxNLKNZLpa8fLz6zC
qkVqPc7SDYBfxq8BlpCx8sD5SmKKVcRKMltNU/MMlnnzMcvVecUbq94uzTUqOIt1bTk6fr+p31N9
ppEnzANMW7+n+kzSmg3vZ/ZdpcdGU04/873Ryin5yoX+3ZeM6Tao8vPGl6a2uCsqMQ2HD3clfcc2
tk+aX4OirfIBiNcgWfTZO7yPwBlIWvnql18BKOk7a6++FmgDIKPOGrkrII0TOM16RpWWqwK44BxN
riC3FLcR5f1IzW1ahu6P1qI4lq+gisXS2cJMlSlaUg6Jkk8xYP42cRg9XCWkbNcGQiHZzFKwBMxG
JOOdzs9quwfjopGE2bbSC+Oh5cDQGCLN2Cn5yB6izmUPft4rSxPJ0SXJZoWd+rugHH5LEY3YhuUR
+siEHwmaFFxao14bO4pFMs3RlOUYB85SyiIREMBtc0ApZxtk0VAOcLkbukNnZN/d1HrP8d9rTtDK
FKfbBF4a2un9VYYTZUI4zemCjcypRrxzgGbSlN6cnyVNhHwv+dKMAtjCN1eRnZI5YBt4EFtam0zc
vr8rdMPd3QCKOCHgL3zbupKnF3j8MQKYg6e19q3JjIwvcUguJrOHhCCRq1lYSBMLyfBS6afDsChb
Fw/42AO7FAPbrgGQXrV0V0C34EtCB/xMht109Wh8tCNZWsdnX8KmpwD/Hs+mFhcZi8KQ32cytchi
z+fTN631F5obAJcniMNnMdMFWBTNCq4s9FDVX1wgYD2L2UdLmpHuY5SLXx/ac8zP/NBEo+CjgT6o
HV4aJy0s82VfOOpy/tSuE5WDJvM8I7s6aXH+JE2w5+WntlkaMSool2OHM1Me2cFa9pajdGaNV2J5
vGpBD+xuHbtNs2hER7tUfLSlxnVXDXtxgN4AhjzPgaQd5mvuRNWCQNoMaxqONOKoA9YMwGPO4G1W
ORztYTD7pdVYi2Cy+n2rdYA5yVTDR4dmk6A7NasBcgeq8jjQlC2njkT8Q+q8OmiUrSNoFE21qx5H
BazjJHNDH5+zNOfCxhc2/QSg9DM0cOwMGeqicLSBs9Hxa2MO3VIFlhbqwNzx65ArYBm0slfLAOBu
B8xCb0j78SuIX89mNP1oVjg4+iD5VTQRPPEVzy3z/NUKe5BSXBbtL9E6EXzComSWA8f4yEU0NXSr
LwDEAm7PG7+gVPdhkT4OLxKimgTWm8S7Btdi+ngWkBkJhpcJJ1u7YcZOTLJY93qQ21R207xpTMHR
Z5xXB8vv/YMdN0Aa5GHxtR7iE3oqLcD0mJ+aZuZ4Nh1YKE2VuC82Jk6Nlm1buoem6yZPESRuPErL
DVC7nBVxrE1aAd7tqfcBRwYGNoUVxzDGRmasB/7F5BUakuFEMXSnmjyyKj7G0C4xyDhB+5kSIQbz
kzkGOYW64hwohhUrq3ZsloGgawKYAxC8RxTqhmYYgw0WuBykoIsdxO+DUyk7KcfXeLJzWBJ75CoV
wtap1LNtgYIXo3HBBMCmB3vEd78oiVCaep5ponMF2495RtnJy8yyrVj1ptQ0AWrmVo/U5T6hvjFH
5vvwUVQKkTzzMQL/dCOKU+cE2ur2AIiQfl3jWbFsU4utczCarGhha6qvp0M9sTUKoYG2LW6ZpqUw
pumNL2mLEXjhFOrGl4xJSynVSUSW60pf+tug26B1w8hPPXMK0Rbv9aw3kWG2AiRUGIgPsBHjrVqc
MlvJT1dy1UfNP0R04eD3U5RuIX/I+dcEERYOsE/0w5HET5tuNYw2yhMuPzxp3fBnLkxlhAoYlbNp
oKb6Dt+5HFnLc16myKotvrbsdyUCnf3EAvDr5oB5rbRAOzbY+O0A8jhs3SZP7lsrZkvfiN0XtwsL
rwJizU88pBYD8ZqzvsBe8h8iAURW26m10s+R0rIERaWtO59GsqJ8hyZK572vNObFVbHnIU7zcKzX
H0fCnupdY+lMYT7LrhSmAK9q/64lEy7gqWjUgCFT+g8ETzWbiDU0x1wOo5Fhn49o84pgO1roBfBv
asaiQ8CiRe2O9tEGOAAIekSpIs3B5FuBNKPOVjSVCi6syTdv4wXJQ1HbKC1olEbs7H+jIOPKT9p9
En3p/cJzBRMccplIgdGQdSOSXlqa8v1F7QtGOV8wyt2asB5bPqGwQlQZ62V2oKSzkTovwJdtj5SQ
VhUerXXL5ytSRjp6uzo9OFE++5/sY9/gc4r7Yk+mCgrIFk0BdsPAAgelmefVcfwSailemSSZ2Sax
0aqOzVNntfipiH+SlLmaVmsrcGoPbM6oPgXw3yOYY/O7xggBZ9VU8Vc1iHaUxPvPFkZQT17b9skf
PF6lK0z8bAOYwNph3xsdekrFFAVLw56O2FW9B07WJyY3HoUb+dvRYOdGNjNzDI9xo9qmlK8aFQXd
q1pfbWXzG9mgaKvayiY5kpGdEnf1IxlLX+qtu5HRNG3qanF+T2LHr660wa/WDeurAyC+BNFZO2w0
kOI91H4T4qScTW+26f5QbUX5zf37kBVgybXS6sGOUuUbC3mxGHnaP/1jnAr0ZsvcKec409QFf+mA
jALr1qdxHIVV674uwUaW+gDuHNwnB4BNRGKajKjOC5QmXNBrz2+xh0sDHBfQy9FyNRympGNwIK2b
a5sBZFXPaZG6TwDUmLlUO8C7zzGINTXoECMpcUxAThTDNYrgQFodjHotCLyfgUjiUIypTzgqmBO+
JNgseQHAg75C9QG6YEV7VUhdU+eh6JqiIXr643JNpqYzpt4VqtbnDl2XJpsWFHyghY71JwWAIQsd
j7VvY+++FJFh/hXUO2VoUMyKLowj95voHawuJphhArDEYqe6ChTen6wItVkpT40djveBoIDimLWG
U9DPIubqrqhca4441U70bjHgK1HEnOfXEVvfYbsunFDZ3WtAxb3cY27YoprCBrhbiLN6a2pfaftP
M7OsX+kDg2YOdPSBIWfi4+Ni+b/6AfdweX7RFii8RuP1MCrJUzSoybLNrWFjKo35zLhW7aPWzj1b
TEk2mM2yH8PokUSBcAD9yjg71HmN4mXhMISosl8IY8BDhY/kynn3HWkH0Bt6gFo3vzgD2kT5iDZR
y0ebqKnjjJyFDEfFDXpLEx1tomOs76kS3i7TuyKwyu83To6BhlQQcQbYvKG3lJza2pydejO+y4RT
X2NjMeWReZxx0IBddZyQBSeMtJm4c4jRUmJwv1tLJLaua8ojnxS87QXhJ/nqumgYUZJ+TdMhS36h
DmTccpRInWrWlnul99c0AyFjcaKRrWconFbTch8ZSKOLmZSbF6XwlErpTp4JPG/CprVl7vPY3hBB
oJMl2UJXdaB2isKuEpQYbu6EL7mV+Pedkb6T2LCLBFDcar2iqVsXt061W0QvtWO693oWv1PoG6ek
wydxBPxjyy9mdEurU1HyMwNV+o5d7VEYcoV7SRiVsw1ppZ/YIkhoTMK4JAsHkW/kn0UnB7KbUTU/
Rp9lMszlzuh+SG42vy2g/y2JinoCN0Y4gXh4bJVyhwQOWxEF9kU+oFdmF7uuvuqS8hEV8tVKVTtz
pcUopSLEuSANAPCP8mlzpaK/dhaSxnaq0jw2bQmNlT5HKbiewEowb66tUX0SM9pM4wN9krP2j44s
Kz+bLdEHgj4mbg2nyjyhplp5R1HbsAztGs2l2G6d8OhgM8PS1N5bvPXfEyUcl0BBYgcTtCyzQcbU
4T0w0BDZs/ELOHHbU6+i7ckSR8JlnmSgCIudbTPaw9c8d9ZkpjasOYUBGDQNYaYHHBtiwN7PZlEL
VEi/4vd92QNyxsvBDnDfOuabWeaoz0XjLXgccVHxskep/2VuuEq/wsmB6emkSQT0R67YWb2MwZ0w
q6R5I7KqV+5k4wt3csSr6LzOlSEtQbdBNk6QG+uQWb/DpMuQoMEF+4XziKY2LxIv151+1amjVXhA
1z6rsxQ7XDklv2wEAvFsc2V+NaSYvKrOMW8WS6Q7Gd4sQbLZhoa0eK4VxRZABBM6ELMY4EVKrbKj
G1b+CFRIH0VtbABDrd3if+RFRjbI32EbxfhXoHPAmGR08UvOjjbSwos4ANQIyWabiCxlRLHULJMR
S0S8krnChrQUMclHVKFTGLuw22OVeWXNlLtcXGiUte15pKqhknty3vIg2MvpjUuEbmlWd8NOymW8
G9fbyBSUbD5zQVmyn3s3IchwQiFXrTGAhYnb/8dbu4lMxnSX6ESr71rrQAet85mr4bBHEG33Wzo8
nWXyHHUGj7a12WQ+jJW40fO8FGreoKRQnPPKM1yym03EIvWYnk1uwpNHB9hjzwjV7/2g2zisbaz7
0AK0pjPm2Y+6UDy71sGOB/wtQRtgP4PtM93EePPPtn5VnG0V1AdL2zjS7Wfb6dMNxXVRPsSBubAL
Qxd9LFXR+XvLSf09eJKbfaXiqNzw9+BPNc/K2Y5MrlxQFC6tKQhdQLf+J6gW1MbdGXDQrFENYQBZ
cTX2YJ6qzFZ51W178FDibh9oqujuBtR99hM4ueIvABNaWqGjvKYDsqN+1KELVEyRa3W2QxMOs7af
+hjo6Gq0JS2+Ws4haSpCJj2znhQ9Sb506LrFeeA5ZJmNoGYX98FxVrXtY6eftXGln0MGfr2xir68
I2xTpGVRpDb2frhTgQNEr5e/4Z0KAkyt02eTmUDzylAQbLq6H65Hf/yNw4L4JbGGbs10MNzqTGMn
LUCGp4wa9p2X9soUP3ea9bemOYCaTk7Ynk2xIV7Rrw0Ykt+B4AlgZqHcRYIMxU3D91LPg7tY0KjQ
xdXKZFeOaSyatc8yUnDV/0626UdbUHjG3mwhHIoBrf5aN4Jy8GRowW/aHgVJky1tQ22WN7sl2lmR
1rxoSWaMBWgMScOHDjvWy/5MbsFuotKeTVMmnE5VQxkuzuCsqJldO9MYzwXSVGSX2xoOuTPwri5z
tYmX0TDik51UbSf6g0llCaec6qZJldKQVBTvSigr/CK1T5bTJIAcRe31VWSayzWpAJv85iXn8u3L
LcmIDN9oXqq7/DC48WL+0FEnHagXnfkjiwAYVQaR8YIuiHGpmTYDvENrbgBlbtxFpREesjo2UeGC
04W8xW4crOXTmxXVv6eR+79kyNRlm1GERMFULfrojBdFL69Ddqwx7nKnDQ9uys8hC62yFzgjV98A
Y/DbD605ZFfk5Td1qtK9b6/1rM1OiahkNKh0seEFW1Y8T5ckBB0JQDZJA2PjYjyLuo/GpjCWbnAo
DQCJGGNZeb1pxoVXKzHAsgDd4E9FuK80sLcuaDjqerDPNSXY04hkpZPDheZK3YKY6NZpNohT1/wP
MeUScyC52nxbV2tI1eVe1ShE5RgOMZdVOCogA8VlzJ3zKAcw1Fo1J9u7UdBU6SxgJVc/pP1NDKVv
I091jHHzmbsM/lkACq6YP2TImxg4fonwrwXBpXtZY4eSMuNRMWrPxqc7SBtVULlk5xkl+cUssXLn
mZL6lxmVJfgVdrF596mfi5iuiPnRj2IK3RD1AQ6cVZYctWYyAeSbsO4eH4f+I1pD3aU5glPbQJLj
kS62aFAtLOShu8I5y1q3W/JI58DWh1mB5x2oOPVt4PRWvOCop9rWVs48GaQscnfJh2RcySAUGN0Z
xs5HLj1eXIKSGwWNS20rHShwKwLTsmQG3jJtUavTvQrMW9ABB0myGVDJfqwrXhxVPUNlb4S286oL
Bny/Q0ba+aIF5UoZhnBBUyAjt+NdNeWA2jHjvTRWkhiFNjQHi1qxoqXIhZmBsQTpAltYuYrS4hEZ
lU2bKmI7nRgnQGyyU5yXyAJ0jvpYFbW7I1kQ/9GCOvXsMduRmpwLe3w0dNXdhRQgM346OE49BGkX
ePTBlYAA6+iWqBKghATyjsPxRgug2cCjZEYmjG+0N75lMAbIYyCJQpHlVPrGumkvWM1LpMNicJQC
DXQH2FL/hKcGX0Zx3X9lQf04COadVAnXFaAy3uMuLBeoY2gebcO2N6nvqLvaGv2T0QHHipyigD9G
DZh3ChxiTY2qv9s4sUN9adw+0kqcq29gHEj2xNhrJAujnNxjOgnY6AuRL5H96ski71z3SGK6xDPf
bzH7XIk+xDpbiWBqxtNdpo32iQ5LMise7qoifaUjFglVb6KgAjRZk7qVZy8ssnuynT1FloZGZFvm
1dlW6ZFOU03zgJ7rPdVus8I2l2Gnq3dlh9OPujVmeWagGURpITeSMnoR9tQ9RPKsUM72igl6BdGc
QXGk/GN8Kf9oL9d1ESfole6IyoABTYtu4B9j1HE9MyWYexYBwNE+j3o4z3wNEOl5A5BUVbF3gCJE
xZtgz+Nqt3GB+fT6iTwDiNGD2mjqYgIJEYAzrGFxRcQOtET1QPTqdCEW92jQymWjacOCZLdk7A5l
RAJhhI/C1LMdFFwLVoy5Vhf5ZPyz40rlBfh5TMBHghJDCue6Wiqx1S0AhUeBU2G7hmJeiiEVFIJk
XVLd43UdPSVdscuywPiriP21bw3RD0crsbtDC/FzOKBMFODO4aHp3WHvxqGOgnVreBp8J8JT0inf
6yndtVFgSncNnV+zexGF1RoQW+EBOd9xdjdZe+2eh/nOBwH7Engh6jq2BVRIlUyeGiX1PA2FLDV6
QGYwtajuksDZWQn6b5GIg4bU5KKpHHWZemwfizBFdmsOpiicXHSBOELaiRBIShMteVn6Jah0fZUx
kx/pkmpxNY9o6mgBehBs968beXJxILNW/2VYeXogq7pVq8GT0VAhbnpD55yXwQO8PqvlEqYWBF5p
due7kM40osufNW79ac2bNWYZgAe9jnfuKrV0dIfrYF/waAiEhT9zoOEVqErOKo+EXLHdbN37CvTk
JC6mqTou8BYwJCOpFsiGSLjq2392JmMz0XWsTXcwh5isAhDYcXUWzuuS6m/3KW9+dv2z5mw4e9LN
xcKybYo/f8xYn/AkHRJURz0GUfJlPgh0x1i9qyswRRoTOL/F5Ubh+0bXzAeIbjEBEzOyrOkucfhi
JrwgH8uPirOGxXzh0JchabqQdZvBnd70QUWXF2qov2RqFW2zeLTKk5V0+QZFBj/bvGL5HfqErANd
Yo1/CdMp2g5BxjuPZKhabvny4jJHiFv+poK32DDwVLXVY9FyHDgPQbfWauA6W702PrTgHX4wBhBi
6JGxoNlQ8fFhEpdSr8BkgSzlTipMPrVrs3PGRVGibc0rUeF2KkF1RybSDowfgrmtHnYUihSFb559
k9H4pY1FOldKK1aJhLRTm0DaFzXOVO58VSNNc6qONvoctMAGT0zkNHCeRBq6FEC5qdc0NDLHx05P
U54dng6PEQCGtg1HcUvWA6Z3sKqnNgzzn2FUYrPKshIkirDocx+81G3svzisvLLw68Y/VakKGKI2
+UUvpG5KO1RYomZIZ5X1iC/gX/RCQnHPWR5WzMIXVjLLnRDdAfi/A9AbDvlHe1vEIfnF/pP4n60r
7FHVEN6pgKVd6FaWnFx1ukPFUP1ElzgGFFXUlAa2o1Uzy9ROfytLANyRyPjj1ALzM12Qw4SvvaUM
0sTqm4E6/CsHsxy8hJuLIMgywwtLO7w3AHh136r1kqtMP9BMysdIwVd0iAMoKSOTvLatFYB1a8CG
IsgcL1ID+05HaZI0nhVIFF6Fl2vI8Fc3VIrQlQhNhkNm41YvoUlGFw3d5lt9qN6CrKz32P/n4LYT
Q7Mc6z2NABCtrwqbxZ7Zar27UPFO3Sf4+MzW0lKJkYLCN0w/uAsDYG4rsJrGnlokVrwjq9lrGCfP
D7IEoCetbcSA5Cq7PbiQwD4huOCI9o1GJNMVq8ffmXV/I//M9jPZTXQKh/8d9zdyWuvfZZp+3yVm
Aox08LcR5I0ydcqiFX0yVGB8A4Nzi3gjbaTfTC1HjnP98Q3aTeu3yU5gmNSV+QRGtu6eoF6VnD3Z
jtPdE7Sr0NGMdGqiXc0uuoslqM66eyILvUQhP1DdPZGOieTtRfdvfizop3U3Gs3iKg1OaXK931gA
651JpkrdRsGFyKmbwPVUFvOQiKxkov2PBykz1qXlOkyxwfRmn9HSu+35ACsyWnSPJu4SNEHKQkUD
krNpjQekBIEjRiWkRtO5y8hQlQWVpF51iPZnO6pDtcThCVnIcCwtQQXCg25rCjo41N7U+xIsy1Tn
RuVtvR00e9/qX2WxG4nMvn0ln9lUWAV2/3pV//YhFplOjNWfxbqs+E+xtMKYvLwy+XqozQnvkPbF
0sYcuWPxkibGqdDm06Yf+5c53UeKi6xkysDe9HicTeap8WdKtoJjyQvUAaSLeKLtmR753Isml+1p
ThcLT/l9buYKzgwSn60aY8hmm9l8VpEV2c/zWUcCQPveAainw9sJa1yFozldgOqBhX260vKBNbCV
ZauZJ41IIdeRt/npbYtVQeLXbcluDk2xKnEXSV0mi3Ky+62hqACoiKfhC8B9gLMSmfyuiqL83o1y
VDqZdv3e9igkUYCfPoXj32wNVuf3aFE/27KmWqK2w/pFcZF3fHKdon2MlbpcRT5D94r4HDessVy1
bnk91dw+2dAxABmTVk4/86VjgFRE/syXjhB4AfIWh/Nd6aogOr488dnlsU8vgPmxfvUuEGo5lU92
GgVOqy2DfNC9f3YOgXxberTMP8cRt0PB6O7kPQH+eZHr1SFT6gVVXRj59IZsBDZ6fmwtozAPT4Oq
1XclIDw3rNPbp9htXa9RguDnxcmetDcl0cGOc3GKuH/tNFqjC56gUfkhnJy0N1/PX8lNpwFYWske
8KrsvGYM8y3qrXL0f2j5QxRYAZrd6ieysM3edbwbO9K0IBve9yAUI1e6kBxgBvnPfEJZtT447RO+
6OsdwAxwhAuKpde0Gk71ZGU/tchAh/KgT0+2z8tdFPTuumDO8Mq66j4VMSZeZ16auMZTyc0URcF9
sOlSo0LHbfFAFnrpAyAOQIZPSYPCurAw403Th9nrGCWPZKEkQwywqiR55lXvbxW1b/Hl1bhvmb7M
BgsHSE1ePmCHaXzHCQ8DCnFgfkE6ykIGvx3uA8PQNnXdJHs2uHw/qEDPGsFFCRKEVBeER+FLPJWa
Z9g8fkf7xKnXfRc1ZT9rnH6Enqb3B140+rufsd5rs3B80e2kQzVsWTy0hp9thkDR94o4hgeFrrKZ
UhbfawWoKhE6OnQDDstAcd4u6qQoX2iE5Ef5YidBK8pv+YsrRrGQfWZHss+0N/HIbtLccGPHNt4V
Easj1A+dAepQet4tqVHcEP3mBv8+1i17JIkzotQfJVg2CJys8Jlkg/PNBYLNlQF6de05ArEe/olA
LjibyNZXBiLM3yPIJfzc+cGLUd8mvHg37KB860oz3+Ert1nqYjo6Ln5coze3pFVd97db4vguzNvy
DUyLwVi7r6MLdrIc5TokHUSESUQgl7g1zhFIyxL7d9Pmymnop+ISASg1Ax6Nxbtt2eUhHKtwCdp7
1cOhqf9Go9gHa+vgKhNQMQ1llkmtHJG24M7/y24S8VCp97d4N6v993ZFpA2o8QPbd+9xHUwBSqNb
B4avVBSDolipiYrooWXdgWZj52rPQfWdJhPXohcTbaIuSoifSJQX/mOXgc6WdA6yh54O+Jk9KeMB
We4iHPLd7J76qIAxa2dN09Aq8g2I/wBeIdbVE3sCWGZRL2jqRm1zaDsbr2m6K1ZM92XunGhmAw7/
udf7WUciZqGvIWHxM83yLr9HocFwTzOc/6D2ofKBWiVixYZfg4sOyCM0HepIWQK/KttMih2+4EEI
stRJS1cgee1WcYakuxKodfngdLZyN8UZChhM9NTedf6BROYwKndoXdXMbYvM26Jv1GoLHJzkHkDl
QOUDmQJgxXIQIwG23GMZ0tIkdIFV9KAbFkrR8jFf0JQUOktT8nWIwIEU5Fvg0bkNTMHOIKKm9qSs
Wauffcmuqvv0vihRelXy/5ztL4EJvE/jLdUGyGw/FQX8uywb8GUFTzK1+ajg3eK7qzIvf+A7qr6n
i1GY9T0zs3wn5Iah45hTygBVCAqzyd2bLRgBgOymL6bR7NmbwwtlYWfoM1YFrAzYrgAzRMII7EuL
vAQJQzPmaFDmgm1hHpK0by0BnBe27gJ597PpLCT9rT3NgQftou34T2S95vuxzpWdgyf0yReXMErD
k6VEPmDFJ3Vxo3A7E9pS4Bvb6iM5WCbPVE/61tiiRllgHm5cyYK3beqNXK830mEOkNeuiyZR/EHo
DmghGs2LiCUTV3+koEoFXOx5SZpflpQOcvGurs5LUsyzL4AX17xA0ZdZpakX4GG8tbXCveeG69yr
ZlydMlAImEIk5Q0q0tZI3uUgU/igkEHInzyA+chPFvDVJtdSAXIjPG4CSGMKkEYa25qDVuMoCfyB
am6+FxEf38XABQngu420jJrnE8TqPPivbS7uRlmNq5anbN0D2uvE2nQC0ntveKrbqyeShbWtnmjK
Hf4dyBY4jhK2JCIljwf1jmngRaxgSiLpBGJubdHGWrGSMhl3dN+iThmOpJNh5X2Q4iYu4Miu7kOG
7RxTveNg/JWBZNzMwT8qeR83cXEfSleOx5s/tp8AlkIvShwkib8FdDocW1UHBUXuPIHo5pVO1qq2
cxbRUBcHd5iu5LxQr+WV5rzSSdmocmCnB3px+BiH7Ek+Rdn4VJQ1EMyXZ9RK9GnSR/HczlmN7wG+
MrZzXybeRtpWD+qfZDF/aDe++m4aubUlB5OKFphuqVtFa39eyYysTABROqmbDKCAD1lv/6ontfym
MGAsaWmPFKGYaneTpsTf8t6ydzrQcZfTEPFvxYBe6yQx6wdyZrk/O+uxde3MD+SsR+PfnNHZ1MzO
3uCmb1d7rajSPFdhbEc7q6QZtEMHC9qIzbsxaSG2VgrLZ4sO774tH1m4ZHkcekkfRkhKG/ErZ78J
qDQY6vGAoxvbI0TSuk2clZKgN4O0TpyFHnP08N6cqvg1zP+6caIpsE3OTgRjSiuVPVO3Q62/UMcr
9b4G2bTrfLs5yCbYbFSiDWNIdksZ9b7GqARU+xR9eRdGZzZk8ZWt5jL7pPu/ZDoMRZx83dhGNhPN
D4RMY041X4OW9ixkDqrNz+BfulH6Ryuz8o3mgPSV2pepATouw2IDKL16IfuaW/BRXtmRMdmRL7Vb
k3HDzHWo1Cd6z8lXYRYo1UKry2jdgCh2fj2SVqviGslrKJyi75YTEssbHxTMh9BWu4MbFP3Bmpi7
ZAUg3hR3UhqPhEkfdPmShmTpuMDOCAr1zhHOsyHFobmMSMGSAkhzN4rPjCm8iJzmynR3FSTOQYcp
530dLjsryL2iBQagZVUgztI4L1EK/nEeWsN7H4DgI4/de8fNtqaSdYdJsN2RaDRQl9f70asmRFJu
ggobNXZmveIRiunJ9hIja9CZKeWXGGQg5eCajJeOqtSrGwXdRxnb6/PTxfW7u6rVthqwWP8ywM89
/Rk4mh+RhFTCBrmI+K8Gg4uNG0/u8nxwHMclGrDRGAuk8mpNJyFFGadPQ1mu6WzjoqMjFdK1LZ91
ql39T368z1DU0C+1gR2MAUc+joUiTTGYIAF9svULSPCHSgw+t+nNeFgn4I9YzTVuAza3C/R4THNx
HNW4UVkcFb/RCBR8qHiJzemqXI8UVaBZ+FrqGf+Rj5m9VH033idWl9aHtGi1FY/zEHUoRWgvimhk
C9VB42lgM5AzFRZIy9ymOtHFAXrBPALca+ElqKDb3Cho2mjBYz722k46SDM7AciNmVaHYsR2huTW
CKL12s62tutoRxCA6ke/1sOjlu0KMbEKgQM0NZUxgmYh1TZqZPwmM1KTl7ykeKwvWBj2SxmORlfG
VfsSJLE6Lyjlf186KppsnAPRyp1t/da6Oqg26Yi/ut4UQOu8KpfYi+CE2cpQHXnVoSE0aZApi7nb
g/o7JmpaNbOsXGoG0gIkpItrIyWyZEJTi3BXnSCfxZzNNfTu4tynfjBD4JQNmTVtAC2UvAxVWK/1
NkSCvLbjF+AKtdtAB9YzaUO82e5KJbc80v4fa9e1HDeubb+IVczhlewc1GpJtmS/sOyxB8wJYPz6
u7DZFtsan3PnVt0XFrED2FKzSWCHtYBIicaVnP9FytbKp8eKpwfStej+fRnSKze7rg/MfAjartee
yNLMwUAMnpYLWWJblPtDX3QnUpZpXwati1TvrP3fP1+kuWDtkx/3T58PBSZ/AYMPSmW4+3wGq9gL
66/k5/b8+zik+dbNWvugoRviQGdoxLof/kcZB6dFMA1oul58/6Ox6im36cmEDv9WRtPTpyK35Wr/
Uaa5+T8+2gdjxxllCRUQrZSQnVJeouDUHFBn8j6MpayaRhSqRsAv7yTSzQcTnWcZKmPJhqYgH2cw
km1WxG80F7mQ8sPUJFsUZFdN2JEaLqhy5cXJocpNXON22k2bcRSJj6QCf2iHyFk3Oep1aRh1Ln8Y
zAJvc6kF0rwVYLkarhSXl/o24yi14o3XbElNhsPIJg1ITd2pi0Rz0EsxmAAMgTfr1qaZeQA/b0bE
EqWom7zsWHvhNqz0St8CQcFZmWNXBhXKD6aidfeUk7IoBzUYyDJR2ukui3WXqSKV7twcaUSH2Vtm
sEKi3mt49i2MubIHBa8VFHmebl0UMDxhiVQ+pagbM1E69QBmmuJJQdAELILikXRkVUdhukGDwbDS
pAWZ6WmPDlN7FAcy0UMVWCMFOqcwKxlkFbhfEjPR/GWif3l13e0eHUsP0+BPV/bQg9vp4XdWAPbu
7vlGPWk0dsAQGAAU/KZeFMszzTYVmJSAumtkV/7yRKQzsvPeZ7HqFLChDMm3WMK9TRIzjs6WA6fK
iEXtZuYx70W9W0wyQpWjsSZn+DBN6Q4bbVAUwF+AaVLFneqP6GfGTrPrfYJOogNgMVzEou070aw0
Y+AmuvVxMU05eqwd4XpItAMWalY4zW1KUMTgEkUs7qYjyCajLbe5Ovb7Wuuto4NeiaMlD6ilDQq7
8WY5KUlOZ8uhlXB3NARsDKpF6BSP5CBskpsvuXGgLK8ANyCCMM9Bn1qgOCNOJt0D/qnHH+GXa56f
pAruRNdogw7FecDUKcVjz1Tx2GjAUXU694VEi1xM04uVCxf0jzClQz5Mw8Y2WReM0pNk8zVopkVI
13GBoD5fhxRqNb3lZcO3lOOns2iMrktNgN2VHsAMZI3AfEqZfi/TXaDPkG4+Rgi7baXrrKJ8/nxK
vqbaj6ue29FQPTHe5SueGPVR9dL6mCKE7gZ0uhyAKT0AdkgDa8bvJoDSqyq/Y+3Nm/QscSG8M8Xe
tid3IQ1rLwKndRt/1YRSBaYxNBfgJdvHyCrjtTuV6lfUa/pA8ENy590CKMPa3ih6tL/uqatmzuLK
HG+KeKe2IaEzReVJ3891VaXsqSEzboWApWX8SBu/jGdPccei47IhRJgo39lAGQHMKCCUqklFA7G0
E73BZjsta/u1YQu+ony14Rn5JkaAYhUhfxoFhZMWqODN0UzyDgZDMrCxJ6tWs2GDn22+oTElsz/M
M6jJhbch23c27wEDI7FmAfg1n5EsCSPj6OoPH8SLKSm4dKIzx9S7QFVYhZ3Tf5hy8Y3k5KH+8MHU
VmNlq+jDtZXPd3rc370cenplAJIOUXizACf2u9Hdi+GPr5X5TYF9mBqwIUTEM0bZEhDrxiDP4tc+
1MotxVPpkMl4LJ2NFH5dxiTs+nT2+CCnYSImFNYNKfLyYlCOdcl4kEjAJ4DJukEadsqBhmOyHbTC
fl2seon3pGSuE6Bk1ARZDGKXc9s4AK871uBOkK1HH/qPzKEpVnEB7OxFsdh90C4Kmhnrj92Y4C6M
zTJat3mIAnoqjE+1YTrb8Veqn59L7udCey92A8DFRGsymz2MqZjObvxVVYW+cxSULo57qyyuqUTo
mtACv7PDyfXnPfQ8dt9aw3f7STvSQTNd7WgXQ3yI8eIikTWkBhAQ3k3msSENP6oSo4wPmR4DQAxa
csG+C80UItRXTamphw89jKJG2Am7pTvUu7v2R+pwRPhfD9D/Kz+Mvp+yuN4aXqECBBi0852sOtDj
wQeKQf/dFUUfNKB0eAzfbWPDmT7Y9s5b2u3uCqMNL0x3nuUVPsV7ElkITTXQYZdnO1u1i4/F0aRY
PMitlzXWH6aaq7GbTs9WRc3yFT2Y7ms/hV7nK3pS0VNMRJYDKHtUl2Wy1dG+pCbAL1yeAPtX/qk2
9n7IRdff0OTpBrXFs0vdpPww6JG5sXCrvJAtFVj8bqt2E5CUp5I/KHqDtlANr665rknvFB8A3RjK
oifVAMwZaakiikutA8K3WUu+ZRvXezADml4ThJgHaAy24qOrXf8UhyZQ6msAqi1D0hJzC2nzEuAK
jennFte2ie61d/90+j8uCvoilhDc0GGDbCcRil1lpfvyTycFc/MfIPwBkarEjKavj+R0iQ8z0SXG
0m7n75WMl2ujrw6s3VbOzzV+XgZAHdf22DUo6x2SL42Lyv1R/cLwDwDZWWyuUfOkfQEnzUODHPHz
WPb5GZ1FWVB3TPviFAh+RpoKXKxsUp+0GDeudKdZC1E0ALRGtPdfzRoO+va2csPCcW/1rgUW3Y69
po2CCO6kIK+qx+w1qqY9q23+JNxkeimBbTOANOKzW7rlAzaZic+k1aRxrJttYDqS1ktBfkVTkpam
DPOqP5EWdWR3U8qMIl3JFeWPHklB3wu9EiXI4GdXlVTsW6BZbvIisT8DfvSB3ueLRZYLsa9i0ERH
3AIPFCIFYy8fdvWW1shTEhtH0ynuwge0Tp5BIiYV1UlWctPeZBR3iDnqsN41d2EJ/I7UnVHyZ3q0
IP+5YZnJD0Ltlf7hfbg8mabC2Yc8a469zauTWnsbILbinmpqMCK8y9B4jXsw0hFvlWdGrVcnK3FR
KAYrMl3kOuagEcnJ4t2e5G0bK5tId6eAx1F6titgNlHUbvJqQBJWAqyykvNqGVK8j4aZ1C5DMl58
aSrS1nJm0i7G/9aXLqSDyGxuvBJlH69aM9NAX6Ku41hNnujAhlzsogF9i4ssVhF96xuwkgymcrMz
NQ2ZOgbyUOnaxOCHkhNN7waTHfJdPoAsNtVR/hkIxwWrWZWxLa8A93mDwom67JvCMyAStmB8V8Z6
HpGIDm7VlQA+sNAIxxLntUu1aKfkVnn+YEJDEMIY22i6TUKuixmdpVijHQxg8BiJ46VI3yt5oIEd
dWMlvXmhg6rY5qUF78cYNgpIF9vY8UE+hvYeoMLMblGCP8NwoxAQ2HCbbZa5asMJ07WcAmUPypGV
mXkxPf1NREzbt4ZWXzLU/OEeoxuHDkXLUPDkLwLS32xJOt/A95LlNnUYIEBucxa20qAtvmnRzgDG
I6tBTLcuypkhKcpEu8u4WgUz1yDTtFOM2shZm7rqTUvUSaMBEiUQuP3Rn5R0hd/nWK4QDyAOCn6/
/nIFVzjYwyASXdSAawTowXasKk8Akh8oWqXnPdpT3r0AH0P3kSfVDiK125dJtc21Y2vg2JHaWsnE
wRCh5ZPW7QAD2SbWlpSgXOpeWmv6OBuoEJu9kYm093y9zgAUrMXRearrFCjPcQt44CYaHmjsYtvg
00PFwPd/1CYQ2VAQVQGO4Dl11p0phHXQTeZtJo6P0QL849ke9ebJNJ9ogCqT7lmxEJucuqjB+lDt
nu1M9Y6e0v29WCCmdAWRinEm+xa0eBvmoj2e7HUgZ8kJ8Xx3wWtfqX3AsDrekXsyeN4xzcXfuR0+
M2Y116TPii3TLQ8xAqQd3ULf95kmXmq0xJ9RV5gErO8hV/Uy6I1JP6FzIHwZTWdLaUrsYlCRNrJw
Q7nMd/emM5JzlTZJgETgm6G51XkYDXbFOtG/fdVj2K9EjyQw3RzoF4uuKlAD5lvN+l1LviYKGsmW
7jeyMEHP9MF/udX+NIe8Pt2Hyxxl3G2El5RnAqpEsqD3hWisDSpKEnVr1U7vq1NqbZqCoRGoRUC/
aqLn1gbvI+va9NjVRvRcdUZ6rJAK9Ek7VQqbTUjRIwfq5wDGn3lBUYz+JeRWc6LPmrqmsueKhd4K
+g28a+lzAmfvH9oMEbc731b69vLnV6iptbMMvFX6DnT2RcI+pWWcXxnrHgkZrmFJh0alSJ+h6GzD
HNZ1jYJF0up1hbampmzPhConkexoDsXRsyv29Y8kpjm0PtcDwq/TTZS9lmncB9EQl/7Ajd5b5WMU
Prjjo63YDHUeGGQpD+cztVUcf0zMcfNBUcWjvaVJCmm8eJBdEt7NRhKncNNAG9tp3WTC3eqN842S
RMthoVWyjczdoiPq24zfMCedCMqhq0Nn8V0QF5ZZaHaX1/uhw4opmqZiI3TwRsynAweEj10riMq0
g2SskGNTFG6Q62oTcCkr2sLL9neWmpd8dk0THFdbpTb3SyetCgbbTBT8NAObiUhNt0h3sYBM6KAA
SO+xq8K97cigh4TMVczqu6VhTzNEwEVLvTbZ46t6YGgxGgD4BlmZJtXZRmwa5cU1Us8oPz9ElnvI
8sbc5rwODyQCVujtrMkYdkHLmA3W1hoy7dC3HTA5kLoEHkWJWE8CCnR1C+qyn459dEVjP1cocAjo
zIyn2xmeVkpQZYr1TGf/ws51XCUouXuO3GydS8ScRD566YwO4IdETDJu9h/kTdTd22aFie4VwKLG
cSYf4gV/65IxfWpNz0FjHYoKG9lU7I7Kt0WOGoXY91DBZOcV/jow5z3x0G72d0O8kfcdY6m6BZvt
rGW6414T27ROVD0H/I+rNRrtcSmyQ3UgiP8AK7Cai/iGxE5Pk3tzIC86uEY2u9KI/AcrBYuI62qr
Cu1tCHq247bUYuNaARFs3VYIqJkWKmhJFiroT6mAaDCbkGLEBL5XesWBTLoC9biATzioSYQeQTnT
fHgdUc15FVI9tkI5a/awE4bjxQEeYOMhVfS/F2uzUrVt18tG9lag5Zc+TMZAbxiOKVwyQO2CQ3Ti
W7rePOv7B7lN62T//BAaSKz3Q8m/Dxqgr7cuFlEnq70acaLzA33j3EnXKHcAkg3j5bY24ugZN7yC
wNqwVkcN3MgR2ulXpEVT8U079OMaf9EPBaUgnxE0e0Ufv/IiytHalq1Z7UTeZC/K5H4H4G3+1+8G
ALV5DBsWBjzX9U/DqBorw8BPGMiy2EdHtoE6ovx+aMohGZOWjJchaT/4lrbp7YRXxEHfWsYZwIH1
Dr3Ub9qQmGeBt+o5ayp01dGYaaIKes3L13dCMiJnjr65tDH6Y4gO1xFPJ0+24/2acbGjuciDZAXI
XOdZF0XlZs/Ca3L8gIqSPZb92FxRRCo/pWltOxkGJZmSlHHQxXhWCCkjBdmRjEzSpG83cVx7IJYA
OTyrJR3zxCP9SOPlMCE6UfttlV9qVTe3s0lXJWxFp7Mjmc+WrjmlmxgbK/khHcU815WKYtt+vMwA
9XI42vZ4mbHoHe+mJaT6SajZuTT4kGNhbKf5a/zViJLhRz8xwLnit3btKgGKxYjVO9XM2ZNgtQV8
38L+EX/VxXiztOx4vNpJyYKBZajxQxPETHyfGdoR+MPFzqC/gNjsZ/Udx31aZClbWe14nHSt2JGR
Qf8kr9WOpldHByWxnEtRK0qgMAsP0/czVsCVZPH72aKdz5KhPLfA7kFpj32NsALaE4gOHVTJGAiK
HnVrZwYKIiRSz6KgszEJr1WFHDjZLhaRgcCODaYCv8vYUytDToguqS+NuOiSgiHVS+1FjS8Enkoa
DAgf9ZfZJFkccp6JZ95snQiEqoWWvEZDUu8jdPKv8UAC1ZaUq3b8WjlTjWBIlSCrqYOH+XZjKmp0
wS4esCgROgdAeA7AabkdJNlyuJOx3jfQSHsk5SL3pBcN8XsDNYNSIewlJ/5gR0NkKofjmF3BO7pS
EuTz/B7Aq/MZ6N9uZ4uWzpRCfRNTHIGsXpJSV/1xWW0sVTC0FgEL7GxB8gG4j6cCqU/q00VI+huy
qtpxbvNl5vjAnGFnFPjjA7Ucy4016ijdeW8MNtTsW6d72pFEdRtPD2XS7Yxw5I/YNwXd1CA7F+Ym
yowAKyk4wkylkatn8LmOnxy9WBGsZN8k/d5rI3NFYJSu7mi+a9vqOUT1ZRZpnfJ8K4pTefMQy9Tm
cqi9wj6iMzlG8IakH9KVJJtTmpTN/GDjrB0L2YtFykXxcwpFseFAcznSYUK56XFy6m3mjoDpkXIS
LRaLrEBt4Oy1yD7YsZRvk/eZPpil7uVXh+YA9IiVyEFLL+zi0aqy6BmV9cm20UW24nqMN5Ka2ejJ
V6c9cKS/91UOHvtORQuEZMOgmD3JhAfqqgHbxisp/qNMlb5zbH+xIZcMlftBOw7aitJwS9JuTuLd
Jf4igApvwr7/RDm8WY24JpJ6/zyfk32mgerBOQ/Ylq296cr2E2pdmCz11ofsTPEHl9g9U8ULmFP8
WXYzkbG0d7sPsv8+3xKLe/encJv31a6BhrUAkpZVaK95B7KKRUZnhYQ4nTFNycZyCzR+SHRTUt/h
kxJo6dBjF4+Y2L3NMiM298Y2T9kPu6vtQ11bDz3AnKM1DZ3MeVjCNfQxp2aaze7+Ye+ud/+IDzJE
GL6FiODITjF1zdFvs00niSrMjR/xUHQXJsT0KU013wI+0ytndX4yzQmBNWlFTg7r7C1p/+kkeIpK
bQr1C639LDQQdLutU35WW9cfZZosnpxwH7VGu6JkmpVpLnDrwRPeiXY2I3lvFTUAWZrsQMn/BnB4
+9RQ2V19Qaiz6RGl7ZK+iUihyLLrk5+mjpaJpeBgEp2zcnrO1otsmXAuOKDJhoMepwwJDNUK/Wjk
GRZ1LANyPBixUQ+dOHMIrmEVHr1dcqLoHUXl4hCFrujtxkJShuMqXXc3vQDR4Bzlo7heNSHKDwB4
dY7/Lc7/bT6k49Sd5eIns9AhGXrp99jEXKjIl8p9pQGJqBZ4Lgh27kVkKh27OLdmR7J6n2uZ/ve5
xlK8eQAlPmBT4zu2xZ/ogLYBc8u0sEVSEYsfUBhoLUDHAFTbqhmICrrce+xQr23b2pQFPRrOtqEK
63lsa2brDwWAzcjaAVw6OkPRxvjBerkeeahyfpKN5uA9DpifRm2lvcZ59Ao8Juc6SCifOjWiPQ2t
xnKu3uQcE+bwc2oK5wo8XXZNtCMNyCgSOjuNsfkSSz3JYR1uAYidBo1lCWCvuTY4xzl+NORBNt37
pZap5KUcrxVnMtNEiaKM5jjPoTLBTj0uk3uSTUYNiw3xkaBhFShYeQc4tGw8LhQlVT+ZW2dK0Wks
9+mIbaHYIIGdKld5qeLUh3owEwdFuiV6DgjG5CMAShKjRgzAUBrKdlDdQzbq+9kiIwUdPshoAhMJ
K19F5/U6cliGqhjgUtIhJtjLsWDOvlGz41yjuwROyrFZg2dexH4X6Wi61LR00/SV8QnduvmGJ266
qWUicNGOTP8LLTbDBtmoOJAxjvVCdkdndCBthWzZrF3Y8ohRDwnGaPb9oJinktp0wp2MlibBPCRs
qtL6PFVdiwRlirL1TrM+h63+Nazy4kLKVuh+0rb6C7CMvCege21JHOWufjZ6tAYOemx/HkqV79GO
DOx8OaPFuLJmHoCvaBg69e0C85SD8+ECyIPdXSB20Z6I+IiS+pEbipMVpcEcLqFhbqEObdT0IEu7
gwLkRNAGjfGKW3H8vbab1aRz6621FHPT66W9SzVZCqs0VzJA3Z/jGw0zLovnhNTLd/BwrlIvNN+y
Kbc2wmK4razS80HapW9MWfzXycoNOrBQcjwUAyKHiVdsOyrfIBsEXmJU7ZL5Ip0NyFU69Vla3pzG
J7P3Rmye+kyMa4YimJMhkYt6AiiqG9NCU7Lg61lIAEZ0qgxj1fmIKfFDV6HoRvrc2czuxgDIH5AB
cCAZSvNSxMM2Fd53AB6WAB/U9XODbJrtyUCUHNX5dh71KdfxXrqNflkyELVrvi0rOpYZ4EMDEjMe
b7qCxygI0SsEH4Al7Fuha8vqkq/LXuBPGwLUZ7919oQyzPctwwczR05UR/E80bLvWBy6updEHe4x
MQB1v7KL5plnOnLwhGub1075gO3vC+CiUC6sDn+nonI/aXiEIUCkhacpaZoj+j77Tdo5xjO+jd6P
FKH+UMSFcAulj1WDpYh8Qk0JT5zFzXFKS0RH+jEY8xK7W0mILPCI9LuxCS8N79AiozLLJ4Zj7iDB
4aXNGGScMD1H8AqkRXJBNmDY24inbXWHl1dX82psLKzum+H1m1HCJo5x/zh0XH9z+t+cNNEoW6s0
yyvi74DMGoFwfbutFFP5W0kQVUVUB9hSyKaHoGdi6AyxGdh2e5RhBES3lo+25heJYq/cNv2km3n+
SPntdq0i9v/ZGnnzyOLohfLoZaTah8ECRR5lt/PKQCXgkLcb0lZGAZLo0tQPpE0K9BXL+UgpVjTf
qBnzfJQ1T63MmedrEZcG2TGYLBp0GlxVpwcNRl2cdOAvRwGgluYhEd4QO44GUTjBgkYkl6ImUUEF
Lad4n4dEidUHTqJo+MW5zLJRLoe2sN512Gmy9fTCLZcHhHbV4s6NhOd9BSlSuAKLSjRbWALUfChN
9z2UZG1sniCFK8tgDFlpweRZifYEKMBzOFKFxSK0uKL4wNnC4pa86wZYJTricfI9xuxVOUyIsox5
fskrtJpRfLVFJ6P/J0VjK/2sYCF4OckDi0HceVLBkso86QYHAd9Qauu85Cp/NuZ8XG84+QYPBJQs
VJq2CrtR/SbSV+JKUrtIDcAEPz1oqGg55Ya9GBRdjIyB4rcdCBS2owA2GUCajgBzsJwV75HaK9Je
1pVIjB2pjhXdOcb4e9aGlSLxZ0zNHkA/OmZB5JijYMdArfdrOzT38iYG/XqWRq9/sLelXI+9EiVw
/CkrynoPwqgGvyxJk0hj1WWNn2ahtUtiLM+8Cp32gO0SZxHWxitHNL0RxWuoONkD0rcoFBWmARyD
NNy0ii42NDRtQJ3/N6daM4Mpmv5qx1T5yx6eEZAVPy2QffsI048vQLdp8B/ui+Nks/FsiQE0r6iT
fNVV9ylFGfBPq0U8rGf8azk5bsAiCYDR6OM+UxRtO42ifBJh6vj/nN8FkP08PxuK4uhiq3fmzLib
X6DY/QK0n5+UN6GMi8IE0iwWA0Nhn4HZ6i7tMp/epVhm2zsL0pEvfhzWnJiZjShHkxeVH2cDOy1L
I1oF5XX+uUDmFkRXv5ZMFIqh6ExhJPm+ntRLqjuNdVAEOCI71K+tR7NtwrVrpi1arrHk1gyOQmVd
JNt5vSxldhutUPyN/mc5alxrOCgDWqlva2iwt80epKbDuwdNonAweYFMBGCgcgI69O9et3X6r2t8
8Ji1k/xUKRuOndbqW0MdrXMdCTwqsaF5qV2EddS+jr+X1bALifmqKsTKMpn5l4UyCL+fIv1TmIcW
wuCx8hDGvbrrcZ/u/8VMZsVXKkuGXcsKFL8RMDgDMU4cR/WahrleRoYPAqL0jPeET5BVc1NuIhIt
AP7Db4aRk5yssM43alHHPlHvLpy8GcIhXjeIBxKREiyWA2qfzX5DdL6ksFut3ZP/QvFLCs1qAwGQ
7AeSq+D7Q/IT64qiMx840vEg80CCIdYjY2dqcRbQEH1J0bNhqg9G399bWHZ+syAzaUFzkL1mA5fu
g4U76Q8oNuBr2tYWpoZ/PdA8dstmOOZI5AKACOyc75vpDHjEh0pFZAB/llh73mtUivGyOI1IG6KQ
K1Z28w6aJski3qyWzThNEpfaqw2414OdlQaWi0N5skGVtR49LwRbVwHaBYuFP+sTC1PjZyRc7G5V
XX3x0jjaDIB2PpFPwUZnHY010i0iBb3I0Ic/jYPtNuEOfXsCkFjxRo2n5IsYBgDvqZ1ziHq1f+Q5
Q9FAMuV/SQtgsiZfTM3Q1+B5cQ4qODSBZgkLEaf5X9xI/hcLukqqVisGLt1z47Y/NSTLv5rq8LP3
8J7EY+3DiVRN0kbA+L/Y/FMFNoPuAhKuMoijrrLZ2k5i72gwzQjaAYRldY/SWUTl85c+9cqrIVxA
ZWFkeioOpflUOGPxQCLwd/GVBxqrLQ3JPZrsm7swhtk97GIH0IdwRVn4Cryt4K2azHjVGZH1HJZa
fsXuYoVNmfVsy0PHZNyh0IsjyRrGZI0mWCOK0raeUbaRXwFkOrvbERpz9Rg0pIPZqqcW0LDzgcuz
FAlyW+lQCyhHdtyBwFHPDAQIpaZi3lWvNXUPhpd8xUCO+GZq2JR3gA46GXWifGbqXyTmaFHBtwqr
zh1uVsU0jicAkl6x5giBrlG1qK2RaB6d0t4OSMgDk9XT232cOul+UVT4igWeY7+sx6FZlyLciRKb
RQOYEXtKUmSpiVYQ1E7sKU1B2r5g3p4SFbk+tcHoAn3KDlFOREnhqY8AyBKi6wwoOI2xQgtG+QA4
zEgST7hbNNyiUEoe6Iy0Okd+QEhtLYD11/ai3Belnl2myHihIj0ajbb6Qg2976NFJy1VWRn4B7/h
1yyV0RjBgIptP+ytcZ2K1Aho+Tav5Eg4xJVxt+Sjdd9sbQojoOFy8EZlXI+g08Afbe8SUzGQcY7H
r1YUrqrMS1/BFVehKQtyytWkMaDwuzqb5e5oGesQ0B5fpXyx13TzJ5Ze/SEum+E8FNHtIJAx2haS
U4Bki5ZJu9wR0+G2OSuyPHpAT3B5EgKgIZS1wEOJrQYj1w+UrHDKx2ka+esHq95JkBtODxl2s1cF
X1pr2AjQg7saDKxFVG+yWu5wkRG81iO+Ugrfdzr2SJRzGgzFuWamajwjOrWmQhi3stqTkmF/RGUy
egYasFaP0DoieZQTxwSyjog4yq8wFJl1GDkqtRiLTJqDxJ3RtacI2C4zNbOB0M9mKPGwzKMyPVIW
uxrretUBQntDKe9SOONjZbjo9PRQQAe6FuDNh6DEqOXbh7QpdrHkSqI/+UsLUjpom1pbTmah0hs0
1AA2zW3wgCAT+8kpzfqEP4X79ItQrUi242BIyTvSgq4bxjLlt2jJl4aRA9a1xfdPxqTFUy099cci
doagsD3lRWHjP87GQb/JwFf0Dy15KAkCwQNvhi0vUuMYDW62opsWyGNPYzWMz1YnjGPVjtmKbs5G
tZ4M7Dzu5HQzh7/s+4R3/tSVva2uK9tBfEQmZykbPerCBoBYAkIIKVsUfxr+MedtFJO9Qs0nyIp/
T4ZrcpiZFnI5LhrZkZOLLnTIy+wFnYYOisd+iegMNS1eUFl5ti6nHui3JKwSzna67ebzcHGJoxbw
6fb3RWKMLF6ukIMObL6CY6GWxqfZdVAIrcljMbaV/Jn1+V5RvBi1cRO4g/Ih2QhCGHZcfS8mtX5Q
ZTJSiXLvqLbpl0riE0chInkcIZkVQNOTDVmQIgchh4ZGodkJjaDtiov8YURe8KEcNeErmVd9ERXS
buiuiY6g/ate05HP8mbMx50bZua6Tpv6S4UlLXjJyydAqYDMIR8FqtYg76R7jJzP4g78Pfwpdot1
v1GCTNZNn3sVkQo6I1kvZaOU0dn/j50C4tOgUEFDDr4OIHYbEz/SE83aTt0o3oDGPB6BcDPOz7k0
y7Vg6PFEqSJjfBPrdrK+FKBAfFaKLts0PEFZH1CY3ibHeACckvqU5kP6GHP9B4nJyo1ddVuYJtju
YaV6zhaQYr5SKuYzFoLFUbPwEEB62XomWRlFqwGtbVeiSk6sJF45qdC2ZEEO5og25lI6kEw6dHaR
SKpw7OF50XZrpwLxdt134zYtS/4JVYOfxAR4x2YSP8cci5I/GJTAt1ES74qqnfyRGvfCipUXtbou
nX2kmxRer5wEdLeLAjVKxUWvroQb09vttU2ai0BAzViV4RA0IsSCdi70wrCSQ3pnp1UIGik6NdJ7
Bb3WywiYd0PUXbRIBQBGqMxxGlAHAkEX6b9FNAd4pFUFq4UMmRxtLTrbtYlt//s82AsPuzTDDmt5
JyL8kIE4ECEI04zv3pX0SlzekOEAUNX23oB0EQX5oZyAqIkCebxGyVFHnDZu8vBkJkCiNwyt33Qy
+wPMIfEUT+FGtBG7kKgFlsYxipofpCPR4rTIfncSwwTguLb/Qfb/V6eYElN0lZa7CB46w8VLGMoL
KtRE1t/HhoEWEkvC5yIU5UuRhn9rcmlUO02M/jWzORMhEA3t34ekXYwREuLnZdinaOLRMlavPGUP
Yng0dA6oqn3EiFELaPfHkeEUBQLgdv2EEgU9sPJIv7q6Nm7GNm5Oydh3h54X0c4DeccFQVdjpSB7
/2mqu84fy7r57tbRnmsaaJFLdCShIrP9qeTG9wmY+m+27qBqF2mgeUrwhDYn8PnepuynQlza3rpN
KTSgmVfDQyx4/6aUeuczeQZ4184HNVb/VnBck856KfujXWlMG656NtYCg8ijjZlV/BLWzD3bYEju
6wpk4jRs2sYnZeJNaKSThyrXnfO7vFdDfrERuAqaOpIJ69xFmWsuir1lt2BalVyltgH2tbD2lDNr
nfSTraLWVsrdSiv22ZSEK89MpzekDEHSNub4j3lD9aWbYmPDZDI6kmnp2PPGNwctGG1fVp+5TF5n
1eD6g0xck1kcp8o+lk2hugmUKr3zdglaTrYResBWZqyY67jHjg21qlMLmKTMuo1HYbZAajDN9S3s
bE/rrpj2kw54RsRhL+iYip4TKzS3Y2gCk0gO6SAtoneLTFoMlaoHBpITiO3LLERTqJ8TQNLtKLRP
Iouo76QC0GLhbk4EkPrdeE5x/GGIWNTec/Jwo8nmlOWAmvBq1NtLS5nwuncRpy+S7w1lvDWrclZJ
0wKLgVpayMaYEuZHiRPvTdm68s+pFsn7dLN7kng7e8iV1YLdmHi8CjzNzTYkayR0Vav8D2fftRy3
znT7RKhiDreTo3Kybli2vM1MMIEg+fRnoSkPJVt7/1+dGxbRiRxphgQa3Wux4WpswcITG1PHU8AC
7d4yjanDyfs0Ip0LS1oP+Sh9IktqfqqKuAOneAXCxqF9oiSwb/pvmUzCh1GwZmeB42nLO549/m3Q
FvatnmjagrY2UeESr00mmy1tbdrCRzmrUzZb0npZkkzDzuqMx3lI2tl49h1Sq9l6ZSCPgmFmBHYo
88ozdWvhcR+597awrkiGqnHrKkT707GNrP0s170O00IUBFmLLEz1DdmRB9mkDloWzGn7TWv6A8A0
w7UVsHwHLHn2pJXI9AduEJ5pKOx0W+ctQB188K7lg7kaWp09pZlpnL2yARGeGo4jkBJjkWqTNkOL
FzbfimJHWgoJDJzwTEMVcsii95AFMEoyEbZn5ISyRQdEu3vQlhmU0lAH5LqShTnkyYnSHCIsxzUH
T/iGhnoayaOhASq7q6LiITR7+94CQ8UlLVJX5Ud38OVpS98Vax1YaXsnxByhr5x2YYQD8kWyAw6A
2z4LIcB+8oWF9EBQ2nPxpwVKeNoFfYm+iAEAGWvVxyZooACilhvriawJ3RTIeYyt8PZdwjZE4zTJ
Jr0fNZpYVHUvAfmK9LhNb32jda/RnlmdXBpiJ2IaUr0HVXhE0p5Ec4XHxYlqR8jqIqIRmV4cDZR9
n6qyOBIeZueX2arW3GpNw/ngh9bOl1190lDS7y4Sz2sORp8/dqaBvQ9yc9CPtp7GjWZM1ikSjTvU
9vIFXbqvc+B5BAZa6NW+1R+yvEBNFJgy0CNINvQx804Mq1F33Y0jjW0nNPOWfuFq5IWhdUsZj8uI
dBZ0vbKkTMlFR8+C0jEn3cUvN30DG4qNfeO6zboJjATYwwH4FQenX9B0uMB6fZV4AOqywhovEZiB
zyN+BN1qeAVMI2ykKDnvu2Al8F/fk9dnszkamVE0Q3k1Tr3O8QGXqV/XC1MU2a7kqGLNPCBi1P6Y
rkRshd/wPbgmjriy77amK9LvFZ7IS8eX7OYPJw9vw1UWZNE3POiv3Njx96wE5jY1oFGTGp3lAPte
5E4eb/9Q0HCWRVYRLvrEACW1K5FxB25x9Diw6A2JxfrGA871XWp5IAtHSq63dbnlbavIKpDHq7X0
DSWN9U3mRJNVFLCfPhbS+ypkOyxQkLkoh+Gq8or3QwDem32Tslt+Ec1KUQ4A7GVYT5udxQlS/92t
GP2dGenpkYznmKMWm/sK4Wa5VqLZ9L2OzcwsD1xp+D0j63KfqQOwICRIIkPtQLIgTrIdqwNzSdo8
5eyW9WgW/8IBbWHWfaZXfzkYuAK5Sx3PLFM071cg2exA/oU9slvlwHSVuMVvquyxg1KKpAO3d5K/
daBnb/Ce/m5pobdCn2x6+sICa3G0fji+N/XAIXvwbBaGPvWGaaI294HX6O8tdUMTP8uh0U+F34hN
Yoco4NPx3c6HeDtVyBuuPw2zLnLQgqu+CCjNCDe6wX8SxECP/cBCj+RrYobZSrrlgHsGAgBY5cG8
VOjlYxrmX5lmFirhu6zT9rR5ZvU2UnZZtPAHWdoHlNqXpw5DwNHJY2z3KxFp/Q0dbNQY7WwXaepW
cVZ16kAKR/81hnWO5tvfpsKriyUwFNlmUDRWf7jTcI4B9yyS2PTK2z16a87ElEjMiXSGSSCyuXhS
Hooq+qCc+Rj9CH0rneufJlrF2Z9rSU6KWTSIHhX7IHfc2DYeRC1yEAepa9ELoCGWeQQo/hgwf9es
GhK85zPU3+OT7UqhoYE/rfhVbAWYJepsxcBki5TVJzlZVDpe0EpJI+bqWHb7/5ghstpz7s8V7qHF
FvoViVigZzuwe4op90cyzbNBOWZoV5RcHJBT3FEMN4//scrCUGT2rsjViy/OkjVl93QRoBuhi+4p
9ceB9ifDBCOVNVQ6GlFqT418ZYm/x682rBN0UKGChya8RhWuJWuc41TkQopWaZXC1oH9NE2JZfar
KFofSxvzRMu7jkfjjcHGE/HLpokx3CgdreZIV+MXQTyxF91/+QHOYWHqIHeo7Q6cpmUV3UdmgF+Y
h1oRCciYs5FgPiiqRn/iTHwnOg4jrsFoOJhvoOjDTE05MeO3Ewow+zM6Q5J1AW7Vp7HvJ6dMoohX
OdXc3r5PJ+Ig3I5qr4IOkoNRCgCzaPekcWbKZZ5in1in3Y4PNhd15EXDgUatxtHJOvjjlkpHeF+y
TYffBWAW8FqmLATAGr6WNU42LCmTQcZkp/jhJl+qTqF4ZPev8QAWFJ69tD1xVNasmeYyJDgzPVt2
lvZgaTrqMlSeocAX7sxtZCJovU/GQYkJ55w0GPrhQS+Ad/HfDmFp3XuBBjJ21UCKGt7gqmmB/F6x
AO9f6kC9KFosR/e+GTyj861Hx6pS9DLZOCYAiDr0Z5volYJsDkDx5ihfBUDt8hSg4SUCjBZov5IY
DyQOuNIVCk7wsySoH9DcWle9kZVX8bCmQUtyaxDWVZGBKF0qY9IEGTZ9FlqDqq8EJXDKc4xt64rO
6EDRc7DDL0Rg4ReOH4ujkNVCo+A1ttBxqhFm2qwiodQTrDM8sSJ5p/w+2EWdDtI9MrRjHYhrZuma
e8OSk2yKYA7lro7a0IoWeZm3CxSqWjdxOlY7O26zfWHag0LejVa4VvWtb72zy0L2D6hrduiOcl9b
Fyic5AQO2mqH3vMMUDNiuMZj590p15zzO+lNu0OOw5mcAhQ+3fjJsDYKNNODWcG/dhQEPB3Kvloi
6eKfAdv2LurUMpZ56i2jZLMCa4B2CeQPMJn+HSTzQ/88y9N4jPcAlEBdtLrWrJiDkEJD2+EqGW0k
NxRiSN3kT9gN9/aNAnLQDDkozsN3GeAq2mtS0EHJDaSa96by9KmRAlXtk8yl4eeYZEeii7+m/CdX
ksUGn/zny5BD+ftaJJ9jKHu6XyB97cLOM+4bB7TIeq0bxxp1Bo8DMLRKhXeTSd3apEU9TMMUm6pl
LjEPQVfMwcEeMwgbYaan8a9GJu6N3YnxugniakHyP8IaSbRtB+/LsJmus6d67Ix/DTsaDNB4Eug8
FDYPZAH0DpV3rpkwdygQCNY5FggbAieiYdI4H4eRGhKSkVZXwXrWBtJdNMX401ZIEgNaDa/rlJ/Q
2ApcCXUosZkqwaBxi51SAEl0ACVtML04klJHdfjaS1FcSNrYwzSId3gOkpaiFXZ6IuUlmi4Z5scE
S/FFtNJBczJpixxQPWbZv0eLyiHb6ehZW1giP5HF55A0aj6HROnc1zc4f1wV7fMN0selaLZdfP1x
SZupG/y3j+tlGqh9WyfcJjF2qlAs8swqoz+XSA4hu44hcP4sfCe4XJNWpCieaB2tOZhgMHp23PR2
YG58m2A76RHoTKiux/aqUaNcjWKQU8zQ61AOXjfFKB2wmQedj0ZiZZx5+e2oyfi2qZB4VPcxmga7
B/zDsheKAmTIgvRUEzsIksLICQO6LivCsVmQECWL7+pJSGPyGawQW9ExSFdnmznYLMvR4LrSOlkB
ofrRVJkLqWMHyKy1/qoFscup0pi2KrPK/P7bgEU+4PTsoL9Cze0wGYjeNZRB4OSodbfSTBVlOwvp
Ffb1mJTOSTf8ZMV1L/oR+fnKAdXCy2ADSAy1e+7OKs3oMREu2sBhQJ54f717Ogb6G5Omjn8IoJqR
Zw+ojA2ayr2d89uTDMizb+sDvrvR1ZgWxQ33ynoxRokE8OJQ3AgFvBjG2KGvR/+BRGQ22xpADZls
SXaxpVGvQoZx8F02YAVIAnFL87kBFKfoJJOqqd18NLERcK10NA+kUQzdbHnxu+hmS6UbG6SpsJWi
3VqWwF+Na+5x4B3Q22prBBRkULlHqpCOmSjOXWl1G1sEu0aVhMaFlwBbnmcH34rsx9BjkxyJumQ9
ADL80Hia9SjYP1GO3mK+B2JMehpA/QGA1mHp6alzMDlwzFeakk2nF01niyG5ytBNvrBqc41JinZn
WGm9tRMLy7aIg57AyJDSMsvq1PFKvyvwNT+VsfNck5LXIdpOy6jZki8AcLQ7oKgz+CGPAj5rD+BL
kymza5SNjRXKe3CVSxyKSqIsyWCbOfU2zAz9zgZ10t2LxeUIpCTNf4+Foq8llnfODSXEde6h08WI
QZWGHLl0gb+BOQ3KdS8pcxs1aY1Rx1NSXSiLVFnoVhhPSfVLDDQnRPcuz70/Yxi6P8UgJ6AZuFvs
2rxfpQDE7wE4egl6agx7YQD6dzu/GumFbITdRwW9G+lNi45fG33D9bvHVwqSTa9qik/WzAKRbMb5
A6BIuo0TWvZ+sPLglmX4R6IwrHhzi/6ILWzxTBa11v1l4bjDsUi89jmwY4kX1W8LPiBdGakSuUuM
/9uCrsLxc2ZWYIBVWmNnJ8vcVdWOxXMzRICn7YN/eq1AD2eZvKUDkCSRJevvQpSFbdH0Lg6txoJz
a1buCrwqxTNv8tmpdJ34zRQmGp46X05OSeqKQ5T14w7bYkfBy/Q21/MD/SqZ5ye3bsYP9Dsk3WWE
3ZwPlp/9aITKtgP97j9HQUo/vTXT7EBrQ9JdrvfZ73KFGlxCG8MDLpHNwnFXg4Vrk2jp+GqCEQm5
wPrlDzl3/pLzyhjI3vPd+iVr+wE4nF65IfnFHlTZyc7jT5VXp6t5V5j7TrZplGzuDiiwFJpk03pM
7TGXSka+U1MBjU1PpiuyoQPFmmV0EZLhCfweHwV/gZ32QEvtgiMbreBosIhNZ3rQhpuS6YCbu8jI
hIz/W0a+FaBLFl8Z++pCFMqVrr2TeXGiarNOYWraEUqC/Tat1x86D2Yh9Sm4emGAf6MsYOPlp9g1
n1qqNEkGw1llVeivp3Gb8qPwo/CKSkr6aPzamKpO6PCFgzHcjQYa6u2jlbPbOQ0/dm50xFz7G2Wx
Kd1tiTQmEeW96cDa9oOITMlxjNrJkawusebwn2OR/GJFPhTL+H3FaYRH2xGdjy9OZ9eofEGfG6XL
vcuQMuRJyz5qzWH8OCQttgOjzKjPls3kuTeaYC8S7dAaCeoQSDadeth23ye6fiAZHQqn7FFShAMA
ZyL1BmlLlNAvq8YdHhkSzV7Cnsu24j8K03v2Mpv/AGbodIJStunka1WhvP4P979tmihKXyVq1T5d
5m+7v2/lYtOMeMg1VeStbWHbp6p3LODvoaM6j7JoU0dBPbVho4EC7KGlZl9hM699MryHWFl95RR4
Bt7ZePU9/+3UJ6X5HJpWfJIF+qwEZT3VoY3d7AZzhFkyqlynE3NQI6dRvvM0DeyAflHqWz3GqsWR
OlKhF9dMLFlQ8WAK2eloitd6O9uRhUrx3FRBpG/TYMQmuvIChw7AXVu3WHng3Vt36GDdB26TPQ0M
9BzqQUdyzUz9WS5D/i53gQC0r9whfbK5vp3ls/1nOa/Q9tL1Sbp83ynCDw4cHexI32761uONf6d5
AQMHc/O+v+RVyR1ZzT8LZYUddnacf08XEcWafq4IP8difXjgGZqGvPs29p07wmfrw25cAyS8WUdq
gkIy+3bWAwlrXKMSu12TKs4b7RarF/D1VvX0UCsY+F8XnWFsSDYNp8cdZH0WhJuaowPVVtTcFvGJ
Obxlq7J2wDqvgFlmsBU6K/ijNtomQAV/o7S4yhW1Y2zVR2mwnBWzu3QfUMVunsm0D8zbxM7EqUPP
LKhW3A5l2pjh0aFGI3eJucktjZBQ4zv8VfiShjT1s4sQTF4ySMEbDS8HRLtnZIyv53khxXUASQx8
CMxAyawwfs1h2eB9DEsGPkN2JpHYMCInCtuN6TUp6dCq26WwQYMF9FAm5r5vmb0v21ou6S3vhdgI
piFNK2joeMBUpPnBPCQt0KDwc0lPnqLG6lLQUQf9+N1XrFehC8oswMuCm4rGrhLSGR3ioPgWpJh1
k2sANN52QS40niMEvI+A+lPf/SGfIn+4yJD5MZCXC7kpsJG3793w3rA67dXFghTcuPFbrnaH6j7x
rkBZCj5T1fSGEkT/u16dycAuubfkLrCHq74szwVw61ekcLYmmlR+dDWvVk4l4zPeh/lVNDJryVkV
vznGQ1fq43cTdMgrR9QFdpDKYBuWmFX6TQxmHfU7zzWrWcSpGd4UhWNdkYJmNKlSMHTuTIqSGeYi
MFDB3VcHV4/w3bcVd2ffyDuSydZG6dDQDXcVlnEbM2TyGjuZxrVea7eEj5UgZ08j2bIIe1XYqLAc
t712/V99JAFYbXDXvrEBsIZHLfDLextVi4Pf9MsxbfQNyl6dGzIJMXXbZh1YTateUQ0IDuJdHrMT
aWc7hh9skOvAxKfwHVoZFyIqgp30q2KXasYvK89s7YjidXFwhCYO6BcT5rrjwF5OPIkUc9OfHQfp
+h6IVuCLxdvX4kN8Bz7QfIWZ9PjQ136BJYyOnEYDwFUu6+zV88R3AFgXb9inPZeFI34Jq1ilae7G
i/AOqX6gN5tZsyx9M/iFPQcUhGbpjz7+6XJePVpCDOvI1Fys/wt+1LMWn92z8vsRbcOLMPfaN9MI
l2zM8l9pFD0Je7CefdYjg4v0KkhINWRmLDTdumEV3SaF1ym+Wf11sLq9dPTsl+aOBzH41atENjty
jIXuIi8TyW6814wC3HJWlR4qt0mvLS8KV7rfyVfU5AKdNc3+0bCEEFkyPHWyH9YFIPdPvi6sE36p
fO12Ln92RfJApmY77mPXi451h3I5lNbbZlt+67Ms3jV1bW1oVf1bHGh+9EFsFHfejaaXK7O1qhuh
0DjHvoy2HXC6UNCUxPckQ0bog0UqZbRthhFJeeVABy0YsKxv+DHy0KYxDtkT56n2IyyTP056qBKQ
25AqBFIgd1zz9f+w+ztW9DvEHCuNzLtIxOmClbF9ALfdirbyCRd/3qyf9+4vZrXhJHJCnyVtpgAT
6cy2LWvvh2tf2No1PfP8zL11P41IR8supWvKVJ8tpSb+248eq1Vqf+VHD2QV8/MVaER+F93lzuh6
/+JHd3a5z8CKAM/SiQdtROOhliR8w1E88MpsC7QpRfHCeajvSs0rJnmFBT3JpSnDVYmWrBvN7bJ1
qnXldupTUMOo5+WWtitnLfU4zMOpx+E/fQe9OtU8iA8pGkXPmcIUosM8LPQVEnbjicTJxUB4Ev9J
MrOcle/17xZDa4bgKUFVF6UnbIBAXndvlLSYNxDepXNOYsrrK1v+i87nzYK/IgAlCTmsCvVUY98m
68SLgzWlaLKmLO764DAnaMigyspgTbJPBpRvmSOQQaIiGPphTuD8YeAl+r9eIhTIphtj5C6Yp3dL
1HkmOwLdbbvBuAqQhvB0A70vTu2A60xpCYOXtFkqDzQiB7IYMvfoMyTzUOaxpC4fOkRFd87rMb2i
Ua51/c4OWAGuAz+6J9kATJjZwsjYu4Xvh/FS61Nwf28TB9RbfWEIlGjjEBdhd+ZNxUEJkNnAFvBQ
bkRCEA6+25iOwJ5J07igEoE1KYQbohIHGxirFDDXZ6voxVnIgK8MGQWA6inEGXPbEADK6hSv2HaD
9t924Y0VsIBJWCsNnXnYe97zyr2e5SVar97tPGGuRB7/GpBRum7LxjjamZFit7YQryDRncpREAv8
dxzdjLYdGMdWr9J13g3dq19nSyq184BDtERvh7jmo2MendZO0KAZylehpZNFWDL0QVpNe+23hnVE
9Uuy7itfvjpZMlmYWPUsuzBur9GsAcw4iS3z1rf7V8NEAaFKi4/4IuHb2WAPrcRqnFlevM4bFBDm
epUscfce/i6xd078XNu3g34l/UiOC1LUSktnHBWcC+4aYkvGjTDe3UirJXa/86zheZb/YWa02gur
gX7+h5yG6KXqtz3z0DN2uSApZmN0gWGCACKsP+6LLPIOKOSVlEBncJ1uC0DQGO3zRYkHmXgtDHC+
hb3rnTN1Ng/7vLwO3K7fS7d7tyAzsmhtNC2abu8uZhn505AOPgo/8aWQp1k+B0che7IC3la9Ilmm
9eO4oAtZsglPrG1A7IN7+urarsc0wK5l1Wa+Np3RhbTITPZgI7oj0Syfr10kzZMP+uSdDLBVNH0A
ug56sOXaj8H3ic1EFKUouGJs8QSH6TQygWlMYw1gSQdgEkA/qT4IPpySA88AuLskKR1iZLYP2FFQ
Icjgg8OHUyuO70p70HY5Y+a4MNFwhCrc+qABK/1Mh7rSLKy01ZjJ8sXzfbkrAZ4+aUkeoZ77PNh+
tMFmuzPZzgHImEx6zGUBmz55Gjq33+OmAK1ZIi+urWcvOiNXXwPdVO5r9xRjlgN14Ba5g3RfpKjC
oIPJDdS1d9Y0IlGQh+aHYV+ixhctsRrmzJ8UYYHhJGPdG6+RuJ/jzrZyNOsza5ekA+WhftLbb14T
oD0sjseN6eM7kxs9Stew+w4EEbeK43WYMn1JRsx1EmsFHFksX1DjsZqMJocxjjHzLatug52B+ors
OYUCeNlPKyn5bjInDdkEvXtqE8EPJJrC0Gnip0uetsAXuYSa4kW+fs6x8LyIp5A+H8vjWFZbsqrq
OlzascXWU8hu7LJ92mSPHk97gCYHRblNWFi9f1LyoYMF4PB1iu/rx087DAVf9QbwF8gm9uzUQrGn
TJZp5TrrKaZZqCyC38jpDshyurgj2Z0NTP89yVB+poHjLt77cV+e9BgNTxYeMSca9n25E5Vd7klE
SpLTkA4BijTaBWnQkQiOrQLcsHOA2VCzujGbNJ6WO9tGsLseTRxJLvjGx3zqQIcRBD6ogrPZYpYF
Nd7cdu+ybPHhdMjCaNuH5gvwb/y7DvWLt07/GjmRXiwblYIxJYAQOJol8SPhN1pvAJBbmZadq22s
qELNoxoi4+3fCQPkkzI1riMlqgKs06PWBuQPuXOsQPNKaufJQQpw7KBqG7kAlEH5Qd+tgjFBw3Cp
Jz9DNNOX9U9k/cD1Ccipm6Eaxz3W39k2Lrh46DDhXJBJY+MhjOaVPFpVonSf3awCbIINjEIAkTYv
dho1q6rkbC/xbnipeLLKY0c8ul2SXDGmoLKUPBdZs86aWu5oOIYlsOTK4h5ALOENtod+klgHdtMm
y91sOw3T4UkD5KHu36dCpLe2bacAcTacU9OORxIBPTm9bfMcbT54quQB4FCWZNZ1t9EYJDdkRYe2
bnapyeWZRn2cpEAo4s/cLdJjrXtw7Bt0AzvMCPcUgkw6btZLT63JJ5tMgJI44L5ck5piseBnhM6f
ddiiwrmlUKELupe0B4jl5BaambF39T5dTOOEj97RctpbCkCfwhZoNnXCcj19Cr0CjB9o39R9ThIs
tVayseXVNCyC+qb33eg03wj2HeMFmvKc/XQVFHEHC8YcdwpDn6oyApRIGcAMokvTwR/RRN3ojb6i
IQXEWznc+nkultPlNEBZ7VgFQqoPf5waBHWaJ1/IA6t+F11JJjK1JRI8rcj2k2tf2P41D7+xgRc9
AJhKlTQariflWFoHtCaDuRlZhb1r9MmS8bz/njTtg5Hl6UPSxvHB1TRUnSn5KPd12o6vdZy0G1Fb
bOflJXamvepEelSM6svcq+pzbNooP7V5vhBJr993vf4k26E4SzVySn/cGEEHgMXK1+9rp69vPJ4B
AjDV70nU6YADDfMwPpKs78Jyl8cce7rkYBvhfa9vAiF0bBUDRXGZDV2yp+CAzksPmmnrCxqSg4/v
AnP0/pZE3YikSdZ39ZaCNxp2hBKz+KcYxv7IXSed7pnF6MwWfXg93UJryrVA5fyaInpuKq80q7yi
iHTwk+Q7T139RKPe7sJt4Bod+rDxqUYki2+jqFxN98xzIbEdH/QH0qZjae7cWBEQokGkWkrAJ2rj
PQViLrhJ/QrkuHRhFK6gDD1CP94UKSuHVcdC/4YCVT7Ycf2xApaA+kOPSKCemrJ5pUhGDahuHhjy
UHBruB7adN2kLtpl5FgZG0Og5rCiMTJAP+sM6aM8LsXdkEnjymQc/wCM6IBGRICnt5q2yrjfTrK2
l8/+oKPyHEw/d4Auds6xXZ5mpwHwjWvgwyVrkpGnZNptrjpKQ9fJkAIc5cZtuYHCG63elzKLns20
WKNzZnh1ythY63VT77k9fJCT/Sz3knzNFHgE2VcqTq3iKDnFiQeBFhy722tu2h9Ky9XXLUhMHrCp
LwHQwca3UR8x15DWLw+I120QON9AodUvI9erblGZ1qJlr9UOEcoUzxwIjn+6Wy72W+LQJnfwwby7
hyWvJ3c9y7RDHpjRma6O9B7ahtP4dUgFagSBFbkTyVBj+pnpoD5RwqoDJ18ljHALih3/ujZcaKR5
nbouuyIREkAffZNQoiWHhF/66s212+bh9XSNAhVPGzt4iqPS3ZUMGTTBTQcJEb4azSH+kXOgw0jD
BEDjYFrXSQlkXLfUox/I594CPyx+7JPoo2eWlSsyGIsGQOdt5AKmsfnT0y2r+DG9XDOtqhsNe4mr
mbSDzmbCjiACQnQHPEe0Ivwm9yD+jn+1I4Xdusn6vRw9RpH4wtC85I4OZhJ+cwbXQA8ZRDnokm/C
9CcNypqnd32v0LeTCuA0F58stMaVJvNwM8tUnLECxQh5/X/FiYzWXJeehTyPr+eLAQW9+9gJm9tQ
HZgNhnlNyWhIilk2ELYhjQEmjpddrde3dKBYJEuoUZXGfmrq+w8+FBedsXV08JkXrvLe00+VGMeb
CIVyqEv2x+9hy8PFKIGIYEu7OppFaK+0rBu/pzYH1k0WvARlkW59niPlVEv25DrRjgywqI7+DEkK
VtQfQzqmg7I2FbIEpYQZWf5LVol/DwnOd/2U9YV/7O3gMDhVveToQXxhKcJagyHfZIc9I1AdRovS
WaKfDqu/vgchNnYZf2htDXwezUuf0wArBTyPBRAP8OhJ0Q1yZYiK7yLPNA85s5pjDxrwLfqw4+tS
FnyNqpbq/qsLdmmx437l0gVzywVgMUBPjnVkNj+SQRQLrerSZxDMG0vMasRdjd/0WvON8sowbL4b
os48AEyhOXbqglYHfMxBjwAMCDaHe7PL66Wpu+lLCK7aBZg4xZU9DD2aLECpWW+BH25uGwtwtQmr
5MJpDOcnXuFjLOs3NJkogpPQuKmwub4n09pm3hemmVe8m9pl9G5KUTMVtQtyiqql7GPUP0yFwOvt
tyndQKGiDpauf7gBrbblDeu7hY1d6xUaXtlhyNjwkNj2OVGP/DSLx1Xl2e9yDxxmmZL/Ya/kZO+q
OJ/t5zhcxxRHhiyqWyA+hO4OBYkxZiEW31D6lok+3ugCT0LK15J2HqJi5KPx/+o7R6YLUdqYLtR7
/j/OiG9YtGAysnfMqjy8/7A3AxwSbyutyj0VoHeaZLN2Pvtf7SgKC/EI/u94pB3UdaW6A7qX+Wrz
2Vd2gEBegDlMACAXj5FixDQ0NAAKGqsDbV3HNjc3EokRQEWq7e28qxj2g+SbrXX1LbBI2Enk7nHq
LHPCnJ0K1zuSMsCqa9GGQ7gRnVXcGJbzQqUUBW/rXZlgfkBVESNzymUY+/2RqiGk1q5GoKM8YNHL
/1enYhArLXaNhzGNvGOed3xB3UZ0mHuMwhRFFl2IRo2pyYgaj0idSKMFgiko9tCDNAIxKgZgCBfG
gpmu89YBfJGw71if/EBvXf/koMN7HaK069zog3cIXNvZSFam99UAcsIYVaOfnTrOPzplg+sdvM9O
gGcJtuC96VZ2LBjwWJiPZjrLb9iWym2E3gE6gYpu6q5YaQBVOZKCSnBITkM65A1wbJQFyTvhfrND
r910hIaiGK+a2myOExqKGo6FaI4TGkqY35hmUK6iyswfPLtARUjXGVvHSIoHDi7BvdR4sSQtQIP8
mwHFY3oiiwcSoSj3phyq4YpGHM3kKz3jxpaGgPECm1abIt1O0X670+izO11usAy8sOUHZFzkrMut
q3Cr5qo5Pvp8klHhGynITgi7XpKMquRIVmVxsxxkYp3wvFe/4qJKnX2BzlLso1r/qBPWNdNJrCTh
iNf5b9W/2FzcYxj/LzYSmALbdABlOgohrMJBJju6cmIZ3dloOr8Tjgm67d58RnFcevDbMlrR0PCK
elWOoQZcWmg/O/UcLRMZ+9pJlta4Jy16oq9MOzWB0WWhmNSS2D1Vz+a66O9stBzeo19QPyYXeZN2
d4N0tHsnZ/oRLKvmwkziTWjk1X2WJd2Nk7qrUMiyXCLnUy7rQNN2pGWd3Z7C0HudtNrg/Gxqjx07
e6jugVnLwEiDhSvZ0kGYwOjFtj+AiREc3FHOKuU3AQA9b/0ENU7MArNSESl+UHUwHUBEeChe/yBL
0ES9sJIk+CBzTB+Tck8v9xTKxT9zkaOMYZO7tbkwgjx9C8xiZ4msegEcXboZkh7saaIEgpDlY9ap
LAynOTB02T5HNoCjrRBgzHGvMTTYoSiCLFCDf0JXRvyMnUtzk2WD2LuWJ++YyQoQ6ZnJWxUO1x3S
tE9dk8bb2qvj/ajb8X3RoUKZYmD6fwfKZfexSQFL4QgDCfF61O5b7NyQgetZj6iprXZA9RyXVpmw
Oz00BHDkguyAxoEAWJLmcBqq5pmUdPAttAeE2P7c92XH7oJKG8/OmNyQ/f9j7UuWJFe1Zb9IZuoQ
MI2+bzIj24msWoQk1KH+65+LqF1Ru+459u7gTmQCFqCMiBSwli93Y2GNFKRyvdsgPWAacoq4iSbd
9WMDMENWWWCyrEEhZVqLsKDn3PWXj/6EBvmC1j5bmRla7HWvoOSaGXtziaDJtXCgK7VKEjLuaAxG
yNeidYYNNH7YDNR87rUqvA6+9VFvwKfHrknnBffNiFj1XeV+f1jakfXLktcBhCD+tiSKMJBKx6uw
sOSI/Mgcadpdo/kJnmt+Mne2YmrLfPpuSs3UaO7uF69Zi0j7+7u9Yzn42Xt1vEioTRePQYA3z1c0
hiiWyFl7JLrYgluwupoFMMm7zlSZkqmPctUd/TDbhpOVP3jDtklrSGYTAhyOZ79WXEQnEjHgQqai
KqxkB1oZe54iJea1RmLzKsgBTzStLgMVQBkRf2NaUzDozwJuVyAFQt+UeZcyHsaLH0DF29WTMvxo
1/OQw83msgCh2umSinxZs646mxJycaKDhkbHaKv8boCcuX5JGyKXJUnhwmy76FuTRuCen7rj4JOC
5h0qXb874M8tNhS6XnNjYRqC3M6RQBCJzX2QvE8WYM4PVn4MDlCXy+6S2WqcGXEDhHpeOxHlt6TS
ehvgKLBC/pP/4dJfBpafNYvKA8jX9PSBiYfOLgQVTE8ce29FD4UH4IVKTFDeexoD03Mk4lfPUqvF
0DcvQKyrW8aVfKbhExjZwa5qD/b3jCbuwbRFGc2WlmXrlSlKwK92BURjZqYooOgw9QRxq7qZmt+9
WZdlN1s7/6N372FbbjqkPqiMrCwZ5trLnR0HcdoqD0rx0lbFzxwn+u+pMywDX9DP0YdLeays4AT2
BXsXhjX4NyZThE0fplHa/jJlkFI7VcB7bhP/PIRucB25vqMgTAmuyrXZNkeDxP/Rv0qTpdkHG8up
7VH6d78p4VumSBbvCvszTPp40beec4olhJDjrmxWfVQo5CtZ381fYwm5MqZOAlI+Ywqc+n81pfDr
PNs+6IMtxO1lYdcbzw0/WwD6TgnA+/bMNACPle09BkrMycxc+tZBa+HwcYG8qJeWQ7ZQD2n1VgpQ
f5KC0JUuBUhDwe8/o8gZBHPbUL2pDlH5TpQ37CPta5qPJ9OJUavftZDymJtOrQshBs3ALW86+UGS
g0qmEadqGkOnNwE03ytleXTpmHw3RsCXVlszBARscCpX/APJHXIWKD5cvCTXZx3Hzayxbf7RZ4Oe
R5GDfX1p1c9woV9MPYKCatnkINkNcUB/54W6D4Ts9W7dEDDDm3FBarLQ8C++4t+92nUh4v+VL8OP
zk1f24iLhfDZsCskkn5S4Rz9ZoTy7u+Lf5U4QF+GNg0sUH+2Z4C/osPDaGAR3u6pTjZ3kzYWyGIK
q+xZ4CUJB2N8TUG/8ly2oGDucFmboiCjODiBFjPPh1durn0C3UvqnE0rVZ61oGAhWZmiTuv8SFLv
Ff5jiEs4+XAWOMCf9E0VJEDisesszZ9KlbUfyq6+tfg9gaeBeSCwxUcLVJ2aST/OLmWuvfMI9MD9
owIJWT+RrPWHhrjQvijauR/gfbOWtawXbpsjBxYsk9BE9a1sTaWTLgN4QX9VTi3WGLTdArmCYsVj
DqG+qRIcX90RgQS09JP8dzIkoPeosQmemaaqZrgVDFzCvtd+MXU89RuwJJJv98yEsk9Xoohwqp4o
M01dqORnmrnI7Z44NcsGpzXwe27v9lPV6Hv/vdM9HUKy+q9OeQCPrVmEY+Yt5eSdHHM4s2NRp7MG
h361JB7+ZD62wClMTsrEuCY5Ms1JMVYnU/f/6aeNv9MY/e5nSvfONXjUxRE+EgjnGH3jSfLY3BHa
vfslYrWtbUFKKUSS3KbrpJqBDwfBnqm58JBDpIzSEnIh2AbBBDVLG4+D2T/aErAV31gXgWIGb8yN
KQKKmG0Bs87nLumSW+Lp+Bpg8TMlY4EMvNtAEJ/3pu7KQu7J6MN5e29EIscuzkBZFvZFestY5T0N
8pvpbWoaf/iBHLr+AAEAuUjTrNyFY/5O6tp66rrK3ksHzO2tXYWTW39v4Yf+EiMJb6upbpZDFISf
VUBADRpabwEvy40TVS6IGmEfnXgh/U+QnjC8OS25kSKt3+tGzk23YYzspcOEswXVJnmJ3RgfHLrl
VtMteN1WexbH1XPlWS+mvpI2SPFxAgcBUBNdAU0Hg5eZxwuA6eVVBqrqmIMUAbtuyLw2h9Jyml3n
bYCwHt+YTodj3SOqZYrULumqkti8m2LYDc4MsUrrYIpp9L0Hr9griOPqsyWz76YW4tHJBl6fcpmB
F+lNS1fPO5BL701rT9xV6oCclGuNaB8jF1Pt9AXWMayMC9MJFJnZQo6ZB24DPJUF4ONAlX0F4R/h
2Fj6PfWukHT3Zsyui++e+Al+8eYrCXx/XkZ5dHZ8eK5UUMlViVPeazSWWMNZ8d0K8ietFHutpLAA
7y2SfW6F9ETdhM77MM2+Ep3dB4U7CBJDmcOvXTL4yziNF4Zxs59YrhuwSMwQ6h1Xd2JOUxkbjs6U
CT1rkY8DsNiAY73p1JYAG9kteMwdYusnZZVIJaxl/rWxyx9VD0KVzNOQifd0uETIW31m8HMYg0Dj
Q5F91GPrJoMzAqfs3mAz+5TljL64rEk3dJCAGkV2/JaMw1arPv/qlN1Eh22RU2R7zdHjNZ2bhkD3
CxDI2c+NrPfggBxWHcvVtqlbdQNc8c3Mq6KoxlkKUj4+eMP2NoLrS9OQAvPQxF9bApE9bYPUuujz
7uq7UJAx7dqz3iFjbz2zEWoqXVI7i0oAXYCY111iGLp9W9sHUM4oDBtJYXhrthEB3O5empSH/11l
dIirf6zwprR2qW7gQ2EU7wyHyj11XHml4KLAuSIdv5JYX+DlJi9WCY9dyXu25mMevMhcXWTsDV+h
HtzPGjD4XAPbjfd5kxTgx6sgr9rdgCO335sQiBUaDUu4iBS4pXT2znFmBWwselIIzl7xDwnywlC9
j2D2WFeppEs+WVVcglM7qArwl9TOCxRY5jmwTe+kKYHFBr3q3AxWdp43d0gk9qY1aPXMC5D5VneW
2GSjExw9H/o5ZoYa8eElhD3UxhS7uLyUENe4PweJ1bMZwjxHEgJMYiZIRgs529Nz9HUGmQ88h+kd
CTbuuJqYfKbHBaPhMgo9awuetm5vLsHvO1NU2N4VUCn6p/lhA45IeLr9tJ+bukxBCHdEgPU+zKPO
3D0ajN2jjubQYp6BGvIzjuNsPlDkXykIzTMf6Q1QOOI3vMAqKK2l8rUCz+AcvH3ZW1DUELDXY/0O
vyKEd8rW+cijVs7ccBKBcNwvJRRGvjac3zoRdt8m/3ehnljuQYAm7tq10nrEji4aT3HgImNohEBw
2cWzv+qNRWkhT5vW8IS0eOO4f9ionr+J0JVbY2f63i+xn+/TqN2YEj5R9EqmGe0Sir59irjzY+7H
lFni7FRT0J2xvXdr3bTdKq+8mbo/xosBsZkjItEsH5Pfn68E0z8LGnIw1ubvMybacyCB5mJZfkz+
6OsjTjxrdO+vTI/HU3lBWZwaOlNdHM3B0zmueO/Rs7mwcbS3kc++UMT9KNSo0AAlB7lQ8O6ANCMM
0iWV+b6kfbC/2whHtHvRFUdk57P7KKZbCI6dZUvg4BQtGu7GwRC8xzwIt48pq6FsjxHei3EI+BSy
XeQq6M9V0qojz0FZwCoXqb7mthMOUhhT1a+RPxmdhEyjU2ia3dgKF26Tgnxy6mNaCCkVPgGqhy1o
ys61yp0tBCKG99B/61wX8puBby9BtCl/FlgFi8Huv2UJeasckXyJswhrraDk3eqxlcj9bny1Cf7r
oMfc3SYX8qIB4udJ1+DDGmQ4XmIyWMt2xPoTylyuuzBSx0Y0/cyDl9lbsqatZpI2/UtWWyuwNdgf
qWzIKgGiFhgqFDWSAdMOkT1gTdwd7f16IWThfEQy+pknVnApuDVOWfogoo495wMbaDoHs667//ew
TiPIiul8WGtChn1XAw89SDCP0iR+t1iCjOQqhYCc7ZaTZs0AugMEyKATDsJFmkSvGVbHmR12/Q+e
AmWIOP3U2wPLwR+967bvQZjaelt8lCsgD8CoPAUj/EmwzFz+Xd8b0bLhH1shaUeAnkJ6cdU59/6m
lxlEFhUQrklGFy5c68Ukb99Ny4jPSv9cJFibpvXH1AdT1W+rZrL6d5UxjSPxh9VjrKljWvtq67V1
vmxChg29S8mXRjx7Q6W+DTXwNnXXtycBkhkIQv5HA8Zoe8pHI50iQQzy5wiNjMGgGXwRkYq/8xx+
KYW4Ket7SGYN9RmyqnTH+lCu/HFgrzki0cUEYQur4FVq7Ado1Y2r3oF3CQxvxaUOOzU3FgGwaNNY
UQ3BBVqDbxr7I0AZ4ScxweqiafVSei5ZmIC2CVaTAjSaps4U0xKYeaN/MlAIo0STYgp4TOQ6YCnS
iqZikbq/GkzQwWJo7QcsiX81GGNIVMl1GMZbJEN+GZDS8hGWms9pWo3AlwvnBS8ikG+jXmdusKoL
q12bIo6IiCyl7BVweX8HKIxemPqOsJ9RV3uXXFbeuXcD0OFO3SEugkxMbf8aNhydFSuaAlBsvPE1
H+iR+Dk9jqNogUIHWNUUHw2R5PRY6KQ8QNTmjw6mHr4wCN6avg5zo6VXjkiXsqVYZ37Srqw8ZKfH
nYX4KpxeBQMeEHd/tQpdtSCDHH+1dtOdnOoyiPosVa0GvKEtchtC68RqVZ0rqwpuDIjH2RDF4W4k
A7klMXjE+3gs13qypVUyrqUFHJJpHZ0231se9j+mb6jxSxcuPZhxTYfopWfdcPsPE4Fh1JlFYNq8
T1Q7ewlFyWYLAXoCzn2/QTSp5PNHTpaiw8qhyj0DXxk93y2aAFuinucEvsesvoYidQAdjQvxLm1Z
PnFVtnM7yb13Tax3F2eenwH/6GKXiRn0unYpV/RLD0GbWQzN6BcHCZULWbL0LOI2BV0pL3cAbU6p
nrpbEZ/7Vx0ATxBnQX7pG/FDxKHamQt1VHa/01BDHOaPljhPWQI/8z+WeG9lO/gzhmWFjHoWxfXa
Vx2bY8cCeg3oxu8LlrXYaUX8yWNgTSVNZ4HyreZPpk4TZDNBXOlgSraN13VGIriVTH+P2D8BeI7g
1fyG3U+XxvQrmN/yBR+S4ggOU/9YhblYGINQzbIhB7ltnwbpyY+REmoYdEM58TBzSVaGIGDIkNWc
lCD3erSOMfMhWA+G/RSgjmUZpBCIAaB4Q+3ih0hs8jzSjDyLPNro3IXfYCplYOle1FkLj9pI/eca
nHeHUOsfprEKfR+oYPJhQbLqIobVI8u7FLZ/If7qTovs9tybSiBH1SfkvNbWM6dFuWNpA4B+JQD9
+PvWlDOveIkgt4l/16jzIbHgBbvWVe2vW28q5wwZ7AB64paOTflrJGJujYFpMsPd2x9lU2lsajPo
NJ2v4nZVDRFgT11KZqyn9akuo9BftCp9Rdg02d6L9xb/SB1hHx2eNidTYy52o5td3qWHpqyRSgtV
NHtFU5yfHyaPHnkVIWkBiqsL02oacrsHHaA7sO9KAGr56wH8oJuD3DbfdA1QcMtIF/ghjX6Ko4Tv
TelZuOQQcP5VCbojaz5wT2x5lEJpGUlBtza0rBnSmNqPpMveW9+pfqDbnHNods2QlDpv7Xb8UZH4
LQK8/2PQSYgXBa1volfBIgOO8wy3bbkmQ0ImIt9257Yx1BXTOD9ZjuMsba+2nzTYzuf4vPyj7bW3
SqriyGRy7qK+Axk4UmSW1A/kMsO75KkLSv2ExKiXqFU1WJRQip3UOuq43BsDa3RxaFaQMIiE7S7+
6ESyz7Hx+o2XxjszTKV950SRX4pMhiEF2aZuV1rRcmFaTc9aJD+jaEzuYyPWAPK+pl4aAzO5EhDO
wApjwWOTg5dNEXjOdMG7+xRpUaeXyNFzgnTsWZpnyb3ehQLbWjuJM/9jqNTWIAunHOm4+LNqi/AL
znyz+8CuY/E1GdsKGb74C+E+rHFGGfjSfIV95/sKqsv4Ns0FrgzlzR9l8+X3dZ39WWmaTUvjC7Bc
jZwsQQRYvYgx2bmiaz6BZkyWTDBkNjp18jq9yqoibD69QnTL0O17hD9dZ9tYFtxzqojHLaSFxaGZ
Ll2CtZp50EZ+NLQtln4ney1cHIQC0Gb1HG/DXgFGPl3MnamDOAOiaWFAyQxgQcDk/5uh6XK3fvRu
+ha80f+LLinrauRaOeu/h6mRO75DEuJ/HamwCzCfP+Ywd39Zg9kTiyqHi5zU/hxc9/FRTpfKHmrk
7yoVH81FhpBdTu04WxkbU1cYm0e5soHMsMZma1ofYz1GsVSZ7gmSieDYetQ+RjB1Zv5aunRDIQ8Z
FSXXi79MEoWg7sQ3AKcVHvavoUDCUK7HepCzOLDwS5XNs11UVGwE/5Z0ITl2HQFpOlRb1Sypudj4
NJbnkDtvvFTOsfVGxFiq2kUav4hfmWqBqRnt4ggiDvkqS+stgYbD2TT6hTiGoCm9uIOSr12J01SU
e0/AecvXvnpNQEYJZWcICjnJ1nQH/EQ92xrbOxtx67g8J0kQXWqo4Ew5GmRedBZddg48ApBsBeqR
Qsp1sqgmi1qn1UpAU3Bu6rJK5WwGL9ylQcLGngN2FrsAZdhU85UOoUhJRkchdh13S1tCE0GMuXpV
cVksAhX6G9MausiklFUGHwq2H88Uv2bHl+4lt2r34kJvY9OPLcIGpm7wnItmHPqAQBrmU6mKcz+c
QZj8M+RC44U9dZ0aBt5YCyeDgnEDBEgIeWYPNMFd9gEOGfeiaAY+KoUwVserJZKgi1XX0xyebBLs
cAwEfChp85sri/aJILfHNFrIULr5MYJiRWwfTVUQwvnns65Ym2IPoD8EEodkbooV9gcQ27PvY5sR
m84+2hGbd8SZOzaB2EJD+A0JLtBc65J0Uwaa35pItquix8dmWgEiqwDRpeClnlp7NkIuHQztSGPJ
gh3vRLKVUFTdax2mmxhe2qNVesVaZbI4BdNet/bG/uz0gbtEAJRdxsSyFpqM+ZMEknQBh7T7TAAM
niPZQL3AzZfNPd74r2GBYJ+EyNu7zqsSyE5ItDPi/IB6IPnSuuGLz4fhW83ECV68+kdMsErEPVRR
rVAsXbdur0OT4qfv8n3duGE0H2x7j7T05Jgq0l6z6dK6ckXzQAMeCntz4UhrJEPm4VD5u6qcI/lX
3ruA0Lq5ZNiF6nzFkJixFi24mrwaLvGB5nvZsLhAenFS7C0bF/g12YITe1jEHF5gN5CQ5HFo9BRg
Z98zP/2wScmXTpcWG1MEO+Hc7UD4Wvh9uK+9dpibemA9wCMU1Po4Zr2+NUgeG6wy/RhyS4E2HfFU
lyj1AS7Nfcbgb/MjhTMO2PFnxqwe7B+gIU22WLicI4FG5tHcsak4Omk4RwhWg44ERVP3MDF3xKp/
lK3rrP9Tf7cewXUcxOeqH/WptyCJmObM+whEtvVlG/1ArOTF77vgVdO+W7LMzQ8KG7xDUZfpUrTd
+NaW7GpMey894DfB3+HOtBesigk0g3i1b6sqXmVxNL7AL/jNCod8ybEDO1RVs0wapIYAWoHXvRjg
fsg9gUUcaU2kqu1nl0HkwYztRh8FAHTfahFD8pf68bWNBsS23LzYyKwgVx7kfMZw7t5ZjZMBW1zl
4Fhpc4mki14eAgC8WgCzdpUI/2m425jmu+G9ye7reRGBNc5UPi7G8O8+pjkoS7opqb8tHOLPrQz7
48KMFUkrOthBV+DUbSruswvHvRI/IWszZKUT0GAS6u8DYB53NCIWYNS5C9rVjoJWnoVbBLn0wUFA
dxUkCFIPCg6mtrb1yxgCj5JYjH5Cgh1IeMv6iX90UNdhC9nnZHXtQ4d8g3CCmIFhxHrDr7adS5XQ
J6cW47Iqy+oUuwCL+oBK7BDDJHtWhsU6lA09p6HtLwIdDjfiFmzmh234EYv+JUEq5g8LB922wcGO
JSk/KHAwpGVOviMj5ktkWfTdCbSa1wlwBVHgI+8E4Hl8uwjlKwA5sNqG6b5NY7LO3D49s1QmS4gX
kmdwDSTzIBzxdUftZ0oj67sL9bA4sUdsirFhTuDO+aFI8+o27S2ASuw+7zM4CwdlqUMB4k2EpECW
Ol1K3SF1LKbBqQ17b2vbdXQyrebOmPTh2ELqs0EIhTMHUkWOXkvwjyCXFAFshMpiP5xXQO/PmyIo
1znWkBehumhWdpF9bMsifJHV+OESAcKbqTSW4olSl5yNKXcgd++Q8GJKEdKe6rQAmWyOd2A4jnN8
RfrZ9OvYLQDZxA1CFNUcCcRkrUZWX6BlqVeZx4d5C8gbB3Y/Cs+kXoY24QjsWVLNM6sW63srpAmT
XZKUX4DTaC4dQGuFrOZjmOOcGcdrD1/qRyeTZiU5xNMGZOB9JMk5BazjHemE0BYOBBI/JyvsZs9Z
iC8POMkA/gQkphtzSZEJJPAdnZWi4aXJ9E9j7+k8XQRRkO/NbDhNg4/tf85GmjP3Lefdj1i51SzQ
j9nSabbu92xmVDObF2S/ZtOYzYxqZrPiuNiHksE39c/fRvwQUlBNA5GtobH35lJbSE71ZP8zCjwb
2QpVD/kMC2J3B4FE1RJcPKg2lm63ljKMfxV+D5CBLmtNKG8hyJrYhxqcBYcAmlbIe/ldjnMJmVWZ
YEv+u+FuY8zBIbMfe4YMiZB/aXHCjtKUfyROpFcAdWZbHgKM7fYQUw1a/sWroLOmm7w/A60NQtwp
XuhgFYOTpq5WgwrAKVklT8CM6au5RF4e7J2+eX5UubZv72Pq3DJq/7LyHK/ZR2P2aqzu9TViI17j
vj2qkMoTI7EQq9E0vCQOh8O7G+ZO0ztXSCdaM8VH7DYEd675dGla+i1gOtgZi2jI3Wus6CZKUnY0
VcZqDGZNmlRXU+Opuj3VaYOUAgwKylh/Yfl+t7TIlNLDsSbCO3QCoASByuni2dgIRXl6MgYeBDCv
nk5WGamLk5M2PTTmuL3seN6cjL0xA7XxcpTdcIqh83mGI24BmnkIDvE2uQop2yWNdHqR+CksKemz
s9fYgGxDLeQEPZdkjS1Le0xU7eNh4D6mjOpNOQpETlQHDpAcKqfcl2SLg3W+48PY7VSJE5tly2Kv
vJxuLAiIT1y/ULcBPvpQDgew06ltGzYl8uYj94LM22Hut8H4KZBL4moEzwkWUNoAhdeLhs5jlkUX
OOvIpsKquknAEHXpWRbMKXyWH6T1946diZ9cgrWckPYzz61xzhHxv7Sl1hswd4KLICoGCHQmciGQ
a/AB+pOTmcnOm3WSeeoLywELYJVKr0lViE1E835bMbyrC1GVCxeK7u9SuVczU973yzpl4RfLQVqp
0yn/6oWRveZ8Egx00+7kQj91UaoakZgwezGdqi4Ejz13vyrQDswGGZRIFx/ztTcQ7LoRHDkiqY4u
8pZ6zxyuNSsAbKshkQ3x4CpcRR6rd44K+lPKrXLRW0n+UaTW3uWp/uFRF0IOPVShfI3sllRHJ2Ce
6C704HlH9lx26wc7B+mBW/0I4BQCdul7nCFDb8Dn+NRV+HaVsJot9u3tMqMO4EaN6kY4dsAOYIN3
dSbdME7x1g3zXWo5+c7c/VEZTC2m8u+Wh3kPgrM/epsGU1eWrJ1VCbBUynXFiRR1BHVJq3ltPABJ
+xCLmVcMzasKtdoAuk4WpujImi+HGsBOU3T9QS5Kn+RbUwzTKWXSZ/EEm2wRfKTY3k4Xc1f4Q7E3
l54n5X6UrUJE+T/YPLpo1yHLDoyYM9OP6jEr7rf/qd9j7L+nYvoHRJKi5TCAiYApBdc5jrBXZlfr
fvKV313icBpC1UI+G4Mktd9aH2hdU4o67Ch6EKlvTVF0SHaP4f5ZmZ4uK50NONGDufGchzgyHJyq
lDPTavdNc/XwuYHeOGvnDbdmmNx+ujdW/affOfbRlLTECoyU7RaxEDzWEEH3uFBhsjKzeoUFLy0D
WpgNY3DyQhxMmCiPFfaAx8wpwbGXAGMLcrsCbv2pss81BDHTbu714H2pW3Q1PUDD/avbo9gGoJah
wKODJvOfQY3do2j1idpUbvj6xxSPAcyMKUi83JTFuwXDofyAPO0GKbL+6M8cKCdtkLNML35WUeiM
TW9dJ4deJ1bke13IkmKmXRfrWSqe4LYsjwKL5QDihSdTNSAkvBY5kuYm9q97HfFCaw7vKBKcpl6m
Qcb2GxIM/b3p6mFjA/pRgN0Qv0Hg9sRDh73ozseaK8pPTjp7CYhMDu010LiWXjo39aIB+nZADG1D
fMv9cPyFqS4UgJigzI7vvRm7qSEJ36sCmCQALNOVF/TFJ7CvC3ssxFsad962cKNyaeq7rtxFdpO+
AFUU7nIOHICp70X/1Plp/cxEDFGtPCQIbeHhRkt9a8YAAnm0wiHc++fh3BSUAVHjJBdPIf9xCLEN
NY/nuwVBkqG0T0Ns2ZdOIiBdWUWzarrIW/Z2qS+IPCB8EPfWxvYcFHuruvCo6Dbj4OmZMRknO3Nn
RcEaiwEUjyfbe//IwlYt1MXiYSvGUZ7t8bsZ7G412QcpPL2F51grBcVEPgNZpbfrxvHlbjLNbMZt
XPutZn27M/XmwmKh1gEomObctZNFHgTFLs7hLs5LNRx1O/g7MBFYq2TEicIKGZz0flR9azs2Q7av
+Fnm/bv0E/WWlV6wGAGmPeUOsLKJhuND9FXxpGPbAs2PdL6OQi5Mp6SMXqyCkjddYDURqerA2jqG
25Z29hp5l/51cNt0TrAR+mIB1geBvX5R4FvZmC0DwaqABPC+3Zh9QDDl++rGcmdpSyCFMBXNJUqh
MW/sTNEYGzuoUrT3oUzDX+NFU8qxqXuM9+j713jGLpvmfTzLo68Z6jHHYzzsyBHHScVqqHEWsyD7
csQH+Ouu+w91/zd2f42SBVUEgdnOWeZN5R/4iPOhSA6mAOe6fzCXmnaynZlKIR1nlSMCgKVn5MWi
HqlapIIHq0o4eHU7dXoAWVfxTrOweE+yJD0wRdTc1KUO8g28ARwhppUqvRzigd7q0vJPLQfnlDEb
IPuLrZvtr00xCD2QNL2EeUngRX+r7RGc3QgRlTPJmbcP8bv5dasDUAlvh5ap+WgVYKtsQqiOiWXp
U//V9q33UFrjjyIuFiQp068AfwPEapfZ1Q6DDKTzmcQPEBuyxgVcrIk9+5N70cZ0cvCLqJ1evbPM
Gxd1MCBNXHBIDmTah0RSji3gYItrzi1cGqgfR4AfL02duWAL663KGtwIEG0W13udqoattPHiMEXT
gIwQ66BpjVfWP2YqYuEFy9Xv8Y0hIqxgLBHx8VHfaB7PKto4W1NnLhAnRQqmiIPVNGjseONBkp7e
EpBcOnkVYPuPEtxB34KwLkBZgRKymDScXE27bXVIwccDQJyscJAxrQph+w3tgQk2rSA+lQdrQOzf
tIagoLqMLN0huty2cwKQTBBXN9PmEvuki6wFgUOebEIq1AIk0f0sjwB6NINxAmwBPhBoXEwPYguX
ryDpIpemNQcjxq4PsmhuWjVO7uAfzN9Mo0C4+6lABohpM5fpbwQFya+/EYT03xiORJuxhJsBGKBq
b5Ha2WYWVTt8tnjNSQI5raRi+2ba0yt4co8ECKl1DufOKYIw0aqlwjv7gxqX+FXHV0jH0UXoquEJ
+pFq4SCV5UY0gttegfN4C7znvI+QxhB6gBK4vJVAEdFk5gwV+ywS+9MbsGnO4+YKcUHnqQGeeVZL
vH51NP7ExwAXGkCTMxu+CHyDXjzbdBxusVnS/eSBC4RUgr1WLCIH8oDxDq5o57sv1NVDDPtrEZWf
vu/yz14OyUy1WfLRjKAx7IesfmvRce4R6r0QVePgR8r0BgxAumhSd3wa8TEutIPzQprwDaKJ7jyo
I/8chPgNwK1bnwhIeNeu2yXHEBDqDfhh+b7z/GRrgUBlNyC1Ype1IUgWGL5ZRL+dTQX4xQHJD946
l5l3DFT3pedIIwaBDTyk8m1oO3JKXA5hNFF3b53Vh+ugr/8fY+exJDnOJOEnohm1uKbWqnRdaFU9
3dRa8+n3I7Jnsv9ZYXuhJYAAQGZlgUCEh3uzFMUCWnfSnvJ4L4rsojegq5MnP8uSm9HUMKKZ3Zte
pfXObWxjXiDs8dYnaNTmkTlsRGun9F9a3qtnWXXdl776IYbSiH8cQ7/rZ6KPbSn434yhWok+CKEY
s5GUooMChNv0ZB/14nQ8Gsg5HcWnx0W5Er9s/qjN2n48FtPF6xt15yBWKKwf9W5R1sNsJNq3ye32
U9g+BnzYxZFuLrs+N+HTYvZHw6PY5KG/0OI2WzxGEXbCRNR1hirP4iQlM9OI8dj3lTmPW6l7zo3s
uc0M6QtCCp3UaEs6p5quHlrLiRaiAUzqoitC/R0SIYs89kLd+HHavDTuwK8i9b4jG4qhxLPTc4QG
1NHK2Vdpti1zmiFwPQIssmpJf1NcWIeMWI82SlCUr36i7MX4eiXlc1JgupNuZuGJVDJSSaZxh1bf
ZiWe6Vy2rHUW5vI6AFv8ltXZRhhUMQdiN8ENHbKIn+BdxHUs7iipjyH3AjN+Ve+TzrWPGv/e6WCG
4Rxvrb+rUi+ZmVofAWs0BmuF3IExt3gVXVWnMK5pJ5WLMa/CVdckwQZ2NG1luemI2L1frpNGAhJs
qsEtzqOTRMr+Ed9HcFPbvjlrXbO4t01VHkyl2wyMxyzP2jya5xVvQYu9zEr0CEU3slOGtOj3ogpY
eXmNNFSPJ3ucKrBo47SZPezJVSGIPvjRUtSJS9qxCJekTu04o3T4n1qcdygWyjkMIAQL1xx23R95
r/3V8iZ7H/IinUu1qzyx9QyWCEtV547/yzVnbGXfTViDvtbbjYfX4uQ3FojryApvHPrN+agRAQpb
QOGuV0pfBNWPZRHp3uyf+azu6te1/FIMPhH/3n5T+7R/lX24TOMx4wCkyP1r1CBJFURytxCt2uAH
KIfGfM9Ta50n3sJFsHkuF70B/HwFR0zzpUsO4gFFqe4ksrxuQTPGs0IZ02/N036YpZ0+DXhWtjCQ
+6u+H/xP3UZHfDIw2csvutQaDnZdGed4xOEtGiJEA7gr8yXCK8a639VrC3XcNzWKtsKgkbsCHyta
sK6nykfCY+Q+TEOqYb5k49O/J4GmrUaVg2Pm40wn1+lFGHSlDRR6kC2y10pljxcGpeYpGeHvx0l9
8t8ej5OSWIbwkUkkw2ijraZkUEHY7qsELcpTFnFwCaL2r6xC66KYSsAg+kl6HlJRwyVvXA8dcrX4
+YhWV+YXYlhFuBL9kyEbz1HhbcRAwsKKe40fDewbQ1+ejVBrtg1SBW8aN1sPvX7zcre9NvzORTXg
smGT18DY71aVT3ZqqYO8mTqF5YvvVfKrTZDzBO95ORPVkpNVkFeU4RoOZPdNHgxvZiROdg5JZHkh
v30uzApVikmGBcoiimU09IsBT+/jhrqyC2+jvYjMsDqDF7JPzris2fOx6lDzH9V5WvGjKafGEBa6
fyxTUQ9xvX2amGUmqn1ek6BdRZVbL0WX2nbO6FkrOzGmaGKqxyzCCMSRuANRLWrEJ3swxdiPanGL
f0/5MHxU2/UfY//3aphiWKpD3sq2pysLQof2Aa0anJdOWC18rau/IFkjbVI2f7BtdGZZq9qXpOJA
Jdm9vFLkOnkFVf8kLOosmflQeyWB3LxIEa8lV2Kvl8pqfy3RJZvF0zgR7xOfpJvPvnGUhV339oEV
EBbmMEerc5rSZEphijvBmcHO83tKoGjyyh29+5SJGZk/Ast5s+zY3/NeeJVViD1mhl9qe3HR/vnU
ZTqorJIjdlHI2n6MO+e34cPmXgkXvbKrOKRrNmiuUuFtpcqc3h3J+AVI0Pk0XdDzQ8VeJfVq82yZ
JKtUqWGjv4KyTWoZ2SU3Ku80tFkCGRE9XDn/QWCbrIWgLQ5aV0pz0YEXDMsor0jFy5GLTdnx+ZM9
YsMguPHkeXmRb0s1tZdiHH6ys8J09XfDlGEiiTtv7UV4gK0Pm+3sp5F2HASgMNpwnoFgdlK708v7
VKOJhyQzQnkbmQShtKTZiiFV1slFPdThXo2Jnyl18SRuTTy8LDUqyXo4aqeHF7dm8COY5zrZiuLh
5YJ9pZjcctVq1hnN74dPvZ99BwOsGGx6/tht01s5xMWhkxPp/r388/wuzF87BdjCQtinsswqWbV/
PL+YI89/P39Q1e66Qvv8/vzVt+hWKgA08uxnJscWEC23hOOUMyGBEVGjyEO0yrXKXIiiaAC6uAwL
E7aEqU8kWemmdCCDKqaiqDMy6dltepSGpirJDFXkAAZQIKKoGOYNGoZ2VrRlsBN1DjieI7C0iyiJ
WdB/UPAKj+pa1JVhpVxkEz6Hf2bp9S5dNgYkWVJh9xfbgkHDSYlDo/ybzgOI+2ZdyX8S7IQcRSw0
Zjo/gmiMg8nQh1TF4NPT1iPAMxUtu41Prm1fhCyIEAgRUiFlDC9pLlnVXUiEJCb4grSI7XGkeRch
H/LoIRoePUQDiLr/o8djDhKiq5noQSIwayVOjJMYSswhZNwek4PrC1djoHyoUuTfwghUFmp45kYU
xSXpulXXJoxBxPY2wF12ipRwK9pEVWEhdFx1gzd/dApkVCXyFEiLqHOghZBKpzq4DWGdJG3cHVHe
Xe8nw8lu3VydQQo/nJoMZCKounDhwDCphtPKFbY98Zbkok/u9KEcOBmDdIA7g6IlleEOCj6isUnc
vKJN0q3bOi2WoojDoFymkdWsWzWzX4jxB47/I5At9YcSqpe+qtXXsXSb1ei54c4tM/OSEtybCQs9
CpAz0f0vV+qHhZz0SBeUxJU6l1CGLyfqV6zHd9MazRo8qGlxgcOv26ESikxdFuRviFmfxGCgS34p
XeE9t2zM1poJ1JNszuyp09gVCAstNNEYicN3k4TSpd4m/t4vFPkcc56dCwtnOOheOn7nWukvHMUL
ThHhloOLGMuiKP3kM0y0RRYCoLZLO17A9QrbbmmqryG8IYvKtguwNSps/RWEYYBYgxOqp8ky69r4
ReKLnKV2pv/wVYDn+BU8UgDzfZcE0qejQ6kdjLrJbz8tV5LapYeU3THrOHCkoYiaa+yYwxxJyOyD
v/jt3j+By7Txxp9yDG9dmPBdixvRaoLVZpL361KPsp24jEOGs4SoY7rTy/p3pVlqHuGbf8oP83/V
iX73IYRNbasoDUhysvKKwD7IsZfOBF5bFNWpSPZOdh76jvxTXpRQWQ3Zt9//tFKCTFFlonJsS8m1
M9Vm67ELmpgdzGfV6n90EvkkEGkfTF8Gad9mw7KRyLNomhiRWjN3iQqGbAK9X8LyX2OFlRSvYz01
ntNe/p/GyhNl3Le+1d3HUqRm/CKpeYQLT4Z2sM80Jf9phCO0+F7rHxXF+SCh3j73Y2G/BMHPsC3b
tyFQyqNhE+wvbL19w9MQrFUzTlai1QXsh4BNRVhzai0Df2mRvP8s53l5bdPhIqrbInS3EeydC9Gp
ayQNdjkDpIwYknlVtbXPSa/ZL8rwlzCyPKk8WtO8ovivefscZ7GY9z4i6SGPedVEvohqEi+drTLk
v+cdpnl137c39yH/ntdVsuCZ/NxZ4aPAVevBuxSE4x7ufhTHMsd/L81qAP/VtlvRCnJxq6NK8SR7
4ADDXn4T1STdaus0DuylbRYBJ6eym0G1oh/NqDBe6/hZVKMEZ+9dWEMJyE1WrawtqnxIt6JYyeW+
s3R4uC3FvxpVAZEHVlBru2spA5cirGzwe7NRYf0oPD1+i4mDTVaJ6cO0kgXRXNyP2U748j6Df3hq
JWPt0DfpcNPaoL7qVfIkns33m2TDm7S9D83BnJ0+qIQjicQjqkr322yGoT30WeTdi0HHWVAB8rkg
aQRV2lT1N2Otuc+AyV8t3Xa+477wgUV4yVOr6fGWbGZ71SVV8JZVnEm00v228N7M9C7MrymhnZ0N
rGbZQ7/1UUqQ30wWYewl80we2nNt1MCdIYJdAGEbv0L7KiYpQ9aXMeNYX5jheIQTwFsQEDM/JJIE
YIJewkzaneWhHG9Wpatbs1GghIitJiGKATBxzK1sWzfaeEN8Lbw0VrjIYa1P5ro6BPCsWfpi9Itu
To6guRZ2pZsfFfBaR1FiQYr2BpCf2b1bWmcAxipLWos5w7Z2r8GIiu80Y2EV8bok8RWyG25IDCBX
8bvm4O5yFDWfKxEwmFoakaLN+3FedbG2Cyq/eTOK9KAMTnSbgPVPw4jzaUjqt0BWjb3h4JkQnaAV
jlYZPBxrUQyMuueMWCZHUVSGYQaSrnxJWq29tGPzUk4z9a7BKkl2T1V60LcTwoELadC+glhaw8Kn
/3IQMpyOa1+w9XrzWqnMG0HxHlI/oCxGOZr7opIA9P9ndxPajUCF3vef7n1gE2mdugf/dNcV29zH
OjLPNfzSt0Eiy0ArdqXbai9qkdnbOsQ7LIqWWRpb37a6ezGP+XMWA15J0QrcadxqGk4eUcwSAw5u
T1PuRQcq4q1qesjJI3+HwldUbs0AfJ4oykpAwDyqQVOo0HTrYx9PuAfr3irZerCNrJ4MuKmVM4SE
cF8l3Vt5JTsbJQz8hWgN1dzcZL0ekNrARL5hapuhLqJ7awzndATbvALJdTZxpzOMgeBifhVVFri4
q9w6oDRImRalhykRyEUGE9/pUQ/e+aPnMXaP3gpBxpnWObhPp/FFQ2vr2iJCjgBI9t8TZ2karGEH
KudiOGOaOfCBbkA2wts144U9d6yoPlZltXnMmODyWXkjX14VaGfLsMt53pjZSvZKWLK7Qb+OpaXs
giaxzZmFmuQpC3bxUIKpC7uh33rx+HUvliExSz0lneNezsqMg2lUtuu+5svM5RYBHaGKahhSdyRs
aa2iMstmf1SKlszM+2OhuCAgujKbJVNRNPSCwFGUH833yj/GIJRrrhrg41DGM49hjr+734tTnTBJ
AuVvk6ku0ojMOr4ebiUDuq4C6pVtTXbYS1vohzxLgq9eJ7UTOGd8cLw2vNlW+lPUs167s6RXNCjy
reRcuCxURFuDL0SVgxlozRGCEFxPVmDYc9FDK8pzYTTqc6BV6a7ppz+klKELCtvtrOtMcu7w5LRH
q53FfqAfxYVllIBp1Kot0SSSIAJX046VlurDQnyU3BGnnB9Yq8ZoYMX9ewQ8RPrxXhVabbsKeb/P
SFokOO5LdDHszFqJGcQwlsoKOPOqMJpcczspk+1VopI8rWtuiJ0XkVTAmpbim7z2EW+6vPeQAPVY
aEvCfHAIwcPFOU8FIQRdlBdLyRubD+RenMx85+tLZ6XWpKcYf98sHRtrGdT4HgUFCcgcQmKG2Z6C
xE3eJO1OkDIMtn10Gphz7uwm03qIly9dtRA9vPVpZLJvIL4lWmUWRRVeC8KGoX0ePeNTkJ2Qp9Nu
Kk/G3zmRnSBKwcLiRPZOn4pEWzYV4o9PGSjbK5pJR1GdAiWBixoIjq+Ew1MYSpe+6M2tprb6S15I
W1VWrU+pjZVF7yXBHoUY96lUw5s81ZPL5sA9XFeHwkV9zyqsb1GfOeg3OcBvjw3CeReLLFUI9jJQ
vqPBMUfRsrOmBcEZxZdNXZryrXf0bgsqsF/6aB19dr25CpG2eLV81lMllLJ7fdaMG9uyjRfHbUE0
sVbf67VG2RmJnb5AqYieCRykKCfm3ackOwfD8NuZndsJS3uUXsTFmkAKWaZUm0cdGGVzNwb2U661
6UUyiW9pZtctGrPqDnUadgdL7ZAAtc1M2/iqdxR1hqjLG0C8f1h2UgU7X1v1K2H0GEIUkdDCWuIQ
v6ll7fJo1Q1YR+9dhKHnu1cjJos/g1i/lIyVojrKcyiX/WZ0O2tOkh18tkHoHQM7+Ska22bobhr+
IVESFxmsrCxJMP1N5lEcwunpGv1eNOphJy/AY1esrLTiIrDXsQFVo2gtNQORbCKvUp2yo4W1pEik
J3FBffNQ+2N41iRXetJyHJqpOoRr0ZhJfrCHJqnCBz1IT9l0iXGJ5X74JGoq13Zg5OftKNp84Lcb
fv4mnmdMW0NXL63s4ItgOmFBosVn0cjSQVS5PUw60KZpd4uQDIwjmbafolFcjDJaxaMiX8TtDZnH
tzUEEUobjIjuioUEge+w3aJIEnf8ZPg7URA3gEJQDSFX5e17Ly9BB7jOiRyLbdF21kthxcrWjiR8
prXmfIZ+NgcUnL8nIBQ3ShPw0zVj9/Mqj6b92TaltZLzHiqjMKrewyCei17jCOQTwONEQd87LyDA
t6IXR26Y6GQz2TuNMzyNRv98nyWFVE4aVPcQ5GyEgxZKONHQmbU9k33FROEsLc9q2cEPMt2XoZAq
RC/r0vdRc/StluylqYFEkPeGTP2nGNmcfWPBf6HC3LVtHWAvpdZDcpnhelULdVjAUIWEq6jMK5K1
fU/Zi1KU285JfJLj1DkZY3XrDcg1RH2dGLdCJldSg6DjkOF4/+PyqIOhHUUnQ6mW/Pbag8LxmoQj
vbTq2b/6ZOUu4BH3j2plGvkP2/uoAWFEW45m5iBbxzaSEpw2pnsxTIROrSCsyV1RCVLZYB3w7oYI
8LX5d6uXJ4Xo4K8qNIiwwyUyq7qfKggcXPmGte9Cy/1ureaX6ZrGuxva7gzGKPdZJm8DGEbSXtlG
usva94sTMBdnPaAZuHdSN93ZDuExG3/KIXEILsq6YZ/rpiKzn4SsJ3NKbXUjz3mNxun3ZuDCHZX+
2c+M9GdW1Mv7zZD/N5Qd4qKJXq4tSa3/suP+XY7gVWolpCstiQMgHNPxZ6WyWlREoz8sbyKyI7/o
3ZY5jAIii95RslNmZeiwM+8GshdtQo/4ov157cmkI0uwuDe537+QzQ3CsIydZzjQoOUBbvJsksU9
V0jGeDKjOl7UZF8/ad5YLxQ0XG9Fgufeg5HvqhHbXnTo3lwzFz5Lre2NC0GjbukVrB68ccwlJ3Ng
Bh3/n22YJmelgxWMXYJycqBXXAW5FZ9MBce1VCfxpk5uFTGHk1875kl8Epc8NsmyGItgxTdM/MOC
J2BWhHW5M/hPfRiH/3QjY/277jp98xgEVghdCqadTOoeQ5gwjkWlm+PMkseMiIFOZIiGe51oFhfJ
Go742cxtIsmjzH4PG1KfObNqkTz/o1KNyN3RoaEW3VjKIclP2mLfjBZYixbJGYHPVK1M3+odTtZy
ImBwlc6ZFB3fRSOAGfuWFbj3J/qFZroY5MYbQZWRBUZpNBCZH0jxPgj7CGJgPHbWCCaBwQS6VEwl
upK9pYNP5Ogr+tb4GR5TJV7p3PSgA+hHz35s9qAWSLrXRuckZWx4kgoRYXs4sDUrvgHG5Iu0t6tj
NwzVUUUQnv2vm39jYDVl8yNNrX5OcpZ76iPT2dtEyJbWmEWfUpQv7kOZsjPrzX64qPwf7Dy0r1ZS
2vrvau/v1N5sfqgOHjmp1vJb5xKG4OzrrVWtnknZANXU6Gj7agqliIuItvyrThRFw8NOj+WB5Kox
WPZ2ky5dVBUXudQ6LyP8Ta7W5N++BNDGhi35rCdBecj8ulk4nZN/K+O7liLvG8noyvhhVu0A1Nc3
1YH5QxiYFYSS5ixodH9RWVa6FlKjjldLZ4WdjQsWnmQZRIbdvvEXHnGStaj7x8LDh/l0r2pHf6E4
wZ8WZjLcx4AG3j8Xsrp0y0LbexUXWAGSBT9DwGh/1Pna3s9xesLcB65sDCmLi2s0bMPvHyfzauw3
aaXpm3vDvY8YV2+R74qgjPF8rz8E02VQO/hHRfn+UVejn4Vf2at7UasRj0ydMGpmwl6UexTLVzVS
oHiqaL5bwvn593CiVpQ7NVgE7N1Y8JmsE5OFXdxv1KaRZyV/klltj83PXGe7nTs/AcYQIw+78CWQ
Q5AkOgEutmjSPiE8v6pbR34udMSRIC80fwYL0ceE6mmWmfgzIw04Hnkm4cGzi+QAnRYQa8d1nosc
fKunGM5P/+oB9/lZwVYzS4yqfx6JE61sybH36RjXh9Yp9aUeNMMmkwsd8th+BH88up+6515cQmQe
EY6XyZHtz+pOXqmd4/4IKutnYEjJu5Xn1Vwp9PApSwuwoKiynHyQERtTV4ydq7cNmibOsJYiB6lT
Rlsag+o9o54azEM3Sz8cX/3IoHT5addAzsQsaS7NwGKZP33NhdGWVB3FAA5gIVlL8B5GF3Id3LOl
uum6s3mMONXKHdRa3ca0nPBUlIa2bNDEuqlhPc49/pPfyrCBaDA1kx+aLm/u08jtqssU3EhZKB1L
VVO+0kGqmTmNX6sAhl+9bfNrbQX1KtGU4Ahsu9jKJf5ItA+dg5eN3apG+/WK74pb7wv3pYBYYDbJ
933pkXf2igG1vMgC/VXB2FZwCAp1jo8A2D6UtqrWoaFqa8l323c7r+eAbNMvpcafr8YqnBmgiZ8r
AgyiHlATimuSIh/1Vg4vdgF04d4BVjRyY5v8qgUkypAA5cyNIsi+oKY6APuoX8zGH7Z+jaNPdPDi
q6yV0ge6chBtE9nZyLaqvQ2k/op2zqtEUVOXzVLjV0+BUbyJ+iIHKmrIRnLK+aqRfc21+x2YZs1G
Q5IcaKXIuWn7CN336VkqoB5mVUWvspuGEIkRUhF3BsdNQQ7xZznk48qLnGGT5N4ejETPJrM2b5mZ
3FRWi49qCIal3cKLDFK+/0jZbchd8GGrRD/swYiWtSUPH9novzm1690MtVJPZVtwupx6swMZ55LR
xAeCjuFLY8UbUR93rgamfejxqGPW+8EiqqPxVYVuZh9UuFfFsEYIta4FY8UZ5ScVngv5l7AP7Kpb
KKQ27eQw6d7yspmJu2sb19+o5AatRHdrLPe5yWkbPRbz4DgD+A/xTHFnzvrGkKCz8XlWqbhBFEVy
m9r0N5TA3iJHAi5nVDKrdtIiMqHbW6SKtbVXts0VZHwxL5Ky+ILGFnCAEpIAqB4Tte4+Rtx5QFht
7+IR9tjUI0oydqyb56jv8PkkXv6hgC0QnWpLXUmjNHwhwZHOm9aVr7Ziwo6EC2tnDrCaJT18yhEO
4rdca95FJ0PrIC4jwlT7ZPZ3LCRPZk2qzzjI+V7tC6S0IqIpaS5XL66D+LsTfxeKU571qhhe3XFh
hIb36hpDeTOzcpP22vBa5k50yiX0j+5GUDzvjEap5zpcBq8JqkTr3iUtEizM8NrZFojhFLe8MJ6o
4+Ec4s8minUyfBtmYZ6ErZIYyyCOoyfVteOXIOTnwwgoIMgXo84udxtLkg/IUkIvOc3mjDglzaqN
FmI8FbTHirSFcnUfHr7bBUdTkJRyP5Ah2PIigEIAajo0qYLckF+HUDm1pSNd/AiojdetIpaUF6LK
8W3wi62wIeVNgX2XH1feJMprYEkWWF7FmN9HqGMddYYqWInW1lHzBW4w/973f5tOdG3z/8d0WoZD
IlC6P6drW/zu0XT//+t0rdos1KxTjpGbfcIn4Ly5vWOslVHVluxeQZAocF94mecfRWvwl++QPCSr
Y4M8wDjMrMmoUVtvxeazXYui4bk/iFX/0lCu25ptYzyb1rgQTaSnSztYMeS5KOKzRDMmttvtfZzQ
2muZrtzcLFaudeRcxKS9oRjkaSXSIgMj9BbFCQQVQ9CgCgLZaSb/8A1XeSVZe9xVVUfMIDLU10at
knVCLGUJt7f6WmpJv+gC/n2GqZizmZ4VctoeRCsKCKdetqSLKCkd+D85fY0DqLUSECCiS1e208Zm
MeC2u/ILsIv4WiLq7YMSejN4D13wq2RXBJSyaz/0cwfgw1mU7vU4XcaqCU5WkuVXUWW5yi7uiugo
SmJcfvnnJvLTQ26585ZE2nUlI0u26OS+2BFhODiyXZzExesNMtKQmwWXq43fDRnXynrQPQ0mKQ26
DMUBNKJB1AgNdTwxtUDGO0Q/isgtcKeFBv8Qcbgqw8L+sCEaFgayriSLSMr1w9DJwzkpOFPqFQFY
s6iPEL5Er7iIvU3Ha2Ad4yd+TXFwiZ5Kbsfwvmbe2er67MjSQrh16kn24yK3leiDrKJmBXtrsYUR
DrfLqL+zUubfRR+DWfPSdko+jfd1CntPYhnx93CfGiYePIdGmu1toElXO62re4PsuW9+N0TwNrGJ
n0oj8fNVWrXSew0QQEyfIpg3d5SsOmaxbJ9IUUrn4objINyZxFt5f5f9GuhSuAnJtnphUToJA7g3
HTwWqgo1syIf4HnLFqIBMV4odmL/M/M5GnQ9/+cOd47yd6AumsH3n/tAkgm5Q48+pgqbopH8qyrg
NSuKWk4qF6nsM2FbTR0i3KY4B4LsICz8Cl2wasibpWhNAVgey0x/f3SwoA7R7MS8/Gs+YX+fjzzS
uWjtZByrTWXORKOo+td8gY7SmJhPTP8/zBfpytJE8fkiDIw8U/7b8/3nfADnIBtPV4UZdW+wlQZL
u4Aju+z7+GrBXDbr7Lz8LusQ6IeiPNsQ/G3UktQDuYu99yaXVpKil9+Akpu5Emb1CWgDAt8qpCii
p0QOGmc5+73FH7LS8KpvM0exSNUOPoUBr+d0NtSygwCmrJLCYDVLl7SBr7E9CgNkT2Eg8azoYPdk
ACc6uWXiNuIQd6GF6Cd5vOO3bUyJ7Y2dvaq6lCwyt9UvjcaNdkUVHiypbnapPKYbV4aIui7rZFmT
R/ukBITyu6GSPhrJeULo0/il2tcwnAQBx7zZ6hYczXg7f49dsgVhdUuM32PjRjskbB12OuIdGxKC
jFMckE9YpVMAtEHKQ2ryS2np2SVtIhUaTuD+Uwl0Yn5JpovuArBsUEqY+Kx/2/Iwwd5os5uwbdUB
EKEp9QloNHjoRTcxwEjm6LaolZ/C7lHfj/m7UYzFrggS8uDZxghzBWjLBvr2lt+wDRhWVOJPOEgR
ssdiDHHpAsldqZUbzUXxbtzAis9RbTg+5mozxVzKo+Lc7cT89wHqCwnKcEJOj6qaubHUBs2dD2Zs
LuTp8nh8OBSLcx3cv4tHtaV3k54n4z++lUzpYDznNh4PKnu8/yVy4lZ2kOVHmMmjfua2EUdRkx3V
VGfZdQzEb/qIY4d9ntdcAmgUUBMPhitwXWTuQXSfbRtyW+TZgqPWIxKkEcfZo06e7oyWH60dSpzx
ukFdd+XkYerh0FHbor5EnQEnUEeE14XhG6a5pn7hcE9EMp5UquApnSs5BCMupEnLiH3ou42OwCwz
rPTshPbwBH5618dw+1qyjD5m7mlLQy7Hd98acc0gSXv28SE/mVm3F/WDD+zAmFi+xWixq/vw6ecI
XDRa+BS1/UHUk4rkrJVWcu9m5Sj9qrPGPqutBbbQU8HHci8QjetrtCrClRibRMSfIDbDS+8Z8s3s
9dO9OhzHdZQRTroP7TagIePi4hb4L5Ii4NfMWGoKSsyx4GgQj2OX5pdOmsVlrPL4hgPkKqx8fpYs
47BMhkD5oHC2TrnRmGvXHngTeaMOyZY+XJGgvZckRC+fyFSvZ3KqQ9o0FTtd8TngBubdRCk5+wy4
nrK+hD1oGgPkEpiHyu0Jz9FBa2EujPteuXewgyK/Nc0vYSo6lTI8MkiF5DtRV2pqtwEf3t/tXaWS
b4Z7E2OJO5DGFOY1IiO/x098feNhBocz0yE6Kt3qdivGEhe5hS6/hAf+XlcmkrThCIPnf7JPFLl8
MlKybdOwnNejJgEZhohAzJe6XbqF1Cu634umJ/rTVXHaS6SySLTkX5FmYubnvkv6o1LZM1ES9akS
F+cMzVGYNO7Vok2fzMUnw0EONaql47/qyWZYylndHf5VXyA90cpwhGhBm5LiOw3UyN5raY3mVswW
qAhjwdvU+rNWHUe0W6IM/Ph0l6ok4x0c3Xb9hyWx42Ce6nh37jckxgUYq82tEBenqHxcOr9qF0i6
KYtHnfiEyHCxhLeLs7cYIWryfOvVuFJYClFQdqKvDHTkQocc8oAogHGCypvj7JhkP7TyU6k5iVXk
iC1kA18ojKbdSStxXguDUT/laHR8g8hH60LxrIPtwHg6WibZHl41vvfQT5El99qyOm+J4lR3Yct2
4ogOAvulU6Tf9aJKWEz1WkhIW5Q8tfstiYkUxC7pXnUSY65aJ1e3uDZPIiW08eHdH6ZlRKR+SjnO
kiZM4pMcpfILunr3RFJ9tIudo8Dy7dpl8W4lejMP0GObIgr5u5eRXqS1bxCnaQfo9iHmmqodGaqj
TC8KCHRJULVtZW00evjcBLAzp7rr382CAvBiGcTFWtwRke/7jfr88y4tb6gXDUfrg114X0Pa1muv
hljsVChpso2Cbl/BehQ82UrozmiOl3WmG4fBH7x0V6h+hrtkjSMshu6os4aF6lnq/L+IO6/mtpV0
Xf+VVev6YG3ksGvPVB0wiUFUlm3doGxLRs4Zv/48aMqmLHvWzL46Nyw0+usGSCJ09/cGCarOsWy7
7liHjttOsgYBlxIAMhvhrq4sd4aaXZ7D/KbGL0PpImNVpAgmnAI10+iOIqiVIzRyjLhf5zY09aXY
2SgG3zcp952m5cZSzxx8CMt0fe5WbIkj+5Knr029mHjvcG7nCnGWemthHBmBjxDB5xCxBS78SuJx
tRUlK5FQwnZsddWnmrWzijRy8zBJ04Wv6/0CqSFYviqmiWUjwcyvwC4o2S12a8Ot2VjxRRH2xSKY
i2KflNTo+HYy68pzfFpX8RXqwWtRKT6GJLbBxY7OUhRF32FuHQc76S5FI6UpLLgt49M5oOiaAEAd
vqUiXm3tD05tJfhYJW7DNPFa7G6iyt+q0ODd8xmDwpNdhRTTVvQmSUoJMBzHqfMpe/5Fl6uoi6P/
hqTUNQrT9bfGZKUikbUvaYurYIKS6F0dRso6kp16rzjpcECR1FpVvtnfY7VYu01djM9e84WBZv3N
mpqPVQrHUZUhT4EOs49mbNRbePcl8M+wum7xUVx4/FGfZC29itBE+hYO4Qo51uGLOUy2m7PUeBvY
s8di4eX7yGyUQ85YZmVUhXrvSfwVUAqNZwfjqPmEISh+CoeqXqDkUl2UmQ1+HubJNkmrS1E6feQM
X85FEeG3xWX5Y7/B0uLoahkPclGL4vGbBmK/aG/8iHh3hPnIw2DPJq6ydx9l6EybXXMpqVJ+IBsD
CmIidTn1zqH30/ZZyvyPuYcWV2DjYpdCpdi1VppchRYcrtGEw8XikStCUxmWrlnqDaMCxPd1xMqQ
pEiqW4Av4ymE/LHbB2X1xZBGKOJGml2lpgGwImyrtYYy3QMa7x+VSmmfvX5AQC8qPmqQKsjtkScx
Qrm6RKZMJpncor9XTRtxYJToWACPWTdvPT/cjHZpoPo/Vte9DEM9DpAGBR4nQjOnw0nM7IJtPYGy
ZDmu3UiOkuxVncefbutgYkacftRwCkHSa/4HuZ5C2DZS9oyc2HJqE8vHxdJbeZLWAXIf8NbqteqR
CXzJ2hmuK/LIGAdd02Q/Sc5rnxIMvOspAP9WRuX7PoGRoxbuN/aqTbEdDysyB7/rU5ynMveJ880v
5zm1feiWVZs/xxbEy3fn+XOfJURXxlzfv3ue9S9KhJIQagQYBKo87Ku2PkySVj+rY/FJmwLtQUEC
bo3nY7+TkFUB5BYxL+b6/0IqGB3r5hkRPrhPTu7cdAVaTHVpgvaUK/8uqACAi5BcmRYwpOvPWQzk
GdG/7jgFVbUHSs29OmXeYyi1t/XcW4FiYu1LwQdWvnlM5ylJigQaOfBfnN2YXn8GJ4Z2O6FobOAG
Br/7LkpIjXcFclB+7Zs3bRzrpwNbxQPCmfaXdBrGRZ54A0MeZmSpNPZr026mh8mRPonvq+gWjOus
/aj1rPK3g1UfBvKWl/Z82aHAYnwyyGlUCily0LkgeVunui89L9nIJUiLihH9dWgxLfLkvH6+ESc4
4tiz0NSquwwlZZMFsQRkOfSZOtQZMsGlsalkxFEsFPNXoOXHu37mlqIYpXwsjOBrhZPXc6xOq4zp
deDa3TdV6ZVv3RTf6kWjPeUxGIdhljqEPV4vmT8q19pU6Wvk/0e85XSEXYo+2lY138OSdGbyNdOa
PIn9ZWN49aOhIb7YdmuoY9qjNASsR/A/bzTLLz5gDNjxvB6zS2Uu5rNQKs/de9PUGjySsiuxu7Uy
ZSfPaDDR6NyHqI0CtcNygJUPUYsxyKkPo4C6n9KH2C364EaD/T8fSfQxeBDLEXBckCmJjYOXj91e
SrLcW7zZbAZ55UdZssUxZOw/e9Dx9ip/RLb2ZYVHthRjjMK+NmjLfXKyO/bq6RMs5vKT1FT7HBve
e7k3mkvVAifajVbxKYJ+xUH4+70gqx+CcFyL/VrIXRPaLM3rc/PRLN43F92K5vbcnKQOtE6ai/26
Xb9tHrTVvkq+mBkJAWGAWefTRT1M/Y1qNNoDKJJTSVhezqUCy1lG9r72MEeW5Kz3rTShXpzGhwbb
xUPu9/FBFMWW2Fdo6XNbj8q69YeBV+HPce+KopmJU5lo8bvunFFrFznT9rVSI20mD2m0FNOQyeoT
Mm0JatlMssSuUsf0VYIluNcMDerd3KDA/OEUwpQnuVHL9NRctDo3OM3UADADqvtcW8zkxPcm891e
ZCoirOInEsXS6igGsvqAi+Jr7TT/SOeiaFv9qBXFc61o25JOee35567+g7aBpmsI644DFJIZOeZq
KtaLYK6B1Fi6f3n+4B59WxRxrd+ELktjqHeUqomdK/ZE/qWoQlAFSzoEU8vwos0mFmSGtL5xZt/e
qTDCC6no3u5T9eE1Lp3jRPC57bt9oRXqrkTyTDWzewfbh702de2SR+P41IX9lVK0EFZaDJHO+8ek
vTKnSVtLQH2WLFhdIJNUfhtZcxUb855x3jNvSLjeio1fY0JHu4wB9KLIHXBdtIAlUUHydlluGnel
N6KfBbJmAT/buKtVc7yZRqTeeiWp0Fn8HixqA4RM3gRbSTfe8ApZiI4bFVWd1rD6zUQmHeXv0t+b
WgtIQuPWkSLe7ZVuBndiXw+cGurs5O/FPsQnESoMVYxR5xaVFgZ3dhq+5FqH5reENTYYBxgZvKEe
0LSsNzqA01XVFxrclOKXWht90VXfo7FRlua40suZHaHl3gvezST+9G9dFn4Ce659qAfWp4tRkq8y
OyXhamBON4zteJwcxSDlGNePWaf67pDm0k+tFb14bW3XpXKlR/hTi9axb/zS2mx1cex89kCaj/2m
tcYkRJfbX47dT0P9qOMeg4ToqXX6vfXpzEuMQE7Hnls7U1Rtp/nM49Z6e+bfv/eoqe1db8kQ38zy
gCOv9JzFxbsNqasP/TB6z7/G+LQa56o55tx8Roj5tSnvg7RwXEvTg8u09spHOzZgucTjxwTg3U4z
HeR15qIIS8cwPIUNnX4Ky+awPozaN2Gq0waXVVtVj3PY/Ir9CLLqtTe0wVi8yyE3ioOKsB8H/V1Y
hwH5YYqOEoaiFwh40Fmb7eQYavMUDdmVN2O5wzYcP5qmKvNe7tFynotzmOHU8l1qsEpoIe1zCiP/
C+izQfJZrLDNYXhfyHfK3BsJl8QV+0Vv4qDhvC7nOMnpoKK3CCX/N2GiN3FQGykp5iziN2tqK98M
GQau4kvD6HzqEYq9HpLMv4UgeCt+GrWQ30aFSvjkA5E7RaXIIuRm05H4QwJd8nt/4TO8fRwZvS2k
qJIfM9KVp61+3hfOtf8yLhu7je20mxyZWRyM9Wr9bos01+u+aN5yYr8FG5mWS1PfqiOGWA1W4AvJ
SdJjGo32YQSshZa7nH0Z+vcBlYWIgAiwBtJxZb7VJciZvTmFmz5KHRzShs9RFyK6JYotxXxAiWAH
8y1yA7utLnAkcK4AavMEjoPkAvGABm9A9p0rQL+AIJb8ePOuom73U+DFp1BRZ6gAnEUf8Ctl3O3m
npLU+KW9qBjAaf1oLxfRhR8M8qLve1QfxHJTjgBYIDnhJW5DXbBS6uRUjNT2SdVqFXyLhyOPMfX3
aUH2EZ1pZ+/bSnXoGnw8mgY8BwonLADUhfcS4OJn9yPy9kH5vhHOy9UBVSNjlc8YK4G28mPj3Egc
yXPstayq4B3yMdpLioX+vtKioOY7MXi5ZhNg3/ecVt7ncpKVh75U0rUITf20PE5D8Rqq2e05lMTS
a2jkBaykAGkFUIvwC+bdX/3UKT5NGvkuxqjdtoqr8hPLsX2RWB+9DgRhlLfQqOcoOPWhizBDet3I
8al1MYePLXTANkAVRLQ2sJedWxsSCI53rRutSa/TyCKFnFZobkUGzEeksBdRjCk80g7adaV061dX
+N68MkdFPQZzpQEDblkUg7ERsf7cNCIfu7Bn1/cuaLRrm/tUVNbItzLWNa+kwNeOovSuuT4MHnon
iNv0UBPDFKMDsZXZGqY58z5IGsWRZR3rtJXVyK3Ep3E1hBM8Ghh5kUC1tpGDp7UYiJ2LojZUmtda
MYg7F0+1vWdtsTv8fdtu7lnUiraiZ3kOPrcVxxVjunfHbbBn3hgS671dbm8QfOH2LDSn3c3FSLW4
PU0fj+G5KBmsIWf4XVxIEj9tpuKiKLYgGb1unff9bus/iMt03zz1nOVJuG4qyU3KIbhTJ8gHoTO7
9mkmEAkDxaPQHm5FJTlDKklE4+8VvqmUOkvdJ77HMsA8JEEN96GPMD/p9E59KKrxgUHam1LSA/EU
o5XGbE51+qTZS2jl+VpILirIm7vVoKGQ0xcdfI+5jAASQMloSq8qnUHC2AGHny8zWULpVOqixekK
1evuQxon46W46kgOQZoPLGktYtUMJbqkQfFa1P5oKirFLvCqb5qnIYjCdG4uKi1WlVAU/n7k1rop
m3iNQwdK9jP/ppzZNWKLFAOG9N7Vmz2q6izPockc/z3UtjPp6txDN4dqHrhz3crtlSUXGsvnpr0y
MhnjbDUwLxnmDctYVtpPTjxsMyuxniEJfvS8vHhU+BfehxpT1IlQkzHtOVT0WuMw0Sp2cY358yc7
yP3T0DgJ7ArLUIATYmg8egjL50O/ZwmAsfDPsX2nVOsu78LVaWQ8Oe9jddlzkZHHdb0zqvnstAdy
GAEw4qReKZ2pgsJygg35ntdaURTBapVpp1qEJ6/GEGdb8I2YIrg6dAZbLT1E8DFaFG6LYiuYPRbn
SouE0OHswngO66TXliL0vF9s/abbtOARfT7ezI92sQQ0L4x5hJ6M0YeoGZSDKA3wLfAHAlgjiuKj
dZI3ETObcttB7HLLeWzfR+ZN0dosy5NWv/YcqAxWoQRfEsW85+Lr7lFZy7b4c7drFdY3/2O4EAEW
ShnLPC4Ygprma0vZj8MvfqufWhoW+uUl88u1Mvr9J78NFiKgNc3XlhqwvOtl2uTVJsby5jQjBj+o
XacxDizzhFpMiE0HtYYuZRFQ7BMNLK0q4JsT8nMDMQMXDfqGHL9okLBYujHmBnN+0AvhxIJiQCoH
KfxYXsuFEJFCmbD083LVF+CE+sp8Fi9xu/pQdVb5zPwWtFgg93eijZGrCWRl87VNAxHkUQqdUxuz
+gA7tnyWY/u1DYuAxTpUYo2fr5NB90TglXNn2RfOJtBTKCKskOkLy1bVjTTj2T29Ka+UydvAwAju
xIeIqDPM6kSxCTFbmiPkrE7c6NR32njVRTGW6VaXm3snTgLF7YouPw7zR/a9wh7w3XVTHqegLmMu
X8WDe0v+uy/TrwrgFSSujI+2AcUyrSV5l8qmfq3NCJMfEcYIaQcZOms1JLmy06yEBeSZaf+vIuK5
j3OEjcZROh+lG/PXo/yuj9jZDfZYXqfzGyJjFQSCVwKwixL0ddwwylZdiKL4UKEeTs6YniKQ0jE2
g4IWZZcm9lUqh7lbD+3LqET1Der79U3OM2MXGdWLFHX1TZXpEGy+7xIBIpSl3WanFcOLCDhH/dj1
c18q+Ntg8aMfu5AG7qy7ylOmG36F3tX8Mf3aa+lO0yfjA9dUuS5ay9+VXSADGwTN+q8iHKPuDn2h
X6S9gqmyJFsXSZDaHzS9WThBOj3hCYVWgWO/7rclRN50bXyqMHI9xefkiD7oQ3va/64fg35EvNhv
K10GiBZFpnl+b3cIW0LDK/blj6Ik9bMMq/paK4rnWhH8922V1OpvmiH6UDhGdCs+WrgJLmvW/e68
r96DdIBeOwcFuqrtMgVyFpbg+F3MHz2OzKva99LVuU2kweFhNfNtP8a2m/sRbUan0XblMAvY/zh2
gpTrm34ks2PprkHGJWn6VV927a0YcDVA286lFGSlhhTQ7Wk1jjpREpFz3Tny79rl3yPFCO/nyLkk
+jwt8H0vFSroDBsL6YUYugwTI3mMQL+JklCR/nmXEJuOc6/c6U19ihK7RFRHQ1HqtMxY16bXL41U
m7YJ+q4MYzQWEKA8uXWt95dyHegPaeosxH4Rlvu+uix/ExYTJvZPFYanTWLJ122FTEAbmdd+qaX3
WRDmC6/viq2hRtk9OW5tY2ZmshS1A3Znx2pIrsecLCb8uXytpbrxpqmmaGAa5p5EU4y/Qcoz34Ns
RVOdYZEoiYi5+ejZ2qrqIFoF3bi0clm+8cFt3A9qh+1CYKV7X+XFZwRBs5qYsq6btOvui8KwSeTW
wULUIrnhXaXStBOVon3dABKeexO76rzuXDmMs72oDLy6gWucv+0tQvOKJxOd/+jNalmfWUQ/ziuC
7OnnlXoh58pSTNfTDmbhODj+da3PmNIKdkvgB9qnHxEWY9y/jzj1ARXqeoCs8rs+zhHiKEETvzlK
W/vD3Z9//Nc//+fr8N/+S36dJ6OfZ39kbYqtM/jWf/ypaNqffxSn/dvnf/wJBdOUFceyTNsyHNt0
dIf6r59vgXPM4f8HyRWni2bMmJaaevlF9iU03q2q0r5Jk33bKm0agIh1DsX8yu9S+J/yjBOq5mJl
TvldiyfV1DM8DLracSsvUbf6vPx+jvULMEUIYed3wbTMLeMbGINyM5SysrTGxHTRQsU8XAMrun+z
6Tvtr2Wx89xStBH7zh/nfQVTR8aKPEokPR6vU4ieOlmAI4IBGZxX+Pwok0zV2u4KyookK9tmtL+F
I67cK40liapOkqMjorU+UhZmDZhMkZVmjYCh6Y5j6e1bZTJROSgcby/KiTd5ey9W27WWlC/v9ovK
f7lP1DohGjSIYRj3OetqEL2xaZjnVID+uBjfliRNHuF/ZBPCZGrAkIaRRjt/OPPQIpUhq0+efkjm
0QamYIxIzExq107kd9Jd41QpOOVeL8ishzIIkDg8qPbs1y3MvVnZbic3GuoWoYZKWQs/b+H9fQoS
bdD7OfzOD1zsE23VFsPGDFdHa9E4LVK8c0LilHZ4sxkl8THsVelCpCJEBUaorKMiRbH6Nxe8Ol/Q
by54U9ZtxVFVkyseBCNeOD9f8JpVoblnec7CA8AA3GWUdqyvSbti/hBbg4pcsSvK5lhKGRZLBMEv
8vdiKxmlSzQ36s37JiLk1FoE6qK16PPN5pvuT5vnnk9luwqOon/RskbKEsJ0JZXNssBeb1G1cn4E
XpUfrTJH9JlMAhiFktlPEIfMmX+uCXUvP4rqru24BkJUYtB5L1/biJraNqMdSGp/E1a+hGG6LM9A
IunFy6X0Igik7ih2JdDaT1t+TXYh9RnZMrpyRYRvlB4KePnHc9SptzA1eEArQYxrnELv5/r/6BDn
I0d6fYO/U7Lw+HuYaY9Po6U26xpAx0WWNtNHCxvdaOrHp6F1GlylgXkkermQ7WYBqb/aKdLUM85W
YM6NcrXDjSAf15AJWH9RZKBLscykJkq/5vDLwXYlw92gp+pF6E3NZpRZvftfRGCO6LtWY/Rv+kCI
Qn5IC/UuYEFsJy7s//rpUV6LR/vXvBirEILGu+I/l3f/9/6Pb3n1x+Xd+v5/5qY/Qn9u+M/NS378
nL7U74N+akP3r4dffm4+/1RYZU3YjDftSzXevtRt0nx/58yR/2nlHy+il/uxePnHn1/zNmvm3nyU
p/58rZpfUZry5g6fu3+tm8//H38eP3ef6/rz+wYvn+vmH39KlvGXLMuGqRsWzmgGI5I//+ihtr5W
qZZjOpqJMzeyolRledUEvPXsv3RF5X1o2bJta5bNI6TOAViIKs12LNnRLdU0TNX48/sXf33Znv6S
f/HyVfgqb59FhuGopiJriqJrtsaJ6D8/i3hulwZrK95qhnDVzZdZuKo4OvkNlk6ZcQhQTi4iVBGQ
kQQevpo6KFbwkFs5WXam78rJMe6+mMqFEx/wlgI8GeSo3cEIT7Ibf5TR0Xhu+mNQVy4tYV0uWDxY
qdZnvCn10nYb/zKun3ABYNxjzwZuO6yWKu0i+Vakl2X41OjrSr9K/Euk3DWlcTVtI2OzZz9aGmw1
9jXHWb7UMnDjHvZ2spbzK9+86FmwUj72xkUN3TWrHkz9qgYkFeHDcNM1V7IyurG9iG1WNKone/rq
2zsPHompuVl/UZtbPbnUqodK3fcD9JynPr2s0bQcXrTsS90eLeWikz9qxcNkXpf4gLPChr29cY3O
vYmNVMeU3ljK4dro7ib0cgtnZ8Rf/vf32mX4tUII/lvz/hb66a772zvy/9/N9vk5DbMlqJIq/Nq8
vXe4IrnYf4wgf7nd9p+TkAdMFr782ur1nuNi/ksB7Mr9Y+oY3em8YF/vOUXV/9JlQ3a47xRdNSz7
xz2nq3/Jiq06joLOkq2pMrfj6z2nqX8ZmmbjFPd6Nyr/m5vu/fsfI05TURUTMzRN1nRVN36+50Cz
50XZtsMRcWdnBeRjXTSDDowc+VIfk9OHXB+ybauH9rIMDRtgnlG5ClYfm9Br7zovT+9TOSFhk0Nt
doI1w4hjSFKiDJbwt8EYyo4E0X18CiW72ARV0m1Rg7qoneKht+3hKovG4cppbHP95o94fbq8Hcob
88PizcBm/mK67KiWZemMcXiw/PzF9GwsYidou6Ovaummd1B7b/Svk14ZF0HjZ4fcstBgSNtok1WS
h0d0bR+qflCORaC/IH1U7J2hu8pn8TZVSbILrZWaNcNn87KKi5XcV+21FQY64kA9nhCDz6TN9pJL
XsTPXdzPrgvZLZAtBQxsDnBCreE9RkW3D8kEb0w5g+8R9PvKtFV3REcfpAjZ3S4DvI+Zyj5u6hav
2NrajGPsr8xB8fZkoK89nGqX9axF2A6O7TqWjooui8mSjz+ELd2ZU6FdIKnWodZbhf/mNzXnweD7
39RkcuSojmGRyJDf/aahBexwdlHxp7FBvAzTA6fT25XfWP5958sLtPpGCJY6JxtK4SYroqcm759t
neFh6JTqvm6KdeLF8lXXtdpFk2OTkpmdisTDRsyhUEmKbxW/OsnZOsyMmEMZH0nPdrsuYdGKZUTm
sjPsTLcnEK3R5Gah3OMBAxA1MKM7KIUZsOQYNCp5ONaR1ZSx4KAEm9LwqiU3nYLEiJ1cdYa3lNuu
ARAFVM5FtEK51yx+S2e6tgMzJRduLDsr7UHqFcElUtlXY9furAIt03CcGlTCjNs4tKeLCOj/o9oc
kcRDfl1L7sLUROHix0fnhMNuHKNw8ffXuPJu8M41bumabHGVm9zDmvruhWmNJOSlIqmPmfElxoV+
b8eVxk8XzXMH5ho4z8NB0Q3zEsBEuImrAMpGtgLNv29KdKXVzDi2jQ7Ju0HNJ5BweVk6iAY9/v15
mu8uG0uxLMW2NEflGcPHuzkGnA1fL2o/O8qqVO8ilEqRmjBWRtCHMD1N598cTuW5+dNlOh/PkUm0
67bJbN5+d+sXXP8TWiv5cVlLSgCk/4Uk1UguXzVWAJz149jE2SpE+wa4E6bNMtBNE32yvSM3LokD
+da6xd/If2w0Od3KvcbjzPoSlUgZNKH0iJIzuExUVze5J2crMUHMp7SCDG8xX8TM5fLf/H7vBkYo
znCvqYaqa7ppzm+Tn+87yyJH4mdpeARQ+mQlQbC3sMp1B1L+PK78cuGb8OQsy+hWdUeuVONJtK+m
VkWrrLwNEdJbsl6zavD9cLWRp2FdKNfiI9adFyUjI6yF3IKjMsWQpEFhDVPWLGq4/SprVYdO4dtZ
GYoefatzVZX9rgSxilV3p+zA7gJADUsdvVW4d7KFRQLqhNYHJ82DRRDsWNYPjkrUWoqLPyv+Mizu
OlPNI6Co136BLJlnxMOlhA+g0qCblinqsFMsUn5S3X5DhTU4og8HJJQX6rINQ+Vg23M2dIynC99M
apSLM5xK9CY7/v3vbvx6IdnW/HoEjqTqvEjm++/NapBstkZmwBa7HO1F4w0qqyJGf2MbFbgjiQdv
F6mL2SYFAOT4HCt29KKlLJBFef+5jC2UXnE/ugqk2RWhl7pNo1oeZBDA7+Ec29WLQZPG5xa5eT3W
tgP4w6coJ1mT2mNwFQcjUtVJCnzDSHgSZab+WVc80CXFLcNVY5lUNU6r3WQt1HK8joq0P0xIjS0N
HdFHP1PuejVGLUEt9Ytgssnow9TH6U8u15k+6PjSm/ieM8YcprBc6WaWHH0D0TGv+tTFQ3GVaEX1
qFs3lVoPH+zaaC6B9P79D6w61i+XNuhMngimw1hH563CQOftT2xWNswCYBKXWEgjR4+ZGBB7lrrk
GotHF8++TYLQ3oWoEB+DDaJ4Ic0xlSSN5frcRvGkr8VUVG92vQkxrAjVNNH5ubeuTqNFh0z38tSv
qPaSiEO8iZxMSVpkoa3jxOkgRTafJXOUdCupyfpNQ1FxOqQ4wSCVvbWj64+nfZo4g/PBwY7wZ3hW
K2/roFn+9judo1/7VZ4xqxp3p3OYfwWx9eZk55M7nZOoOR20LaDSKEsFkZSN0djyPp/DRICnV7Z0
+uVFjfgYxc8vNjEhWsYlsmuWD2OVxXOv9g+S5mEdrzoXxjLM6xakEo++zhk0CMEFbIaubRc949jH
zpi+TQkYgRGgg9R/6xCm2Laxdoh0jOKGxlwir3HfxMHnZGDlGlLnlyKVjWXUgmfoLTteDMO+deTi
AUoQdspq7Ca16W+mCpMjVCvIEU6XWYs9a6X4mzZL97zwC7dVEiismbTSVE9DEDM3kcOG3OGXDBNi
Tz2qJD5Znr6BURwv/AqxQOxjmt5sl70Xhoup8ST0ewAj2ujyqDgnoDw43PUZj1H8gHyXNbx8IUcv
jM4mNNkmbZWGM80chWzV/FDb6tEMn8sIKhzWU5ehJm3525p1bFbXSqdetb4zrmIyBa7cZMUiNRty
AK20gYfgLTPHRs9ey29BL/FCMrs1t++TnjzZLN0vjbEo3LCzF4ZW65tSB2wU6TEzPQdfB7uI6AyZ
XqmqXERSD3lcmqs6RAzT0ZWP0zBJrq3tYs06+n4d7KVGTmcO18o2nPaiMkk7ZZV6MLB5YXf8MfZk
F1ZnvFCS4TkyijtVr4Apm+ptBKPBKRsb39T0dgII4BZ1MZNvgk3S7VhSvof2DBZ0CJFL71dZ2321
hgGJ3SzeNDC3V0Nealea/hQ3BWj/Qts0YyEtAg02eF0tBsnMNrZvKvtc5smoLBmnhtuqQOLT3FeB
ae54Y+9jrAmWbQB+J7IrrDEVfgeLfy8avoZlcptaGWuTNk9JMFwXhTWsfda1t6NV1kt0FKNFZlf9
wmsOaZu3LiYi2wE2t6tPC9bqGkS0DV7vQXkojXFjjp23bUss2Ko445dukG1Rhkh11TrwIf1EjG5S
HsWxBV8nyd1JxYUBbHmaDDhgqjjBsr6G9Jwm42rZqdsKrUc37eFcTOrwzerjXTI86kb0bOaQfQbS
cIYe3YLCrA62YeH9gkhf3pf2uuzbVaR2XzQrOCSSgV5IeNvwnne7WDlkZXzXkY2brY5CPcOwEVK8
qycXKBTtm8R4nKm4V6RuFwUECP6y7roqTYyfmelNMikJjTQ1Sq3myq8AnxlqCzIQB9WwVvpLC1w9
jGB/hzvyCnnHe60rNtBn/GWdo6Paynq+bKCfYmAO/bjRebRGU/I86Z3tqgWpy6FBWFnG4AcXI0bd
3bFNmxi9ffnga5NbVHhHyMhB4vYH7sZyXMUOVBeNY5DAyrjGGv1LJ/lXPLCSnV3Hj2MrxczsihHq
gLYDnpOtjBiYgK8aC91KuElN/0bPvYFbK1oF3mc8eZulxmBj7Q/2mtl6s5PHYm2b/njs7q0owf8u
WMk8EN2xz7wFxJkYo4y2XxlDdAT7RZK/1Ss3Mur7smM+qEzKQbJYZRosbuUhKy5IL+qu6eQPDLbW
UeQ89KYfrbMkPyhynaLIXX7iGiK/k9n2hQYC1jWQ93JL5KJ4QRufJJvfb8BAbVUUMUyXPESbGx0d
d0BhA1molZWkCpK1+p3KCNXltZ2xAKSGC1UqpWXk2C99XeYLzhAN4tDaMx36YiRYFsy/dIiY+Eq3
JTAiGk8/0//QWfqGqdiwKKYZ8j9tjDC6HJBPW3S+JfOATJYRCp9LRKlR1s94TibMiqZIj24SO1yh
fVFf13K0jCp921ZRyB+gVRvThN9ceG3seo3jrKcOz+gGS+62AS/adehJqYvaROQzaT4EdbxFwRb+
vaVPQN7iaum0Dc4tmAtJ6nbw6tqNcL5aAYDHQMy8aRAxXmkjk8YmdfaopLUuaY3FKCcjyGlZ2+hK
61plKe27q76z1X1aLCwHLkMoJziDx+UiqPCM0D2M0FUUszMP8r/XwMNmXoQQBBwzxXhqne5AuiZ2
40y7N1T7YCHJ7E5NsLW7wF6MHrhPvNjv1NLK+XJDuVBzZVh32mdusG6TtOFDzINzMVY1ir1quQkY
VU9xmC2KHljbEIM7wYp4cORsOVZtgXQrxcoqHstYvnWLfPqUOalrIDPqIreIOrBmfqzK4Rjw6CzS
adN6JNUsq1iXOYnWNjVsBBmTeN3HPWpDobQZIjQOZ2sfsqF2tpJDZ9trWJS3mnanSEnAAg6C5IUq
BcsxRztXQtegVIBTpVJprZ3G2WPlbGxYmLi2ouEu6ibESYJLufNe2ix+URC6hciN28404baBkSAp
gcxVApn7Tu/xNYYMSMqshbrsV0u9R9Deb6dFY2QfzKrgIc1FzkJst4RM6taBUW5xCqkd5MT8Xfj/
mDuTJUeVbdt+Eceoiy6qUSjqIiM6WGTmPtQ44E759W9A7nvPfdvsNl7vdTBJIREqwHFfa84xG8v+
NWbBeZ5x4pmONhwC3R6vQxJo97UUOjgwnrFttrvFUicPuptO19hZhsP2svX1NGzJzk3438OyQH2Y
sEY0Aym9SZHkr5nS/73tg2inmyaG/qPlenq0K1A35NVqDzOOt92y7qP2n1DvqJ9ujn1SOEZ6Pykh
76B6xFAnAQYiHT5s+/IWvLge1/AnU5vEhaVYdeqrEaNyWutQe8tvD23Vb5MEUZea5A/NBqXrrx5g
yi7jTdPTaR/offVFNOdxeypffRn2GElecrQCrN7GAi0cFF6CewA/bnsbbvksy1+mp42QmfCQ6LWv
Ip9m1dGg1PIWN8EPZ32m3iNzjr30x9zrkrT3JL0be+XcEkR0+4aM3K8lKQ+j4SI2o6MWzn3bvzDl
uU6smg9zPATnYTCIjO1jO9yeptsIfxr754xGa2dlYKrnZMJYLFV7HPUue/eokW/PdBb7Pq9S86NP
0Ppl3mRfK40oOzTMeCNXWZz2VVcCG5TT/fYTYKD66i0NaPed0P2ZZ0+5GrV6E2Hh+lnslFMG4dnP
SQT2rlv89KH3RBC5cwx/WO8UK3j/dfuCYG08crlqCaaROCkMDqa2aLt7/Ek5gW1m9y3EtNue2rhZ
H9qAeJ6bAua3K+zhXPcZJEKLzNvtKQGzXT/142/NAWrhG4SA01kprppGi7b1hfMeB+nL9lRSTZ/H
fC0brKLUjsRajE0KMYlFTF2FE+ibcK2/v0hfG0kUqIdnYzVw+0nanI1R6YDc0IRsexuHinwLH9ZC
wj4cSSZnT5jQnQROek/qJRlVOtCM0f7QltL8HuJU37dDp9+JEvqTSXXwzxNq7dqRgfMzz+DfaloX
3w2alt7PvEeEtlb9KwDT1Y3GT/J7mj28A3GbbdBRMH8IV1z/BYnpAwec7mIKLvHx3mLXk7exh8DU
koz+E/LPn7fSwTDrlRfcfOrvN4xtcl8Jn2uytAhcH87bs5jyOTvF/7oXE+iL7Qk6AJ7vWXve3o8b
S31X02e/L0oywbDMWXusbfJ7gOP95w2lywAzP4jv5wbiq956wb5WQLc9fqztGdQhup2Pmf6BwdO5
prOZA7mY1ZckbHf7L04A7msNin8oWU5fVeA1h5QR7zPlqNz2AQw82/EFpY+J71TXah2a1sX9p5vh
31+/mAW6XmgGsXwsEsuPlhKU72yX6Wc998ftv8SW74SmcM8ZMaKsDdolGrIaHr6Duyif7NO2H6U5
qGM9t3iCCNlGCdfco+tq+Y8hqeGA8BulkJXDNO+mJ2lqSTT7S3t0cPx+MD2ItmcUiYLTyynxtLQN
TptKn445RpseLvW7MJKdMy3Td0YK5t7R5+zaIih9dto1uauYvjl5dOoBsJL9lNm+nlLS8NYX6GZ5
R13SeStNKz7r2LiPcWqOX4a8bi80od4fFHWNiOt5ebB00rdd8hu2PzbCJwZ9bkDaO75CEgrRbdtr
XizP46j3r3lH28tpS/sgimz+dkcmN27yraauOvZ6Ki7AE9s3kCT329vXXTXuKGsBNkuwlxsl1O9t
h8MwfSnHK156CH5RJnwg1evbr9OGRSRI0GYWzE5qsurw3pCU59nn7S0Ki9AmYhiNu1xl1qND8/nP
Hl3adMz1Sh+TiGteh5mxetulGwd7s+zTH/6k8JkTmHbSA7f4oWdQB9fvEtMKXUVSCK+a3sVPasa1
Ergs0jRfBo9NTT+xxTj42MjMulsURNLts09NeqHMs7yL2mF9tmZYEyiwfDZg8I1+Xh5pc/Sha8fF
YWoIFs5yu3rpfe3zz7syOdCICSdvimihm48b+M9XTUr7fZF4NToat7koFLpHc+qLb6WH27vtl9E5
YFUn3qgkZE+YMTViUzz/+XZkD848gQiQAwK4d1LUaNu/gx3xNlIYffGMNe7eKsc/P2CpXU0u9F9+
gn7bsmoOmUm4b36XsTzlB9bQQey2Q6xPxvhhO+xmn6WhmZ90M/01DVy6EyDbUWCb3cFiSqBi3wtF
U/ZYqksyTHP3C9hrc64sp70JlGihUVvDybWFdyNI3Tn63rwwEg5cVfvnQAclmHvAxkedxaphG6dR
B9TVBX25Y+bnk6C7PM+qs28ikAfdRx9ds4LlEvPTnQsNRoW9YMcjdXuQo70PJncm8Ff78vyG9oyB
7qQaffEm/OCS5SS0V3FrRdPgn7uaNWDmKe/mWayqExvdcJDReFvM4UUr7S/KGOcy9x3Imylpk4gB
z72rzGPqcY5KB3JNOnR9tKiivcat1/zZJJWZhx71pPVHqyPPz7yC44mbk+NUUT+YMAPb9ORncRX9
5/F/Pm978raxjOrv107YvE+kMhKpxe62HWzPWIaO/7Hd/M+DDOOoMTGJgMzLNdZOawBiMawph423
GzRJucCXM9h9xJaTq5WHoajfa8+m/pKxAiJsZjkJX71n6Y+KDhcT4qrcd+7QRLK3m6hdN0WvM9dt
Bub8dTFGRizHaFQZX66u7R1/AUDIV3Qs3W9P6fMFdoeKRIfBb7FFcxj6suciMNF/Hx48G9T/9oRh
LlRUCKWiat1st4qrTnHqbE3mS1GOO0emMlL6XwJTYEkOcSOibTOvtHUnSFcbpXkMRnVIe2DuWTv8
yGQirl7GAgAcj/TkeLCd9qHyrDsv6eRp+3o4y+TBLFAbi6KLAQmyYMjb4W37cFRHm6iqwkpv1pKj
QOlp/ywUewXWFB9rL3szhoZ9S/Wq5+m0kwUvUGPHd2Xo+rLLgeNAyNWO22PbX2vJFN21EJ5CMt3X
E0V6zNkheJ49E4UErsVue2OplQd70bCKE5ikS4jyZPNO7onp2KsseNiSoHyreDgIc7i382xf9Swt
vcA6gJSSke/3MiK3TUaAb7udqPVhF7vkosYF6ieqV86f4+PP3p01BnP7vwRbBbt8cvqQgPGLEedn
ScvwvJB4csBxyIfV9ZLFct/vXbR1e1JXtNBZPG3nDrncDap76u26P+kpjVSYCJCspXdHKFVXhVnh
IQvpShoiTaAdl258z+zs6InWP4skCCIWi7ZysijVcxRSAbqoDmQ3cx0gCI4/kQi2tvWaRjD+5uZ8
MFLLjTA9/xql/E2USLVDq1vQXrNWzW9z6oRLXHubEEY1vg/rKaSvZ6TU2r9vdXTOKPFrY31UqT0c
FInL57qz3pcscG9xSShU7z1qok2vi1kyP8wb/9Kzk5scCaIrZYAspUVsDIzWBnZPsixW3/4Ue91Z
9i6ak9h0d+ZQzCfHGAJCO4z+XsuW/JIsw7ty+uWqcqu81tJunheyTvfZnLg3QoKsY25p5W7uyamm
CekdYxFb0dAbVhRP2GXnibnFFLM05tKwQxRonVATYHXunSNJKfE1KZhZNy32zPk1scf4sSA56mCV
pYChWC7PAI7akP/TRF1PzbZI8ywyZjocOXTMsBwN49xUpRmldnCbQV8d3SVmOPEcolT7VpQnaRXX
nCUy3gk2RHU+Yss2WM6ad/46gKU5w91/NoVmQHQQhHbonvYLl9CbHiCGYwIWAwrs391UO8hiotlA
QcTTWxnpGqe8N3w5ZNkQfQzn3DLbyJMrvczPz6nFQufQMvPnvIY3gdODL8g0utNoibtKzWb0nw2J
BKBYOnMKtUr8jNMqCLE41rvU9f+8/1FyBkxDaYXoVgmcw/webRtKTn2Uee8BvMYLAkgVYfF9yOrS
OZbmpKLtofq/bw1Bjg7Dc94XjRMQruIMVdfgNMzWjTlb2kH3ph8JkIUT1ZrHyshWumLS7Ms+Brxd
yrSs/hzn3s7qGA21YB4iR7N2Kln0ywjB6urA+SpyEWC9jZkcIZCNWuBEfzbbXR0NS4lCgb/olM9d
MYrLuH6SbVNZmrOP63otdqVxtKybJoE6R3JyGRp6au3qRdyLQX8NOkb5NOYtbBtf9/6+Ff/3LXaG
XKqll1/kaowUjuhou2VP8f+8u/1Bb7x9lbvNOWldEW0bK8i4rrTVW2Kb+TGFqxVtm6plHIuZsf25
uz1GNhSd9TSxd1orkU1aAxeDvJJh6ntNyHDw1ifkzMQL+Gh/fWlhMpSk1oKXFHfQTrO96bIMrCSN
pgGY5pcNOImk2tN1ozTqM7ab+kgZmhaoeVxG8W4PC4UaW3+KVW0xl2jEFQcieRMz40Wy9mA1pZA7
IJQlZA1K1Lpxma2TIp5Bol6/kr4qiPgpA6qU61GxfRLSC8tTzHJd186wEfvjlBXfeu/kwG2TfTsb
47lfx6lt2Oo5O/eCmiGNkPiR8lof0vUoD0k6TpFj21OE0CWmGzASvkH8VURAQEIWhNyxRGLQriC9
7sxaJyVhux8QOZHEfXnBZ1PvdapqO7uyMFEFTUSAx6G0Yq7FqcnB3psW6G0vqY9p3L+WiSmieT1X
tuFgu/WPxxKXAzFQLR1XjoteieAAzWm8YZ3ND2XapaSlF9DBlyaQFJnB5KS+Hy56Mp28Sld0d1mM
mcJ+LeqiPepTTv6wax57lrnf9GBWnbTtUJhGHl7F8XgZW42s4di49RPi2wVJNaEgyRlee3FnoeKJ
4lYesyltv4LKvGW0WF8rp0MjOFjlvnhJnWB6riVRPISEhMLShggnKJXqlN6STUs8xBktT3OWzA9j
28w7V2k1/EjXpEAYuFiOzJE2TTmk1GJN585wxKkq3PSxGosKXp5ZqX1aJZSU83W54jkwH/E7QXDU
yclp9T30i/HJcxyWUYYen1N3PpqLVj9WXU2VGLJE7EN1MQNaN12WonDUmh9GAPS1atfROp/MnVMM
xZ2BTiw0ZgsTs1kiwmyShe6Mb+6HKgleCST73ZEidNvuUYtnCgjnEvB7UOxk4NgkISK/1zzjq4fo
cLDAqF9oqmQfk90etse9ZqCLYKbGxbWK7r2rupMgavc5GMVnN2P9CQqLmlKrSHefEcCYi/Pa6E73
YdPnvzSZUe5hpMsPjJAOiYc1TaH1rz7ZTq0Dh9hqgvooqwSKUGmk2kUXXJs9IGcfnhtHTOeDn61t
8HtY0IIrUUBZUymlHLz64/SsyCvP5cO2sWSTIZ6YgkveFiglGmF84+xFPFA5r0kf9ywMmHhIp5wf
e9rtrD3eW6X579Yss3ONC5RGSn+AVmA+JuutOVuqQ5pN4tzZNaeOo4pIFrB407LTdqYDAWMmIhxh
7KD4qmW7m0Bwh0OuI3NrFtLoF0agsp+7i5465plgnb8qxPNhXzfNezCAU62I93gJ7EXbmxaiMzDe
w5F5A2zf1VE7JC9BMZyTxtLfJz+LJJ61Xe4m7atnEk8LsAW1rPNCPVm/l1JzeBMelxEDkGtgywXZ
36RuhDhPINBLrNA5hNwwUPgdWyywkwGOxyrAsElYhMwgZX8Zu7Z572hw9IkoH+wlR/Q1WfduUD/T
mTJfs9RSr27G0JDXYTYrOGtTLx9qPoXrzdUZrkN9t53pGdG316w+ejOtrpnX8KtxqaufSbPpoT3B
NlzvGR6iPQ2a3DH3oKJYCSGR8ZI+nLWptD+8iazkRVQ/x4A6Wzzkyf1QTp/t1Mx3tEWpfTuWdyG/
0nxy1s0yLHdOTh290u2CFYvH+NdykAV5qR7RPu16pBWh0XUjAahglixnaS5DSrcttsDDCsQi9UxD
24yZe0JitH6YFCvDFRayeZ99yVQiJjCpq/tPdFfufpKSVKEgEa9BQNnCbf2vZC0lUKps7mgQ9Tuv
CtwjyQ46rY95/uWX7sEnG+szCCA9Zpg494kPeQV0jFwxU+pFVWSv9e2S/ZqSbO835A5pOXbFozZg
nWV65keiUQcGsvQTASQBFn5aRWMPMb6fMVA608fmQGwdPaOByIXAXAlfTtz+fXf7Kx1OmqTE34QC
WNCLOzE4Y3X+YVtyObVxgmRlvUvGwI8B/945N8d/S0df7ocUfCMhSA8zYoAr1HQmuDYVYMetCmLo
CJpzu4ReKRC4fC3v6u6voKJ9j8QjfbVjGgF0SeZzovve84LrgTaMwFVvgVapT44DGkpXw09BM/mj
BnKzR7xTIQFnlpQFtRZWGBNO1VzkP3C7H9Em5m92Nn3qhcix+Bb+tyn9pxaD/l9YuWjNxKB6F3Gm
+AMqQoJjdRpyehC3USJ1ClxY8Hei2XNJilsIg8qZEZzIewN14mnGAUb/+JCVxmeZJcvFXqS62Yu3
N9y8eW8Y2avcfhtcd3ypOOdrzLgPmZagcp9948JBZPNr+JAr9KLa97JX0Wy7zhWA7Itoy1cgk+qQ
W8sXeTuphVGMdY1U2bPUpLHv+kE7J0szfPAa/Nb2FKqWEwPmJaGe3gI8XlHfmoOGJZpt+x8LPOfQ
lrtCWu4Piw5/VV9Wo9qD1coTaRv6sbVjzHx6erYoJZ0pM2U7xx3tcz3U+np9FQdNFc4hNanLbFQc
usIsGAcT6ncRq4OoTe+lm+0glKJ2o7Kw6Ok5woswCSYXqkfLySodGBh6+pkmeREupfYzNTR6dPnE
2jWZtf3MiPxLTr/taaQHO1rNzdJsFPPdYNzLvH+fAHIS6VM5d3kvv7rO6F7KpGmieK1vun7nfPuf
E0z4k1SO8ToamPEDVRnPNRfPkNEUslMHuWFZvO+8MYAZCxW6LqETS2wmFwP2204SInIiAmbY+SQy
XQbH8sO8C1idKb880RbhIqYn8x1SGeoKmfBOdL/Eze6DJXRs7ZYj0j7QL26em87CvKeECedz+wWV
We6txHx1K0gZflDIbzi9R9TI2skZ0/Lii/Vb0a2Xtsisi16UzbWJ6eMahtxbgzM9p8uk3RtqOG33
HHeIabDm8iZrhQRkIYOB5tbe8TLrd7GI351j2MeKX/+QEBDGMsL7HpHELngLVbvzagI0laKRAebt
TU4ILww/sz+D4a1O8/mOdPYZQaXUbpZuV7gH5Sol0q+yWv5r04mTp/V/0cl4HIEGRaw4mVpkCwYL
Md9h6SMlTpu9q4Z8LkzrPHiYiz544KycEX+TXhKi2fprAl68y1Mb+nky5S9ldek66Ufd7HpRomsv
0ko4CqWkQuqay72oi1tNMA3XuzrdLbFKj0VfLkczbc1wW0xLQgWuq9FzHGXwUhoaApgse+wrZA+T
G8h7higoJvcg7vCJrJ8Q/ZN2a2MmWO1IDPlbpc/9jeKFfy+VRzZmOzjvXZqesM2BSI+Nhjhbu9kv
rRQHaE2EYzltELG7t0IfPzIWVe/mlFghLPrDFLfN59p5/M7Stt7b+egeZjkzQ6toIPBpypvdjEOo
qC9E2jirk9PUv6jwPigSl5/GIvFJ5SHfrZG5fup9UHnO6OahcmVU2618x0AUZUmV7jCVk+ckaxGa
WTs9FbPzU28qd13CY6ZHr3q1mdrvwGJnuIflSQ3d+snjt8QisKNEx/orXmeU2nR2EcAeRGbvhP9k
Wa0XdsMw/CT27eD2QXqgXlQiDzKyx2VY+/extl+zk960mORkKTIudTEVpQVimcX4d0zrAiumtF6g
x7hkHmkLePus3JNmCW0rALJU0vughS+/q5EmUN9V/6ZGQ1fN8Kq70We2RIzuc+s32b60c3F2/GHc
1XjfARg75dWuxBz2VuJdNL0UhI4aBt99j1xs0cYlzMzJOtvkDTWeKD8gvVBioV5fK7AbFHODnzoX
Cz1NqpfGy0nhIMzMHtzgITMthYsyHa7zyqitDAhFhlhjf3t6We7wWYkWNE1cldfJM04yUFzDsuSH
k0AXMN0Y1TfhTkYjb1luHUodxwl4FZznZu70O94C/SeDpRAfe8PPJGpR6BuSpwYr4oG3Xh4oYBlk
RuT6MydwN4WFojNqA5+f7e5uk4pXddodtEwW+JwHg3EljU8pOJcT1w9kUb3ZXa1Wddcm4yovuvmS
IMA/MePAUxyY5UGvMUcX/OXa+VN3Za18r7losmI1vpF3cWvhS1+Ym9T72jYp8+XEWjLN4uomP1PV
En7RO+1VLzRS5c1itfIqrnBgBql8VWFR6uldUZbEqyto5Fl8MfQKCHqywOkdOJVLqmEfXUGPsu7f
VXLMyqy6V76FD7pdcDw7UM7Xh6rCQE5bmTuzKef7xiQfKdO9V6gpBvLS4GPIVlJY+zFMp4nSyXOe
CQrAbmuehknIQ2MXB59c1Sv+LJUKTphm2Q9WV58SjalO5ZxM2hVflkvHNxfOl+P27XPeMNrLqnJ/
6q2xs2AZvBR4OneWwkaTZF95PwTH1nEJFic84UOhS8rrKdhVZAdeNM2WL4XDAUv74+wHCVFFwkko
/VVWi9qlJkwnpiiF5++KEiZM5p+qX5e71teUGAlKjTiGIxpMUZYVd/PAPEeA69gxl+m+FbLigSAD
JHaArvp0WjB+8E3kcz99YDzBG42eggYTYZLMWRBSxt1zb1t7EyLNE2uIej+SYn9whdudHQoYa+0g
uW2bbLLYb20Me8hTMNqV97ptCkq7swngPKumj7FCDNViRz1lFuyDxA2w4ICEidO+vMmYy7Fdo4Ax
JlWcS5XqURGP5r6qZPNFpepRWfEPfO5n1uIDUyuGgrxn+er3fnlff5kzw13eJxlyKl8cJe0cBCml
hmxrKE8zeTb8siRkqYVGTcBKYGgJkCHl6z5utIqKvc1aPatetaAQV51qbZ4g3VYsaIJCm6Osl+OO
nCZCALWChUqioyEfQUMrRHu1MozbLFlmitJrmZto+QmRLSFIPuu2aSyfetdWt3wgUtOdUpaU+OCX
ioazhqjF89Bmq6atIp3CdyA50YrBiogZZ3bt06OiiBk8+/CUgzL5kpYXvPfCa6KS6QgaURG/k1FU
H99Z5Ne4W8r6AYHJAZjZeJeeDAz2D0naFm8OIZCDoY941dduYCWNBwhP3qX16x9GlxoP6FiuuFvb
i9W79dtKpK6nNqch0yaHbJ4aihV59nOaI5UTSmrGr+04j68EErAMKX7Tx4KC7yTyiRVwRX8viPdT
TH5GVQmB2Sdvb95I41UHzY42q6cFoStvV0MmPhcCAjmDB2HSmPiZYLBxJTQVZU1XnEHVnVN0+Zk5
EKroaaJ8Jhzaw6PuvKZKPSS1XX0Hpm8h/kKQAjK9sZZyN/SF+KybhAaO5/xF7DWwgKBhIuowi3eC
E5z/PKocYdwoU+k3EmL0G3I8FY2ddqfq9lBTlvr0BoS1rUqzqyBWTVETPtPBo9zH8p2a82PWYWNa
iSGxMvsnS/NDqPx06ZmHVnqnf/eaj95Oo2fcG7hYJ7qmF8f3KBm10MJ1n7ixbNYo/69JfRh0GeJm
r3wZK4NSvS9/Z0v55jXIdIY+W1i+yuZIU9s+UteDoh7fSWPwXyqP5KWiIq9hcaJJUCSbu/mcOYx0
IUUPZm86YXgmVZ2HadAT1gTyw5XCftgeSkkGho42NGfSzKgZctUsMxD9XFaLnWpGqprILEkEdn7Z
lLR2otc+qnaZorhvx8fMTqZH0muTY4AFkM5Nj4iIbnLu+Oj+J3LLWfHdY1Vq910G1Jh+jBcqhJdn
uu8WlY/EvcvN9sFDAqF8M7mN2LWeFfUMHI3am9crwgKJucaalh8tzfJubp9dETg3z67DyVRrYm9q
tkNpq6QpMlOcrCmqnn0jBWYfC3OvleLNXNY826V6bHGmHGw7YIz1DSB/WXtOkoIJgyHQMszNma4Y
YsQuiw8iXpJbaQd/b7KgC6KiXqqKcar5rirNvW4bTSrEEPgCKbkE5R45NmUE0b4g9jeevF4QP0tK
Z9gkpVuFHetQBBAkhy6Tbz/NOb2DTj3l66atwhaux1XzWnev6KruDeOajnrxadRIG+fZGA7uvBiR
YrZCqdvKUXFqOZqbPgmtiuQxetHGofRbZ9dNjfmQdVa5w+2nzoNG2XAetfEk54mwACqpGHhqP6rH
1D8aWfvSu55/paTtX4MEwLjMl/aguaIKl0KKu0yrlxeZv9rruJsYmX8aqrF7RRrCQl4qUmSU/F25
ayT3DBKlGaeGTGDEGq4vK+IE0ihoVhUMkblxldyAD65iUJK3xowTM9bfrKEnV7FAelW0JuwOI3me
F43gFNG7r7PifM8wiv1ZVw/Em+zoSFOjRgOnuq+gHRZyvVmDOrGVH7e7CETuXLGgEadEEOqCIClz
MuwHEiFb5KWLjamadAwJIm4cf4+j0T8upB7sB4EaqKcEe2MteSwMDyDFCNMlKsmv8FGXOHYaf+Q2
WXvFqOsXM+sfOdHo5Jv6sI979KJuF3snYz1UU9GE9HSWaBxaeYiHtYGdxfZ12jbTPVUfOEu0VkWY
Iuc5o7eN3MLU76sxU/turN+JtGh3CI3J62iXc7VY7lPrYhwQ4gIy2v1tJwm64j4nvcZr75gdBOcx
A5SSiyJ/ox0Y3GernNy3usghk3Ln24H9XMcBSm1qeoWVRkTipB15QV6co4W0mv5UzxM9frP+nbUJ
S55M3pf5aIccF8PFoKASef0QWrYZPKObhlhZpPZ5u4vYa9h7WHMfF/Jip6ZGszZ0FsZ4zhVL02+o
mcWBSqm7G+ZSvwl90G/laDKi51wSSY+XL1P/WWmQjU1PyhfBFFlLzM/a1fW3zOWrSDSSmLZb22Pa
4HfhUlknT2nIJzFdvVhlcKOMMnwuMyWuZh4QNhndrp46om4SwZBBCPsRM2pPCzGZvyiMvlhjN71k
LbHHQ1lgAHARLPdj1T04En55Xi7WbpGD82aTNRLOQJd/8JFojGW5+O6V/9YlyVPGqX5KnYX6oq4e
+wX7CW0Wlu0qdpedk07+z9Ula+YkhjppUl5KHc2TXiPeoRoXv9oS7bSZ4vxPy+ne0jGbpZlcnQOi
vGCy7SJTN+KoOJaWPd7lpGzsfdXH30S2o41v3B8EMnlHodzfo0fl1+hLlC+kRB4InNCeKSE3O9IZ
i0+Eix8JzUmy0dnFyGr84irkCWBZkyfGT+T2BTY+giodapS0Cv5QU1dOngY5K0yWwIvMsSLNxQsW
ID1eBkeOTdbT4GhT63ur4KboLA0tIfK07/8yGSIvbfKoGL3OhUZQQE79lX764B9ilzazpWkHQacN
ebWBCzJrc9TsRnVCidWGbVzR1B3UQD+r0Fjg2RS2ladOOsmFh9TWHChfpDY6lH13RUcbj/helkB0
Js/+TzxowZOiwLWTpV+daAfIA0OatRMOBWXDujprebi1RzPcnHF/A0Qe/5iq/wEs+cfd/w+pJP8r
KMFCMAs54H8nJbz+NX3L/wlJ+PsVf1MSAutfDjgDX3cNQt1ty2Nn/0VJ0N1/uZZperqPn8z3V7fv
32QSy/2Xjcs/8A3kB4CmHIzH8g+ZxHT+5TOxIDVIp3TrB7r7/0JJcGznHz5FwzAdG6eQZ9LecdcB
6f/2KQLL1AYI+/rFzrvh7MrhpR1A2qgE4YLwwNEG8EaI73muEkrywTLf1X2wBxV8GGaeYpbNHa0E
WsCwtB2/e7ac6ptUmDpc4Ymo/Y/ITF+xaFGZDNKnxvFfRpQ7HXFnXbo4lP9TDEqL/VZwXd0Vuikh
rXbftY561+Yon9v9lJkPruGFVmZEBFq0qAjiMwFHR6+XH5y8TmiTiFw0zCnJwnxqLXlPD5KrQT1S
fQ6mLNRa67HsubrSi2SaXhydSV3NXiX7ZFl2nfaL8npy5BrjUUjzQpqzoekZ5n7Eo1CWRnVYvAv9
QT30MqM5+AUmBaN/h3cZLkYx8sHqk6ZlrzJwU6x9qMf7nHJ4OyLDyybzRJlz1/TV0Y/lV+sTmdLZ
d7232ivM9OJ6fB+kUND7N7pIDB7rqrKtrmLUeANmQud8SEh6B2V09XIMcOs9e2rN23bL6FyLQVO/
cRU27peZ77kWWXASaHT5FLa80x1jukpcFvsZEOHehJ7yUDsieYytJVm9KKdajAQGzJBbEJOh0Ucn
+8ikeQHk0os/d3uoho80DwvcFkfLnNMDWab2qzdIMxLeYDPBH1JE1PFHEgM81oOkIRkmQ5WpgUre
Np0/aw+QrYjJ+FkFk3eOF0+ZIZ2a5b5KRH+tK/PUUN4wQ71jmhXzKyMvz+2dVTXuNuPC4iSs5Jib
RnrFakVYI4f3jixV/26sPe+um50w1aaGNv/k3dE77fYl+9lnawd56rwM/FgJFKrngqVSnJydbk6n
cqwf/w9h57HcOLBt2S9CBLyZAvQU5f0EoZKBt4kEkPj6XmRFP92uvh09UdAJdGCac/ZeO3B10igL
JR+EytKtSjJCjzxneKh7x74z9Osx2Ke20T/pWsMf/R1fV/xwuWI6ODumZrz1HMSZAH+fRnrTWDSz
V51a4NHSRxZmrshfsYi1BDY6hMsK65VqinqMreGZ9fj4J2fuIDTStu9Gl9zvpqsRRMb6FM1Sl0fF
Oe1pifbdEYA1+XN7PXbYscaStoeuk2MY1NJ5NF3rOnDz4drVARCwG3iYqR9/+V21T6aW5XBz4d+5
6Vsz8RMvgy0+7grdw+zep1ORvxuxQSqx0fgPCkvkOtG9dCMmNwj9eoRUmQ/JruN7vlvieoyywnfA
+iT7diziP6OJj12DeDJT7iLGYYEnNoPmFpZ4pYa+LmPXvHFilFUQRqztrAGpCNSUPBOUZ2/aqrHX
PtTF56qw/PXoJPrmcm8wmVua7wVOUM/fFa1UL54wXpjxmlthW+SV9Nis/NhB8S3E+FWhuW3j+2IR
VoQC4FhWY3At5ipDKOQGbL0y/yo1cJXZtWgfUxfTcM5Tl8LA3pAv46Mf9+LAkuQJ4zz15DL5qLQM
VkdiL7cNm1W2lOz2zGomzZEf27FriVCcfXQsZRnMD402zQ+1ae6kE5TRJGrMuufbp3QEzpkpY315
BPHRwa4fBd7GlKxIr1J3Re/Nd449TCeiJg6/N/FdFttEz46Z66Jmwor3oreAXxa/Yf4/X8U/Modt
GvOqquTYTyOlWaO4iZtC3DmLLJ4URV1ytt9pmy6nqUvrR3rk11ktElQXXJtJycDpXyY7tnkR4fT+
IyNQFqWVSq5UVugvVOlWdIWcR6LE5G3vBM/OmepIpvJ9Q3PobmjqbT0JO7Jd5az1vKxONlDRk1bg
XLBkvvET0y3OnPeMLcGjbVrTAfMWKzMvdh5aG7SiKuPum90pTtTxauw8c+VqbRBBn61PNXqkG74/
jZbomG49Fdc7PWieE1sTD1ptVEfJdLnCaN9uvLbNdq1r3ST6mH35vnHjs9T7nDfScPdobdQLjhzn
ALVbjy5XV81IRbuXHdZVYXuvJWcVLZfixcbaf/Rwc0WqqvzXCbRDpHN6hdnUWmvPTZpXuWbK71/1
ZYqPZdZ158zln1Hj9wS354Yqwfjsapa20TMUH/0YO9QDRB7ahHne1ahZwkDgV4wHz1v5Y2ff9koQ
MqTzE6YQ04QyqOrVKPuY1OG0ffYavpTKGzK2SvU11uLgZsLDFaUJcONLl8hzKMKkpXo1Y/xmLAkz
WqaNvPNH+rq2nj50k81YHaMRc5qmvDLz4aro/PHWLlqNn3kuX3oHIj7stoOrYfWbBe0s26vFHrlj
9mT2XbHOdN7R5V6k/h6FwKu6WvZsudCluF6/0LSQd0ayyOPf285X6zFvkBbqzzF+zJN//nO5NNW8
nml0YHjMxUj13xyPl0tFiWasWGguVmk8r1EssKOrGZ50PBQrn3Q1uhFmC2vwLCIOqu62pPrjFeKH
kpWxDUbZRqVtYY9LaOPYbnnIapr4hl+h9+VD4PzBpkrQRsSJbxFs8mahrSMuNqFlq8t91WQbpeVM
7JPDKqf34qtz8ihIkfzaPLRFf1tpQ3WnMcpiWUJEqbnfxsKCyGZS2Fb6AvzMFCS7Fm0ZuZn+gPue
XWFOEPtixe7K8/tgA999T1foLQmqrZGM5nqGsLRzpv4Pg/ASgpUMbqhrCTSGOPi8Ij+N9vxhdxha
ZYvmwWF+kIXrRa16yEY4iOZIUcwaBp6WHodn23C1vU9P5Y9L3jGiFtGkAYcUlJUMh8Ql0Xc/cWZE
UvbYqVwqY2IwbrUhbggbG7+sWe1plgg0buCw8e10YUP81s7PPTtybPGKRT7Uc0llRS/NjefOGOOy
FiEyxZI2aD8TgS6CX+szkVv4oK018L46VEm1xhvwbHXmp1HR9PP0a00nkU/ab36bbifDv5O07tlj
Tt+e9FI6qxVpwpn7lEjxjE52Cz/Z3XYSeVOrvouWloBTapGkeUAR/nNs3DEK8KWy1PAI+FrpSl/h
skHHmt6BE5Khs9EnHXDVGL+zxRNh/SUzl5N5kFHQk7OFkGmM9N5AaAdpZFJpBKqESnSWfJqUXUO9
cqBlh0NXfmZ5/7rYeIdLEqZxvJ7r+lexUR4AdVMocoyXZtAfYq+4bySe4Yr0cE//meDhTuoZM9Oa
HsyqTZxdbGqHBHBevAAoVd6Ks2m9sP5bxttZ+BFcGrq9qXY/WtpHMUFYT8BrFHKVa+6OvONdwUiM
vGF+ROKQRI3WirCQ7E3Ts6GV3XaT0PYay/vao0KN6ArHAp43K+9W/PpR7/jupztlKSwwfpJ9vu9M
R4QWkZxEfPPLttyrrrBWid09Nd4QDkQKzTRM2+6mS+wz2VlcsX4qtoxqHnrWcDbma7OeAhqNk1j1
I91NB9O7HmMZDrwbQGmhRRmkJtL5aHZcOi+7M50BpqLzJ+P6ugzGN6/qjs1Sf9aD3m6Fps6ZiqTu
9FPOx2jtKnNhn93FodPxQwx04L2GQwU9ULeGQjto5UUdDX4MRoevp0/lgyowt+l5Hta+TmSy1cIY
BXzLqZ6G0gfwtiT6s95Y14XuQSIKiF/rnPxt6SwvFJSqKDMmOFvy9RKYMwu58VlU1ps4H8cwnLek
L68tGU+R8ossVOl3Z/MbsbTukwTTKRRS5JH7hFoJS43xJ/e/mAFu477npbbYuzp08ML/8Sv1x3bN
K3Ogw6GTxxulVNQK4UzMk+4KMcDHaPnPyrC/R3f6Vll3ZbffQth6VDXVlV2ne0ecCyy0olMnuxum
gj6M034Yjdtceali+lIElDMXjVn7js6GwL/O3/rOvGvSFIne+GpM40sinXvhutf4hO5KE8N1Y1Wh
qhAC+fLUoCO3caOzNDLDpk+/UoPgjvMJWNkKHRxKq1HmVKJa96Yv3KNc1DohvV2jOUCtn0L+LW1y
fpR9zUmyYIuwLK5p0y2OJ7A/9jvSqtuE+dfVkGQ089JsRiGvEmHvOpL4oH9kkEqw6Fe34xi3Wwkx
aEnqMuyrCkClZMhKN31Pz0SToCwIel61/rtdBCTyLcu39MmQ7bEbCTq16GfR08cRiwYEs4tb7Kwp
uxGlOWxdY7z1FfrVsn+PA7lvNC/f2KPR4VEQ6Leyk+xGbIE0vLYuzAjD7vSd6py10JoPJDxyjzDa
IBpZc4BIBdjA2571BnoWm1osUxKfQbDM6ck+B5TDGbn1+vgxa/qfQgk0aiMICavcxAhQPpP7/MGX
1gNSwQw0nPUSx0ztiWi1lYYgfMQ4u2GVJfZOwClVB7jCqVne2N3wYqR2eTX1xKbGmSqo067nfkUs
Y7oLtOkkzq1xrXzMLHqeptPaq9ICAighBcadvUoUo0kyUp7qAnAwKg02sBfjqKO+ttVmjI/Sdp/T
Aa+o49c3XqHyzRjgiNVj71jwrR013um54KWsMVm3enmjaTQyO8e/mSZfIFSrNm4e5Cxa+gCZHsgc
n6E/okX17vae3LNP3MOMj2HG+9Wud6jZ5Y156Ct28Rh/vowBz2FbQhGcAgr0rWUDRqwUgoihexVg
vobeXys2/g9FhRJxid0P07Io+DeMfe+OZtqoCdHO0DI3GezOwceWvhCM7t2lKt6wrfWjrvfvXarQ
YYKNhYRLpsseuo7WU0MdfOin9Z2KGeA9yrhCUjKv85jWgXacmF79KsC33kO0qclhfBKxijQAeqs+
yF6dsiw3vTOd4PD8pIoGhRyyetcWFTXLzmZjDaFEnD1i/dkyRhAXvZPf65cbrcB9IdHXW19un6q6
PbhC/d+Pu9yd69mB3Vi3vfxrj92wyShG/HPIy516zIrQnvWryyEvN03duJopHoaLz0QbW0l91D1F
fb2i8m3TTrEcNK7Nda4oJBEETYRGg6hff6Xgccr22OlFaGrDvhHDjT30e5+yD+CZMayl++pk45+i
Xb69XH13Vo8jRsUrEVh7a5q+lwKhIbSGRyaxI1IdxPBzhJSzDB3TBkJgm99KRewp01XfGqeGUOdo
/EIg7G3KkllgdIyrrnVXdlbX9OwsFKdDkEbCp23864/79cwtZeyH49RR/pae3MkJTfnZUHf5Q5+1
wsfgPHXFrIEMyT6qlJ6ITs92nOyO7aoXljOWm9lEQYKnZILIl+iri4mMrOiZ6fpsJbtcv/jJWrkr
hvIODIO+FUQmUrBqpjCmmqQCgHOFW4IzdFidLWb1UtpLulmImzsg8KhDxGbvgAIAnaGNw+BnwRo7
/zH/5xKCd5ulVMKPeK4KRPpmsVcTCGLzrBYDiSCsa1jLX6ZLDU5/GMzkuZySo0BWOWTGKXD6z1TE
T14271Lyy835Gpf+dO4TWvra1OoDgJLtmC8ny4DQ7drmVQKH2Ha00JQ6OK1xm80d+5lVmbLp4dxg
kxIFvFg4d0kkWnONyK6IvOxubK3xoOR6cL31EGjv3ZmcOXkQWOfgq1X+PhNxeF4iOA7L2T5eeQF6
AsM5enV/GLq7OZGntu6wg9GBBTRj6Nr7QOIGtT+W+N3aaVDryfTdWPQToh5+S0syUqOLqab0BETY
+q1f09pK72scjjtLTtfBbFLTBIGzlPRe7SPR1i7KmEJrr2w931Z4uEOJukX55o0Z5zdFAjplzqUb
9vW0HdlQhxC5eJseZ3CNLrWRFC6b8uCwi/LLRzg0bAzN+IVoxG2s5ewvsAWbN7bXTxsdQEfs4zul
JwWYrC1RPu0tJDsoetufAudEUGoHX/niaA4SkTAVAR/9GuRaGPIM/OHMqgWR7N5EbxyWLWkgwqkw
SbSoUeVVV8VPTevqKwTdNznkl6hpb5Rd+9vefiOFDwdvSno4Hcsmv5VOCgBK4HtNHUgoVLEPixy2
Vb2wvhT5BnHySyz99WxYTlRmKRXWNHts7a2s0M2PHbsAFhyc+oQOtP3DwnI/9APapb2L1E/Y6imF
EBXZ0MhWWveWUnbwgbOxY0KWLD5xPuMVLbp1nuWfeVP5Kwq3VCYVtMLpZBfl+xzTF7LOCIk66df2
1O4AMCDrO6uQmjj9UsqS1xngrMrCoVQwjZV+8AK+sw9jiUs/G9nKQHSx6+m1KzOspiUyZ/Fi2Io0
xOWTvBMUdaQvbBzTY2TAKFMtD6XZY9PQpRbZqOgdXXvC/xisbERSqZJm2EvnqGNmKjPwXfpNQouX
nvzdmLTa3hhebVvstOFFetnBStv1JLu9Xtr3ea3AsXnGNb3YLCq7TET+6Pz0mnXSAIo3XX7TdCpk
hY4CTBjEbimLGsq1KMdvxO1vSX5rGcBBGmSWdVtV596atZlcRjQoUZtxSq/IpkzeZNt8Gm6xt4R2
NdvyJk6eiTS6s0ZWIT46q9aP74xgDlYJSxHXEA+d0F+geh2duX5ACbcS5cQcXRyXrozgZT5UxPTa
Q/NR0J4iqAWuZWNhSkLE/JaimNi2i/0nzmn+ez6NayQnj2laPFRL+5MyUJikPbcaTP94uCt1xhyP
1qnAk9PUf5Zs/hMzKBhG9eMHxmmQLS1w712hO5MomRinVoLwlqhtqP2PRlNtJoNhpUCVk2Wh+YbK
OydHeHlEMfBQnjVk9ppf1xM4N+BP/nsbo2cUGYreSQLV9aia+fO8C9QTWC+iKlVzqM9L1bgFdqzR
cTOlgZSb2DumAJkQkhwsTagjYzJUvaEfv1EZW8Ec5QRT34Zq211pYHFwPk2mMNrbEWfwm2UA4mIR
pOrrZpn2w5zcwce5d20WZQuVYknZwyFXdipu7WaaeCvazTzguHWsHAbeKTP0Ocws76HLXVhuau9Y
04qKr0912nib9OA+BQ+R+Jm59lgb6om5hFOHDs0rebsNXl4kcTn1EMUKuly7CQse1O53548YF+tj
UAZtRCw2S3nUWkP6qbEvW6m2YZnDW0jfcqSIZQCeC0GrCgWIMHM2TpPLlRq6Yr/0jJ6Eou3Bdt36
2ecoHHWyszQIHUd7LbPyzcr889YqgCdRPPdJXobETdYNiSZVdnP5IQ0lp377w+LjqTq3zZMzx2sg
TrXzbzsXR8ekAqrtmmniczXYf5B+qfT5xYMCSheLNbu2sFl0wQ+OxXIyDfZFbnFFe4xjjWFpccYw
owO9otu1TaWOn5VYuwLx5GT8KT2fQT7obhMDmZaJ6101AJ8IfMyiPqeCfd5uN4pgoiYxrtyWzqtR
BNd8+/uxrrPIP9tEtFlPQ+yYgI94g4nv7BRzR+R60Opi58np3PfZOTtajKeYIIponH5Y4z7L8sGR
Y4Mwyl/FmC5WnFslhppJgdtImVcyX1tJMH+sI9UBuTuDQlH8OJOrr7sJ6fOs7pOW5y/lKDct1ttw
Ms0/lY9WD85Arpz45Ej5NJVzVEHduV66AO2ZQJQj9KNZLhiXXTbawYTlUSqHkivrUkHxSffDdDRo
ui0RwNVmk5YmrcM6AX1gGm+LgRQ5f1a0YMKqiKkznEfITrzBKfxwLTh0Pmg6F7PnlV+yDqUdbYac
Kn04N87AODogmWNuHWfAvaZpW+zOHMX84+HPgK7h2RtXGkSuO3ilxhKpDyXthEqbX63aITW2EIZv
PS110esRWGYnhX8YkPdMJTbSPEufemlBF+j7TT8EL4uuttY0fMrOt8PZXkCbOMmNVwaQaKiSDtbD
0M0vrRVcjwm9jLLTXqnYEucswzlt6l0F8iN004x5lgkty9SfLEV0tnRFxDbvZ8FcgAScPSt9PiB0
6CgGj4kAivua+nqwj7M/lO09fkJocQiLqy3zTZyrKUwbX7Ovr+3K44tLi2K9tKDsDO8+dMUwblKz
eU4hljcDL2BMkZOBsaCGFMi1UTVwTUHcy4BT3MB4F5pj0q3Q2m07e3Q2gxF8srx5An4uWQlpK3Bm
I2sS9TOnw2fV25sh81i7klkUxobLBjLe6DXJvcYgn42A/RPmtLla8/UevYR6kgLMgsHPWkmQPuxT
AiTXxROmUYpRKxZL0r723G4+wvejSps0xlWKojXMkzh91lvzTA1M8DstMbEP4sNeXCQuZ0J5PJ7q
2c5WENL54NKZ8prYMDyrlTOxT6cHBT4RrbY2P+pFe8Y63qdBwwYN5PDeC9oP26SdlCb7oZopYo3f
PukW9FVeCpAH4WRUT/NUqE0GTzga03zjIEOpC31ZN4a6Vo34rrXO2WjC2tjU+Y322RjoS7uZRzEv
y/60x1lU48E/J1ERCeDkN5i1gOQp/xsIP/V/+no15WoNFFqYVDYt6AkLgKo22LHJ7hgrF9W6HuYt
it3aDF7cmU8cm9dHLVUGym8dIEqNBkvqSJ10DIXeHRvaxzSePswCbowaAAiCR9sOuvXWV57axoNM
onHu30VJfQt8Qr5KZyTcQO6YnIwbh0ahE59DcXxGPksrThr2Tpg+NkX1fF3QTVmbMVM6S3ZkgF5A
E6d3WYKW/q5dsHRJZ15V8E82LhIbWz+00tMB+FhiFeuGu8pdw1iNIv/qaJlFU50/eiXb5rP0Jepr
jZGdIiDPbNIRWKFmzFazJt6dOIVGZJ3zr2NzHUBziYx+eU40DOqVNMkU93EZurWvVlKfP6XHTU5l
3vp4uSN/PiQXfaY7cSvmVZw6ay9FZpA2R6TEu7bHYhTDdgLu16/AK2lnWCBZzw1oHIFEF1o4Cp2u
HtaEYFUrpGNnUQGLSecl9qw7e07IJsqoEvqGvwq8+q0BnRXIZ5nLepU2gdqVY2wc4UUaNdJn24SF
0z9ievdWIwPMoVoQZ4O+yWjru9dxyS+ZzpO1yz3NgbVi64RNjNZGzkwyrdsr5h/jO2PzF6XkSqaB
s+mbhiE71Kaq3BdKXaWTmHZVuZRrMlP3U8AUl9f9nrX0HVLBdpdP6Umz6DZk5bzPCrLU9VLfJyWO
w8VnGeLahKOaSzQHIt5qEstJjga3FiwR7H4mOU02TDBDjy2WDfkitNem9w5ZB42ODHS4nEc9aWfy
ZymoWL1vrG2Vm+QajEMYFwtjEbQhQMnqj4l44lSiCaR7Vq706j5L5jNm2DsB1Zxp0vLDSPQ13ufi
qo6zh1hOLDx8XpmCjdHZSOFp1e6ytNjkdCexiMp79rGIR3Uk7Dmd2pHE5MNYN9sFJ69Z3zo1jYWW
fTZAqvJ+ArT4gv+eGk7TOtoX1bn1MrgYm8zIOHNU7EDcxCaKPS0fsy3P95HifgxBDTJSV7Tj7ZaE
xLH+A5Rm1YgcQm7qMcZqmAwVFRE7ya+dGjyG0O9bz92PHuljziBTZpOG2CqX9Wbs2i5oGkmxzftE
/1PvHCgGjOq5vzaYo9xGYBoyY5oOVHwm+pGJZ/whCkMcZavddEV/TD3vyVdndnxcFjfIXZ2+3LS8
pV2CcHLPtuSo2cjcFgT7lNi9PQLSCMkR3By9ulVyubI8RKtnJ4w+CPzwBa0OCMWG6Y3MDh2ZPeOQ
0Fxix9R7y3op0gfLr1GTJwBoyqzV7/DE0krUrKcuaO4JhJdsO5BsjiOJznG3WbBxguu09f1otAQJ
BtN6oea/ARY7wMdYbkvt2taGest5d7IKjYihGuXH3APzG6lLsIdDvJN1B2fRPro0f/JfKegfS+15
stXeatjuTYmDCyRg6tG/rWnEuinKZ8gGl1oQHQf5AVPt4OIKDpE33I0jwlOc3pJN0szK1a/ctY1Z
P6Qb/TKaGLXm2tqope0Qt6DgVe3diPU+TNEEr4pqwEXfuD51JP86DXCQC/SzoVmTX9eX3rVWeMcE
fffGsQpKa/KN+MRsq1qAgHoVU6g4wVx5ozrITmTok8g1o8KUfsiOoo5sAizofNjXxPFFk4yYLtyd
V+HSqWguAzF3R7EaTCrZTLcEwqIYgnD8x21sAEE2bjgLJJNkU23Uxpch/C7KvRxEswWZsQrkqdr6
8biaejCwWg2ztmD9W8hxG5QEMmPVUzJjS0VRvrNqnIdFW6/Y0wVRUNjx2igYsR3gJf1I4dsh/Bnx
YayurbqEkZBUx7k10P3KTo+QmuxsT/wkRk6Zq/ixcdqsWr4Rf3SttdtlB4kkhnlg46VwNbPphtjF
A46hdaxwivjZ+DQ0+UNuU7YEcnTALPykeDfmOLyrDFXn0K5LdCj4a02QuV69seu6XDdK51Qfp/PX
lN8PVuWSQHgVGMiX4wBYIt8a2/3qobDB+7RLWm7HxkuioSm+zJQuj+42j3EM8dUo3iTtdxzMDERB
Jz5wae1YSeveQuJvAgnHa5ofGlXPC+xynd0dsTsU6BL57BnzSSg/hoRIuW4aK6iOuLRlVn64yjIZ
Oc1jYOpfsYvJFCQdiNzGfxzdbTpa7qbJp1tyJa+xCxA4maU7hDVyHVPEhetjiq1fCHIYpoLNJyvg
Uve6O9nZx4x0pjUA5E3nafGhNMyHAVk7XRUahXrOpB2/0JjqNxQr+G6GlIKTCUpGtDi1mDxtKhpR
NlfvhChiPD5PS346M+4Hh5x5PJJlvm2rUay1syl3Zj/Zujgm8cl804pr2H0gvEqANozU6WoVlIcE
hpI709meaHahWrIjd+SE49CMDDlY9/7oeh2VDjt40FLSH5pRfCGmZxNFBEloutg2lWXBVhFuyu9Y
28KJ3uiG8bzo2lefzPZBtM2+14Pi3r/yH405rY8i8cOpyV3qncmDa327eHlvm3y5S2SHMyNbxXM6
X8/4F+V5xyWKHr2dU4TKXVSkd6d4qcZTM4h+61stBF4/0cPOHeoIW+qL4+v6qyuc+95y/jRO8ZpU
Rry1cwWhH965d+9QYN1aQZEfkUaRw7Cw4Gzgc57cigGysP2IMlO/0jHNRInj7+f2pRDLvI9bID26
0/0hybYDz2VFwDNuh9YaGBhYYjaSgk/ba/26H9pVkjjbdEAiqUSbrLvODmutvI6VVuyNUakbw8uv
ymQA25P1+t5d9BsKB9DecqTXkMQ6BmM9ld1usA3BvmTS1wMVeqhqMDwSyNrnP1dNlsdfaUWLbe7a
de4GW82NIenQX8KXqq1lN08riiPb2YmvNS1hzrI4Dfwxv1bKfYB0Yd3bJRjLqbe3c2I8ZPSidrNe
k0I0gBlxXBCS4KtGGvsHww9OmmeC4J6NJ4MKoQMOaAOXX4uKejIOpuVjLqfsqKABbxS5OolTYP0z
cGTaw7I2bDnwe2+xmp+r2YGePRvkB+PIGj4EDpVtykhTu1oFhpoKWZwOQKHgoRqljWatIOqGRCSx
RweiM5S8l0gqomqqtQ299z5qM9pAXFLMYfqt6CrAFRMkc1l+jE5n3BiS4OnqT6w7xXMZl3dZaYEj
d9dDC/02KMeGqjSujWAj0+kej8tZUTv0K+2y+9VWsed+Df3wonUyWGduDdYqPecVmM62Y17WYQC7
ScXCNCCU2R7am2kwmSnHw9S0y3rskj3jFLupOn2ZclDIBfBJVuzxdj7vOL8yn8wYO8veWjTy24py
NV6VGud6cag4qXfEsB10lEl7q2NtPTWzXPVrwngg3CfLu8VmeCZo0MU+u9YbuhjZ8BqbfbaGDPQm
zD6OYkp4ESvk76lvcfMLHOTBMIhVkFG062oWyHJSxdrzNpXG+bpMUiC6FYxcPS/WrANgtFCQ8bLT
hvCOLYON1yD1Hzv9RWd1v/LG8VFPeuCh5zIxtPh2JYF5VxmJn4NwFTUnQLkOpL8QwT1jSxET3Qph
IRfpU206FdhyG+2saZ3hllqNLZmRDy1Jt04s9dEP1c+A5wKhlHfb9Lq9dYMF6hh9hwjhyjPxV8yX
S/0sJz4325LLqvSaaywt1HjNZcb2OD3qI+hwsOKA2UqLW7pYOEVEi2qfBsnMGyXDLKhmPIxnMt7l
EvUUxJr//9vMC4Ty94HqfITfw7QshSK3S4f6aOR1F10eeHlM27kI7S7XqeP7Kvp9xrjAbcQaiVeQ
qZS7Lv/wHxd/j//3HofBxvT3/89X8fdF/n1G5juxrP/zlsSO8WB0tiyPbo+39XKYy7P/fSGXZ8Pa
0VS73yduNSyAu8tDO3iB/d/P7+/BL7f+HuVySffmnt8DJ+k+GN8T15YHH+P8vq5mcz8Yc8Mwk8GN
PF8iK6X5e+n3Nn/BuwUp638/JkdkRVXtfx55uZScR+rf20RcRnOc2xCDuP3vES73/v3n3+f6/b9/
DuNgAYkWIzEiw6WOvsYkgrNRJTe/LwS/15kpf37d/3GRpEqslb9Hq/s62Ziz81SQ8gx0vtDVxpc6
eBToZpc/uVrABZ7//HPb79XLJaKyrjzyPzb/3H75/8ttl4P8Xl1YhbL3qQfKLTzZ7x2/T/Z72+Uh
4PeIHfhvx7rc9s9hLlfha3ShIZw0ogKy/T3e37d7uX55ulq2Odkm/+e7/vug/3bYy/8US3AIhGy3
eLeHg6hZlhm2NrL74qoXZ7TRzn/+uQquBGbbP3dP+iZf/E0enCsuOiTAyz/9/vnnNr0BOGLN2DN/
n+Gfp/n933+e6r89zghiXtPvsdAXdof+sFxuvvyDDWaj/PvOfg/wH/f/8ySXq//erQUVQeW5XP/X
j+D3sL+v478e5vLAfx5zuQ16HfZHz/qWmbQjdL7ICC8I0XoiTAnsJcTGW6hP2ebvcDFZz5oDQHU5
pWb7dBkNGkp4YDGxAdogLUBanqsP1dosMEihfB03rqWdJ7FizQ/uY8B1sKX72x8h0vZH53yJal1v
s8V24ekahbPlPZOqTelM96tHPe71XZDm22IeHzuZUXI8+969mhjfWaD+kwQbtPF4I4zm5CxMHLFk
zQyH6Va145cdx6siRU9g5QN7D/qw1AC7s1xXgQnsUKSZerzFcv0VlPOj0QbFJu0QRVRzg7iod0Ly
5rK1WbFKSooTyAy4zpne4J5p0ysXFdQJ7GCUNhY4GAXowUALQBPbWQVujSCApTBd9HZtF0N813Zy
P+vKwzC+6HfEDZq7hbw6y2W7OnsvLE3Y2gyFgYSdhY7pC4ASw3klRg98rNjq85musNVRsclvbNNw
I3o+2hpvO71c6jGYWhD6L0+g+Pdg2E6odNsoE/ZbN3WHplHlhgUUoSrM7axQrqCwU/YkSWTFjr1Z
iXqvUgnSoWCPkVMG1MB2rZLcCHWLLgCZJtlm6vjsnMHaxX6aPib0EJfWnCIt9kl7YGMufHVTjPOP
8Phg/DF4o6dOe/SMGwBrFWXQNeI61w+wKuctvbMrkyRBRE85+5Y+fenGnzxmAanrrAhm+FJbHOOe
1g67waT9rfX+NrNdPmmbcnorJhyF8/TMWnLeiE6HR4f118tuq4SmPbpA/tellLy1NKXuzTNmWU4a
K/Nyibz/Rdl55MjOpFd0K0KPxQZ9kIBag8xk+szydkKUpffBoNmWlqCN6fCp5QYCpMFfQP2vbBYZ
/My954bZe6eAwbC+L/a1xoCg7gko9GZj2Nky33poNALT5heP0DXuM+9uxHa99zp+6BF0LjukSjvq
xCEzXrFi4a/ZQQK6ijydtQH3kjTp7GPtV5IMs2nHy3IFmakrAY3MP6ywKZM71gON/S41EV4rs/9q
CnBUJrffGhmgwn6PVC6OBQxhPbXppwSA824AYO2v7A47Z458y7IzbTdnIIxdKPDLQJYdjilfwiRD
zO/iDC0RXk2k/EQe38tFSbYpJdkG/agmSLkOOjptW0RdeDdBjZ8b77POS5LK9OhjUoCePU1bD+A0
BsO6ME8gp7DEyuXH39qifMXEylx7nF/9hkhs194b2o9YWGZmYiUH+I/F2k/1OxyoHlD9fBPG6nEy
PPxp/rmH7baqNCavmWrxm2dfWWP027mhMGbwWG/hF8ZLBe1AhsclVfaAbUpmIYSbzNzS60EODMUN
4waogwwKtq+9/uE0BNj4k8A63T50WfOEmD5f+0wqXb9+M6S6skODq2zJxXn7XOmhtba7lMl4SHgZ
enj6DWPU8RhXIfIp1h2piLFaa4QXNMa9m9rPWspQFNtantMjdQXISzDKR8szokA3+j3mYYd/m14i
X31Am2vZGlff6fw6m9mATC3+0hPQeJ355DXxk8J9AFoC/Mlw8o2t7ir/Q469t2FcNU6I8VKC1Vdu
aP6WOXpq3X1LB4dci/lFARKwTT6sMIaLpaO/k7OdBgpJi6y7c4g+hNHUtMvi2F0lALb206erIBHk
kEj7dwDY7IXkdAtbfTP0eAZdJomYJDi7bRZhjSoRSYGKRAuzibgm1m3Vo45LPxQv0qqtEcJgszjU
IHdha7PllfSIJITkQuD36aoTrvW2cMI71CgyGEJCk5cVsjsWG6vsOQg0Jg55/jpEfU5aCwlbXcs4
ouuKl9oxrLVDil0+EpATZcO8cVudgczIRgyVfdBp+bObmndqXIbTL8pl69skGVZKBBGJ+V1p2XeR
mF9dYzHlwGAO4zpa9aLAMdNTrhUhsbsGQhovZ6sVT9GrgUphLNB1DlP1oKfNtekmOHPTue4ZdHYM
rMyBHziGyd5hvdNBGQUj+H+YZ/UNe6tVUrkkOoqIvjUaDxX4ef4iZebWW/QijEelG61T49CyVSeJ
GfNQXsEFYrAF5rFpXHBqdVCN9m3s5cXG1vN9bICNjEIpN/0Qov/whqNksx65pb1peOoGvZWiax8U
8CSN3Q3iPmJpnXLchJb25TUs+EKAQlZisRkY0CgJd8fW+xHkACb1wt5Vtrlz5uGSxeVTOepbGwzw
dgkrxgSRvyUOl5lWvfp6lR5JgI4BitTNPRpgcLP5M5nF+cZuu8e4nb+q0X0xK3Q1CyDIbbZuNF5m
byNgnq2NDimr4bqXqkZGU3VsUiuWMq7dHSAYGsSq7UAv4C5BqfbG1v7dj/JHt+7Po0vikz4gcM33
nZ2/ZSPXRCq7rdlTG1jqHEMKzCd8bnrLUCurzduEAD+r5f4EBePke7pu1Ic5u75kcJHYV9Oae/N9
kuN71LETFDmSUA8IjUzY+BbZ1wAB32rGN9XMPylLWhVBIVfJobeLR/arixe9uq9xlfaJxnY8M3hj
xQ9ATuWumhPCWwx4lwWGV2AdH53XHaIeWw7TzaD0SAgbpPjpwJfixGdxToBZsi5h//Kk5V6yh1VT
EuAVLh4hWd5lEWAlA2FEgClqN7r+4a3oQKA1rDWrkTU9JrVoDa0KZEPCs1kzT03e0y+HCNptYe4X
HXVTh+WqFjDknS+9wHikD689P9RBr1+SOmugqefPJE6dOPkeEmKIV30veOmjK9k6qNfNnUwJda3C
bbfvGCF3vCwcEkglEixXKzI1k/d4WvCjor4m3qJekGRcdBP8UB9cavVAqBVqBrPEpMLdO3jhD9TW
Y5UNzkJCeEEVcjZ9MAVevhb9cFfLCMgSYgJQbeU6HfI3AX4UfUil1h25XOAemA3PXBuZrbvwZikb
WmOgohkD4hDP3JI7myyTA5wl8uSveANQ22AGwjPD7dK/uJKx3Jx744o4hZs8ZUCCy4dXk+Qs2CXR
Y+XmP8TWI3yT+YD0un9KGMTv25itCoIegWsBjwG68zJSJ6Rb8QoN4zs2mA1Hrrl1i2YrOnWxWv8i
K6LrmhAtfZ7g+WK1bmnoCrBQFxnqVC8SoJ9mhyG/xYsseBmFwEFQoLLa9CaZhR0eduYskG+KB/TU
NdccYiY01Cuna0lqhPAfuhB6Md4M3p3/rY99fzYm0pZl5ey9UD7CXaWb8/t3NL+radJAKg/9e9v5
20h5bDUS4Ag+krmcIU3LViSvqmaDbJ6bhyKsQRPYQAzm/NQRpBYZ4A/lHbw5fxEU9TVP8F7V6MCp
jSdCLdJK8TBMzjZ+LBUNN6Ofcrk0yb3B8bPpeu61MMxYEzbnKKl+BVmiKwSsuM4IFeu8K4KTT2NE
lTK3HaU3JqEw8basey991JxcisWIIZvyoyslCGhL52Im2TO19rPnWvXaiQz00eb4xVSKZYunxqvn
86ghUCXz+o+oBqEh3DstShmPuw3S7Ya7Y4CTwuzWUQXbJiLjV7ZHDebm9jaNkl9F5q48OZVBJqUz
alDBBlB0Q2CYzkhhpfFsFfTBbn+LDZVlr5bdWszG2bl+MhIrd6zZboBUssWcY7VDl2t17LcNAoxQ
EH3SKTdrJ2uQvRL0uRZcNNqvGZofSZUdAFKgLovlqbavRa3baz9GTJwXFKKzQwxel3lrH1NOOjuX
tvcfC3iWrHYs3z4TpRAgeYd5hsASq1EgVXSbKttGRNK8jcS19+V8T8LCUar6vbFhiIw+ojG9ip9q
G8noWIdP3rCAgPSIuhNTPlpZDOAeWg4dhADiFNYr81650yopnY+0L+KVGqa1HQE3t63p0dQxL6Xc
gTGvcAZacJGc/TgISja5hH0IgNpwUYKM7xCc2Ps85YK7tCiGJigMXid7sK/RWFxI5sYZ53pENE7g
QjPnRYMxYGMjQ66qXs3upBlbVx9ZAzjag11BaIL0uxxSFcZADx/o9AxuY/aGEFphxsGmWScr7t5U
bH2aJHlsQ+Jy9CkMJmmk6ynK83XSUhE6Pld/pU1+QGEScYdkFFQWDwskfVVm/VqsK1bu2P+w1P5z
bq6SxjHXk6nfJajrV3EjNpnP7l7zuUqEY344nveTsF/CKlgdLHPYq8n02TwY943jI50yfETFFta5
rAIr5gARSxy5QYC1H72Mxbg5rQ1EkcIABhqh510bPhIexB2vpFEf2lCeNASKTYXor8vrpzQvL7Hu
HhXIq7mifh6kzw7eMAnKILJxIGxtVYEmZRTwWtvfE5IkwiDTDQsrfGJdfyfK4U10w1dSyP3MUts1
jXf0nc6mtoaMSAWy2ccWW988sBDg4qntBxKK73qWoaspLS4Kx5LGjnJVpf5b6qA/Qf8EoAyaH4xH
n9Z9VbYeUCQBoy0uL7ljn22DzSdRY4E7jxg1dAEoKT4pwBKbmK2Abw9PptII2+jLbRRP9zjcgP2N
4q6AJaRUGh5otV49QHXM2hGZFGJVskdeS5lSYFNgugJfUmrCAxwcgg1Qq7b9TooY/RCu5/yJNAL/
qKfhnmty3daxFYypQSemELzhNyiB+btMnpegDETuEMYIFp8Dv8d7WopgaPRXLSdStu3NXThCoQUQ
WsHEX0eN6JFUya+YwODJsQ7UF3jCKTDIAnWoKum+yNbKDlTSzkFblCeKPECjUi7fxg2o9zV8H/4r
cSho8Lz0exLxayxjAioxJGsEM65T30R0Nb1UdpIHobnLwZCsgCAXkCCjwE1Z7dn9K5ROpjRsOzdh
yl+N5DC0MD5YwdbAwin2fFi6iK/c7AnIHbVrhaC1Hig5lAv8z+vqFUuAEpGQf7Sr7zoUxGDH9VVG
8daCGonpdTzVmfkJCGIfxmlP04YeuZFfyTA9kYFabbUlYLrhjg98TdAb+txKEG+v5bT1c9yqxBOg
9ZQNm6+IVWgVRusmDOxcwbvDZLchw4dsmeS7CvMz+Ss4vdIaSlDo1HCtun08Akf2qLPBnJnfg4Wp
I38y2F2T2Wq8C9QsYh6Zn/jFIbPq74od0Ba86neaY/Ud1LAlvfU6RwhVG96su2V/r883bezvxe3I
05Rb8YpT+SMxw63pqF+QLNfQx+eVcEYZog0KJZ59YzxNrYaSo6GLr6z2RrU2ujK2f4LtVeabO20Z
hcc1wGFEl0GelP02QcDosmxe1fXwzD2KGgTk/nIcunD1ph2ftyrmPiKKIz4Yuf6EB1XbJGz/nm0T
7cjQhHcy/vbHl8azXtDPPIqip9qEugITvll3IbhwRB0oktBSCroFCl7uTTS7VbNrWndrvemuif/D
eh6LXuMFbe8rXrxVOVh3Wp5NG2lbrwruhxENajOj1eIv40dnLASP0ezujUX3Zkcx2YwdgHoEIx49
LCZF/F29VTCHw/WozFs/ju7qHw7eMELM11jnMVZ3uU2n5rYmup2hQUKgv8ZtZ64mk4C+fHgc0Sls
pzi5TYU6Wz46MvhXV5s17IYm8Dxg8x4n68H4QEr9IXAudzoXZuY8i9h9gJG9wZ9/if15l0ksKPl0
7FrulgjrtDfuO0t/7aXzqQkkIfxeB0xVW9y4DGNSnv9iTqyVbqpD019JQr90HAC+nRTrVhpv4dK8
elp0JrFj1RjVOTMJbtFU91U346IVeM57kPRMSAeWfxTeuoNYJORqoYrpS3Bps46bymGDXIXys7TV
HanaJIOmDj1N/yBy+4TIoiO+EBNLhNTeY2PJD6ZpG7tIfygAyNHWTbmCMfwVF/E+dYhMxFusZ853
7LXMqdqW+E1oxduRSPiphkmdkR/e5IdajfhJ9DpoKucjM7pja7KJ9Z0Eajz+21Ran3FY3rWJE/Aj
wGy9EdAQunk4lxr0m8xFupGAvxis+1ASIBGGv3OpPZqLZw3HzqOWvSs0Ds4Mny/Sa2ouE21nUW8s
aXxBVjyYfvIAESc6VGX2LcGk8ULl75OhXrISq0pp4TTuKn7nZLhO2XCp0uQBC8UHJcQHqXvEiFRq
69TTe19HA7QzHuRaQRJIPFc2megCeXP/Z1I57kaOzA3sPUr+xDyiWmeaEL/7WIKWneq5yKMTKuj7
whvsldC1tzkayP/0j7FfXkyOcKAoO1lVSAwGE1WNDJIheU3y1l7/Nk795Vj5Z1gTVt+b1R3pxysk
bBwuLu6YEPOH25zmcghCbK8uE708M+qTlRckXeDEE2hIStQvE8mnDOKh+6WoYp0e8ss8iFMyA8HV
id9YaVW0c5sSattaziNpfSLJtnMkTnlVfrh28450/EYVoUdwnAtJN3/B7SACrd/4ZXVJei/amW26
FkMfBUIr11Y6X7WwPMKoJSLBsQKnh/TDI08LyIQHholQdNbVnigfpHLoqUdvSbXil6ot/35c4tHB
NNGVU9FxFZcXK3+GILOBxH/bxvI1Vmhfl0uQTDBzVVIebSOXC4VZ/hW7346J+Gso5JXJ7U3YhTpd
gjlwOhmBk9annBhKGZtvxejaNHoxZe1Q7zx/BrkmeTCWyQPqBZ7DJO8GDI/rPd3Yg5yK11qmX3S/
j4Mn5UHgB7HKOdxAEHh16nNbh2+UB/0hjilRQgb1Z82zgxYd1RqxPczlwgSCDeNNTyeLkqGJzsWk
nWHeald6zZexYLY792JLAnW5QWkx0NMjxMFQw2TczjOi1y5lpbEg4AvAsNK+6HsJQVaPdhJ6+3HW
rjVd+SEiXyLCLXZUyUDTqLVba+q0dZ0iuq8nZzd1BbFMOVrmBrI4mwhBo+bF+q4Ijd1EZODB0Tzk
+JPvrXGAFffaRMAtsY3d7s+7//7/wmKfcl+yvtmIPMnQAtcmzyrp0MZD1c5jbxOV46tnE6xbWP3W
FXiqGn86VKLIcById5c5soGBeiWsXtvz+2xng0K1t0MmfUaxprV5nvO22ykq9HbgGaZaBpCJfKhB
yPcSBFTi8vSBDn6wDeXvRPgrBHEFU85qqGFuPHeNQi6JiqDDm6L15MVUFqW9Oxg/uIG5aaiwiUn6
tFJApIyISMgkuN7HIh/rSLBal2PJa444R5bhuYZo09uLUHzFvon5xV6lE4dw2IcHa07Ous3ESvrm
i59de6QIeIQvzfLtkmUDY7kg/4b4ffC9Z8+GiOGVexv/zVpN6XnW3fuivqlTMAwoax7KCIc7RqZD
W9uMNMUNHsZVK7zvdnQED0NIXk5+ly6rA18rGBuCK7f1aMAFYXFH+OUE61Mee4XusYmacUWU8Ibi
euC2tg6lsn/IGaV7g5+CTrzJYiahbtivDFF3XFmWWJkTxjsQUjdtql7HoqMcGlNsjVbxOyRzd5GZ
3EWMt3WHTtmKfB6wExAWXFWBH+uvySQufvSLCio96e3iRaDhrJew905LH4rhObSwpSgyJBFnIo+t
sH6TWo5KmKhrz0/pnQWyPBgyuzTRjZfM57TOJJC6jBELNChnZyQnu2f64ir7So/96OrFS1d4eaC1
GAyUAYIiIiOw8MxdskjhUhSZ/BHBiQt9bzM5ZEiFTpOxJ8ZfwMomf2Oz1prjrLnX0clIUEILknbm
yWIXttU992PGkFgMjCpDxXJFRXxWtzDeJCFJxEVBWCpzb525rhGEs3o0cqIYdavBWQzpZ2UxsHLq
7yxtblu/HPb5tLiLcjwjpn2QBXHIU8RiqpsZPgmRffQM+XjaVBpmUyZmwNMPUaqWAtp8c1z8r0wr
ox0f3d7qEHvXg4m8bVk9he8NExaMSxq1qzxjHMA0iKEyWrJcKEbuQjAvQOYYdva6Bk74qrQFQVP0
deCXTkvNz9rDVQNpjkRBMO7vB/ZlXDC+FZGKELcbxHPA79qsh+7LEqhzOv40BMkzl79EDlyFnrnN
SKKQMTDWpJaqD6nCQkM3tYvJV1mzfNUvkrU7jlIOMWEKPDbJpbT1G7+2rZ2t9yDHp+owNykGjaz8
97gVAuDRUkd2dxqYt2celgaSaJ7hZMLCkE9szfj7lzOwOSayIaFRx7xirE7fWmB8dU+tpbalbrXr
oSmTsxTsT5uWoX1tjcSOcxXDAAMWKJF70kC8+n4ZlM5Sf1bSASN8cDJO0jypnkt3tvZ4zlKOsGo6
2t2yE2r1BeNZ4NsSGWlOdu6sYEKqwI65LLTBNk/sGwvJjUab5TrPRY5tTBhlCL92XZpQIpyhxjfL
LdrV3nJL3uQj3yKbuIWtnBxy27YtVHTNGX/tC5GB/JKGdKHsZWhouO03xfjcuvzGZIZ5azPDYDZG
LscaKxnXUy+O7xCngOHbYyh5iqo7nREKVxSLbv4qQZx1S3ZqS7vH9zbqaWs1HKHGUmUJdj1wj1GC
p5Ha2zTuK12DYGr2drljWWzF4Np9ZJhxrPh+zYcOHf6+MMOAkJMXcAznWgkFNSGt0FNirSgnVkQz
AIExmfkg7dcuNF4BJ/qsLbffCK8/RuxQGRz6pt8CsGBs7tbfpsx5iab0Vi1OXS/0nvNYeXt8SiQO
NnW9kmhQN2bT7Pvy1JZcyU6Ia4obCTJLfSE5iuNmLM2DMHF2UlY4XHN2bXyPkfOhm79qnL/7srnz
6zRwnOZ27lz92AHO1rvwA+0en22bLobuxxCy1GasOTJzKh7yEtR1YMfs4p9KYxV0sfbmt2TO9Ear
rznvkBTYmgjy2fuKM5udDmuvNcpYao2ZWmSiYqWv3ZkVZ2UxEoDLY/uQWuF0dLHirBJaH8JjKWaj
atxqNWEudfIgtVzftt6tCS92K/TpWY0AqjqdqfDYPknCYXfugO+ObDkwQD54nZGIGD2PLjEc+Jw4
gc76NVVy69Ht0wTzVFRqfLFN2oEev9oq9sHdA8yvnPgmqnAlVBZrA2qVoUPPW6k34BFousMLubtq
Zfffg8dAv04ZwatIe5QMBeD1+qvILF2GH9aTIqiGpxx5amhBPjRa9zYWE+SwxD4UaXqn2TUQGqDl
tEjEMVQ+82tD0fNBjWP4X5c/ujV8SqVTsbjD3uDs2WVlBesz/8RRDp7YwVyieXTGpmjv+Y1Srip8
RW3t5LvYAuM5N5tMS/cFuRGsaq1bogjSY4UueW018JHwAk61f+I6KtdGg9cmlsNwrbFm2S1ClhF0
Vtx/TFN1wxM2pQq2VphKEpioS1xkvZ3SqjvjLGPq76f1rT7X32mHFkTG6YOp++E6bhi9xpUDoa9h
cIKBrr8p3XVSaF/M2od3LdqzfUXGrtnE2LBmm8fySwj4oMKmNWq7a7M4c1JDn3cRVLubZHnjMH0r
NDDGf/4XPpUv5TB5IGSc37bzHgEXjPsCgfiSnbLgTbOtR34q/bGaNnXDORzWxmPaLzm9if7S1fGw
MUxTrCNr77l4xuzZf4mSGKjMEr9RdcUQtCGNTDHM1EKrdqyaQzN2j0rU887EgBQoYEpjZkfsjtnO
wQIBUo5XaeV6WJSkh/fXYBNHCccZ66Kyp/PKqsBqu/6qao8MPF7QcsavWhvtVfqSKN4EJCWfjwBe
k6w3moGcmnBiyM+YEUfh59AbMEkFa/m0N54ttxGoO97rpiQMhpwCtO+B34qbgo3YBgs7cmKU82Gt
bRUrViPXuk0FtCzFtBW6Cms4sb5tP26LogEeFl6Bkl0il16FtgwdbA0vVsuYxxDrirOjpsgZfzhy
gbEJ79aw2rumJ9wmcSFxTOw/bZ5LUS7pBPBmhuo2DXGNJ46lNrIsoq2Wg39rDO9XOArvoXweJUoz
m2jetZhQ2HYT57M1f9sjmeIWdNb0V7hcoHORf4GyRl4jJLUfSR11OUWnwaqf2gwxheTiMrvHMetO
fovCB59mgM78ycjgGgjf/rIJr6MQJy2o801rHZribBL0mrN/CVTkHnwkP0dCOp+MGQtfVGts2yte
AGF/ww3Y9bG2ximSb0fiNDZDmj9CiGBvKnDyIyNHTjfdELfQMpEI3+JbFCicKutwmIPelBtNtRfA
Y/kOWcZhUuFN3bEgFswiMmNEqiP4mtigXorS+Wnn8WKDN6BK3cRhfMKQXK64OjUEQd02s/FpZUt1
xh7lxiVLi3K2w7CprH3jyIMBMakvxgcNYvelRwtk1g6PgWQPl8KheLd+zMwCZwwrQqvIUO3njIcB
r5vZkP+K6Kn14pNkl8bM7cO0pTyj/+S096atJqW/6eAo+3bM1ZLckRtnrCPO+qrddTa5oCrnUQ4g
OciN+j13E6x1I3YlU/uJnP4js7NPCVGZq9/cDQ1/FzsZ1jBxsq07d+BqGUISXBtoYNUpW/HzmRVI
EBsXGxMGNrYOL7NCs4zwiRP2mMr0ib//vfhs8UtuIuYFjGkZ+ne+ju+QtsqJfsZuvO9M8VPn8sWb
uge2EFBIUy3iRZfsnXGXNSHtgG0s6h32qBqea9cGb6THvrfqC+IUhEb6HbIj61Q3xqcRDmCWSnRi
yzarlBHCl9wDFlbWBzW6J9UeJ2vaCe6gEvVewcEdutqr1Se/rYkTG5b1uKsANQ8h7vn2pxTdi19H
TKPL6qYhISTkycmZnsOv2xe2uowAJfDODixPgt5LkNTpdr0l/YJ1tcgDZ7G5cPh8C/OHhaYXxLN/
GZGkbUrD/iI9nqgkPT7CEDqOzvzHUH6pAYRRuBdnF1BgVjbFTk6OHiCbc6guIDaWpF8NY3TuZN1s
o665xwcW6E7F7Z/Zx5amNJKNhlEe9EDhN5ITHiNZ+hNDXMO0IA/Wku8RglO0XaY4lLc0YW4UaNOA
BSL2T0w21mNHBLXnJEYwivIxrttbq7c2I1AHfoxkM+Cj3XhMy9ctMz8XYO6qYV2+TiYYesLKzqnb
3EWwbolqqNlYjSwxxiJlWJXvGqkBKKlv5KwbUJvVFtcEeLWMoqzu9lUJ6qNnJpwQBrmSYxl48XxJ
4FeTmNaUgV7LY+SlhzAiOgxcxMkAwBjAr3lJaBbzEb+L6igBCEzQDIp+ABDfpLKtmhSwgh9pyUab
zA9XNje2LveFn0+BNKh3cwLmmQdZ2rrMK1jbw62MrM/aPkUWp+aYDIJ12O+Sb1zZDsRK5f+ISX4w
/LIb75kNym4sI3Yl2cmiKY0jyogxMm9EOt4QN3KTDD1qD7J2o7zYGowH3MK9HU3McIyn2l3d6Ee4
MqDNWvOlG+HdNAxMnQLMilTp2i/dazlbDyRx3NucKVtP9LusnXd+bZC6CI/YS9d9xYLMBZmUpkwj
scClWCTMZrQ2yCh5z4sodmp0MR08Y10WB6K5dpMytkJKqhKGjX45IgHQ8rM9tt9hqr6zjl1FOq+M
5p6s3Z6bZsIKU72iu/9ORuenV1UQQjq39Lze6drIvmwCZNjQtbvxJyNZFvYYyBieaTdWNT/GjnhO
xbjXTeuAKbPZaNI8J4O24GXR6PQ8EJ0Or+35Fy110Og1D4yuXSvf3joNT1h9+ESyfptnn7a1AA6y
A0PdOyxhJn+/6mUO/U0L+gCrk/HkVy1qJP8t7pG2s+k8a2ASSOACFBgR0u4U3gNeKwbchfekt+rc
h9XNH5T//yus4CXJkvrnO/n4p+XTvqp6Ivo0lv/8P98l4uDvX3XzIT/+xzsB+VBwfPqfdrr/6fqc
T+ULRT/V8pH/13/8h58/X+Vxqn/+9pf/Na3AZJ1u/vkV/+s7/P0zrx8Fn3ntf1T1D+eff/2X8r9n
Fvz98/4js8D7q236BBAIF22bKwwiAf4zs8D4q6nr/CuJKC6xAaQJ/D2zwBR/ZZSt+zrPFMbOjvHf
MgusvxJgpBtA1IVj8zM6/5/MAsO2+FJExU5RVR6+//YXxzBQazIxcUxH5z/DIzmh/vq4T8qo+9tf
jH/sMq1BBaCMQ2KT35aUlXUUjFLg3UHxMBT2Kru1j5HDmwFTMhJt9hnH0Ui77Ux3UsSEcDHZ8xwO
7vsxjg1cNMSjNgnKrHTwrjVsQ+AWyw2g3TcSFoJR64stHJFeqpsfYYaqtS/th0qa4kCCVST87pgX
fQImBl6T1sXxd4s/vBjUV1YXLE3p/E5V1rr3CLlByesorGRiufdqecOyGue5vWOCMDNReooay9qo
/rXOuGWGMg5avxvvhJ9OdwUD0E1DK7IdpD3e/XlTwdHx+lne63GL/TJVJGqSUkXwTIUGAd2d44K8
+wOr9wt2qhNol/Wfd+2Yzp+Ep1NYi2EvrXTcSpSeK9YE4zqDH30bVzkKwzYTR0MJ92hb6l10jQgm
iOZH4lCKTVnezCnYtmEwcliOvFE2Z4ieYqjmNB2OZFspXnxkJ42uJsrgod90WmOec9IOrnnN9qO2
WvHZl9mGgGL9LZ49zMKWmo9z2tt7UaLeinOOt2r6tLL8rWfoukmEKK7Z8iZ3DXUyJO0vx/LW5an6
ROPCosd4yie/38bVyHoIGWsTI8FwVeIcwizk8PZm3NMzA4XZVsUVCh8k4sxGMTiAmsdg1eMKGjSV
nOGloXPEW72CfBRl6dGCRQ7pjYiKxGBdWNblPtTpIOZ5NG5INPqVHjV8WrKwHuP+t7QMtYcfAlUC
N2GAcM0+1tBAwzIROJhp4QGLGAfyfZ9mK7d2mqet54n5ly6j6RHcl2yieq1VNBIqhHAZpyRVjQxk
1NwX9wPghamd721KXlbmYAustO93hM+LoIoLeUdGHL1gEUdHi176zvUClG7djuvfe0R8We7SnrRl
p0VFHsbQ+KVBRj1ZwXcj9H3VL51IiZJXYFRlTF3Yj0UGms0p63b/513OZ3dbmLgB5kx7bu0HV0bJ
tShQFiO+ChYq8EJezoi0cjr0isa7XoaQRix5YroU76zeszYeQk2G1NN0ZGT36JMItg7TQ9VGblDC
qb3R0QQR5M6Tj5y9ZhcNLhQB8vh8JztnGcW5NehsZLxy3lv04ivT6H9cih0oi4+ak7/xcTs1bauo
SM8I/xlPaJa6y/J2Nw/KfSEc7iyT/AFPSLke7A4Ru+18M+5B2CKAceQxoKOqcQ5ScOtaCo+m8oaL
r/ICb6Y84tGsDwxjXjynLp5SfKdH+KiEBCzvegw9L1qnfUYEHyGEISjQX4BXaqNKr776YdNQw3jO
GvLFETjxM2Ko8qarcm3ndwufqWXX51vCC7wIpT8Jt+zBWnIjfUazKPVk26QbJV2HrT3SlBQfJsr4
nJnvOtdsZp9s17uu3PUQgFaxJJYL6R61LUqqHlkj1jNj12jDJq20fVySDmc46r5WJsVDnN6EOR4G
D7kSmLJxZUYe38WdtjWojKBt8WWg9F85rBeccScRhqyoxD8NTOabvBko6JjEV21Hntq0d8fnAnbC
2pXe1WugvSjmoAUGjYacD77GrlMxyWICZ7Iv5LvMAao79r3boW6k1w3akbAug3wuAGgPpGU8LYit
YmSkYoK07TICDJ1kfiBJjMrTshbhQHedGdkTcqFfohp4W+25LzxWQAbFqjmI1tszpChuPLI78U1E
zidmw8Bzff91UAQXjKoHyNd12b8xdx7LraNZl30idMCbKRy9kaHcBCHDC+89nr4XlFmVVR3RHfHP
epBIkTKXBIHPnLP32o8j4LhpusddqnwBCH5q+6i81YsQb5tKUDdZW2o3ohIfDHPSLkhQEcNjIkdx
2I8PQS2RTacWIuRbKf+YVDRYBAlRhpo1xDhqwlTBYgpPhXXiilUdoTCXL4Z6St4ISnKpgJOxKs6l
Hh1YmOqQFeTjoFZrYq3wo7Yzhq+mYWvd0CvVK0y5BJfmwTbMc4rYFTO3g/sz98QhQ3UkUW5Q18MS
rOgvyJj7JYpicErr49xAEp8yGyMklARUdGOIwVaQc06Lo2QRKX8RITZpMe1/D+O/v/p9qC6Mzk1o
fiyxnm9yddqahdrSBYPzsUyheKJgjRAXO1qUI0ZYQulMPBUA7sB0xRlUm4FvmNicU9SnlFFGZGV7
UxPfFV1WH9eMd0+RBeLt1YohyazCo64wceSaUb6aRfc86uX4YFl0hOZi2HbdPGM+H4AxKLPxTGQc
M6q0HIglq+4SdctKSXMUa5RiNcCqnpSl+laEdslcQy+wHQxkn6X5WFf5HV9pQs6Yuc5tyx8BargX
MC1xiwf7sf1I2KUF1mCHKTwKY480fq8bMWEKpJzZwVDbed+99XKfA7us300QklTIN3MwvLbF/CZO
+UM8nEJD5p6iHCEoXFbdWe7G6zBV1pamY3uO+qcZhMVJXR+szc0zlLIYJ8w5zZXkyG0D6yJqaF0b
3TZWxsCVAhGHddAkB3WODqIlvddNMB0ZUUl9rGTJ7ktN+BQq89bkZfEMsnnYFXKMYQoiECmjgR0s
ZnZS81X2eDBiXTt3lL0guckknkjqbjam57ENLD8NjeeZJMgjl8NybEZrPjJSLsdeocDcWohB9Wti
mpOfAGTBNkZBL9TragNi6fz708nApDYPje6Q3LEWUYxmI760EaHQrACZqcccyD7NYG/sWnSH8oTc
h05oJS/PItTMIAqAKVEUi1OxeEZnRQ+e9jA5SuARAa57vaZbkH6pqyLQ5FaqMl8N/mRsdv2ywr3f
ZJVDQYcsUcruKOgSULKRQRTheojXh/R5L5SUzpkQfkvMnPZEkx5nofGH4LbhSmqn5evowgtDkb2p
HxenyKG94r2kPjnkuV8ThSqqwTGq5+AYS4g2wPLRYoiTERpx8aQPXN5RscwbLfsoxHNIvbI3ErdY
4g3rxjVGqrkAGf4wUMzOkpADDkFm3KQ0oSzLMyTutlkFkGCQUyfJYJay5SnNtMfRpCBOEA1NZLH4
AX2HtbB4G9gWkjM8HbgJdr3MKEmo0zGk9hDk0yPKuTcjF79MNQcuNYXfRYMwhFyEOCgO6BSuIrA5
Pxrap4JMZYN9gkNonLJf6nxXtV/FAj2KovWLNiHTQT90AuVxqldyhNlLh5xaeBPV+J6B7DhJUorH
rmxfE7BwE3lkD+oi5ajWCmdZLPJM2fZ3aV35LdSVcxyvXb9G6w454kVsFRFpCyJ9OxHzSyPFy07q
FXKqJOpYxSQ4NNuBDhNV8pCOI4cB+3XUlvU2Xh9Wvwl4BgyxWGkOy5iIJ5C7gqwMpwTFQcpKbBfW
Vnps1Dw7kmr+Fky0AjI1aHdFWGw4Pdkx0HMVcXfIucws4xzkn3FmDgd1bM7zMMfX34OVIi5TBfON
vXqHt2tlgEE8cXvmSD9OiZRUI+GYrIdw6SKIdiFqBnkBrCNbw2uitxRT5oJIUyuaX7jjp6r50ggb
Y003Ztd6XR2hfajeEyFX3QLRzU40k+Q9ZpzQuZ/Xvhl2D3Y6ay9Npak20lwraLJJa7eto+1Wrf03
OHvq2o+b6Mut/TkuNMQ3a88upXmnEw3vKLKaefLa2VPXHl9Okd6cUonAx4xijtkIF5VOls9GrT2H
2EA2Q6cZR6A2/TaXYS6FlE/pByJWLiMa5WGm7eaCtQQ57ZtxSeY9n0+yJ6KBi3tE/pWjORaU/BpE
tCn1dNQxtSu6zUpEsq0APUgfiVdkBzW1x/Yw1yOV3D6xtsjzdJ8Z9m0q6TRTfXbDJvmcraAirRJx
zahP5kMqpSB/axYmoplFTtTrj31Pzpxijo8JU85OBypAs755Ddq+eYN/7Be10X1VL2FGGlTXLYwJ
uh6dZynC16P2+ZfYxJu5G20t7a1TIxTKmcI7puClp8CXtWeJkk8/K2cyiclvTtSNmNfFtVB06vUK
tHJ2fsR1CufVChh6fVfy+liizrFEyqiQyVu1QTpWifKySZTWw6OI10RoaoaRBs5FTTtTnVHsh4W4
o9/yiE6ioZ5KjS5fpuWMsZJuz/rVmFAnTktoQ7KMRJjaOeugXjPJQxWvWhNvhUCNXnQ10x3YL4qZ
XQXakJsctKPNwG/6wjAIHquq9nFSsB8OaGCaQO/vadjTeRezbympI6ck4YeY0rUHJkEcBDs8y9Gd
rrSO/ixddqSOYhTiXIgLrpRFBj44UVcvptGLTSpHAuSWbpnLbQZLxGtNsMQBFl4UUVRsG6hz0gtC
W3Qman7GHnOIeELVY5JeqmJChjgkm6bIyN4pmVoGAxGQCdGJ3x5awZ07MnZKYJ44aHEtLsUBT8Gj
FHYWoIdxk9fTjiVbcBqq8CdSR0D/2WefowXMopGsWBNIAVohVKtDQ1LAZG7AmJ2sLP8KIbd6HU0m
p8u0U8GYQi8qjRyZt11XCFvqFu+NhZYX3zlW375D560n+IcbEGrVmOEKUl14I9EVMvV0NSeAc1CW
gSkJsFKbYan9ZoIwx98JD0PPQi1C6+pVdTi6Vi7nKH07RH2aXB1+vxKgcQu9Wj8BIyNNLI8ugY5c
r9W04qTBeRd0QT7q5FtB5EQhv3Q9GKBUcKQhvQFCQuqlUvsXhhH3KAoRUu0jGpeS8dwnZuol6izt
JAI2WMNwtpSedxTM6d6CeOekXRF6M3Vqd2yqxBXanMj09dJCR7knaqt4KrAF1fMU3cr1UK8AqyYT
doUUzqeO9YurGnW5H5A587fqUx0NAfqkzHzNw+bBEKPi3gcwHRS5Jc+VomUzE4WStMOeuMGJpN9M
9yNFs56UaCRZErPQXdIP9WSkPwxhoc1S2407I3vUyHVXAF777TBS+i7XwqQm7mL9u86j4XsU9ade
acZXNs1migMyz+hASXXeMY+ahd+Puf4M2Y6ipWJ09zb6zFSpujbsVRg2JHAnVRls8xkswFJIHR/1
kHxZveakPSOsXIzqtcrpkoPyJoJ1CBEp6xqBiPncOn0Vzx+KnvyRZoXqD9K8U5dVbp0gbCeqeHEN
HWGyENYZyADzWyX404U0ge501i3AIZF6ns3pTxpPi6/N1bybGobwPtLHs4SfcAgm/kQ9460Vq/3U
ZuiZkJh78LYUSmcAsUtsZYNo9B4q5+SBsIxrJOsI15qlBSBmIZc3E5KqxSh1UiMgZSyZEf3K5HbN
EUYYuQIlV0nXsgK/2XNTP9BJDy9FzIq3s9qHv55CDHYeNEB0VM4sRgAWVtVTqxnKqZow2S5aOryb
XVkDJEiUY4kv5lmWJCQZ2c4UTfm5pofnV+zc1v7wu5pK9U2Jsw+VbthPK5GPqE5/lspQbmYC50GT
OOl1vVe4K4+kR6J/kOUnxnRWbgrYwrYVdKfOuuYma1SjSiK7I/Jpih4EdJ5+JFr/nKlpa5NYoMST
TzUDLwpX8CGekvhAGFx0WIJ1E9xFcFtlxa2HUoFFJvassEcEB5UZu2UfguCs6o0WzJlTVTQYqpiU
5lztH5thwvYcS0R7CNVDEC/jc7I6IpGQb9ttNuWshDto/62qFruqNOqrNRo+cBp8uUvUsJdD9tPk
VYfhetoqafeVLc2O0UGwoWH7BbvxDYKLx1hWvVzFlmeWJqOS1tV2YomHclBquls9Q0jX+ORXLzD/
iTxFiVq6Q2ApbiYZi0uxFhyESYt5Ri7ggeZIbS7EtYJ0IhgaqRGpY7IInxep0cPcB1tkeeUOyGl7
CRNjjZEt9wv6EpeRkOIUpjNZQuBv5Chvx2QTN2BNrdrvtGnZR8QJ1E2Wbcy1QRcVzRt1Bd6p7FWT
5YWAtj+HCfwrLTSbvm+yXjNrjJoce9Osv7H4nS7yarIzjYT+US6TDZMj4QPHNkCMp+c/AIrNSCXp
I88opxEqdNjRo6hOMHfqjVmhFAs6/E8VZjJd6XHeAgNgkGGJHSxhgotQNaGLtKA0kTijL0tMcdea
FubgbNmZA32m9o3OCTC1vqAD2ta8DvzrDoxJSj7y1IuoZqiP1grh44A1UOTR+F+0t1bslJc2WC5o
6iF3LU9Bkmh+rxP9ZwZUaDIt1h70pDiBIlsBuQs5n5HY+aMoHlIEIic9SufYCQx82kaRXalVqafC
0t/L3lj7tF12KmjSgkvnZBVF/26wCwUVOSr+70NTHODIosaZZvM0ZOJVn6n09VM8e3Dag80gwq3s
V+LT2KaXumWhh6FaDpv5bdUQNkb9xyoi6pBUTKgeh2DLDeMu4X734ynG/7MJWyl+jteD1LTvS7OM
G4J6s0OHGfygsSE9jDWKLIRPPDn/fmli4PZUljCOIZStF0ctrSdCja6AShDwTlPyPUizl3BnvTdR
oXjD+K5R6Nyl0qJfFxkZSbhI0fcyo1YJ1fiNBi4RtthzCLOvf6QSf1EWEGCALeddpt2PtlxG6qBk
ZeDJtfnBpaXuJUNT/uPwf30uQEvvy1YP3oz+qRMT78j96GG4kF6sSX3rWtE4WxUoDzzVh2wsg5el
wnYnZVgzAO9txUZXd6TVmXtz9Y5MyOa8oer5mMqyfNRoN9fpdEqLgJ4pWVfm8a8D4UOLIQ4v63TB
zqA9yTl6CBhomCyg+YkD3GoI6c1R6XGEiUF7GQN5gjxjKeVxJNwtmqqJoAn27pmmH+Mo3uiVQBal
ORJr1I3LPmgrbZ/LSHDNUlywj3A/kPC6ofbF5NAM+M0kEowpr4TyXoGy5+LJptdtoE6SgkQ6d03A
Xacao1MMUDo6Wc8PgyFRhtKG2kUjT46I8SB1VXOQCQ/869BCjnb+572/zb1c+2btf/f6/r9s/Ukq
M9v/q/W3gxBP8vN/ZZX//Ut/9/1MY00dVygjW3iq/gkqtyQyzHVN52nqnpJK5Pi/mn6qvH6L51U8
V7wC1fh3ULmi/y86iIbJr6yNQlFX/idNP40q7n83/VQT9rBiaaJoqdxFhsU/9Z9Nv1iP1SSTiKBR
+1uLZQ9E8MByo10S522G/uAMuQpnBu04JvoG74Soo0avafmoafyjT9WfBeHCVovYJAlz3HhhwPYv
tq5zO+R7M2vJnu2IhcBxOVcqGle5He08RiWKC6eSEu2FJERT+oZxbTxNtXZcBELGUdQvj2O7mCjD
VBYSkhhctR7rLFFXbByy1WVD2GDTzEi2F0D9SpsRk/EGx7Hejdj3KbMjdU5Fr2gyZCHJqzVbMhZx
UpqyDMs+HVWQhWL2KTTo9eFkhphDNe3YJtmLCa3xICo7CFSyP4VbIJHQHXQQIuyPMbtilC6K5irn
QDQ1xToaxrLLA3alxsg2N1FoT4XTuB+zXj52YqtcO2wN5AUhqQuglWrzgEkRkGtqJc0rexr6K1Q+
cEBh91Aq2Ae9Blonwom1GAQYtEF9/j10urxjUzR7KdtgDJQAMeXRn3uJkMrc0p1BSBQvTxRhYxaN
5Kix8KhaGuBs/r22Qf2nSeOhahrE4/Po1RICX0vXSo+iOkxpa8Vt9ZgiKiSOc7FI21Sd780471il
slhsBd8ws3Kjl9OFaulMPgdZPpTPr002QCweBWcayo4iiKA4LVtvulYK5jXF2i9uG8Sh18iq4aHM
fc5Hg4SnqTioxchmukky0DTFKsYvA/hqF6KP5KZQbovY9l5eZrGnauipy5xRt4M6kmWCncMMeiWE
ghxiSitlWB0mwXgTAcSnY6s+oAKG46l24DvAp151OVjNV+ZHoEWjX6BmkfusOsQW9tS6zDGlx0m/
Z1k6ObpeZa7MYusE5pW9hi67BRKfbg0NwMeWH4tJz/468NbQoWdPQ5wdSUulG0SpuAqrC7La9yBA
tDgFuaPJNS5BcwaLElTbvDbjrRkLiqdE6D0LuS+vJVUc22hF09UQ3rUxEOM0rU+hKD0iyQI6vHRI
6yBeKdSQ01Tx21CRPJmEDbsTxufamMMzWQc7gY4dYSul+ZWC3dOL5EjEewt9H0xAZFHwiNm21PIO
zFFCFy+iZyB9EQCjUSyQ6GUWw3ABtXGla2oB251mdxEp+HQiidG9Hq9M2TMdQmtfoKST2pBiQs+i
asDhZ+Yh21wsSVgRg1M5ZVs0xI1r4O9xFSvOaQZTpiLJwSlVyDngboZdlVMzi4eF0I0OZ7OaNH6K
Av9osiSzc8xKTq2V/ky6C5nZzmiBaQVutizyt9akz4j4Bd/CEeQtjYgZvTJfk8Fs+Tgh/0QqCAvI
Z5TRlleKucBGCa1aY3Wu4pj4iINrBHp4r0tmSQnlkh2SdbQJc7ZnsldDQZfi3A8m4hBU2nDUOC8R
gj8XQugNozouJnpBCBJ4izprK1MeXV1WKteQxi9ZKV8wC9NfqrutVkuAL1XKIzpbFpIGagp3QnNW
8oepzlhwY6zVVHqjKdayusQ6G5lfTfRuqPrk3/WcxJ1R/ikEQPZottVr1xXYD1bcQlu/zeaSeNRD
ASAtxGbF7Idpq9AXwXWu+lGPVr6IlqtYZH+oXDzVOoI2FbcMhWCWLwFCtWkfK/10SGuCaVlbfmUT
6SgRokdEwbuwmqDWd+OfpohiF2LBN5tiVAUUzxh5aVMxarqKoun2UKNUWGJaoRYGxyJPrrC1JtBz
EpyxgO5v9geAPb+lzivPCwb1UjbXYlk2wkjEtPUcmR0tVG15tVQacxX+tbmRtzXX24zqWK/aW5zV
H4SCXvG2QWzTWazpAgIm0jIsFJT9Rx7MMVpYpCQrQ4FOMrE1usFUJQfITkN43IXhqNGy1tL2lLyc
PKQU2VQ/xT0akU5FIGvkWTzrHfG82aQcktzEDDrtolyOsDYomyRi72xmAwr2Sgw3VEbgoeG/loPs
gxREyC7h/FPF4q4a5/e5go1FnOpbCLWIQOP4dRKlcxT1eKTeKrg+Xt2EMoFa9CnyWGTFGhtYg5G4
xmVywL2GhThcwJCJEE2UdnlaiuEPHm9guImjBMGDJtGXF2QBXtWfcqG62GFi2+KGLC9WGxoeLYq9
NEYGvfs3OdMTPI0hp7jULJ9IHVxhESQC68w613R0OR4uwlyw1m1+FlOdnCJJGsAzCBwoVcUyefND
bH7GcXwapBx7DVAIl7HlJjTtkzwyswZJd1e15mA2iXBW2PBMVngJtX1QT4tXsRpHdacFh0hYtmOB
zEGWKQRlg3hYBFiMCfcHqZwDqRu8yPhP3Gqfag/AJ4rVWy2T+ZOy+8itQd61+UC64RsGwkfK0uqp
j0hNxpO0B3zzxNBjtvx1uvv0u5k3OrowhbXcCHImqGGaPbBFF2s0PzVheNFFVHqKejeZgXw5S5Hs
IN0ljSKW5/d6VAS3Smfg0rK0y8gntFtF+mAZUe76BDZOwmeGps2jZI0pxMC7GgzVmZfHplSZCTBh
4jBQURiKSDiIZNIhXcdw4GQ35MGSOwKBCPMfbtVlJ0SQSywVQyYf8ZzTQMS2v7GasdhObemyWjpo
VkKLcyjuo5LtYPH1dh8Dagp08a0NtEdxzcoKKxXBOW1xRXeXNZqrzzU6mayiQmCvB7ZdxAbrBsAz
VD1a40jRBVWgCEObjmSGf0NOpHufM5VW1P97i/Jv5FVxxMBDVSaq8y/Zyi6dppzEBn1vpwHZepkG
gqZjWEn0WDWVS7Y3n4N020XaDTCX7vVQ4eg6bqiSO1zofsr6A7PTyWjA247N5zLj+66nq0Usn1SH
J9ksf+Ra37Fz38udRPwiEk6tepXmVb7EJSbWwmzXpJWAxKrEJWJnrAybhXX6IS7Mr6L/00VtvyHt
o7DzkfCRMCu/JzjW6bfS43TDoOZKoUHCVHBqQ+1HN2SZMCzjHmfnahwITl8oW5YJYEB8gO+JqQQI
OTljFN+QAGjbEdAwMqXiOkO5AY1pfMQAX2gy4I/qO/QQYF3MFKMuZ6l0DNImI2Wh6Q2ovkZSMXwt
FmGX+vJgNOFXOHQ3qB17c11XirWyL35UJbxqGCDwqNLbjOLLhPOX99T4IdKFJZFVkGvCrmQELwVq
HELkx/mbUKVX+iDHvAg8wdyW2EckoBhBC/VuXA4Ujp6MhBRxfGO3TqKJAYR1BeKJz/2MItRkzz4m
QFSm1yUnbp3FabA1JxMnMKCxKSKwHSQXKu/O2khWAurSAglTpzjwY3YCdlXqrG9NHI4FpvUgkl6z
BhtjMJAchpUBX+emU+UPUOenJBS+jMh81CTwMoWkYznIyWNaNDih6m6owHm1pbld0ic5FVAF6RoF
izWyISHiZGB33SbEqmR8/IPebAuqc4RRI4ePQYvgN6BuxDyYVwk1RhFdRtKGyHDWpCeE77gO6Tj3
AijfqB4h9/x+qZk9kZJTjrxj/TZyIKJvf7/z+ziu68g1+4zU6PUX//mGzLlH0PbvJ//5zj/PGXLk
B9Icb3//1D/P/8c///vk7wv7P34mJf5Akftik/ZFR9lx/YeYYdu/v2Tcb/9+nb/fqjVpayrkvmVt
sNfK/qk00goSJ2/p94Cc9O+v/nlOh9f313d/n+sbZEBEjmhEkUC8MT/z33/j96fU//7Rv56DeM86
lW2yWexbNS33QAEoOOY9loQ4iNYYLHROv0/+/szvQWu6cj/pGC1b/bkEUEtOxX/9/j8PQfDNTg+8
h1ox6wi8oP/6QYmS8abmDJUre33SQLlH9cQqGfiA+/ucMUwIKLNOQQ9A3kU7tw/AbuqF2PeK+NB8
Ivzo98teCK9FB4Kt3xBnfhROrXpmtlq0E/uJhJAc2jV0Wmz8hp29R1M+vY8PyhP9ogtd39EZDqxc
oFveoE8GTvW6vLIilYn0+C5sto6MFu6yp+wGjRjQgXnUwe/oe4NdkBPb8T25WGf8cMtrf5oq4yF7
Nq8KuRrfClnbJcEJ2Nbs3MGWBaG0cqvR7+/cv+xVUADKGDc/ms6JD6WO4WMbf2L1EJEk5RviWqR9
R2QmVonvgkbIbOczKbxuORDmSmQjsXFx7ypf7Skgs8JpN8orQwkQGJ8uGM5EO3ipntMDDQopwtpA
XLEtZ67wRAG7Z0o7USfufOlZVfcEAk7S5Kr0nodzHjrX7GJeF0YLylSbjqoYPvuQzWx0wfL7GHZ+
+Ui3usmOHLVjsXpOF/KV5LcVPCFSKp8RgZw4SgbEFbu9g8Na9N6nBxAOtA3xTu3jTb7J6LYJW4vm
Hk5Nhym5aNL9quJHaSJsFRqDJcu6XrThstIafkZmoT5Pj4l4Ez6vbel3gbtstdZRDmgUPxigsyv4
vC2g4afiqX6IHAQyPrYWtmbhFgM+i1zbsPNPy38zrMvsTOjRSAux15gYP4e9oe87BA8hfifZRyE9
QHQzYrfK3eSTbJFt481v6qXyvtmYhkcLs7U7v2EeET4yOz1SwNMeXiEEXzIbIzRu+H3lIYyCCcL2
0KbKe0VhA6PYvaYOts7V4bgeS/p+jnoNfswdpn6326rvwbO5g7Kz0a/xSd/pP8UX/yfd9A6PcZd9
xTep3gQ/Qu93r8jkuFSDK3kS9mKz/OIEKFur5bqipRrsV6+4exevxStxmldmRTy7+k7wcO2xGXXj
j+D927qZV/MqDh6iA/KPVWwoe6t0UzIRtStFJPzMho/vJrNBN+KVtUMPld89BY3s0MhyFfejPF/C
xzfNniS3yZwDlibpYuD9BlaooXAkcIaUYaKcoQy5kjM5BKZtpMcZLOstOGrnu/L4GA87wbkTZtR8
0RAzCGi5xB5IV0Ny+tsz/XvNlQ6LXbGl5cZ7mKJN9t4o2LPRGkOCddrRsbyUkJEa99dDcaF1cKwI
AraXbXobAY0eYkaczUILijNVnjJ3Asfm78pbRzGJ2Gv3X89S0PBDWtgehtC5eOxL7gC/VhKXIqwd
7pfFrW/83eQCjumeQ6PY0I7coi6CgUau2kt7ZIciWy/qhjoLtR5n+eZi+z6hTfEbd/CRnsbn/tRc
uqdOYQiZL+ZpUrnGX+LtBF4s8u/qrtnWCuokuq+u4f11pdxTZ2M5GXtU25jd5vUbcsAWw/YzNR/m
b5CKLaHbDvTkzp1VFzXxOUBtbE/gORiCuJ35MLnKDmSjhfv1ZLb3ncS3x1vqpeDZiktVnIJwZ1Dj
2BNiJe61b2wsyN53ywN0lmAL9waA1FTv4nN0BSpjYVo9TXb4QZEkcZbX2AvtzE8/Yi/d47CP96v+
+IEFE2eu3OBIGvIHMOW28ZWwSvHE0wLd5eCXuk9QdH7+KKur/IA4HH7pfGkEH8xTvdVBJ+To/Tlr
peXUn+05fpxxEnL30jf/kH9Qw4hoHWabUlY9ePGG+uTiShUCT3qe+mZajoKEi/Bz+NHILOxOdeer
k2vZH4srLo75JxYviWJ/UcKHkKu6wlmr/fQG9O617kHf8gxKBq3YLcT2rec5uuCmLJ3Vi3YvNw3W
TclRvsZ7oe0W2SPBkiEs9sBpnbhYyg1nxQv3uAWJ8X7rH8bNYFw4O8sBaQroRbv5AsaLnpRqEawf
4tTYxpvrlR7NR3V4L08SH1HrJG8p+E5ts9jsxvM9d2HolPS2liP3SOyJxaOybTf9TcL+sVfNYyd7
wmNCvQZFGll7nc3Pr717b+Kjx5DrsrxaZ4wnxLsacBEbh9whc0MGhxHS00fDOKzxkHOAuPwB5Btu
1K+ZlaroTpVL+YcB2lk/e0o15We+X+xpK9ma+KO4bJYW/RT5cA3Waw+2sNC/5DRb1489ZomXyI8U
LrPnDxgh5Sfpz08Ld9QjL1G8N0+84fVNnxh6pmBH9hf32y4x7WDX+iP5guduO9h//ReOu+ULn8Mh
9Pz2Nom4IOzFpc56BqPjBA/FtbyVt1Xdpm6DEV6JDbN8JDQq9SZCDr/FvrfN+6Je4DjUmwQ1vJPi
QYMlWXswOMimhCsItkTYyKDtb/mdmYFh5BUxlAQDaOT1ONWF63xtce9rW/REj2YUqYI/5h+diB+Z
rSZzlM8l1HKv1BsmKJ+ZlDc42fkDKYY+4Bs47V/yPd8bDOeZ9W3kziQ7AfW5bLSTp87yF+0S73cq
E5HvE1mstXuOe73euDk2VmSGkBPPCdIaJIvBw7KL71qvQ1sBW22c8W3ag/gSPQPyW6+Bc/rMxvur
ewVPt6/vkYs/FSvEof5I3Nph8GTMIIZBdrQv4zAuaNxsPzz0n/qe9Nfd8hZ+Bh/CAb/bAYc1jXrb
dFCL2TKWf6z/7Mft7Cp/hgecCXA2Whqr3u/A5DI4EabgE9mavVyBztkU6DC6NdZw5sNpbyaqe1t0
Zm/9EBWmDGzw7vN6mSKXo2pkVwcToUDiMTq2Pm24bt5ln+jfFsY6VKZ+u8HazJ1vXquDwFjIpgH+
KMlWtAvLD3LZWPBwFPPtnF/VITtABXeJgkszVw+OA1wHxUePYkB0MzfV+BRR+o0j9LFkg/LR6slO
Uw9J7EuPhBY69w36b2F7cMUNgYpH4Qn2wtz4OOLRMEn+wkeu+CHGio/mEvmJda22hrcJfKpZbuAD
jne4yh8V8IB26Y0PE4i2S1h/ZYaTf9fCc5NBmf9BMWNjVzsJ8F3FPdhlIW5dSOZSX63CUk94SZby
rDtcy/nW/FzpuROYH2HbGZ+ZycXR7yq3o5MfLM8qTXpxB3qV6Yoy1WQ8UeLUgiPtdtUjq0AovuXn
hogkHYihDyDOIQeD2vcJ3ubwobpUEoBr0GNnnZH5xSVxF3WLUJjb5bCwkJZg0zK0cfv3fHL5Q2Hy
2fosV+ob/J+avNtwx0KVG+/CyBPhgdn3d+DwN4yhBDhWDBwuS1AW1NXA4PHYqq72WOtH6vGFhpiE
FaT3vRyw8INZQ2jcphgzNkPrrOnP8k3h1ma68giFo09aPMj0uZ3maam2la/e1btAYK+j35EumCwj
3qsL97nxmnrdTkSssqNiIpsOTmGK/lRX7PxRggI4OhGxtyQ7dHtKJWlDBdqeKEGHrj4zVoBt8GNG
Me54oD4OQqh+Xe/I40GjF0ElqPSSYidzt8rTflIvlFSW7NTEvvAYJCB0HZoVH8ZboLqmep5wm1MC
/hFQBP6eD8a+jCkl9VRe84Y5gag/znZGwOnFOrTJrnpi6UL5URx3JODR/qsG5JZ8lh63f5++pPsk
8bmfZ8IqeS+1/ayOWy08IhqSHf0077Fh9161QBG+TgdYNPi9Lb8jfi87ROJdUI8AC/LC/YhFR5A8
0jMH2YP8EENxZ55e3hISHc/Ndb5BXR5lf5VMEaCZbuBRUFQRby16yc7ueQU6i7Sdop+U9mkWXoLp
naA1kNMMLvj4849OtFkRAuFh4gNYCvvWkR8XYDa25RuWn9UeC4x5E/YXFqjLId+UXPPahUKjse+Z
BeDYbhI3Z1N3Ctazt8ax3LInIX2mqbOHs22OO+2rZSYYr0AqS/oHXD+23LtszKTtUG2b/EHHtV5t
leA5S/w1Xb10Chzi6/JFYTQDzQsJtS2/GgvUZHYw2G0p1166sJxhfuzImWid8W7ex4nEFmAdLlov
y9hgs09xOWTlc0T6dyT40FABj0N0VDk1F5q04bBJDMY24JNQPfzif1N3HkuSqtmWfpW2nlONFsN2
wN1xEcpDT7BQidaap+8Pos6NrLyn2rqGbZYWCTiaX2yx9loJJBl7IztWgUOJ+dj9wk8YGGcvxEJU
H2L1jQzpgLJRNHvQCH7D6w334C5Ntr7lwoKXN1jyLrLpebC7Xprf3rpGxzRHAzCzQTVqH2V4F3u5
sYedWTqU8Ykq6MUIYx7RHDI9021QUeJ1IhydW/itpwQqVL9BP2W6g+oD1YNFt8rWxR4qR0rpQIHc
tiQzH/gA8zvWIBI1+iFJmJer5Aas8gTeHA5qaLWSY8g4qL6Zxk0tbqkSZ8qWZLtU34dXldjWe0nR
Hr7MF7OSrNlfsk/9GoKse9C3rk7y66QGzOUYsWN5IPI9fTHYiOj1xVsAOUzTpI7FdKdG+wl7WXhA
zj3bwg2rl5v8iRKVLPz0UT/6YkoaEfDwovGem2bMgQBPKQ8BsRCmIgwmxro5vR0Fp79nemB+2rTX
9BvzoJDC3l5TpIj9CgKDTDPiH5dsT/zKBkd5Fbwlb+3ptfSKzWv5id7j08eMJ/ZCiWT7WVLLhJ+G
Uxq9RQxM05mP8GRg09BEHwkLNJv6Bl92H52z2xicLzF2IrO4d2/CBbDreNF5SW+Uw16Puht/YHYZ
NgXxjnG6L7el4KQJAypUd+89MFDab3VLHRMpdiKGEGf0uEZkk8giY6XyN7/OzsmBB9q0F22/BA92
YP2XiZeo+3ssbBlu8PSSQ36dl/vhbvxEhhiTJoJONxD3kU7BKHCzDQz1WfM60ipLUJVbSybuYbqA
J9G8Y3TlhRKVYI0qX9WLzFNCPvcmdKrhvEwk44W+xZXw3HfVA8NYcdvt6HAJ91dR4caYdcovdF56
ZLolV068gDF9ZAzayJhPwx6NGJLgHroa8dLKpq/ILT8RmUT+0nBhsM4OVbI4snb1S3yQbunuXAVq
sf6GaoPkEwBx9hXdZrfGsdgZLuadfl7vJ+iv4w/RnU9IuC5uM0Z+We7Tax+GofhlNg6NvOWhoMHj
dJljxlfITS8u0ZIw7R7ANtrWU/yMT25sQapre2gzqo3wnqBl+2Gg4Xgru1g6DJD51mTMJKw63tC0
2ms8VekJ8xIs6Qs4cpVwwfZa9Pjixq6+JlZCDSKRJ1TJKzQpoUa35YiElC19EDiKGuRN4ZDYktFP
fRyXcINrUahkhDfRq/7SAOUiwcf4J2ySM0aTZt1/Gf02cOWHcdjitPeKC/2S+VLsJMfcGYWHmyEm
rpJc1/p1lP2iyuCJi7cDFPxE0jGAF1hI3FJR54Swct4L2wKGHaZq7dTeBMamuxuu0DCRPb8ON1iz
qnID6ld80Yl96DcQjjRfNCAPwa/IlmGYtBmyOluevd5J3uoTHLPlvQYR+IdfgtSwM4ALMJRtrRs0
ViZKTYi8QDZ1Qjr0qfrQdsNpuA+P/lP9MDBh4nRCF9jAH7MJb+2gtS+18VSIjlTYb+OB4lfCiZts
6xST02NCOOC6E4fJvqo3yZv/q78U1qmgeYGFzeFMuoDuqnSHnljo95HlUF1W9BCyPQ9vzGdc5jXb
adhC7ctT+SujrkMj3oTPpgq/yoakqp28ppd7ikbgPLnFGulegQwvFDTykSIGjsyLPYgLwoywxlNv
aDdfE5SZNn2Wwjxg8sjeHHfWHbb5MXPxMMmLOh0xTPlFfom3fEgxuQqupoEiJhhxjoAg4/kEVETe
4kwwPecXbIHsVZ529wbZMFpqZRMBIYBBpIdxehMRfd4uwQ6om3bpNnUauP53bBXlI3JL0egJJDSa
s7iwq7vxqQFNqu0z46H0XfDaBbGaJ2K+pQEaZjNih5rNMXs0Yaer7/jqZ6hOyu6YoOmTX1s1lkD6
XjARVMTgYsChJXsbJ3F6JkKX6wfRoER5q83v/CMiYwHBWf67UvxjpkCRitydcTs2R32xQ/XohpKQ
fVns75PKNsNPNHt64cg1OiL+O/9Xfk2r/yA2YiHKu296zzQg3nIY0E74+Et8hOK0vU8pEgOr73Ci
5s7wj5QjQ63pKxv/hTgdJjyI9CcsXrwlApblQfBtjxcNG1v14LeEz+32qX3ivyXitteerLsqvyuI
OPuarb/A0YrjdUW7R7ucSmy4jdz2qWf4mVEaRmz7Kb7G0zDzN3FYJO9s9D+KzhnTMyMqlyF8jddG
Zw4Z1TF/o229j7fwpKAAYA2PnOwd5zKhRsRpOpjm1oCufNRiO8Pb3IxPwhXTENJyjDAgTkj8YEQh
qxbAAoQpJSdXUYJk/HbcLy/klTtqBgZSEmEo0C1eNDMi6LCIGIbpriNgdma4veCrl5cMr0aPr8Z3
3lb/hK3FsAZFawz7Ha2PQQ+71H/pHsIPXBfsYmK5DJDRlmHJ2MvxEcfi+AWM33+J1AsmZkzQj5xQ
Q/7xndFtfM6kHeTmRx2u1uNA0ulcTjjKBDXoWldY7anXBOcJ6q5hLzFLP0nBZnyXSGLbSkloxpe2
yc7DtYcGB6wI0FWnR2aXnnYLpAI+qvgelZUooZj4Gui2cMVLpv4+JlaobqDy7s7Dg+pSmV9tsKu3
dDLlvb2AJTsR8KiI1mCAmi9Y9ylxYURNxQ2uECaFRMwKG0HnGzxShUt1B/MAMBZlL8XXHaipDWIA
v1Jri0WV6DYhd/UwDK5GWccOswRkRNxveqJKX4P2hAwgSKvgEHvPwoWYKEMGemJUVW+4LT6QCtPv
V0A455fKpFhNMCHC0AjH9wbwOG8UYEqCi5QccJL8l2k4K0/5deIyt73w2sT4ycfOwv82idDAFl06
gvgOivUlek0Cj6GBu8kexnfOxLCi4bCLG2b4obuGnWq813FqkZTamsVJeYeqU2aAew0vw1U0Li0w
efRjnATXP8fJtaFBVQYG68KoJfNm8C0uyr6/ZI9kkrXpVNkoTdEI2Z/y5pJG/Q6G2bqMRzoywWqQ
YFfmmRDnomLF5AOTWk29abFn7AK0TLAHR31xR8BuDBTjgeInpbQTk0etfsogQS63JEPxXxMqdl0C
O9RVqomL7gDfna/RI0I9uCMhIdzqCizWTYjFV7kcB3UHBvq+YG8kPHhN9Y5TWbkXEBzVnsjOmF5u
vRSIDYKOmdALANByINY+6q+Iy+rBvoStlhFGOWaIpzD0c88U5eX1bgr2kDEgSrk0Hup3yLVv+GZL
HR4QCVplTu7X5TtQpddezz1umxsKjsBMQFO5YJjA1KwQrCj23D33yplZUCTaM/F0vm5FgLRa3g3P
2yoPXJCRjPdRMqSM9/ya1XYDJF12iSayjMtVPIijrUJrCPW42u9JrBd07/CzHD95qd3wwuFcZ3FX
HF50i3uOctOR18oT8Vwl5k7PF3Go5+aWgD5vSIHx8wy8ZsnnGP0NcyFvnPelCnveUSw6Jho++Fcb
bsYwgTQQ7MEvLvmKhChfaZ2cU4cQpt/6wr4Qn3nqlGBjlTwS9meF2yey3i7mCAoYqUzcmpGSmQ+X
WiqZcJfHxEVZKvzR+LJ5VrxBn7p7OixW2UhdiCNz0wQ04F2kx5PxBtpSwoDltChkyy5tq8Zk9hF2
tLlHPhGjAk3J1xjhboXmkjqkKF8tRBe38UeITONLX1BZ/0slbH82g71EDA0pcCDl6h76s6XRwksi
PdNWWCXkKmvLub+vzBWs1uMWVNxqkG4I8JIfd3BPSmVT01ChkiQYG+H72ziynBX5I14/l2fizy/T
fOC1cjyZ8eWDwnpWuTx7HDl8Rh6HRq9ArrGnE/ELu/A5Buj5SQ0vj83TUlnAraUNbMXLK+AeKdbi
+WdkDAKbJ+cg7pdGsHwkKsk7JwfZBkXBhto3nMZwSd+IE2qIB5yNYKmexUoi0GKbiEyeh1cu3F/I
ElAKFW25Lo/Dv7mh8omKV4yqKz4PceEEr1lVL4Z2Ta/QYD0tt5lyRKelIyugiRs4Y3lY8G98RE62
dAyYQukMGnWhJOvujaOK/2Nu+bB0EK7Bjnx2npDHVDc8Ua/vqttA3kMoUyEZkt1WwCSX/AEwUKxf
p1+6Moo/e1RdqSAayepajnSvp0eCJ0JCMOFCm+fiPqhnASinOxk3cYtmnVMYNzzPQFPCHkT65MRn
YF8LWUXaIsAUws/y0qQW6CsRd8wd2iqwzofhS6t34EZ5y9wF+/EZJPPAZ5gJKRiQx5xDEJPKAweE
4mmwTuTraB98yrG3qSuuIKgnDQh/Dszb0QGtSc4Dn+dxWHqfgdvHXXHb84nEBt0CYs62O9LIkIS7
I0Ea1NTsIkNrt/cpEM+Rd+yGFWYLKJ0dKTbqQZEyyx0lfBPzHXdHP9ZCCvfssds2sStasGTDrpd7
d7OFgOje6m779iUGJtZAVJB6mXoG0ibKW7jGG/nccvp5O+W7QvRIjVsUcaG0IsHgjATyE9+Y2+z9
e/qe0VxY5XEXBFdpg+HALvelvdFvaoGCC9otaa7lxQZHZJcYH3CeQDjOpbe+/k3mEsGBiJY2aVYP
6ggJxPKGGUuFdg+mkveT5A6+cAL5NUXoj6MH1o0nmwSXT0Jf5P1oDXrJNlXcdMH6Rn0khsfbQBa+
SCBZcWiFYAoM2ZEFlxeWN/sw2/LpeFFkrZXQBauD5BtBzWUEYr3W3MWRyt2S+4a1ma6Yo7duSyqG
xtI46JDNpiw3W2Jynzwf35Vm6ZO3U5f45JAerffq1ueZcJxojNGBF4ubtyjV43BhZRmAi+yQGmSC
+ZsA7lgILyJwQoc6e5jnI5dfGgH0VYsitW2ONtFzzd+pRDnxyuDJIovljogH1ITU0J+bNoNV2TtG
TxuuxkwGC3QXoWiFVNEx/AClmt0t7VVAdQf+em/St3H+ivdAI8PBxQdW8dqK4T6xbHU8iSinVcKT
CMZz7XZwM+lwBqnEPJeRjChfdsuciWmhNEDhHIqXxdyD3b6pQFS4ywvXHZWMlGVrjyG+A2M58C4y
jKCnHPhN/OnYK7dA+qt74mwgOSzzKKHBAe2CH98aqGHQDZb+gwYrbFeyg8pMeoPAedGd2MCnrqpj
XeFUOBTn0WCGK/+RNyrKZ5Bd8BDxtekBBWOIvLGavY6ETbOvzfelXSu3fEsCrSIJUdKeFMq1BOoB
vQjplp7VNVsAl0RyGYFgNYGwc5dZy3ubJvPAOCzLFqM/Ln51ZYDvlx3LQpLKyVAGUXdZ6ySBy/Bc
qKjhLk/RBzscaAFDnQ66iBPY+ivubhV7VniFpBpI0IAaX9Tp4h2lFPQ0EJnQVBaQTH+AWGEYU7+q
g2Chf3aXFW7DO8W8sZ6N+rZsHDCIS0vqPJDlCvlTjJSzJTgNr2c+KsEVmT1UA/sQrXFH65/7FiUk
eyH6Cd0wwkag1Bn9EgLpdwymtGv6YiLa6hthBIs0za6s9jRMPgVNFsQ/ISk0YtB9ArVPrA8jy9jQ
RfLggcnIhD0JfjthN5hHfmJoX2yO0GtuhXfWzdDjVEF4Dx2KVnp8NWbyXGS2PwgJpMl2Ni1PwZ4w
ki6rukO1aQ0wEsVlwNYG8nz7xZKm30NQVb8QEeHyRgMV69J7yDgxb6dMp1S70hpJ+iPTxADLnI2c
newxkgBQnuFQhfKdYJB2S7cEnO43jxDT8d3L/iBzqtltI7dpP2jw5EB85Zau20YMdg4NKozvqB4W
ADvQK6BdnitHF3dSe6C2ZDP3fDAwMB2l7/tg2COsB3czWmulcMvXGVK3hJtjhtsANwWypVsfi4uB
ZR2M6KzlTfpCm6FLcWeMRHO/fGx2ojEzGDFy8IkCcSciV4TS9hKIOjMtMT+yG8Nl8wYghAGK+U7Q
PHbvdgN+8yJCY2dg1qjLl64ZxrroDAHVQC1t4gSijdnAxbgqcx/BMlZ5hxhn9BZxxEe9IYOjWYTt
lyQDn5WjsoDCHDDjZ0tisqMkJx4hqlcfBbBk2vti73EqTJBkxxCSzg31HQCEY+gl8p7WHyDb06FS
tyeelipvd2ACSMlgifH0xgeD/A2xUZx1/NVl+gZ5QvgTZFFqawvMoG1A/XkgLQgmMznXRJh8LPLa
bgWUtc3RQoNiqUreWCKDh2ZBqBdUenFQqnbkZS7rQp2TLeo1nWr/nAEWfcrm0NWVDEo4xkKiMp2C
z5hKodY4aPCLBkrcO1kCknMaxGhX6uptVI6UXXbQQFqoXVFqC4gqVzOKwdXXuKWMImsn+ZDAKOyL
VeKJQ0iiW6CoJdJrNPRqSAr9haQw6PwA1WVZpicNimj3IoP4aBE4q3XYsqY6uS4jXdhCsjtvm0F9
GHSEeAO/MSisGBm5Wgqt+/C+Uk0cqUAumK0oajZm7bPOgrfBZ5IpFWbncM6oYnRj7JogMHMvATS9
QRExdRNDuowmqnT6cuR6uA+1+dZPzOt1U51AQW8p4mX9LcuSaT8SucmXsqBcHttD1ujtYagiXlnX
n1beomQhL1r/yAGaO/jBrK+0Rp1cmrZU0XFrtawOEP7+9UdpdppWMJUMU4W5Id797BDr8Yc56R0k
gTlJoOVPTa1miqLRX+vrUo8eoZTlmTdRdUzeQwPFuC4iXcyiUJTxLs/no1CB7BQWsq8R3lqqn2Ad
Ar7bAhDz1X/erSmACK2rhGLXdXF9hO8Dl6NBdvLLz8Yy8b2+xgdrG2I9aN8gprncxPonXr5Mst7O
urhu1MrqyRLJJI4K1UpBJlb4lcx05fJi1z/DsvrHtvWHdZvchXu4OyFfNIZTZqTSNu+DCqhLBVcy
umkoPcIZnFSPtShTRVyFhtOS35CDZnDEHkJiWQdljhR9bOoIXRnFjmL/h4HIDMIhgmYu4W2ou4d8
/NWkYo3n578HWoIYd19RZmsha15pJEZmMG0xIbTY6AEQ9DnkCgJAGUWFBBi5LvR1FmK+0owxyRsq
m1ATnyrUnWFpNDcwSN+ULRNyj65ql1NRruhwrkDDT107Hc5E8KLpzXlvjeZ71lxqjYCgVkv5vUgq
JMJdhxF02AZmFe/gHCERQpAE1YPbSZZuKnEqdooK8LUaFmJozJMJzOFOq6HpsijQwiUgPlcgGxKm
sUsNMBZZ39014CpLolZmgkwEMjOe1ntiJCkk4RAT9UeopjNoN0JL6/ewyROHKlXXorjPzUbedDBt
mxzl8rrLAewZpySQajzy6nPsoIhvAswgnWhbUJJMj4WEbD2TELWHhk1WIXSkGK9QICszp2WzrcyM
l9qbztATH7VEBZIWECGZhIeRFdFjIbYeePpIHxahUfznwjAiT5rBIBVEmU0ChPqQ+KSJute+4KXV
1aASeX1ULHyHfMTaRAMTS2qE/IKKtvGV+kC4H40exL+yCZXwGeowAccyDGxI7OAdLCAPIQKkSYm2
HxV4AsoU4zHMScB0BKsQ/2hwkHAZ4I0A0xYHlDR1qC5U8kVevC5KIdCpJ9gGSCZTDZBHFlrJA72m
h+dHDAd4AbhjQUgABQrmqYOl4Epk7jK68JCPwYxhD9izDJMXo8UaFbV3K7a0U9AxwSHPHtpQJDxJ
Op4hOObOE+QJ0b5+dCoxz4+W0lMoAc1Tb2gFRBKLeS9RUh8MOTQE6a+hGPpTgyj1OZfLW7h/QEiR
6KUEZT5Sbf9cyVCHqr2wK7uooAPB8mruUjkIbgcYNOFpfYqWEKLmWoNiHrMx9+KoaL2u1DYJlI9H
TajPhqEN+6RqX/VAk7bDUIFVofPalYB+rBQx70VTBAm7GS2NCD8nMnqiOcZnXs7DZoauCuYb9bMS
MOeCTNm2OvaI0Oc5EoGQGapZk3sIFqH/JWneAJI2nqcMpNJA8V7cvSSRQBZobpNtLDH/TuqnEcDG
O9QU9lH2caX0CaXyyXwIioUxdPLfNAXBJSEZzg1MZrvpPqsMhIYlCxm56kQ9TXukbuVImf4vCGIo
oCkJnDHkk2sAkIQUkaZJ8U6Ie5nu6raZVB3E+a7VKZ5tmlo+5IAjKPODpMIAxSZPOEllnNrw5zQH
KqQ6W/S1TzErYHcs9J0vpcwEdfMw1PnrgFSs0nfSDh7bq6WlU6lrLVSjqXwywundTMrIkaMQTnhK
3gZKVGDo3I3Y36q1FxRpP0QlJc06pTa5BdYD6ofoGDOPWGjROLNPsfeAV7yAFoGBGBUVsJVmeEKH
vaXJhQg9r3HIStiecsNHabsLK5uiYU8ShdkblHy6VUPUKEvtSBPJ3lNfPps54PW2QJsiw4/rKHPT
BzJrQ0PYMKxf1Gbcq2YrHOcImIawFEiW4xxsFbN5mMR09BRROVV8GkKOoL+D0LKnTvnSBvwbKq5Q
DrSwiiRpuhrJ7w5BjCMUaZB3qMpTbUlQtc5z5NWRgk1YEIiqpxafkCIsvUzAm8H94hWSDm4wJIss
bCmEVZwCLjFbrPTLRP3rYQrUYRf5Vgi/fZ4fZgwZPS1OsBcrt10V3/sSrCkMxvCpxA96UIhXrV+e
rGBWjjL5LD2J5Pt26knqAMVqakE6DsbrOFmfMEFH+2yIfsHvsQGiDjGTE1By6hXmqxDN/ckqi7OP
rsUupuiY6gHxLV0gEqJPPguJlZNYltEpkUL0rmDgXDS/ENc7S8LMsGmibCskRujCV/dIK7XLSijP
etbinvcDdrOlpW6EHKbdBtoFajOUjzTdpaT0Kx79U9zAQB9CDmnPJWZnMUTtKcXbTWF121QqaSAz
kfRj5/doCMmNF1ChQ+JhCZFQOwwHXHSOkmqrGtmvxpCoD5A+fIrUKQIdBqRWo8TVdPmpzYIBYUeI
bYe+hOPYQG9Vm5hqVTScUNuyU6NWt5mYPko9WqpBM90KRkBSDPJqNzMzBzqOnMJHqz3BMIJty9DS
qZATDaLcneQyuxmG+QWB4Os6a4gRoGaD9Gp/UqMy2EF53xODHi4qUcPrGPmCVCp2gryQ/LWBAdWT
lhPqnIC4CAqV0bLvyWOf4loIWHcaBUmNTlChamUYkIXwepjGk9AnaAVDBWXMsAapGPRVWSHZSLHk
RoqJoMRC/pnHhZvGmov9rr5BIEqgzmzuclUiVG6YXoSFvs8QYoDBtTuhSX4nUYYc5MiECCIafWrp
QMES78u+ebB0iaFdIKoo6Thbc2B+INdFEMZE7bPSiVNBPOLpIiHNJDdgVx7cCS7REedQ6oGatCFI
06IlNmdW9BlRguXOKECZx/2ZqscxyX9RuI8Eg669lfNzVfemHcBPiXfD8+tUvEAfGZ0h0jK1DGxD
9wKBKmDWCW9APk5zfGyrejzVwiiCG/4MNChru6BuH0PhbtDAoyeQyMCs1X9Gk+pfLDJLYhF1i/Cq
eQ6C/iNoDH8neIpW7quS1K3cjoQB5sJD2Q71Dyk7hnWm3sI+9CG1/a6WMTcqkyB4bc7PkQ8QA/rz
oJwmujHM6o2rwvzoalJPulnymYJmVOLHM8xS4akrSaGasbIdJIsEoYGTgxveFlBgzkmooH4I4bMU
Gi91ZHmD3L0w4dwhVp9AFQWjRLkb6Kdu6fvaqbTSI5TsCPTmS4xJLC6jFRVeDA4O3nEeUqbAVyNA
D5s/6cFGof5Zr9wa6bhInlHc7aozxASE9ScMFiIEJjygrjSW14rU6ifkpI/aSCFOEqLjM8Szz9iU
vJuFH59qvwMdFCc7NKEIuUJ9SZZKLPaD4YSoIfqFdpRGodlCBvik6Mn13A36WUrrR8rWmSdN0Jsx
BelQ/SxcTgT3pty6SXQ+JUQRoJpkZQPXAXlOcSgdXbolYtam0DdGbZVBE4CuutpAh1u1xOr0Esrs
oDnEfV89NsAWtyX5ddgd7tBoInyhlnyyFIOuF8nSwwBPaLhWc4r3iksbd7jDGgV3VHR5USfLnmpZ
Nw201vsubhY7EcL40Wj6e1zTctdQhg0cmFVkJtHXTrRXNL9jJ1Tr40CRMUFL6bVWq+usUCwQUHNr
L51HTya4uxAelzRdXTC5mKTwvub6OG3Vttaox8aMQCXaS7saFTPiIH6svhbYvq6SiV9ZjeL6KA4Z
kJAaTrJqb1h00lJG1n5QaOA+6dp0QNnE7zPUz4uMejeGyXyg0kIxqZX1m3tFTM1z1RPZLeRiX0RL
GQKAz1zSIK/05ytR7KW9DDnEHn9aGebFKgC6jkjWdkT2a5sCCMOhPkhJndx2kRXvwo7kerKURRYF
RFQz6l0n0YfhKOt1omaRb1va6OkD5Uem0eH0wYZwSFFXZr5Cdi1Dy02VZgXzZGcqSMBQCR08mhpS
K3OSUztWSM/Bc2pQgh9j1Du6MSenxiKcUg05c54s+leTkSz1AqRPfC19EEXiIroqSTelSTGsimmz
UYNsdscG4q5SgQtCNYItMEDUsfw534dtcaSO8auaIB+25iIictK8dnrpzULeEHJI0UstUHepQW5b
RpMfasJoecDDimZw3Sp83GZmfBZnHENNJF5tisDIJrAZQixq2yJvnuG9nZh6ewubJa49tFGeA7wI
Qk6wbSXt3B5m6l+a9kqQ++BsivG1rA7CPe6uwtz5MddNZSN32esRERuTXGMn3BW54fk5joLRkdUU
fabvtCWLnhtXOENOnigfQxLq4JojcROrWU7aYQa/1T5DH/dI2EHDfTIZ5TTEfoy6ooDCKk9+pwwk
JFIvwbk/GGXN2FKFh4ZMv1CL/i6BlI+aSD4nJc1ozWf5BimXxQsVIc5rFICTATnDDtM5T0GGSgrV
J9KQeUbWKjfq0Hs94REIcaNzOEHprFpVdUX7ZDiNldmJNZGx02wxt3XhU6ay4GhK0fMYMa2KIb2R
1kKHxoSlfGjMkQkptg2w10ZiGJ10eHnLQDXZoX4plEFx26l+FYdFciyK6KJIs2nh/CxF4kMYkyqc
e9LypjX4wP9J9fvTNJOgrl7DCJ1oZQxIUoI1b0rg/2FF9gNWXdyuLLkaI+UiGEO/E60JRQETUfX3
IQB+PYUlUA1BzzAeUNCsw9t0nh7neaKEDE21XVdkV3nTPMxhvhfSILik2lPT9x9jjGoIhDzipiTM
4XC7aB8Qu5UbdCfHjOoQECRSMYJXMA+9mZzD+oS8yms9Q8mQKdbRgG0Asj9kPiGcvWusDFUEcfiC
745QsUZVSB9Z2qYxkuSiRemzPjyWRaF9zuolj5JbZCIrr8tn0kDxuCSdyQQ1FuHWRD2PTEgu0ahf
fWVBxW6Ry4O3pmemh5IOBiUkfCUQjfC3vAkzmQVJH9x+ovYMHTvDlZInBqx+28U+SMmc8b3so4+o
SD9LI6iI6lY3teR3pxwsZc+saszmp9WIkqsv1CBROz+igSuNV2InuMieABI0xGJXKT44ALdOI/lG
qvu9kWT4NCj05ozgdieNp75H5FgOFAz+8DxnRU8swSB1Uc77EXYNe5wmyg46iCMi3cvkJeayFCYO
NUEM5CIIiHeVEw5oNIRyeU2NL6mLir4bQkKcW9aXkgnFNu4gyNb54nLkl7tp1q+VVCIiHRvbBkWB
xMC3K01KaVSBakAERSnRBzA+qjCBWNRt8dXpPmroNKMB1iPRCBX0ocyAvSiyJ5N/1VvlJwoTh7bN
fsG3C4ewTg1qDYCZkca3xDchA04kBfPkTil55IhknIAugdXU77lEFRTUvlNTFV6tFgyvKq6c34dP
XdM8jz2K7ql2Aylzu0k6Id3B+ZGDXYRUCXI6vEhi6RbnENLmFsrhcBsOTbf5z/nZ/n/SZpIsFUq1
//W7+NO/SDP97zqai/ztd1mm70P+yc6GtNI/RFWUVA31SVFWVPV//o+/VJkk9R+mpOqiBuv9N9Xa
XwRtivEPlJJEHXI41YCjzfqNoE36hyKbpmgZiilplmT+J/xskq7wNL+LMomWCQGrZJmmLEqSqq6i
Tb+JMhGDaJoRcqAT8zFULPBfHdY/40joQsJqPMBjTIVBGSDJu0Rz/SVw64vWX0vLajSnT3mrB9uh
TRAxX1WGfGtihlj0hmjlGZzFh1ao8kM3zfn30ro6LKvrNiSh4dtZN0I/3u0sOfTEkcIQQov3YYHw
No0zyw8ixML1MwzaJzls/S30GfB8/NcfCdpXqIyW9Wy2WOzV7EmVZ9DSSxV/vdwCjC5mstEDgb9a
pefIGpDmUJe0xvpHXtMcyKuz/rMoU/IWJXLjBs2S+lh/7nvCSPa6GGf5NIPHjScn7jsMQDmG5mB9
Y+aUVpCdBS4x4n4Rb+ctfv88VNkRCwMvZsiIwWsTyYNW78vDz2oKcxDcbUIYHyBJTwpEa/I50UQY
a1gMhkUOfl1c/wgWqTRzrFRU+/JOtOeiDyn+4cl//kj68viBZBpA65bXr83ojmBQGQ4DKbwFUNAe
jD6GOspsIioqtECXMJyWzesOP3sNtfyoQWTjEptst1NV3U0TDUPJEf9Yl1Bn+udSBPcyRXP/+rMY
jT4TrxIziI3SPTxLlAy2JS9p3XFdl/vlRf7208/Zfzsn7CjLUS2gQpTPJeePq5ffPy9XX29pPcf3
ldbFn/tcD8zKXTnR1hKBGF6fmqjALEuC2hLS09JMgcGcxXXj+qea01dTFX1qmtjv50/2X6saFCH7
vIi/9/jZ/rOv1kiUXJa7TJAgr8hN3nwT1Pz9Xl43//xBF7k4fP++bvzb9d9OtS4S8Y23iabc/xyy
Ln2f589T/Hbd/7YYW59KNhTen1f47UypPqGg1iMl/NvRv/3+f7n53w74bfHnpn879G9/X/f889b+
3DPSYxBZqbKFRQlQu0n3/2ne69K/3fbdL/78OUqVfP/HRqGg16xdZzLSbl5Mld97UdkUtegKxBLT
jVpT7CszpP0c87P3H6ddf4DhB3YRzVtTij95SwhyysPP6vrrz7ZC9WM8piVN+d8W111/Mpg/510P
/1mF3IoRcF3P1tOti9rQcuafK60b1z9/t229jKai99YhZbXuJieV3j+viz1a6qILM7q0Ewdjp6Tw
muuaSSnVbC0sOh0U5+vG9Y+Zyupsf/+07rVubaNBm7EvSQY3VTw4akvsHJ0PTjWLsT5f1kVRC7IC
M46t36fBCif7VZKXp4SsIDu6/NQKQFbiY11D85JEECAvEVFLoFqx1Mf3qIYQYy7xAnEOcwjd7LHu
3pMU0ae6HUe3Tz9JepNpgu43ExrgVyVArcGMjiV6ygRHAUnDMNJlB8UIPhQY24HiAesZCETZfl0Z
7m93+f0Yk2oiXBDVodstU1q/jOP9Ms6vq/92GwJ+/7LLcsR67PcRf7NqNSFO+x+n/n84jWJqBP1U
c7+eGQFY5pz1St+L69b1NOY6768X+Ld3konRIYS3HF21n7tpxgIM6HRXrjOZuPDzWNmYHdaldnmU
n21/7vPz888+P9vKCnXezc/6351W7mvmz/Xon1P8Z5dZT/tzlZ/TrNusOHnJECY4TAurEoH9+iAv
s+m6tG5bV5nBb6RYnLY/2/uwGZgLl8O+F9ef4nVeXY/544zrarbOkOvP33uuB83LZdel799/1r/P
GarIcKDT56CKQ+VaQYZHJkuDoxqOAkHUOTsVgwi/TzZR29ANI/E0EqIKFuk2IYtSmAl4SF/pUKjQ
qZgKy3eiS2QBJgvYYAueTA8N8voaGnF1lhELsop930o7qyRjkSTmqwLxtVNGh6R51QXTk9Dt9AYT
HErhL7yKxt2EhBhFgAJZoKb6iGc0IXssDDdSrkw9mG+C/8PcmSw3rqRZ+lXaao8ywDE4sKgNZ4qU
RGoMaeMmhUKYZzimp68Pys7Mm9XW1Va7XlzdEINSSCThdP/POd+p1Z4Tv0+YdUH8xvWTKSmGi8qW
rj/jd5K3OLYsHWCHc6GTmj5+zBmD62sbkFQNYgqcXEqK3TQCPUMJS8ZBDTpkv/IoZW/r6Heq4MpM
g3ewW6Y3HOqQJtJdXjHp60emTYV0KG6oL8qIv9MCjZ0TBxMczztzRIhWakBZbtP0g/Me8UOqK04x
O3IsTvImE+ZrbqfjXR5X5JDocmDvvpk8+dgPJRiAehfQLbquyzqAbmiMRHknyD5D/OBZs7HxQmD/
H31R5ptIlxHPJBQZp4wTuoHnX3BxP2Q321treDPbRx1Wl9pZeu8OAG3zbSWXdY6s29xQnl5NPbvJ
mAmk66t8pRWkTDmDdb86XnaoPc2rV2BYszuUFe2X7+WA4wkqJ9MMALrMUeyrsL+yPrBvKN/qnzMJ
mSmNCPIymC7i+s111bjRDNE0sd+cQImoTkk1fuPNLW4M+tEWwVTzXFQwo7oWx2PEfEaBFj0yFVJs
dZvbglaToWNRrU272DktDCJNHaKfC72mSOh3YpXRSrTCP082KpBHstml0/IYSfHWR1fVNLgyY4SE
2mn8TUU1A01toNddubXXXgbjIXFJn+mYX8ubh+M4+G9FJJL7XlfzVf/yH2kj7/cSPvLKbY0/RnRQ
dVGRYTZfSoaR+0YR8gvhJ7SzfbGBrJTFLnSrxbuHG5QOBdB8vV73VQTPhEoDsnaLU57QZVRk7bFO
iMXFSUxk1W8YzNf9xoiB8ioVotrm9cEOurcw1d9VMTFaqjs8EOl9b3b5dppaF77ICdJnnwbqrrI7
7+SHKABBFmOp+zI8Wq0Gwpq0OzJUL+nB6DRFnm31XdTOxdXElaqKl8M2aph7O3PMUCW91Azp1y4Q
7LXXIipgJsrXMPqDTa4Y0dElgIUv42TjeLm18sOei2e2HlDoyQFaoMAdFWvgz2/dPF69zmu2bbww
IIW++fmKieYrbOPTbQHWo1Bh9ea72SGmK7CTcpdzfbRp3tAsTGQ5Sa6a3T75mwyHpRVRjIQvJDV1
fgmEc1OX9BiJJFFrfh9SkKH1e6R9htiYwxQ2nKrLWHjHaQwmnDWow5XPVGnM9LXiqsITSCNA0yHl
uKB9L1PMM+Egw2DL9J/noec9vDGRS7XqdtIOYYi4zpPQY32uk+6xsSOAhDNn1jhxiFxVEyZulwMZ
W2gmrCQY/Zs8itz9aGeo/Bz/eujZWyZ6z5GhmYvO06EfUno5MAz1usXjFzYUCsFPQ3P7cBosbONA
x13Lhb8ujabc2fAMOtEg8qu9dsMRDz1xLF6oz4ZuJTln2zmreilBp7qGzYhntwXr6YIl9jHFeA3f
IO4Xs3fYr1qn3ln+KeXVeHQbwEduv5lclgS3qZio6YwYK9TcQdPRwU/G7A0z7BA4K6+nrgSJBXtL
AUXZtMZfXYeK5ibDoeLJXYk++jP36k9RRrewnA9eMj6qor60qnLBwwWnzMBGUVlGvWGTBkmq7J5K
QWwjUiVIFDoh951tP/a25eBdDY7A+4otS+F0GRa1x46NfZ+y6EYRXIIud8mmlA5mAknYSAkNJ2Xe
hwg/dT3eKdv7hT6IpECP9SoPQJWV89tmKsRDLasXrj7I2o2ucJObBRRx6LaB2pWDw3k0jYt1CKE6
EfV+bFo8HBRdrsc8fI65THF6fVilNTJAYRxr1fgiGDw9jiogJdBDqp666NgnHRACA50utBCn2JZ1
AdW+7nuQqWJfiegQdI5GZMHWaTX5o60gJYQNITSjIGMawRvwgs59pDARL5Q46Xuvro3TwAXGlWbv
6wTVguqhdT0hebR5cEL2JBqIaLoNvWtPS/ImrrgmB0Vwu6gNcRzdi6+7O7CIzaaWvPaGFD9aiGkh
7V4bdlFr3hpNxXLXdek7BwQi4H2LLSQgqa7gCNBxTX10ujTcIe5v2UkfG5PZqZjaS+rH2ylxkmsa
uhtWO3LkE70acRmBvaJwRoeSKoDaJxEZJ7f2vC9nqr90rwEX0jcx9fB08MGtnTF4mRbPhJMRr890
tu5w4zTaPfU4L8jQQFYoUg/NDbe4HClZ4UqhGpqTwCqsBD2JMTkKRfdAJkkIgmV2alBkHdXGKN2E
IxOLVJ/hibfa10C80P3ID3ET3VH+YZK05Y1F+cZELT/OPTsi7RHecb3nsZ8AW+TPBe4/kj3FgXam
xZENTykKZqz6Djhbt30qtAOfx56xMNuUhvpQTGigRYOyENxan+DdzKTYLpL75sHsxAh1udzJBFdp
ybUhUwXRcSI/2/UfvSaHrSCLxZ662JIeVE6KLi9oE/RAh2bE+GJI4+kQg9Tct0n8ovIko9HbuJPa
+XT6cRchydyYPmNrlwyqI3A1UlN1VzZMlJ2YfLY3ndXySFdWf4dqxWGpYuWjOtGqMAoUPtAu24+/
KivG3umwUWiBb5P5d8pNU1YNTlF88KKv9jopnnwGRJr1+MYLg13UWsNtkeANU67QW2coMPuY3ja0
sXdPyOEtO4e69ppN13WXwK4bYDywBTpG+q4nXkRDL5Laj54WrGcQgGSyhAAItNbpo06tM3fiabOv
o2thUclDjLj9Z0V1nUMR0K4w02ktXWpXqEY8WyJ6cMas5zVKS08SfaXjC96pm0mM39lAA28tDfxQ
oXVsqSFAE0iBATg5jQMU3q9HTF4sIGadYTmXzrMfUFVtm9Gd6n0DtpphrWpJMKUo0Ax0YRBvoRfm
WLOFNpvyXFVzsfVMBy2PEIJcMLqGTZQMNoaGCc2/iI2+gXBikblwahugkhwRNh37wBq3za1A3XpF
8oAJ77eWJE4oU8ToyAMXZTE6h9Gw89GnOvI8Jr70rVWHIpviIxbmDcas1B2sUxfMFD9Q5ZzRG1Ph
1FnjaIRjTvm2cN6HsrbvW2tZOrMC28A4gj/tfxcmpk1yIzzipPBC/4kTW8Wxbk/7N2FSpAwelofR
KQiuFNVtaJsPYoB8aZvFo6v1V9hCOjMrdDMZ/cqSgPYk4MFnwyH/FwtNOGnczvXI0kzd+smU7l3K
GHpErKUN5VcTR8GKxRAmSVqdeR9ku+X5PNwVEGjaSaiw4XXrRNXasVu6qvCUWm5LpLMeMFGZ7303
vRsuBApbk5O2y4c88ON91uVkYd3woBH/NqZosIMqQvo6TmZIE+I+8aClhLwZR7Zx1KlMbqukJwH+
1fiCGl3hvdoYVzMA85istmPKrHtO/kzUHpJiatgcBSQYfHfmNQo90pAOE5PMWbFFM5CfFd2X5aL9
DBYXH3lxIya5O14tAUMuUeLOqPgetIAx6Vbo44kBirFP1LazMiYNA/wWbaanuNMhiagZt9t0C/7C
3BVh9hrB8t4XDYq35vwjmFc8o6A7AiA/lxe7A2vJeg6MO8YlxJ9GH3qKn8yw9DaFGr5FZ51l0NMv
OPXfXvjMOD7dDe30PeSj/eJGNZ3VRrVsLEd7O1BIBqu91bfeJrFEcAgddTJawtQdxqxAQ8X3jds8
GD6DqU1vmRztYtd2bqyxvW1Tou/NHB5DpsIHZvQfbtniFelmF6zc0YvUvJeB/lP5lFVkahuZ8e9e
pIQpHELgRRATmR/0Mco6TP8UI9cjOaKJFEwtMDV5vClUMvjtGfmmBKRkNMGtK9u903i8Y2bdqlXh
1W/SlxIQ0GD5z07bB6ueQ/LKltMTtZA8q2APw5FvBsd9JQmR92Z7ZpXGgYDFHbD9NhPlS+mIj6gc
ANcSmSrxhQECh10fz3clutwq7azo0AtH7JuAp8ywrk2XGhczcdWlmmvaZNXJMQJJc99yE7rtsaGn
5vZvt1kSP8xcIs//86tCAUU5b8aI9Bbf6ecv6Hf/6GaJ2bfrifjNj2392NIheRksQpcSygkHVQI5
M+aAwUsSfpDw2ah6vPKKXWxSk5Lo+24EXHBycSLFjAjuemsMr93yYcrUlfJPv8jLkwwH9/LzgXEk
fLJpZidayv99G604gAw1AW7zH7fpGa+gcGKxr7GYl/R43+fLB82LsaJFj4uCzExH6d2YC3GZlw+M
ZquDP0k6SpdP2y6yL0kj4/tBY7P+x91+bm895zVm+wtkmrv6Ri0uGd7RTT60JaHav39LWyjaAkIg
uD93+ctfEC3CwPu3f/jnZiyuOXGqsjj+/AM/t6kIo1vQUfzCbp+C7L//VDE12CfXmx7/9pUw1O+k
NDZDGCVXZoUQt6dLZ1nxdajH7zGu1RHPxa05Jdl5HF3n8vPBn7muSvond/+8LVtqgVRrZ+vUNBK8
+Yxdzrahb1I3dS/x8uHnzjr2kHNIlU9R166Lwo94UqlyBJFT+QQ/ls8b/Eq7piTTX/18HoGkZ2c0
XpLWv58D1hAqToFv1dq5BAHlJm58CpdPbI43f/vA0eqNCuT5ZnIyvmNGwgWIGV7mf95vTDHQZDMk
op9vhA/AO4V5fMlJE9xVCwTn5xU1Y1Rfj1G3orq1vS/ZfV0dww+vIikfK0W188/dfj54dSlo84AR
9fPpz30tIkobFy8b3Bu+6uc2MS0c6jK9zfQ4khcIg0tW2MGFoM18Y9v6PVRNcPm5XUgMit4A4Jim
QH6P5W5KT8cKLvvtzz04BV6W4ANjG15/5RR3ByMMvEtN5+OlKmBSWZEPmGKc5eXnL6wuaY9mRb7z
59OfvwhT07mrs3ptJ2lnsPGPul2b2zY2DwAfaU+ua/meP/eN6hrvd9pKHPV1sqPgABypoaJrVbg4
yR1C+7ZUUMNlVyusgkzf2rqOcR3zwena7shMCVjWCCjrf67+///Xzvab4ETXTA9/wrgs/kXJXzrT
/u/a/6Es4Ih9/Gs32/Ilf29ms//dsh1pU5UiHcEU+p/lbH7w77ZrSt+xTeIO8qc2jab1LvqPf7Po
c7OkZ5mW5zuuNG3rH+Vslvj3wLcDoiSmF1B8Ezj/E/HfCf5V+nddYUnpeYFwfdvBqmby93+R/h2f
pt8o9bxdkNGss3iwalz+xEOXMS1h0SIMDm0Vb5OcnEJSnpVqTn2gDk5+0kVw35nJtdLpPVmLe3xt
LxFuzSnob/viGpBcSKibgfgl/ASy3rQN5/hVD/0bA4EHG81d4Tbwc/VeWfObE4zbPG0+sRf/bEBm
JhotcSureIlREdIq2nKM2Ll5dg1iSI/2cu7604y3f3n2LmU2hWXxvwqmOWVcdO1//Jv/fzwgNrsF
KV3fcTxP2ovr4q8PSCzbQXQOkeN4YmoaNTI7z71L30p1F4em+AoVJzN3cB4mCLa3OBaLi+nWlIbq
Fnu2JTeWE8aPbmoFR6rK7qOieRlp+npLTPctm6m55jtaZO+76BoTGFtNbieI6vTzaTKBkStarRqX
oG7q1M2Dle7CKBtu7Ag2DZGQfAIBhc8xS/RwErGznqzWWWbzT6PnqJsmncY7mgTFg3PDnjuKKuOo
PKqb5tbGtuzyk+P2cQn1DzaIxcm4yWBgVklFytOVzH4dtZQ9t3od9kVyMhsNcEB71kPuxfHKTYzg
tsb1ccspk0Erpen8LGfKYjW4qS64YaC6tEg2ZG3AtOjZae7k6PVHlQCam2Rf77wKRJPOwvx+tuaP
KG79s/AmWOoB9JMw7a173BRf7mhQlKysj3LqsIIGhesSNGR77zTH//7ZdriO/up8cV2aozzhBPR7
mJZw/MUZ85eXf8tkPI/CUQHtaKv1mL6XURytGavIVWVClh2tfDOV8GBbUb7RwAVkLcnfAz3u8IhW
D0HpmEemjuvZHMAzFMZjnsnnNtPtJWodRj9dASmsmf/0yx/K2O/urJ4wnmiDR38wHRIUAcC3UCA1
hd5DrEJjr6eg3rSi2zLVxNQ8s72vl6BLS6aozJt075hoj93MpMwr4AL+94+IoHnyvz4i0sUFxLKw
/G9Zef76iGDaF70ZxBEho5Crcwgxddq0mxhuuzN8H0I8cse+xy93puaVdEvg/LZNGd9hJt0licz2
pbYoTAAwkDK8Y0LCsaV3RfvqRJwDNGWhKm+eyaoojKk5bnefRKpJl0jDK9ljH/T/+IXcZfX911/J
sW2Gt6YdBKbEMvVf1riiLQP296G9yxeZyE4fuzTK93FcE8u15v0sRX+y5pIRzc8f87mseLmi2VLo
4ZzyxF861NwVSzcR9XFcxugclyLCmdskc2mDtaajx35Yht292RHgDCd7sT3LbVwG7EPwXWcQKGG8
lBu3uJcifBy8hfhILHFvy/4hUd+hyXZMZNmSGd1j4DkmDfToiiFr0ZoP0BTMUjwLe4Kh2KJ7ZM9q
qqP1aMXsyUbzhrTOUiuS+ESvM8DrTQ0DLGkPQSJ+hbP/aSIHVYr6+mrk8MdZ/TFKhucmBrBpxOqp
976qHEi11f5StKJHejr7sWKdyJ4SKW/1wFhOJeNz+2d26TrwagG+3IUIT1S9zheIeE6NVDx82k4N
6SM88+iBUJtR5Ks++iRUSveHNEIaq+K70ew/I3ox/JyjY1m413Zo07MKQbVEdGvRMHfwuxgJDNq0
MpwPswb13sfD0bKzt9nPE7BkDJQ75mmrhAqei6SYIxl/1dhAP1VCuMVI7c+mTr77Un54cGYjE7YB
IZSqy+ebRiNXSru/p93u3qlNYjIc3Gkug/mxQGsHGjL8nhOZnfpn2y3tW7boRKDs8anqlbGNsva9
ShTzPEkpnxF4O6PieOh0n67TFcfcJ5rRLDXhsJYTNnu+1TF1bOJHJ4fOwyUOqJzwqybytjGrTqwS
Oy63fRLS9Gu2auczfMEVjA2YOSHtUNlwSkWDwdT86NrosVBzc5MWln2ZGzpO+tEEnTNdzdACTuKJ
GzpCN72IrrXClTYK41fbWw+9KMHq286ma10EeSN/mLyK7ap5n0dXc2zbHcD1O5+GrC5fdJgOalKU
1dlx0vatnx4HBhvohqia0wjnOHeHJYO5LU2a1Gq/++piSI2+yQE3gU2nXeWtK8+QnGGCfKd7H/fq
TKhn6rpkg6H9WkuUPVeT703i5Dnpsi+8W+2GuBhZhq7+Vnm4m6rWXkOmbdQvHPb0Roy/qqrq1wWe
fU8M+xYZZ9sqZlFtAanCzT4RInxMX6AHzISIyByCabb9Wq6LQHmbyEPNa+n+GMkC5BOVsUH6SXZu
19hQu5kaf4zpcBWBe1JdERMYe7PSrGDsMG2d0oFKXpTmoZDEriJmlDVVHnNkXkngjRur2MkMDlAv
I0YCy0LpZr+LuCAl0GQJt7ABb5kfD22DH9dCrWOoD3wx1XLvB5Aj2vJsZPPV0U619YL2IvLqYhmE
gYn4PvaybPfTCLDCQEFN5aRvBkQRXkDhzhyaR2KYwWmqrG1fk6ZPD7nVxadJ5N4KhwzqinC+4hER
udbWr54ZN253in5C+uUomLXIr6wigVCVlqncNFFz8YZnUwmfAfn03qjpmpbyucqjewz7d9HMCFc2
1Zurso8RKjqJ64ar2pS7pCXwMZM1LSZqWHtLH+IA3pSdQ0kNXOPWUA5jr6YCmEGQognDW7qCnZ2q
4l1JSxavGlHT/oqoggn/DUvRY2rH76Fgfpr36bG2u+pQzuYzRbnGXboECwoP+rvmzEbjkOMziyDw
fZU2uQlP5uVtPJnUNhahvjiBae0zW91Uc26DllH5zqyQiAU7LVDkfrbx7dY8BAyDa5+IWyHD29pj
JFJoDD1G5rwTlPSc7lVofvQ60V/USD64wmCibdLJMoyPuW0OSGgguEluwdlIkJVcs2NtKLwVuzv2
cJVAJVJAQkwUBEcAwyYqR6ksw0sC3EUF9jkwihBg3gALedrOTnw1IvkFaJxcJGzWYBOgqqyGfkFg
EpRLzDxYtS1PNO7TG2VTRqaMXLPrMG8VDncbTsimbyroT13yHQC2SN3yd1YXaCO0Xa3S2XxkYncx
tD/vm1mHtIgDcXJKkKfUjCPxdHtHBBZYGNkwyYteiFX8imyfSOBUDzBD5EdYkI8sg0/UCwQLA3Bw
mkc+wIOeoVHWPmUjFyG1e+8DkThpe19tJU6pSQo06B/CAtnB8iyuVQxOq0bFV9cBWEsp5bFyZ0qR
GGsY6XtRLhAr9q/bES17M6DBkqqd17U1rlV4a+QZxHTT+Tb0eBOYGTOBpWiC5XY2gw9/xP6ed7eZ
6X2mA1oWm5Fjj+ygBAstwrqzbobUhY1PBEP3JPCIqoTixouia1h2B09G+9YtBuzy9vPonQebi690
wAqEfQPKsAIaaWdPvV1ucmP4tmX7lHjluXcNzbUw3GfImyA6KLqSBQNUYV568RWrHFoueHtP6I8m
nLZDG3438akeGFfCZOeyXJPrIBqQejUzXs0TzcwAUe7ImWiczOdaxgHBAeMx6xDXSel+JXmZXHvo
zg6wpXmgQrO3zOcgB+A+a3wwQ/k9LjlZPyaymVB0lcQ5A9wM/caDcmdV1N95qr6pvfTLpdgxSvLH
djrYsv6UZJGtPIZSotkd25GzMdODIb1X9R3Mk2ZhJzBLMR8IfLP4No3mONEcyNkBJo6HsGqUEU3Z
4NJ9AWVH4oDtrbSjuZ7XnB2HDwY+UnoQdp702JehDLRUUm6xVdQclHZ927gbO23ofvltB9nb2Ikc
K0uerxvTwQpNyUEtkmGvhuobPeODY/g64kJeu0AkRJXuAmRJZm8EbdD0gFIkG5+esF5OvyFWVEaw
7Qq0u36k0c8b3vy5fG3T/hFJkKTapG6lGb3WlAOuolfatKnv7MhDD5V5ScuJHUR3sG3UuNilKnMW
vA0It9y7Mo3QK4JkE3r6NbamF1lbSIkxtJ6gu7GcAVp5bvYXS8c35qSCjWUuWNfAc0h9ee8dqbm1
3xvNAn94MiegihTSrqiIfB0NeCm9E5w6MUFaA2xl3plNg6bBpkoWrJc6qYlhGXB2XMdalwnz3ywh
Fzn/SVIaDRnNHgZD4k1oTiPaOkVMGS5FLYCpZTCzYogBUlhPdQqBLmzDYwsa2NIwEKvGfDaRtXjL
1a8UTrJ8WdamMqS4n7JXTYpRMLrbKzt8kDBXcHCPvNTLB99EXi4Y6acKD0jA5qYLymnFoeqoquKA
1vgZMO4NauwvOiMr4ApJBeP8OAXgw0QBBq+owwCx0d30kqWl8XlXIXV+WJ6w0S/uvVJ8t555tAAH
bYe8sfBM/raRGQ9QhHj9jePONZMH5IjTqFN6nuAAUSE/rIXZ7aP2OFuNXDvWZMM2h+lv0TVNsXF4
2znx05xjk5rFQ5u4l7JDJE8cezNUZIUaSyTkqTkVeuK2xifPjk6+4CjbctGlPSWZac1rEXM956Bi
GxLQtxn2obkrtmLdux+2UCIB0mHm4TKP7c9cOHBGl/7hMi3eK7mdFWYzEvs7t0efmkzvwzULf0vS
5EB4CdZX1vI0GE9qMM650cMG5lL3RzJuSo6PaadOasYIAaMrBhYRy+yZhPcXx6XnOvSmlYLTVUTh
qtrXTf6aRhH7z4n1bbRWneTNTjD5rgAaDgRqeecBnWYxF9w4ORQgPRJe9MdPUfGL5yO43jxu/qwb
v4dEGdNYKtgfWDu/qv/0rXsoEo/3wyEHCxCkUMna5oL/6TvzrPeZZIMVNWvQIb/0PPXE4GpO/9Mq
tepfqZN++xNH7yZtzww9Qcbz5tep+I8KqpeMYx9XO+1DcwRGHzqvV20Nm6CyTfA1oSOsiH4VSXtD
IS7sdZnv0q77nZJxlEZ+N3kgsYLGRyPWul4DVNmnxN/13DBejVG3e/8D8eacFPF9kXdXZlyPZfIe
ZtQm5np6TCbrxqGN0Infpbbf50Bjr9BfXmS9t536FZPmLDNjl/tMhRdjSOt8ZLL4M/Ir5nVzj5VB
bXOTTVtgejdF7cLxRGXSPXm73qAmrVUWPQ2Ze/Ur4hyTpBEpWjiXbgdJMOhOE+4sHCt9uLMi+B0k
4lo/FHslo1tT0jyKPHfJcyAa7FVWlW99ZoWCb+W/sFuTgORAkFQhqPYF/tGp+XNMS9J7016N+M96
3pXXRifuppj3hz4iIbKsJwNHYEB1AD4w1/glReiuha4f5WeCaGQgI57+vtDbIAEwrhjsOIAzfGv2
4H9VDrZqKHBGF39z/PsouhwXCce/2gJbkwbyTpLRZlSJOEyDF9Ws0SZroYXzXyc5VA159VwaoDsI
DW+FmJ7c3PA2dTp8l3J80Xn0yrn73Fsgj0LLfLA7hjAeOOk0i5/8lKy8jWMoh7tNVPQmgcxBPAZx
ytf4It2JPo0G1SRM6M/J2PNj+KHu1ahXrW4AtKoQQdr7zGNaf62+hOeTXoOw6Lebfl4AcoTgKx1t
sOhskLg/fh70XjbnxGjZlKT3leg03shuXIAsv2PHe9FTr1dzyy/GyWzDYnFK4JisQsHiaXnZTelV
u1JkLyOSxCo3EF+9DvILhHU6e6+kPp9wMjqUGYqj3zmPkS/ibWNGpxJJZpVXXAV57jzHLe/zoX2X
65HBhsBAz7d3OlqIKNp+mj0P71t6r4TxbEouuiLGvBEmOwXjCaIHdXuwTxB5X4AUPJCo+t2WjrVI
Qwc89Ucu03uG2J+p4VqraX6QfnsfLgQ3ngIMgac8p3lBQ53CEsRJo77trMd0KhUN49ZnmTiHOfHB
2Juc2FBgcdnB9PNxaa3csYItnF6LRwmHfLYGRp+Ose5p21z+PZKdmzlVD/h0KLOPD1XobsfQoHaD
Q54Rxt+9SIrNpEAxTZ1+nQQe1KGqrXVdfLUNEWVRNQsSPj4EHKZzP+Us9xUO4Pk6lR/7igp3Vtpz
nsyffUZEnLelx9K16Crz8ivMnxekElrKRb2xLe9RSPfTctpNPP9O55COx05B75vib2P2t3rW+OTG
8neSRm9imJ+SAVoxgKWNmRAHyeVBKfWcgvkbi/zORToGQXOX5R+dTbls4EffdRjtfZ/K2Sg9SlLB
bsgBA67FazSPv9T47OU59ioju86kPFeiM3fQvczcRWbvzqNPwc0Q8haML5LeulJU34T4Ocno4cwE
+403fIqsEgewaUFRZKE6tmzd3ptCrr6Sm/FvnlFbtyUcnlXUNik91epP76YAdocansJwTXLxaI8x
9tx2FAuQHAn104uBiEelOEcxb7XEDK/TzGh14sjihzBcC/uzJKgytOa5cfoXS4jfyjdZ9ukVil9/
/mkjG2+yiUpGbU83ASbQtCGwGrEfGD+hNHAhw+tPwv4CagdUuJ5eOh9JDK8Gx98eI+FICi3qt3PX
QjWdzvBd4KxEoPemDA8iJMUwy89DQ+5aD6A/Q/nHN7kL8tc1Iou2iSaSQb74lUjzren8T7v3905r
sWhSkTkN38zL4xWmm5oBic/jFUJX7+y7Ka+GdY4deCVyLkP8D9fgbVoAJKlYEKANY++i9JiKgq2Y
ICeoAgPP5LZvoyzPlKPt5mo62ymrs51Ri2dFqtqYizZpXZ1t5jMzUlPFYBkL9ZRMcue11m6KefCa
kDy9G0a3CuuI1tAAlB5WcjCXsgrsbLNNv2dMFRgHuV0wFUdKz2FQAVcW6tSXFh2tasI+ZkMuMKeL
oudLdw08e+u1wWLuqfHDqbpgI3znObPzc52KfVtAdhksa99oPJ7U1hZsjNp0wooxvJum7R0Ixr4A
SQNlB641KA0TQzgWzwILS5TgcBQSxcl2KBdteQU31NZvdZYG7KxGXJgzAX8oNhfOb2jyTYFLy4z2
5ug7VwAyAdh1eQpkifLgauNlyEBnctMjy6G9a8JSP83KutDy/OF3vn+OQ9095D6ID6zjWRA95vk8
cVFeMifjWVEUE8CPw2MR2Ax1Rit5LR1nYuILF0ZrKzlXE7+uIgy/YVKjD7YOsoPn28sZK+bsmWnj
ay6WWUCJwbg3mZvDWY6KSwi7K+U8zoaffUht10+1Wdcbv4vMfeHX9VNVFlQNR9VWjiWkX7s2Pnjf
XYVRnnyBm9xY2nGOMpPhSULWYoW8bULALFkcYJJX2EJ7P3n0NypDbcpdN9iSMadqeHbdc+Kx6ZBV
fheqcfiTTv1eiUSEeOIT4GLddBhCKwGUSQDYC6rPgEM6E4bOfGDC4O9G1rJTFGfBuV+ACU42RM++
YAIL7wcLgZeRaLjH5z1/YQ8JOOIN87XuremQBxrLeZoY18xwyAO0wvtSvN8Y09/uaTXucLHmhzAa
cxquTGM3Kzo4Y9+8Z2nJf5u+cTDHWt14zcSIRoKfDuvyIcXJejLVwHJee9banYrq7MDivGmZlTNq
yW6t5cPPn6K6oXyhlh5HPqS7sLobwHUI/DrRfOdY0AtNG9NRSxdIqf+TufPajVxJt/SrHMw9e0hG
0B3MOcCk0ltlSipJdUOUE703QfLp52PW7m2qZ3rfDtAgUirVblUmTcT61/pWdk4ylV7uB0f2NJup
7uDVTbaFhdQt7EwZt7Kd6kPTxB9RUJi3RGjvXWDlx36AXetODO5rmD9PGffHkxEaT/ev7ofRCi9e
H3wIhZA88U5ynXTVAWWBYZuuY/eDhrmomvKpDtxkqysX4+eYfDFVOWMCAaHFeGgB+mKeSeGdwUCY
T23+Lb5lFU9okIyr9DCGmmDGVFsXWIdyL1hpbo4fu1XcF3S3we828ldg+8SAUmA/uXFiXuqEQlht
dEtaAd1+nwQ3W9sU5hOQV3XOErwRFRbdhzBgkcZqrl66yhlWmoyWgWdmj8BpacHTYZRMsC7zzAQd
UxTpmxPb34moQbzRWHFOFqdRUzVgxJ1F5E/NrdJqccBN9JnZC2j9yTjxbNQv5N4XQm+mcx/iO3eg
JmDdARUxOVSs2WnrHfHi+nsDkZv+efdghcrbJZ7F8ipM6Q/x6EnMq5D6CBi6bXUcG+TXEghvTiZo
6dIPUXJh37RoaKMHNwMMlkYFc4TZbae1Pi1F2QN8kQZII/fmsEKIHiz8PLA7l8RSVtIIk70Xdu7Z
AqlJkUPpBjb+VGntO8ejMTwLvaWwuV+yrXa3dTXuKoTRAzN9dzNY5bNRU4nCqgMqcDOczUkDmRlQ
zJM6pnburfEQFyRJlfLNbWxanCzYiCfXA9gj5UfXhyMaCagkhzzhpgcS+dAFQ3Em3/ER8oktItPp
N4inLPHiatwILzrqOMgOs/8YdhDSfNWe/SSozmmOn80JUrnKWCeXVWLcAuvxfsnhf+vgVY/cTAcU
dKJC2Z671E4j6L4iHlQvRJbeWP5XG0x808EJSR5FCir+mIfDKfWqzeiSSihc6e2DnFqZWmnlWjPz
+DQwuhxRMA8BaFa3Nf13xKy9F7EnLTXlrMYcx5PfQHRGt+nPXtF+cutQe25UjX8vKA6TKj61gKh2
cjbNCJ4kO+Hy1C+HY1D6+lcv7Wg9q4vz4PjZ0phACzFR0PZN3TCGw3fGHgYd0p8P4KNGUi8YrEcJ
sFDLtO0Yxcn1fkis7BuMNQcA1T4kp34lhuOcDU7govTqI963VTBISEwJKF7GnfsecE8FVbQP3PdM
Te0GAT2GBMOEX7vENTKtETlHQmDi2MSkjnzXBWxYMyXpReJsVFMa1LbEFwAtZ64KbuqqcE+mpwMI
zUiTgKoVxwHNZSppg/Ai0T1ydnis9yoUPGmzo4+nBISmOqo+U1gBDBzzWpTuy9p7UFNPO8XQHrWM
qatuaKvelOOVxkrUtLOCUfdhX2wJ+DJJKNJkuwZN2wr2lZ/7e6/uaSLTho1tGM+hnGqe/qw0/di3
V5UKYeqbpbFhXsN+0Z+srdYaH51RfSsRjdZSqP6BnTS03FpCMF1EdWbe9AoEKPv8XZNqJwYPl6So
w6Xmx3DCMWYb2K3WxY4Brk1FaQzSH7P7QhtKsZf8/3UpE1DJ6bZ2zKw44whcV40X3QoexnIE8GIL
40gOFfmjKMkVMVNg90BzZWKXmEpom1Va1e1FwUXkDTsnQN5xaos7VUMZi6IobrKNR647XNEBPSlD
KNJT2USfC/SKTdjH5qaIm0ffyuagiZLLWLU3w0+u3ZTu9y2n/1LFxqd0VBmee24wgfNkC3Gp24rH
ekzwBe7kMg7FcsiqfGkSjKE3k/ZjZKFdVZ16POSKa1NlCYoMTbqZ1gF9SvbCVuFK6IyRcX9dJ7BV
Y+mRlnYylrrOoun1g9K7lhUu1OigYP8mkIYr60cKU5A0SbI3g/Ro4tY4slH+ZGuAhOuiR3YzbXFM
ppQRr1Tlbciyz+lgUzEXej+aOn6WceC9erU+Ljt/YOjtJ+Mai1yN39Z9UApS3kQ+4lalSMVx0CbH
rM8Jhsh420tVH5tSp1FDwCWXBgb8brBpc0H9rEBIYRRPtq2WmYt0RnaosNMWjUuZUOq71iUO9HNW
JvLHUI4LKHbLokj85zwd6FgoaRCIC1STemqak5QBnT/uBnLryDTPi96madsHwNQ1adD0aeQfZYx3
gSALTTSVWjddX/7gn/s6JYb8pFp5KzlTFqwPppMlfaRTdCOj9MyNAX7s0REh+qJQA1L0dEJmxd0O
BNQd6EHO/EZuoyDqd55K0AyqVl1bZtCtUTE+G6rkpDTt6GfjdLIJD0/uuJc1RC08WBZbUry0fPqr
Big05ltnqXWaWkZVcxOOR17I7akPzbnLNbFDry+SI2tY91vmJT+SlM69MCbNweUM3SigWdAbSCYM
/oFkJZE+UqxYvnu5d3xvl7LNQG/TrnbWr10Hu0kF1pObtw+0aIREV9LkMQrvxR3UpffaTV07HfBo
34f1x5LUEfomaMfqQhInhkxUEjca+o2I3QG7OxWwWSKj3TiiVRud96Wkm1g3Bcsp4bYPfso8uiNq
6wziu8FA10LdhMtLobmTfbN1wmzgWfWpeHLt5stKiwufLVEooFxzs+mmYeuYbKmbkkeQ0sBWh9yF
0QWDbN1rMSuLskzXVTAEh34ETB+wvuIiokDDCNwHWTcUZNQuN96eBZIc8htZTIJ7YU9hSrDgEtSX
Zk1kwlOv4GWReWUEFjcUFNoh76D+vyt06S1J0YwwFE25jrjag0hgM2ruA/hULONTRGEGQkDLMKSi
bvphEB63trlhwd9MsdL3naxpZOmCUzekOQybVekO8cbovXDLvGdVT5DmZTYMbPbRugMKlSu9/nA9
K98iYX8GlNbQfIxvAf8AK/u6erIl0FDHmp/Wqw6n3CeCQ7QwI2mEAZq+KtkYB8iRPLBJYuvqpUvb
MxhxxiGZu0wyY80dubzlggxz3jGwc6vOvGUEy/vUDDfRoM3FId4b6IfxyQnjnQwT/digmezmdbD6
bngFRlQKLy2IquUIbbEMDlqR+8s6Q2qQsluntsRDFMaXETluUXlFcxaTC78Gl/45jnxo6znOIBcg
pxMV26CbCDyTA6zyb7hW6crRLxKh2CUaJDM7Z35FPN7umzny7IIrg9llxmJfeRqbneCRERPtoTMO
1OQ+XpgdjNvCHRdA7zdEZ4I9WZFPH21K90Yp6a2SpTe3hJE8VyU/ZniMkGf+bENhW/Je9OOGuUlX
QOiomFERRiM9DdSOWdeYhY8FePwHInDd1mKz+FBYIUWraXRtCmacTdnRN2eR7atbK+cytj7HVfRu
RdgPkA79o3DyT5reYt9Bj0a8WRQN+8+ESnfJaG2tZ9rab+iB6JTzUZvArR3dOquJjTJigY/y3QY/
uA/1O1agzlJCUFw60aPuIlv3iBHCz19IzgjchBG3VXh+4KOfUdZnQnD2vWFBE7cYGNXYXB1fnxVo
tKtWmPbSib2tj1CxcnqGUIXJ4ji2y1vo99uiniyEHCQOz501voDpgR4WO5fbvxMHZMmB1q5CcPDL
RPbMiQssGC9jyJXreuu2oOMIhoOj/OcAR2g/4CDouaKX8/w3qcx2WaVLq0+DZVXgwIuHz1lyElH9
XvqVCVS9F4tKlOABu/hii02d+J/RMF8jvS1x+TwZhjdg5bAOmU6ckdWB81SBnmf8CYWFRYEBj2Dv
Z93zMMxh74GI+QB0NfZT+vKwRdJIQukNmdMNMGxFkYZaMGWlLsBDdQ3YPqVGGdKh2S5RVVxgoCbU
u6z87uKpRMyjLo/37612KXbth+cqp/LYyHyIjVZE7Q6UujCi5mbCGoGAnB2iPov3tTfM9giJL8DS
Nizq6od50wohnJPUMtR4sk03fJpydbX9dw3M+wl625TG3CB6nFmZ0ax8aMWpXu04wZiM+N6DY89K
FPRRowi+D27wpEUt+216MU247CokUx866bskJoMrMGcaGX4njNjSeSzb4dLL756eXVXLpAfiwmvl
v5qpTp9iU1nUEPrXEcI2o0JGbTEZtrb2jjDNjIdmZKoj9eExmYxHZpvxKifavgDJussb8VT0vSSX
wQeSgiddJoZBp4drvHdWM3ICy/ekCOrVFDMEYTH4AQFlzepjJwKHxVMTY2frQF9hoSXC6FGDxFNj
aVuWfcBVFnSY27h/ukxQBfx9m7eVpTwjDjiG3Hb2vTVhBkCTCLXgJvQBCwrpOjKthy4Qj1EZA2Rx
AvSSeB7fmT4VSw5yJmaU6cAJsotFN+zCst/pZFA2KIpT1OyajrmmVTvV+SEYZ9iV3d885EyUdrrX
3JDnFVwEFIqR21P3NW2wcUYNjowqfmeKAcXVbl+w26LyZ9XOmbq3KpPPpG8nWtS/6QiAc+sKzFSC
BVH4IxI+a56E/SiqHzMsY52SGFzkVn4W3i2Fk8OdSH8rbBxIMQwMUdNM1sQVntxaIunPLQgY3LDk
LCo9Pjdao1gnyJ2dsyIOJ4DyQX+zJ7lWJQ23TUjpo/M2FsG3auLtcQrjAwnpMwhac+VQI3Ig5YAZ
zSps821w4R8qJ4WoaJs6mWXhnCK92VeNRZHrJBtAkx0zy7w8Jwnz0MZO1jCH0UWEtZ23z0dDTi+N
KgaWlzpqd8r8OWm+lHasXypH4yJxaaLpEuJJxuRj0iiz726pe9dmdudxOeJnRgzCoulvdKF963SW
53D2tLVp6hj2GkoOOOO+O8q8lamNqiHnZEhRjMeBhdbSrHhYxDq5ozae1CkkwtLXvrUbo47VLfl0
x8PqbBhGu9Iw3xCmaetT0CF5hd6V27/YRlIPnyyvX1ppjRJKa8qCBOhORbrGe0SkEKhzfCnr9kdh
VO+JMM6JiZ9FH6AFl+wqtEZ+M0abTh63ZmP9TtxoeGaCDh85o1WH4r5prJplqVsxrcXGsPIYTO7B
/4olj/gntjjRY5ebb40NGV30FW6gKHEI5yS32iqqC2HDjsHYg57ZxSr0G3vRAipc1mX7tQhrstTK
ex0d3TiWZjmtFT05ixmjPen0d3bSraAIZ/u4FV+jkBlZoNW0OzJx3vddcYjKnArb0XtLuH7WWLCf
IjMw15OTTGtGucp19yU7Xsi24ytuLoibxebfO3+Nf7HySwL9bHx1noOeqeu/mLvtYrBTllSsw+Z8
bDIcNJOPwVfutErwQmbeCLJdzEsDjdFLN+gblQzbIWWTGcR0BZsxT6bRG99Q+42jwSDU0zs4NhWG
7/uv+j+/Df8Z/Ch47M+xg+YOkPxWlGMdBeSm/vrlfz8XGf/7X/Pf+f1nfvmR5dP/fv6Pj6L+j9PT
+vnf/uT/fwGbL9+zKF/C7K2jb+2fAzYmQQs+mf93xOaSt1/qqPi//J3fMjaOBIdpYu6WhsNKSNqc
CL/xNT3rH4btGRb1ALZh/URv/paxsex/uLaEPmURz7GF6f6RsZHGPxxTME8j/mH+RG/+E/75l8/y
j8/2z5ESYz7Pfn7ku+//9T8s0xUGhG/GEIR5DDI75l8t9WpKPcsXyJwNOjxib2ujQ+hQu4RwztCn
3fP9FT09lJos4H7AAIGJDBQpS/zT5ApzaWswUiQ3nfpv/P7GL+Z4fjnL9VyyRB6SKjkI2KR/9vu3
oyZamVrEvEWQobsUSGe6icms8736quZDi9rI5o2BpsJwInu1c3DEfogY2IvGWD9XXnfhpjZeNAoI
//RR//Zm/vnNk7M5/y9vnrQsYVqSz49fERbqX38/xyUopDUwoQ3Cu82Ql69pSMFVhE8Ai0yLjNZR
LOf5NQjrwCGRXIX+2cRSfIr9OruZcU+Rs85mbf4KQzsFc/mw78gVHobG6UABaN9YqSB1i+8Q4aJ+
xV5oX40BaTozniPj5CEW1Sh4xrbecAFREjwDX++kr55QTPVNlLsQmFUATyXQem+fz2pnOh/ur9wu
i/8utvLLnc2cT1zOaxZMXD2G8+sZ5ZFSJDZqUG7J+z/vKWYzzpR9anyXaUJpe4sRXxoe/aE6TaW7
i2N9WjMZbkjnJ+OBTTVFpQ7jcdfsTqrp7W3NDf/BjgaeVcIytkPl2ctBSwbWlfbXoknazRC14Vxr
iZDgsMhiaRsHkffmWt8kKjb1P8Vnk/Xc0i4FLpQiv7JXpvIXKfacFsyZmMKy7RBd9mzkqGJa3aEI
ynLnmtiICmPeqBYjhXsNI/ewvTavY1Q6f3M2GfOl9pezyZaMz0HxAlIzDVxOfz2bTEOy99LIcSSS
cUHCrNbqFCN2jOxHY8DW5Zr2HInA1K2rem+7pVr7vs2ZR1pq9e9PbfFL1IZP0eImo+sIalx/jv5L
LkWXHtUm0dRgZ09xMhtxfbIwBa+nIccU49jBOSORsaSxoKHgdTs4qrqIQqwYz/dEPQmIe/PBFSsI
GuFxDM113XbubvKak1MVcgvyqsNoFbRU9c6wXENnShZqhPuL8TMKLpaf5GOsxAv9R8m8T++3JZ0Y
QWfJw/3Q9YwXln98XddJ/DfvgvmvHwmuPcvmYxEGN2j7l3ehq7Qe/4tX7fFPHtMukI9OWL4Z8Rf6
YKh7t/Bq4zzaDgIWQNY4VBekJCOgmk865byjxW7IdyAl4QceonKZx7n61HVrE/3/PELd3zthcRBB
rf7mF4ey/Ou5xP1S564kdM4bqf9yLrGVTnnyyGbvALxZRl1ir6ecKLk2tvaJdVK5wcwMVqREVhGT
ti5pEKFFEm3ZGaAFMPX+OvXCgGUDFSmmaLMKGm2DY0D9zT1eOP9yE7WpP0DOsOeTzXas+SHwp5hb
6LF98Qd/nt4QQ3A01VNgOLQ7y29yAGz4cWN2w9f7qyDvfnulZIwNznadQ0EyFC9eG38nLLgNDdTN
Du/NNsYuLmom+xGmGzqF6DRRWnGaUA8OJljkW5WJbJEDkLvVGASXLDahUYTzjCVy6utyE0bUoGqN
TkfYEPD22IV1ZstN/RbDS+rQIPH7rWY9KTukmqcrm3fwKOvKc9H4euqkBuXjlgrG16wRyZ4gJJr4
VN6SnB17MbGln7wQ91Ha2ushyBkjBBisC0OFt8KInx2D6QjvS/jg5U7zUmUWk1vjA2OreyEgEK4I
JyCZmjHxNzOxkDoL8mrAXMfeUrShRc26GHFa1oTK1m5HeYNXQivzRn/RUKvEclH8yFGy60XIqbTR
c3SRvk8o5GyC/lnj5x5aOkc2lRPHbGX1grxkEawCHTJoalsF5KH64JmOdm4J4l1c/DV7mQY3iddp
62s6lDDGHGWhyXccUOEaUzEXRslnCk1UHvrq6+gE8kkWrbVqSfc85K7xkfrFcGtrYT34HuWj7Em/
AaqYK4bNz87EOC9XH3FvWC96TAXoaHD9R2N+pVGQDXKO089yJrohHI9O6d6jAd2gUrkDNzdiE9Ut
RSWwSp8Y6+PZiqMOM4lgOju8eX0u3gSODkJnn7pGix9Dr1wHNuVLJIEuoCcpA/KdZN+x21jUFams
wp4ufVUy+NCmYemLsgDfwfmSpcwO2zi8Krj4jMExWFs+Xnk21n2cNietwCZEDI1bZndOhlDbZnn/
RLTGTf1DSb5LjQTCesmp0faBfu18fbr2I86kQNBtnboe3QM4eL10ZHteRP3c7+1crKlI1qNq2YMu
OlclqykoNQTnrj4mjSXWFIRlzOytz1Ok2IZNOcAin629Q+GaRfc6awOffSFMifxCkcq4G4oe9KqF
ORrP3lPhN9qpxU1wur8qDr1VOCd64Wa/sffoGpAyXI3oQz85BItDY1xOTm49NXMr4YhvdCR7XNQb
GG7ftUrY1yTzThqpEB4GEjWuFjBpfjsduxxNl6nlyrAHfOZSOGtXL8Y9kLoVwxAUp567sXK0nZ11
3zWoizyT/TfiQBauevVshF18migymTfOh4BzFTRROa1EDxASSIq3a0anewzsbOvWzFsWEKJMnkQl
e/UuSg7CfcUMSm1hr1tfRkyBllaIl8nKxFbLESWanCvfauiHLvNuHwSq20fzoZvrxUrSQmZn0QSk
JG32fr4XhBVlIL2P+cVkASFhsmAvvc52gHcajAp9FR41gWpDzKVD8+JvTwFmQIKY9rOTT9FWaNhW
e7KEbqPLZwBi+XJAKd22fapD2omYKfr8g0kxbAItFLs/2PZ5XvV7B3PkSlec38XMdAicbtEzP7zc
kQz3g2Wxdzbh2+7oF4SiNpXFCnuXywihpt9QnyXaqoThlckDiB6LCEy0MXDwdjiU4+lYx2ZRLO8v
i/rAGQdujzgk00P/w5iUe4WX5CJ7pdqqsGtSab9/L6Lw74EJuLcx5x+5/5zeZbdOeo9jhpKOEuNd
xvngO32zN73yZe5Bxak3fy+CzUWuDn5NCIjq0mgDYm+QBEfIrdR11X2Lz2bssF1lZy0PQWS0OHg0
nyDhoFnPATGlJy2DfjX/kJeQ2BS1dbt/5XtFsG0asiI0z/W0aXZfdekaB0dNxiEnRpjUQh1UZ4lT
XJfaSM1PmmycpmeNZj97SpoHWfRwRxJSf/9+eWaKf3m+89D0+H/zHJv00K+tCGE7tDK0dEqVuhw5
mH1PuIrKVGxlXh17wbp2pEIY8Jd1bF2s7Z6y9UVb1c0FB2hziTj/y5HxnhqMr6C71VWagJlSrswn
J6Os1EnltnMj+1I0Bt2itWb/zXP/13+BZCQIXAL9g/CE6WAM+etjH1dgRaki638ZduG68cLhIku7
ZcAdVg9mFW1NByRp4U7Gi2JMhfM+W2bWmIZLy5eYGufNn9F/tzzbODtGwSkSMm0HyA3FLbeOQeCR
cu3CnesWzjln6bn89x8B/Ri/rFz4J4C64FfX3fv65b6g/9PKhcauzq8NWrpwTZMq0LrumQohd+Hl
Ubad7ClY2W1PZYobQUDV0dPbXVkV7Q2ETnsbYMjJTPgXO2eQICJLEVPwvcuEM5EavQJA6/yvuh/u
f6Cn4RumuGg/eUJtcp0xcuB71pMwaVvFLX+lxNgiyEvGbMil2tz/0MKldcCrxFPXGKynBMYoaCfm
Bh3BFCx0yfSZPS6QrmQoz0MKUq+ndefBnV189ny4v4LGGhzyicm/TLN2HblMH5SbBDwqTfYAGRNJ
DEPm6DYUjVfBnszNo08bJWwycoURa4ewNKDClAMTEZViD3Jon+31cNjmzZht7VonumbjRDQwGjz6
Hh7ccao0SGBsmpvEcN51JgK2paIXUpgY0rpybRdhsE9r84tNF87tflA9cNtKhvghvDa85Z5tLvHF
52wvo22UT9YXTxGlsdyCHbgzWJcIDYZCqvDZD8T0KbQZai3LUpir0DH1ryoeHgd9CD71sHeZ9Blg
EU0YFYuKqi06eKkD7XSsMznK2zJvPXrhaNw7FyrY/7z52W2cAYiOmqMnRgY7cCJXLQHoI7WS4bGe
X/lmO+2MJ6z+xGjut7r7fQwZkwi0bSbrdO4Yvx9AFZr7bD503VzodP9m3Hef1UC3Vya6W2jm4+V+
GGf/nm3ZEq4dDKw//mCJ2tzcgsxm+6KCx/tX5Kz6PcVSkGeHur2J1P5kIM9vPF9H2459N1iRiafu
jTXZ/n7of381Qw2YYabhqinGZmA9zWLHlPjcUtOvThKJPN0wVnewDNjYGn/+UFw3WxGObyI0m4tZ
mkwTfEA28/3pfqgddzx7Erb33Z4VztLF/VU2Sxf2pG21yewfADh+ZHhEMopB9dZpoC/xqh4TVuG0
lUMosBlV0HFd2dhVDDeoToWpnI58k1Ft5aRe7t/DBloSgUx7ZwvCrdnaNkM7EGX5q+rtDTcRWCd6
jdxvFFsDD+em13sK40uWzaMS41kMwl+wGo+eDSpefVtvvzUTkIBBKAeYXz7t2qlyljiO3Ws9v2qp
hb8mKdWESTbvFgJbbYfZlTbEHSmL0F3kcamj9GY+zbzsrQ8YTNXh/qqdv7y/wgGfrzPoWIT1Wp60
eUe7M8H4M6p4ck4ol/l5CDKJuxRAK4u9f/6BoNlvFZIsJmKCxlcNIemebBx+6n621bhnxyRjlCZw
wYtetFcZszoGc3f1zAj0Ems6iBTQRGsGeENMPLOmBfWYlgVOb6YNlNwZ+c2qRHh0g+B1kkFxCyoi
qq2WH+JstiSVXm4fwsqw/nQw6jmr0mbEpEbC374l7aU2QdlLyp48epU964xnzsoG0Bzq3JDSWc//
eaCFJWg7tfvjWyD8KNNLqh+6Xbcbyxgp1Cp8tbRnO1Y25gAQa31d99JZV1TlPmYhsx474n7cVK7+
kuIAWQ5gNMF6Z5+tutD2wATyjVOgPVFYDKa2CTsWL8ZjpGymg2LKl2AM9ffeiDjdWFpEoJQBiE9f
Ji1rNrW00FIo8Vrx+/TbYWjCHbtcOpVBoQ6ZfhqYuWz1PLBPgeXHGwzSlEzQl3yuPfFS1AD98IuG
B49fwjOadNfYw1xB3TDdrbNNhTPuqOUnVacZERKT4c6QGvxGfIam2U1M2ePk0QZr+1gzvDwmoj04
3sRk/P49FvL1Q+8BLbz/3P1gNnsdOOUJh3UF75qbAkbfwFiUhjAWJhwLqMpcVc3v11fqT69Upyfb
+/fvhz8uvvuPRbJnVj/pPArmv9VleTGQ/uC/8vM6HAjcQKWvbGL0+ObUxnXLcUewJTixJaEbN86w
M8WKEHo0pEclGXBquv54/0onHlSHhFnDaJo4rSuDhtIoffUc8bmq6MSIQGYueOTZJ50xdGGBRfGH
YJli534l7XuKyWKAw06GXU7mZAXZIt3ZdDTTYkdFM5NvFkgRgmVvpdFBz1N1qjJz3zAZBW3ZE8tK
bQ0OuoZtqPGLnZnR0euZU7kxSLdezFqMRAdSi0XBhAVndClZ04fXMUw/7MgNjiNX8Wow4TFXEWYO
k4rKSjDJhCp9rRh913nwyM6s3gSzZd8bMTfHfRgfw6E71J4f7GqL3L0zVjtuyeaL1FS+5xYcEcrw
sDBbRXcSyWcCMvZ3s3G7hSOt6Cl1Gn2jl6LamRGYjWFiBea6LQq74CrvRyItRSdfVDrlZyRm3MvU
Pb9FCrJwM+ULUVAEfV98UITN6NcK3umScaEmI/My8OiPbNT7I/fF317dv2eXoVwRteh4zP3zD6BX
yE3mk9pe1r5JXx3eyVOKFPnzoCeU4Qxmtmxq3u4gKcpXDfQw7sIKG7FKENnmm2hUQN4K5sPPe+r8
PTSDAIUehQQYmMvQPF9NeAkeOmmeavpV8ebZmDCMsh6P1uCPx/urn19aXbWRBbsDY6DRIA3kNsxo
1J6FzqE1vuqlG254huUTg0t/QZwSd4ReE0Jr6EzUjcJd//FPuP+LCn8KTi34jR2OtiMA1dnfbzLG
iAu6ZK2y/dzaVnQy2d6khV5eIaXjpAxDEApNamGdDxaRxUwhMhVxtvmQDzFktGG8hkFoHKd0Spce
pG5SIeyJujSzHjIqBVcpQ1DWncGhROlZVfBtADPL+ng/3Ncp7rxYuX8pR7PeTUG0z5LGP4dufyll
hJ4Y9dUmi7EIVLMm5HaC99TLPvWyN1/mLtaIyfNCs7QTeSKSwlXqE0aKmltFs8XzQNE5pVHZpiGq
jouRgQbwNsS5uju0zURFF4rek5fe2xzz4fXnMkoBVVjYDdGO+KVkjnLpWdJovV2e76tjagO9i9G5
covkQeUJdDow5CbFrGSkDkhcgJV8Sj7dXgyX+yEvo/HS8iYDw2njzf17iRfbdC2HLHtGr5NrlBvO
CodOeS5QdTRUSy44jmwYBQTV15M2qLWpVdli7Kr+qYCR9EAWPN55GR0MPPmzLQwUujJNmIhpI5pP
FeCVbVFF1tLt3OBFcmkz4SsID1rq2aVafVngTV1JZQiaL82DzeBnLxP0xtYSIZYWQG/s2SaIR1X4
GhXNsums6DlSINXi2tj280/lY9du89BgMGbtPEw+T4F9brjMqBJIyyejdNzHwtZJSozl0/1bQqTT
Q61n8fbnT/R2ddJL+fMP79/SG6hSvdY+Wn1RP0l44QufSMkujhpx6EZ0WHInxanTSvQ+ZQeblF3H
KumKaavM3nwgzlI/+5KzCGvAxdH43Nho4n4lIMyZrArtBIb5MHp5/VA2DiWpFdrIUutkdyyKehnR
7ccetOLip+8Pe+3vlzaR/tzpmEJOtmLTw3Ue6wDivKC3j9Y4UJut1dmuNB1gf619vh8GtAkePbgH
yczm1YbpqGAbkbCwcWlySejGOI/o3A+G6fIf7Qx7l1RjuhZpWrxniBxpIRp+a0pFIXiwcwri4AUA
gX7qmvhra/TBi9lnK4e93TJ10/Y9mZLV0EntRTVTtYU0S9z+nyu6cOrTQy1XZtYyXkrpfpC9llyF
Z+S4w2tva5n5jj4Jzgh0rGU8mdWhtMWbq5nveLL0W6wTqnUbq1j6L9M4jJvMZoLraEb0HtfatQbA
cYsjZPFR2mc964l5y7Td69O4yUvFqT83uWpts6qyWiz7ss2WCAr6RgRAwczOhCVAZ8pu1PhAHNVF
D2R00h1/86bVRreVM/zXjzEv24Zjf0WvRHYnpRkOoTp2SeVcqKd5AD2yHI3R+TEF8VV6KML4GB6A
qbykkwq/NJpaQZiCut/V6bkoA3X2c8hDeM20L4WrHWjYyD/Bkyu2OQ4YmGgzeAgUIxYXkmlR962E
drQY3Lq/CmyBuxTi1jr2De1ToxXnRHn/h63zWq4U2LbsFxGBN6/beyMvvRCqkgoST+L5+jtAt09V
n+4XYsP2Lslca84xy5NOhhWJHpm5FGUrj2kXJm/qsGaihNg7TXGT5bgGLWA4qxKxR1X22TFx63NK
r+qasGyeXH/JsqJJtNIQLF9bzfRWvYUt3C5WXYW8rxGmd0FN9ObR4V0FNRT5EqXoPmKyz/9N/3JY
ih1qXIPEIj+6lYEeJafEGqEVVADQMzNEeZYbhns0VWZbflOoO1tJD2ZHLbCaCDwiqVeenqEuT7Lx
4pC+fEA5to/UHkss+hcVbdayd/3XpoSgVaee8xjthapSblP14yg9GLmkUM1Jk6XqsnyJhmejKbPH
bM/a+t7Wdrqh5gamxWnGh7DNu40NaGNBi8hdS+Znq0G/Jiw/IfpU7qJPmazFRfqZpmB7Iy9yD5Eq
Tw2TFd2O5Ma+69JuyJS3kpe2pupgy4LmZUxaewmtD/0SWSsmI1UTESY9DeMhEkxMqA7NEz41FVLT
hdZjc7Eqc60IeP21O/SLBppX4uLBGQWhLCCq7b2UjXchsaFYyQ7RM+HCzNvMZg20ch0ZKNPbsPrG
EpGuiHoJln6IYp1oKrkmNebco1CD8WyXzHG0D9aP4hI4isqdYTOl32BIs40XuN1Br6J6WWuKWGPP
KKfvgja3ESJxtZv8RRruU9R/yTaIPxktVn0O/QKP4ElBCLRg9rCPmDwvCrgKiV2TiIEI0W6i36kr
YCgWXRujca4Z8ErXukdGZ91rWTgLk0+iyqRCIopi3+cN8ZtgnZtuPORG6dz7xAl3tHGDbQg7fjFx
GUajhGPUutWlLl5TJ1Af9N57CD3k+TpmuyXpJHQsg/JIRcfZNKr1rEkE2ljFh71vcXPYS01GSwlc
xW+jc+UtWGN2Ko4GLqhlW/8x48ikdG0aRx8d06KrDKDKUBWO/BLDlRtgtMPvEa+D2LXInKvrUwdR
VS0dCzOn4hwyZ/iCstdtKPM1p2hqCfeyO3jOFC6sYsqoDXl0Ycov3A7skpIZOPek8m3rrfdmvvnO
DgM3ZtxSbbeWPn6qE+00pGSwAWRB8wlZKz5r58gnAkmk1bqN4mjyiiKzpKsdK6QixfoJPXi6QJVh
MALBAncJQU5p+VL21YDCAHPH4kDQgsW8NKvbY5vE2rXTkUEJ70yU6jojhnQpQJQvfHAAVA4oVjYR
Rm7StMIs2wVKjNxC/SBlQSfGvDgFfqCuC29AEGmOD36nulu9006xk4xH3fC6W99CExmVRN+ZZdWs
Cw3sWqhWITkm4Sm1lfM4xukJtx1qERzYW78YvaNw4DFPU1ctBI9grOmMc44KU4BdDaZN8no/BEDH
HeyZs6nigmZxFS1PCbzGtV6OjGAMH3bRKSsMUXyC6OQXTMy6terE1zBtyM5WaE1ELp4jetd8tbYN
TDG2L64VlEgfQ341Jsgx1EbGcWi8k65HzYNNV8iWTooZkTyzpCb7AdzAi/QaZH0W7We/q94qD9If
KlZqKtw1DUGdAiaDL5TRjq0hL9RW6cMYoRigew9OZaOZV6W698aSBHKNT1rK6pFQ1WAf0XHSfaPf
9iERM4Flsfi1a/cYJgyqqqUQWFYDOxuMfR/gbNes+EVo6aTtzfB3l9ahaLUP1Q+yk9HXzsZpAE5g
3kVmo6Az7KCrS0PZoJTW0BoCQxKmYZLNED6FEYb0UtlpzR8tzpHfWqIiSLWHzSqrl6DALGAJ1zlE
wE/AF1GxxQmCfy1Dr9RPgFVroJVgmtY+Fp5z7oKU8CrHF2tq6O1Ijoo1zX8r6KTiBAaN+VsV9fyC
7WnqXBw1N3lGhxQuEkIsQlpTiENomFFaBTruoGm2Q+SdvltVWzu0V1pBkZwi2kOJPXHZhN+K55e0
2qv31ORfVtugXQm0WwrKj/zbcZUU3XvU+g2lEoARvYMVxe6o0hsIE/tkWRqwWAo4mhiZt75SmJuw
ZaXRmMWbE4oGNSujd530TNc3jk0nXRYRNbiWkIwuc5091o3vtIYEpGO8N3VjF7vGxYUSdihbD+KK
Qtk4ZuACnFKDO9PRWWfqc2ZemVSqFAFLBRZNUoJ5UvhpJPFVOigHWrggbc/ZGWwsdT0Pw+og13Xz
3AGYO04D0YLZ1WIsn50pvyeN9Te7asuT1d19jGVA3PRv+vUpmvJJVxqSFdYN2Q2COU0FMdYnkbjf
wcj6Rioqf27LEevCNJ61DvmvS+ThLyNur2TOG9tAmpzt7c7d0t1Hmswf6qETL5TlGWX6zAE2W0pM
RCsRmF9+2VtbgqjwTOKxbEu7PQU60RYj2XeMLXwJ/XdZZebdTJWj26qb1iicW9HiUh6JyyLx3ttS
RSheW6veNXm5Lk2FDLgQZfMAbmBr9WCKOo3kj0Fhfhc51WeF3jqCl8oMBGm/ZTfdri0ISwKnBJbT
149eABsC06t1bxFDlbRoSB3DYd2PqpwaNRPkrcuvtDsvbWYOl8YfHjvOg/tJ477I02rdW43z3IS9
eyeteJu7IbbTxk3uIZUvC7RDE3IGUj3eHbVxiJeIZCpw+u2YkWsSM0UeQyd+tIT2Wfp/Qt8tiH5R
x0eNRK8F4dM2uaUYwvtmVfnKaw25JWiii+9i9/VIjFq74P4y1gJW2sijH9DOB6bMeiKkOVT6u9Z2
3GMSt6+iYmQhM4lkCAcKPwvmfQHJ4yTdsLtRw59+aZqGlt/sboPW0TFTglNJ12qiU+llwr+slQFu
MfNo5Kqy73vlLSSiY0eStEvFPsoePL0uwLY2u1rvx8OUJnmgi4/sfGhoAaE40KZ1uZHB9uSsGNAy
DyJG3pKvCsv/2outO5PpgjqOB0u0M/c1fHwcJwAIyMwJ+Zlsy1xGm4bksFgQwuUgQDwQEwbC14+O
dZv6OzXJ91jJkmMeRcNS2CETAkMZtoo2XJlNZmfAhXkp12poj8vWKBniM6XdkSo2XjR8Ij35KWsH
aNmyAam01VP7sbGN7Bi6w5fdjd3abgwboBUBs2UArxw47fQ5fpgpOJ0srLIdBOpPo4IOGLR5tnZr
66tUh3aF5eClLbMSWx0EwSgEN4g1dB0TvImTHQieUJ1H6SXBAdvvxmJWfGssZ9jo9RCswu5L9hJB
DsuENdoaEFkNtJQQicNvToxLT6SvfegUFBGSdlG05nteJlh5O01liEf/AguSnKeYUMFEtP0uKCex
etIZWwM8GW5WF9sjzt+R/EgvuHmsO3d6kjHBNYNwX9ADGQwof16FWadLCL8myNEOhLFrtaVwrWJj
mLJ8susGoJ9WfjuK0h/U1qM90+fhvsJ8LrTLEKTRG6JX9Aqqcw4tMJlhUbtPZnhwEd+wIijxYvfh
a6wWEP6s8VYYmnqwitdeZlfsbOmmR466NjROQY3G2ctSiACijoDBtE12etnhGLN1Y+tZjdg6Jl5f
Kv1k5GAlWqVtmMOR8MKT0ZB5lkd+uEtFS0Msu4dlY12HyuvPjhNdARj1OOes7FZRH+sNINQ2lMUn
jNkvcazuEyXPv7XhlAcC/EtKgnDQL6HxLV3Yyefe6NeySAaEdb1zCm3xTBrptDqJiQCphjXnWLQk
btScbG8JUk0e0tL1lln1iviAJCXd7fHghMGO/7LEE0dqUltY9qGMyEEGa6Uf4hC0sTE6e1MjMMpA
UbhvrPCLs21+dmrGtdgMaQHVkrNNb6KkyE4Bpu0HX82R1WQBwiHd3/eCMps6cv5RPDSkFHLoerjR
Ni/t77DO3FvPHL63O9I19U6s+H/31AIlic5Dk2yCtMc9zBxhIKBkH4yMdR4TEvQYbBAOoCOZ9+dr
ODVcGTtxBMSqRX1xvuHYE6XosgA+RHaJnUgKni8WjOV6XhE0jdsoIYad3wLeRjZ1mJoTDIOL80Gj
Jzh193NVJ4tDUGOQW9bTxdokrvrn/j+P9fdWP48y32C+aYB8jwLddK9/nuXvo8wHI2olYE+np/65
+PPYP08zv4z5Dv8818/F+ag6v5v5JVPK5nF+Xv387v65xz/P/vc9/7zHv68m11So339f/f9z//+8
e73JdoYKYPafj+XnKaab6FrV/vvZ/fOpzDf697Obn/2fR5mffb4VABTWE/PFf97vz03/+6jd588x
vNNLmMfVjhAcd4VG2UTG4g2HBgQmQhTzLRpSfSejCNPyvFuGZIdiEL9CYHUeyEy9NDmwDvgZ2aUL
R1SQnZvdpYrdHewjsM5NyBhOpqvFPE9ExjOZXo9V5VJ5S/w0fhv1e5MC8ihBh3kyTR9zYC6oDCjC
uUVDk9Xqd3ZZmBeb9ryzwpR4JSRjiV46eRg1YD2BUka7Dh34g13HNWdE3fqV+UerTp5BuNQHVrve
tQtt2IT+F/g5cMjEwK3tDDvTvGvQuIeTDDcAS1D6BAp52VSGfo+nvXhi4oXO4O/d0SS/Y6SdhFwM
wyuVo/jUNBbvU7OqbcBynRzLmepT+yu31KiWSG3caXAhjvM7sOwqJpG3Z1Hs5cY2o4q81sBqMm9F
xuuFoXOelAa9Fz3jyDpS1jVv5fSRTXtyYL1Kbf69Hwzx3IfBexASf9gDI36mKIwhnMXecd6N2ypa
meCBoJ+OTz6zDxKjXwh3kA8MAjsjavoX/CPhwUqoFliwXZNRN15NW4d9WfqMoCI2X+sQLY7FROI0
X5t2977S4yV4YxUBkxUmN0NJoSFgN9rpMpb7IMinBXjBjN/Ce5ybEbkHMsUN2ftUZdzoOU7KRzEt
Oewoeu781trV3uCcXXQAMIhrKAiWUewjCCc3UuAY+XVtTWicTi8Y8dsqdEI0bx4tii7T3olro0Vh
tGJv1kmwiYn9pNkFZjfqw3g9K3aYuQd7dHjeMj33bou1z2xzunORcfctpwQHBv3F6KjcqZ0geVY6
kAW7aE9YrrVqbDdak/s27kMYQW90Y9QhbfYQtNGga9W47Zi3MxWDhGUaFD1xOmmnQWetDZXTWxdx
oZ6DdFQRBxq7Xgz2hn/NsqxrsBtD8xjGETrekW9Bmnb4qMLxOLWZ+PCTPrwGCj4KX7q3lhn5LgkL
lMTAp06Gh9E9LPylLiLCrRzDuBkGa7lI+rt+LCGF9l2wMyOwPPB9lYNiJtDCHHp7aFjUq2fJ9NEv
BQtOI1g5aa4cHTASrDk8eWw6k6TBnpJRVlBJSkblqE55vtP09+bK52HaISTWXA+h6q5VG7MJlRp1
H4968JpZxVfjuP6lRrj32lsfbWD3z6xH6eXL+MJnHr4qVTsc9RKC4HyXwiYk3FDgP83XBgkJwrUx
pIf5Wulqb2YakBUeNOo+hUl69kH1nztXKMsm9ZLVzy5y00PgZ0ixO4dfavaaUgInsNAlo8+O8uIo
mrx4tKvC3veIWxbuHz+ECu9R7NrhS3UXqRpVp16MFob+OPnMVKBQfq2yPsiAF41RekNxk94qzQaj
MRDZa0N4ALUQfTVp8CTSpHqJy15l9gNzc1Va7bZQkhekIc7ZqIH3NsQ5bpBTmbRsix4EvtKdVYRL
RCTyBHkdbnFQgwdl4rzh8eNdZdTvRm5V16pvqqummxXOlWrpjBu75aMkztC8jD45jYGnYDLxRHBT
Y7QUqB8eYeqIRwMYxkqGBb8lFAJKQm6fY4gVxuLgrKtuhPmnF/uCyQRiVHbnjZaNOf9co96krIlR
xKRXCT8QCYlYTL3Fx7EqwoNKKWAVrDMIAZDYWeuDzcTmnjXtWpCEt8msUW4SxzdYDWnuQckj/mAR
sTauXRwShaxdF0nkb0AmOJi1s0wcJsqVw5RuyPU1NE+QVq3rbAU+pxVhqB3rDcd7cVj4LMbYw8fA
x5hY4Hu9hFA9vfLfFLfayNCKfgcM9ItStNUNm1d4xO60aErOzWaeBM9hhrhgrMCoqFqD4CVSHvrA
qi+ciJ4ipMRPsHnbx8p9U+p+NzZFgFo6re5tXdEfIBR93sMOat0Mvgc4kuekVnaZl2gEHdrqPVNN
cUy06nMoChWOlmKqLAqZwKl0tU+O6p49fvhYZ6O1xdz90SqB7WVlGezysC6XgR1Ud9OavuYhzbd0
OhApmMU7Ftx+WdPWfRwDZrtjRxBBpZzqcbQenZjleMzSYVtnPlHPY0Mm9OCRLeWUX0FWpCwcpQ4n
olC3aV0VsPDw8k4JEAs5mY9G+g73htPjoixweyoUBa+a7/wZaMjtKup0RDkU5qEZ+vg6EByDMdtz
F3FoP1FYinXiJYl2odVwU+JzmSvevROG/RAPpKhVBu6UeTdXGueBIPMDKXv9ZT5kyx6pgoARBbvT
oTTBvWTofAM86I5O8436yzoaYfDqkmv5+LMJ5VcQQe5Kys4/gOV/16VUWF3WPu1fNE+ctzoYtdRX
ctjL+ei+iAyTb9xFzlVTyYI20j45tB51rBJfzzj6FkE3bMSkCCoG399YY/1LHxybEnBIKT9MWRdX
kznur0MuLbKHHNQfvf3/6zgVIEJcRvsXJ3OAMDOUK/aL/NhTxlqRKs0oFpkZegs2tiCwdr6k00XY
WIW9yTpxNv2kQk1Hez2aNrVGjuR/jsM2O/hxbJ6J/8zvpri5cZs9oJfLH5zCEHjFDPzaISnxtdP2
C8/ETh6SBMQoLZqrHUO7wwxxR6+UXt2gWc5mxoIK1c8h1mb8yHpzkxZMimwTsf18Yq7FQAlgTP2l
r7TiniayuI7wvULkJXc7ayD/Z2a7GPjxXt3pFkPrnsCp+9BYEIy4pa+sEuxWKye3IOdRCcKBEB4r
IrBtyCdcjDU/2lvSXpHzNpzsSQvR9nFB35Mf5xSok1OHSBprkwqzP93IISmO47SZL1XCzX8uBQDF
1tLMv62+jSEiUJFiAIDg15a1QnOzZs1Nh3A7f8o/Q6KbsrSdD/7sz1f9PQhL/5UsnDy/uiEkNqvA
9q8DCBkFKSWtvOq69J8Idre3lmvluyZWmQdUrJdCp4nRe7Ixlfh/LyWhpx0nHuN8PA7Nfo/P5pzZ
Gej8YFRvYRK+NnkOkMiVpAQwVBM0Z0fmar7JvAnLWh5cACGaRd78kA+/vN6Eby1Ii080b+mVTf4V
EtO4mPxGL+DOSk4OIDV9dSB2u2qfYJpk5DTV5KpPuyWcNfTQEuX2tEsrF1K6RlBo0pnwD6T9RFjC
+ORdVGuwUMIh+sgiACtpFRq7BJAl+QzwCecNKffqNWuoIiW0jVieRupm5CexcI0ataSiVMf5EsMS
MQXdbySQ0VmfPp/5kpTHjIzSUzuFAbt2DqV1Pj7vM+yjhHO+cVOWu0gZxBNixmRPhlOxjHQ4XBXj
7p1SPjImRTzpXVciMMcxlzZElih6sNcpkNwtmj3Qip0EM1VBFek/x1BVR6scC9CGRjUCOjU20/Xg
QYGd7+JMCBSh+QNAQs5rVBpAbxsFIjXmkCvSBybqzGBQFhj7I3DVHREvwDPSov7MLZvZTIwKcDFC
EmVKXOP0rHHXl0G+T4NGMPEoiooJOhd91+Ei07lkw7tMFgUFoZMVGgFzGwo5QaIWq/lYqpbGab4U
Uh1TPDmsRD22awQptHrbDBZ90F7n4hQSW+sxisRTFVGOtxooOn035q9J7ezbHlRqz2pJU4V/GDRl
WPc9SZ8/M+4C9caB3t3aEB6hX4b64iBQOqduTTYE4eAvUopxT1uXGBYkvehUADLLuOtfYipVJD9Y
5akMov5lUJrHeBisLQ06Rp44CA8i11J8ttik4zwaFmajHRTXHz6GvN8PpjMi7WEuGGXap7Ds9hFJ
yM3EovxeRApsYTuu93GYJ4dUJ1IAYsHaCfz2VweDC8xajGosEvWBJPF1JaS7hZ/rMGBX4qVKxwvD
uvZqdsZnLOJbGtBylE3bXma0J9yx9tKZnBCokAGVPyb52J8o1vanbKARtZj3o+kgyDOx0UUql0SN
Lam2NY8GIbnP0x5/xhqmX/DPXoAyHxgGb0pKRnJO39e0kP4jIe8VtCYGpsaLlMe+r92DFRgNtPpo
uJR6w9dJn0p1+H1ZXVG+MzOnnFyvNWnGqyFQWShNG4QqziWkGUumgL3Rba04WB5afDCawcrsGu29
msYu243vo0tTCKE7OOPR6m9RZODytTRrbZHqTKXezzfYXfKYNhWrWr4jlYS98LWIZfle1cwzE818
53xXXUSev6IWmXz8un9vTLoGXams2kZ3+VdX7nkYA+/nkkaVfag0iYe6U3HzlPl7+8cXmfKm5ij4
PXeC9Rhm/h6A/aEvIMJbSNmUWVXxOR+n75evuxE1yLzbB2cjMNO3KvfQkqfwz+fDwhhy9M2c8hIR
WXfUc6/zc6EmRgiJk2GXaGnxriFXUJkGksApET2lRJPMN0szDEZkKzoomb36AUn5w/ywjut6a15Y
uQOWkb+rSBQHQB0vNM7ao6WlDohsjhfjyAnFSAvMyugco6S5zsdZx+WbVMbedt7VYTGOXhS8mODv
jszjGVimV1UpATm1jK3nokayQQj7aX5VYaQxzYtIGZp3/VTfgKQsnvGwARKTuVzOr6pFEs4aYUjO
XYQ1pPea/fywCd/CNom06OfuQM92zL3GJwtHw7kdHNIbphevFx0aGMsdT07rxM/tEG3nu2eFX21L
qyIycLqZkCrskMB7LNR8PKuxwfppOk6vAJQ/lir+TgFTBtR3amKdRjXKProSg6CggbAvSTl88fJb
BTxK4PD6KHwpoMXwueXT5wNEpXgHjLuqTF+8yMF0j1KS9oBEuSd+loz2YOZURqW3hvPOubYL5dVR
9X5hUET4aLQecItV9JeCwmbAT8AI6xsyT/UeCfnW6zSG2wrqWmZGsGwcoqWqPKdRvZe1Vn6IKNO3
LvEhm3lXGz58UZpvBfzqVVihikx87iGpYryZ5rpRk98k7+i3mODmu64zM9fKFkd5UO27PItXURWK
E1Fg9UMepb9obvgfY4WauNAQP8FY0Zejnjt3ffTfGRCcd8tBLE6rW0WtkPUvSQdnVg9d5EuJvSGE
cNyCpKVTSGzvzSh/2zSX3vJcKSlXpM06GWLlveKsGooifWoUc6lbaGBcdAqxivAvF2n/Ci1Vt9Ln
QdjJYxOqSyVSIe43CVZdUyCkDYxvxxHdFttLsxyNCvlhD2ub5Z+9mr8wYrGuQWK9KK3ZnRXV0o52
NiX7IJv50Pi7RVoD/g4GJJAYYmWs6VsRifiTuTSTai2YfvqVTWqr+05dbcir4reHIEutur2IhPVg
om2mRKBn5Op43kdkh+eUiLfnJjb5c2CgXVJjLNYshELODUQgqDTgCPqhU1H51sb1R+ODNXwiws+m
RZfV+cA82zy2luj/41dLlRuKjslnFSO2BxwXH/GB549Do73SjUo+ax+Yhpa24jIgGtN0zTirLZIp
V2jFZzCaf9woFQ9Cxwnet5VczcfT2qcMz4AwOHG8rofkQfOqcSNyq/7AxdtZPobbAUoyvA25CYKQ
Rk7YK69FSzNnesVurNBSzEBGiKEgcidrrRedkFg9IIKS8F6sfdWkwjPQB8TqVQ9U86wKeLkOcUKf
hC/cOjw6T1WXrJMGPZ09elQW86r/HDYQX6rPhqh7eFh2sx9G91szBE6MvuT78cjojJqs+QA8f7er
5oD3hcwC3NtYd8gsrcY82xgqVlaFiJ3PWhNHzUvil0KP4IvHwyoO8PFUWFVI8ymuQSVf8tC5ZVG3
lGFnvCpYTpdqYzcHHTwTOPVuSSBPunYbgFHYc9qP2GqfaUibD+AxvbrLjiXDP0oEL7/H5PktylPf
OOGvgN73ekgMcUypoN6TgOhA3Sg545sMRLLSCNkEgHq3Oqo5hoGMYD1/N0CAoYoCmCqCGHVSG7Wo
CMJT0RM7F2td8SCJeF34cSl+gT8PsYkUzQPsXXTppr6JTbcll7mVn6O21cwm/VVwq1UTW+NRCqnc
WgR+C2O6Qu/Ul0yzrprT2Bfa2bToIqlvfLMvn1JZbVMsxj2rmF9KE4IRDqv0SuelOXkDIjVi3f2V
wPxxZADBs/MrJyFiBTEDa2GX6sS7k/tU9Jbzq+c3I0UYfFQ88rp1lwpIvoPbNuoNTDNxH2Eb/E6S
emfZiA6rjlPPMBg+JAxA6XimodlwC1y8oTyAHT0HWsOicXCMAz/n8pbEw4up2fWrlX9pieJss0l3
P9CLfpOhiX5Adi3n9fzDLk2X7MGOsAyjolDHebgqNYFpMq7fKuFD6mKufcQvVL+txTT2dM6u9mv7
iCCoXhLd070VI7N0I3XcQ67o7Vvnn4uqrl81OX2FVnuuWvEaqZ1+sVSD+GVfIdbEYnTqcqBfJkLL
jcz9T6fUhxt9OfcetvJxoD/5ZpkDQMUgYXXNdA8/c1Ov6eo/dAPuKia7xA8owffczwhqiABmGGQ7
/v/ZGoWmuetc79C7XvqIiI7pXE+wUKaI35bhyDfXdNSN36A7JmRVvgWx8VbqqskL0JqHprUu8+G8
o0rahfHGGUYLsQDvLtVyWme2TK5wYf3HEQ21wBj+FjWYX1uQ0mvKXelddvWLY2XNguhBeRliXX0y
OeMXoTG8ETDp7oqMv489rUZ9zyEUvJDtxYTNugtAhoIZq7fTS3xLyevZ6SaaLhFss74hoicWfxyp
FTckWc19qLVXIKnBezE3dBwcUsRl4VGfxLzIBNdEsmnPVqaj8BoTdOMk0140XgoRlIi5EjWokRUY
482KTXzwyYOwHPsZZ9Zej31/4cWvup9p24aiAPXf8YBTH4lQSuCcTF2d4pYoDli780Ml9Ahx2bSP
5oKLPwfm69S0FhsEYc9dyBoQm8O/m7/H9LjeoK6Cxh5rOcqupqEGNibHUpgHYB/lNlG0/JBNG13W
/7tBCyQSTEX/Z9/VqZOt5xtBnRFro9VwxPznanvw/733fMV844QUzn0lUCO5TsVMlk3H7PDn0v9v
dz6mtOiudXze80v7u5mfZt5t5tf392k1cS9K3Jv9IFBkxSNMnnTauANE8gwW5bQjp951lFuEo/5n
d0olXpPT8NnGPmNsgvyGUjAvGEl1+u8jMZ7bS8UlyaabdLtZJbIDfO/s59J8bN7ESonNZ7rJf93u
v3bnB/DMeAftVdvVtgAoYKrFurJbasF2q6lrz22Sg3buEzs8qmkfHjW1/QgTy107xBYmgB7RZ3rT
ppl+AfOlNM73jt4FS9H3DuZPXKIMiNhJo/y1iSiLR0VdLBvQtyQ5moY2Eax0Yga59HdjF4lcKnGj
UtkyA+xS6YMSJ8ohtgISq1hBLCRD5J4nXMm4DYipJ19HyMTdC10Ljy7eICKtky8hChgojpEddF0R
2a7R9DfkRES9GTb04XokvDIPKoTNUgX/Ke1ya7dOsq71kaWG1KhejkjIDNeOr81owFLQulswJQgw
GR2Rt4kv6QO2Qg+jrLyyqM+B16AljJ1qF6Cveuoq7DY1Z7if3QIX6o7CgoFMFJGFbSQHhE+UPw1D
2do+welDgqWJAqlxbwpJdHMuzP28W0TxK8oMudGnin+T+DeSYBB9OlfUEd4tTdpqpXoQjUMTwQs0
dh7QxrW+gSmms8L/U2W+hTKssG9W3TBhSGSz0XxRAA4T3kuVDNWqRECLvpUMkiokULFE+9LRVUM0
Ejy5cU26nLSoBOGlJ2Eg1olVFIpqLgNhXbBRebzQlfD6cD020DECGX0U5utohOp2UCYwe6c8aKjr
dorSPWQGce1ZYbza4Xsr5b4i52OM403kxD5ZDB3Y4l7+qTiT1Dg1jnEr/6CgS5RlRKIrvVx4lpM+
v3W1AFtRVAKY3GixPh7omLyIZnJOTky6qOqJdI4m6bppRqeWwE2jj8xzRhUsRHlxyXCdEJKD8pFY
HGi3Ub0FteusYCuCepRBts9G7YnXYxyQ1JgHz+ff4deb3G9RlmPJZeuBZmOaZXnKqpc8nw3BjtGX
DaCJaFVO7mTCRY3D/DDOfGuyqFGzZYugE8mzl3/2BTrtweucZ1GVLxYSpsOAYfxaA2VYmOHoXmwE
h0tTWNWadnHOKDZmBw25/rhMWS6hJwZ41qBXdMABXzpJLSfgQ/DMHMARX6nRoOwNnDAh7RYQNVQ4
2q62gfqXyLNLEgLRpoTt4EeamDKGetPHrDgiJN0raYkm2fbjVUkhg/MgNh5acQ5NF79ZSwE2Ss+O
Nibs9VBu6bksEhcvcE124i4tcJlEoo9hc8XgmUdJzCXpqzM07O+mgcB28LIUERffbmkW5aEtd9RD
qzNlPNLasI9DeZZ3P8oinGu9cYBFpXEyXJKDHS7AWty9JgOVQv9k6huT9TLZxPkfxgfZ3H3q9Wtl
kqan2QV5hjnpV9hghMGPl9+ihBwwEmJeYKhM2DL0S6Wb7mMnHs55QKzqspAJUwolvLhFUN9H6GzQ
W+W6bevhMu8ZWa+d0s7YUzlCczBtEOLHJzncCO7LTqbXL9Uo+K5NI7sj26bA5mCgj7X1N3F9qxYm
4z7SW0xUilnuyhHFG5jFJXpxbMGJRWpA6XmbgVT5ldtZcmX6BUaPkqqOJdst2H/CfCaJ+2D3znG+
9HdT+OKpoxSIEs85UwNEktoTZuSzh/ucVD6HINjhfxg7ryTJtSy7TqWs/lGEFjR2f7jWIjxk/sAy
I7MgLrS8wIw4Dk6MC4jXL1+VWdP4A3PAPUWEQ5x7zt5rt+5zrjmAtJzk4lk0LrjHVluLuR4iCZWA
C4loC7M2KHIDqV7hKp8i9w5uiNTNhrKgNv6nny6E99xWpfeeD425jeN4a+Q50murdd/xyj20HMkZ
zofuEkEkI+yo25S9NyLBlEiAsQu022pSDysZpgS1QYKaxRCOGlRYdBQBVnFPj3lIKfAeWgYc2fiN
dgA9ebp/+7D3j3kJSMqqiufMCDFKenQDC77GlKIQDwdyi6Jtv3V+TrpNIr4pVcwURpYMm3nmaji+
+LG9E5rk72ZETJcvfJcqhXPJtt2DHeHhkaiFl5yi+V6k4CfLBCtF2lyHdkBiq5spa2C7Pg1Z/4Ri
2XkoireIMQ0geFYVerPKuBjzlpaFwn0aZae6tOA5NQI1nLA5HNE/pFxelM2vBs2gFtksrTPMxLAX
tk3EAphOLd4QbtZQJ9Js55YT+aTjrj0itMBCU64bgVixYP7rxdOCtaUSnU9GpzJhCjWAum0dANBY
Bk90MQdG3E21sHM9vOp4xEWGviIM+PVpWfpSSh7eziTxsVZNKhr6SPKOc1Oajn2mE5Qu0xpKXEeS
ITZzgkEtM3B3dXp2mCy/hkrzqTFXO/rsmy/IV/i/ig2dSGdZ+tzMqkYhCBzb18Fo+3AZ6IG/Btaj
MDbJyOFaS6PCxDptWoRBhHrd8lZH4SKqGtMoaOgUSUvbd/meySy3bJE7S9yHD65VcAkJzQFT1ayb
FthvnmdaB6UurVsqtX92CAtQoJvtgWRQZvLmrkoLHFjRz77MsmXspG922Vc7a7ilsHdAQGLeRD3J
Zco8ZhHCLzkUOhVEo96SgvgfboeIcVrtR9QN1dbB+LQq8eiu8yqPX+zRh3im0WYBotOR72AUJ3Iz
ucA1d4+thBgKYwgOjor8g6ibcjnUKCS0TuLKNfdkskSJrj0NinaAlFhdZF5qT5DoSFMndFbEdw2r
lBRKtG1t5aKl30um3i9xkwz7MCUYAvtoT3aNSp+66Ww0j2wys71XhHrlfqjv6yqsj4XQhyViiR8F
ztr9IDRj3WaeDpY4WagVVXMpmuZo1ZiaLYVUC70i76Ep2mVikHhl5CQJcC2DFrPs76EFjtMPEpQ/
mbb2NBeSQNzscFbnMLtQVAgaBYt4aBiBoYzcp1WxrSvafiwaGTnkO6UYulM7jD5TpOGW2AQBFb5o
T9LQPNzRk9O0dpqTw5WI28J+abqyvNuhUtxNqa+SQnRrpVfL5djob8KtRp5sQ0C0A0ZOo2LkynlQ
HXqmarsgM9Z6qK2VYJJaJvojlx0GnGRAamJJlW4GkR0+4ZBZ5dcMopWeMwxkQVL04cHRfw55CPjO
QvxPRlO3kUKVPAW6t842yiNO/gOwa/f4exO7xTilOXKQ4NJiw9+zGsbxOYte/Z7sO6NmPJdCocG3
WprrmuCDpSvOiDu829jdC1RSZ5giN5fsl0U1kMrQlXxDozTaDSUFYMaGWQKzJFcpm42kbh5SSzsk
hOk8XGrXXMEZHdV9vNGNl6TrUDB3vbsvqDhBqToKJ3GC91C9KJVTrVC1Ixt2zFe+nWAXwbKsuOzG
EX0RepQj8YYWgUHgdkuwOCom6W1uBC9tTfrpMGj/7GFfbWaXoPABwWkkDS+UerrNAqFbpN63qo2X
tZlR6kfYolIGo0sVTR6lb0XgI2yhyP7pUh0hOI81wk3zh1bHwyodWb575Y948l6amE0XXtHR8+xO
leHnJ9Mu3xLUr3hGEgIJGHf0InLPrsdiNKxJd1SHgBZOjTqHvHfqKk98EJUyIu8JtDW45fytVOod
dKVl2kx8HrIzzsNkAvt6ZdT3DMbWQkuG7m0o40+nbrsrwcj161hc56PovHaY+XC3GUJgUxTBG+cP
83QWoasQGGEyDvZ5hhxluupt28aAnU+td/rSKhVNG9z5gSDOZzVm3sDMrnZFVnKTOzxVGzzjhIOo
51i31DMnnsq8gF034zZZ5q9SgjSILdVZpW6IqD2KrOQoyhL3QSSvsnrPxl6/DXUCnslydFAgww/T
a9LDfGh+03JBxYk4tlcm/ZaLFXfnQtZEKEui6VCrDUc0Jk0k0k+0mMEKiiQXpdP1q9bS4ye0aslZ
Dv3FboWxdo22AGTb2UvVyHJYa8lfX/Hkc/GaKLhIWoQ+Q2DV4CIdueO21B6hV5BQCBzJqjfUmd6m
6uL8acTFcrW0EgZflz/1hpGhdyWH3ix/9loXYkAcyo/K1z6VLnO30RC2C9XBFFZWiCISpdcPfR3Y
DwkqY+2S/JwT73DMStREzVDYHxEKeFqowDnK5JSy4nLRkpPxIrK+2UVcTDcCsMM+iakyiuSgwsfc
gwCpJo05lb9SGGuuBqg+uG0WaSP9S1ZyQlFyHxMn9S+BoZ4AsFp7KV1ciSlZIqyARkqgqn3kavZO
+zR9szSwe64IDU7vfqQpUNMhzXtthZCd61cK7s4ZAgie28ZLRurQCsN8emf6Pf0iEKA7Sv4CEqO4
ISUOaRirjHDa2lxROvj7yleVd+KPjaJ9M3muv7BIBKmYmNUtYZm7pwUqV0YslR32L1hc5Ne7Y5/d
PTRbqGQ8WXyEjDu0sFGOHQu9NcsE51WrreeZKmIW4HyE2r10Uc7klWooWfSlXh+rFsXB/Krm0Xk0
OR/xvTGYxrrv5t1RJUYSOZhFnIMR2EeXZu6RxMB1YDMlINQK9kofvTNOMfbBQAe0MqX9pOvZj9Yv
jbdQJ/Q2rDtc59PuhDnrYi3a9So1D8tK0GciX6VmK+4KSNLH0PfxyhjxLbHgtQ1FQ52Xq7iRs+Hk
jZF+BpFYWbF2U4iAv3V2+Cq72DvMh1Sl1W6yd030oEkEsEF9d3Dz3ZBrWqsJ2XPouy56MRXwuRYB
ZJLMzN38pq3GzNWtKHohGf7YJww1SIxDd5218Zs5K6zbSvsFrrrdWVP5VfMLwQ9AUqLsPMGAgw3t
5+Tr1bw7UhOGYgqT88WyN430RqZ1d+inrHLm/sprYJhXxN/KhkG8d8wJ1hKEk+GOlNl18AtyzkzV
PenEjZ8gEf+xaSFgGPC4Dy5Mk1XKqIHJEVIi1tHgXuITEF331GHeQCWNIm/VO22w8dTR2wm7JYXL
6aJ3jcYYXRry7DpTPuWBIJddmq16CjVcNGIw7G3IWUilrEa7QEyrP2ouXxH5JdKjDwotTqDUbcnx
1CXTFc6sJAUobSVCfR0V+VDCBXIoeKu/OS9xLquDWUyVTOtdZ55aMpCfaBG3FKkpWZNlcisKKz0q
ATo+OHkLJZ/MKdMruiVkSIUxsFLhpftyCkqF+v7PsDJx6YZXONvO2Zq0WKGJvw1r8H7+lrJJZ+JW
5vaPrzDKV/N1wiCzYPrEWq1I9Pzid+VbXmbhYcb2EOYHwK+t3c2M8olcstwH+wIGtL46Pm3VwpXH
ho+TR9GJ/fyhAbjUgayHt5jQaXx1FL6XuvNwXKQhxRHsjYLwMzmUR2/amF3xXKKJ35rC1I5jHerH
JgFwYtr+pzUFU2pBEh7HIXvF1Ojc5kMjZVLau+mNoW9xHtX0pfXh0zrc2CkAonLTVCWsj6JOtq2W
o2I2tehQIUrMh5glbWEq69Yxkde1hpsjSCRUIHPXDCfHC2Ikrvjsl4Ha4gGyU66CgevHHsC9qknz
NG+M/q3V7l9fQkJiattHeyRpxTZqMLmSgP2uU29/Es74zLLJfSlIGqFOp1k4wnNAfms8ui7+DnSy
+sHtkmgW1xdPcRf1yDgwVVWxZX4b/A+IJTXkS1bVdhHJE0rNahP5SbyxQ2MJqTW6lnld320aglSY
DDn1nBCnaa/2uv1InsS+rom1mg0UUaQ4pyKP/thFwO+e5nfB+ugv8+78bu7UD1V2OcIdQZ5vGb0n
3qDRFCyjiy0T9VAQlkzgXx0/vI+2GnE2pbV+awpWV3Bk8l3PA+GuMa9cBrkqP3Xvg4CpbKU4YI9b
L6mPQ616cCIyXHTdWO29Rvhc72r2qibBsOU6QT04vRuUIOMzb7wNNFNpfNCk8Zv+jIua9gVtPKbe
TbfMJ0NFMxkqBhWBe41C040HplOdH+4VVdnNn58/NW/S6fME3x3VwkFUONTmwdKju+u3+tWfNt4U
5ssFx8OYmjtwsoiQb6UDvzgydxhgZ1Y+1DnTHXQaF2pLG50m8/zqL5sJEWBFup0sfr/97/tql/Hk
+f3+/McFigH9iDUxzZd9FWX8FkfwOr689tTyK0eLw0Ova/7byPjarNrxQW6GdlOZesHq8N+srUdE
ywhrNq2pvwYvPkSVE4C0ZVpq2iT4am1ovFcteCppVd6RQsllfOI0K8vK/JOZxeKSDbw73x/IoM3X
9PC65z7x+yV+Sh92TxFt6o4kHuLDdl0cGB/U/S3lFVwaZii0LhXDXJdDxty6MMZnqdOVD2Tc/sq9
Z3usH6WwTWboaXUbG1ndFMt6wdasH+a9eUNgcrLN/WPtmcFOM5J009Pw+gjD6BimofWohm1Scd3F
LEV3wnILEAAT84ZESpClSbecb2AuHp3ON4wn4SE8jHXswF8hICRfZhem4qciaJ2fhvImzWGbTa8L
DsaVHSOj0WktGhU96UbQaQSz/yTc+Ftn+RtVD+Dti06crAJMdpeCh8VLSJJHUFz7dMrI09IL+moa
7HkRLb7+0bIP33L/owYA8yuwlZ9q3RVvjbhA8F8GZn7/TYqKdUIwIc2qe93g4Y88HY7IoOubjFvW
3kEkg3y2jDat1iOXa+74pOLXrlKTraM7ys7Fa1OFRnv0h5F8wcx5mr/LwfXCrVV6xp7EQ34INAwv
neI9W2E+vJFr0ayBho5Hd/C8S8mQCS8gTfgIRA9arX0mLPL6pko11FtlKZrwVzUq9jHxGp44ztIM
WV+2RnUXuRFvoEC501DtqMjIIwescFbGMD+5kzefk2XbN6284mPlB6vgmOuSilJ2rn6kdawftVQY
u6HD+63w/31zWau3nZ09+3qn3cxcvOqGDoQE49rqj1t2PkJ7Z3aYKYjMG5b7zxnOJCCprJKausXR
ZVW/6syEyAsgYdnQaNoIyAA5yuXmmEQZOlXTHN4ZEK4rR3GfVZoRy0IP+m2oWelNTJWm+yN3BuU6
H0Aonax7L/5kpB6eMBaEJ4Llw5ONVHxRdqlxBZMjFiX36EdbxB9DoWDKhuG6J3ZxwUMeaiQRZKtM
uOpFQBChEx9Wir6UrL02qmISZGsRpOxWy0zqfCHauDWryNs5j7blFql8y7LUvOp0opBuI6TCmZG/
1uRyQNALNo5PpJSTtMhHtCfHJcUF4idRXifmjJAZTXIvi9C9Zx0/hekZSB3Q3e3UN2b9FmAlhHdO
9FCaYFOBlL3l4XYYhf7Uwt9exSWW0crxsKWMpbYWg+UuuxFBYwi3r4PGuemrmIY+cqZFbFFH0SFb
9HXJKF+GmM6j/IdRRb/6VlcPQeF8urU4jrmHfmMce2KyyuQtsLeqq9M9qZhpUOMuvbhUeUA4yoba
x1kXbSquTaT8dLTI3zRldI5NoLlj+Kn6lf6a+/JmtuWLqaXDc04w8r6syx8F+Mq9iA15pGMbL9UK
VaHmNOp6LBDRuGmrg78V8S0b6QOMqup/95kVVgR35kp3y9qwDpYN/g1P66szU5pq10p6GjJMh4vf
9sMF7E9l++uo3aRNkh/nTcQEz7LXxburJfpBJj3rN4Hw6TznlZQ98apxLrRVoXjt1qBhDjXOeMRK
I99oswRrBHsQi2Wt7QtNrTdho2fLAjjLVe3A584by8nJsxzaTZan/sGlIf+18Yh8XWlT0CXLjPBM
Qs0aQwfhSI4ZnMW0mV/93swfU5RiTSbxHx8rgST1/A66Pz6sIL3f5p7xqSuhcizzzj82Zkd7fiag
WkVpV4v5ra+XFBLkKTb+fj42f2b+MyxGFMKuHLI6/xyxZvrVqegetFm5s7RcDS8CT8aps+V4Son8
HYV7dCatv6DnACmHNkeWgrlTbCIkWN0usoHOyzIWGCqNXkc41aHu9jy8l75tJwwkLW8dscaCZ6Gs
LZWSQSf4sEh99VqBA0YZlHfbZtKYV8ongxblOJbdNuo6gr+JvR5dV9vPb7eT4PzrFdOdc+W06lGq
/ULN/V1rpna3HZxmo2+DLHOuaaP616jqDc4HZzeEGYIL6sNqFRhxtIQspSCF1Tbou26ACIF8IDA8
C0/Kg8nsJJTmpbHRCXSY8wDmBE5cXMLk4Ei3WCRGiqEGycSqGNXwBMHvSUw/s03dTj1fs9QOnENR
gl4mtXpY6mEVX+OO317ZlUejbF65F2S3LqaWth+ZxkopzSvQGGN1GFvu/omtj5c0D9XL1ytyvNfW
4KpLOwEz4msm2HUHTbDIH7UGmknYjPw6lnoH06kRB02vDNe526V29YMh3veyQ3LCKKiLIBSwKj84
zTIIoAV5bZOe3KznIePVQOKwYoK0qGIwom73gyCJ40TiufqRkd8Dvz7KCXg4xL+kgP1hAKB4ZB61
HPJYuCoM+h8pzPan1lAgoskYA1flvlpZKs9l5mKli1336LIKdHqUlnFBMKOs0HQahjrF2RnOOQBX
gWy4kLdG8QUAqcJbBtLz3g2apDIxaOwlVnbUxei9VtJFCEAOUi69g57Dm8IevitEyRwvTTtxjnT+
68G08WjkwGsorS8y5ryUmt9g0EMFNr0xH2slQnqalSeblKhzGoptq+BodFinnyI09af51bzppOEg
xiadwO869bnSnKMRx+7K7XAPZj5ylnmT/PkqsOACFnDnnclmMU42i3IMBuQCqkIbDPa2jDoIRiH5
iJLpZhY7BFERsfumqe0KhdgWd+eilZjcOjGFrqoDPmLPvs0b6Tb+skLus3FQphOkZYS7RoTweKUM
toWbv41Nn4Ndz8Slq+twjStZWVjjQGat0WU3Yv5cxa32EfC/fmF3eJQg7KcY5lhr9OB1viNVgR+R
+7+sUtwsi5Fb4wFFt+n0nkXpRmeKFxlq2lX3NePI6gdXDGk7sGcI2e6T8FM345E8d78i5PMzqIj1
GqsiRRY1b7PwomtP8//FH/Ls6hRIN3n4zxvSpYmpQOO6CsfyAVW2+umV5t3oh/AtwOC3FqF8gFca
bhZN7h45yl3RLOcOu3cVEiXeLhlQwfJzzD5B1DxaQIBcFBKa85So3dO8AJ6Xwk09geHVOlnNraHa
0bbBBHwHI4FSM+2eCWbSRPncC/JKRV13kKcRekQ0eA6u6a7DWqnP8yF/Oi4d+ZFj7loKU7Qbi2pj
EYeadyGWRJ5kOF701ilWNX2fHybM3cxcKDHkaNDg1L+/XwXez8gZ4tckHh9CDcpvEvUiQ/yywJdP
dR1FpbGL+RE3KPsJCYsqsPJoyZBhdEfTahmHBIgiWEC8yxGgLxLAhzYNbXIa9kuS6JonM2MhZ9ll
B5NR/zYvZ/NxUG5qtq8ceLFV0g3fmgg0l4fE+qqIUV7diuHxv70hzMzYRyBfIZXRjJ0AXfFkObDb
usWhcMpsfLVjFf2ErNafU0Grzn2Uw4TLjA084qa+nlBlBJvoDkboYdzi3lVW6J1wM2SNfB7RjEzN
PSyAFi4m30Fm4f5zlH3HDaJ0n1ODW3rnRFdTNv0L8U3qLo9RUANKWLRWkK0ZALYEBZflrakwhDVJ
szTaNt4NveK+NQzXkjTicTaQIlzWt8Es2md1oRbmnjRxUDuDU+WQboJbkOqcUT3ZSSdjlM6uIEOW
oZ6unhpHgWvW1ed2ivVxsvL7QJTTlhlkfZ6P2zbdVwUT69podPceK5qywhbergcMK/EyopStExh0
tTtwBeOszRehWitc2k14lAJLSc/CYSGa/ImcCEbw0z2uoEFDL4Qg7oRV7LjE89ZttIQmQOPKEcZt
gdMJmrV+YKbPagBDydBk+tmi+VVCZR6WKXM0JoQl5LKxLC9lKp5JZebeIAjCM6gmdeEWd3oQKU4W
EsP63rkDmc32qKZBhPr+Ssu16qHnLmbpNunUHbp1eTMcuFmxlZF4PDD+MoSx7XJadn6UePuQ9vKe
mKjm5EOI37qBkV7LJGzX7pCXT2Oa0YRN6WbDoDEX6Vg3Gz/X5IYYDOsj180D966tH6H3iZVkfEZO
mO3HcmyWbWsNz0IPuVnWyaOGCLjFDp9ianHVExm/IRwln+cfnLOFpuY21iPHQaOatQxOdLnpPBeF
pid95Cy63PUOVUxG2Ox2NGV+9x13nZRDiRXTazaITbFTWq2249FoMkyrjGPjOsktKGoqZNd+L12d
PCSRjkiFWvsdwu9z7yiQ/r0al5GirVMWFG9d606qkAHzLyE2LKFCZrNsCCikfxaTBGDk4aMh7B1q
rXHu8onLNU0P5k0bailPjyw6Fy30Mi8xvBckhjeW+Arer8Jck/jzNER1fDQYYR/tAK8hYR8MGUbs
hxb1Plr9Qh6aDGEmdcNNiwuQ4zmMqNBOp5nslGQzwjAi7/eYG6Leh6SBbf0wRcjYdCooDyVaMvjO
SEmPGVTLooc0kXYbRbHKVddEOtj5jrv1dEcIjMTd8It5oqZviJyK2i/6jV4qT2Pup9tEKvmz5k1q
KHc7ljjnPDlCZK/w2UESzMdN3bffht6pjsSV0OGaXs2bxAK94OjBbj4+xpOP1VpqrFFwYyaNd5o3
oRHmp6DkpHHEB9MRYNCsJ/HRtRdXeh+d3UbrMBD2a6uJBc+EKZJdcJMpvOgSRWN0+Xols/iSF9kB
+/rO7d3gHKfI1zLdLa9EXkOxq3e+OyjRQrMMJK8Rqhivvc/1EL+GH/UQKCerTdNd7lmopQQyD75T
izJODjePMKzWn7Bx08O5Ym64EoiQ90mjFR/Cg4xENEl/7XMc+Qa3VuQLFGKBytWFIM604Bfkun0P
pGkzbSoZ8tQgMcg03uUQQdaqBwWu8H2xabJAHNFQV5uGZuyzlqMAdYiW/jUQ3VG5az9UFhECswNf
Fgiw0QjOboJqsuito+V7YgcFGwIxtMhjo3ftjlOM5SS4+FKLvbtn0QMRJmB8elASwTjs18A24bWV
twqQEWGt2jf0kERWAb/cp6np7xmbvtZllG4BqI3bLmpumBGMC2ZyaOxm2X2UndzUJohcfCgfrqC7
QYKDsqGplr6kI2HhZHWULJM+gGG2m6FqkO/xDz9HKPzB3OdQJrtxz8yCiV+qFx/kbz8Z6SO0KEUa
j0AJr9APCO2YicnyAtEfTrRTMuajuUAcoJdfSM0FB6sWP1WXEOwU6UjLZOAoI6u7f/0LZQzU03ZG
cbJ1ug4xRQHS0NTDUtik51GjoCGfbZq2n0zVjxnTTGWKD5B0D+GCNngWkmPAY2QhXFuuigLJDbhO
7MiqF6DN8U2aXmXy6jAFWKkpsk2BjXBpOlTuFEc/tHlM6leWRDkiuSqMoN8w/P342iugH0zfYKQR
C9Db/D09zjS3H3U0oIq7iOMxe8NGY4JjtMw3mONTvwd6Y+4h1Mkn/gZVfH6GxKZgb95rLfBAcBr2
prXoIagt8IhUVNE+T3L/hi+uuAyttdJRpa5QZIH577lrEtxB8I/H88KonGRbYW58i4g/a7SOKTTM
MYKHmaIShrZqdXx4pf8d7BSE3ElZr0Af4MmV2ydDg+5KVzzeOQqWMTyRzTcm/xcC5PFjN29Gk2Rb
JfKIgAAqUk2L6Ep2yj5hCVBM4P15k5jFcPRDd0FvWtxq1heL0ItoaCuWuIVtfSGNKFlECnmIo6Wi
xEGEHHXFIyYtY1WHo/E0xVbB+1InQeBQ7Zw8oHeQmmizxuGUIHnY6R1qo6EjjMKghroZRV7uvXag
bUXk6m0IkVhasj4bkNSeBSz0Qy/5MuZdEkP1O05bnIBQ38mczTdSTfRljp4D41ubbAmkodbA4RaT
aR0kYk6dq28eo0rQIqpYWrFT8EtWXl1yKFbc+51NgMZ/1QR2s6stQiGJVy/JWaA+rd2g2JrZCE53
2v296TomOaPqvaP0IASwUTj3S83Zam3CCRyMFv/O1KlNe+FuhPuDoDy0z6RhXVMlaPaGHTpbY4SZ
XXhVsLZMUx60vBwOnkaJm2nhFu20BvcWy1JrkBFkF55/LF1t3FiK/2v+pqAL06LQVqNRGlvbRiWw
kRVCF8PFNrgINKPfa0DMhaV/Rnbj8ziz/FsRYNYF/bDSHTviKR08B4ZvnL0CsJJfimutWSR2uWps
bEWFv9UvgPK0mECCCaUta5Z7jU9vHexRR5P+eyygluQJsGlDNGLpJEpzsketAXNbOfzXHLlUaC1c
GyTnlBLVm2Nz8ftbtbHqcIkau0GY5EeXLGuunEbmN8KxMgRAU9nWmTw1gpQHxu8l4/yKNQD3M1iJ
AljJU4poI/TqH72jV3t9pNlGcPgB8BXhWnydS4jpBPBNUTm1oeGwATtdK1p4TQSgGMS0e7RmlMtu
aK24lQCVC6dYKpCAxCAX6ioJamuHCO2laj3m8ET6CqviCZ+lw9lMo/cMM98hrtP2SO8j3LZ9Ey3m
6V6D3WvlI3F9GzIPUFHy/v/OWdOJOv9rLPKUsqY5mm45rkWYFuy2fw2K01Wpa10irT1UgJ3EIumQ
HfnqV415GK2+XhWWxrKiUUCwNoN3HKKCKfdQciWNu5D1J0N7xV9leJK+KVp8ME2akmoZFzxxgDjF
LEPPRvpHOtz/+JT/83ewej0Hr3/mxVCBkmr+bfc/3yIRFb9+Rt//1/TH/vzYf/7rLn/qj7919b35
/i8764w12XBvf1XD0y8u6ua/gt6nT/7/vvm3X/Pf8jwUv/7j7/990L2j2mQI//dB9/f2//zvH78+
/yXo/uvP/BF0bzn/IFnD1ciQwhA7pSb8GXTveP9wsPw6mqFquu1RAP39b38E3dv6P2wd86KrqZqr
4k74S9C9+Q/UmSY6JNNEA6Gazt//6+f/I5v96xf++/v4W9amN6asTf0ffzesf0vrQyJIJaM6um26
pMobc9j8X9L6SKL1iiIsgh0KORXjYmXew1Ex7o2pnOOGVawkOVH06lqqDviTqBc/tLGr978nRwDS
KREDc5eXYb1VQ89+Iue3voRVdhz7wnyC2BTvcPdgpKDzuc3r+Duwbv27tIOvF9MRBrfl3UkT+L4a
cz09zb53hqWstCA0MQkZ+qOM8xeWeNdEHZxn4MPOwuA0ffKZxG+1xkax2hvJySqjbAPc7CBq2Bco
tsyj6ubIJ9Pw5puhc9VvX0AMD7rLUYIfLbUhjfA/6uQt+KN/jNIw2DIyB/IGxx3WtxLtncTO3nOa
OZ5RYhQ3TSYA+Lq3pSQCy0c4XXfjR5+f4pJpnDMlFJbFQJsxVKILj0CkjIVkXOlg+AVxUvgvpDJc
fNbPP2IbpwoYXf/qdeineq29tagJ6YXU444Fx3CPgBLfuzwKyFV2WCz8eUwVPJRDtT2NPszLnBb1
np58eve98R4XnXec9+AdpnevLn+lSVSi0+UD83GkvCwITAVQ+HRMNcruXBHtyVBUrvqcRW099fyF
N4zXjKX5NaswA8ggSrbz7vzG/JFWy14szcdATLKmjUqdD+tAp0Puf+evY4kuaBQFEPunvxOf+ETA
AJIXTVSjeZPM99XfqKPcGtKt3WcvMwJp/ojRZ3lIardFc8TSw/UsvZklNzqBcSerobVOOLG/0VI7
IARlOqhYOr98ZOvq2sTutNCLmH06XcrG1Zp8MZ8XdOn6g0iJ0RniMluzsqqWMeq7TSdleAMK66xU
vDdLJy8CxFpBcDQBEOWL3/t5RhTk/M58rJHezXQoA/JRg91YfNdrMcTrAqbNpi7UbJn2zXhtsNXa
CzFawQqhSYnAhINZaY7XPqncVRlbzCKxvGtO7z3PG+n/s2J995h39FC/W0oa4OTlfW+k+cHjJ0Pf
4nnPmaQp30Ajo95it+5tsj+0uF23VhxS9+bqtrWS6mrCHjoS93scI6e8GrKrLFwjBuS9yNh+7c7v
ODggqyQo6BRF4BRQEc0hSvNm7EJn1Y7gk36/YRB2j016uk704DL3E+eN5lovati050oC9KSif64b
Ca28aeJjS2rLe18R7Y3K72XoIWYjzeA7mo6bBaP9hDbkdt6t/PSzIcBiXVqsDUPcBZnZpKAJamXd
mCLbzbueBTCnTgCyxyqxo3rC/CWRqG1KTz11hR4CeKTXPb+SVlZsU8v6OR+a+uBBEKkX1cLRAMQK
kUbpP2sMDx9KdAtqO7lkWveSuSn51C3I88poHsJdsshwMT/E/Y1fcol/OtVPaag1uKJGc2tj/eI0
ao2HKcZ8q7dkQ1eVy5dmq+HOAh3vB/qu5Tby6hNsdmN8dZ33LMv+IIJP33dOU+7qQP20R9lq274o
1U2clAQnuE5ERRmp5aUhhH09MBCCFU1Ym4tCrf0SpU36NDyE7mk+qKlBtY2EiuKHj8yHxvn6+Hr3
z8/luSSXAcyak6bHWXI1b2T1fwk7ryVJkWjLfhFmjobX0CIzROrMF6wk0tGO+vpZUHW7e8ZsZl4w
IKKyQoG7n7P32hDUaAykSPeplDWtkhc8OxSaCXNfNdCfKU+GHo4Vi2BqLXIelj31z54V2DAmgUeH
s3hPhgNU1kW9R0s0XScSkFPCogJ0s+NV/5+sYF1nIP/vDMo0hEOX2fMM32dHGPPj/xn5ZGCSfua4
6NPiiBUiiWy8GwvRX1cWJDVMScKiMiFjrqA4ZZuPwz8bYzHOGRUNe/9WS/Iay3mj9AroXy7dzVhf
Jle2rz6r50dXM35R81vh9e+vdWpSsagb9nxiJj2rTWhdz4fzA66JSkEkFaLcWngwCwTpO6TeWap+
FohejaKtXmNSIl8jRqfED16WM9YUbpQeCLzNPOTb7dnX8v62PDbm6t2MHMjtRuBsRSgY2jM7uUmX
Zl7W+/GafJ2W30dxJ4EmOAQupWvCnDT0TE1qb9APkwgAi+JsBD7Vs3mPspi3UaqMtqj+9Bt1T5ui
mZn8iMwRqr/ZfSBojHa1rL/KjkCIKkn0e6NlSIZTD3toL6ZNObr2Z+CwwGrjcBcqszkMkuzuzsUD
BjQo+1HEDTassXwOg8xirNct0vtIa0xa74L0PLmnhkzuQICvpZriWZf+91TZAn+2zfAeD1K/Qd7q
tkJkw6qfC4iFHV1T9Eh/Nqaf9NtoVNe6VxQXvMB8IgpiYsXgQwpiENuoALegaUQ4t9GyIAsNuZP+
Z8r4d1L230mYbniO87//GKmDCs8jVtBiQujohvF/TOctGbRdZBbJEXdgu2MILk7LxvBj6NL/HGol
92F/3iznQjRGRCH+3x5mwKfjVvYr0+69E4BM/8TvgoDP5bjJi++R/d2l/6eD9F1noTIA4iMZAPZq
y1WhAmjIr2lbBhQNyi8xEQrMp5GtqMJVyDUHf1ovu0ZqvEKAKXeLFahPWIG5o9VvLNol3GshoCHI
KSLckho2IuSH2j62E5yivsdfKMi4TxJFmCewOosVSlMkGqg3ka39nHjOTkcNjnt5MJN0Gw3y7pAo
b0f0JYwxJeHIyWGNZ/LNlW7x5xVAQXKQfx7H9rUCinPyw344afPGZ0lXRd4RaXWOrZ+Nr8u/e+RV
sIIbS0FsV4j0ue8jaJBJr6gA441a9tD2/ijr4oWqr7OqUFGD9sZ2czKz3sY3WDNvFChte1y7pGNe
ZI/lpB694M8mmH10GjZL0G2oBpvxaM+27OX7o6r3ZhtDsG0X1/rsaSXXVGmI+hojt44WPYTc0Ung
UG4TrzpTAWKgR3Qi5WQ8Fb78MovG3uYioeySF/AImMq8hTphwSRrXYr5gyXb/Qwd76AwuqUkkO+X
NxY5pr6GwglGJsY2HGPeP9ltBVhGc3YuOrdTPH/fsd54ezeJ963ImV0HY7+iKq7+fEx//xAf07KX
5VX3Zy/FOQkalVpC0KOXaGpDIi9EgSJFTQ3bgXyE7pF1NirBSYtAn84bT1TNSdHB3Y81d8OegPNV
WRQrIBjNScbBF3ege13h5SjDCq0JyaBaVCE2xtgQeGfKGKcwlk9JNd84FHGyHf6wKje7lc5dh/IP
fmicTWvA9HeYRyiKLf07dWJcLE1/hoBCM4uZ7jqazRhwP6KNox4QjLZPFWLJDdIOmPOz2iGuhxol
qavv0DpiMol32PyjNwoLctdlCEZZftXYlMGGaXEfbvg/8ONCno6sbJcH3rdU88D3Oe3zWIBXGZC0
8k98utkGuTXO1GY7KvXsWP1z5Gp0rsfukyIJ+UQSk1FqE0pTg2JcEZ201QIkIJHBwmhUTrFr8XDp
dMt3TUqBx2diSf8OHWyCeP3gdq0gXr4N6X149TbyI4Ld5F0WTrwxRd+ttRCVo2MnV0qtWo13MjC4
JvQAIwWKQMj/AM63jCvWPESjMhv0VViYJngHg3eportdY3oOALVgvkwyX9uzcrgNCekrnkOZKEDH
R6nhmJAzd0JYvFeSEDH07u7aIZaSqR7hMLiE5LaeimmrGVr5kGvQbmNZrtO6Ji4qLJ0t8goE0272
ZuO82joUZGmGUaceh9C5Q1tALmeUaEdkuE298A2rQ7PrCzxn9HUvfeNcuYZgOkbdTrndwxyFt3KV
/ymY+G/itiJbwYMiUqcjCCXhotzT9a/Ok/hzWwB5XtCtgYKOG4rD2QF7Q7p1aaFs/LBiiMIFE5kE
vvrWlT4cYlDYtACVKFh6TfPpQ7Pac31Waxxid6MoX6iaNVu+LNZ9nrT3kCfIezOafTMgzEMAx49a
Omc7ivletSR5ooIIPMs8TvUQ78LGvJh4xh+aeCKAZRyKo24SLxt1lPq9YIZVjyMIJcL5RirffVmb
e6p9/TkT8e9kVBJeXxCcUGGcJpyUGzjBwTYQcCG9IqWjmcJa8PtrmI4ulsdpwDxcJ/jjbs0ElVKg
fD+0Y/oTDVa+1T3NfERhW61qGf/2rcR7GLL6FRsucnuiKm1CgLe9J64AH8EF+NPe0PxHK4M3lOqt
f7L1FGWGXo6XNKGAOkd2t/7jEFIz7owofoY6FlCYzWwoMJ276XBtr7y6vdFutDaOpP3rIEjTqebD
dopI4AuCRwwr2oqRV12qqtaus45/BYbZmOuuWqYQOmrlF/5sEFpeWN/6/rXIMhCcfUZI8UgqFdmH
sKJqm/5ZZB9sd1JrTa9/IMerqIg3wZnR6JKAfD6MwzVNCLS0277a17abnJ1M2Fuox64PmyIPEJN3
pUeqn+D2VLfJvu2NltAKi99IkLqP1SS4608AnNLe0rdZQQpi31GNC33UV61COqmbNtPi0l/ZUeU+
xRpZiLosMM9TTWDgJhkgdek/ddhAwoqggC6XG+hruOUzVuYGq0BeVHKJUL+wWiZ5BYHTVjfA57Gu
x4NFMWulpdQctMp1tmqCkO3x9gtnPVUeXMaJHKQsIubY8KwEXkm3mUofbZfBEC06oiOgMveO/mXE
k7kJJhDbeBqLI8rk7IoZJQHa5qwpK7ezK1ZhMLJL3OKoh1oCMNe93Y1rupnDqWcGZ4Sq3kmG56v0
c22V21BPGASiGyD/V3qU4OgRkFGavkwYPA7adPH1st8FXueDqu722cj4U8nK3DqCDNyavtp11EaM
ZIOa3w/xkXnljLtaFM9Z0zU49CoFj1x9S3PZ7hyvHHax9PW1GTa42GBhEM84ABjqib3VTTfdBhNS
vDamB1aXcb9qegsuhPcK7kB7gZd5I6b9bJSZ80iiebczREJoqYOWCbvYziMz8RzNR2hRsAiSdXQR
GHBPDrrJPs15RswUvOMOsc76j2mS2ibnrnaJo8m40FBAICIEsWTzITft0zAmzc0GqrbSp6n6IL4F
fn9ZNR/lrG5S6D0+hoZXiQGv+yjCmYvMzf4jZMxetSKbPqgJKAwiSnzo+UgeLDaZD38i53fIO/Oj
mWX88w8amBZBanFbux/kTaHhpR7/wfQDNV2JqHBo9eHoWpgaSs0rPggf4hcFoOCdwpa9Ckwreu9i
CY4jkN1bGUUZFezee61j2uipOMDtqF6dPJ6p4i0uOpXj2B7CEpA9d+XRifQ1IPr8MDRNTk65Yz+F
AAVYKlnhHWC7kcgY+GiHf0cf9e1Uu9gsnL7ahYZPKydsw/0Q1+Ojn8SwGTKILoVb9wer6KdzR8Ef
VmGjA/Pp5EkrO/s456adu9ALDhBvkXc7SUYppJr7dAxRUjoscmwy20imnKNteEmC22Kf43pvY7Gi
hqju2Sj2MHZA9MM7PyAYB9AxWfZFa/OXmkYvkrHynWAgzDcjgqTCoi2TW/imrYeOthjJpfoPKKtk
hta/c4e4YcnkXxjVMWX+MBiO3AxV7JyGLjuTGwYCJOr/brpUO+W8ltWcuLDz0EFcLOZZaz3CGx7M
h7apmGdHsaetawRMm9DTQbL4htq7CNiRajnFmurjTBmxbuYVA6w5u2DZPHuDNp38OrnEzTjewbEz
SuY2Zgm7+mGowJrNIMPddbrh3uTRrdMz9bAcLecBWexa16zp2I47Lyk+QSk66Dacp1aT4jmGi3ZO
8eYQUztOX72070yS8S36U39OqZyvUS1bIGA+khjnqumPs9mwInJLcxGrNuPDWOhfEmT1Qe90sFJW
0SDpEEl9CpWTbYG9A3cImp5Rjw3Ywr97qUrsg6INTZ9jOkeBBXQZ5QC1Y/BaquWTBzhKVkFJJZNG
1qmo2/bU6enfvX/PLQ9EJXHbXHUow6TDZNbR3OYUDmSXV6r8bmeefQJk/3eDVKclD2p6BEl+q3LN
DIB4murTn+x8HYzIVcbROrue/FAkjlBkLa4DgBXoPkO8FnHSbrB9xPRHAYyL2LnrI7CpwnReraFu
EJhWzmNvyL3Wj+XaSFJrZw39yZGKvAVbPaXUMh9Yqw97LOH9Ousw+WtBm28IaadWTvxZxe1+144N
Ak3yY9ru6DnpZ0ndAL6ThW7t16TQ5Tle/JMw1E9PlGdYNO9FP9yyWoBIiMhkS3yx9hPvqiLFGoNY
lVp9Wso/liPL1aRL2pVBe1V5P/hJh6vE6hNqB2Sql/KoT9pN6mQC62VxwB30tJiYrPjeU5Kndji5
ROha5crLlLFTuv0dtp+2zdLhWFbM6eOhpFBq20jILPqcZfOcq75ZIdJkBSIoDpL6XJoNEQDu7xxL
J1pRoqVCHUN+sff7/p0laHZISU7xNAJZVEP4RmJWSKpKZD51/O4Z5U6RL7GvY+ednj1cvYzh2S/8
XclveJW4Bvjj3FjTk0tWmST+cxjBEFaAr7W2mTslxXNJQuC9d8pLcw4a6Im8R7AV1g7lBMBp2dHH
a8MfXj5+Jk27bblxtgV5wRgXZZX2q4AM3tWo692mH6toLWOjXOVYiSmKAzMIYCoaZCeoFPDjFHe7
xJu6g9fwToVdNRhk/Yyydf0Q15CIRogJDRiMPRfAqe8V/q0so6MY8sVI2q4roqSRQugBgOTYHN9b
M2tPTX4OCwCqcS6iE1N8jCHjrYHDe2H6wh8ATg4mcdolvI4nQeMae1BOnBr6uMn1xZvP2lMFTDxZ
RX133Cgmy89+70ODZqcJcRTUPjQufdgUnm4cW+O5HUC8K3elevfLip1q1wUEr3Z0gu5U1h6V3YCr
GeaRQ2on4aAyHHPLfXepVAZe1Px04LVC2fdOed1dO7/M95Vd9nd0gO6+j0uA59RH4gcMW383QVAP
hNgCoQkSgfTIejAQ1M8+j/No8EnCejXPOlisd26ej6OjnUNrCD9RmUG1c5vfWjLd+kYmJOpA3mos
HbV2HL7TjCNTzMuRFPgXFZJmUdsj4roZ0z2aaHNjC24ELfpug5pEfPrJ1kOQ9ImJtD0yqy22mPz1
zzoM0S/CiqpirljeoFDk9GUTMDdyb7bSbU0sAfFXV/OlZiwtb8smrH3c6SwaqP0z1WpEDfF7csMb
3fOE++1wW47Iv/0VYOLbl1GYQHUsd0sRW5RTfu4nSHxT+GM5+HO6ojFjuknPstd4jllwRJuwjzCM
mYr0A0vbOVMGahjTjvGoA9cc5jVCDB2bEgwtCkK2VkVFozoAc7xSBSb2auyOuZSSfEid/IVCT8FX
VXYE8yuc9q7jzZMwX76Y0rlVpsO1qjpwBx6gfS8ktTjMshe9hVmFoidu+Tjo0wz6YD+HhCKGTTc8
pFRJn0dmfbvc8u2NH4knxCjZQ5l5xhMK5I1jgjQwmPlQz0T4VujWPTPD4TDm4fRXcQ1vOduNs9rW
jQMudT62Yz1q5W3ZJDDIjmiqKCX8c45am9onLasBYu9RLsLwhAeLQ9y3tHwDnjDcTTDzd4ENOJrK
dveed1TCsmGMHse4ClZtDarVpOUAcPmtKzyb8IKSKVhQhx9D6sY7Ly/VXtBZZZ1DQkadTs2twbZc
MllokLHYT+mcdVqkr5msu50cTPPEmrTZFKms1m7j3rUgaz+c6g0cuUvT18jwdRUs8kGMwh4c+v/Z
A33899zyqK1QgnY5vDvyFZ1EqP3gevFXP32UYzx+yGaq9vBSwWll04FXTzYHvKeKILCtS5fjs+VL
odFkPndaqT/6AgpF0ZnVZ1mMjFLGkOHKUfER2DtCp3QOeCy77EKhjSpRNdrZxR677Iis5Hl54M+p
+SlVlGUXetg/c63/1Flfosf006famj0wg2V9V1H6PLph+ypbE9e/OchjhxgZFAAJwdvAzRoAEOUv
bAAmk4QUG6PFurqyh/GBv29t7ckMXtD85KtU9uOvOYROGdUvJ9nqaGpA5UTtOSbB4y0TDNsdwKLH
5ZDL+0oXu7tNzF/eApdkdQTbz25pBK8sFZfn1E3iPhWAZ1KDTGpJ5zeaE00InQ5hJSCRDEYD9sHc
n1keKNzuZpeg8JZTy4P/PvfPM/zKZmWLAkbTcm1tlh0Tjrk/FOo0j+qK2KFAmLel77qcj5ylxTq3
lv7s2m1AndbFrjr/M60i+8FLcP87VZHkYH1t4IG09PJVM+9OEVEOQWKxWKdPk4HjmJITmgUadwFU
y75gzUUADr6S2eCWdqo4L3v/bmqHDClizfVuJXonpRRitBdmeIpZbagu7uC6hL9THCaetd/KyXEo
AxrN2Zw33mxISaM35kba+V8l3LKXVDLfUk+DO9gzqV42AVFFxZ9jkRb6Lo38Vy+fasLa5ybWf55j
Bm6zbktgvdQi8UUzo9IEeTTFfJ+atDa6y4c4cr3bv2cV0alEozaPcn7O8sSq7QEcl+rIjWJUG/Ks
vK0dtMlNBFaCKhSMPrdNZKicWjYha8OD6Ak2NYiCwBE7P0/myLmmYIyO/3mixt1XDOb1z/OWB7KQ
KdRUcXP593mDJotLqHysVu6HSRPl0fZ976Xr3BcHgteliUR5jzB8DTZJ1WXd/oj6KvH2YQCNWkzo
CybbvAAGJgTGHtRqccRWI4Crsq6uM008Wv9zuDyY2019n09NUEGw003dRuFku3Sm6V7aeZMFxa82
t4eD3tu/Iqg9x+Ufyga+ZerlzJdciRM3hVatAjHdJX5c4t91WnNhI+7LOd0WkHpCR+26LhR38EgI
AoGGb8oJyqtt0742um2buBQjB796qZU0TpoiA0AmA72/GJIzyRZwl3kwkv2FRL4GjWMUrlTp+J84
82zwHMHaF+091VS805EyIlILqr1hjM7TZJRMG12rOOazM3LZVMJFW9cYmCVhL1MXuli1ob30Ojyc
JBcFa9AkfEVLkmwm5FyH5VH4sMkuQ9y1dWv8y6VWBNvCq+ubGzk+ba+CfIz5UAuM+tYNItl3KcID
SAL06ILsVEBVusXSYL4EC/qpDcP3BucMdtoYHAId1PuymYD0IMlDi1+2Q3Ieu/aLmjg4djsdsCfw
s4OlOZKn3eVAwA03gK3Cw2an8RxfiY1LTM8KsTyBPGGBSDMcbgMi4RddUQSvmqDB1AkNf2tG8H6B
jKKOoW7WtWbzAbXd2hk6TnPV6O1LWNRvKjVYOtlNu7Lrsbi3Q1yciy4mt2xSIMwHaYPu+i37MvuE
uoU1Eh/ffvLD8EubjtDc/K/AS6kGO0ThmNSeKMYG2TaytdfWdNtfVdZBvRDht2G2PKZqznahzXIM
Yy889EZo3VuNwFm38olRFvlq+UcUIjAw+QRToKJjsM0CcRZcmo92vlTGQhokEEBWLriEA8YfZzPG
gc3NJ0u3fIHB3nd7+w0025nhH2llVp2T9895sZSPNeXP3CSXhyrgby3oTnXR2z/1eLwyZLY/guS1
9brTouhTfL4bpt7jGW+W9TzRfs389A4JSOJT0CsGZtqxLIZZ7I6bqIiqiS5ijV0rxvozvy0oH+X/
+221DsTwaSq4t9jhhYgtmPA1uDn6hTR3eQOJRFQTE4IQTXL65vrP4/Bs+GAkXMMevroK6jq5W3iq
olq/tJqmU/Y6RmrK4Qon92EIIi4CfQ23JLsGjpVeGTLeStgVfALCg4gGHAbbdErkffHdVbL4afMa
soHUi7A1qq1jS3jcFRoJxs8HXRuHrSQA7U0zym/Ll2UR2sXcNvzOorZZ44i2bnVm6ocxiIdDxIV8
nVx8Yb5noOkk90KbQ0iG2poONZE1sOvMSx6Bz03tNkZ0YrE86amUBwUdNqrjHx6YWjwe2pdhhcPW
DFmIGQ2icAx9wxUSWH/1UmuiTGOfjAx1tDSy63I9T7q2j+YGdmKW2otq3Z/YR9ZVNfVHp/GT+7JJ
qg40tiPrI8M5F9j8QNElRL5ETr0X5Jzso84jonyiXYzOKZLnqhbWju5pcCMRaK+hjniftF3S+ebN
y3+qoFbXSuA9XSEErVcdk/eDL3wPPbuVbRuP+4vRW9UpSELvjrKjpviXmt+DeHxqK1OenArZt+4m
X0lnTN+qCDVEWVlAnKXzDJwkOKnECk7V7BhfDpeNpDNX+5DrtcxzgfZp3tXwxhDrjVY+U3Lv10Y/
xnuN7stjRio73175kNo+tF+NpsNdOhhO0oJKrAT+syegxL8u2sRC41OmaLgcLKe5FzPz8IJ3TDtk
CfkFLIDEnmuLSbDRPJCReSxxMYA0qVwbF1Rq/qJ1/DQ4cfxBsA1d5xKicCO4ilWdJ3sdW12IsP8B
m2N57GNpHSTekevUO4LZjjZcQFsla6T3K7IiMC3TIHqKh3z2AU/vy5HXkzk7JK1J/8kxV0Tu5a9x
WrcbwFXmTZZBtsJIxARqFM7BrZR64ab1niDrPFZlTIR2JO3TsqmFWW5zgym4zn2FVpH9w7KdFFqr
IMDRPYSBbz9bQZWsRyvmDxZR8gjzKz1Bw1mzLkT27q9oopFgP4tg4pnhmc6byEFu0AvrR9S43+UM
rKgM8Blm6WRrMvCeIycZUHyzLANpDfI607az0j7KR/kDnK67isPOeEJTF+9lhTBz0k3jkdUq6ZxN
bL8NUfxNtzTtFzk7OBh8+0cXUFxXKAuek6C3d4GQ4TlBo0doJDWCvOEaNrT2J13K8HdRvbVJ1/7U
CiQubmbpz/AiAGxaVn3GqcVyOcvQV8qUkNgMrcc4dSOUA+3aN27/k9rxsw2s80218EuY7orViPFz
ZYIb2DqRhW9KVrjOcx0Qhxg/aQWnp+UUzt898L9x7fYtVlIhLpH7VJtx9erWL3oqEqRiwnwaCPVz
EO7AfFAv7YSni6t51biWerMrmmfIj27g4qC4SftdQ4Cwq2gRHZpRq4FKJ9qhIvVO5Ub1JupEf9Bx
FKwdCoUfFLBc3GYNvqV27D/MH9FssEt6YTxMBQQPVgq/Q+IHi7KQ3GsZQKzKEdgAtPyQ5D2YceQU
1xyvoowMg8Vyic0wKsm8MumLIz4y/nNYDhV8UkN9FfF0YlGRAi4wTkiHIYRVPb1oJCOTelZFOz3q
dp++VHpBH5vIXFRp2utYqisTfvUlUocKUzyoZ1rZyM29TWuxgurTFPVHrxSOC+vvHr69GxFDKE/i
SXtkhHl2MQK9awNFQG0wo81yWNr46YnE7Q/Loe6Nv8kS0ghWg11oipqhwp0uY0HSSQGf8IUq1kxv
Zj5UzYfk3+Wn0MXSmOfPesjvtcnKY03j8APPltz5zQeKNw3HRkRhyTXWoYtFfsJ3C6TQ7V5Z2qMY
mClXHfDQ1wmP8worJnwuk8IsBZC1hEb72/b1C0RF55O29bBm6tbviV9OttXswlkoFXVq/WZtWO8W
XAWOqaNm0L0nUBJ2UpxYtxx5wdVonuqZJkNngQxWnE5NyX057wgGcY1Cu5c6QU8KA0xSl9Xam6Ec
/Ez/kjmmVvinhdZRuB44jbHDhk/xy8b6iDuau8iySafsS2bpkwwm1LFeUCfnZSM9Zh+QndL0MCbq
qsZYF5RZ4xqZhufeEk/pD1GACQ4b/sGsIwf3AF1Is2Y9llk+8A/cXI+hYiw1Afkd3Nrt9knRWqtg
sIN6m2DnbSJSPLPAk+thAUGGs+13MNFweCOdhTzrULCghNPauH52K2sAAWNO2zYMzIeiIoOQYDLi
hWkTb8xRROi6Imufm6J4K02WRLZlHPLJ56ZPG/DkAupFPvDPsRYmvyOC9+D7teEaWHT4I44iOhm6
8Qtz+Tc/tpo3RDTVFgNS8MBsDFUpLnZgWoN56RClr6Nkkj8i/3uFkQw7Uuwew8RzHlF4kPDsFNMr
4WBTr8mHZUODCHxPvBLEcROO2nYoeZqCVLB8ePDamIEr9kFEtDp1HIeRGHHHdz9ro4tbg1szOiPc
QhbIKFZT9R9yp0bgDP6y0L3ou2uINyvHxZf1ZrzlPknQlxfco54rgnuYs2auEV9puo9rMALQN0v1
ZVWYlHz3wLIAgB3riFMhY/WSOaLjPVqQ50fxJm3PvGqefPPlEL74MXFVdg6/aQBHzuRcvA1tSnG8
Lnw83d6H4ZnBXvaivC0bDNjnJHOBiP5zCvqi2BmNTT5hiDWQnipPtkMUYce8swh7gXkDvZ6h+OC3
Lbk+gtAlsPZERclnjyki6NgeK24pWMn7XbXye3M6a+SVngQ9g6VaqUQUwk6s18uRrULvHMGD3qiS
ppqwuSe16NOm2dveFqRTapN+Jk4uRC2emD9FmCBA09risSNyjWJ3SYVhcEnEmldnHjcXJoA04Xw9
c17gYZOjywS9XaHBSvdd4xySqR+/eszWz1Y9vTIlVH3+s6kFn5i+SVpFrzGMRoCmXvzEbTF5QnIA
a9QU7vrPtdE73bcQx9HKhxuzb4eSVmY9vFhj5j7Q1Hr3Dad4b7B2F6ItP2c8TW8h2HGMT0Xt73ec
lK8JaLFPNZEoHVvDq1bC2Sin9i8RaMECuTWCiK4SzpEiCUvCnvra3GrdWBFF58Qx1HnZUOL5u0fi
MxrSVtOdjTfRudcqWTxUrpc/ZBHQbJWEu5zUE5yFxZx5DN1SWIjxyBKKH5cHlj2/6Ot+5U6N9cBQ
F/Qxa6W2NQ6lHl5jozPPTJbBStEDM8/LsRLi1uCoO4BB7R7TPPy7abNBpzsZokKX4r8PLE9ZzpGS
EmwCB/iGoSyPNWvv5PO8H2y0Y+bnZdP+s/efcy3/IT+QfToW5gkxYH6WlJHPQcIayhN08UxZBASu
z4+UZkYGxLz35yQsn4KZkS6PSH8OPYK8b4PUqIbNqXt8rR+y6GygoSkAHAGWIpn94dG8SWNohFWH
HWM553X2j3wMwoOLAYakbjZZ7571UcuOAl7qn1P/Poh54X3MTBd1RggroU/2Y2TbZCNx5PcsFJiM
+RsvrAJ9TaD5M7Gk5i7k4j93MPg3YZQ2NG3IumlslH81FvXMyPud7qe0eQTiDZ4ZTGyWPc2owRwh
l1E7GUkPeZB+GvRavAWIFfaKisUapgeJIVET3ShRvWiwqh5aOxqeKptpfC9i5g75o8h8n5YXCYNI
e5g8+aaxQ+zprUeqjitNp10h2tHFTRzHsD9wousF2LkadsZy1M0O9cWcLvTsPsXocabeqilDohbq
hX78V9uel3g61JS6F2waCdEZfUXFMLPWVth1R6dtqr2Zmd/HJqhPzrxIBSzI68DvycUT6hfahC4u
+1buC2eyHuywRguICujFxd4q1jhTz8U8XS77+idNR3njF7rqmrBbQ3UGF62P3GxqkXARTWF55lf7
bSi1eNM2XYZRumg+bazcq8mgRa0F+ic3ZhdohmuS3pr+FO7Qg1j00D/N/3r5E0R80itcdovW6Ald
o7RZZ+c/5wE65OtcAHlxxEgmfBi/em3k6jCArPhSkv/QBo3/hgjKW4ViGlkMpqs2rXNqFlUA1Mns
EI/ZUXAS8dj/3V2OW6RoOB8YuZfD5enC7RBAgExm7RIimLO5BMSK1NGrXjf6EUkptC3VMWml5wvL
S5AxhB6cL3/e0IMJTkP14Yw4csuTRmDop/Rh+SJ2q54Th28JFXm07saWj6+B3OXkkGOdoJq2o8jk
edkUCeHIrNiHo8DnfzAHUSGKGQ0HLV5SkW9RuVvwpvGmpo2EoLAJ7+jFDGERZNDotJmNMLwPaoDu
2zQPy1FhdPkqIEkBRgGNkkyf7oXWD89OPfnrsjH21LsnfiSG9dDPm4QJHgqbeZe84hhwzgCYKrbG
QzRyzxsQ1a2CTMotWcA+qBNQuOdx7qMhmmg3DfZXuO9i3IwoeN5yv/6VRo3z5KcaAUCRJvZ1xM3V
Hy1gpBJ6Riaal4J5zJNmGOEzTASu+/zJ8rh2bLsO93qKSIPRHUpogeR3H5CAacwlSCMK7t0g+8PC
ZispQzoqix88j24Cl/DehEnzSs49bVmI/8fCUZKsUu1G2Sh8A4uJRUoM9gqwhf69xvq2eG6X6SyW
5N9lN1bHuMUY5kE7X+5uwLbcVdpNzGzoJB24ORAQ22BisPTiERGCWuvY7PFgQ78zaTEFtYVcp1L/
s3ExpIDUJ0R+PiecsmKaPj6EXVnBbIPzO7SUHKMaeF1imQCdi6EBcuhHLK1ybU55DiFnpZAz85i4
YSNDNvkv1h43gfZIZ2fvhT01dHT3rMgLCTc0ujKVx4Zgm/Zz7erlk1K/7X4kya1AAuUzaroaQH6G
4MuyMXz3HZkP5JA++Q3eOfzE1VZt7UELDnqJdFcrB/1SdETPGnn+WpKouOHa74g4Z0FedqH+Gc1J
dsacj0s181tcYjBc2ZWjb/zGW1voYV48qfUbEt97hkbT3rmx3m+VLn4ZFNxefG/4VfluQIZ3pO1J
d4ao5qdg52rrQ6tSwAKk4w5CEEQTaf+LsDPbbVzJsugXEeA8vIrULM9zvhBOO815DAaD5Nf3om51
ZaNQQD9cQZJ1baVEBuOcs/fa4+31niI1a7AZEOTokE05W/dXDnHRe685WPWLkRrLdgl6lhHb3c5d
IEGaJr8zWlcEMKb/KhAMvyepUpeKKmvM3k2JhFF18mzHdRyNFu06fbTArFXOHQYnouEVCBJGQ++5
hX4VWosV+aV2IXlG29kOPA/J8O/MlzGhr7uZx2K4iXNcRzOEIqJguzBTbr6hVrL2NSv2rce1fV/B
FtmUuR7f5vwGzoTkWUcgA122uZnVVvuGLkP6iJWLY2PnVO8SlJ0z1EZEH6R/RheWwutGBrAQyNsm
QEk8DaxC0ST66T0dCQDuvNp/omQI63zc8QVE9egH+c4g4CYNFnFnVqPa50Y5XUT1Y5PchJ2zMx6X
L59UrAvAqFM6QdXZZMbHVHQa80f40F7jkwmT+VDRMKWHsHCyndvOIB8RDew1pxwRc3RMZrL4kCXr
qR+gyq0sTbsJlPGvGyx7+6AmzHfTrq1jaVhfhpf2VRQHEl6v7+voRbzmtof07pS/y/rLnbDT74Ka
d9AFiswX7cHssDlINGQwUuL4xZvYHGRJ/0H097r3HcnT6IvHAt3nCfUqg0l9yjbFkKUH7HvTTW90
JgFicUPrnKN9ZXRs2EoeilTNvwX8+03LFIL+UzvCXSjk5XqTDlNxgpa/m0wxYZbKZVgXfATL+lCy
KbyD0zbdQekRm1GmMeOm0cGkkbxZSRvQvIhAWAyvUreKR6pHgptq0jGbrtsiFujQRuAZRl92fZCJ
jgCOmq6778XFfpkdyjpJCSGMeAGg6YdLgZpPZM9JpvyLcnR7iarO+OOOBcilvpvvbdoAZ0whN5ji
5ntZaSgl1hsK8DtMM/rZVcZ8Ty+22raQBbdaM1/krMp7v+ek7/z5Sx/8hbG2W71kKbipXo4tyEKY
T3Wc6LvZ1N87yaxKW0NXukUDw9FCrzengX+e5fSblM3oPpDB67Wt8M9zDgMI3FreXSms4vaq3FQG
/9aiHL09Sr21Mbx0XCzV/GWS8XVgMSlZS6E/lXObR7VjrMswmsZ+BvB6XZ5Tl8mQZhUmObB0B2nF
3y9GOh3sdMBZuxgdwJ08Z4KPDk2J2XhVVXc/Z07U1ZDrGAghllfar0GVR02K73jwCWD3jHcrY4BU
OqV1SUFg7d1+xeve6oP9WwUkqdlLgEE2N7dlxhx/U+utuYXi+HmV7dmG8S/Znrve+/vweu/vc6JV
F0d16V5Iuz3V82TRECx/IeWfT9cbkSMH//twTkFCpEXQh2VrjmcfEb/E5YfIwOlPZV9TieZ8DIuz
5xJyGzcyOGiOuxz0SUSzILEzXwPqcnbKJSQz7mae8793//lRYv7rRd1gJbxofWz4Fq2j613MayBp
aBKT7jRVp+vNvCZaXu81yiCk5N8Pr8/Ffubh9lhfHRctZHkN6NI/L09k5W+pj1+v/5+/Gp+u99rZ
KrfQP5MN4QccHbFlFWG8/tFptSGN641cXUl/b8og0gOB3qttgS8tfJEYd7jpaPPuRzZsYJuM6hCv
fyPN1zeweq0czyDiM22f6sVVxzmTSARM/cFMwOUYJbx+a70xp7499b3A0369q5bgf+9eH19v3NWX
dL1nFFl6asrQwFq0Z3P4PF3fiL7aiv95Y56cYIEb1r/e4/XJpqsQYP77OZJ8oIYVI3gej1hDa+Tw
sEhlPP19eL0nrJz3wta2Pf1z9z9+Dg6d3Ch0DqFsF/b4VB7y9PdGmw3kk674c/3ybdRjp9wFQAuj
k1i+oLYSIhRXZ9r6uf29yXxyO/8+/G8v8Rw7gMLw7//v+hrt37/rnx/3BXpge+TSPyYcZgDzqULW
u8X6B+zVi3Z9+Pfm+lxMywTT3395zfXHXZqwNI7QR1cJrNVbbx5Owy2/Fydcr3X/5+bvc1zgXy0/
0LYunpWTKSTZtFwJIB8JnALrVwVk/J97/+05tIy3yATdnUMEFPHwHaJeZon9yelx0Olleriefn9v
yqxHaPX3nLv+pEzTHmcEiQzXI/t6oPuV4oP8+1gHun3s5AFaPW08sZ4G45o1e32FlxBDS0nH43+e
7N0V6Ey6c69w7Lt7f0Eu/PfGWA+pvw+v98hD+/9e8t/+t+tz5bpc/P19/+11+EsYGdjIea7n+vVk
pDsBFBFkKG9ely7DLKfeT+v3JeBMn673/t78x3NSULG4njQoTowvm8smU8Hr+pmdK1lUTC5Z6K7H
dpe7RtjUZBIWUpk7Qixv+/Vwux6Xf2+uh/f18Lo+d314vfcfz/X5ynXvmXphzo5TNnpX92Q3QMHX
UbNf14S/S8j1nuzLj6BLp62mr76S4k8wuFSprcHWrOo/rUq8p3UXlrWfovRh8mMBy4YgpiKij+JD
3pvf02zaIROeYyGJiAVBW0QoMSLltv0NDbbfiBrZsOt4qpRm7+aBv7WSaWWwxsMuCfmHE/kZeUUU
aTMfBIEkE/CvFiXutmTxoqfdw3mzquMykSQ003Ysp+xXJ1DAJUHqY4tAV+wwc0ERM+6atRZybdSv
yIE+QZQxIZfAMBbHZpNmTWFCob3VsFxug0D/PdqiPadBdZauvVxQjf7G3A45MbbtbZ9kD3Ymx+dZ
+A9LAPPX6hizAF2RYJk23YDRYyImdErKb68DM2TU2kUBfdqabXMcDGeJBkt/TFjqwy4w5lD68qb1
qPIJfIbXJoso6Jv21OYIYSUCllkIpouDTuhpk5wsXDlkX4mLssu3vGWnYflOGUKtbRga1nVx1yC1
iEwNMhg0T0UTeo9cNd5I5NZna/pNqpl1rlxI+PpCDX2zKFmHKU7rjcaQrctAmDQWB4frjNte8W1Q
f8jIlh8IZv1noeldFJsTB3MbQLnWiTf2C0+ujFTii8DhbDKN2YjI3cMwgeMkGC+aZloilIBp7Aav
yZKggfcvSCePHXaJIXfHCPbsr7ib4TXWR1uDm8UFnyadWYY9XBFoGCs/RQPNMCwdcEExpue60Z2N
ED0cdtMaDnVRv6CGpJsAYH1DA2lneaO1YcS81QwzJnY+GlIkRGMA6URSdY6B3At/cELdtAwGACjE
9KIrI4fs40uWtfc+vePO0ciWKFuWR9fOnoqqvNGqqTyQHpt5PZnR7qhfZF28uk2ToCBNya4dB4g1
M0rtPLv3Neehz0Z6XXHyzqCt3nTNcuNrgNtci0TANtOMi91Vdw7Tj/20unj5WsxQCYS+eT1iPHD6
o4GthtxkRls9phHMeQJEo7Xve7ISNhgpx4NJFNyp8xP31FYz0/isMRmZeWBLaZ4R+YNk1VefiU3y
eRIQtbg62+VUPBgy6RHI02V1NPFkzhHrPUVBRwLC4hTHEl0szYl5S1JEE/X5wlZVot0YqUIiJ1fn
wR3/eLZbnGXW9+e+NT51eyrgxWj5nrMlD3NHMoqNY0Ji8TyExH2ikLTuArPqDqmDo0J3ONJmZNUd
gVLJbJEh0ke6QoGMpZtA37KA5ZfwScLrC9Pyc5pLibokn9hzZN2BYJuN7fr85kDPtwVY1VCrAxtA
MjV7bl2UlxCIMG9jPwm2aRkPe/uPDMSLEG68mxKyP4RMN0vdgb40yPdtnDhlgWlBauQuRuBKf9Cg
K4+tY0dEQX31NGJZlswAReuCc1A1v+OSsSUHCsbimcCjKciJdpS6s198eBw+Vca26+KzYRTV1hyr
P1YNxLQC9u8F72aspoO7Kj3cJ0H3+4DvKnJ6yok5ffFkDUtew4DUzmV7lyigynYeY7AW+e/ELPha
5GyvMLv3DmvQ3laIJklGSfP2vhwVMTmL95nNzgfHZLcR1ZBvc6ZVReUGB9k8ZDVZARkumVWUK/XW
R4yVk9++PpMTB1AwkI8Gh9JcMiMhhVZURL1NZnCPG+AjTmJz53tFpE/ep0HAt1hGMJRLswuCbMf1
c2VNAmmcADNm8sYWdLCAiKN/w4Rs2MXtAk4xqj1i03zXuNVEhkvIrxgDrdJu1m1rsatDJowPo2z2
VF7V2dG8U0uxkM8aRJ6KMZcoWP/Sdn5x4wnpshXwjdEnz3HbDgU+ntJhg9qg/w6n5r7z5aU07W9Y
9VnoUS1EeXMiP4rpVNf8UnH61vUWvS/NeemW2gW7V9ahmopvTTnlid0cnN6yWIjuleN2tOd8by4N
Up9q1y7GdJYOSefdKBmewhW+sXKOM6CyVd4/yri9iTu3OVZThzMwqL/tbkjv3NY/9tVT5XvBoQ30
5GBxxcUeFmkO8sKsK91tmvs4EwmjF9pRYX8/MeE4xNNPQrdBH/PnTNnTdmkMLLflDJHYRGcJbjUM
suyGYdo806KKffZhgb9VzUD02+pKwJHFZfbLZwB18XD8NY11N2hM2ZM0mUNqw+8G/h7HRdqRJ+UD
NPd5yNFthCm/UQ6TWHNw2SFBJD6q8nnWftd4tvsFMbzjWW+uPyhyPXxOLKFHDaGmlSmrzTL8dBxT
iwJVSKpeGokd4kUVMp73N4UxOvuxJnM3lTDbPbgA9RfxI1+2ob/KrtsVXT4d2bbQDHVcwAYIik+5
twwY7SuOOoJCyDeH1XwYVbBEDoME6F6VtsW/WwHxNxjw+dYL5qqtwinBRRN7ODgIAmX2zYQKWvOK
dGePKt8mvoNEOfEYx8qmPUwM6zDXwnGbdFwkhOogr0o0gklEviaGvpe564VWT0SF5Zx7srEPovXe
HToSjC1NHTpP81BlIuqMgMW1kk/ZAMecTG5deQLC/w52B7z+CT9wChDN0OhQ2MGLSXNik9rpuypr
XP3ZGIdtyDobkC5viOMCruJgIWLdpISTREEl9VNc5qQQ0VHqKPQYoW1rtS1b/aF3WWflAKCa4Ep2
QkW9xTKzd0bn3ObmEDW5M5512jGk3KJkaVuTT1Rr/Z05D+9otZp9ZUKM0FhHOm1+WKd/zA9wNzoj
SlLXsF/6hnWUnrAMBa7exgMcJ4iQAEl3wqCJ2dsBClFO7QutSfbOAKa9KUBPVmFfz4SJ12TB151X
3kul2z/TD30lIySBTJEKob6nYZQXjZH0pjVdb2eT7c2KgZNKmyjyjU5umaAyEpj8jSqsYK9mFSCB
O5nkWm45O3/qSX3WI2F8Y0ZwjpE4t6CLMBNAsHQt/y62BNoPychfW/zXFG3gudFz+uC5iLCKmfeq
2/itNxyuIR522WPnX/Bfua6Ff56E+ZZ/EVe8JNhhyoEpa+yCpF/2YlQvWuFv7TrodnN8srWv2nO+
FXpfhrEW1IUa7wa9a7WK/KyJoVOWTXvHyMvdMhRv6PeIXwzooCD/hLRXDV+0ugnkoAjZpo91HIO5
mI2OXN1LS6MvrNrm2RfmV5PWf/wi+IMXGzI8IrJZ+Uak1zsulgc1NhPAX39AtkFiWxB4HjWMttXb
gchvo0HHmn5Xeoxlmgrk7KyWyFrV7L7mgJYve8LK6z8TSPyb2e9JJAowy1Q+kHEmgi2oDqy3jM33
9RAD++eDydPqxicCeQv+X4VxNT0PAItwvz0unbwnrOR7otd/6Hz3GHii2NVjD7elHZYDwNwniOOf
2qDsbZEu7xOf1E5apDGsAcIWAWJzuXcz2DclcpJIVm9AR38ayRFOZBZG0GVF76f7waXFpelym6f2
xUC/GuEHrEJ6eZ5rmpGxlDcdcYlh49tcRXNvNxpsibmIXJhXn5mBv+RlDMIumT5GLMTRYDbTHVu8
Jx3yOIvXMOylEeAfddp4b+bGGkufQwgYjHI/sLKEQmNIptzsIxGS0VkGXH32nWiubDrgDu+teI7t
xoo8UpM3rZ2dSbc8K3bL26GKvzEVu5FbpJAz6sm/+GWybEuRaRFhKLt0scMa8PUpthoLN6T9PHTV
TT8vXkQm52uPTAC4PoQteIzgRXo4vkQk845Ihy7tmf050eSO0qeoGKjaVKIf2AVM26BDUjkVBMVC
qtBOVUFVgVSKoVjZByDQuFIz7Nj6wVxd1vEgYlf8mUA1L25zh1X9lopZPPg+Uj1+Z7ntO/mmm+S+
9OQ26SbguYPeag51ZByHoz9iZotrwkFNYlxHDTmxcoJDT6Sakpm9G9cSTKDIOlqSjZAuvoQYuhtV
Zh+kov4KWtjrdLTMOnM3qURjMKwqk7LR/gjpJTs4o19ZXZ5klBEoRVFb3NqpgfzR0Com086TQSIV
woH0a2ompKcEtG1bcV+uW3jPUzszdl4sOSIdUmQfTXOBjlMF1XZq7Vuf3v0eyfW+l+j6Fla6lCTf
s5cH98hYdwBf7+REzvQ4k8tAnHOOiIX+yeS8KF2h/lX2rSdSYoCk68AaiD+agdDOqnFW5LXcEWMG
Iq313zsliC0eWLPBQ1QIBac05h34UPqmAeuFMFDmsWlkQuyeig4qf9vDi2wdOlFOQ/iF8JjsdrCZ
l8F8tzitA/k+D366q/TU2+mz0Yb6AKunL8k3Q1WKRI6xdo2P/RiU7pkGLiC+cm7uUGjfilIBy60C
d8dUcg4TQz4lor8R0rQ2jfWHwA8LC//0ElvueIPC8Lz+585O++RN/GnGMmVUkZq19XUu4P6kqshH
POv8zDY7XU65z4yI+n1GvPsGUFF1bPrO3ytJc1kE59Rg0TFzMDWelxxtIAXeUM9UGKQnUhJvG825
mFVDmdNfOKffUDz3gEnqj6Z5b32XhpkSb20jvwo16NiHqewXt3h98qp24tKRIaBQVXJp58+RbjtN
Xfr7nu5V2+yZDTqnvGsSSvahIQlpYys9thkiAtbjD6+kUTE69iFxAmKuc7Qvg/4wDjlKAZuRw2p4
axxbnj1JiYEzZTtiATgwiCvCLm0ewPfo0drH3s0qf2xNsu0LhDQca0sUN+LLVeKb+CUt8hh9R2Zv
PieSSRRKu2nXDIqTphw2+QJW1V9N4NCEkN4VoZ60wEkXJuBMGj57SzOIBmw+2au+ks7Xbs00OE4d
M5wyS9pN76EWpeOFi4dTObGo96um25dD/5LX5RNMReJ3SyMaBjLP5zm7WzostbCaTFyr+Gey3dQE
70435aHbr9waF52y33h/Auc+15d4z/TlVPGVM3fkejYKbT743bBvzHzYMW1m4EQhNk/2wAka1+j9
LJN/a6kdvCJ41WwfHZjN5CQADL/NzcYLg767xziVUcrHTJ2JrR3suxT74rryvjvC+tXNZAiMhJFs
ZaaQ5+muHbHPKojIQ4duajm1v3gn/iXdxVP8mQ/1/exUdzkCrL3XHHptVfDif3rDGnfRAV2MbiC+
Yim+RrQrhHiwOseaLQEnzWckf6DDnMLdS19hLwBhHgkbLk3am0+VaT4HRfO+sPvZQNo6rSgcQKdq
uDGRXIS9J38yEU+YzBpCbev0BYxYdy8YpWORuBEBbqna4vKb5OzaPXSOhEOUCOyITYHvt5kJiWEf
lhuEqhp5yAGFv8kQMdsMFewCc0mxzBD/2RH85+oVmZ2EZlk2PLDGMZiSAgNCtHNDlJR/YE6zYS7G
aCbAv8v4DCWK/2JqxkztI2jd+PotdqwCm3JnHZY3nSyRbV5P73ozl3ecpHfuJL7wzIujYJfXIQRh
Oa53wrTfsDdmniwYUFNeNw2OXSHwdgrW8SMlH0tgjJuE1mGtRkJu6loCvXTOM+c+OzGuRuMaKFGV
5KrhfT2sulajrW6T2tX5+hCSL9h0mvKaEhua9miHo4DHp6Xpq4rZtAI297AKcwGmRngylt/5EjxV
AyknrlMLLFEeWUeZNWyzDnPx1Frtme4VwHy7eMr7+ZmBdULmnqL/l6HIyK3QMMb8rKlGj8jDKCIf
eSTXLALZEUNHQ0AYSFE2NGB6cnXaOWIY+Yseiheio25IUZgYnyfGye3y+qDy5l7W1JTMVR5TZ4fE
vguVbHwGmfV2MAl47aygZguDPEaV7iVrDVZNgCQt39+I2B89BTJ+y4QGpvuM9GeTVbw1bvsVfwMO
ign9uNyJ2U4ixW4/rHzd3HLxfUu7FKGnneQhyPtvqDj0Rqdm3zX4UuaFsHb8jBeHFo7pT8OT5um3
wiYlOElgTbjTd+AKYrd78UKOyi/NVNYD149xKeVjzrevIVw4K77rUVT+oSW0OlCF8+BYDUNhotID
2olAVNz7pGDbanbfusNOFXn3FKKius8K1mcdNvwJkA3IJfY/tSn0AxLyeucWRHzrRGGR4aiiyTf9
UCKk3tpqh+id7d6S38TEW6Y2TEsPtFU8vJMm4m88B5uoaEfyaLX4PV6CWycgiI+UFfqyZDgPxRaO
8r1O42kLsW3PWlIRdOcWN8yp2QYn2NY603qvB/0tSfMTomQTPTXxNYMLTSJV0KoruUN6cvbaXpxs
v+13yGBRtiMTLLM4uM1lyibMAYbWTMWhc1EaiHEElsdB2Flq2Fp5yRpaOXGod3AJcbHSGXT2CLOT
c18UNL3w+Y0T8qSR1ihhne9TRcZgha6wr7HE0MuhLPA39HWSw5DQCrJaeix4x9Azs9FVGWp1pAvG
SnIkpRscw2AbhBmAw8JMYd1mlnduDdAKeXkTzOS+L/SldrRcuDBN4jdx6PONNX5XVVChHlrDgdRz
3rQqtApaGX1m4GAqXvyRlTarc2zfatsWMEdKUzRcmgU4udh9dit7JCSjymjs6h9xavA6OAeLWo07
gQtXLh7ckPCLemM0tb1zbOI8m8DTth40POqX8UNDSx0FcVZsjLx4WSzQbbnEaxssPoo78pGjjqgF
uPPlvhpzTuGFNq/hShteTvUNeBzBYtK1NBVJxeqltDfsd6JBLfsON9GuoPSl1i/tRz8Yd0HbkXAF
KaK0axHqVrbbpWP52zJrg8Le2uQq3jsu8YmE/Lgb2xpvVVW8pb3dEZ89vJH5t+cbKszRe9A0982v
/B3A+eGN8LUDRUi/cYeyumA2PIrBs7d+X0QDk4ojHOGcKwx4Rrb9kHgzyjJpIxFEf6XTJU8r5T3G
5gvhTJ/NhPTB4+DcOcn0xyzsZpeRTUXSG03ZPNYP/kqKypPFCke729iVZYU+Ka3hlVoDxuGH5LtD
GaPuc1vhYmvTntsCnkrtjwrFc8/UOWC30foi0pdA3qd1bO4LH4dkiS14yk3vGOjxiSPDOJVevq06
Tixdlvo+AwSYLNoftv/ioy7TLRfyB7/QP90ZzsrcpLeKtOTA9bcLYI+TEeR32QRGB+rBrwZ/aIS6
6xkLfxt2tCJSNDhRUcS/SaD55ZskTfOFXEyndI85ZCi/s8Dv+ey5YKbU0NfSfJ9r6jcWz18Cpu5d
NS8Xx/QH6DIkMypbO9Y0bG59JFVQ5fiY2DfUy8GuCbbSbdwXJtZhVTJ26AMVsgHH75Ha85YIUy1k
w5VJasK4eGiT5UlYVnAICvE940KK02Dao4U1DoUITDKyGzfC0w9gJZxGzMKp81g2/NnFLGmH2b5F
UzZ7QIsP4lDQbbLHIcSpNhwyTiJsFcS/Ze7eEkwYTc/5ydoeEcPwwuDJiPyBqDYJRWQuuTODrAGA
dZuRnb7h4laFejWQo8d0Zm9W9oOYhk+O7ekJPf5WmONlaPP6ViPsYAkQgWcx84narfKT4+g7j5jF
g8Z5lNJPQm3nBpFQXOeVu6yR0NDUXKj1C9ImQGccoBMSSllQAjqCbZ82DC+DXaqNGuKA727oQuzZ
2IGG26TS8ntduLfKMdu9ShyitxdgKEojGzGdAmC0CzkHoi92vZp7+iPiV2alHT2/Wh4rm9kQPW1m
ZvWmdRmhrs36gbyhOY/pvDsWDqHkSU01jsUYo5aZzQjG2SLsQM7rG9VyGKRec0QxxpUw1YDaxz8e
G3vMTLQ1AXgAMMubktzw3P6EyPtBEQf+Dn0EcTgggJGthmZBfZQ0TliV+oeGvzyqSawLbeYh69TJ
ph0/rn4U9Au5oR+Bd5KBCjYKLBx42ohQSCYJ2E0iEoHLI7tUeNW9BwGE3gmTvq+xZv7jjADYF1TP
Y8uRsLZ7hj6qvJjePfmAoeXamNahZaCcJuitPxbQHl6oP343NjJKfWw0usX5BzoQBT7Yfi/Y/25E
R0VguN0lrbUvoZN7k0Zp0VWXzvROZufUEQxeCHgeW9BgIJoTC032REv3IqfxF96PiVAwc2OYuIVc
F79OAdv9AosyEiapgQTN7VEnHrKsY8cArnjjI1Ry8jm5oymxA4Kphb6HYEkEzQ82D6Bkmgz2rWYm
x6WCpDh0MV9yMFGV8HUwFKCb0oLoH+f2nAxEUtoLTsl22S2V94WDsX1NEOhBsSq2DgxdPiImwGkm
t4vXlBc+ULlB/elvArrgEZb6N2uinmEM2++NhPiaqiUc2qjGM86AfY9tJuuoPDOuN3v85ypypZxD
ha95s+R8oMoz8NQknsXMyLpdivwnWWhnEl/XkHV2ybSEZrBdPpbRYpREeJEPRsfAiHcqmcGJoVdv
RLDLUJ3gejRpVmg/hdkkcOqb4iVzzPFYApOtR7yAjDg+8KWxJWJMnjUp4bdz9aR0wULkvU+BX97r
DYf75BLXmpk4GmMxvfm2H/7RU/bH6P30LXkfB29R9aUe+AzLiW6Q6WFrqCv30Al2lIqELvpN/m3u
9Dj8Cv0tMKDOGOVwrix9udMcLm8zoLXcYaOciPHcmlaxTyfWyy6GEJzkfEXCcA0iq4W3yWfiGzKL
e5pLGaMRC9k4RXyoMJreIVsHcq3nuyCraM/VDEvnSqmDcJ0K+HB8m8pql87QA3wKbNfuBIb0gFRx
h872yBgQQKqCvg4Fm/lnFo3sYYw6cW/ihRI5dxnzJVBngR+PwPxsiT2dWLwonfIMM76foxAlkyyp
E8QC3dHPtYDvF0I/tlPyBjnL2KA0IEELzhfl7ZbedzY5Ey++goohYzGL25UKzbY8jnUuSQRioS/I
n8pROKcBTxupoyanxLIwLJD1xqvshXIXUWqXjXeaDtSZpOxXT6X1azzGUYcclkFC+0Mk2EVNvTjY
iAFDNdyNxqyeYavstOC6OBzMngOgIqeDldaD0FftWzAAgovj5OfbLCCDqnrriCkNTROA86wvN/3g
H0usWZtEOv42t5f97DSwW9KqjpKYTL8JdMt+qtha+VIUl2mXWMmxG4eA3sdLOUjaxc0PCEXnYWqz
fdo7KirY8QIbT/+wiQTjOJQqYttabuapKw7U52EiWDmULu1XUbc/sSZvhsmanlQ33iK5/bGqcbol
Sw/uw4IdVGcQR1BTf9diP9A517ZG7anQL5njrYhgEoHy+95Lflh8ZBiM6ypuZN1RN/MItwrYZc3n
itKTYQxa4cnWVXOmsAHVUWIy97LGP8ysk6eEDQ32vgFQqw4jq+m5EKAvYDgyHXFPwmp2xPwwL7RH
ND+KNUblTFAYt+dlFfp9+cuIB8k2zyPChHnBqIcg+Vw6EvBSkSOTSefOt31BkaHyGMwn8w8jsHeN
XCkXPTrkobPSyzIwrNU0yjx3AK4nzYtC5riZsmnczaRomWsUJ1aEFYUxPXAaiAtUtZ+xNbHeDaYE
TRtg+l5ezGD45Q79CbPEWzP0d3Q27EiPxXwYTfejqsmIrONc23eK0QklSBcughj3RVlHjaW1F0t/
o8/ylXDWjc6F8BZ3zIYLn9zDvsVpbZYHRNXpE/M6kY9kzzZiimb1Ojp19kxbB1mJwOrrJwSCJP0T
aJCvbmZfMRrasBHDmQ39VhRIe0qTNwb10w1zL3WOmQZrsNSWh5kiaoMw8YnWwrzB5/Qggxy5xVhf
2IBu8p7UDmcZdylNuGikJsKJWZtRpRclEXdnwI+3lVPRgYEsWwUl097SQKi5UvR8wnuAcDGTtEfv
sGBmaxefvlFFsGW6soIC6p4Jw4BGB2pR1U5ftO8ghoQ3t28wCzh9W7bUdMhtiGKTIGowp4B3sRS1
ifWYmshouoY5nmofEaYPG3JWQDQQDg8PIm+KJKIyYd1q6OQC8kNDPC1l2Eiaxk6PpaeWNILnEqc4
UvmzDOaBlTIpdqa3xEgpQMeQHMDoiZlZDFfnxh21U2yPEG81uvdQSigsY5JHVaEdLWKGzllWSQA6
Q3/QY+/JMbPxnLTzKVf5BPEzcR+qdl3wEnixDZbhxKFzp2qLOJuEMYLI3EvvAz0rFRVGlf1Oer/9
1IV4XSzmQlnZ8AmQdctJsdEdeoz6gKR9yLILRJuzyx7vSKV+74rymdryttX6mpUpZ3uKgU2xRS01
T0UekRd7vSdqmlMYrSzpzdR55l4nQzFpkMEbg1bufY8NU8W4/Zx0DR0AdBNhV3FlgzvbUweReIO7
Jt22c/FbLzkAnQzdelsDVsMhXR1KI7vnr8EF66Ef6NToe/uxyQnc0Ti93jMx3lqV1eNPcEFLPur1
XN+JiouQR+xHHvvOEaVqS2bSsHc7993zzSxqfe8TqL4Zkn3+NWizH5oYO3baCB6T+d+yx9EeUYUw
pWqT+yV7LSvNeayXweNd8576tdei1frPIrISynN9NrzHIDgS78ReW0OlFxfTaXTYJflO656zwfrO
Y/RQtnKbfe1rwVaWCeCAbHrJbMpvyfCJbnKWv/wD9btA6sSpWvv1nYWNN1okZXn2PySd2XLbSBZE
vwgRBVQVlleS4E5Ruyy9ICzZjX3f8fVz4HlxuNszbpvEcitv5kk9a6bJ4rmhUtB6iaYBb/ac/UZH
D5k5rf/cMceWIountBxuUT0AsmVbtvU0Di13sd29wzmRZ7Hju1U/XuORisuB8h1ylc19XKgMGguL
Dkb7Xptzxtq2+a2J7/PXnT7M9eEsg+Ditau2BwAfdexdGU61n8P+kJnjs8kZ4MQ4w2PYXZpLPQIT
GOn12grDAX+YJt62LU9jb1p3czSGm1ifPw1jXBzWk6/yEPxqUIZP0MZ2zXjSfP0/unJQQhYcBBQI
/bZzrhYRbNE6QPv1qnv2Vnl+rkOEDgXGKY/L45DRmg4e/N6bHODsRQD1HXR7zuSU7oVi3YbNfZtH
w7Mxju43icSPGZroMBX59zLIYwGefFWIyqeq7u7FXxFOdL/N5XEWgc/W5CeowONrEJfVaAMW8V4J
q/enJQy4uWcKosyhOorV2QtQCp8jfi3fo/SoS7v5qQv6G7Had0qhxAsPK6CPFJP5DlPEtprz+j5a
5bviPkYfyPzeHwIOmq6tws04dn+yTp77eQ5OJWc9k3UqmlSb0OAwyk1N43WfueM+MxGmMhDctrWQ
hsJ/niAqbYz1HB8W4o9HTILJjbh4bRWI99nXWGKwQ0TbNV58qRbxNVgXazDGIwus4GkE3LBhpcfZ
BRMV+uma2C/UD5cPdHjXZzt/Fy3ZrxIE4AuJ3WNFNxxjUsjPCi5pMCVbIxqfIgAoR7vOsr1XuzFu
IFHsSs6hZ3x91KBRFL7rUuWQttHlvm77z4UVNQb6Tzwx017OwQdAVB47uGP9JeLVmtvVh46tHLy/
88tWHRRXW59MSoZZDekrzKF9DIsd7ZTGg9gJ8QF5/N/mRupjOeFuRWg/5t7sV7o2z1wR3CsJixRK
OX51CycNdrCRAX3DDVnUVcU+z4fmSI35uXLIAReB/o6JB3LUQH9NW9ouasM9BTDuV5M6/M9Y4P6c
xG+Z4GuTfdxhb0UXQSQyVTP5NaF7IsU2O5DogGM+u9Dz8t4VssOButUq1pdFegjZVndwFuuA1HYU
8Iy6Nv9pMqLnQnwtlmCL3fNUj1CxeTiIWNl3GihQlERJ0yXQZB+h9AdkBOfrEBllYPCGjAKpLtSQ
9u0jK6yB+8se9u+CzmV6lbsNFTk1yNyZd0PU/Eqa6N0OUYMHMPf+HBV7KH7CBzpFNIihzLO7Lwyc
LeYOwH5ejlnKTvaOYXwHKTtpl1KPUfavA1vjfefl70oPL6Ew8m1pGK9RJPNdH0NjWsPaGwvk4DYv
XoMA2k4HS8l8st0+OkQ9KVhLHhtGyo20I5dyKDe+CKBSSQMY0zHQ2HC6xinbnYCn5tbzYJ8aiT5F
8BB30zpN5MRTN5Hp2nszMF8Jduh3PaAIyygNr4V2BiIWBqRbTj6ltu6cL8WBlrfvgkvo0Gm2tmwW
H2gduyZh+Tu3lxb3DdblZKSL/jfieIV77LVdPSZ5VFv7jqkhCpflMAqmNiUQ3TL9YYwpZzZ8gdso
7B40qjdlcy9U4YbcH/oEtafbce5fdk6FSWQY2298Cu8qavwKUY1dJvUadTMWuzo9VzL8VrFzy7Fk
YkFfLq2MKXIY9Q+5cVauZsREK8tL5UZnoOf4Vw8e2PDZ5tqsDVYJ9cTrBFPoA2Ipf+os63yF0wZZ
OnyPmcT9MF8ln2SoNqotl+PQy/+o2S75tOf/yBg+CsXEGcrhb28k6wp7Gih7GR5BIkRXzLqH2BGF
35gcHONo+C9Rw4eYs3QvLYPQab86XinCJNl3x0dqAi6husmQPZXd9OJCMtSXvM0Juqo3VH80JEIT
m7WuYKMq/OggycQGghJzsYBWxF7mFCsK5xjSlS9aFsoxtKg15gtGaiaYA74Rdz/TbJFt9WLSezUQ
uM61OA8U66RjsqNGQqJ4ukSxymln1hYBcfBB4dB3nFU1Trek+kny8D870yFylvtUivo5ieLvIiAL
MIzBG8HA+r3vxDdsx+WBY/3A+SLUnDNgLjFa2RSA1s9INy7G4qjfimXoDkmrRmRg7Gq0x7W4I5ro
IGJ6MFrqDHF0DS+GITeiDgaIKVV6qDzE+BnO0n6w6z91a/eHasjbG3LztlcYNWAcc3Zb6V+A8898
99+dN2X+FJw5Mhp+OEXJvqk94wz+8y32goe+6t6cMuJVV4/bwY5ePBUFV63xYXQ5/vF1CTgzP1DU
UnL8QXRShLgYL1iyoDhgGLk6ToTVYO4vIRGTXe8UhwzGwg7GLD6S2fm7d/L5SU6WvDgoiXt7qLa9
E+V/DO44GWV/ZRLLKwSL0q2bCwLfqlIGwHkjj4Ms33xQR9XFi82XCcH+PDXj5TZhBkf1jKcdAibu
YSIwmNJRDLvfddNwuBPdnw7rYFAp8zaYk3uGSvw9Fn+jebVEEeTb2rYx7Iv5HeQBZ6uFEc/mybRL
po5fw9V4kBqNgmBk5+solHsr+8iShCiWp6m90uaVhT+dU0Q5N1Bow1MRFW/ubNITGtzbxn0JdYMZ
lExJ2Ik/hhsnh0mZrwwq/bF3PDpbLeH3hult7Xz4LrCzX2Asam6MuQWMy9Y9babTothOSmJllA8S
TO3aTQkdchsIED41k7ZCZKNHkUutjuStSpOb0uIYu15/hyIHNxai894emW6mmdbF1HooUSB7WBOt
3IRNJf2onpCwcfxtwggtvpvmibsXngMqjTvJT5sdrmDOuYH90huVMatl9k4XHeFaCwNzn83HlMej
7XX7kpw1+458zwE19r0QfC9L+7+TeyxdC19iARvXmjFRwYZ3Z65+L/wsXaCsU2OyweXAHZXAuFQi
byGlSUkl3sGfe9jf5gccMG1Tk42Z2XKtJuQKK4IRAn+leVIM3h06zaFcanb4M25WivuinABWZB6m
AuIMerK9jdPgyuRvnMfGqq4DxS+ix6Cp+vJNNeEHD22+S7uM9pWXMvrwl+GljyM3NY9YO9ptMbah
j+NT66F/nGksQNyc0zPAaeM0W86vKAt5XuI9ypCV/FBV9plZPMn6+TIaBYzfUzEtFOUyEFKOKg98
cbY/5fY2iI0XNXoCXXW6x8CMMORi0wKBWOCZqo0UGX99wjlSXIU3v6CSpvu8bh9TfoLwkW/HutmV
WWJc4gTkh+6ycEs4uyHwTMvFPIEBH6LkdeHku6ki4hM107F0MKjD+nheA8iburJIi3j54I+4KUw9
34lPeFuzNX7mAeNZOdXcHangNTQvC17Y8l2rojzMQgBr619hiEZnIbt9Q0P1PvbEF8cg+2ouUO1r
AZwh7rPyiNrCJEQM4tFpBY66Tl1J+Yx7J6gtvxzt58HhZcXeO6+7j1wbPm4/4Eplx6fPxtRLs4Mw
pxcVOOMlatjKlwRbtZxJHtTkctw24Vnvlv/1xt8ZxxXxf6p/J6wbXuRlHMqwWKar5GkN3bzn9Pqm
a1Gwc6fOzgkYW/LB3riOO10BPKco6UlIxUEWcqJJerVFva0BrSjv3B1xBHt3Db8g60/Z0tjPRjt5
AJ7xXrIvou5ONezPMX9l+YjHsuw2c1U91Q4+uiDm456IHhQ1H2e6sGzKYZEfAYNTx6VLrvou2uVr
Qz3jGAoUZbmeUtHjHOU7a+WspgamXOyhapvW4tG17YoQ89jTovFkhAqTHEtEfLYsIt1IvFgkHkCE
vcSJJpSO1+40eeFbkmOiW0wK1poSs42CC+7T1HfnnbkupuTWUFgKdTowfRisLqFW7UPgx9dMqE+H
TckvHHbVpfrnjR18Pn5cE0VIMathvfWLWzw1Xo7og8+sG80LfF7MD1PynDokerzG3CZ4UVmlBaeh
LkFAqOZRk73liR6wgSlzBzs4ViWtgp8lsPpdgckmKutHHNT1yczml4bDCSa7JKXCA+saw2tQY0ww
JMcL3THHK0qWHWz4YD1zlyxZlybhtjLyr2bJBQ4idnmZMb8tkDMqrPcnTqY+NV9LZ3+Iov8dzu2b
iR0L932BLTkHj1dkYc0clX6Eufq2Ym41N0mSk+7l1wK7+VZOEqk2BHm0hN6tT44OOgUWbXzYBZuZ
1H3NoOxQ95Dc0XhhZo7yUmF3j5L4JHKN12ft2A4nMyBJr0yQN2A/s6EfOTXjqrNX2ui/H6zuTdiT
cR0ERgJt2xwMuqY6ZOMCackqbi4b+B16WXMe5+RDDQklXYv+1h0pEa5kUnZJyQGzAYZXZl5/ppg2
J9s+HQKcIcemE79yS4ubMKZf9FV1nK5GTL1Oe0e67s4OEVCjYdXjLUnoO+Z4m3O0TVLpyY4zj7gm
k/hJ4/ItYUl4jsxO3ew/ODjtGxGJ35SEEDqccrWLam5qzCl7lKD/groLtgY1zNV0pdUv2kRRHzGq
Ve6d3kK2cSkNfsWa7LVD3wBzsi1jghetG79LlNKD8btAecBv1hz70QiQC2tBxjx8WkBspR5202zO
gZCRcZxsYlaUF9JaU7pnk0Q4d3P2XC9zzckafbGu+LyCJDqp2iEehk9ILQ57mq6GSgs2nCh656xV
ehlhnwX0vAlBshgmlkZ1PSJSltQRBXgUKEV7QGSzaLaYCr80k7Pd7AsvnD+YOJ4Uy8Br1aEYOBgX
OlwnrQ0XyptRD6XteFeRckRqHZkSTZzIVmJQgWmHaSGw4dhO2Xnh7JO8j0XSnOYlgmxAWfdFDtQZ
e9QBDbF7Z7dFVDAOwr0ZR/XNKz/+Pd/4k0nfmgbQRUzEm3zuTWLtQbtfGB6ZJa0flm+p3y7tEftl
5DcaD0nE8ykBR1JmZXErIt64YhAcbzfWVtbmjVtrnUSWkCrEtLtMFTBbabgAtqpz5AXjkWMDQOZ0
dHalieXO6wMiIWUcnJw1b5pPw6ftJPO29ChJGKJ5JSwfzGR6DdJwn7T9kds/PKWoE8ey7ji8ePoh
96rwUgu8nEsaX01YBXvZz38xX6Bv43Rt9V5k4k+EyMKWOGbDmML4Ruhy5GapnsYA5JfEn++XRWXs
G8PkmxVLy3GfGtFQv4WL+hYzNCrMSCE9jhBulP1L2qgOLTixRxxAXI22oFkzTNCHE/ClFdEMZtpz
Uq/9L2ZxoCAl3eSDU27yRjEFYCKnzP4xWSz50XQrASJ2CO6YvR8YZvjWodaCctDujknuLxV2zo5p
nqqZhlMutaIH9iNfhjvdrKI4qpiZxCIq4wTE/AP8NhsuD+mnCzrlbJOyKPuR2AHr9w23JIwT28xv
zN1+i0eDR7i9KxQ0Exev+EBm7Ta57uDzlp41pVthMDXHxbWOY4RpM4mAIkYB2ZwMr4Ejn7R2eRJM
5P2jxCDcx5YZPQq/he7qXe/ixa2cwse3yBQvF+mPo/crppfFDe5kzO84amgzK4g+sWMkiiMyic93
08Bu5WKcdy24pNu/HxZn2HVVHZ/A6jHpRGSiVPZghDN6OhGIa5faTxjnBNshEyNLbR273FC+mTM0
5P18DrvSvajhCv7oZATLfHFq+WU5Dj2zxn4sGNuDFMnYaKG+GcPBCmg1SKLov4oU0b6FIekTxUZe
qA1nh/fHPuZWZBDY8hqKUA5mZf4sIs7OsJHvWujxqXUw3JiWyVopRtDOM3Vev7z6gTsjwo/fU+Zk
PVMgzgFLF9euqDAwN+lESrahTtgOHqXKPpUpk5sc87+FyllXiS587ibvwfQmWqZki3+ByTMARnwI
suJPNw0fz51RZA+vLlGYPeUpDEssu9lOXoFIu7sqd0YCiM2TLproJlmVwkHClRbinbIN9TZWtvD/
/cYdWExcVBUp7wrVzZy4iEezfcBanh6rcBo4PxuwIidoxpg3NlEjs7Oa0CPGOHuNqgnMZqhwsdvO
4FteTuI0aiasMHLvufUPeaWc1UrZ+XNpqathVrWPKa/dprK2WdpqoGU4LW0zu4UZ+6Fh4r4WDlpM
iZ1oQJyMHOiNLjuYihLYUSqLEwumC6+2cdHZ9C12qMxzjSu2ZRA/J1V6AuUvTk44kaOW7pHruQAO
p68tHug9Nb6F7zEaX3Ep7DE0Oxv0ajLIa4lkEmasYFyvPNk8VFC5AVjZAY2/LQjkqoNnVOn0pclT
+0LKqD56tialXBpEZYZPYUvn7MQe7zMrpr/A4OIgwcWDIZWbrhr1qTApWJy8dNq79CpfXKzSMDfZ
iHP+PrUu0JIiM49jX1snqwo+qw54yyhTRVysqfaZ5yLyBQNWyTXvhCdyWFlYvAwrOH+8c1fkXoNh
+dLzjt+Z49hsE8/7ozGPnGizxmkh/5uJZOxjukQOweT1CFFAcD3FR9YSmBctXmUZ4DULE+TZwD7p
QRSHRffJx2R9GiQqikziXUgojXAWH4w6H2gafCUM8Dwz2JMhVGymZfkNIwojXcKsD+H+Yob1sOcT
RvKu9l2Dt8QYRLsxit68ZFxtB1UmNJiFL83A2qB22mPQx3wxqTSYtJpwPdgsmHqdj3CN7ZVrUrpp
d0Z6dEE+b2oOoCR7eo0vuS53pK+o7+ZvNnLbY/o0D8nUG0T+NBl4M745lpVuNf3Jv3gm/tcukG+S
Vcub2mVX6zF4rtFlOqyRD7gFXLZEuxY++yMRTprmwhiXbmVfJisj72AQ/NBklDGvS/O8jL9SlG+A
35ITpaGtI/mkV7Y9mKmpuCVRjEc4YiLeeA64lNzJgwcq9Ch9CQStH3gnM8c+UgLdImrxPQclh6xA
n2U59Ue4sxbWNla+VotY2kA+vxgA91o21aemslajyFTuYIjwXB37zwgv8T6vkuZY9cZp4YY8imTA
KjQUxMJhg6uDMhRNzgwhZ+pzr0Esx7XzGhv8hOpgr4tVZef+0nrzrQxIx45he8iCqrwkNCGYoeMe
CY7MD2OF7aZt3XOlGxipdW5vtGWoQ8zpe8+N+eC2EDrpWppuBk0bNyIwFnF120e+lv5Arm69BcXJ
suBBcHs7nXkLi/WZUlCc/A9HurKlNypNNU4sSCkyeqBid9hV9XpIb1J3b2uKUWtpAmuOeF70xFyS
Wf0nAfrnZZa/8Mc4T1YsjjRpsJ6NkanI9GJ2b3bOK/yEHsWzvjmMnLfaGljERBYwNRybHEqrOIcj
UFNnpueOs8P86TLWhaNobgl3NNz8edizACVyN1Y3t8rPpPo8ZgEX6iCNzKD5AXNUDaUXWCKPdOmd
TPLNsFXWtDo37a4ShYeb2hWwJENr56QprhvP6W92Rwezyh1SrITzrck4jHVCKEe0e3tiT4YI9J9F
8AOPiKpfMeX9pv81/kw8Ss0SgossTB20i8HyebnwKB/3sxvdlIybP042XWTq/ESIQy/9io3gs09x
rX21vO8Ag+94m+D37bDla1r/8sxGvxGTulZ86MSbENbzvPTl7DwWLIRIq+e02on3mYf1u+QSPLSB
i22dJreLQ7B/lWFNPWEoMjs731v98Cua4yfbSJqDY3bdhaPzlzEm+NEiXhpujTHKwGFwBFlA1+9E
9VLmKvugg+mBM35vwJXbGl0DenZ2TyrSRImlNTyXzKs3bU8vabXcDIdbzoSwfsbXvHbVqFNlpp+t
HNtfxPxog7oVk06ekuzfgYPDiINSfXFGMjk9KvlhjioKjHN6K7HD8dtRFx5O8UXXkiazDH58S7Zq
lwQF+R9eS9lEZZ0xDNQSphjVW/O9UmHl1xlPhMZuyaFgkfTjGaezotBjH3cxdbMisQ+TuPVFMp/r
KfJrVacHEeRvZuYCfcsph5BjT1OmJlhOeSYAJ81CKHcqGq4lr9zFojBmxUYRPYJN4bX/LcxP+1xS
V6RJHRzGFYOhvIXl309BSZufOdDqMrM9w1UJzkm5fHcz7xfA0xUOfMOnkI4+BGG/WI7ZP4sUcnQe
9uItsMO72fX9Boi/3FYFm4N/1UZ5ccfwH73M8U8zgKRwsjC9GiSuLCu/OfOC+F/05b4SEvCGGCQv
w2KtkubWEuyxdsi6DiBP4ZdZ+qTRolxhe/eRuNO2BvSz48WKcFo7HxTHzbdMn/FhZMelkw8zCvdN
ROmF1iZ2MZFDEY3nnIahRMvF67iRzHfIvQByqlr/2JHV74ssIB5v8M3867Hqi6i+sDW5NavFAymP
GLQ8eAOSgFkdeJuXV818dLUS/GUEy9hojclpwhEy1O/Ymx6Rq8qD9DDLyABcLej659LtJaGA7sBU
Wh3iZE42UkzRMVBV5NvexCbyaso2vBfu8qKt0TxJe/xl2HZ2dy0oTINZ6QO4lGJfjjhg6vUMIvvu
vJiaF0/FvDnrbasRC0SeMoON6bXt/yzwGi6ObGgBlwX00bY+DljMnxxz8A4WFlsGG/IiI1sKpzZ+
4oA09RAy4GGxiNmPNd/TULv3fnA/W9qlkoQKHnh8E9de2NzVGJ7twZ0vhTTr+78fZMdaUhk95ene
X67Nikr14RhPbAe1CE4mZuHKCQI/HmMkS+qYLA3zwfAg/lLjsaMffXhqAb08mt2W2b8646op//8D
btUePXe4UuE6sy2MfsbcMC+KboAiHQhyCaayGljmRurJ9KkpEvd21L7Joe3q2bVBYDX7M9ptcZPZ
89hk4tKFDi2kYf/qslc/Ftk6bFu8WoxmIFhRjeVeOT1Eqj7YthLrQOw8WfhGJktkz6phOhq9EhQo
4mLDunlnJ7Z3cjRWi2mpPs2GbVudPwPOF1TK1vuy68LzpDiu2jwayMzql0Tf1m1DqgL3xDttAvyG
i8d4mPJ+uOb8gXxDOM+J4OmalG1/a/QEjpD06HgIqZ0+VCgPsdEdiCc1B6sPWXh6S3WwceFu4oBB
M11cqh46j+nICKptS6D8IIAF8/z1KBxMdLQHAbcvWz42xge91SFe2jrqjtno/FYu5ln4N8G2rFAe
1vZMklIkxJzg3Uwwj9GJ8KbWGTRg95U4bNx5EPbn3pywuGBYJVZ5dhT1K9MoMsykWO9bgQFLxneT
TWIvRHYJLDSwGbOwXv9DklM1AWOkDjfalVYDes7SNr9IBZUcrTO2wj+cXey9Ita+ae0Izkkz4wNd
o0KdFXxmWU6omdRSbLBis8L/csd5FPCmLvVc/F16UrcCICCYCZ0+ZWP4G79kx9OVRtvIyKFv446O
x/MUh/muLUy2ICO8yJ794sXAbhkVyUs3LPlJeLZE8jRqgCYB4QyjaEAUKIQri46edDiOwvM22YBK
TllYe1INHse2a0ghy7+4FJmrwDqgedDwHJLGBnKLMcsIlKSRYkP9if6Ukmhm0QfxYzeYw22en9Ih
HJj/MCzHbG6o/RkfFCjPKzSw9Ss1t4qFPcrelF4Un/Y2DYeJ1f34aWRIyGZjFDifJnsHnBkrnUud
4Ty1zxnhlXolSFYClXN0Xwq6lDj9YpFNOBHfeIj9JJ1D5h14kW4V8ua95ZnrNnP8YY9IVVmQvGYJ
oVT4B9lbaOnxloTNeFh/be7Uch9qPZBL/WEXSwB4ZsvMsFbuGdNmtPrsdyTQ9RScHQ6NUCjcGWe6
tMvaD1ha8VTTl6nB2QTC6FK2Cq+wUdiv3MKHaRkB2JoY/iJR+1mk38Ex7UvlcUnMtJW39uq76p0b
KvzezLzq5NJpyUk73WbZc8vTc6/1V9+n6VPD8pkMMAVGTUMD1tTTYq1KkPpaJ9rvxxB/n65g4Ljy
yaUcA0cD04hNHf1sFOUxNPUlFejbGM05rMZWv8lplTikNcSyIfpr5fMfEtPPTR0nR0TcAxbU6DKx
GdzwpgcIEvFh6YVvx7HXvGVClKkPRl5kjb0XMe1OjmyNa5xVI6bf/i3Q47BbhogjEpVj5MCsUzF7
KR7GrvQHeyEV2KvlYTHgqguqFRnKHrOiOVJOBc6xUU+g2m95LH7XXEKHQKXHcYnkNTCG9Ji12JVc
g1U4eG97T6TLeciH6uaM7XCd9XBbkiw9xiaxqTnw0MY8VnLkrrsLMJZ2F86pQbp4uqtq/gi0i6JD
WR1rkeIep2QAipUl2dtTsx1zIXh4XuIQ8l8XzK4/ZeO35WH1sOby3a7oTdaDyYTlYfEZg19h3ZDE
Ma34QNqQ6syI50reTm+ApVECcgOwsFnuAwveE81Dy7bLWzqy25B1GT0x9vpbGVDbsJq353mcPgCv
Ljh4dXTu1UOCPe0Lz1PVOMmdgQLhZAGPiWcO7EK0PJRDU0Lz0OQRw93SZH+dJDHg1Rcdti+Dl3TC
RcZ2Jn4sEs15yl13Wzx2wxUhKAnnpHH7yEvHfYQ4XxLhIrFaeOkLhgng2d5CzmPlGFgyS+5GVgLB
HeIcBzsLi3rl7DkQym5jlNOAmiwJShhjS1/PwdYtsnpHloWtZzDy+fPvEcVvSVlcUSVjn2/3K4wr
nPQpd3jTyUe5WHcOP+kT7kUFN2BfkepChic2mLglrpuB50EX6xc7Mtjjjv3FZG1zURnhmAafHZgz
ECLGtO0EeYy27n7b9CcGk8A4MbNEkmuDg1vnE7xsb+FYIMprj0tn3629Xrx91Fk1JNQKOiv8doyy
Qz/UH8h0fj3p12Yo+CzC6CVbEHKb4iiobN8UMboIPhWsoQQqQ3f8nvDISot93UBk6iFU82Nd0SHF
Q54qxvwQmzNGEaa+q1qswreJfO0ay7u2NaEFl+0xXpVM3CZNd8/cfjrOC2ForrVefWQULeTMG/0S
PPYZ60r6g96pv4GIqJpzNdvOOWobaEYycbdSVh/tah3kQQ7tapTVwfUK78VNWOiHgfFsmQaj7wq+
mrBy7ogJHVSVfEHc2Ia+N6YEe+iaPDehym5DguEscwL5YLbTinqSv9KOQGFQSOOlybhpMOT/jEtx
N4oq+lMvK34lLu9twbJuDLzmiWQZLW3Eak+wGLuXzPmYObw+CHOmqp1peN4v5jDQWTb9xs2WxWxB
u8nYOCPnDhiqNk6bRuzUDOaklJM+AUEejhmiDKebLDyjvryanKouTVzMBxIK/MfyNNhiNwh2Vkm3
hRmEwysRkccUKS22TfJ8yDq7agZcm/CY20+t0/M6sWKfqMywo1Uuv0S9yHbSo1pRpmzUgjK7Ufve
4dGPxydO9ZyBu2Y4klYOrirx3h6aOLcIRZk48wrUfyqSdg2gvkszkoIgUPrS13H34NbG/d8/Rak+
g4hFh8I6RnyhHM+q6wlxzjlhLqJFuIG0+pLJcFNpZL8qWqjPBriinQRP9ZUt8lgpFb6nyIzkoYkz
hxxKv4Cw0DBXlB9TG4Ynd8gNP8F/IMtfKOvfS3WFttyZCb1TRXoTwYQtY8hPEz2Bl6l3kG7KATaR
Z7jky3RxNNm+7nP0rgNnnXo7RbkvCyIqxnyOBYvbyDHUg9QAwzj9emf6nz9Qo2FJWSjeXOnPJlLO
M3C+v7keQ+wzP0lZDhu7nDiMGApvHfY+s4I6b36wZVpOI8vqHfGn/jRn+V96MuJHAYs0x8f4u8oF
NoTMRJYTiXvXgBS2VkVApMsqFPt0Mh4MjYO0CFlGGmgzkNeyzqFQGViMyQ2XlPIUO/Uz81CxG+3+
mqbNd+uCC3MrpF+9BN25DTJn32bsYOM2dc7pCwFj5r2GGHIdLYLFzfiNxaHECuG5B3NwTk0E3Kx3
o/AINVx1LL7Y2vCzHowGqNEFkvqTJyUA4tjNSWWw4Qyd0KcpxdqoYkxvCQELcGPxvtNxto+KXtLw
zjhnYdvkNDvwEjGgjwpRH9Tg9k9sw5A3Es/GI+E9Y2roXswysbdF5GZv6TjuVG+m50mw74UrzJE7
HhQleEC1++zaj2n+BGU1fxq7ufVbxd4vt7xDV4wxzbqRuEL7aJ8HAp3sSQZzJ4NHVybqsGTTDusM
sZyl+J5xEtfCgf8zcVlUbHdvRTUR861TjI+NHtGIrfJF5auEQuZLUJx67jqveYiWNQCFrTcLHk1h
z+eUOefTVbxZ8m5paSSogDxSvP3kylLcPSZJdyDFZLc1yTkv/23rKX+WTYoM14lDlLJltCS1ttpq
GaRCXv9lb8N1d83y0rApgXuY7gEuNlQVYMX410hdSTavfa2DF2PNfnocYTxR3nCYhxGaEPlYigxu
xr9/rLR1K5p45s6hO5CBG0BcPG0mzJv72E147cTaA6HIWdgU1bD9948FXlpn41TtH9li0Ya7/mcc
pMdcS1ItzMZ3zV52F1ODgLE1h8taqBQI5hRhy9J2/4xH1qFG+TkwsFMrk807C3wni903m5zFEX9t
xatj7ugsUN3ZFo+9ldh/sYD+4ZPLmIKpQIqLJrinVHwcx9K8OUQz7qLn66llzP/MuDS9FWOjVH9V
J1BqU4RtN1LJa2DZFW6vuruYwBFfLVb6+5zWYf/frxpdkhHC4kygsBB2yo9C0TMQWOHymAn5wWvM
AoIzuA8i/7Iyi8W1BmtI1+5XZtvWOzt134VdtjMWSQlG2Z6y0spPEXHx5ww1HHPoVAYofjL9H1vn
tdw40jXbJ0IEvLmlt6Ior75BtBO8r4Kpp/8X0DPTJ744NxWEEVtNgUDV3pkrrScrUf2ZNIt5SRe0
zVo0NJNKwVvbNwkY44LSiv/R8rI2ivqyDFqjINs0VhAfI1NRUvv3wHKeNIMHz6n17VI0GVDmQWyU
2HPH+k8dhXza+iLdRj8WCV+mUWcaTlX7mpoyp9zSmtusNuN12U/+NyYY+1qZqzjyoZKp6sgS2Dzg
LuJLEXfVzo197Y0+NcKd0JDkHLFpazFavdx7A2rt7cOiCnF21dM3keEhH4zPDusBK0Dve9gaHbW/
HqhGho8BzlxhmS4T8PY5DIRzXwajkOJgpzjSwE/+s68dXYRsca7R3/33PDPxijXYQ2cfzOctJ3dG
/pkoKc7Lact+Gw0/sgH7tuwaEit8CEW+TWhG/PPvoSvdDrSNSHcdvbPNhONcCxfgwzwkS/QI0hs0
XDm3N7BNMFzFr2jK1Ql2JYiKqYJYmMXTWXSavGeBkne/dR5I9JsulSwdtIM0Zaoqi49uQWazHrn9
U5FNN790DwOdb8I+xzdB/xCdF6QZwUyABCG82Qh9+JaSMdcRPnLrB1Km7Lj3Nv5Ic04PS0ET02Th
F/l0U3UTTZMKRnEd/xtonfzs6a0wgyre5dDQQW59DLpu8hIIvSASuuvubdq/GZGJ4hys1WvfCFTw
lTdejZ7crB602xpDAddkbZDvCw307jaPU2Nq92XgJkWho0yqh9r1+QJJYn/QX1LJU2KdZdG3rMl2
NdyCN/xJgP0R020Mvaq+lSgAxfdYsXKsgguVXP/PMMybZebp/VzeRS9WiDeevsH+/zlvObpsD/g4
DHOqX4wc251sJ+2BYnrEogJJBC4QCwsXBe4VHE9uWkH2RFfcXjP5Y2aa4frtu4vv5d3FIMphb+n+
x5+tAPUQ84LncrLDa2fnxB7XlJq7AbE+dFF2Cj8J1Io/7FPhxdOXTLSXsLf8U8EvvdGnoNzrDd+j
Fu/07c+g04AkH5JeQtyywDZJPsCrstUL4Is9OnHYuXlzGmabiTQSFsJ5qBjLZfzfY4CECoPLlpOX
Q3+HZR8hZ+nGLQZzUweu/YqNUXjuq6aNTxgf9RMKNDAIkgw5WCW4aLvOOczzw4ccvaCOkomXAljK
NW9/gMjLHyajpPrv4yWC0TnbEAxOsHQN1poGy1Rl4YtZUhjqDds8xRZl0nEw5tIqT2Wf33E0pImA
Io+gSkXi4PaoUYhm/GUVaMDDivhBYrCZJHTWpg1Ch7KCZJ3Y6Zp5MiQheizBh2MVAyZRQ3iPou+V
N0y/00GRJaX/DIakv4z8A5rX+U9VEPlPiU10SqEKrmpHME+H0LLJpGdcw44UgbDZlTpJMaspGXM0
0oSDTLip/2yS/uLnSCXxK9ur1hIY642ManiL9KvvdXvNl7B4dj0iN5EQ3dD9OYSQVTEXml1/myrn
rLVx9tjM362K6dwh7sH2kZLe3d2WLE5Njd5Bzk8cIFlY+GsMF6OxzyjQ7pT9XFpd+MMnkmpd0NC5
eQmu4Zi0y9syDFHb3NyqwM8kZsEfIqNbllOqo7Ewe1xbdUGBNKwwEFVoiuzuselS/zAAgjTH+l0Q
v/o+oevcubkLJKDR7lXFb6cPIOk6M6s/yjKQgNLgvWeOfCl1o76WCfE4+FNWU7b3WN9RO+mLN9OR
7c7qseihc/1UysFWrj1mmU8Bl6v8ifKuBnZNgpnSD3WfBTBuO/nWlnDqraj9QB7GWs+kC2sY4mXs
6/kujKBeoGJmEfU7DFNJfTgV9P1p7cHJjN78unksKQysR7cGRSGcY+jXYgs3pL+oFlcMJt89zg3A
6QEKtNCJfttu+E4uD/lWJbifbBz654GgMJiF22no6EfmrBmUPZA223mEMM2gROr4t6IsvsymHV+I
9TNr1e0nWiSrTAwEdFTFydTINGHBWa+IkAq2rv3p+pZ2trzgqx9xaji594twvfKY5i4TQdeFWepT
j5RTa4MQsL80KjK/mubNcrvs1IQlSfR69Uw/Qu4nraOtr6fFCV6LyaQVW7Uz0OwMo5iKc1R/B8oW
d372g3BAJl0DBZ4Uv95dK1Gya5hkfzSZ+Vnauv1cdCKZY3pYq4LgQmJBOasgW1wxPZ0mxB747Ch3
ILV/9LF57kqEOdvJjaoPwuEfXKsM+Yp7HTTJiGw5qaZjJ1V+l5Xm7r0ieyUmILv+HShGZFcyC488
4Cm5p7bbnyjIbelReXfC9sQtizIq/a54mzy9gNw1kaE9b2omqgzLcbW1EQvxRt5ytEe89KCj7DWB
r11qy37lw+uflsHIHQwlEfWgrLbDHLgDai+r7W7LUefW1SP6mhg14HpEm7HKaVsfsVVbVGOHahsY
3XTEWeVe+GFxaMg8B8XgX8N2/GdYNhsAa0JNPABthGBdkfMnL0h7tbVd01gCGMZgblvs+HvpyvHa
pHp8oAP3bWm8ByoE5+nZZkT9CN+ZGRX0A+ehiVFfr6zFzj5vuwahJi6+guWoRMe1cp0+ubTDb7d8
SMoov7FYhsYliHbs0XUfI7Ru9NX7gVrATBN3TfO0DPl/ryZiEWCozbdQWon/HJ4aREVq6LKtPv/D
/kB27Vjv0z6TOxYkLMBIWka9W2undB4on2qH2vUooTv2GQQbNVRcFNXWF/iytEAVsPJK+wLhtrCv
tLmYPjWfgTluS9TVBxK8iHCLpmibCbpqOUnUB+6NT11u6eeuHZ6ntDMwHXQBxreQnKIJe715xu3n
vXRpsMG3I4GEUHQgv3wD5erK6vE2Yhu96BHhiVkftxtqP97Vxc7okNX4Ge2iGkmdQsP6SRWl5X01
5NZBBHoHEYyMBRoI0prjMHr2q/TSCrC/EUn06MS8aUvWrb/R3CdcqSNu1Kuue+OGrnx36yzzZ4a9
/BR0GrfDPCK4uAB04pgR08kI+ZknWaRkuLaQETlfvYI4LhCXRIq1yWT7P2TSGNt+ku5W161wp1ku
MUSJcPdDX9s8MLV23bUu1WSJEGqaMuewhOglrXLXhqBmbRfQi6sKgRuP+9cQyqA0a9Y4MrhidVin
XZpdSQYCeBDazZ9BS/u9lRD3iEa2vYlgol06uwb4VX8zUf+IaKXPaZfGOqzpyERzsBGGfiYpBu1A
N/HGM7L98Wyk06YFUksHxVdvZoIx2GECsEf05+0HK8LpNq0R96DI6EBgYG7EQgWQlMAXoCcXgGRk
GdBEpHB8JIeZODUa0qs+6HG9mhqeWnqMdJ29uztXBO156BueXmQj1nkVPi6DsMPwEbUPvghoVXE3
rTXAzqiQUInOKHQ62+hVWzgDk4fAiSys0EmC1whYlMlf+DQCcadn4zwCkSguZhBox4wqzsoczOGb
3VnwZgv9mg6m/zgk2Jw9LXymzNacNI3ub5lrNmK3GHJX5F5k3yKNNE31YolhLTQzfCmyGncWVPPJ
beVjMYFRjydWgQgsydOLv0e1Fj544Asfihh5rF9ZM5d1au+AXBWGucQEfpXi0/LnbS0lByaxtTtX
8u/Qsykl5YZ3a0YmHo1U6Qkm0KnFx5rZTfo9arVqHcfRuBdkqu4ipYuHKncbpuBKXMiCxKDiDPpV
oG19Lcx2a7uT+TFS6DuMcVkSJ5qbH2lN22yuPD+4LmF3cWKeCIu1PiQSv71tt08ez+objGp8x+F4
GPzAog1XkC6QOu4WdIa2MhEfPoyjvee3l79Jn3nmyux3Ci9FRr0iMvZQYo1HVzPITK2Pjo9kddmA
+0AkS5s89vqPjHCMb5pNYwUcGqYqY/wZW7SMTRsV68h662eSeAcwbu6HKat2q1BOnVVZhkfRAIPu
/JpwCBRZJyyPhIb6Q8vZY/3Araf70xbSjGEnYvq5iNPqvQ3I+Z6SdHpXDW48Dfb0cdlcDkgz+hHU
Iemf82nLrk62FwuSznU5a9mPI2IdT6a4LbvQ4xd3r14bMqBCr1lYQOJsLzuCZ4nKc4a9X/nEc5TB
qYaAb2yWIwWOFeaJc3pZQ1nUdyTpjY6u7YQVGte86dTezVyHWx8W+vliOpeJHR7UDxhL4Wlpd8nE
jM/9fMMMZENlhuyRwYXkyd5uHgJMVVujAhgzb/09++8P2+Kq+tFed+GkEHUZ5TGuFSqNAU7BSMHp
w86rhzFri99ppl3Raomnxk2xh4CiOiV+sgSj2QQSmIa5l34o4f7zdEjgnRNdKXiW1tpLNOkODSMk
U1ZPkQ6TgdnyZAaveEkC617MXdEJfPZOx1IAr7ZC+5WEdyb13bHt156FPsaxo+aMELm/DkSBXTsr
MAidJzKUp4C/ogVdbTBSmdvRYSHBLJU+ONwx3WVZ2JNBMnY4ZNU8VOhXT4Qm30YzRiLUaftkdt+i
gJkvPYpeCV0p3EYoE4bRug6zOjyePbi6n9ifA9kP0Lc8rvE4fVXmxIqljlAS0EwnY4k8PYzKQo0l
xTgSRHuct5cpuIEJHF8c4z4o1u9hDnGBCQUPlAnaYjx+U4qMXd/rSKQpi3sN2OBeuP7RQapwzPg2
njVUdGea5vWu7TBpD8YY3YMy35mVD5scnupGq/u76qk7dQ0SaT6NLCqcda2q6Zr6xi/g/sfKzs17
3ozmnVg544Rn8bcvZ8JTX9Hz8vL+VISAsfNUyaNPkRY3XnvPo9I/dI0UVyae1d7rq2IdeuVvr4gv
tm2PBKtB3VL+SLgaaJOwUmevNJ4tmy5APoBaacbgohIL7hQek6NZhlQMe7pkpLKtkbsQrDX3tohL
vUZtPR4aAg6g3gzeFhs7ai8u64sf2ieXkJVd2Aso2o6RX5YBOmuCnrsxL02h3rWxbDf8DkwBHds5
0Mh7ZQFv7Ls2ydZF5rev7tANlLGjA1JB7wE1BkPQvagsMyABsevvfooK7U6AkV6Fy2nz8PeU1rpx
NWhX7g7VturqbC27ELmGoULnbIHFpYev1RjIQIiu2/SlwS75XM2D79Cj0AYoH145aM9KQeCvNYCc
djVEB8QExJeR33S2Apg46VQX3OYxoYmuC/cVzd4P5guJN33GAbOw+aLoGxcgMCsEVWPQJAW+PocI
cxOajnXcT2es7D+GuSTLvyKfMHDU6yk5GAiKzpZOXSnzXG87tFbxLOz6AYRY+lCjpnyuSK1ADUjv
MUENg55OeTtE7NnFNnRta/dgEpJiyG86qwSbex7NltwkUNJFmn+zsgxgT9Wk0aWd2r0Y8/y2HFgG
jyLdKvJM7dEu081E/tKY8NVJ80E/MH9mBVhW4SlpGw2xb3fwIh4VxI/8ouDyY4hbsbfq6EchGnoN
YNA2PUXydaHXyD2aNFn1jdU8Dk4y7Z12Gs7cozWo1sEXZRwQQb7c4zxB0TlZvxqgu5AFiE31JgrX
TdR7TybRSIGZPiugqs+5xuUpJaafcd7s61lOhTh/OchKYls6tbq7Y7km4n18IrUVFUUmPrHKOVc1
e4Nr8u/UzOjn1ohtvUGlE5feF07djvgS56tU2pMRgSRW0kFu4lQNvnKiqr2Sq94q4P+sflup6Vz1
ortYSW2ckJc6FDe7H3V2M8gdPSz38mVgGZ+jtZ91EH7E9zvzm32WAIDTk9E+FAmWLbjwOE0cR7zy
x5fb1pplp2HibpsMn0zqEllVakjIJL25XQZXaEq2mqdNBLeV4zvFB4DsVNcc3CdO5jwSf+08Omnx
RYUvOLrz1rJfGNBciDyq4YNy2nKgT4HKyMxrQO92OVMHDQ9GJgjuKezhkY9I9USLtaX222F9/szV
vMhXt+NoRj+RCL2kfiReqYpae6VIq9GVLvEBBp8Acjkh0X5MOPKfAyWmw1Tqck+8M8AKBEM2tMQO
cOaUXGDVUIYkCjjFIZZy55uPlA0PWwj+HaUh7y3L3Ji6BkOPkPFgBjSil020aiV4rQTYVVAgvWXd
cdadYsQhCUkAE+48fWVQ3vTe1vlwakN7Cqj6kLIsgU2t60y6mwp6K3ZNaGppDZvJ7fFDTGPpXkQs
b6kpgrslTP/ucO+kZjZGW13oGGKbIDjxy9iYoZcdy1BVBVErVmjOBb9/z/p7ePmh/+9hfLIAKGOd
SnPEMpyMj6NTx+LaJ32MX9Qsn4gjU/h0GnkUEjhgRkf1KOOJcGCBLrYtmvLqjcnFU974lDYzVxtY
RKGm30Tdno0gqu5jbjlXI2QljXlmeCfhuYSBmyW7ZRO+pLaKacRflk3SqbAlOv2LcBxm/1pKR5Af
MmXRH80hpG6DKOdiZONXU1nmxZiEyVPBsnc1CeUrWkPkty07/w5/T2TST9iYspv1/56Y11z6aGzA
lNY6ajWNajkqMO1di7KWwq2d7Wlla+/wfr76HGjhpEb/JWONyDxOg1xMy64OtHjflv4Am0xPpxU2
4PEaWwnxG5M4LwcwKGINW07571WhgEP/d0Yg5yWTDqJrMFv9oVKRAYIyfR4c1I6eGF0XYWLiHmVo
3T3my3/OWM5dNlujJp7BB0OSWvLn5Cnjhgj0n6EAGsJE09UPfw/o8ynzkgWZYUrC8r8/QP89vjqE
7vzdtbzRxMLi4M03+KFoHJQvOhhlv2ouRhQ6NGAp+iybfeCxL+DxRdmf0KFJ+e02RCeOJilLNk4h
hk85IINO/WCE1Jfn96rzfyz707pwKVARAZahaDmn1lD/80dV8X2ou/aw/HUtIfDBlFbB39xsoj04
mOAE/1a7LkOH6uVKnuTRN8XwZ/+yC9S7dq0DoU4UxE5lkNaPeK/qR5dsywdYimt7FIoblisAnhaB
tRMunt4VAvP4EhbJpaTF9/j3x2zHAFraT+VheZc/Q0M50c/bY6cbm0KcCta6rzhCRqQr3VqZtUa+
wZg8yRpI/XyMFr3xCIH/uhxT8BRuoxSvyzE95PctDfl7OTbpiGZ01TWrZXOg+TMxIzphuFXnYh6W
V5T/rC3ayRwx6r8HkgGd+qzGo/Dk50fVWP4W6If9bU6niYUqP0qbHpyEJL9b9qfqFjLN/LTi6bUM
DfNIFEt91QJULAm3gMPY6O66OBZTNLyN5rTv6Y1QYa1RdKXmjxzund4g/uFfc09Gj5rdU6X/DPAD
GvVECOeUOBA6KO6+w/kidGF+Ncz7EhuTbZZMsLXbz1qvn5wg8F/sJvRvPonoettyC3T1am/QnXlM
0dVux5J8u6pUzSPTMKzvqtVv7Xhc9ojcbPGARBJ/TEhUqgBaxtwzfHJ6atWUENtHXaEkllEaPUT5
xBJtiNwzOCnjWCaGewRwQvnM6ci/rF11EsOooFn9+yoZC2vfQRyYrTTDDSaFecpaNKF1MMk3xG8v
AfQM5LVoHMzXVOHqST1amvOsbRlavgYTGcFHJ2zTM3SA9CwUz5gUY+cWOZS/8aY8xK4euywjo2qN
av2gyd5+qnsFx32ClBtV3rRGnTP3mwt10XNSNSzIWJeG+MaIPmxjNEQHSXlfBohs1P0J+elMfW9P
uH0iZKlhmfRMVsg1BOYO+YMmaxPAygNB0bwV9gP9lOg4kf1np1lzyb0J8AL4zKPS8m994uQHtDTD
BaorSnRDf+/1Jrg3IQuhmIkCMuDh5uCqvPXhFJ27uHgoyJsA7wWGppznWqOM600pWAeD1kVEUBUs
lU4Vqlk0hV577kbokqsSTOeuJEWei9R/dH2v2UsbmHsIEnLvJ3SWAJZ/S3z1S4XGXRdjS10JY4iZ
ZDoOcmHsRtCu1rxkQQ/ZbgNcsXxVePAnRXGhA2XuAKlloEdA7CjRUB4pxUX1PVkQzu9M9Tc/7ObW
FJZnLFz60R+oHdp0c7chopgNlXrgXyTnHglJQV5osxCtCxPMbFaWj1GbmGQJODGeF2mtKVQ3r5SU
7FOBo3RlZm79ivPlAQfPr7KRN2kD76wwZW9tA3NhYCdrTBAD0jSjXTc+pCHWttU1nHrjrId2+ugA
3r1EgUM+masb30KsaBYm3o9ZaQE+oVE7ODPuO0EtRzEVzm2+0N4GuvIyLsSTnKLybYJsWujla5ur
6iXnnZa9misGvP/dafmJZqBapOOpXY51ZaGjX0VV9uftBjnQTYkb2h7z+7WDQl+TC2rq8z+mycfM
HJicxf6xJ4+TwrPQw1tTcKH7iUNIyBgGN3SxqD7mgRreZQAZfF72L+dOsQttqm6fl7P+7udVtLEz
PqD/OVC4/RaqbX5d9v85mBvgzqvmq1XlAe/YDq9OdY2rmfURzmv2ZRvvTbRH2oxOBCMLIXnlxjSE
uS9qrHOl25SkAUf/DEzDmpPuDvdlv+qN4s/BkicTbaZkXRWOZ6+WH1hOsQKgc4k0rssup6O6xEpz
U/cJMc5e/0KRABhrFo1bF0suoOqouumjBJNIY6/bO0l2tghfjW3jzeg6/RhOI0xWvelOpmPfTZSy
xyKcAzQrhMGuZOIV0/da2awAdrYGw9esZoNG1oI3N+QP1xfMKgt8JHM9GDIAcyXw8nSTtCg6/elH
NM5DOBn9pQubYfase1zqxLm0KVrXIDCM1V2nUXQQdjSXu1v7gzunWz6qtijPnSTNc1PSiUUsK8ud
hxYNTYbUaUUk0YQkrszhApPCaAFMfzH5L+1rtH2UxNLwJTEDVj0DBZhlEwtS/VD7w3zJvMopTJ7G
aiBYwhZ32WEz0wKr/l31j7Zexgcx1DVwLNqkIO+yF1l8IEqyXmTwUlFGIYNQ3+SW+O5P/fhWtMX2
jzZ6VjVLrSWNIamDVTL9ggxYkKpYDhvFWuNSkom67WLQZCHRCChyUSt4fsGShResErSD1Y6Pkd9e
4t4wDnZLqmXcWOgI9WOUd8YTWrkabyLBrmYUFUTc6p9A0Z1nrzK2NURbCFDuLczKb65HjOAQoDox
xiG/24GX3yGYrJhF9MduTvqzCgitxfhB4lp2xJVTg+wLkq1fjmfcuOu0MvxTI6JuN4wmqFzEzhjo
AIHYCX1vMUKRLhFs94iQWrwtrxWTq42i4RFUOKjiHiKdzae3QT/T34m/pBHpRdDeh/lGLcccHxIp
k2Hg/IgkWGMBY+0odTP56PJ6Tzc5erEG4KGd5vwsptja90OWUAPtw3M7D66f/zMUMdk/unvxUxle
1JiZh1IjqZp+NwUQp24uja9FJGP27Z6yLrES+DsRN+SSSAVH7owuNs9eQjrd0ODl821vOCG9+0qN
5DRmLstui2RqFKf9pxy9t7jsapJg+3vlMKkDzvoG37F/D4ooPyYCFe9YCvLciDtDOakFcB0hq9LO
aq9T2sJK6JGid8YEHIic1mtqtQS5lN1Bz/DFiHn9jSqJ9l6VhnvLxrHL6lnsu0g2Z22Kz9g8rQOl
PRSCU7zt6tIAWMw/qhvFEw2MAq0MfnGYNdpzNHKnt8I4ptjip8zd0h7IDIVd1EDbsiQBtU8xKwak
7m79vEl3ZTm6EORGaHNxgdoreEVUVxIZMla798GmSuFCkehaLbylPbFgfHpHIpEI8rDNF0sVXAea
HkFDw3QR4t08tHk0rFMdZ7RymK7UdXLR5yHt0UzoCfKyPkCryRD0LYyGbCK0Q3Ws5DtcZPzntqXF
dJskqZndGQ97rUz5aLwMoIHr9ivHw1K9z7Wwe9BGW72w6lkH81K9zrLvfRJpx9S0XhMo3k8V3X7I
RqZ00vM8j8z8+JX+WIVbKXQ/u0ruaQvua2i5thnmD8ugBFOLpKbTKKctFC/5qFUVfb+Uwjo1W8A3
qObxm2ibYmTyiRNY34GQ8S7FRHtTWkP4XjzjAXQfDJD5q9Q2sGIY2cZMPt3pPfUFqYV6W+0UmOGB
TtKxUi0hAL1xy9zoag9BtO8TW193uZk9gMkBwd3rx2ZMih2opgvTP1T6br2fCDLZyyD66THRhxKG
Brmjlbnlpl/tZDKZ+GAcHDOkKLbxgDSbPvieMsqByaltN9mxj7CcBhYKkgBdbkSonFVZASBWbPCl
dbS1/uhUJa6lPkUKkPsfmp3oZ910uW2hooLGKzYDMpV10vOV0/Aq7OKQSpnbdgWspUY3TnoyPGRh
k92qwH3VyY7dWWVxUEguDj31Cnh6KP+VEyPL973djD2riEG59Eb1ELfSn4MTm71H3x0xvNCIR9EB
GKcgy9uIdSuzCE22Xw0h8Bgs7F1boTRrWh0fiQp1EJfhNpvLkUMN8w6R6oeSmbWewhweCp/z2vBI
v7MbkpeJEoWAHB7pmXgHe65H2kE2HTz6lquyjOqbK60zNQ903OObFY3aCSmnt3EJ+71og/1q6MQM
e7OVhjbGwxzMk6HQ0DpdbozGp9gtSP8tUEJtCZ6dNJqUY2p8m+LA2UljaE8TNy6Xuy+RDZ7cTFhI
1g3fJEvoNepYk3AFsin2XpNtLWail8yOv0bK9zsvq/0zDUVuyPbkzPldtWz5tpq26R2S+HPEkYDn
wl3XfRxtelk4x8IH9dm5qbkva5bXU2t9j3AcnReAwWSZR56bHmiCgnzPcGIFxAQ3b0u67G7fsG7K
0nMwm2L0CLa5+91N/G+in342Dlhf0M5x7lNbjwFN0GMif1XMyRN14m0SNyJvgr8XWSfp56iyh1K3
43VOPfFiSryQws1oAIoBkWhDF1u27gHPMIqa3r83ZPWd4iJsd41fpIcxJzAebgyxEtykhBZhBjTP
0qzjJ80O4adL2OamYRGLZvrPbZU07w2mqfUgIzQ/hqVdqiT/HKRHi0L3bn6CYrgjjf6hkR2SUU0j
Ooxv1roRfvngJQLcVO1R48BRFifUf9Bl0rmNC2yJhbk1NVZnAUGy3I3xBfY5USgFyhj6nMqTb1TF
aUOXfQxZSBx7x4rf88SqLzgACc7QeNL7veuQ40N6Txvps3JCVXwnaQ5Wsh8OCAqxwaRe/+BBb6FT
4XwfklqdGxDtEDwf7Wg6yaJFzWebPgjs59CAqkREFemaEcggYwgvY+Vzj1F1/24Vs+VFy4dzOGUA
fYzeP3bxZwbMyYRqi5zTbUGO608DMq0052PV6xzNnUN1C1cuaonODC+D4vFN6PkRTbiJGYGobpQs
mQRXD7e6I4U7RIhv4BioZyIw0Z6xBegzLa6pRwyHlHkLvatdu2iuaKGBe0AtV56sZFznHZwzI0JB
0iha51NC1UCoizdlT2FFfJADhW7d2ul7YD0ju8u3vTWUoOYS5wwPPTh1iX4Ft5/tS1rUt8FL+ZSt
luJaH1mQkfu8pCJNjKHTZOHWNuNHYTbad/q1VzMpxTt4lwyIooMBgwI6nS1A863F3QOkkKuDFyG5
AlbtVvjZPoj44/FIesPUGgJbogEvynavuf3NFEo7abW/14M62JRVTneJOcAqHgA5VFpMR7xGKCqS
UHvN9DpcjyDDn4RpGMQo4ev1a8fZd0QrK0IYVmENazhzmevDLkZn5Igv29Zwv7ZxT/CRsS00H+9T
hGK2iRFY6+pEgQGKXdVKJn0+9E4DQ4sGwf0zzY0zt3X7OcNBgX843Ey6eU00B9RCoOjbdzQgjK4A
sBN+NTZgWpnaL1rjkhM4jM1bo4e4Inv/mZA8bvzj1sFj8Ezsbv8Y0Ptoslw862YnmRCB/bbm5X8R
OMUeDigkg2PqZKSNFhqtnyZfa16q7/y8V/dakQKZNTGLL2Byd0A+5S2Gate2GEWV64iD1Tvjk9Iq
gyDPK7Q1uopeBuJ/Vpqtl4PMer1tZIbjOjSi9lJrIxxJ8Hg0vAxK6ci0Gv1TJtVw4Y1RCnzBDIlp
V/5OqWVYtDN3NAasNUHhiEVH+3dNGuaql6m/4jNp74VXxju9h77uu8Gjx/3nbWhjRAMBuh/NSt5E
n6kLDyGxWjYrLcVBEfnI1wnksUqiLNx2aG5+3AdnquDnuCvGAxjSAuGMq16jzgoPEqP3WrWReu0c
GrCOToq7+IznSXlCenQiBFSNkuq7olZP6XZuvBNwkxTh9KKQM4G6KoHXX+shQjWEbNy0oy+WTRSF
WA8evBKf7RiY5RrgDxkOGK5IUSijJx3orxhS46FICfyZoMpAbOruRpF5SChapvdJ6t2MEAmKQvVy
II63vyVKo9LRG+3HRAOX2LHmCxv2uhs98RPmgYETTw3PWeJ3u8T1SbUTUbinjl+v+G7199InWJNm
x/c69R9pYbtMY8en2Gq8Z01m+bn+Y1yNvW8yQswWxOOrGRqgxwmS3zZWMX3iSFrpyUtsxdUDEmW4
+QiDzG0Oo3aMTaK3cWLv/ZRnENV5Y6VmwYpEbRxGJF/i0wRXVD8YWfuV+JW7z0cDwPDkEmDaes9B
3nwAj8ivGVbvZ9/O011TYnFeDg6FRpSRZt+W82OK7rtCJxyKin1w8Vs5ouiTcmOnJcr1eZ9AwwLr
c96mfxhcglTiD27cn8vRv/uXV1R7OXlSjXExYG//9ybLK8108h3oBtSWVlQCl/h3CP57tezzwxKx
zvJSI++ps8Hg/s8pumkVJFfX/7yLaTjkLNNcJJUOmlEV1s8prt8NWROWTQM08XcmuRh/VNqIBtyd
Ak61GZ2pvZgNi1eKa/RXwvBXETAxXIF09o9lXT53tUGBtc69qw0JYcsDTb6YEqEF0EvxwwI4YyBU
iFbg3Kiv1enPWBkAwqmtUuIasq3o0eakcV4cm5CCbjsGiqAUUJMW4thXEkuIc3G78WdnGps/79TF
+iGrJw3mJTmTuSOSF6+2KByw4rv+H2Nnsty4kmXbX7kW44csAI72WWUO2HciRfWKCUwRUqAHHI2j
+/q3wMjKezNr8iY0gaDYAnD3c/Zeu2KA3+eZXe+0PG7JcNbozgR9/dLARVxw2pqfmZqrmxbvySXB
nfmB/x3PGg55aDR3ngtdbCxgvMJPPQ9m4O003XGObi2/WC86qKamfqE6138VU/KDJRJVVkcccw0j
SIDxcFH2tn66bdIWmb0x5XR327Sj/DuFa+jlVlXjooeHM3Iqr0DGGT9M65OQdCIF6o8Wm9RKau0P
pv0QNeFV4QUI93ll+cskR6feNdlLw89x7Yp8f9sKZdNeqPY837Yisy0Q54T0AdOAZZmrx1tWJhxh
8rnAnH+wSAnDfYTO2airR1gWMKKbo5Jh+h1zJgdfB+eU2eDKMABNAB6XD6rxmqMorR/NFJABn+5l
7bQL3ba9hyGc5i4yYM+M2v9VdXm8xAfxlielgpCOeQeuH4x9jDrrATsFZ5k3bIfe48BVpbhynf3y
HWEehCQVdBlYahtRWTnfdoZBlV2nYH3buN1I4z2ho7KcWld/DrtaLWIc4q7T7bzCZkEQOPFGgUp5
gt1BHSxo5R6QYfFU1hSSTFMHWTnvHQK7OkcdmIJ563ZXQc3PZBmf9GEPbSCjslS5WFv+dQMglaJG
EO8q0u8WPf7duyyCKB1QqaBOe9/5DcYmmpNLcinURfzrxrFIc0asnqyd3lTUMunu3vYSocC0yErd
9Z/33f6aCOkkn4US3e1xVj1sspnWGtwEraHQ4Ig5am1mgfXbGzMlRboh0o/oz0HjAtZhkTs64INv
Tpnf90E/v/M6RL23++hKByyFVVLjxKZFlYQESRgSqV1CcVZRpn1GT5xdddPfTaiIn5uxtR8gHMDI
Y5+XNf1TjPRu3oXlVj1TyR1EMj3d7nH5iUQyHx7zrpL6Uu4O5fW2z2n9Swqn6UIlWkOd6Q7roPD1
E5mUMND8llnRvElF68X3k7m3ZKwA1ogTaT/55WYuaZ0qvwh/eK9UUO1vdzmjsmAUNgT4Nh0Sv9uD
f9850S1dBTquiNsjbaOY7uKJCm+SmhehES4FqZ+ECWkbF6ebF7omjQSKLjoGM7tk+7arVObWTJoG
zLn7bvgmoTdudXUSgkInwAh5j5zzdpfndN0ZVs36tpXgXUQtKq1ziQK/Hnp5ieOsfatOBYFEK9Qi
0IrzqMZ0xLHvTe0bDe01RkTvWNdmd7UuRp/K3dAXuA48PX3NLBaffBqygikOLUpIB3mG76mNMp3e
nhttuloPEBERzeSEZA76uoGvIzXD+1jjom8WFqpVtIH+ENR7wcQZ8BpVaF92h6m0ObRFk+ytcc6d
9OMPRV7QboCzhhJLonalkE9iIVaoKWQq3RUHl8lYmjvaFlErrCacyE1932Kl9Vq+aK9tvGXTZB3g
KdJfTWLAKKMbK1sVchuSIAZXkiGIBtxdImPtkKUF+Eun2RVGimJneiSr4B2RSbUtFCNjUVrDucJu
sipHTFWjJUDGa4R8ktMUJml9bQT6jdJgLly31l3eF290wvGlIDEiQDaDea1/5YUF+9Qi4WEodKIN
7Jwg3bKzT5qXvxe5BVw+qPsV7N5mhfZ1IQfKE40xoKUZmB+7g8U1p03FvpKZfpEBOeUR2UGjFy+l
LjqW6mP3QBt+NyKV02z9HilITSh3APJboi4iKgg1z8CrIut1YWJoFZk5HAw92t3XsO4+a3wYu4Lu
yGYUw9pX/XhuiuvQIviPClS3ehPfxQ5Kekufe3ali3bes4DW26Rq+p1ytsQDktU4647oAd3D96uJ
tLAf5gJNYQr6maG5qMi6whsUyLNdqmTlE5DR9oyWWk85QeHqXyjD7s9TR+h2XWdXUdpPXtmYVz8N
p3XQFvhFzAZCNPrxZV3gjyTPjaKt+8SBs03a/mzWSIRYbyGR8Qik641fM2pwF+khqlap037v061T
ut/xHmSrzp32afmFWg7+U2qIxyIoDnFFm/52w0I/gG7Yzr+0VEfa0ZCFxcO405LQXgkthtEhwuee
CfzeVtWTy8PWftq5O60xnquEYOZBFt5pcsYvI9NYro0B3qvkyTKYNrM4+Mj9GjUCWeHoL6SaFd1Q
FoGgedQwZeUnSyLM9DUUGvqKTAQGx0fo2jfTboynu6YnUBu1wC9auDaSoJE2OQU3/PUMooKyRS+S
tR9QxbCnPDqGrvahwmo8ovsWZw94HGWuOCcoJsl2QQwwi3qsfhkgzyz9nqzbieQgj1H6YmtFtS0L
44dldiOu9wQQfg9dOs/cFTloz1MfyX1txurK0TCcJumcAyhx97Icf6qp+qGKZ5NB4ni76QLvPZzc
H7olH1EfgG6Lq3TZil7fRF1TYguIXvIouXOdAaY+MQirGNTSgk7MnLfZH53QyyEfYK2KWPuJBjsL
gZH/vJkKfVqkTWSseo1qLY0+TqZkilAkmO5CN9s7Nc3JGES5ESI3kM2O28ufXAJruzUrkiXmZKDW
Xk+evNMsbKLJAGo2WAiIzTkkUzixLEBtmlBNY7rECIi9IELHSv0ETCVm8+fcEhCng/zVjSmtlhbt
nxy7xR6zdbJDmuOxYONqRpUyvc9iIhCUgTPIh/ZDp9ldEoQCmQVI95A4myFUXLM0vdyEeFRPfU08
QFGbh7Ki/RVa4i5qm3gXMLIANcYz18ZkXwP0BD57Lt9CfAon1wPQJ730qReuvoR5/xCNKlp3/AR4
rFZEU05gr2kOUFgk1druaEKP9YSfcYgPFJflUiY9K4fGfvFBKX6P5Pg8UqZbmWb4FMxCbBBvhIL4
kw4GBuflSq/A/mp1Qh/Z7EEn1umLTuBvpPh2RyxFsXtPFNLG0gmpEbbcU3Bpn3KBTKhOCmIVpxix
tI9lXofmHRk4/5SQLSyV5qg7Giv/4JasCi5YtRbDdgFEktn2g5qiL6GMaJ9I97VSxYWC4bIA/XOP
XJbYMCUMciHCCNpzjiUUhqpuFum+zAjrcEjr2htETTMHJUgqCeSby5CPkeTNxMFnkf/gdQBqq9Tt
SATt9bM+3zTTHeNyPrN4EnBmJqJMg8ruKHQK+ZGzmODMHUFVHB3IX2sWbmRgAyg+THMYX+C6S1oB
jINcRyAGC6BK6oOx5XDrcQzkKy37oa/h5LoGtivcKYXCSabnKC9izCiD3tAIC1poxTNgaJC0PXNB
ZmtEQ/4edtSqSDT7FCHL2QRa+qVZJGvoYw5bl3AkKMrRCqjE0yTzLz6bfXB8/ylsKQ2EJc58Wpze
Oa2gSZe2Yq6XOs6bYw0QzozPUhg4nlS40pI22zgV11wSUbYFUc6AMicqqhZd1a5GtNOLwTvebvLY
P/WO25w46eFGYQQ6JLnxLDOzPPs5o1jfEFnQj9quq6s3NwkeZKyvEQTSr2aeh8ahxJKFhcIdSEY0
gFTPbtBukfhTfGDolOtZFr1B9d48IxTMN0bSwTuFFf+YNVGypCzj4g2DPdphyOY4KzFC1Yq0H7sF
f0crp3EPQF8IpPGEjv69/dUTDst3XWrMQATHG8zkQ1ZTp8SfqbYVkrTL3JdiWrbqgwNRwrTFsfdl
cl5zNjGYNIHyfjQok49lvqMxuFaeM63NOtkZ2IEpf8FKcxxiTyyfibHpUnVsofbGQQAS3ni3IsDq
XiKZT+SsFosHDjLnk8xV0otj3KitLYkir4DmCYevXpeswlqHKamFOONDevLJSYG64yRdRJgTfhpR
gh2rLz9wq+n0bvr0OkLUWHCS9jDguLn9lREfjJa3e0R2MC2dKun5ugb94Lvwdu0fbl3Yx87WrSNV
mQ/LxqnJavxXa9OGkobYwcjwF3A3Ojxm0S/dnCyiWdQIcNu2j8hpggU4FxamNYCd4oanVvCfArLn
KLL7aw5ueTUcKEFVjjhScLFJJ/NOSc/Aw4EQoSPHbFtgGdB1oIbdwCrYGl9LK3ms0nT+KtEIZZ2Z
HtpEwTgCEULhzhg5Piu8ghVULpKplmkkrFPbZ90xr9BRqawov4usvLdos++pAYTrAGDJ8XZDdTU+
Jn6T7MjxvY8orT1iNywfi6hd1titr7ctyNFYaCERrW+bNkchhSrT3uSJGI6Z3w7HdP4LQyWUtj6+
OFHyg/z5cGMyrUJoM+2jYQ41Tmxz4VSUKzkL6N06rAgGFcJYof0K7gYi6CJGLcH6fKxf+pPi4Hoh
/sx9SOVMtNfqlw4Q/QWfyvPtISAh80NDdW5RZe6jO9mHHr7hvUU5/WSr5hw01V0+esa10YcDsEt8
50Wo3jM/4JJNHyUu8/qYR5L243y/LTUa7xCKLpTxH7OBDnlrutU6Vgqtq27Y92Fb2fcaoSNGXbyL
cQscaXylFG/dERGCF0/W3rZUaG/KjPjsxKR9GLemhjG2Ti+OS00bfxkxp31+KUxvOudxFz5ZPu0D
J+29jc6ZlgGncxsdOmE7qjOGE6Jr6r77AUESYHHTU3FzB4L9SJoJRtfYwSr79Mtkuhu86Xuh29ZT
Ms9Pa8rTceOHHVI3AlHdVLuXNdmfuQBf6WmcJXk3Rhu/tdGLFcnTIH0c0lnV7s3BjZ/oT8U7aVT+
8rbX8gPnolCn3XbWeRc/jczYfZZ2Z9g9kq6p5XF+9PcKEdaXQ7pEolN10zWgF1SqH2H/W8sworXX
uPGj0EW90saIJJJyfMy5ZANKyfR95ytyXcjwgiH5DAqsuRMegZTU9VNYL3R6JPSZRev5dGih/3V0
zEC6W+sx+TmNIeOS75if5DUWTLw/3RGVUBSnJ5Na/j6rSNmYHGCZbtHR1AVef8K8dp1aG9SVIrbb
F0zJrPpOBgPXwEHeB4blbbA6mws/AWNCTDrxWlqPRVcOd71NtMxtU/kFEQwuBiFXef4CHpR/TR2M
J+hfU/zbRBdXPjXqMBPGB4JQwqpR0/g6LRVbhC+sDmi2mliV8WrYJ4UZeU1ZKnxNi+RFGoX8ylxy
/cTFAFSBlMONL2KG793+oniDowra5PbP+yrB9LGo64eesEliw40Q0EYnXpsSMlcXv9HP6k9IezTQ
yWx2kxev6R4IVChsiqI/y6QtH6bc0q9DbFyzwvjuhn6PIRVkDWJdAuSGwrvKHovKvNVYgTzaQ4kz
qJYHo8TjvZC0bA5QDE2qU/9xr9+a5PjcHtBYnjzc9v+vh1LOwL7wl0dFvB+k9bzC7U7DaLpy9+f2
X57F1OfMZFXs/nz627/8/r/b27s9+ra7MHR9Lv3+zxvBxKb++e7q+TMgreR1//P/f7+72wPCQRnT
8vbn9Odz/+Vb+P3n7RV/P/ntxX4/AyEV/PPt2f/y55/v5i+v/vsDMjip45/v/vf+2/ZfPt3v5/7z
Wf7y5d4e9ftt3N7ybfsvr3K78/f//37fSTzPNumgLTvcNASyU4k8dKNAfhFNQ3uo28HCv89KDVKq
di79sgVcx44QmRTKsZE/b9u3PZA4Na5Y1lLLBjK6wWRv6LaS0eFp/ZaTLybHuSGcOKQzl3ruPWbB
L0HywBaPKqRgTHXfHY7lxYzSj81gj/LAWkPpwlMtovwBdcwp8fDliIms8sSKdk6bkg5vOkyx7OjT
dAyg1UYWb8yJRhs67bWCxnGgN2cB57GdQxFFhPpRD10KF3jbZKJaKBy7WufNa1Z59J9ZqBzm5G1E
VSdZZOhZ6hwVjA3Yw7ExlY3hc2YVLq4Y7HtMENduHDPX1ZgU90u7yQGwF2G8mTUKqGZwgOp7XKAv
9uTprGWkvagRdFS5XdwbSTGsSB26DI0/3IWVsi9hccUxYa5JhYaSoES9tXM/AjcNnietmZgZsWnT
5gbY6tn0M2vHFFuj6nHcWV22S5oC05lHHZvrCu3/uFn3RjAheoKE39cFMNRXxnD9IGwigHQ5XghW
eLW1SmdarRc74stCQkWeQrurV6bu3onMntYDK+23IDbORH6EQxntJzzpFJM0fIxG9WW3iuWBVVdP
kQfKFuG4HcZihz4lX3oo8AALkGQh5K8yi9aRFUZ7I0NM4U3etGv98J6EO+aZOQoW9WkaFSjQXmw1
6kOrNO6GXZNSSvUyYBCuGZX7sCdpB/NRsi47670MM4ydqBufETO/6tG4DPW8/GmBMF16+PaIluBy
Ww21/Rj2nxj4wlVru+PGapCw9eSpVj40Sci/tO7AZiZJJHe1SIp1z4SFRaa/UBXsstooXlD8QIk0
zc/QiEEENx3UNyv5yKOG742Q7UXZFd/R5+1liArWd61kWRWes4QlChpxMj55THnMG++xbaOOY0lP
lr0elms9S5EcAq8uC2C+SlCYmmiGLnFy1mtgu2i+70gkuqiwIKlL5v2ySBJAAiFY9ykr9w3xcDsD
/PGxYE7g+ASvYQRmGI21rSzrZDa6s1DzA4CWFfA+oZBF9dY+4XuNZxrBkLuETxiAvivykxSpcot4
jsUzEY7jyUa7ZxJTNnpTjyqsC5cJZN9DY6Lrt33FmgyfQ9omxcMUDx6ppQQg9YP2BoUTGZq0qJ6M
4U4NJRbOjvYxmUUAkcITyBFmdbjYatQaNBQqbVvxk93zNRqntLb2vVvIHcJooqWbmtS2tHtVjgt4
LNjpUemei4j1ITVImluVqI+JXeybRj3Z4HXWZkHuTFhmZ/qSBE5rr4U5qFWmbXMtQmuL3R2jpz49
hrBxeMJfVmx8MF1JH4l+sNaK2tvcRXOOIw2hqkf+ouu+2igVzazxY8g1L1ZeRvs2cp9Tz9jiR/au
va3c5yJv1iLni+hqmFXghB8V0tezTeIPJqnyYqCUXlK+BILcU9CXdVStldHsc1ezr14YK1zlKE4Q
YazwE1K2cVS/I9ePSPG6RSjTE45YVh8jV06qoKSJw1OMFiTSlFvB+nkpLU2HsMeTIhiICyVfR3z5
+OjhGZSd+Z2ahHvvdjRMcu0o6epfcTQHCo7QqAM5NCb7rCoHVNBQnzs1J6ByABNHZn1qXLzzqj5x
PLpEsMwUw/jFyVXyoPdYih2n97ZahYU5oH67NdPuwoVd/6H3kC5LikuCqMG1aB0TpR5LKZaKX57u
4RYYXZh9zMcIlszucceDETdUvhKl+aWxfFwgEnebjjZAar4h/rap1Dwb5Uwv1Oh2jzBmpPsc6rQR
gO7B5K042hy5cruQU5DykjZl6WXAPVlTgbmUBkeabzX6Ep5gTET9c22bGx1O6zaht+hqg0BhJyDM
RzCMvNA8Ex8idkGzyztCAY3c+QodRhfbpYtQyUStIByyfDAAiA5n0TTW2oliRdlcvjHOWGQmt9YG
VykZw+ieBUTDwDQyBphl6FD8b5EKoIzxAHYGgKCc9j32iOCEDr1By+gtIzPdBO1ULd22eQ8QrdK/
oMc6TEt8+tqDLrneRiQteYgZ7IizLApB+6MRaxc2s+9DaDfVIR24mjUmBhJooZ6s5VHA5wibZEA8
UpLohVeLamRzloaN4lRQ6AOwD5MoBECcxD4jgWXT6hD9kcEWP1vR9XvSjww0e7hWqQlFSyv23INW
xuWurpsXesXIIsG1craV2V5XvyS85NnOGnrRU2QxRyBek1xTrzTIOQggOAxy3TTSPDnUJkRIdgrL
JFYQbVWc2tD67uKM0j1FRnDSwGxLihfYkvaCCcweXXPPZ4zufEC2RybiBK4RzLCC6eyhtBb8D6C6
dMyh8tbNo04ew86DY8GhwZXFYaG68G0sR8gyiOQCojBrTNyuKJe9hkdwYAmJWKsRx2wi58jXLxn6
xLc5PwZFOj1iaFov8P/QUJNth6U/P9h5eTTMRD0Myj+haRJH3yLED8DhSDwDSZ4J6lgvpZ8R9SQ/
do4Kj1OTYsjM8DjiYr6IPAK93Bb5IsgHot6QfYAJAthET3410Ilfv42DmyzxSYBBS8VdDBl9lyvt
u4XgltNrNpjWKaW1YG3IGifYrJscEwx2Hg54ow63hQawqovnpKUpOqdpcoIwHN3TlZ6jtkfsUU5r
7pgC1Fixy+Ee2c50VIU4mYHLOtg1HtoBFJ7FSbTuMGRMipNbtuI7eGGoeczQZQq4u7USqp0vJklU
O0opAYLgghyIDJhZ3/h3PZWrJET8y5B71NLe2gYp50ek8vCcRiYYYL3cuT4Zyph9jjIiYDBBocsh
kuJnjXdx6DUHjgPIeBeTK/umtQqMfpThj04HJw1IMS27tEFlRRB1K80PuFXdFsFyQ2dzX36Mg++/
1Wn8i8TwaqkjzFykPeBC1njNsdHJxXWp2fR1T3eltHZg1dTJzet+U4/GZ+gX3gHWMFLNTK1zuFwn
LcGgx0GQrmmscLa3FfEss8CdI4gJqQfttIdKQjBzTUx3+8uMkUcOug4QGW25V98H2FHbAnN43977
dqg/GBAx9jpIBgIiGYFCEpACJSv0is7OULB1WL6RHz34kLt4eCNf485rzqOogpNvVIuwgLk+Oeiq
M2OKIIdqzrUxER5aNV1GLEfO9XYDh1LbWDZi2T4jcTbN7GssevtaUadF0SjTTVJ59vX3Dif8mTGP
l1Ze0C7AxabRrNMHdx/oLJML3dNO9O9WWLBWVRemH/HwiYvyacRb89ILlLGeWXSk4xnVqjE0whib
pF16odcfYK4Wm+zLCZi3WMLW10XtICjWx+8oSqtnvpLwnrnVXWqQZaG4fJM8QO2wbYNsVUv5palK
rYTXr2PRridNz/Zd40NBdwDoCjvxz6RoOHvk2gbMIRMVOxZWm6A3bKJVd/aJJmfhrs56UisIjrQs
vNFZI4ikWWWQkRt01bEmfGJfKD+jVyqYjHXRaYxS2taia3Y3eQkOHIUknO7zmCPhRHitTiadDA65
4EtBjWGAcSvWn9xgHMxWaDwXI/QwmoSyPVRo48HT+DsO2nRna2i7LVgRayetFFpm513nAa5ZoBCJ
Hr/98V//+O//+jn83/CrvC+zMSyL5h//zfbPUo51HNJu+ffNf7zGaSy/PuOP27/962G/n+Vfm/zX
P5919dF+/NvG7HNsx6v6qseHL4LH29sL8PrzI/9/d/7xdXuWp1F+/f3bz1IV7fxsFK6Lb//ctf/8
+zdDF7cP+Pvzzc//z53nj5z/230QWfW/Hv/10bR//6a5xt8cQwjbtS3hWzb1/29/9F+/d1l/g0Fg
Wb5huy6lIMv69gfTxjb6+zdT/5tOo1F4tm8yLpi+++2PplTzLsP7m244rk2Ai+1A+Lb9b//zyf/t
m//zl/ijUPl9ibK24Yn9b3/I3z/Q/Mls28b1bRsC7KHuMCY6Bvt/fjzgH+PRxv/RRTwGmo6o0xNx
hbHbDC92aa7buYMKAWpnUzPe6mO4cSf6o2XDgLUIJnu4x33xUlbWl+sIFhsOSQkcKNPGK2Sz7Tlj
JHIL4sLUpcEMs/E6nJpkq69xKetL6ZISCymApUkP4CLuxf4vP8A/P+ZfP5bhzj/Rf3wwXPi67xmw
ZPkBDOffPxioQdYH0JzW5tjdFaOxZHacIORnrKlCiIGdeDB0VaKbaTdDMvpcuBvI6zEU8QKkVYnJ
rNHRuPd1iCJ5brvVPgHqfZ5N1Lr9daLy2SEE8EhCaVoPbvUVx15wqq15dqFTY4hTYZxCy9nn0r7F
KLnX1Go/84mm4GiBpmq3IRLyvZSow7S6mZnhI7E+ndzoZgJmNaUS4GdciZlpQCuEW/S9dZwLczDa
4lJcpIcftfD2Ims+4shC7YW2VJRfMfVJO2WKHBhrF4q+l30Pev2YRO6+cM1z2Tw2cbjpwuaBftgd
yWw/4DpcYCk+2INPb06hFsiunlHQUKiYj7nnJNMuTlGzbnNc1M75C6bnB64/C6PrN55GcwUiHraG
Ry7fT9JhX9E/ot1e5gZAopNtxQRTGce4qR7A1P6iMBikQL5yo/1ZIcIfNCYm6NivWd6YUHs+qadQ
KPHf9Va+MAgujSkd8IWUP1qFgqFU+aKdqZteT6W8I5UqNCQYsSkghgAi9sIskKPGqXktg/ZUOsGd
9PxfjWzfxymDcJWeuiR6j8huJpsqL8yVcuK9ixI0MNxd0rmv4WzgEMI6GKl26OZkKXJ2Zl0Pqwan
x7R8wT6BppFM1lYo7BMp6rkehUcYfFio5H34b9Thox/06uFTemssIPXaA12xzIfh7I5QBjWXqV6G
B2IJXPbN9n6ktr8vKEoglTw43i9z7s57k/UzaJy7ISKBmi6kFVqvQaA/tmP2XtjmqRnQ0kQGQ1Nc
O9uR0lCQ2tMmyMHoqZXL7LaOG0k9pxzWeYGkOJzncoQlu66ACaovq4AMAUNnImpNOm2A5mdSQaAp
MYBKryb0IsKAgHoDnF5FU6KkUDYT38qMCMckTTqS6tyr1kH51xIm8ni3DtidxnWLgWVpipacRJR+
9JhuSPozETr6OiqTfEUhZnb7C3tl0zKodAi8KpGE9inwa+1gw1bLnrNM0/iOcrCHNXaQprWNJ82t
9LuutA49XV4wa6G178T45QoiPpVB6mSQp/5C05iTe+P8CDngABfegNalPboJjkC/cR7loNHnn1J5
h65oqcXC23tDtjMBavBT2ru+8NY+OrCdTMoPD74nMXuKPCWtxv4VTQ9dO7OWsuH7EBeQRzWa+JZB
LJZFGoZL+gAfvvRW/uSs8QhGq9sH9AjrIDOs5i0iB6K+Vq7wncdbmLc0Nsenri8Yro0J7Zjx0o/M
JfoqXRDeuNTSxN+CrNkpo87RX+nvk4UDJRlxEaKNJWlcpePaIqmYpa3wV3Zfnf2BSB8vd7/XYVRQ
nnG2ekVCi+Z9peQKHGUouE5zrWHB6K1663Fg6buOzIlAVcCS4BifQN3KS+KS8FW2/trOFG3iDvhW
rzxvKx1kfKTqklzvaHRRApLAQsoRq4lp3MoD6rK05WyWzpBTsVhv2gXZSNViHtd2aPnekgBnpFlP
xlLPvshhgbTp8+JVVSR73cF/2Cgcsk4J4zSCkQiYOEJQN3KwC92ngWWNLBhM2Gt9bm680PrJWkbb
l110lnbWrCA/n6vA904GT5An45VyYbT2TE+yUDGPtUeUlQrlfW52d6rnV8gtX8GGqsON58fEylu2
sUsDySC31dtKnIkdewVAF299rXgpWgt4qAepxXCG+8ZTM9T0mMsx2aGoTI7RoaSuuGI85QiECOFE
Okdygsc6yWtrRaFqoVlw8rLhakua3lal/3QrlAmxYujMa3UCYUEyMZlZnqXXm9oN9IXs6/vRJNOc
90fRDat+HsoljXok1sbaZo67rJrsqAkvXOrWfFEJT35ocZxuw078dJBdBZpLbJ0pPFKYLDILATTk
eXKJFaxOVrXRUn1pDTWFGvrGwsanHQX+K9lQkk5z8pw28btsW5jirBgXJkS3LSvAlal597kLRqmu
NS6CUb9TCHRedPVDQiZ45QQ0Fo0F0xgtFznj06i9dsTnrGUFfDUY1aNRZ/2azuCwvkG8UuXVlOL3
tw2n6VcVWVcH39Pe7EajXj5kWyAwxTFJWF6iGIMvgYwLWD+rFs8mF4deZURH6hmg+1UPqcbADDjV
MvpwojwGfFCkS/SzpBKp4NHMvSOGMeslljCiJ/zEi6eCET1ZGCi/NNH5l8pkvaUpd1umSbISYbXB
1PHqjmJWnwhULdT4g7C5L2V3zlI0840FVZTlT75K7gkcapFyyR0WGQCjJcKTtkoQeJuLZjaeEFnZ
z0NYN7RABVRLAzxkMQWh7RTSFdmgurdJY8xAjw/VVdQcOLb34VWkA6YjkarCJJup4PWgeQxL6l06
XqwWfSb9ZcNEDBlzAOAtm6hAVHsNtys6MMVTxhHzHmM62VU57XVizVcBI36UZit4oO0OVGO6ZeWt
bbVLS4Le2kibJxWZOCJj86fZd+Petqzygu2k7k9pTgbDrI4GH/muzGxr9U1Cta/64Uf5i+iFScWa
ACic/ks9rPy9V4SrFCraEtAtyRntvKqzLhaC19XIhWYFTnRalZMAIYtPZgg09Gp2Q1Q3q81EEFNX
jPb9xJlmwZxbp0VHnid5eNp8ueiEgsIWfsRx8tSFEIobElNcpqy2eT+qUazGZtqbwoSUEJWrCHPG
AiDG2cmseiWrZlUXIJ7hcj8MoGwkfC+q1Fp8N/TlIYPn6Zj+z74a6Vb2Vw9FhueVJkrp6mLInJ5o
58HiSel0d/Zb5ENMip1fRWF7vH8/WXRgJKAugHjnG3Psej+GjVqqqP8aYgThpDJ6qqALJDt6X+6z
auJ1HHjMdyaIMRV7FIaadV5HD3bUfrV2sf5umuPLCHxhj0nk2dfil7FyrloI7Loa3/swhdIo+9W4
pO2PkdBxFkhQ+VrbmQzU7bUBu77S5APavp0zPpHmTjgoIXWh5v/I/Al2iUEhMiodEleTbWpRl3Uz
IIk+keZ6Rvkv3hW1b6ws2Zy9HF99lebfK40vrUhpR5cWxOY+x4q/mrCbL6OBMFDsaDsjMl97T1+K
rL6XcXcde3sj7XidxdNOM5W5KlBgh2n2C7/pO3VCf6m32lcXE/M5oQLRcbbGor7Woj0Y4jkfnrOp
2tizl08LsmkZlaQjis1AODZ1Wf0n12dBYf0ppncmcAShJdZI4y3aZRU7zTIdM2tZd/4j1KweNhYr
ncmOV4VBcDqiCiudsBrFI3bXjkMxjXeujqF1xIYe1B9Uq05zmNTCdrI7T7ibSqAlm7QXQr+eNUPu
Y8N/gGDgrCASPkUBfMy6/TTtUeBNS3Y+UEop9PhMPy0g40SjxQOL1AunpVEBJzLMTyoL+irKOBpa
w34vkPhCDYSDJVpvixMZRZAdd0sztUhC74L/R9yZLTeuZFf0V/wDcABIJIYXR5gEZ1KzSlK9ICSV
hHlIzMDXe4H3uut2u90RfnJEBYNUURQnJE6es/faWNQWBxMipGALNpLQbHTWK6NlvDjNiJFIptNu
bG/Ck9g8B1lb3ZjlBOqMAqgc02wFgkNbW1V/yDpz3NWzuK+s4Uh8ahTx4lFU7dy2+jZkna8RL/zo
Gt7WgfjA4hkVRkHkAemL2TYJhlfyRg6smmBHlHJX5L17yBgU9UFO54bnt+3weZp4ooBaYKlpNJAK
KaR6Eg8DDds4gQQZtWPW52/ViDcaQsjK8cb33MzlYgYgkRHLZ18QfZWM+qdUIQpGwjT0qXkeBa2v
SnymbrJrBDZtwLdkaucb7DT0VAdiOW2Nql1kHVPfOn9qeidbc9JRzFbYEOsdanKmvHr4qnG45zp4
rzAdf1IMHdphT4Cab+ZMiWtInMSMEeAAjwNHevHo5kNLc3kCihTd6FmPlJEzAvCYDG98CBmXFB+U
xSjM+zdbujPuVTDICnY4UyPkdLSDQOvCC0MLy6Zkvq1bj6NoQWwbzUeChWfNRJeQKEn5LDIYIN4P
Z76YTv3GgzyWefZjZHVAIGuumN7QcfcU8TOUEI566oyWY7TUf3Vef3RUsWwbxpVn1EyAw2YlIo4g
5jsrmhBIL3IB+AQxuTecJ0d+V2Ou2Bm4fgs5j4q6fx8SHJHkZoiVrnkMkXYRcXZnzsVgnZSzaRt1
asLUV7P3WAviyxdR1MAgboXXHTCwpa/C0njp8i7fdryOVZtgBgVBb270toWZq9mfYZIXZ5NvzDaW
9ZcRjNkFAclaZRoIBfT+A/MI2U3DlijrnqCQ5F2jZWmO7M2TUsfCkbY6YY7kemmAuNDxTDu+/GCQ
au9JuKrZZg16tJ7HrzLvbaoLmyYtsI+wCp+K0k19KE3kB6QaE0hc9I1N2QHsstw4aO7XWTqCR45p
KcCPonOGhtbMcOom4bxtU4bJZqlgKjiy3k2BflHViLS3JdQSPKs/Gs5zYg7FpsuLA/DU187qUBYv
T7GM48MQRRAqvfllCt0PkuZm9rfJYxOqaqePjAMMVvSpD50bsRw6Td0E28SdDoCNOQo7my2BpchG
9gpzm5GGG4BT3til9g29LPHLPJ0vBXLmVWhk1oq31FrJB+F0C0DNAhDX9Y957bRHpIhrKzOK+9wD
sqieIWOqWxU+ilCMHAKIRKOCDoU2kGQVDeCEy3xZ4YNjYc7aQbPfAoBD58hUDz3DtSis+VUF7nXB
LgonpbFrRhd2ABwW65ASgSU0pBmSWNlhygHVkCqk1gpK7U4W2cOVdxuxY80znDnslpVvSNkeigbm
kfWLFSo9d9sgoj/QjBYqVfmOnufdzrwzYv78JOynULTDJbMkA3YZnCPGUo7BNAJyJLW+W+wGkcuj
Cpn2SyU1dBdM+ywyPfx6dvZp6fZ+7nliCSPNTjRWBtMi9hDLwi603ddruK8okdq7HX5oW0unQzfB
3xqRCuwM/dKgbd2XAczKKQge+4GjKS1zdlQw97ZxAL7FE/2xw3S9qYIKX7/V1+dhaHHsmtn9hCei
xS4UOdaLh7Bku3wINtgssrTHnazZdYp5ipkpeWvSUKguIRhuIvZsflDpPRRF5mlVS+Z0IWyUxqq6
lSGO4myCl2Pij8AU2rx72cj3WdgFJOCJisso9rUGUNWp4v31b0iCanyANesMnPlBCmb6YxvMZ8N6
CqoiXsBXiDF6i4wUyznEDkuYSM6j2HZpGd2y5yBOYcj8XKd3NiO9vtC/huVAbpM5zfGmWSTEZbEQ
ISBu8GZ7J4UnbYG2dUMK5yrB/hEUqY4ItPusOcfCvAlmTGwTyYSVuJSF3m7Dzvhus4ITDzrprW3a
iZ88h3n8ZPUifhhWxGuLm6SF6rG8M8j7xYr0mnhthUSUK4Q8+hIPAks03Awa0KcEZNZ9JroFB33X
L1tA0IxwWAOXb6NR63ug1Yj5caezYoxk5qCrq8DoYS3z7h0yZnXk5neFQWp3OY3jbmQaEMORee0N
fX+d8qKbKLbLhv05gTFEk+ShyOEXFIyK6DZM96bVuE8AHvY9thB2tPHZqq1yMwbBSTjzXTBVD5AC
kQqnfKuiiKNcj0BUOqhbiBbX2NIVxdlF5RR72bSrJ665BI5Kt2G0sEAAg85C1wP5S2vErqO/ugJ8
4AeCgN0wq4Kjy/kg1BlI4KmnjZR7DFCijw7j5zkODL9KLRQeNGT8eKxvZ+Gp/Uz2DLuQ3jxLgYsL
ISliHqbaNftbJ1I8uT4/h3m+LMpsPpJheiopFhBTmD84fQ+rxlWoDcywRvjdvGkm2LwBFSXysGbj
xei3QjT2zMNcZpoN1Ushesq5PH2Y4vipT5L3ShnxDmrMi4HImXBPO0Ugy+rMTu5pCGhGtYZLnatl
353Axh1a7AqBShCd2v5scje7g0wFQRYS2thbx8rEcmcmqOJN8toCzdJ8z2SLr83os+x+BEc3kU3c
dFa+jfX0jcQsHIxx8ZzlQCA6eyDn+Sy1dO3ayXRT9K1EEwC2LB7QbrW6CNcazSp62tDG1PwmA5Ft
WR++B/ia61ghnLLIdV8bZGv6sm2/cLI+uyObRK0WlwQ54P76bZ5DTLK12GNvIR4G7VFb8oUeHeJs
ZVzj/4jPJaOr+yLWkLSxJlPcUSDF+WsYSXHIxuKH6GuYzKK7BP1iu+KMUeHKpe94clnDaGDQGVdj
+WiYbftQ2ugq0nkm3olMDF0j++QK3hrnn1Jz0pu0yZlApbwx/RhslQX1Im7WCba7nbKiatdbiGW1
WbLAdYz5Fd520P171hGYFY637QICfxOR57t56jkdhAuBcTnHGi4ROT19TWTiiLZSk+zsSZGeOLDQ
qbar17U3ckKa6u828iAKwS/wlzbouar64Ni9WQRSHi00QspIA0592dkZAnFU0G2OuD7WuDzsx+Lk
Zp19RPdmoRTiVGWk8T1qrprI4+CoclVB/UzgcZm4pypaNrt+0R8CpfmajBoiFt90i6CuravH4a37
GXSw2Oeubi5ZFrxqWY1+I1bKTwSyLX1KafAk5Z2IPDwxyHKqObG2Nq4vnFLDnVEn1bGsSQRKbdRl
A2qhiW1nY089DieXA77LGKe6Ny2V5A0VF86o3g5BRMXeUSGxMWaKizlYgJsWDbie3UEgdWRBJPml
fW/tsoZekOoTpHBVfsN5lJgHs4wecl7TEAVbuAHM0m2KQRvU0sKr8/ayoxkC0bWvICbFzob13cbj
yhc6jiPzSJDwH5HP0xKATbVwX87Z7Zza68RjDCnJNt0XVfUGwr251e0UvruONgLRu8eXOPiBJZT4
oaRDvhYnGN+0zi7XXokFt3QJsHPaRU3IjLW0a/yew6xOQY6FN6pZPdv8aNMXIFTk6BIR3zKs89up
gBJnxTdx9JS6Y33Sj3NyRo6n7cIpCla5N2lHAoaRUPXRsbXrY5lp8hFiE3VAHBPcJsYHgOAhAZN2
RItCVW9YTTFPRsG4sYizwSWl/QwiSRNU/uIbMG6y9pxATN1lmNH8SSv3MPWxBUfMQrCo0QsjS8IO
4glPr8/oBOiIG4l9nrW3upbJc+nikZijwe9ma/Jtb/R2f/xZpJd7LUpaX1m06nj6nxY0kEfzIChH
z3Rcp7O7hNlHg7XXAq07tQPyHgcxaJTYZzna43awS9rvw1MTQ/4ok6g4kFrl7XjvQkoItsBjn2Vk
0kTk4URgSjoRbyVKCCrSNr5xC+sb3ojaunVe+5SS7R6T0k0tlt2CUe9gPbQS3zyxTEEANttgd+hl
C3ocj54x+0FLdcXAgdhGD4ylGQpnow3TpzuLZI1ttVglSiILMiJnTVR0dOw9kAjpePJQlO2zuv+O
zBgGz2LlTWL1ruG3S6G4oyco9a0XQy1rsYXvZ05o3nKyH+nb7luzfRZk8O3jNFznCV9kmAg/GLtW
NNTFE5MGe+3QK9iMYCX82eztrZcwysvpKRheKk/S0aq3QBrIZ9oX8Br7vNHji7CZhbFLPToZPcUF
msKW7mdahSiW2xJVXEHUeNjY/kSiBiFPMH1cE9ObkGl3GDXjUZpsFsoqjtec38gPn9J+P3I4IORB
Zz9vvCx4rojV3HbEW/RjuKiP3GXiUNAVkN8WOp/jqNVHLUFSqoVDuO5dor/cGmqgif54x5IXbanM
jjk0FXxSmfNUZB/g+wiN0wnu0VDzk7oqXqlYsnvI8fPzkHrH0NUnmFNpdgYMcETD321asuSob8gl
x3D7Jsuq2aiWQE082Aj5PMoizo8d4uWxj4udY9MemMU2s+jb9fHO1OE7t57xQ/NaOvl4oqr+E9EJ
9ISsB1UAgRHhcMBiWrgEJvP6/vWcWLj/c0qM8IoRgO0Yti5M+fdTYmQaoRKVbW0Ccgp2BlsPa8qh
QQMYG1FlGwr3Wxp3nD0ThndD19nbvm6PEGp5Ba3jZ7W0fXwXTLayaYWr7Z4jxQswIlc2LgZL736S
YsWQhQilxNUfhSCHCkBhSRz5+NKBhgrlsJOABtYOhynZQNFmCTnRMxMut6sVjwFo70kFJy8yjv/6
xdv/OPu3dd0xmXNIoVuOlCb6g7/O/huXNr7DN2AzqIA9weTsSD9eoaI+ZhhA9xFbHMOZB8yAFs8l
+u6CG1XJ/o5ToIkLfesScpJFyjknCcb+KOs/PGbnO6WL95Yh341XckAULr/lsSynXr4OTZZ1dwnk
DltxF9T1CYIHG18m22bwVYBYxZIb2scq/zXTs/hMsujOvK1nKYhCnetNiA5pnSIn8qWBWqYJBME2
ExXUgEN/Y+fE5iZ1WRDijceAmzdx3r05lJM+IVYfXZ22F5Tx2m4yc8gTVuybhHjdBSE8Q7v9ZvWk
KrFSYuQLyOBbIw7Ks7BgdqeTdpbe94yq/V9/Bsb1G/ZXAYaNWImWoM1mwPwnAozIw6Hfx7zDuoLq
4pXPhjCptQVVLngS6q0MSx66dLveZpUCwBzo6Mij8MOa2eHWbv7diz71u4lpItX9xurdzEeYmR50
YtCXcrDR524laVDtoD2TgZPapAZr8ZM39oxA0jL2q8qh22E4j405JChB3Hbb6JJ6Ta/Gc6oGP6ts
viWDdP2xTD+NUFkIG9p3hjqP3ZKnlfXDUetk6ocDEGBbmp8ac/KNZhjTVlD/wm0iHMvOtKORuxuM
+tU2qmBqpYwT7LJwH8JQ/iR3aVj3WAL9ZCY/QgZzAsnKfEPzJjEiMDarpHHKGdViOFX2Y8BMnfG2
WPMo7skdweNp1hMFwZHqZlMEnk3TA8o+855w7el0RdsZvIBVasbJDeSnYbswZWFZn81IfYSJbR3E
NP9s+P6eNNmyY3KM7mAuVCuo/iUWEnqgS14EQyADFcBzmAwrIYsJMf9UbO1OiDUdD5rKJM4CM02n
NfDrCbMleFgyA95i6xAZHMpuWvGCxHzfLgFgmlkQitYdgt7A2N4RqMe4yt0oPP2bMEHoGzaSNJLl
G9shQsNq9tKO6d11G+NGOMIKJ9tcv5X/J4HWU5nz7x/VWX+VdP2H//ifT//2Xdb/dnncPv3Le+6+
ykUr1fzjnZZn9P8j9nr/RbTOlZAQf7Z/L95ykAohZ/tf1F7/mX181e37//yVPwVfhu79u+d5iIWX
g/rvBF+Gqf9N4WWj8NJ10AK6KW1hOTZ/9E+Fl+XyAI6w8Xp4lmcarvt/UXghrl1OYr+XGMt1bcd0
dHdRd1nIGXm8v1vno841g8gOzds5MVE/uLEDyTAJ8mMxGPky0vKm9T+/GsTcC/eqO62vV8MoLdEQ
vV9/+3rhGHlx9JYLlhpghD3sbaI9KZBkXDEvo7fTnpo+LI/X2zkqcuwsy39dby8ovQPhGpELmxKV
xZ+Pdb32+2fXm9cLd7nL75v/cL/r8/j9awmjFIZok47VhV+7/sf1Lr8f4PedA4Aih0E//vHk7eJz
qnQOu1oUM/Qqi3J/mG9bE3yjlVziPrGIKvhpKj1dxq28muXieg0gELgWPlZC6fmrhVbhlSH32EtX
hsOrvP500Dew0DWzF1uPAvOsxXr0VCb2S1Y1zeV6KwSwxkKv4RWeATYhDNkJL2IBb4bSOSkbAB6f
wLyD2tyQXu2kezOzvTei6a1xUG9Fr9v7OYL8bugk986ZstdRHxOLUDWvXgcrlTTIfp+msf2cBObF
Cvv7KhDFbZf2460FfGYw4pQSNkKtm3nDYbJsmNZpXL9WpY0IJK0cpk5YkAe9ulOtq06O090BhKvu
INHE2IbwSIXBYmtBiHxMpZXQKzLjNdm/v2aK6Q+yT7+lBVJJ9+paoiaG9QT13D0VBfmW9Lsc55RF
sYI6btybOL3uRUY0Db2XmG0E8JE+xp+emoudOjCHE4qL8aSWi983BQhmWE7Ds9MOzSWyAV43jGC2
gmn5uLr+MJ3I2Jh4q7YSUcTN9cKeaPkEVrY11EzZmofeI2lRxiE2sXmELWD+5j6ZbPel1aEadgUO
3mBGmJtb2gnlAW96yTAg1abdXAThpWyC8g4hTHWHCBkW0uScrj+6XkRAL3eJ1yXrSWr0A8x2I6cw
JgvKiG4l7VUYVAN+wuVnfVulu8aIpd+Og7Oa2VU+tej/gMMSlYQSiBmyAXXFKdx867R9gHZCivcS
1zMn7eGY9SnmPTd8ZIxrUnCZW5Xp7r4HUAeNe02etULXOjmbcvKqLbuln1i4iSkzov6hWBISKqsO
XmlSHU0gPHldWt+k0hDB2cuPPM6+yxm5M1w4Z10mUIonLfmRKmhstlFVJ2u5IMy0wvYEuFYZ7ll4
2O0bFtNV7yh715ildaeVMwAmL7W3GH1Yagb0m0Mjn/Ju7NAUBdVh8jjR8yq+CheZSuUV+oFojOyl
qWsfqqn6WaPMWtFnLVYSJ+duQJnxqhfmA3DK9JyaGlT6ToId5kK3OJ13IeqV601JlgLiBA35OxY0
B7XLz67Me18URXUcighPsYUvEz1Wvguua9910ZLArNnILmvhcltbLpAE//cPwfbaHAvE8EKnKI/0
BmvwEWEbrk0Zg7slhfQ4Lhedpv68dv3Z/3rz+h9m5v75G//sfuz93mlh0XxY/mRljuXxeq23mrXj
4H2rg2ck5fney8f8eL2YJPHPQUqDdPX79u//vl5rKavXls3o93oTDQ/3hi7zkY6ggn7f+fpYv2/+
cWfbzveG5foAC/Pj9aJv4uIIrAe4y/Kz683rtdCB/7uQDfPjX67+5e7GSz2haLn+5Pr6lWqGXVKB
5PjbR3C9Fi/nlj+uhWrxLWY2EDHw4eO9CRbjjz98/UPN8u57tt3k++vDji69QkaYPLvfT+yP/7/e
FfKlXZ+u/58uBP9YybyJ6hd6Ez1jlFT6AwPWjRlZ28LuvhlPkZswwNO+JkCQtYWUQiNiG+KVtW+6
/NvRUJQN1Vkw317DO/kBWKXwswcMW7RCY9A+ttuQhkYLKIRQAxrrhpYrAacV5P0okAczD9B8JvPB
mSdOWQayrjppbpUG5DRm+rZlB8YQuD7UGnpJG6GPXwwV0JRsoL51VoJd2s5iNm8FdD7QAboo9zaK
z9dHQ7sypfEVtfl0omR4YMyfb3G0gAUw9B14bAXxCRdum99knaYxT+ggd4MkoLtH2R+dGH7EN3UA
4k3X7nutR5u5DLpQPysHypGo5/bIFtvHdWABb06S0yxAmlX8/kyygmi0FLPQQlFgHsdXu9iaE0IB
DupiHzaOn0/zd14a5q1ltDdR0l+ID/IIapHWZcqNR8NwTno3OX4dCPzXaewwO6U1n+trahHnYCY1
uYoICEmDTOCeePFrwp5nUYkRyOSxM8aAsiZEckpK1DQIlVwoGENWnSIkEeep/fJm2tYueX3gIQSQ
w3IbWAKshWLbYRQjRrpS8nF25Zu04JXYUwshT+Tl0UHW5fCAyE6eI+EQkGxbsMRYsCtv/OgziMJ5
Ib6JXU5WUqfRFcRRvS4r+8Hy9HsdjxxUGnLjHPq+9IOqbdlqnwzLSl8YmrUHZL/5g9ccuURzdpO2
Nqb8efQQLuXDxjXMymf2diHR+eLl2S4BDHLsnOnWHRemZD9d8mgrSqb3U9+xXOH9RkoKtx/R7ypp
bJvuTs9wiZ7OJspx8Cod89Uo8uFQRNZDXyLziZlHM+dELFQA4e97lsa8Sk6mC0s6lLaxD0mfWOkz
fYOwhHvWevomda2dM+h3ATKogzVL3yjHdV2FrxTh+bopsZy2In2a9PhOA3vYacgGhzuGNBisytdB
RrqPaE7fShg1cYVdLSgisiAUn8YSNDBGUN7I3y13Y6oxjDVvnbErn7QpvaRMgjZOQhUyIQ5ii/Uj
i53gRFA1ZqcO3n6BQThmiI2oiriKWiVEdNQ6vQngkIP+VBG1srJyvbkLhwivDaYjNrzjwgDUjzHT
w2AMcd10RByTJLs1PKxTi5FJJxDs6HnjKYRdw6CHkKy5MpgWVogQgNLUQYsRMgraNedAvyMwhZFk
jh4xUHytjc9MjNoWdvVrbvNELEx8RRYSh9gK8BtKG0FNIi6M9PwUGSZTIENmnH04TxqJocFFn46j
+dJE4sGxBzyp9vRAWBBxXjAmV5kFJElmonrg+NvXs/XFwNcl4oFKh7TK4Yy+EcsiWCVBYFw/E8vm
kH7gFcVhBtE4VEz+0ImA8UFknUW0JgfrJ8YN6K0YZA1zRApil49lp+6TvP9yFAnBmk6uoUFWA1aT
g1hSI/Bi7123KTdR51i4OMDjdiyBl+SH3QN2jZ0ZfXWN3hBpsvJN2hDrzB5f4yY8FqzWO2mMiE5r
FuKM6SxcoxdyWJm2mGGwkYl1p3vhFiF3tkIlXTH6HwgQrzepgzOiB4iCFnjepgUJh42yo2PsaPGq
3RhVjSBI6s0RBSMUpyGyd17HmjxSH65MW73kGbb1zlE5MkLSQQpRkyybW89VhLc2mZr1ks9jDBWa
IshuG6WdChZTZHfxR4ULc+NVeD0iSecLkdhL54bOFl/lInHolzcU125Bg78AJr2nLfdk2iBC3dFo
t50z3rO5MHaLy8QbB3fFyMFESF2f5mT+GjPODDx9d4PhbGH4Ah/XYJgGtsA1wyKGDFpuZppgU2+i
Ogh5GrqO4MZu6PnNRrrvkb+u9F4f9vkvCz/Do5MPaoXCGI1Hc6gL5611iBIpQhJWsrZ57OAzhYWD
WsMcfxGnc2eQWbhNqjHBasaqSud953TdIS0YM4OxiDYWGOVyLi6GFi0hCNXtyKMnky4JN5mW8wL5
2Iaci82kY2nwUJsZnEbO6Ugjkc7hGHnYllBv0Yx2H2K9Po9MBejNGsAGSa6n7SgQ+uK3hOWLFdCJ
N7WWB37+UrvJhkZ2RZB7dtY5ki62IMUt04+OV6ODdTeYg6tTwVfemUzcUzXjN8snPc55IG5z2AeR
uVd6nO1moWBvx82nxYrd9fuExn/TO6zhBZChuGacambGm60x/OBhPPhBo71qSGPAesLOAKbZY5ZX
X0A4NgZbGvD65Yekej5MfAqD2tmRaz7V0vgZ5erdaTAOjzK6TaylRZVBRSiTx9AzoRS5zCBbEls4
fMBnTEbwkIXOPQgUNF7gMDbORGB4bFcsDtZUna6Fe0msTcJ+FbGHujCD1VbjzK6AIQD46pjGtnwb
3QnvPNXVQFQArDOSdLLqO0VkXndhT/c3mAnU64muMSOGpGl7YGb4HVU4tKsm+lKdEpsROZ9sXeLQ
Jm2lbFC+mkv15GbfoQnMYZIxguskUsR4R29GTsbkNCriGxjqhxiMqUrjdt8UjNFJJQYgNdyHnmGv
TYPWfWCaJy80ohtOmpwd4bBa403heNBbOxyUTpJtG7PW2DSQHaw8YfroD1dKR1NM1jh2X96CcGjT
NUr6zpdR8dbMnD29bpKHBpn10EHEy+f8I+LDKzNcy9lEl7MOvY/Qyr7ScNm3OaiwCfxYBsTpQqBt
XIaAnJsdpY7mRAZ5Z4xyPRTOfWUTBdTm90jfOj8378bmIdHAvFmJkwJJjuPnmhVdNO1H10PzKgY3
9FG6noI5s7ZREh5YL6b1TExaBIlrU2EufahgEFxQx90qWv3+FFYJmH/zrsTCsxntclgZmm3dds2D
FaoMYap6VH0O/J5gLxkRLxOyZV4leTy9Z9Hj2ANzI4CeVvMQXiJSQ/q0PliO0xLNInexhwPes2xI
fuYb246QuSeaFTw37hQsC7/IAQ8gs4bMfNbNCYNRL2Y/zGLi1p3hRPpQ46eFrKm3lNipmaCACkJv
qJs6BFCrOM8Mz1ewQYhfDEaMD/DgyZCpd5EE8JkzxxiiMbkLA+c77DjlWXGwq8smOps9h+vgNAzm
qv5H3lSo7Bic3Ra0um7LlHNxyGpMGwa1XD8dIwgM4BQ34fDd247N0t5Fh/jF6pkbQHt7ClX/yTnx
UDeCqAqj3SQNDo4sCsmYGSHJx8luAJt6gcCM/pHWfV0wjlNLr9dqROungcOmdoVuQ22CLsg3mYto
Z+zzLdj6YGdIyvTeHJPbAq44lJDSfW6Exve3Tm/0qeMGoGKT+UVxqXqs5N1sFyfpipsqayDdVuz/
SmN8ZQg/leV423qMOxgH8wzcbl2bATa7vAD4ApqS1CacxR0+k3oOfWg0zaqiX7NtQfOtxpAak5b9
dOiTTxIu5MZWHpId9hIIeAePPsNkbaeJvSBbIZoQwefoCW3TA7fjBdCsamrCA6VHpHiIhyoyiXez
HDT+ujJ95oLboc3DnRtOJ2Ux0Om87lLDu9Ba9KSaBnPfzutd0ap6X1Ui4Jh7smpC4pvB6060QV4n
gNbwW3TGpJkifBrTTK8teHqCSVQxy41w89SniYd/pr+3QlHtw6Lls3WxehRMjdaetMPTxCyww2SD
gQY2XGpoiLsRjc7MV2eF9CBPQ32l6WlOUQm0oQ2+ypxlKWiQ9tYln/HQ/zSsXCEF1GMWw+GYM1CM
K2hMeMzXNvzk1WigXmwD+TxUwFZr+C+o9cbpwZV9uyuN0FpPItdXDBRwnbEd6QlBRncgjzSctnPR
T1teELVFlG2LppQ7rbW/Y6TL4HS9tRg8ikOqP7gy2nAgS/011ogeSiPtnNLocrzQ2c+dZ2xLEsva
JfFtkPMhRuYhrRdDRCjNKidk0g9hMa2RzAWMcauqSU7CrO1z5bmvThqSYhh6e2G4zgFR9poMC53h
eZQfKlVuECpeJF+YJ4kBD/gBNpUqvDTMyh2BiDnFXmZQ/uouigUjNW77cbjJa52w6p7zt0bFbVd6
t0biSI5MU1F/MrletW0arOWQmjBZdLGEXq5SQW6mUrNOkhHUUEKw2QUozjKqnJqLM0PF1hnrug1S
2SFZh2Iqd/Nb5MQN9jvAaWWoBdswfFNGG+8Cs7nrMbOifKbh0y8xk1i0NlmNLArBIj2mdELmmhSZ
r6L4riKqj7I5XZu5kdLS2VWmle/tjmAnUnPpYUFItL3kHGHXITyFHvCoTScxwGjFQmBAJ3C0m3mI
kVfRzlOx2W3CngT6RonA7yJabJaLpIpowwdDaESe1sZHWxX30xy+kGH14eYBobZBdGAvQjmmf/RN
nSG18ShHJ2QFeh2uwTGWh3arVR6JQhHB2WJKdLQN2JfxeZ7FYN6wABo7DsJ3eCLN+BYDbYoISloV
OZYyXDN7FOXkN3QTSgNteHNagFpaaYEnw3PEfvUTuPKMt0A/1YSXUX4nfLi499rcUOsJ0pUDJh1t
q4manhT6tgBYPunAZ9pRlzcC7cGScXxfNtrAngLdi5F180o0JabPorzJ6SYY1fyESNGU+vwQN5hc
2Tch8U5zHj96l7JKoKp4864dzk48dPueJqywwvtgJiyrmgCC9E7Y3dAHgvPOW9rMXvFQETiLNTNG
pevsNSJZgGqGEW9QdBZo9HiuflNaJD3YBtEQxsyWpaX06EnG8T0N9wH59BF8E06rr1VafHoM5DZY
CerFhn1GUaFttMYziG5B0WmE+wweM8AveIa23d5bSj7Cx8Np7FBSYO9cjeM21mpnFdcAVliFVnO1
JHOiPelL460TBXsRM8RRz9tuseAeWyu+t3U0UI0OHsUpkwcN+AtPNSb2eIz7lVezSo1xumVmGUJB
4U+LKfhCu+QCB5pRY3VYYlA/f+JB0FaMI+wN+K9xJaUFaCMVX+WII2FwOpJWkGyCz+oPSdbu4AJ/
yXiwj81IrZXDhVk3wmRviPJrnao88U3JfzRsdPw8H18YgMlTpuDo8QGGJaFpuoGulO/ULqxmP4sV
tW27zWySsZvuxYOe7b/SPEBlN/M0XZDgKxcrqTOmxaUItPPSIsEkO7oMWG3seXqHymhE/lNTBETM
9IH/ce6dFCoTI6OjD+qoKvA3dGQrz9F4CyywG5CeUmMCBeS01ShflvedZ/a8k+OnbHi/zaiiSEF2
eMzA9ioy425yPuX1OBFaa3TWk4ynF72cWwBgo3XQEn8oG0DS0GFZOGnn9KgV/YkUHH+sDPIU0MES
WhlcxK9kNCw/gBy8pkCd15jmon1HYPQw5rZfWhcz13typCe+BTOuJqr/tR4h6oL+FpBYw3mdVplt
yGM4sJ+WyCvqiSF/FE4sclo/7+Il4mBszm6pPfZm8E6k9w3BlBx69i8rAsBiN9OwjoeQJF77uesc
EzzX+BrNttroKn1lAk/kmpDsKk2xzzCvWuN0p7XF3hyAPMnceGEwRqqJURM3kXkET+lyOHXl9AVn
ETochjMx3qRdllK+QtyRRnfCXvJf1J1XktxGu21HhD+AhEngtbxvw6Z9QZCUBO89pnWGcCd2F7Il
dbOlQ8Y5LzduhCIFV8WuKpjML/deu1tVFno4t8gekKt94/flCuu8+pobLTaSRrs0sqvfj1FBpAs6
am1cJI+UKiiWEbIdYvM39GL40KRPMYflDLp0hx9ors9l4sQrgVn/OGjo/vIGIXg/fYnzIL1LzLUZ
DAfg4PM50I1oVZsYWKugqvfll1halFE3mda6i3ok2ltLJyiSzfBJl6SqMdk++Hg8miyKHzLnS+RU
xo5JU3/NVIdfPNlpCwXdtnZ+EUImH8IPYjAkCw2nJfgsfD94PaMA5xL5PrvBperXfbMbygM8MoK1
7fc7zqTCRonsheNCPgxyjLcY+S14JWvff2+3ZnaVeDvX0XJ2NeX0wK/6+ySYTvMGxgXtkvoYmtbX
rAu+d6AFNsQ2fCydmQeZCGM6Gd33oWWmTf6O48aODf2+Jf96h4ycyaKhEJtG7+NHR+7SQGO0Y2uI
JxBf2T5aP+kVf7ju8Mn0B3edV4il6vQxlL2LMMZa94mHs6LukGAzief7WbZ1wwlsheV+mEINXkAI
1MD5rdRSuaVTazANib9Un94lmlOTYNV9bGtj3ptDADxxganaZtQioiPpMjGaG4bHPZGdzaZqooSI
OoBbRgX+yYEz4tcQKx1SHbss+VrnaCeKLLM3/sBXPMYRWTNjeN+6cb8bBuuzZnGtaX1z6VMDf4nJ
c2MxDidhNK31LsH9wngaOBka4RA7TU5XaD3JmZmzOgIT1jrrzPzW6DpfboXdCwk1JIUxj28zcMr1
INpmS6HSwEciP/tjmF+0vPtIhPbJdfrgQsoPMSBus4r79K40IMWl9M/k0Pt3oXUzJd71uDxKE/+B
hgxnDf7K3uLL3WLQpJ7CxOp+HHMc2p4ubkOMEYE4Y+alKOuEtcWpL7SQflYbbATK3yDt/H0QlCuf
L3OT1279aLkYD6OidXc1AkTRUI7rk55xr1nf5UXxIZSTdTT0bGcSuH7vuuW3hTyC82eRCHb2eJtj
Om8UCQ4dwLo98+PMSDtUbPrc2uRB8kdcwujPMc+sKVEwqI4JSYCakG/JadQZkCuNQbPMpszLtI5q
/m2bOkTteDnu37aR2IeS4eXAl7f+t3dV76VUDC/vqpYM3H7J6mXjm3/qzbuq41629UDYuLe8J7F8
SUNBLtFF+l/6ileL6i96tZ9IBaa33m5VB7w6Si2+HMRceA9sdVFtDOpfefsPvH3XgqrYsWco1qBO
UI09+38uqdUkEMUpWpqX1f/Rceq16l0SMn3+H8uQ/n+CTnk/ZU7t6//zX3mTFK9lSMsr/hIhGf+x
DHy/nqt7YJB+oE6J/0hiNgyX7oFESmsjPPqTOuWa/7ElkiRpu7rtOIQk/q1Jsr3/SNdAioRM0eUO
aP9PJEneG+GpMFBG6Xin0DvqhjCcN8JTCNCTp9vxcHXnzyluxvNUmuV5FnG/xYkOuwAIyBJrzkbV
6BOiPxLUWA8hjp5fXqO2DX8f+PKS0nF2omFEAKy9PBT6CD+XBB9upBQYYUUsiySwQkXKp8X4WpHf
o1YBA59Bpf61+9Xi84vopWqkOzHfgl0j3mErZCypT/KiGtsO+/55Pau6jkz1FKpEkk7nNCn04mQ0
rkTsQ+0FbtqwUa+pWoalp5xZuKMI4UYub/bqffD52Pxjo/PZmTFJQWkGG8Pfu1ZJz6D9VoOLrUOt
qUa0PY7j571lSUjkNBBqvuiT1YH6skbBnx3qGLuKdl3bjWe7nKbbLJxLTOdTD6iBII4tv/hWfDcl
mCTGwCWAUWJ1ahsDjnY3fmHUET8Ch6/3o+ZDCUwoGGpD7J5Sm2oyZku1BSRR/gvtMifzD6I2m3NI
WrY0OH3AobnmW/Eyeua48SxpXJ1EjLvM9NtTsjSU34h4SkPRnkrgGie1R62qpSibp42nY3TmKijR
aNCIFE57moDzfd74alHt96gZMwoh3zALRp1AuR34tPRONd1gpHeFKPhuS/c4CNs9uYSxkD8TXbIh
kOTWaZeUQW+zCiZ9Y2UdnCHd/hLXTLtEhv6pnobk0KS6jcPJyd87Yt7FQ/cVq5S1D2NENgFx4gB0
Mvdiu717Ic/dvbysqm1oU+y9VYqPau1l58uxmi2Y6/Yj5kDjGgVfNkFb76YTxfUJAYTPRfeyTkJJ
JtZq/XmXOspvzOnUl+1fh5rL619epJZeHdMykXxsI2utL1XlpumzK6aiDVe9ddcSaokt2UlA4s4u
dcXBHY9xT0wnttPwbpqH3x1c9Q9taZEshyOf7YR/vjQZYd2vVqUs3XU0NQzUl+MGZltWPaO3rUOd
1l4DefiSd0HCxYrhq40ttMhLIzTQT75Ea+zELlX4XCYP9FzjLfSa6cGm+LOBFqytXslF7591l6/Z
dJZ4e+aixBSovT0cbab9DzlmP+rSH7HtXw3BdYuzE65u4lM+AewrQdQTbvIlGEr6x+WsHcohgAGJ
jo5pRG0zDObXagkGsvs8gqqzLC6pAYfZ73573uYRBBTVi9zhIZii+p1u5jZKbt1fU8pYyq9DSLxg
m7A4VqaxzQWmKQDmj1Wd0u0OxpBIieBTk2Y38gn73WjEbbDPpBUQZmomx6SLrmqNE/Tn34wN1fCV
UJVrmm9GMl9smfryiHr7XDAnynajSx4ws5MHSP8hxFeGagmpPszz0ybSKC99rZWX53W1yIzMR3Q8
uK/NMtkiDoRbqVlMv09Rd6vi7lsSVeimJ/23sXC4jRG4xkREcxdgT71P8BKmyumlldqpdjI/x/HK
4mhKaa/VYuPrHrkqy1HPi68OMAEVr5e00nqcR2bX2vpWTHF96wUKcbg9sc0sDKSppup3nisB09jE
AaxcL3ifB72HyeL3pBqJC1WTGiFz5H8uRjpUCqPUm51eQL+GS1X8ApLooT7+4eu2dOF4rrBNV2du
2tTf6IL9uI2F5VJK0hkdwUcU4vTSlNi/nlfHooCG+7KujunVxjeHPx+pNgKv3EUUug8vh6ilN2+D
a8F8/lca/tjX/0pZU+PRW/B02AbaS9Oi3CTpPN7C3tfB1+A2uAxUBpnszbL+1CBIQz3ZJBu1J4Ym
T0ydG6V/HjQS0XmUDu51tU29emmsqmz/fM3LnjYA8KKVoBbV28i/X6LFBORZHlUI5L8zT3PBPFKd
YitU686yUa1ySYodt/do1S8hrSItTr7dnp1q0sQKMhwJ8+nClTbmfNMZgfioltS2rpw/uIJIzz6C
ye+Y+Kli71IXWPf0gcm7ZU1bHgJqqYnief3zy9B7+2jlvHB5uJLQ5ggTmNpyA3vFBB3h3xIHakqQ
xMxd5PMg7oN+MFZBCmBZBrl5r7YZM+mu5uKYpqxCTE9ghtMqXLy2mV2VjNvpx4TIBZJljemOBA7b
slggWr009GlyJrJv1PPL/VwEf2Rdp526KgjOaim1fc9mbtjEhPnjHtyqXKQxagUZhgzYs2DIV06R
AcgRElOwO+AHrevGPRHeKU9OR39kwr4PzrL46InaIyR19s6aU3rnpiHQi8AmfaNWX5p6BGL9sqqW
6Dt453pB7R71xVdpl0N5qhx3I6U7XtLChOWlFlHuwdMt/eZunAsQgoMZhCd7OSjXm2RfGtaXevSR
QzfVR5va/FkR+TI/oB7ysq5sX2rPy7Y4REUmbQ8dDtgYfTIyavO4sr3Szx5sswvf4a7ud6WOO7q2
xLHsIQ7vqmoon8dmz6aHf3mKmT+aCrhnOK5rA67lLrj8Z725edAB1erStSH0gXX/Xlrz40S/5aQv
Tb10vNRqMN7JvjOPCQbyZqS2iNNtPweEG/MYyPdBy99ZiNS7hqN0r6PsvataNWZw1po0d73AjZOP
AiVPNe0KhHJoanIEMrHNrUAn5jiS47uww38cAWy6JBNy1Lkkw7TUYY25v7g2zIWH++Kl+PNjuzbj
JtNxuX0y5np9bbRuQaAWEoAdPga8S7M1vMO/SvaSrH+3sFHboEoyHuPoJSaCfTVce6qRy9KswcLQ
xUfYOcNV4U/CVP9GgEoGwHCeTjkeoGM7Cvf9HHZk+o6YFmxG7iguswu2SxgfgfM1NphUFssJqM7C
gPPsF5/SYqD3j08psYwQkk2x33be2CJlLlpf8DfsiKzUEEnhkraXppp6uR8q71vtQ5uekjDfBT30
KbVqBBT1i2XquUAJZwovoNaKCqHLhwfc0N0tDkiWyqTBtwRt9OjNZA4XTeveqYbbx9m2sI6rtbKb
mN4qofFFaZV9HFqGQFCQbiY1evRdXPzhXMXvBxQst1m/a6IdKQJf2xwWWtgg20l7yqtJRKaXUfJP
1xkdJaZv6O6bv+jP/dsp4QnL4IQwJcJDd3nMvrpdFmYakIkztLshoPOa5UH53AifyUnDwtKdd25/
KoeQSQsPTiubRUHmYpkHzllfEEguzo01kQo+OTa9e291iXvPTro9zYUOmb+PTKO6n4mlv49rsXTX
+FUsuyDluPvkxp9w/UyXLkEVZ/YpV0j8i8/4ts+6XO2eTS3BWh4InPlvRuxGNdJHd8t2B+ZT7oXZ
lfY6tComfjphk0+Q1hfVxIu+uO34zC/bhqSC8WmnYh1ATz6bcJm2KKSIxlzwB7YRMt5HKNKj0Kiy
G/1v20KAVIOuwhp5LUeKU0wx7vxoBK2aA3cdxGhs0wJ4CriXCvQiwKac7L9LjZdwM8qu3SZ4uDce
9IcDpm3xPgwgmyXVDbTHNtZ8+39xvVAYMblUCDfC1rVcT69PgSQB2jd5zQ6TSn3p20lcrMJItk1l
EMYijbuZ6Jtz4o0kEEsnuNnAHg8tWbiJlLh8TKwNG9vMeCRW853FjCFeghLTe5v29ilapiI113rI
Spk92eN36sTy3UivYggn4tII4J37BKVfZLxXFhjNDduDa2hHP0S7PaX+Zs5d8mHDnvzpYfwcV/bW
jdr0u2XkuwF6wu99UtwqETtfIHOftPZzwFgfvKj1i4eGeNPB5zSi7kN9Whie7kpXvvme5jLXyxo6
K/BpAVZ2yuRONpO9tkVyV8hgeFf61UOYJBlWXFEc66wIT5qp/8Zn7Ogn+T6dodG6WI2rHYdi3GPk
Cm9hlMJ8bZqbHnR/DPS4CVJFYhfyGdaZLIb1nGK3Ag2g3VyiJnY/7y2pe+GPTwRi200qENwpmYIW
bx6E0WxEtZjLZmcHjbVuLbjBGgXaOrXRKBSFeyqSeT36kXZpm96/dHRsnhsYS4gk7fBIQY6yfqaN
97Bypvu6iQQWMIiChNhEk3d5adwOLaZD2rGApq0TG2smHVzvYLxEdQXHUS0q1y6mLAKnh3ofj9G4
J1zoNHa2edUKkpEGrL3ZEKeM5ruK1Ivuavem/QyGaGChbTpR2GsMt8Vjw+xxCVDLKIix9ASJfQV4
HZQCkplRtFd81HHVLEMFzZfZpkGpcAwzk7APzdj6SQVoMjSG4F75rFVTd+F3Q0fV9POfwVwevG9/
BkHJkxGL6/K/Nz8DmZkA1Tjhdwlf17hJMkoY8Gj9uzKtzSNUgbn/FMpauw3kad4Ym/s4lt1L1AzM
gXcjMcqze5x53BGfMn1D22ddVDP+vdS1GXOGOlA7W5jxaQZ8APc5vuCqji9xPT3hAovhgE0dUSk1
buOc+RESc4i8qx5+/mmdf/m0VL0Mne4X/ALhvHnmWFkIFmXiZB5M+C11YC9+BYmPUHeTHSqmHBEy
FqU/piB8mMg5z8zqEmPkNibOBEhF5jGuu0NYh+O1lkyYFtltdpx+15KTR8oVv11fINPNnG5vSuBb
8TB+RCPpnMMKwgb15Jq8mt7beyaz/ZF0GHf3enJOl4ZQ+xbxbzrBOtQYRCxN11veThbyCXRxeVUN
jPHy6pbVdZqncmWY5bgzh3a6M6dpl/V18hiU3LMGt79PosY55AHjtMKJsrXjDe3GyecPoH/hRULi
O9HV7Y9OSBCU4RQRGk+JkLfSNETcODl+/t1b/+wCehQqli/dsSxGzuLHm31JSA3dPr/CESrIGHfC
sw5U8xBScZ4KAju8xhghXeBMM8byeyvd/i7CGo6Ffucl3PNzvJibqoAa2ZTya2kyAqaDR6BJr1+1
meKl72bubpjA6tgVdUp/gsWqI7zz7nWC288a/ElzMuIjgeWEV3UY3inxoOgrTHI8RnONxEySG7Gd
CkAaKKT4ajRrU9VOjrgy/P7zr+PfTkXuehJ+BjxhesRvvg6BhKzEo1PvsB/zB4C2rbPua2JV/VYT
RDbjL7wAW47vDD811s4IOxwiQvzOafruUjfeJiAYsLKKhHJfFR5kpgZBjnNpPA8m30yUz2AvSVhO
8d6ekYwmmRdAe+s3QT59a6UuDupBGHPKnaS+n6LJPEmzePAoqhJiXcbEIHsN9oEkvZ+Gzrgiaw/f
UeRu9lUTb8uGnGfNF/Vz/2qYkHgPAVZ8N7RP/dJUY4IpatSuUTmaTFs6yBcNlI5epYmNJghQLoaS
bJ7aZv5CTu5j7fjuI0KoBncSXWZx7qeJCMcoLX/R8bDfDNWXB6ptwKYi8nK5773teHhljAfO06od
YpWjbY/Zowzq37LRTs9QS7hbhyg7LDJ/rhZQ1yMI0HOdQrVvMCeusm6O7smlecqq+AK+ZV9WUbZL
TU9QaXCQS8D8XpMq9sluQTvwPCOIi96DsMx3ORcp077fssKOrkgi7/Gp4vWAkbXnGfSx7lJ56hcZ
mcCaBvejIim4tA4MEwPYXq6P+RFat8y+WSMEoGquG6j5BnqViXwtJI7vwiA0Ll5cQ3yyxN4C6n9W
jdASF/si6V6zgMf183NZfV1vHiISGzO5K5IeKDeqHy9tAtk6+CAobpCNMqDEQbTtUAl0XYVwIGEc
ElXa76NbfS4GMkVNgrBWRY/9uEpjpJr8xgiznqLE4pZcIGvNiw9BGu+7bO4fapAqEEUq7Z3lA6iy
rG1Dj28DA8X/REK1gWKwWs8aui3TGEOe1pzpUTsib0qaa4uN+VqD6TxHffk9quPzzz+4vTwdf/jg
S1aKYdpk1DBpor/tmHE1wXbrOY+c2d4Z+dSd8ZCbx6pLryj80QCDksXc5JFcPg3OBWQO00T1Yk8a
IuCuY5tCJipNItCeZlyT+0ovs0MbmPdtgoxrmDwmxYaUEFIBZRpAO7V4H/44Eb13VV6XN+ozu9hm
6G7B68SHUUVHnftpWwaonVxuP3vPm77zD4qP4yw29cj8BN/O96aWD3qEIYEPi4SYQE/IhUP+Dn0e
qjBG1C5CAwtw2BB7Owy22CzgUvpjwaBrrE2MODEqeNdDRlIXT3VoE5iVDdaprWR9+Pl37P6jYsLo
kOCe5XIlfNN+W92Ga9nEvYbSOfAY71uVR1K07mFSpGvlk0u8Vqv0TEiAIEHLu87mhBQMVz5H6THs
gZVaVI1vN0SYaTl4smU35kwDUBmzgpEd5w852aqgCe0O1HWfP6ht1KR0FGrcll1v9q8o2LJwA6Zb
wmtu26PT5fN94uFUpN+pf7eCk10gg6qr3rr3UpO43MBGD8RglKqsznzjQCFNLXXjfJcAM8Qa9dd2
Yfoifz4O/9wforeGu4lHyCpHn/MuZCS1azMNDaMftNfQJtQut+f+Axnq34q2SY41c4jhPUMInl9R
PVExA8+qmbH8MPV9Ry+Gck+N1fXD7GJ/SnrRXHsS4i/FZH/AlGnuAzuHzEvYwSmfHQoGKFpAO9nY
KV2DskJfXBMXWOeeX6ncxZ6PAzYkY3NFJ9b4xU3FMP8x6oGyxHS7tPVlotJ8y9+wyrzUTCeL0Bla
4TWwkF0he/1odtCjR02TSO8i/7NTvTezsv7qORkyvakm6DW15ict8u8b06y/Wg16O9MVOurA+QZF
2D74cehtzaLxHkdyKNdG1g2f56F/muqA2LW04pcmr23x292C3rC/kBvpriJdBE9BC+UNt3F5Nux2
Q6mqfBfG1tXKooqgC9bIlCr2ntEidh2K+o7O5q4HGmGstMyKtkmQk+LU6cUNeJl+4KyGv41nzsDp
8UThxwRqjFEesPeVmO2P04Ib6o3kG5Ae9/K8Nhjdtkl8vpRlpzb23lk36wT0M6uDS82oIrnew4N2
7zH95dMr+mp3YX8XMI9L75aQSRzDXoSLVCO3MXX1y7Q0dopm1gtjY2UOk35JPUokUPeJ0umICWEa
9aExScVMpd1/0SLt3HJe/9ER2uAkmvsN+rWxal3G13HTYOvicX5pfSpTlk9EiLRIYf3x5Rl5gurl
Ydx536wGWBDC7BQQnKOt8T8yZZfkwT2iW2dXFY1/cTwgawIT3Il0VXyeRiqBP4zMVMne2dqNJR64
1lO8PV35PrXBN2dYQT9XVvk91OPpOzXfI6cD0O2OP15rQF6ZgHQNpPq/+04F/tWoL47ZfcOJjvZg
9KLxFBn1eFJLyd9LY0BC6c/vcIbzjzMdjQhFEJ1xsIdn1XozLMmdcO6lpfvbDq4XLikbbGBkyn2W
NP7NGmbHRAiZTDuHXhInC6WgTZpNGizmR3XI4EzhEfjrU7NAmF6aalmFAtycfPxuL9vD2TPPNrE3
z8eqVTSROAPUMWr95eihjMO1azTt5s0OvcRU3gWkrMIcmM79340Vda9X1Q61LdUCUr+7J1TwoNKz
IOIXsMXX1BfxoS7RXPfxRC+hbO9dIfxHTab1zbEacruW7Tb1vrWZGYsdIBhv5cRDLsgN8IJFPf02
9OaJmTPBpCDn1HecAMVeDcJVM3TO2NCrZVAOG3tclcxBbdNldYSXeSJBYO0sYO2W+dJ1ZlH8AZBS
26SX1i1aTZIz5qFIkHhaDB4mRngN+vDGWPnB9KEQXn7p9bR99OEUXkeLSJtubB/VptYYCLJqE54X
pSH2/WR5lwCTMPp6gSkSk0SiV8Y9I8Dm0FBeOBIshLUjJgZHwz1/Zib2a0h68aGK9A96Lx1GhgA+
V4FVOqfR4fmcttG4DoOI7PYoyb5n9ZNLfMTXtq30RdIZHHoEEdvYLKjn0T1lCgsP3EA09Has3QXy
3DZn1egac7xFIEeS2GC0n42lUXskkdMMNpf1Hs4dmULFQe0w6hmLRMZUOX8nfpfQJFlrdMzyFsJd
uFSbnvK7t2vRRiLgdyvKyBka/5UujYFoEkeDLaAWjRCgXdzJ3ZzF7HESKtpq96tj1GKaRH64IRcb
IzqOu63aaI/wJX9+Vf7z8eOCjDMsKm4QqRw6tj92anlWRqIJdBKcMFBsjbBmKDb3jbVyRmxeOfkx
cUP98RmuHbvZvVoa/K0pfLjxldkd7MH1z6oBaZPsE02jw7BgRbQZRjGuJhZNRX1SnJF24T2pjWpp
RGOMDgNaopXuGZU1F9XAQrjwDQfvdEyNyIRt8UGvaxLW7H6EkzME+59/EXIZib7q5ALaMpAWOMI1
Pcq0aM9+/CJSk3iVEfbDsXPoD0yAGMJ6CyAWwyZBB5gJzQ7RPLGiYwkPtClmwjml94GwaPtMt9dH
hMAqpNkOhA5w/ee9eZUD2dar4+j1FK69ud4Ui9x2rsITIoD8pta0DtS24REntewbk6J5nMjH2goC
H7Zqm2qaomPYXkw3WVkdN6uATKXMu89Qsf13a0Rs1w/V0nA07iKqBKSsg4/xPmCow+YbfsM0E2yN
dgBiHCTGg+FGBdyJJvzm6sNv6dBqj5nIn8I8umCXL69ZnOy9mYxH1fjkDN272fxZ+sSGvmx3cmFv
5dBGG0cz4u3PfytTLEOtH34spp8MRo2OK5EvMsHy44/VmkQnC92Yj2UyQa/wRHYBQEGHUC1q0BS4
PbZBfrGLyN+WBSq+cFlV294e7saCUkjlluRIeBFphQFZYm8PUq9U79GTmoBuqUG7sYjlmKwyDzgV
LoZS1qltqsmGaFjs1xxD16q5hFg6DzjpKLyy6WW7+fI6ddzznuVdyQJ+Pi5fhsBa1scnn3jY2Kec
TTLhRPRJ7VH57v3z86ra4zhecp3SP9QKt6IGFxeNWtVSD0K1Pdybetg+b3rZSX/G3wEW7Ck9/fWC
l9ejfzQ2bR2HG7VX7VDvqVYnQai6LZFRqR0ApZdkZtiGRS/MTS1r9zCXA529yP1c9KUH8d8gNj3/
Q22VoquvMioHJmc5iGpDuC9nQj/Uam212spLcrzNveWeskHIe4Bf2oqCuL6HaNJRypO93EZ2kW6K
Zbc6pmyYKgERcCLhUF5dJv0WlznURrxSd8+rak/rTfJaL83cmjnx69Ha8buOBAFPX1i2+sVdGjkQ
aLexuw4be+Y6uxjLSY6X5ZwJv7rmelFfZ8Q4+JfpBK+xAJPEtOxRTYvlcFypxXEynL1dENeptk0m
g0lDAFJOITE8CNx5M+lHT/NUGE89KUMumpFHtVY6C0mEtEBS69mZahUlgioMDmrV58a1N9pG36hV
0X32qyG9swrnZhsmE0zEQJEzVVuoAeeO3Dw9zHkga8vGFrLZckxmNPm92vHquC66aeRX3IeZRoJp
ieELnoD2AYlfetCjJtyqVa8P501PRfSgVkldRStlW9ZVraII2Bh6Pxy9JY8lXTIGVVMpCUKTFdFZ
C5+gBFLfi8TwaBIcPH+ICLWeUrIFj1FFIp855AUo4c6Wq6F3ce9F+rc4hKxGxA+jkGH4swG2RIZ3
cvdms8yOoEbFbfzx6LH8KComgNXrGR+coOq1p0nE8iogLlxj4wTPL6EbSioWJSs2qZ1B3uFCLGwm
Oxa8+PPuIlwMirzEmvP0+bg/Ny3HTLH2EDLrgdxlvFIqHJ6bAND11bLrYS+5bkVkHirOhyOTR3xy
k7nXc8wjKdykBsgU3F33NSDQVUN8DFMwNPrYMPonQ/uoVv3Bqu4wuu6aqtUzHEIYz7tqarYFeb3Z
eqR8WTFPjB8fL2yRPEVkVfyed9j2LOR9hjYw+Bvr6OoT7HGmjjPthI15uXCdTwuew1wQ7KrpW4Ry
VH4x49KV3Kpt/HiI55bmZYfapvaqHVaBwvnlFUVOJIDnaUXyVXi4SavGCZb+U2jvHEDpiGai2N2n
urEQ1r5GjPsJZQmLmy7r4uYtyZ/66JytwizNTblIHpdtc1U454KhjblRBy/buuU4tTYtL1WvDylb
/WIK4C022kTugqye+iByRbpWxpuaN1SRCOUa8NqOauGOBCdxln834axdgUeFpywwvRvlJH/dyuCu
aQlHyNLUecxmiW7CCRNY9YtZph1/N+HyfdBgRwM4GuZm3Wb9wCwhMhax9GWJl+9XOerJi2eCUdKW
+QF/8CmK2cZHpNq/JaO881szAv7Sjw+qCYKvwwxxsJyRJeV6VvyinvVWPsiXwFw/tj5mcwXP7yW+
+vWkt81fIAumgvALlSm4LxdP+rSIS0MiFk66GTGxn6PpiwtrRuaamYewwKg66t21L3MeGQ7TJEuo
goCfdVr0P2Ta43ldRl+eGfF0AdtH8TSksA0QV+sRCZijP5ziuB1OQZxb2M4NhjtF8j4Zvek4i+D3
wPGH/VgW3iWt9M9D3KXbAKvaY+ySr1xMYD1k4z4aBpVsnPUS6wBhCTn0tZD+nTDOfVATrAzdzILO
eWcTbXmUaf4pjCvzTuTGe29sxlMjreLesECO6GN6SUPQH1hhxV1JAfnYB86Xqh/nqxzI5LKXhmgA
KERMYJEFVTDT0/jaR0xw/Lg8Bk8V7vZPVjPuKbDIdxiQmYlIps9q81BbTCIKIoTVi9DCTiu9EeOV
UXP+Men2pFprH7vYd3f0og59aQfvWnI+NchSqamJzykQzS2dw/hXU/lv+mfMPFAbM2BWowix6E4v
Ho9Xkgfppg3ljKnd4SjPMDXK6Tz93Th5Ay8BpuU6FUG6ipecLHS59VYNTQUpJFd4I9UyanppRCj5
6Ubve0mx44wAAn8UuQ9tMvH1plV4m30tuLmmEdzwu6W/uKZV+fVVh5MPxBXtLjN7TGjiSH5T+28X
dJbErrarZ6DRfibiq2rCKCDdKZjB5RULk3LZMSZdcPZ0B9JBmb8DBFWDBOh8bJZj9s7sw+7OIihJ
b7zsHepDotPyPjm6VYyZc+Q2hUlfXt90TJws/oMHNMgPKHPGqnOt6Jr2v4FwcW/cEd2bWurQEeC8
c5FxLztUkwM1XMvJk9tZvTSMZwdrL6ALjQmM2/C9oZqsrTpnuueJ5Z75SYIHsBnQ6co+WVU9pBer
Be2CbmfVG3127MyC3raPlG6jFlXTe1a8FhFFkpdtDqIISrR5bP+i/y//UUlyECU7zEbYFMul9XZC
gjrKkAyATXeATb07sjhjEn0uRDvHz03p9cRUzORPlEETPPSt611kOZ6y5cPpU1oc5KwXWyY+yZun
N20eLKRi6wj6Ryh9HLoWyPA2Io6mcrig/WjYAiM663E5H/Qs8lYTIbqoIgDAxRtt9OSGeOhsH9uj
fCJ3diLmjs6Q51aA6xoww+Vyr2feWeJWbr+1gWYS2rJsU42tcsphUqk1zSD9I6kc+EtB0gD5xihM
bo24plqJ/1yv4D2RSn2ZIbOMMxbMFtc4iQhwQmrDmq55BrmCwuPjaOJf5wlK5NJkRcTq9d1jy0xk
LsnwHIGUHEi3F9s6J9mtNfwC6pfDIwbNw7w4ZJb48l7fJxM0gA3yOXo4k/b55wO5f7msMC7pVLkQ
j+kOdMYf7xPGVFkDueL1LnCrfbwoaI3Awc/dLAJbtY6sot5zn3kib6Y8DElMfvpA+GETyuoEofev
xRBAI/nYbCxdci+spJ42GjioU2GVFVkXLKmm0bwlCHi+BqGDped5Rxvaew8j2GSV+9ApxSGoedRO
S6dmdt3xDgxOj6J62naL1lI1ZPNlF6zR1qrKrHM66dB/nW/jROAJcfd1f9Ecvb+EkkatOgsJZ3JO
qAey80sz+2ZLoCcIKm53BX7cHvZVjIr375ChsvWhLPCDDyIrLiWwiYMQlPd//kvIpbzx4w3OFVLw
wGaWDO2u8eaXsFqLVKaZ9OJoFNGpC1CdzjZBgWUHJ9HWXIAZJjlUMYXMQ+Q5YKinkIkUJ7lZpNHe
tGZJtQqgSTkz7o2V2lgDxL0VWQ3DbujtNZgK7Nu21h/0xI2gDTXNquGe+56+nV1e8ClFpwqWxMpw
c5I04FLctUvDrEt5W0ooXVBcu7oqrtkMCSgXsrorYVoaPNWfRDUNT6aMTlMA8CTsnHzbLnLxYtGI
d0oUPutMicG1QEmutjIvS1fCibANxt4dAW97t8mNSxnZ3p3a5IVpcoqN8WMtMKb8X8rOa7txnOna
V8S1mMOpsixLlrPdJ1wdZsCc89V/DyGP1dPTM+//HzQWUShAsloigapde8/En97d0FDi1iUGd4S5
e3X+nO+wY1i4HA62I/DcM9wwx//+v/rH3oqwhwX8lgpN1TIdw/hlgxl4Zhvpnl1sFAsMge1xbNeg
A31q80nslVIF1DZ3IwG3tOvu5NGWW4W+VkZBLgstz3bOZUoMg26UFkl3SH4H752dLejdAoUWLVYe
7SRUdrIWSjYp+q4UvqQmos6c4XqgBQ+AHj1wPfW3QA339QgnujEN3X4o2JXPBZNxZmzYKVYvcFbn
bGgahNuUaWd31A+4qMiRymq7G89Jfm6yuKH86GqUPugI7V3dhbxi3j8OskxpbmT3aovT3kkW1/51
OGniP4O6aPcwf0HlMPBMs5scYhEvbBCs89AYN7V4icZ2l6MJRM6Er4ETxtkqb4JxDfGWum9geVl0
vlfdVzn6fkTK4Mqy2elpamTvHTXzoaSa3jixAi8eG+Dchas92HG58OGD/+9vgSZhXL/8ZDlgmKjn
mYAl9V+xNW01JqPTuO0mjTIIecPW2DUOEb11abiHFL7Jg0gKgLQcVJBSmwJqWCEsjjqUU+Y9cu6G
1SZyw6fa1nqQosHAbS/KF2k9PuQRWeZ6LG9Crw1ugmhZzXdR2YR63m6cMn7n1DucmoKPMB609ph5
EzGWKeXeNf939mp4kzTL1pxpKXQKbDt7mFACzz8a2U2RKwMvlaID2de3o53WtzxUz4EShlsbHdEU
Al2EtjXPXMSqCWmAYkCVgrjSOpn0b42nDmuCMKWONNegVaum6L29YFe6o1lPtbPjP4KaWe5gSZnY
N7YUaes1cSMm7QYNQneZI2h2A58WhCoWikOU19wIEoUrAV03oXwwRgP6KzFgjSc3CPKDwibpFqo2
EirSTvh3q5m+WPopcJQ2nDdn8/dDA9HpqlW6b+JmALA6B/C8FjB8Zqj11s5LY9moOixktpEdmqam
EiYrhqOWCf0Wavx1mbfRZvSrYMv3cQ/DPHqpAlrMjuDMwp2pxCWfeDBzCmjeCJk/O5KQp97BjEUD
kZzTVId47ndI0e+rJuT079RPQal8UXxQdrIHwx9S0Uo2bYUfwFjC7mer8L986Cv4B/rarBHMqqtH
Ai3NkZK86nGCd35roR63VCaiwUu3f1QRvKsGUT6KGX/XBMine8ZMQ8Y+BgKY8saYm5Bzyo3sen16
H2ZBB9Iq+TpUunbKYqd5aoIXSn5G9AwgklVgqb6VuHW29c4hUw9TENjIDotUZ4tAk0e+8j+2lf/M
hYBjdyzKNnTTtEkH/JICgMoKWHXQI8M38IXVegDUpmkON+qMopZX0kYSvViaYe+tW+TThRc9tm2K
jprure4mMf/OoN3eZST/Dq6drH2eBTeFP4ljBvOGQJDQgNXugHJfs+sT86aYy1WLMUig1s6erIlN
gmZxgnR6KlsrZwL3g8w8sIw7VCbB2NvwczY+27f/cT+xft0C8CQhP8vxhn05oJlfg+qKBSa0Cnt/
lkUf4WhVi9ccOv44aPKHtub06YfcPlI7f+XxPd46MGWzUcuK16yxIecDfb8JuqDcUswerqVQH5Vt
r6EQ5j6nwNxafNo8bp/7YA4SSVM0X2V28oruKBRMfXcZk+bPOXKdfo44SdOn3ZnXurp+2m2jN/ey
Zxj1uINOpVhQud8gLQIDm0rI4wH68uzBg0ARHiaUhGVXDljOcO7IO9xyLoQMTB8amNTVnexJrzpt
KOLJUNq8LjTBwQb8UKR76YL+7JOqufZW9eISODZNJ9ry0MwNMhpoys1QazlQA0+cZTMDgE2zYxrY
E1FqaIxNNXg03VBflLWl7SU20ZxS45ZH0ks0FhR4DWMKzxGVX3vprDa+smHLDQt43RgLNwyVe8rp
/Hurjb1VoU08ymZbNKvVzoKJbJVLi5wkXTnQwxvTxml1J2elwRBTk2fuHKcEQtWlxUo+/9qqLW+L
gWptzSb59NmVg818B0xcUMWzh7AiPKK/ujlIuHvpJk0Exu64zdT3AwmmyoEsT5UZ6IE1YPRGmM7q
QDZwjCRtfRmqOf5chqSx4saZb6WRo8tTp05fEtQ3ipPXUjxntfdisjU4+qkn+R85Q83kqPL3fbMJ
lAG1YWBXmgZqiwKGv59gQIYOkCqm0ZaDIwqnBYVpk/ZNVKF1f2m0XtsKhBeXkQkdNWoxmrKKTegC
XHiDo6XZW+DTBOSAl3EQ5C91X+mH6xIVuJw+95w7aTKjmKcIaM+dVuR3Ua2ZN0ag13fW3NRlVaOf
XN6lA/p9uSWai+nTHmb+bE8GGNj+8pW20eh2bRciYqIF6IhZlXfXqpmzNE24d2X3OjAq8UZVOoUH
oe7d6XFu7UXRPaqdQd3B3HSG0A91n0VsledLE4aBcjGM7Vmp2cJJW6zedEV0VjpfvI+BMcLUmqk7
2c1Tb6mQS3/hry5vM70GTw565N3TUSEBMUvZkzmEL10Ol1xVB+/6UIy7YghUwoCsNpTcnOwf6hg0
j4reNI+D6kB0pQ/nwKDn2sqwBqaiUm+Ihy7S5hxYxVoOSlPWoeheDG22lzYnGbgLsttCtYEJlyYN
7ps+dY7yBaxRSbeGV5PrnT182ywfJyjXOxU4fJwiuaaH6B/Mrx4GkXEce4swBJ4g6tY2qZazaylf
JnKmt0qkWo9qFvUbQfXpqq+F/WgPZnUHFfdNlVOvsCQ2//V3vnIqNJzfJldz2LFAE+uaqf5iBu2D
OrXRDyojnk1vDF8EBH0bi0L1G8iNojMH+3wpPfgbO603v6vpyoht0Opp6p6nZEAnTkFvV3ZDI4cY
IRuTb7YuVnXvNn9Ag/dtsGGFy+2ZgoiNwm0xN7wRmP7nAeK93yI1ggQjFOqqikMk2TVkWAIFhgv2
0GW3iifopqa0jR98pHseQG+9oonuH2SPuFd3bqnyFkJb9nG6jj13uldbK30kAbZXGtOALlHhZJBN
zlJ21ZhKD1uLSrZPwQk6EAj/OiAJZ7dTVJSL6zL6c+BNaqgNPSZ2my9BKNs72UWKuD4UIXHE3po1
KeCNPg3CqU6AT4EfUwSyKRyIrWRXj0vgjCm7VfmTkj9EDjfa1hnMlm892XmOD3/vB5SAb1uSkYvr
7zZWcmNdWa65clPr0PildQb1oz/PPRs6irOVqcYzO9PLmF5lhhwryLpdxprR+P+YJ9dU51X+a978
6vIVPl9PvjPSeAVCvO3XyXpw26z4BldCsprIhx1D2ElugyI1VuB/zS8NDJDUDWrfRUjZWBe57rkZ
lfDGD7Vu46u28WLF1Vl61EP+wzHK6mkoFXM7ltZIwCwIH/U2yhbSI/e6G4cN8puJ4sPaKKrnKYTg
PDK74cCmUdmo3MjurdgDgUhw6c2cmhfEbeBXf0OHvYa50lKe7aGz3yhQVJdKMAz3kWJ5G8VLp4Nc
xm5d/7IM0tPadRnKplnmeF0mr+b6PbXyDmmCTEg+uv+xlldxMpJvyVXyl/k3xFq1ArQwhd+Ro4lh
HBPPfgxifv/yl0zej8pAuyJRlVmPehRO0JEAp1qg19QvQs8LbsswMp4r4JALitg+unJUdmtncOd0
cbfPvFrsx8kA92whirKc0o5oIWIcOwh5mwfZmBCA9kDuPSqnLcN6tLg/3SBCAsNdoZiPFSQgjzO1
v1r6+UPv+eFjFabvUadPX7t6bAE2xurZqwKdso04WMmBuIexW9GVl6kL011uD/GWHLL31qKhKx1M
ZWa37QE+Ask9XvKEGmLlTqnOaPCPPOOnHRiTys2z5+kl04lUrSysHl3rRomyHdQL3MmViPw0dBtf
FVX5s+iy/AH5WAhyp14cUr4sjzG0pZ7ax8/K3EQ9qQY0gB5tP6JnlUfX0/076dBmZIFqCNOPcjAf
y4BznlvdyK6iZNWq17dxDidLrZ95foFDEKr9XYFj2gwM7WuWDQVRSIQz+X+wTZQyrepL1AyrzI7t
7xY4WWqiO+M+0Ktq76O7uyV4mT/rUfYuPexgeDDShiiO3T0jEw9NVRvqX4bPK2Epf0rT54X0Cqxe
//JpulzcxWZt302pGzwPJkh3R7BxL4qZfBz0izl3CdIY23ySsa22eG0g/lxapfD2sbmWMqtt1iAK
XrozUWI5J2UrY5HFXXgsMr3cx0lU2Ce1EFRfkbhNgXA01THVoo+mQNhoTwD8cLXDBg9AYva42mp7
urXVott36AGCmficH/apsi1i9U9uKz7FOjScsbR1r7bVSrGaDxvqXMougygUaitc5IDHU/6oJsH+
apJXRfytTwsN/nTDu3hmtv9SJqUgKOi8dn3k3Xi+/uZagX2D3JN/LpLcPyNXUy4zVQm3A0WXyqIC
DbRuIkJcclg6JroDHU7ZFQu9ME1lkaKtcIT7dEfpq3dZhrJftn1JYwJfPqle156RtmOvTE+fe8nf
enqU9nLMQwn6rGpRfU+dV33fjSck7DRwdzqpTDt2vbvS6LJznLUwpffkUSM9zs6ygQnZPviWd6tO
Klo5xtKsHe1JQJf5YA3Iqc+9wmk1bsDpzgkG/Sx7IojAIVYlz8R5MHNye5V4SbKVXd0hoQL5fLDK
tPLdF+AuSyuNt6QvhqdCV/60laL6kcfg2fWufgcAjtZPOim3Xp1at7EC6jQVWfyui4xaNFwrL/uj
hUX5ye2g5E3C2N67YdmckVEm55GJ7Ee2TdADX5maoW90L+5vnFrfBtTaWjeyW+rGFjpMRIvyajjK
qwBm3nHx6VwSh7FutJTaewjkL84Usm/McnQOFbDcUzE3fpdm61wtYPecUcrSJq+ysnWhhwsv6OWr
XQ4i4PQyxOqA/hgCe1C8MfW60pgHyknaLgNUHF1XGlthbsoAzRvqgb+m+QCRq5YtgINa3yc+Ou7+
afRIKapD7W3g3hSZ04HFhe+iG8rp5XNSA6MxsUHruw8t8WWSC73cpqUges0d6YdRqfpLlOcLQ1Tj
W5hE+Y0adwUEw+b45hXsgMOktm5/46bPbunf3fohMEAIA/mZ7c5gZzeQzb5aWlNx6zXrl8mgYp2q
jP57GfnrHOQhEZayXvlxlv8YfLhwongQr9y0w1VbGBbIBDfaOqo1HWDaSA5DBkOZNYUNqhiQQ5+j
MjmHc/mIWkD+Khr726T71gJ94+hx0JVxA+dPdzDVtL3VixJgcGVUTyqpWXhjg/pHkAcLTy/rP21R
v6pBrr/2edKuujREFyUy0STMhl1kgUbPSn384lrfVUoV36xGy3dj5A/QOeTQBxc/pNkPvF/MZKrF
Yhqm5qH0vHqN4HG903w1e6sS9USmugKKb6PgMYTPhW6lb14dcUzUO7GRXbhjCiKmynDq0q58JsS8
krM7IZ8+aGTVZZa9eSmEuF4X5YcuNrKHOgQqbmoDof2oMF5zs99OTq0+QmeW3jdK/2BRffYaAqOB
0b9FSdnJnjWYIsBaU4+IhpiyRAoc4npdQwgkzBNjl5n6H7JXV11rLrIu6Y4GgHBpuzaAVeM7JbAg
URrbg7Q7s0nawVIDbVc2pbpwxrJBMjYc34rgh+BG/WLUwwghOloL0tyKIF3p0GZTINiPb/H4/V+9
Jt/5WCscvxtaoLxkegAuu6oFYqeKcy8cyIFtzotLEGS8QCESiF8Cq9lc+kRRU+h7SXcpw+Tclygw
3odjhfRQr5282dQZrXbXN+1SjmUTkDNnmm4VZyq2GsfnQ2N3zQFS23zLA3Q8N0FLrJdf6YuvWaCW
y9z7bvchdBQ+X3dOkOuir5zvKZVti67eATlOn6toUFahmudkylBB6py62E3s18721EYrK+2Tt0RT
XwAEmHDo3lkcuReZD1E/YmKCJJjW7JVc/cfV+Dn6r35KZ75BTFY/ItWCOMZUPnRppB+DHNLgQSfZ
m0WwlDVpYp7KqYjvjdH9I6ZQ7H3UR4rDEnU8+G0knkfN20t/2zVhua9dm1+Omb83FLM5QnwpHCp3
RcaRkwpw97HN+xOIIQR9kDAcp1C5McOwWtXT5LznaoOse1jdk4pBfdPzIPvXA/e9b/uMnKibHBMf
EAV74fty9ueJl655q9O+0QHi6OV3M1DMdypb8tA9DUnDf4cvTEAJhgMV3mybG2iPzYPwS6il6MlB
26o/ruqCuqGwtpKdtF2A30k4Ndu0qdHnmKdc58nJugGXJ7G4IoG5wyzG+nBtuOc0/97VCGgeprmR
M/IosfZTn61TL/zu9r165F/y7FrwIEJEFR/GuVtlpr109MrdyVExjNk6nEZqGOdRCxKrTVWZKF7N
Xd2M3J2ruAj82lnyzCcfgRZGYUiOytcgpfn90iv7FphnfJCuowV/kZirruZ10IlKn2PqXQXZ540v
4gIFuZaMQNppS4Xb+U52yzoPjqjhvsiePnskFnwHHczUB2nzgjrZZ2bCXkamECyj3lQUpZ0vM8o2
2FARnKzDStMh3Y7Vu1C1H0w/9N7S3puVUiP17KSZu42Udk5VoydSj00BCCovnp04hb07zqcfBmdG
+auBn+On6WzGpjMY2o/pisdXnqRdsba0ED6Dip+XEgbWLTXQEHZBRvGid1W/F2GsLK25C4WDuQEp
LzZy1KisYRVZYtrJUeQlnEWVaGD+Zueibt7yLKju9CEbXgYg1IVZwwpVGt4Tm9JFr3ICBFlQ7ibo
aU4k4LILBlorwXalvgI3CXvB16h0Ski/y/IgIdFTgEAN7LGPBGqrB52QgDSHoabdBDEnTTlJiCwD
9qOA9Jhh1TlkaOTWu7VIhuQhjgKqzBSFor055CSbaXpts3J4kJ0hzQYgiW6/kwdQUYwf/qEVpGiT
pa8Dib0HKw4e+0AvFSpOnWCPnou6DjOgLICQLBMu8k69zWC7+smm8BgCtoTgmPQ2+UBP+tzIgQpe
hdvasJbSrnWleqgpDO/LIHsaGuvUto17qowmexJFGq4yf/S2crBUp2ifDEQL5egYp9a+s114z9s+
OgDPgL9eyR+n1ooO0qS02ceVtF27vuc2aMDN06Txd1PAfqg7CnP5aldPethr71UMh76r5fGG5JD2
LrTu0EV28RQMmQpwY2qWWRCi1iHAR5SjOp7KwoeoPVde5XTNQ3sQnYKaMxSFLnkh+mXRRMkhnnTj
VY3tdV/oyROVWsZ5jKdn+TB3xlDfaXFOTHn2kpPc2o4PcvSfk6RXCiVSOLPjgXv5KGluZyqDa1de
yYJneaUHCPLYmgbekvJnq8z5ll6d/3vuL0vJFX6xOTxV1kValwuvo8LfQp28uly6g4tiY0kpzJQW
+t7maQhvvzRehn6akCJfgwBB16ykUTbUUkz58bIgDEH9Nsvdh6JQVqQUhBjXFkSVizqECG8xer16
SgN3OrkeinlZMhD2Sj9M0l6b+bizRf79ar9MDVp+873DfcxoUpB1RVv0J1LqsiOnOmj8gK+CTpDM
By9Wfa5MZuBrq8WwH8ymy3oGCnjbUegPYYwCVIXswSL2lPhEHmJCnwEiqNE3jpeeHJBN1ZR78scG
OXt8r3YHMMcp7cwfVHxGO1OucXWx+XCXZQiG9KeXkJd1ixabaVKBcPW+zOZMA5OO0aC1JFeTr9CR
Yj/Vmf3Q20W3aMmyrWVloKwRjGvvLvIduFvn+kHDKcXRRIPnWj8IZUaxlpOaINGSZdU6dwSg018m
NPN0uYbdm8Ua+pR6fV3k81XsiM1MxG11zPeoWZibqPCaY5n4byFcS7tLL8/aIwpmJtjGeTR0+Prk
MavW84i0ySYFgzEsJjUFLKyivGxkw8/D0rucp0Ai627DSPlyWVXa5ArSJQzc8hAkEeQuny8sL+Vo
bY4oo/TANBuAiKbhtIdgfle+gkrFwic6AhsOjTWOfxYjXw8P1PDRMF2zW8lRqFDcZQMfB8RmjEib
7aTQwck+xLczcwKlXRejHP9YPARaP3H0lY69iF8AHgGUh4HnMcz9W4BDDeLxSfHYZGR3NWXGPGYI
OC674mma4OK5DA4OlGa+KjaeZeWPjZX1Z0hAV3JQLub3ebukNhP23nk1Nw4EpMHxixyUk3wF4I9S
vSHrlu9kVsvLHIJ9kC2+j7Xd7X/JaHW1dbFL32v0/dP/pzWav3yvbvLq034NxEt76jqXtWXv8j50
AA9teheiYnTLJqy6l1GY3q7vf2OaXDckndPV99IVaM69NMmejNxwfP3dRLmWXPlzYtrBIvmbteQy
n17X5aWrZZWX5f++Fhw74e3fTXKiXOvzD+om44tbznvKOcb0aZaesvf5F/xmvX/7NH6z1m/+qH/7
gLoBZWLPDr7aXb61Gse8UxoorH0vSze2MMVabiCVzvLu4+wPOSYtVq6YSzvoHWh62I4iRZkf83F8
kr2JPNVjlY0RgNygvexQS8J+67QJgiVPY+TlCNwVBNMHpP2aoVvpmXFbx3wb5YjkKbwMNA3lNWxb
eZhJ96TR/poJp/y0IW2EPOlszObGHSCamLQO/jRbPSaaPWs/e/dOENK07O6VtNSphvrLNiTs6YtC
S9fSRQ5A22TAZg4F1mXaPBe24UPhFeNRmgKXaGGJLpre6O69nKQ3nCQAXX67mgZqgzYwYSOIOrvJ
mW2dUugYF+7mapvMB1/AD+KK7E6mo8xpfJI9mar67MkxpQaTOHvK1NHcKzM9u/u75yXF1SUPDaQr
KWi0BF0m1NjCValM7kGDCoszRviUdN7P9jiKKfac4iOkF9GpTtGf9RQ454RWoxE+N2ocxJcrAc5v
DZtssfx1YPYrqpDdt2V+/WnC53woQaAcCuLVb9ed3bxaX9YdPyn5Ri5uIukOCinNnIRFCnePp95M
Ndwh3KNHey04MX1cSmsUpYq+lF5ho0w2yHUmXKzSQRiVry/BC+z4C93tMC8VSpsjXIIqdWSuOmq7
D7Kpk8Q7IG3YtqDL/jJmqUK8BeSe3zVqvw8zbtxUtIdsp8Tk5evMUntYBmbrZUyucrlMfNixg6bf
NZwWThUSuWMPAqs0qshZpdXUbltw14u2qR17Gzvpj4Lj+u4yPDQgbpRAPXa5DhZmEPmMaxfe+jLc
lCiezfJcED3ri8v6pWeuTWNw+EHC2pnrfbjxnQ6t2JmRW9oAYX9cKaY+1otcjd/iqLd2VaUFO13N
CeuINDWJhfXBHYgueHSgrbyaqA8O7spqeGqz0dpLryF1mNCpEKuZ/cxyKID8280alQbk1eDDO4ma
56BliPbSmEnmLmoY8UjU/21AOruacoztMLnRgSFpC2nzdMTblHEv15CW62q1ZUP16JovPcrm+zhQ
n5VahZFxbkSu+COym+M3PVT87U82eVmN1P/GA3Los7P3OU12ldylZr7OlWVbs4F2iElLKBq0q+IY
m56AZghk2rWRbnpEZfXf7Q6KYGvusu3SbtyKlOFWk/zSKRIXa5Xt2po6wOBRDvbDxyCfALpmov6a
IL51yV/oKBbczd1LqkN2LWX6uQuK9OfuL3N9RjW0SRYNv+8bcnvTI8lifVmmbbRTjWB61NHcPCCm
DoxwHpW2PqkPMcowd9IEIshcq40NiNvHIwiM9q7ry/3VH43gbNFGag7vDEv2ptdAqMMRqeneLQL4
2sIm4HNKSyc/2b6XrCCqIHwsBrrXgflKjiYCYiJ7Il+2ksMd0s2rSBpnn1/n/X3BmHzUMtCHqV3F
oWJsNDPxXHAFTbfShjZeX/rCKse7qdiFmpVSfja7wE/z4SKTP1bmirVBWchSowSEyJhSfw96192U
UVDfRqNRXRph5CiLciiDJbEPiNVZaArapfk6ZZmziXW330BHY7wiJ92DEhbj0Q17de+6UbVIXKJB
kS5M0reJdcoJPswI0vCbmEv084LU9+TGu1AoCLTpZvzk+d//HxhVfufSGkO/gXH7q2pTvwRKyao5
/Py6Q9QnpFgK44KRkls52ZC2/slOViFdTag73GS5d4xst/hKBaFKhkCLnzUK7VeAUGy+O+Ww1ccK
jaGkzg4E+8ZtU+vGnZb6+ir1Sa123YwAroz0K9noUxDpTwgKKvdtpcFbmTXWRkbmbd8kLdJ2/lFz
hv7VOV9O6xBFHHubYk55SpdzGn52m3A+2l/n5IXSv7onImJIq3aFf4qSdLq1QjCrVIZ2lAF09aNK
xH/uXBqjfFRCUc/ZBMZLoS9HvYLIj7D4TSXgTIu94l64RnMPGrIhRZ7v5BuNCHWDRg2spXxL5kB1
ed2ZyV52LWB+clI4Js1jgWiyNIP8/5ikcea+baMY5GWiW4fAGF6DxhUPY5gHD6XVTZsS1aGVtMkm
TLSI0nkj3l1t0LXfGN7gHuWsyKVaFhjA+roQEoLKTheBDscDi8tGdwNtVRU8aK62JlH/nDqPFKEo
UAHpRLouU6jnidtBvg1ppriVfQLv1O5FJNDGNkPFTxodMwXYfHUyihB6TaoA1j85qYHI+XHMi0rP
IOVRnLO58Fbp8KU2ivbQm10frL0wPsgusjKcb8z2GT46GLLSEinoufEzLTunBmqJNVXi0jRVVnMj
hv6+sMLSOiLsa20CcG6uEburuNZ2oYUCQxpU+gZ6wfGL4z5T5pK8F1kS7whSfpiz6Ll1Wu5+SPaG
jkpkNNUeKONs+dap/t6eu12ruCe4XHbSo+numgq6vEbXCmfZDh3v/ZeGEtOdhVp0n4lt220cpzb+
sPsXKpuB3PRTdudnVfbFzkRKkZp+qypDth60P9TBqI6yUdjDXq4CT4QrS0vnosmkOfQJSDgKYX++
4VYe8XI0kjZR1UXwOfsIMaINQCklG9UEyjjoi7ZZpvTLEpztWg4WpgFRkBpqLeUm017aFGFDjueH
cOe5cLvdOkjLsg8yv7Ruhax05/FO9Uo8kI35gRi0+WXw2ENSz4+uVJoBGAipNZETIrX1kIdKAPW2
Jmgt0agIPHnHpC/I5392x1qQwk/q6DIayVHZtQrleOl+OoekJu9FHwkA7+KPXA09lBt6sYZhUntq
fTM4IKA8LSjs1p7c2snPnurs5aBoMc1yqsXQ2A/SlMbhj9LI4qPsuQ3EGEw5ZIkarhzupCTHbKFu
gjbJb52uRsVaXsKCOqmJcbiMiqhDcSlUeTDEPLKHKrJhVIszEDblV7k/1wH7LbvZXnUwRiSwMSWZ
0fM5+GB4M9kGDaGhyC/CpRzKULLs2b5OaGACLOG31+4bEVbIqqZIfXep942U/0LTWvuHVyOAYxp2
TsqqJLn56ZuVVQ0jk+FKX0iJzOdCJUiZ1c1tNufQATLtCaB0X0geANXyx+6sFjEsppnr7+zIt+9q
kwR10iP/7ts1SU5QWQuJrzJsvTvqGQXrjd8Zz7IrR5tU1y9dn8oJBHWN8hh2ICVKPa42SmjDsd72
2v1EOBARqTD7nvv1jWX4xuvvPNLAokh06jLyD8THk/6VD4DcxNyRjYyHW3oqILSBheqXARlAH7QX
OYlNUmBc1tGD4GOCFZLvbOxIoWp1Tg9XPH0tCwJBCM8eu2zaUFRjvJrQ6UHLi3BMNHeVAQ5ICmAd
0t4/TzKM1HusG/WnSQPaNEpS3RUzwtuaMd0eErDEFRFMDyQIvBTVP/tKUncrOaefceMESY21tMlC
Gmm7rgOtiqA6HxeKrBPQX7V5KmrVvwnKbLjzqEtC3l20QNny/qgU2C4DSmGckuH2Mgml2v6uN5zg
dkimXRhUdrgeh1rb117w3sAaGq4NTRm2VQxntHS+zLPhXVobLeWZcmVQaryaS6ZtBdFEsE6jcbiT
7rIRrfYypBQMJ2oK8zEfh/wjVTVEsJo8D8ovfE7yjzS61FloppNebNJZ+kmb/AikM+XXH36Xz1P2
jXne9bO6zpNT5FrZN+iUFSh7w1tTr+zboNXsWzGOBGqvfXml53a+CN2x3MjuINLywydcDil1EGzr
uj0YD7bVJbkjEz6ukz03iRIoqxROh+UoR6RRNjWgG2SNPGNbZXF/qtquO11mG857QRXoEiE5iHxU
PXyr2nNNZTwAyUqFjofPX5onktDruijdixdR/Oc2ThTSgJPyoIrkIL26qMjgeVDHRVW5xSrokno5
2bZxtoPUPHe1p0EhzNF7NpmzSdorL932ddIepV02BSIJS28Ymi1ZYahtwxa15dyBsKCuYtQMB77a
sLjfX23xkNb36dxIW11DhCZdZBMncbd0Yx8ZD1eU9mlWCnwqw4a6NK1WYTsY9IMRDNbai5CvHhPz
pcwNRJETKA2R43v/V9eit18UNMN+cAQlhtt8uAoDItDrqqlwupfZNZ9Xrf65atH0HtKS+dIC9XDW
IVVeOVWXrcsiZ2862/IxbHYQeYwkY/6yQbVeH0dUDI3ZQ7rJJiwHqGOV4lTavnM20kAchjx+GCbD
2UQx2p0JTNPH1Mq1Y12W07iQl97Ye0tDzZpV1fp/GVMENY7SfYxAPxILGLbSW9p+mt3O7OGRp0HF
RmYNIPa8bqLDH4IG74asjnawCSl9YEcd6zaHAWA/iO5GdSnxgSYwe4D50yetoXlL2ZUDmq5Oi9Yo
ir20scfJHhLtwPGwvnfmDlX9cI7ANrSQY9IrEZ620ttEWUsXOZCqyoOmetyC5pfyckpFYefYXF8d
udZxqw1xf3l1Ock34R3MRTPurq8Owcei16roRvWCp6DXp6NsKhO8zKIE3Fv+H2Pn1Rw3znz9T8Qq
5nA7UTOj5Cz7hrVr78OcMz/9+2PTa2q13rf+Nyig0cDI8ogEuk+fMy40N8uEzi+B/wqnIj4AacE6
nMZAXZfEjWLfeXP4Af1T9aGxEZKEfpQyRQM5MqRF5nAeH6WxO298jAryBChnEg77h92ugqMaJQ4q
g8QiJZyXx2Z/mzTQoRL5i/yuv/kZ724jiNP7UQnte315DkHgaL0a+nnvHZwIWUtx+Z3fZqtJN+jz
Il2xbCdNv/Rc2BWRVbMfIU8adhZBKupW7fBDOETFfVuN39Y4xRKsmBePgIPCVWy/PKB+Dj94gdde
ojBDgoriqmczN7KdF2bzt6oFBqxrevqYUrd5V/VIw0NAS2R8B0ITvU8DshrH+0sGzQiJtfRc206f
YJ04ocFV3G8m6c1F/L++Co27N3Z3qLq94hvvIKYGu01RDnnJkuflMJxKkEBPOtCwu6mAfML2kBmv
LRvApJVYz3YwWM9erPgnM/OqPQXjaFW61Hrd+xX0N4uLNAAJY8jLhrOeBhTjGKhx6SV3WNGRjBae
JSOOqLzojUuX6pVx0Ci4e1RxFpu4hSAlqRmr3L2E0vq2ti+R33x8G3GLqm+zyrc8piT1PWANylSb
Wf+Mxqy/H1AcfucttdcwAuUPEOai8OI3wVlVa2p+Zi7omWn9mHieLkeO9n5rsjTo7kH6efopbp5c
31BvMsn5VD1FOjIAsAxc+6UJ/Ib/RunaEzXA0suyVAfpvpQEy/QEXf7JSbPPzmBwqiT8f2tqiMh3
NYnzn12v/krWF3aihZ0L6dLgHFUDxF78vrS+ST67XWCf3cjwzgYR5E+ulj45ddD/6ZVcU7MmGZ8r
BF5vvktRngNb8Z/BUeYDD7YEZ26tW0HCgWwTFbGgFAaIVy2YJNqveT/1N28g1s2bEVNvNz8nNzdf
GWGxDZNmLy7bBCTO5ax211SJ4pvrwxQPqjC+bUOx2cuE9KTJ/BkwBBBiwqOR0R4KGb9xGub6nZ/V
+Y1QSvDeT6O/1ImaZRnNy22fSgot7+d3Yhn6Xr1FsfciU6tTzEUvnpr0sK2JDBTthzogqLXsKk2s
NRdy5tGjjFTbsx99rThtG1Ej49zBOvglc5pzSybzqV4a6VnLgY58lrlOuKMPg/KcvIB90wnU1fZT
ZIbOExSX7YViJeQ5/rF8glDw4OQT0rGL77rcNYznEBaT68/dHBQYoxgMiBEg1lpFcDodiobiSWES
VKb5J6eg4mba/TYkofRxRCAsymHMcwNzPuTqDzNWtfuMZNLDTIxzPhRuoR0sXmRHgeR4jeU/5vP0
s2hsKRNxfffLHPrpQ8IV/Mxzb6nzgEM56QoOiU3xp4ykSR205XbSnfwedJgeQkXkKg+bi/RiPczQ
TJ0hSNAQLK3m5sVUWutDOrm7qXaNd/Yy6sPU2UMgDwxsGdatYl0zZXjI+7HZl2VWnTKOEDHYdtRS
efN5l9qyGDeZApDZ7h8js3XejUHkPFU8X1dnj0vYzU2S74lMJpHzjktICnti9aH3o8+JAyXeTk06
0AXQdAhfx7SMhJtD2DxyvgXUU+QZaRc4HvgqB4d1mfhkofrbZQubh5P73Hwt/VL5usdFtwU279c6
AnVLVzcVUPq5dffaJtPi7mg8jr3c0w/iLY0fgG5fx2hdEY/pCo4Ny2bSOJTKgJwgfwHr5DVyuuTB
pdzkzpmAwC0jQ0kScAr0gqWZyGDw/hrJ/oTUe0IojnFz7AmvvhrGqOZAYx07gDL/4ScrcuRxeNPx
cKwc37opxUJ1OCMATIkShUXmSQnN8R7R8vFe10K+cb+GeZgrOaBXO94Bj+xXR2+ZFh8YGLIOuPDf
ayzftI7pBIlWqyIEuZMtqfqu/Kp4ggTPe2p19aMN4f/Vpvz3SZqpiVF305MLiET+w8XWmxkEmx3v
hVfGxtM/hkSFrrBK/H4t2NuDAvl7Ej3GjVoeZmozPjlhDr0+rIm+VSufqKl96Dtrfi7LnHPLFPnA
tbKdFEjaQ2ajqpM276rerC/VOBTnzom1j3Wp/xAPKhFvpNGylzDz+iNsTsbNzsKGSIPtmHe17zV3
v5VCWFUR+kU4oSanmO8ckOOvhBRk5pV0gu00hNtDj/fHPx3nGMmIyouhQiePc45b609lUTiQxl3U
Dbah9Pqmo1oBmeg39s3Xg8f5jGj1n2KKiLGTCxfVhF/b6foA5BNWArHn/vDYjB1ayk2pPbfUBB+a
wk+OMqQETXvOYNejCLP6YzNJrx4nlMg5HYfwVkK6V8z8vgGvnMvMV5/FJciWRwC3u70MZULNeCW4
inGQzY0pO2doBgPzy5VLFMfP1iJfT0H4+Fi5Oci7peHBlhyQB9YOatWW+k6mxdGYyms+os4WOsG3
KUzgNFgYSzPHre5UbyJSxWiaOFdXwl+aZX5PZdIC3RtDa7zvyvClIav0YIGO/eiXYXAw5iG7q+K5
/xiNk30uMic/yGwOLdKDnvp/yGTF4/FeU6I/NFQunnTFjp/MpRm4lPH4t0soNf6ekN5YT/ldPPG3
LUNvhvdUeuGo2Pcz71PZBG5A4PuyVTeHZ7imwnvQBdZDF7+U+RTcXLQgbvbSSO93tt+5jGlHZWE8
H/7/S8cOLvhc14/CvtT+ImbahtJbeZpkeqNpEq6mbKFxkt42kal1jwCxpqETyuy2V6xOaC25iKSG
o2HBdai6xSXsC9BsqK/uR3XOOLNZsXLXzVV2gwkku0lvXmYgEDiZDhhuT7MbSGvhQ6gcOGcPeZ7q
j1SaLQG5rE6ce7ixID0t8/eTNn1USCB+TRzNOA7JUrc6MCQYv+tSr6LQrg9u6GckBxgivff5bJ1b
NEZu9dLEWT6VFxlbg4pkSacPp2jQo4sjQ3HSQttHN3PxX7t1k3827GS6aFpFri8tffLwQ+IAN4AQ
kFNNnj9XTQYDtuXfxmUkps1PhlZnpXvF7stbmbmXprS6zwAW+zslWgqMGrP/qoN5dzmI/DGAAj22
aq0sMgLGe37v3z3YyP7I2oJ3RTimz+SadmrehM+z41Pqrup5vofGfz4EQXy/Zk3bJUMq6c644Pg/
ohQkI7EHXNF21CwV+8ZwtL1hI8wZJP70oVCb+Ua9Lqq3qvcSR2PyBKTDuk1IXe8g5Ww/E1yISN8G
GTlYhgnSD6eaKhAw8Km5t9zJOKVShaWqFFHmWXuXTaH/KDbpZZn2JTA9GKhDQMXO8uqxlqYyPffJ
8sfPaTbk180ODfBwr/juWRxQphwuvQ7rhlkr3rvAB1QYw75DoDAYdm4zQAi8FNW2UZhATqR8paD8
CeJF0znMZWTfa9AYkWXw5xMvjPCgL2XfZWHUOzWkgMmaW/3T5IPNkOE22/duey9DmZWh2lJt0xV2
Ev+PGoqKqoncv7MUfT6EOUWdrpsNUO3nMfS/lHwWkfHnGLn1k5Z3yZf+bhzm4outmcpR5ZjMq/X7
7IAfEuYJwKnUI5nzaaOmaEkGXPUBXPkwBbBbwI1awosCA5njtdbKgJEGA2JXQQxxuTBghHVtcewc
ZuimYMmwUp5/QWg+j7EXUo5LtXhgldEn8FrwmC22IAhGVGv/npWe2ApfoQLCofQx0QufX7M+7Kdx
Hk8uFLJwIgbQJ9fhHMH7ojB2f/Qm1JWhOdfQurb6pe20k++bfbsTW0btUotijFevPmLULE2/9Di+
sQ+1gzocRLxVteth4j4bC41A2czv0PxD7s3PVKginfAB8FByDFCF3ytBGj3YjULWXDW06NomEQHG
vO5PeaamH+a8sHcq+Yk/PSU6+ggO/c9zjId29GJwBqbJK4RPqFyKzslNtncxScSHWC/Sfd+G+QF5
eeioy6S0zhOZHZOD8nVKIxBk9vLuc/lGXKlsR7XAnR4HN8vvpshI5mFHDc/ALctUnuK2VZ5GJ3yJ
8hjiu2Uk9jBP7GvMzRV+3gKSZc+K3wNmSFCxQ6teG8HQzE3VJ/vI/Wige/Fc5/1joFraXbjQdidW
zeVZuq+asPiSe9ybN9M0c/IELuYspQ03lAfmpybk2eLGynC21KiLj6E7vWvggrjGy6y4cLciwKeG
YBI6cM6t61xgwHokBDqpJMdCldKN+SN6JiTT2hMPS+WdGSj+O2gngYTo2jcZiT2rIhOVRsffQ2Ll
r25WP/Z7tcr7s/j1VeM/9dQ28zB3P5gWbD9xmGknc/LLl3jqTgUZ9j9DBTZEOzLnR8Xz6geqh5W9
XO+T3t0lfBu/NovEswHL4rVLs+5G7clLoEB9mJmj8UcB1VwjqdN0RjQWNbkfbZSSnfKr4LMWm9ph
AtbzlHRWdzf3pQkvUITG6mh8akwT6R+h5IGwLr62ID12a67Am4iEvR33y7xiLgQ9SUIcTNYDX7aP
5exnF8k7R1r66HIrueVawovF7nz9XNeklzonQs/IHYPrmm7SAv2DTSXypa062znAf0louLKhbasG
oHvakB1gxIb+mgMZUca2ALCpGy9mbFwGJYt/9AZBrjbIko+1EkznAEDmJYvn4FBaXC6cRSPdJMDM
SRxyu6uMpZeTT/1plLE08OLHR/A8TxUF51NhuvUKnDJLtTgoWhwf8jGArnZyn1QuwgjK9S2oiDGZ
r8PSSE8az4CF3o7DfreyWFUaQcsOmj0hlxqo3VoZqdqGB3nuLFpXEBeMwlLwy7a5ySqxL3sAFXCB
CnancjnCZB3clKrQVMpYmnUc2g0s10n7XQjCKngh8p2+6OSshGEcR646v8CfRn719tWven53E2TL
oF0QNHFK7WBO4fDU180A3yU9hOm5+RudchRbUKlooufqNKFPGw3nzVG8vbD4njdJfnljJ9L0UJm9
eQ68+bmwy2+NlrdcjgPjk1Pm34oxieCsEwZkD1LCOBjPCPLpT2THrIMSRsZH8ASgINDEOQ+9pp6C
LobljvzCN+nlFJKvvc1WbjajQQbLUmC86krtnZeMj4FdN188n1x/78CtKkPIWODTSmIkmDKr+QKI
YtETzPpHGRo+oKjE/ey1WflEAO+HrKkNm2dY7doHcULCLYYZkMedDBut+5ABuA/1UnlsRz1+jic1
AybRvMhImrzJfZCABpyESu9dc9f0runSeOQUebH0Z4oUSOAT5jp5cbkATzTto7mQR7pGmuxlNg9V
6zEP1HcyWhc8pm7Tfwy9rDhClzocTUhUnzsgOaeMaufJD58AGT0oauyda5D90JbT6HMU3kECV+xG
u0usHUHP8slQ4/HS9OqLqNOLqco975Jqxje7SosD9MGI4WVVBbxPHR5TTbtvSOB/EFPvT4gPuG54
9do0Ak5yT91Ioh9dtWqu0iCNbZ+5S0OTksdXty6/DLXan0AJNauwNcwC03M9ZZ/yUvOu3aJ1LQ0v
ru4YoJzNc+NvW1nDflYm+kUWzctKmSxZPmT+v5aTLqkPxCK5JscwbLcxTGvSuCpArl0Vzs0u4z8c
+gZmQL3BBO90AVOrg5gdopu9Dn5S6gk6C8ZDH8YLLqF/c269megDaqVd5K6HrIFEVW4YcxNV/b1c
PuSeMRuVy5PI7ndTS1ytzJJdZOXTc+XUFP3lOgFvm8LhHcR44YNV5nft5ESIOPj9l3rmRLSmEouZ
omErVYwvNoeX0CytTzll4E+TrvwlZnUmEAhcwjjO5jgdtTyMD+oSw89h+7qjWPQrCg/Aa8Jfmgoy
AVfmV3ETu+gqSE8mUXL9KqNXQgrLcpmEBmUfTO0dRODDldLo4doGwc+e1o2vh14/EKGPo/duPTse
GuNAiyK7fgnrqbqkfj89l/1Hclj9kyMnOjsCHjZXM6/fyeVtZjcfmzJHupbAY32Jq4BUZGEMpw5Q
Dm8mM75SpnoBfxDcBtQHdy2qBM9F57+4FFq+gJSczhSl8IfXehH633q7Q10+pDQxaT9XQDrIm0Yv
buFNtzEMW4DLrPLgKTj0LkDaKQo/GhAxHiZ97G/zWJDzWnrq0my2bZjWuVfutjHrXTPXdzOH/SZv
nxKlLHndV9n3ZoRN3ZzGbwSzYpg7XcA2asLBjj/5tFNMjq0ADuIm6D8mLci6LkNFa52FeP99Zns7
mRSTNkSPSWpljz4gJjjdrbiuzhS55/U7xW3bnW4gMOYOpEilccAVIl3g8JlT9b8YpOp3gGsfG7Ud
PhUFsJsRkauzoxv11V9ot8r4x+zaCdJXXsBrb15wMpXxxZi74ZwZuXdstTg6ehDYHfrZCZ7r4tBA
SfxkN15CysyetFOitPm+m7Lw2elyjGoff6lGpSCMxwJptNRUroiQv1v+I/NjHvMuq+v86u3B0ynh
e6TbivOQtX8EgIxuWm2eG3f5WksKS5pfE7N8+0v/7yxXzAHrNrNCUltzqtZ3vWv9WN/2ZVN+53OS
y6CBUaOw45/DKr+2ldkg+JZT1ewotfVgLY30Eje0HpBcUQ/Qz1j7dJjTeSfGzbF3s7s6BGUp9lcu
CAg4Z7CTP9RYtxAkZatXLr1WtbvazvTTNhOYZFDGmUdsm87djuAzgpdjeTcWsEnKyOgntzisEwYi
QJykirsGRNeFB358P6nndqXXBk8N6XYHO0eM7qkYYZ6iC9PTeD9G9+tIJiJz+gJJBtAt6Ls45ifd
X0Vyc+yq/hE6NUGn2BnfI540nH0/si6T6RZPPg+vAzKn4TfDaS6yJo2rd0lZ8feGRGfqJ39V3dST
KPf794nh/siJpdzEZBFdfXRt9yKjKa6G974NDVCDWNKxGpv4nW7/CQ5XfafXvX/UyM8eZGhzqtwp
hpFcooXtMnrggG69S5b+OOTKTWvNszL6x8yooy9DPDtXqxn4qy/7bu8FmnUlZ9ycLERy4LRTOKlC
5Lnyemo1+dfEffKhlLh6RZ9fy7Y+WZZmXvwMUlxV88uLBv3fvujR/oDGJH5QkYGcvLvGjj5PplMf
syWpCX62vZ9911kEU6IWZI2PatxyiZJmXm5I23CzBc3TVCbhOqctXv/p+mZ55ZHTLMMlnhLePMV5
dDzF5QlOACw5TrGJZtocFvfSywuDHL6MwZcV99yt55uTX2XSbz1Qg9vkuhYV64tmKX8MVND3QfJd
G1oNcP+UPAWVG93qEOXBNrPzL4Atn+QWAM3ei8NX7VMEv+opDGL/AhFBCzcoAmBaOqEhFvB0h2mu
evAnpf+SW8Gu6wf7Uw9V31PXT1/FyzAb7y52YKGTocWl+uBSznORYZ8AHnK08t3ktFQxTt7qRbq1
Ptlt+JwHEJbFRB0vdmvGj3kVREdlLqxPHMrAfJZj/tdYfeSdZ/3PjadPFbp9L3UE75lSZum6Wh1V
40L4Jn7kmPlzda1HKc/poFhWZymUHpG9M+fyS5Jn8UeKlZGzyWLrVFu8kLIZVlFql/8sO4r/naq3
HjU4Jx8SZHUB1DHR8Bep5kHxbbZUE5bOsr46bu3djWNCdVSq64dqMvuntOuV86J4SQAgKe/tpFBP
HgCRd5nnGzDy6/4XJ6m/g8Kq/gqBva/sPKNKbqszIrQbp4VWpeCMbNfTcOtHZ7gp3KBIBM8XGVlg
t1ApDcq4gl/+b591vM5lRjLeZKrRNKhnQggCZLg6yS5+CT9CM3gp2Fu0SaThryl8tMcnxY3yBxls
5hBowmM4wy7RZK5+fjMhzqPR64fRQ7HPXbZ0rCpTyUZF4aVO4h5pBb2NjD1vkwc4ra3PQRE391FA
xc5EHPJzalTVnW30iFMusx6UXscynr2zzEZt7e4CnhM3mW0c91nvXP258VBMi8IiuUscvjQlBPtJ
o4eIUJ9aC1IeoEGhc/RaqknzJO/vg7J+8CC4ClBIQCfI94CCVNG7TtMigh00CUTbMeyWj6tXbpXv
CA46tyhvKN6eFWgxlcaIL+Isa7kEIfbdmuZp28UgiXUcet0+2BOsbjyKwvyMPn25JwPYPpBrBX+0
hJjmIXWPyMTURx8igw8OXPnPU9AfSd/D2zdZZMDSwdUv4qxw1bsaKix6JfSF935JATV8GT9apwov
W72FnJQXu2nzuxf7dnj+Zc+Grr55sXtnJqZ2k2ZuQtI4vxkGZqxz6XGz3epntcbCZcy6eeu+WrgZ
Y7fUj6Dtsp1srhawt1Sqitrwcv2W7APXKnsfj3G2l9SCNG/lI34/FlfJVqzJDBmrGXTXKQH2IgpI
+7pWsxs6y3iwusarz9PotDttAKyikct98BONci/pilOyG4NcB1lcpzebix5l4D8J9YLPOviif/Hn
oSQ9UrBjtZReJc1pI9DbVoqNgv35VIz84cpErdYjitCFdik47T51kfNJ0Ft10vB6sMx1JHO/RjK3
eArsC9bU1VOqP3951lFmH0FYeEepyQ2hlpuaaHyS+lsjHaqTZ4TeQSbtLMveQ4olc2uzkM0bOnSp
Uqpr+z1c/Xb0QSZlTeIY6S73zPxmGe43Hq4fusRQAPY3PxuOdgTJmwcx54pvq8SjNXUX+21zEje9
MKAaknnYhodTi/AHRycEjv8ZkHk7fhWgkSkZ50sopxfJkVfz0qXcw/+pq2y1UIwRiqrgq2wqDnv7
2OI6E2k25DJ9dnMKh2iKdL0oI0GlTgs0l/S309otbCtk3BNeg/qEZPEvAiGhEtqG5sJFtDEQKRpg
qjQJHWTlKKEQZ9BsPphBfzpIWbeRGeGzYX7PhXtQRmr5favSlvxOUPxYuQmtn95Ssv2P9W8s7LHW
/8mOpBU6zYUGQ+3dU+S0DtAGwwGsQK9LIvcBKSL0DtLsutmHykJZcdC74WSoybjbnLcNtGWXZS3x
kwwExd8b517n7kyVKGfmZP4j6lflnmwWRd7LMG9HwJhLL/Mm9a62k7+odEN9XGwpStlghcNr7gfR
kOxKPwweg85U36f5jOZc5aL1XSXa+3qZCNXqvl5G4uGaaMqluQ8R1rJAGlIau7Ijl92Pqbuv035c
gyB2o39KAnRRihKtKYqO9P6oVkZ1cFV0RXZgdeBK9OoLSQpCvIU+nnq/Apgl3DRrl99NvDLbCHXN
WxYbMb5huhF6G5tipn3RUajW7oOSeix4IVseLIWxcCT+PZrd2R4OTkARQUjGcX2upI155GppXeUR
8js6Ty+e2n0LIPMgD503zyCxzaSY7vzC+SgjXMs7tEwXEWYn1JPdKx5QWT1PzwaIpXvx/t2mMN3C
xD/13vqsbOSBKI6JUI3mI1pQAKRrlZo8J3ncAPaLqVhMawx9GYbKkDyqGYSSfhS3lMcn7f3UNj/W
/J6Wz3edpltPkt4zeZccYCXkLo6aEZXUsfc0L3ikbAKnhkCgWDazbXbeKaZ2AHYkXKXJ2umPWVXc
swDwk+X/Xg2osZWhAPelJ80Kz0+Diug/+ievbHUFTZhiapwHg/IR5jAOAjbffxmGRXpag/6/hmuO
wKEc9hyoI2SMLf9rk6nE76WxEC+GXQRl9xQY0WqzKdRB2id5FI/QMKNHao8vFFL4j14xItG2FJRz
BBbiTV776s0wKMmSL9WvoZN2/qGHDGqPskj4JI0xBdFTEhASLhzdOr2ZyNMwO4UGea83EwPsJ4Qw
yGL82kmhemnnjSbkoL/CW3bTXkm4z1cJb2USB5A4lstETALmUgzf00W5VxoiK/Xak2Ggdt8LlLLO
b+wyzEy1ekANhkK4AeT279bXUxHvp4SIDrChYL8cQ747vnIYxnT6mlnpcNR0OJ8ovk6RAMn/zx6u
7x/sAmXnMnAflNkEn5KVpBb7BqkfX1d3Zd5S6xWPKSn2Go5Rc+FNkMaqLeNWt9ZBpbphNYkdstie
dVSW15pS3q/DbZldWi9+Z1Dg8s9l2sK7AG98AuDTUo/bgs2vMIPyOJDN2MusTDSa++wCnLxslK3F
YJOlzuLryuy6DFGyiK7rk0hYXYOF35Vr6zqBmiplZmKTWd8zof0t996QX0AxIgHnh/pDbbfaQ521
xrSbK9jF4MDdq66BbZnQ4V5FRnMZa70WnrMR1Z6qJ3h8kHnZwlRVY1+7MRWFi6M0Y5FG00J38xLO
Rc1rhM1kYt1xHZd7jQPM0ahG74K0a/Dedv2PbjmkXwvT8o76OBYgqKL061TkB41kC3HIKL7nWUiO
FqGAU6aW6bkqgmZftKNyG7Xc/jJDgL5wasKMq0BXbHzuzPzd6ABM1aMYbYG0mi9uXkU7sUnjh2r7
bEJN20IpsNo12//uDSQJxUFDV9O1XIsCFMJIIoBtFSGFWpyXYP//2yY9Av/EkgTQKmNx9F3rp+Mb
pOubxduuOsHCC3q6ZwnX5VuAbsr+GPoxpliasLVMSghPhn/PrdG+zSPV/hgroO3ivpllIXOy3zb3
7/0GNSeXYOSoO7k/A6MSHZVhojpRcJCu3yIniHLLZQSKWp22MOrv1m2z6Lu9XmaNCbcXmW5rgxI3
6fpmNB5d8h+7snaJ7lOaWt9PSwP/QX0flSVGGZsJcQVwmMVJfGR6c5Th2tjK56kPjdNIzJSgNo0e
oL0tPajF/2X7v/qFSO3BlGGfZbugdX/MjuWeQLRkD13DwWEnXWlMgISFlk3n0vayh80uPbHNtc/5
OwvuxPR2vbi0kQ19P+lLEnJ8xrZWeoN8JMepXRqb6s3izkEqDO46d5oPlZFyVQAaCIUJPYArXrGT
rjRkFeBYgTy4WGY3+2+dZRtvAZDJ9Lbrf9r0wAh3agQWbnOWtbKiMLTsavXfOYSqyh7Km/mGluhu
jLP+qgsErFsgYClCPuVFuuKj85Y/WBUInHpAXIES3FRFZAjPHsnuHQW0xXEpyr5uupKVrhlXaYpf
vf+0bctkF/F7Y0NbbUktZLATLdqVqk8lOdrd//7M7eMUty6OcBcMO2dhwbAU4y7IYFyvWjd/BOWx
UCkseLFqRpFzmXhtW3y6xrprmtGFBHRxW0yyk/SWSS0cYdKpd3afEAIaeo/AdGK30cJEm9wqpId/
dtNgnKHCRi4WrtiQGtImhk1BhV5cVSbo+8NC0YDt5A7X7XGczraR/gnLNDNGzUnZWpqfnk2oUFQU
1sd1jcw7Zg6z88KYJz+fEiHCq/itDc3Mv39wmYV80YYYlH+RNOa0cI6YACvA8zOzjrd/8bbj25lU
iVHZBg98grG6vdWNAx3tkHRrLy4VvdzJeO3K/GzHZsl79G9/xep+tFacnmRW7KuLjOsBMYr92l12
p16hvY1ufJmmMbp2nhMcAtevDuMS8uhHjyJCRWIctaZfjZxEnsx0dQ+p4RIBkSFsjdPFTTmKL/Yi
opoE5sxjpQ3WbWss3wKt3idfAMME5zf2/xwCcbduslRcPNaHANjW9ZsdqVj4I3SqZIc5gRY7Mnu+
A45Vn+u6B06rh3X8RN07ms38Bg+vjBqph7vUhGRcfBCPip+MpdHJLT4EY8X1k7VitxVXvQVJfl6f
525lkS8i47TfHtvQcTXrM19s69tAuh6llIcpVuL9m5fDXHCZ04q+OkxqOd4bfAB8AJW988gKX+GF
GjlUzCM5H2Ytzov5QcagCtxd0SXxMV6mxfZqWtxHNSjPaTx+k9m8Ab1SwiYq3Ez5QtokPXCdYwO4
aGFomqep3sO1yIdoTpFwaqLUZydu0gijE7Vk+d419RCRUA0kKBUhSHZoSnCT3qzrwY381kJeusy8
6hZujnDlukoWKIGJtqxKuXbsUOxgLoUTC93M2hPbnEX+daT0/I09XBZsq8rRyCgiS+GN/+eEuGxr
J3Ij5AX68rh92GCV8R1FyN8E89OoSxrOHl4EH0Shy4AG12JTi/lFPGbBDP3y+0+bbCDyecR0X+0p
C6YUdo9Ji9G4gg6NY9/8sVWnAdJC9X9SJY1Cin/qk2E+qWEZvfgwOOxKjegygYcc8EB4aPIkflGC
wLyGXWMTC4iVT33xxUsXJQIuD0sbcjzyl4Y6hL/UJjWOMlp9HPKK1l4MW2PLQhmT6P+5epsW27r5
5qMkvrt+zGaL4WM4KxTzi8mq0a4+rh/rjUiW7da+TKZK199Ntn1SSgcBssDrtJuxhIilJw1qP99Q
4JlPYh/s4m+/V0v+1f21aPWXpdY/990+5pWPfGLrWd9IVQGjXX6cV3v/dsm6euyCgBLFD7oD+EpR
xo95rQcPITm6vZvp5Vd4c0ig25p1b465/ZEi6zux575Cvbo7ugcEe8ACfRuQNaFqGGC1w4V9YVYp
v/qx+1y5EONC59AgtKwh+bPY7aZz9n45DDer+ZA6RnJQ8li9SuMGjXqNsnHIdm/HMrV5btMJJB8/
12w+6x7bWNwdIxp/brwt37YMts995V4lgbsPqWDYB/rooNYSu9R7GvkhsBsL1nJs0pST7VwHt+ry
1ShjmamXGemFGppWb9dsW5htB03HNv7vLcUHZRbQRCrhkm3d9qnbNq8+VX6UNz7r9Gx7/YXE2y4L
Ov2a2rp+NblqGXvptqpuo5oLrXG2OohXvnjJ/DaUXqUq+lV60qzrxNvXxoPZNcadLBNTA+EGV+Ff
S8ToNFYNyg5dQ5Qwd94C0hRkpvQEiSm9wqq06zZcvUsBbm5rfNljnXvru+0nW23DbbkzG+eqrwNw
1+BDN7dAt8niO2a/n4DTFLuBaCmpuKGJbn6soJBs9lp0s5dGjFo0VsUO1ltY9sWgE00+5Wb/7dXK
bQ04HeOn47r/q51LqhRvQFMMIC7jSxuQ2mqc6pk/5+KBmmKUzGtek7ttnPNHStwwUk6b7ZWP7IBa
z7qDuHgC0ZCuNLMPWJanio8CCh+QNt1fWTdVZ7dt0geyehQKLUWAMuy1eW4PJB3TB6PmbT9mFxlo
i2VyXI634ke5d0YtoqHAgFyixblMq8CqYNvU3V1bqMXDGBGqHqzR2m8/uPTWn15+liV84abG/fbD
vvrh/RwoZRy11v6VcWqqqjvk2XkaJv1eR+SnycehQvkcsPiB7Od0y+quqHbSlQZA9HQrNqOMZWZX
xsZ425zerJHhuhBO7Gl1FKNhBGW1e7X8lfXNJuv6QOsIyaj9iw5149lYanqSGYyGNOYCGrSgAVon
ShHjrCEwemUUx3axvZnYbOKy7f//KPuyLkltpdtfxFoIgYBXch6qsieX3f3C6u5jM4l55tffraC6
lM5T9j3fi5ZikKAqM0EKRewdS7brFlQVVK5XIFkCjWiW1wa1yJEifoeMUP+CoiWzD8I6L1efOR+Q
uqHdAVQ5bTsBNnSL1mnvrtZQzxfhaT6j4Eat82gZ1/d/g+jUIorhnBOC98I+jgUoLohBe0aWD74L
AqOpG40dloZDBZjTopGrD2KY2cq3TS40bh1iA967DZR3K9NX78cZk7yu5r1AySX5eFleo+JPTQmg
6QlFeN1vvuhRGFYwpMQmDYCEo8FdQC9a+fHz0vfLxpKoMI050FTB7Qvy8mGOHGePSEuHQK2N4opI
cKD6gXHumvcxvMymw1HlOLysk5ClK5z+XPBJoURiYroGGar8qw20HQCGqVkSxdI3y/qUigkAB6oZ
fA5O+hmZ2y1IFrqAlHdd1vYM2hCVM8xEdF6NKcvydXSGnRiAAQfwDJOST89Y7rELuZHxdbwapi9q
gzft2EXZhQat48n7YfqhA0Y02A32SBTEaXq+VNYZFLh4o/y9wWGCdW6c6NVQ594v738fQlZkQNl4
69CYtU/Tke1eO2X2RbgDO3D1IC8lmOkDsMonF5Kppxutc+kNQJZ1jDY5aqLZrzzkAOWB1r83Den+
B5e7y703jSeBsjr22V9kvHN+v/veFI8jTXqbkbYZZRj4Yy/xZfr1j/nnf9TdJccGlbKFV7lBIYG4
gsrnHjTaoOUCciHgJMRbgzoUKLVMnvOAsElAXRpO5sQCvP86Hclkpp6+hJ7nbt6HK5LPg+7hUqyv
3L3TAOFB3ae+hX+8JLmsN0hD7q6uL7f+/Q+XanFSD4wBs7WjJOCGXR9BUiwuQsUbFnMaTsIZAR4B
STc8YSiPIpmcu7cR5pDA8vdxq7e5IAy/X+2rhrxcPqyzR1ZRNgE2CcgBCVmyW7/KEcPqh7rUlGpx
UqvGou8IyQstkbQdeXbxzpJjsw6c9Rxll7TxnjwbVjoCRN3qh6fmo946E8l38w9IgBFgwdrw2kUu
YYrTKWpqwV57/65jdQzgTfLhU/g/Dflfp37wexD/T3f5MPZB1FOZ4PDbJIlpbkUa7RHoRpGzOQAc
K3fwtgA4dQmYtiJABjAQtP0UtfHUJZ8M2FTHZfS/LBlAr4JhljjSVoOpEQ7IhNsWsE9at86Ks+gB
TFWWt6W5jMi1QGBEV2iLvxCSKrZFArIHtXqkplXruzUTGMuwBnk41p+k65WhTrHm2TrODyybnUvK
ExTkIqapC32Fiu02yxDiFAkYEcpIHiYFeFtgmFwFDORGBuoRsjKN+vuUaxnxm2Hsi+XAx/wn8FEQ
0FUNy8x237biD8D+gwfHKBDYJUNVjEOypyKDVcuNWK5jyB7Wl7AGyVFf8/gz4q3GaTKGWUELAz0q
dtxDBlSLAwCT8muPgNU1MmrEJGUeINkO32XSkRVVda8upFvNo+tnu3AUVkA+/myAdlVPRmO0SAOX
pfrRZtLbkz4zEYTqOZK8x9RFhiL3Zf/s4Lisr5bqYgJ0/dlDJtkz6aN2HK4G0Lof9GQ0HQ+EbAno
p/SAxh0cpqBarW2LgpPt6qgmdR3nbEYxEIH/fmakj4vIoM+RSPRsoNwi5wvAvGVy0b4Pbnqokxc3
cBF2h3io6guommtwL/3qTSICWhTIkL6IOg/3ZCU/7XKn67AM9kAjzCdmo561NfaWNYSraHaRcyOD
KNscSOLFvCdRG3htn0ZpRVetMt10uXqgdMSxaJCVzDtTAIx61FCgylfRKuppw4NfZHsLAD6VI/k8
DNHT6FmxQIlxABhXKDKgcnLuGdWe+JhHQGc9VYIBwGgEMbwVApACaXe3vrYkIg7FuDd63z5nNRJ0
rBLlVwF1qQFHB/JS3xpyRDbSq06PKxsQyzTNFG9IVxg4FQu0Wc+F2upfFpoH+QfluUpODV4BF2pC
lZYgPPkqks7iVrMvx/kvNnOnAYwaXMig/d7TvQ37d9/1igh74wWrrgvqun7rt4m3J1j3KK+6a1VE
P0ki9HdUpdwE8PyAUAnc9xy7R+zEzXgFis9QhPAB1e7raPKPGLJHTcOZzjSgrtPkVKcdsEkysXyW
C3jtXFkdQGGXfQxRT3tLQgvxcFQofQVeLd+0UYvbAp/Ob14DaICxYF+zzJv3gw2UKnLDziAoy6n5
3W67HnlWW+YMoNt+q9ehg+YymRG4JOUY819nyXfHysgXjrZmbtYbcrqz/FcX+5xT2Iro5IBo5UoN
f+tZrE26AAnT4HCNkHahDGy0Oglcqreum3cgHKg8c9MBy6QLogZbzTs7dWPUQ5xB6r6JLSfuAtLV
0YLVKbmbNV5+pFxQoR5YPasAPIB5Vh+zl8vJGZsaee5gJnzyax+ZKImF76rCuyoGkeyR5SNWgCvS
rYBXmSPDK8oGSEXNA+gVqkRS8O2i/PUOIev/MqmHA2Rz27H4++DnSN+yx/G3opPlpQ79GOSEqktN
I/CrvpOzoS8vODPrNuA8Rlb6myMZSKxCQDRJ1Cus9SJCjj7qBFXVCBKOUpS/1d8Np3b8U6VA8bp6
4qjvWkKwhVZpsjoWyjI7lotybBR2XWk0NR4qT2tk5x8WwtsjR5onBdbknoGuNFipSBYiM1HNynCy
yBbBP+I1qVxUjwFtvEA5EOzEVbKaSV65T8j9dSjN8saQQv6A1PhFm/Iv/sIFzp90gM3DmulMje0M
PspLWuRaIzEzy/GvUjbRmq8O2pV0IEiAp/ZZZUUyyUYge63TIT/vdbTvWNzerU7/OOfDJbS43hAA
DCfgDPYmmFLGU0FbZrU9ph41I22mtZy9mVu1hW5oJ6zN1JNqHuoBlQib61l+B8QWX+enYWTUUz2M
IlG7pAuoFYyyB9Oo3yG4phIJTKtCNoFKSKCemySIagmb+Qdh9k8PLtkshtf0BZ5bo7FZJ+rU8KWf
7aBNgYyW8tjBj5oNPTA0lOnel64yfvUmdVRNt0EuNIW+jXnOBWBx1GBSzikgRBM7QXI3TU7Kh5vj
Tm7tmhrIB41TxHxXJSlA4W1wadzyVnTn0E+T8T+kRZkQcsu5gypJW8hpCwrxzopuZENeVn9m9uCf
ZqONhxxpVEC9OYdVzZ8SpEA8dRWgcioURq8ELgayIwG9hQagZcCetayVrCUhepfVp495DFpVPLbG
yAEHdZKegY8cOAghVwF3rfYCjob2wlRPi49m8kmYnMDoxBOk0Zo42Xt8zqTp8HsWuSC4Vo8Z/YS5
ezLl9DyynKgKtN3n1W/Arc8PwEqPrkDSjq7UexATiXdu2vXLTiYh6BW0D/XCEWeMWz3GR4KrPc9A
/cCk64geax6M06NHLOUu1XzsutE846TPBEhDZxxa3z6QRPrhzah11HtPRJwWwG7a/J7Pg47m13eg
x/67br0t1oPTgZtIMEUaCpgmKZpLgVwK8yLdCIgg5jNpqKFYcVpcUCm7rGodAMYkHkhhnoeyQb4A
a860S3BlglJI0GwHBu0w9F5Eby4e9hodTgIDWWBRebeRudu56I1N48X84pl70lBjZRJ4ZcBzcxNs
xB6C4XGaN6eizlCt+w+BdxpAEXo8XfDYQjHDgf5w6ZS/hRPA2+jvtesRh+V13Kw6/f8h65sv6fX/
9E2vVWATbQ5WD4IogOmbF0uCrnezdmszqk/UHTt5jQFnc5zcZkJNkfKc3NoxNsDYR6pGHf7ShpXq
AipDbPhcjutMsQAA7aQSsGgkOIqT+oTIpGK4X8IjdvvpJ/AVG8BGlv1xUjnWpOt5t8vKRt5Iylon
eZJG+EwSqLerp3hA7bw/u0+onnafqGcbfD6Dnhmz+u4T2I5f9Z4cUCzBZAkGZXPjfvS5iaMdRUGc
98huHY25uzIl4on7ybZc+cECG9ILc8xANqL/wqwp/BzFJjgV4CQ7CY4bY/qNhsjRja4sWzg2VDAi
vwd4q+PUbMlqh8vR61HvXwLZcQhY67lXICm4V5FiR5qkKGeAQGpHiO7egyw9ssCALBMOOz2UDHoc
9SzHKI955nwiSahJtduDL8tckPpY3vFhSjth58wGSVdNS0a3MJ6WBEgwTo3KrBjgqIVSUTMykN5z
JAfsyRdQpqgXoi6ghnE81bVAXpn2nKfdzUtcwEX4cf0RLLZx2MebzgBvtmPW37NoYaCW+JiDPcw5
eLHX7XMJhENUFszP1EggKYEJLUPMu7dadjDmfr6MJTsDd915EWVzisyw/ASsGfwYelCxJ+LFk7Fz
6xf2Qj4G0gAvxhyDMH1gzsvk+dWhsy2kTqkZwH+KxN7OCI+mY96maMlOhToQoQZ4VRnwxNjVxHv0
SKqRzmceXJDD/zqCDLGzXCvX7cH59qa3kgGYzgIBSMccGtQxloXz5An8xBoAUAzSbrcrAABV93dW
dxShNV4JBKBVSACyLrzjjNol4DIqTABS5h5Azm0PlfEaGYAXi/tUMg6eqdI8IB0QhOVJiZxu1D9k
F2oq1QtlU1ugcAEFq8iNaNNNSISqf86uA4RXnAF53mJhQelbF1RN9dGWuqmSqUfm1o09UDiSU4mt
ZCaZEdwpyUmPceoBxHiPcmFHX1pelAc978O1+ib1T3XON3OXlfPeTsd5N2c+FiFyQhU0nos4D1oP
QkeDnTjIvnLkEuEsH/tEdJe+5OdHeTWR9m7AXZdMNNRhc7MDBkIc3M13N74FIPzrBbncOaAKQNJ4
uNw1rXo9T6415Eguh+VVfs/nl+7fXWyw9Kzz/7ufHzrISVmvCfiBrW+BI+e9W6AJSwbkWS7Dz7x1
5V4mOT8KxLt2XuI4oL7MSyTmec9V4rxCCseqTGeQBUMxE7CwuiE+Smnn8ELFHpXpUQ/k0qgBom6W
cZSypQdHAc4nXvexRnnIE0msHpIT3kjIG1PGNw9e2n9O9rhsUcUdXzQSJ/VIZyGbBxA+b+ah7j+n
lY1949DNF6/MZtT22c6mD49Ri8gVipO6PqAu65Inzx6cIyCZo+QMVpoOtd1FuW0Ua9WctP3Z4n5A
km5sRY71jyIZ8B0ERKYckGGYqJoo4FAA5HACU2vLUUU/uhdR5NOTNXTRGRXPlwErx5tZ5dFN1pN1
sEcTm4A3HfUMMNaA9Pr6oC4sL94xCXAkqqlcKy3LbhSbfELF7ipTOSaYzpBBqGo4yXOK2n3sY40O
YOr+FDrICceZ9JOFxETg2aruKuOyT863O3WmqJgT1ZCDxMLezS3npFXkQUbSWZVRgbCyZMg8+zUt
Gbq6i6+NjF5E+h3xLlSGeZF/4wsLt0aInbffzy5wbEdzk42y27my6znq6n332axQ5TVV/pUk8kuG
JD0CRMvfApbOP3TTsJxrW+ICx9zocFjQLrWJNx/WTpI53o4pngepKDXIMLIu3Dh2CMaWOGaXtKrZ
hXoCpSV4ytrJTuvIkMgSn1JGLSlydzp0lX227UmAf6oFFPrBiHzxIVrAjRB4pXwJYy+6kA6MCgKJ
ZqhgRQBr6wqT7QYCVXEFAhRWKBjKpkbQoQmcFwEX0HXwI0KNI36JM6AXnhrvgMNmcHQvy/w7uNz+
8aDo7oyIfO7kbALb9eZhJDA7s60seQSWO8BaIAW5uBpWVu5Rppwhc+OXjgwNsCA6JOTDhxonacor
ZxEybSZ5HMcwrAMeAgR6pi5TXbviQF+fAGqocrbadsEWnbq6yVSKFiKoyNNSPiTyGWABvY8EIW8Y
7WD0YolnQpRusGbkm1JG+LjfGg7oKpyTv8nU4365nIENgEVia/0yV2DcSSruHGPG27NhosmQ0w5g
CqNvzzP+vDP1ViXZyZOUsZeg6nXtPgwnp4Rm0v40HX7lmF5fLor3Zokgfdhk45kOx6hHHwv14rdz
QW34Rx25lN4Qv54LPgzR4ruO+vLvmqPW8ze1XXtI7vXZ0XCRoRKBx3NDH5Nt16W7o25NmXf6A73z
og+TLA2l0L0r4/AP3woy5ZSup74GiObUfKNlESO5BOum0+pNhtXnYWCR7dswdS+jyFuwfYB3IeLR
ETnKE//9TTSyKOk+Gcz+ZoUNinUcM0XQ0UNGmMt9xBfQDCaqJVY5KuJwVc6JBWjaKUMIJ2zxGtTu
BfAtmlU2mhRONGj1t4bU3ntj/b1owk0396C7RoX7EHAFgL926w7kCQKYRBJ4hieSDBxWXWcvYwPY
t9ElZTpU2cb1x3A7hUa9B0yj7HGGOYbGhoo6qZyTegU+vr0zgQtPG3QpqLZqgDPQs1THwXUr4A+D
PnWa+noXm970IWd+iDg+SgKL0ALamJh/J+TgsQ0dFNIpOGEGUB+GSpVrU1a/dHgyo7a1Rz0IgQ3z
2P7pdU21R0bveJ4UPNqgGuqR7kHULoaFuVERg3GWwlHTM2hd1Mrr0CwvIELur0CbAZ2kYhxpxyn5
keTdl3mwpy8C6H77fkjdDRDbS+DdGF9HvGsvAGZEQkBaIvsxVQwhJOuGfOY3Rxs0u4BWSadNXZfx
x4OJ18tH6rrmEn9ExcEJle84IFZWX6mSpv0P3vx515QHLOK5/6kTHqjfEEdrS24h2Slt3D3Q7LNd
HSNqjVcNoDbX/XYaRtu4zVFOTNtr2pljkQRC9df9udqqrzb/ggL8ZgXTpBUAvfz1MsBuzQO3ZH18
0K9Am9rvYfVAsA4PQ0jXJ4ei44Cjc3lhbXhZz2fgjlRYRUbLDBiJokY0WmlJFkq52kmpmzwBOs3q
udrJ1aXx7mxPx6xxtqSjiWZUpoCCVE1HMk10dw9kMZ3G3swm6IsRvO/aBdkG6vRSqOTormlfe1oX
2nm/9Zhh4mgY+3lAf8EHSJ6GvaExd1qSVxN5MTvFgDDHohPLC2PHPfZNeH56sGqvuSL3YGMZKAzG
wTdycOroVCDtgKTGdQ0gNtRGEVC3M4q9waLp4oHGJkPCwBW7Hg/o/VgaUZNyptjdJnNLYlgkAw/S
xvYvSYa0erVaWhdOOKpCjmo5u5sMuTe5QIorTkzqD9RIz0/2UwF4cK0rSmTnFhPSiE3rRmqr+n2I
/f46tQAQEUvk7RLweyAtdmyfEAVtn8hAPdLhJGNCDrmHXxU8HtysbpomEDsMh9GQz2BQFIdIgcUm
quGhBIpXm3/Cwq/BFO/rC0POONlWvkC0xw8I33SSqKGJ1BykB2/dsMnb3t62RhhdgUHPFhTY+jh7
cOZPpEMimNE+UTcsBTjPs+Lc9mA8snPEmakhsSkAlYJF2I/1pKBwkcunziVq0SEnvFsz+pSCjhju
ZFBGW+dVXn1pGM0yFjPeo8BrXLaDEf6Utvgj7zP2AgT36lKbdrKJK26+DObkHRa3TneZ13+zgWN9
LXog/k3sNz6iaJyECuBuOK8PfyOpBZDWpyytlr3bjQgzK3fSRZNhACombY+RWX4RyHoB9fwM0smM
5UEIgsATicSmCHSuPCgS9qojkAhwU73qNGbEXDqfyswdgGzAkPySR82lV1iig8KHEwQlqmUyk+U9
nV/2dbVOkRkj26BAbtj4BFSqx6xT/rNMlgpcz64VnWxrBAtBa2RAKzaj3VCn7XaVa9dNQHDNBSiD
ld0zUNU2ZjfL8RB1TcNbjCIQlBLEGT+n1HVUMSfJ1KxioxCY7mTlTuLdcGZY4ogS1K32A5EtqnKa
8FNo2OaO9ThLWs/q/54d8J7OpuP8IjXMXZu3dUAZAI+Ooly2SwMYEN+xwT6Jk/cCq03woWyo6yuM
PpTPgKGE5MTjxdkzPL7s7lxnb7S3PtBiNl3KwN2SmeO2rgr7RSAMtZuxfds3AMb6ECHs9xEUF1Eg
fSRF86ZNP1KTj4sR1KGwD1pn1HG15aCZ2hVz7G6RX+qD2MMJb05i1Chxj3edyIwbqagBRlS3A0QA
8NbGyAO/g3Kebfah9ADZR86OXwxHW/huMA21GQC8ZrhWKtrXSuPKctF/ZJVbviyIvqqQYLeMwNuN
zY+CJLeQZ78If8sjsbO5M1+7Ui2Y7rpRFDbIf+7DoPG88AxGwuXKeA0dVnnL1VcNuZPYjMbXye0B
uP2mv5txnSvtAcHjtC5Somnuh3lWfxf4E7t0TBDy07e1+pOCrrsYBj4aidI+7aPv5e7C1jOwyXAm
Tn+cvjUpsvyQAWcT8cbxqZndedubk4WCkQxwN6TUFrD8WBuH4hgjFr5jZ/E9kCa7D4hGdKdWsDgA
RjrzkQMHpRjHc5Hz7pr4ZfcBm+/uQ5vjjYSc8nJLOmp4nizPVeyugyqGhWYwjQCDj5D9fdB+3WyC
xDga4yABYOoHbdDXedO7efG36yiDUSCnqQEwBgquR0T1i/DPAozGn1ODzUcRZ9Nh4fHw29zZX4DB
k//Me/ddhxS4zY4HVEuz2MhpEP+JEhzXA7Uy+iLsOTnESwTg43pkNzcE7Vs7cTOIJbAjnETFsj1E
p/om7vZJ3v4gSetJpCYOK9RcUBfB9XJbiRBASQrXK5zdcdvEubExzAZBeo3z5YPe/uzZDgrj/4b/
RR6kW6z5ZlnlfLLLotxgjZHuKZBMwWVU5yBFxwHp0gLUWVKVcVKfrVS8kEoHp1GNXGyYx3EUpmLV
ZI3K0Ly142YNV08uEA9UHO7vkJ0k1kvzVZVy43j2F7InwXBqkXoPQ7VOjW8kgMK0akrc8BAbOJpV
HMq5tTiKZ3e7gv5Meeg8j2P/KK6gPyE4f8mZXn12unQXlvBPdBrRKFLfKsMC6vGEIkn551Hy8ZTY
KAdaDzA6KXFAa2BRMwMfRAABZo0AFkWc7eTklUgDwG8sAyLUthjkDF4F5PhYqgk5sFSwhAfssRJ1
8g+JlAbktOlhEHV6RQageYsdABe2NWBWSZzdhd2oVwygsHEQ2nSjit181RRV6yMHqZlbf5PECcCI
kf1aIQcBdcm8vLQt0iFRKv3FLFj0xSim7Dlm9Sc8duNVNTblKSvBTIcAV7NJhlLsQDQ/XicB7kVi
V4wzCQotiVxMxdVIemoyZCGA/QzrWaCkn3k+9gFP7PEyDeXLvx8Y08HyrArZ6qqLN2ZZtts7nBVN
HDi7IAT18nzZEkgLoatQkwF5+IDV6R9RWRcoiECYesljHDH/XbzTGYAnjoyCb0lHTTaO2d73RoCi
q4XzmEq1em7GnYMaXxSVYLlMBpzE+Tff3AwiBpC/32aAkQITlW66pNn5sQDa5ZveMUBsVXNFDj2B
wvrB0LSKu6pHOgcZXBl3h8Jwx8BvxvpmAw56J1ykSoVWVgPIPnHrW1pJtk+Gwlh9yNFz23qHauQZ
r77Z/LQUstvUfbPsGvUSa6rIvLKkQd2OlqnXT8hJbgfQby5kFqYF97cxVhX/HGde7Gm76JU2A4VC
nvQo6sUZG5YMziZTcWfbsnGSQNvEuen9Y2zOWwfR0nMUj9OZv/VIJAPpxqRD8pKWyayH6Bm0jnpd
Bh4i0/zzQa39H65ojvG83gqN0MP0CCAi/7qVBx8S37tH0lleL05mc+OZjz9UNebQNwGYmEWITehk
bhgzuw3YLXFgDG6Dz3FR4tE7sSaoYnP5TLrGtgBUZWSod2zNz+MC6OXWnas9Gc2okEEzeMDUNkz5
OWPtN9al83cPC66gBejRDdh8JtJwrnZumUjorH4sdm8cORtjoDH8asbQ6lF1hko2raNezAdxtOzw
p9ZHlRvf7MrznxE9ALnYUREtAIInCT8YThd+6MbBAEqIyXAibHF0G7fa4R3LtlXU2QZKQvLxKMoc
CBjKnQaCSnS+NkVyLciFdIpxLsdPbUy934o0l0cKNetIdPIWk3Y8PIIHC/hDKiJNenJLqwxYzSTn
pYJtdiLPwfIOWLFTJ0PUCiKdODLj4gM1HUB7z1y2L/5s5auK9LbakNiI1R9DvOQAogjYAjDNFC+S
tcUHKdLpPBb4D6PCBwWG7tSc8URFujyqzS9y9n+kc5WXG3tAEqi2ljMoyXrX27lhjWUryJuB60TU
wbrx7TDBkSZicVoXq//+qB4JZWGk2wdDW+Bt1NrhC+nHicd7u86QAPG26tCrC9DIZMA0bqXYyhp5
7+RTWe60Lk9mwZb9EiZf+znOL3MNuiywajRpMMXWvIuIVI5ME9E7dIpFblANfk5XQFQi6z1VD2xA
wz+7KvGgcO0IuM1J/AQ2uD46KEPthDjgZmkXHbTZk+CzbeWtsgA7sQA7Q2y5qKbLElcHJ2p88Mb1
WEn5tlNvBY5EgaoorOW5XKpjMWO/Ofd8ElsTxwVHd0QSIIlFGZvPbAT0KIhli303LgNIiNU4auxT
7zrD8506RXAT6d7jhrNSnvApzDf8duMtoDkBF2A6TzMrwz+jscX9T+Jb6JXTJh0cvDjALhbcwYFT
l7DCZQfg5dAB08C7ZlISePgwIMgXRtmeF/nWnb95drW8ZHXo4Sgtr05OaZifHKsCBMUCPLg5luXG
bRNVz9rPPdKqAAbe2eZ1Qk3YtUsShrCHBex9X+LzHmoPgFkxElE6YUfBBEyMvd/nw7X2POTEKsPq
4yolWXrRlWfP5wg1QaX1NOI9HbjiACdXA4vgf3CmS+JxsJ2nuD4/3Iq+BPWMHrmuntX8ydoBxIOx
ML4k5hRwIBZe0qnMv3Bgue38tjB3FvJnvyx+lFyngmGVY1UC8I1zIBBf+yxuthkkiWsdDSPK/khr
AwnFIGgSOD/ag2L3Tg824hFJUn6BzHFbVr8veQfS2jYGjCCINg4IuDdH7JFfVpF5XXFpF7Cmp0v+
EywzQaQoZGykZanYt39xkwGIRxVfwJkGfMj91Lr9pZ+y4YKkjWHtaV3jm2WI8wggLVgW2Ie1ZXFn
95jytk7/khPQ300DFFq8c8LPTio+gNNs/jZarN6S3lF6hDtXPRhzX/UhlwYYbKxj2NSHxmj7J6FO
4fvOSE6tBVA8Yo0nXRpOH8mDVJY6tsfexwjISE3kDx9tvEce55jBv2wL8ITOKnxYutEIBD1XtoGI
w2Fvph0QOus+LXaLj2prBKvaJ181fA0Uqu6QAOKlF+El5iFGi7FpD4Os/8o50pSoyVSvSJJqj1Kp
IUDdFvCftZl6/lLET6X/qJYKD7XtFfIzaMbKwDc9tidl5Qz1091UUs0v1fw0H/lQbx0d9VP81DmP
809ZHCOtAhw7a4HCAyieM2UoVUin+ADEgQjo2KqI4bGeYXV6qHcgEbxEh7oCjRINKfIMqbuxd/Jq
4HUBkOuKDRp7iozYeuoJ7bFd+uaEaNdNNrENiG1lfu2GUYQIGXAiEuV+N4acEpXeFTpNdCARBWpg
xsiRvv2WOjtTlqyolnbHOiCu6XxZ7UM9aiix9sHlwW+dUPu8NzVN8zCOxGiovoFuuNr7ecZAeDrZ
8rJ207jPEc2qfOylK9PdDMq0dlv1rrvTipqHCJArB3sc5KUql+FQmOWzVv3X9GRqaea1q+acwIKN
bBU10Xo5EKymC2OgKfg1d564ziaK2mYzh0Z3kSjdq4I4rfoL81xZ7EmLw4Qo3PhDda5QpHgsp8mp
ArJQcyevnqRN1SQpzQdyymWDxfyyWWVtfxx/N5XbA/7LNgAAUpmpAfROkBdkYds+G8iVebbwwmdB
GGd94FhRfNCWRPmQmI381iyOe6IRTcVfx5KRmV+rHlWUZNOj/cUQF8T3d1q1Xspoc3bEfvSbNtCV
QgfFVjHO+RMLWdQK0Ogi7T/yCklTi+ciDKGa6a1Xgw+vDlY3pB7XAdlJpl4yAUwgnpKbHqKnuXNT
F5vkgCisNus74F2TbTOvyjdkXR3JTDLNs96JHtM7o9wgBQsvuAVVwj5DBjmxNa/EzGDwtBB2i7ci
bNor6VbyZhMlFccuT3+k3KkOYVazJ3u0o/3shu5JNF7xmUf8J7CNih9GM6qcfoG8W+6w8xCmAMxC
gOw7T4EABwewPmNdmDF2KasCiPY+cvJz8+fizM4XiYzET6OTbNvWcL6QqrLarRkDy5WkbDERSuTy
iSR3maYN94bs1BiNwDu5MXaG0fq7Xg3Hwqk4RbWx6bD0P9NLPMsKuTPjHsi9dVx8GdJEoPpSIB9H
vdMdIGt+cpw/SCD/JB9/WnYhrvTOn5pY7hYGdjXyQEQZBIGDNQU0Gd6n4LJ1/QAn4NXv3CsQETLA
d4eDR+eYoE7zNFRl+GyXHMEEcxQvrWP+p5yn8S//Q5mN9l/9IL4LIB2vY0HXUt1SIxJ3Y5k3LVvX
9dex+FKGATJCELFUWc8JDp93Y5hHO531bAtkPWBznaMM3AKFaN3ubD+fP9KAbkLdedo439mQLsie
K78BqCz+AWYcgKH6U/IRG3ILz5eYA8EDhib6I20b4wugFfmGLWbzGZAf/iWq7D/zUbFoTGn7RzGX
9tVD1vxnk4M7O0bg89VX6azOC/J+rD/K1qs/G9GC6AFwsHY0gGH18CHNmp0TdtmmNMNw51RLf3VV
M6piqlItJKlHulAUbDOr0isypJ4PVgY7mkQXrH3ywrn3ac6n6qTnoZ6e24yd+ZTg3BB3XAH4FYej
A54+SYhQmUyw9aLuIIesA3v6VF1JdpQzt4ooSPsWyclKJN1/jSETqkmxynIQYrkbrcb00wCWts46
Eu4e4fCheiW6UI90GqWP2X0Faj/3jwc9+b439EFny69qlXrpAOQ9IphuI2yE7PdgzGrsoGw/erJK
PwHbCBCyV1n7kI7FElt+5Fv9/5DVCH6t7/0XnJeGe3DKJ0gdNAH4bpvI1Mzn7BylLsj51H6WGqM0
viE/Mr9K7kVI1xTZGQihrx6uIQ+mKOvsuwm+nKBE3iiIE6sUq6tGHPVuxJIcgV+S36y0TQF3NSgg
Yu7h+49fOuha9xYOQT/QLzcyOgRPJ1YCcR3GdOT2IcqkROIfHhJWOLJnZNHcBmRht5u3oeRb4Pu+
ybquPK3PAPyOD0ZWy23JBEgPje5cJlbuPGHNsEubwT2U3nLwXc//QI3JGwB3deFXc55eVRwZbzdp
DwE5gBYMgQ1j6A6+bQCLW40k3wnUMOBk9stTCRrDdbY5zCRgtC0Ph1+AJsi9pN9RMROVLFFFk+84
NVaC5larqEduLhVCkWziMbpWQ5kpHmGDiIA9E7VgoAvTHWLIKXbfwE8iHVXXLG+GtZyEamuEbae7
RoC5Oh6LTS3q4uZnUXEDgkVxG0fQHHQRcOi5m/p2UCozr4BRXhTpD/JDhBYGI2+si9FFJz2Wermq
z8m8g1avE4GbeJs7i3OlGfVVDSP/nID8DuSguAetn5eiDThzkB/6Zoj/H2PXtSQ3rmS/iBEAPV/L
e9NG6tYLQ2aGBgQN6Pn1e5ClEfv2nY3dFwSRSFLq6i4SzDymC8XWkHA15BYzjlKUwToSjQStRBlQ
2keMFmg6DxSjVYrRtDXKcWlHbbCkGChYhnpchuYKPkm/5/OJFSjbqqnqzb9dGupK7bqUHHrtAiBy
u3SbN9NnyTKcsvGlSYIWtf4ouVvYAG5cFfhnWGXn8HqfoEUCEssu5Opa8NBblFaX32LuyBv0WPKb
W7tHC6/uJ4o7uNmu4YYEQy5yswu0LHlkMRCO4fi5fgRF49RrxQAYI3BEC6LMRfyDPMXT3r+AMDVC
TBWYYj0rvTXwnd7DYwXureukn76Tj8rsmfJh+sl/hVbqCfUY/NTwXgHDvAByZvJXSZKPkIsSqER2
5VAvLQfN5s5U7EIxGmy9iv9O57niEaaEHErIF0gDQIgUCiGLOfa4mr5GFaNQKOCaSbkALSZLD10P
VIKghkbDVAWi3NSHdKRXbTstN12BNwDfLTPICbf2BewmVKWi8DtPIZ1sJMK+zPEpBPpRWMlPCtEi
5dNRM0U/LH3SHKK0orQ2nufCVkGXvqQugqm4ix5HFMMvZ1sISADTIg1zLk2D0vxqFt0vPIjy/dTK
AtZ81qpgqXiG1NYB8gHuKUKf64RKbberOb9RaI7TkTGM2MdT3iTh7Jm60ASilT6SFUCI+jLzOV5k
dTuPWf/XtepKgEUKhduVYeTHB55yckBecsf0TdlocUVDiLJpl/ryNkDv2Qyh0jKKPL+1kLi8Cc8r
NpRXTgwNZcorWueRB1kEZxUao67F/aOEMatj4I4HTYxPKhhVX1brMAxhxKhlNObzSB4Dsr5PIgR3
60skAJ6MzPpqRkNlrWJWOLAT5e3exS1l78N4AnQmbl9pmLRmhrLQdq3QClx9WjAs/7vJonFPcY9X
9rWQ4NK2+PaO1vdeGMa2srGD5b1fPwEN2DwxWyggz51wSzEaIuN1FJG4Q19QQAhtSx8FfVJx1A2n
0Iv3FKLPjeJVHyaA4U7/lQt9wUduD0IbcPUigA2GJ9eqjeqdqxLrq8fZG1zWi5syPf4CV1RUZTrr
a65yYwsyPaxPxlvbw/TCIWFvVLfPDzVvCDRkZ0AGou3UwCblEXwIf1MqDTIO0fEe4P72WDemvj2o
vD6ajhWfpIAjZAw+4FsRBs4qjoTYF0WSvFWTBo2X3hMz++TedOKVsoAECrcph6UyTa2qmCBV1/bn
Tgx4JhlZuPd4bgPYUortY5+tN9uADp1jbGTPtNf2bcu/yKbaCDNs4SpdNsWuivJLHvQXqEdD+tyt
IGsx7yWVqia2oY2ggLHrhrMgX8w7yEYYSfm0cEYGG0hKBdRukUeus/9fFV5I64WUYOaUEZ4JRl+x
h7jMHP+3XIp18KYLS8idQ3m95PbRa1DitQZIjDs1UIAo9HiXzrK8iwMjmgVsStvtWCT+hRZoqBoh
dig1pY/k+YxGnwbtTZAwXG2piyvRQOeHUXDB69NUm0sGyCUGM1mDMwACYylgoWaTA6KnvQ+TauCw
E6dwO8ArkaKPOewgN147JnuKVbL8vfo4h7IpyOCou0ZZDnV6Xd0L3CTdKyWvUKOb2IFiXZ7uPXOK
Dx+qdI9DU8tw9ujmrCjRKxJUXZn/bOIlbiU8Q+2h9mN9DdrgOhQdv3cdF89eWj7ClcfqQ28PUNLQ
WdlYfjxJDt41UNK8h035OCkyimQBAwKZBVvoKC05yurvIK61C7e2fYgd9uVTmsYv9cTKdxhrOWsX
9ebdpNOcsV3APpfdIzQZR+xuB6u5CG/a9EBtfguhQLzuPYfDirzpv+R8/B33IF4FEi9b1bFjH1o9
dBLuDo8jP3Y+TvVC9yn2afon5dOl/h+XpxR0a2v8k1sn7e0rDcxw7WvTYHcm8Fq1+7QQWb/Ktuou
cxhGSdVhUN4LhVpUQ69utftk4SEyUW5V7rzNevAPzfg5TyltFJIDG7S10vCNNOJLitEhDWbTdc2C
Dimx594jsdHfqtro2u1kNPEdn75zsSe+TPD0vg86REcJtNUjFD2uc8i3kjueU7Ck/JMqmI2ejPBR
WdAxGsbEDpZ4lSk2NKV/pRp7f120lkRTocuiJditate6oNva9aHu3GOXtsXW7/3oPA9eJWNUylu8
Ik6J/SuSvNhSrHBdvBxSoirEV2pfUquS+pppDVApUyIGOgGdT1oYDCA5vCYDrxahlhl4DNcl9qpp
pWJ4iuqupzsChAzBlD2+DFgOJ2TO10JvSp2byFxxIf1ToFkKtt/5pzgpW5gA909tUexy15VXlFHz
Kx2NQ5Zdf83BKOvlY4VNwXaqgWWeQ5QGFMhPzwmBm9ZXooEyhgYtZ8gJQchBL8xnJVE8rOBrMa7m
GP0HRDb2G9V00XK+VKbPZa4Z7sLa+dlLBy10SgawyD3CbGT36SKPH8BuWzDZhnFfa+bepNl8vukZ
l64SoLsXQbWzROfvSrt+6WIgQ2mIkmDCJpswpR3hR22NLJ0TRnM/uHGRMRSGOLgAdiHuPdzndnBr
wFtnysSdYq6ZadeZ6i3gWXMQwv5Z6FRQUIazCMXOqYP0Xsdjeu8ir701agfT1TYC7hBx6YVAhadi
KesONTMg1jp7hKR6XFxmMgiRRoT1ey207jJRX9zKd++lk3i3arrZWdukgDLgbx94ltfHtA8rd6us
PF9Srgpz765UZK3CsrPWNKUFMGcHtEv9bG9BbBng66xYFW3Lr5YLeeCmrRtYMWBqFA6/xiUGv2+n
Vc0za+XkMNXhNYQ9lOZOyDCy0MZ0fSBZ9Bx7KLmLrf4J2F1/n/hTBYsmkUlzUSVRfQS2adjxQe2M
rKyP0DcBwsfULyw0p4HyGn8Yyscp/7Y8xyS7lxJUhAxWIG2Iun6Ijtk50ujyvOG/j6IkG7DQLg0J
iRkQUrEKXB4OKUfBmA9v297erAExhEfWO6ih8XOZiK/RFHiHQG+5nEmAHQCe3DRY6ux4Vjss6JDr
eV/xaOlbol6DlIQVCqIniS6XHqDqZGzgASZAjfwnVtv6t0DzmKFLlsdLmgBoCWT8nzSapnaMJnoy
ZngrROGghPH9YuJxd5KF6k50NA9zDLJ6+SYREoRIQAJzM/sb+ANsTKLaOfZ6oCPDbbWTbwlMYG4l
DliDwl47KPBgX8UyyHnq4GOg+eP0JsYSHdJSg88G+g5tuSZ+YGSk2zzXcn9VD3IJxbgTgjhCrMBA
UwPpyGbteEjxPTUlePcz4sUXybSB6SEAdBp9QQsaN7+G5Xa64tWULdMyMXfY4cfPeLkLz8AiX4jL
XHP4a6JzAu2ucNxBdysF7DRxj0EO/dNycJr15FpwwtUxWxrApedneu4HJijcXdDxm+mZeBGOIaEA
xfTxGy14cCaF21KybWofMndCS/bEKK6DMqsPi8TpvGcFXPRistoIL/OxAfVZFAwO8zAmrQ95TE2l
oiBeG5NFznmHhktZHEs/+jg0dgKdrjn4KUfqU6bO84FvB84FbLTpkDneeIirZoJGDaZzDN4d+ERo
Xoji2sSgivxb3hwTqrL2hf+9zL323BR5e2bDiNcpmqsUBXZXQfo4H9B91gOezPkZ8rPA1MMMD7d5
IHRUjCEezjkZ5GVAypxDy3O2g1vc66Tb+MEIi4fEqJ877BZgOJn2e4oBJQ5LZButYTmW6wxGp2fR
GDBIshL4ZgctQPiBcFiyDgV23wPcGpUc1AUILID/2i5bNJaX7RgPUVYcn+ZyB5UpwJxTB3eyzp8q
IDStNABoGNhu9FHLqSCHgu6y7IsruDb9qq5itupHD7/gYEidNZ77/VIVLnh+hp3vM2k4T07uR6uw
SDJUGJT75KSReZ+6F5pQQgpg91oAerFWXYUHfADVPw3XTaUj8Z3Sh7FG6PrYI2xtq7nNIekoSPNm
8OHd411sQ/qhNMQCuriPeV36L3kQiUNqyhQAAnCe4CBea9mQ348lkfsALvjqhR5SFOd5PO6SAJ5N
LOrxElOF8BFC1VuMuDXRUZOZ3x2rtvcAHQRrK4Beq9kZ4g5LUzwXC2kuzaj/hrptCRiKGO7ctfu7
5+QWxB+zS8MDawdeYL/MmSs3fs0k0AhRz7dQeQ/3gREepBrZ0rWDl8CTnQax//Btj73lFSQSOtPg
W5h7Zk9hIo7wE+arHHo4K23Kco31MMZ1d4WxA5hwXHHAVBBLDas8CgP8gS7le2mE8m2cADHyYlec
WSKzex15YhGb2DND0ASsldw+FRWzPgwNvDxOIT50x/bUcV6kXB7xsF3I3qvg+xCt6Z4a+NPfLAvR
PNZ3WLo50r11pDvmfJv9vKyzlXAvdidW8CrlWzPy08tUSHGhIxrwpgsqieiiNdOrVq+AYnWdfItm
1HAuetljnwt0VkNfQqG/cGRLqRSocBZvw2uZS93encIjDf4A4NCeDuHRDL159ognOiOcF8FCDo9V
hP1pO6RvDStfiFZaY7sNszsB79WxCLei7fiRKKk0ULwKrWDpgxO6pliuc2kB3FRrb7vqheJDbfXB
qsdFpL4IZcxXmi9S+d2qYkHz5BQcJM8eBoTwhzVeYyCsT0lejAupp2AhB4fcgHxo7aQT2hqQ2AE0
Y9ADHdlAbkMoLJXrOZawPDsVYGFAKfNPIgXl4Ganyh7v2ON4W1qc43RkM9wuDQUqM+py7RLM+W4F
EQ7nJFIQXhkEEvMyUNC7wUDsaDrCd/9v3zf45lMcf819s8BOACMtybR994WZb+dz51MS11oPHMxm
YoxEY4c3mLzYAck2nCn0YYBk0pkySl/uHnFgqlbo2KvV/KjFHxYaxtFYwpgZj1/DyKS9YDaIPy0z
jz0cqm00BvrfD2bDS9e9BlnPoV4O35whUXtngM9TyPt2NzMFiWQIu9/fC1Qgp1VaoDNw9PuMB/OQ
gkFY/NdlaMH3ZAYoQBfAhUmr7Viz+jLdHQcS5vEr1BiB0YeIh+vh3msJvCvwtt7DB906xlNgHekI
71qu2pSorEKNS+0o5kJPQm0c/Mk+cro8wYeGwsaSiJiAlLM1yh/e4sG1/MTOLPMSvuAC+iRhmYSX
oQrWqAc6B7gG4c+E2JrE25SJPS2yGhBS7JqeItMsd1Y3oqMHGD/cUOMaeMPEszYKzNo9tR1CX/LT
Y5XcUGlOK/+Z96FTQaurTm9sKm/Ygz/D8O2R8pB/7cC93bR+Xsh1A9BKiQ79mWsjaXKTTn0r28O/
DFBHSgmtqFsyAWgn5WQeTNYWo43iMx6b/3pepQKx6hXULIkvknl2c84avn8wQmiKW9H+QR+hKTbo
+4dnNMCq/5Wsz6UrAXu7gC7uYtIlbjcb8xtDc62avOJCIRpkUflr1jjekqYA58kbHfVl9iGX4mlh
wdgKSk2ebu7QR/b4vPUvgj7kVKEbXho/6cOfP3aaPlL1r8atodDjOehzBeGPGL6K53Es+MtYAZ4f
Gd60o6kHjyp41EzJmqY8VCHARgOquUCDvDgGE7e+b+AejhllTFUOr8jwyh2F+rlKfmRZuSzwhHqf
urLfRFmW7fHLnV5Cnr1QAgRQ8A5mVsHVzi9OB43cuclCzRQaImA07Qy7rbmjMuQSSCQRGmvfHuJT
WhcxqDA2wITzPA4hSV63v2jRMCo82+nw87yg89Iiy5cDcxbAcUKn2Zn6G9iI5TJOs+znZL5z3Mp+
ebihLYqwguCkY0SAVAfx88RtIAWwQVnTC1qaRfwUBEYhcG/NQAvRQOqOeF7YUsWZ4WxpRkNExK55
bmt4Nk1j1kPzHlyhJTV+eIfdeRPYeIn4774Rxea0HjfeuW80JEG0hYA2yDadUZ/acHoe/1iZg3nQ
QfNJQuW+b3qxBH3QRMFMwXpF55C/OeoRMCIUd86K7NTrFrs/ZdWS1ULuWz21zMLb8ihIoZOOfnxS
OM4llvWVZiZ/dxLT36ZCjFcrsuNVafHyfWj8s2dExl+5r3aTn3vfCpUMSxRJjU0Ad2pcD3qXJeSN
dwOoeriFJsmw81EeXVSjA/4gBb0J5COG7cQoQ+TAwcldJTzzV07bNjegSNtbZeIdIQe1TfJ6XRvo
FujW6YehFduBhcapNDtUs/yvJU+/wnAyfUubpEPjRaUbPF2St2RCH3gChObiyEZ+idHUBA49edPa
8EcJONeS0rJsbFfcB3maVtNg2HWRcXQy317xKbnjvZyfoILITwAAowrhElybAlGWVDudA20L3FIf
65QfQhg6w8sSHG8CuHBN4hSIDBaoWW8mF4gmGfYv2+LX2jajm1sA5OyzJj/DN9N6LUvU9mnq5Ozj
lFbnZKaT52kcWmKLneO0KgfVPJVs6MFZmNieWUb9FPQg9Yb2N1qDNmD9JPoohGhcVLkXV6IOlcTF
Ggql3YsTWu0x6gB6pWncGsG9l+6SZolyupekglTBBGYaGl3dy2Al2bLFTWf3u+vscBd/bH86t3TE
K0jpJRCTWIOzNB7h6AR6JIibKCcA82XA+M4f13kQNosYjq5nGkq3qs4oBXTLGHKNK4ox/IfPox7m
qZNzb59bxp7ilEGLn6ag5rzDQTeEbzOuSxnzNSi3gZbaZqrxwX1aoGkoS4h4wpxtAI60KdNllDv5
JUpac2XwdPoq4xh9SSf8y3Nh5Ie3tR9BEqFalxftdRTJt96uXkb9ECQVNqaPClHmsCQfizXF5gUo
W+9xl8pPjzhja5H1fA9dDX6cnAaoYzp8zOvYPFrMBQR6yrQ0B1J0KKq0aeTnUz6f3VegZIdVdqBz
bB5la03xXhY1pCcAcvhWA5OzEUBm7GgaoYnfhe9RbVY7gxnFJjPb5Jtwo03ax8UXSF2MBwj/4r1K
xwtneolGo7ok07hVTspvVQjwYeWhuciMlt+MzOU3B7oB+zF3BN5+/4nREd6UWxhY3ehM5tp4NywY
yByiXDUqgsVx2vCDFlz5jn0TCmfQgHu2IHu34YArniDcGB1LWMNuLSHKu4w8tsx53q0YaIBL+mCw
PbwJJdHh9eA4Vpkt9iujj0eensFuJlsF2mZsIocxGXVyDU04cHLIkIyyaL3Brwl84Fiu/NRuVq20
okubMXVUYRht0EGJvlStDUdK0/3lVhN21L71Pqjgd2qWKAW/tgzbNZ3qhPxdibJe+VVTrxstApdp
Mh5nMTRGZG3BZUUPrd2FH+cTrVOqaTpyCwDylRLnU2jxkecMcFuXafwaGMFfmdHlT8OU8OPQ4sXI
D0T9faibzRB45VdIghS7KBi07aptv0/qG613FniUuBZ0sJKueYlUePfaqf4+wT9gKdS0TXOnAfFm
+ulC4/KQDbK+k5hmIsyfY+iiBqcU29pO76N4nsBXIg1y/0DzuGRvppl2K0h67kWt4uvkdW24Csbd
VAOB/JiNDaCZYy4b/Gni9oGnkzoX4/TFZCJ8aoY8PxWw3V4apsUvtT/9pGoIDY6Q+DM1UcmaCyZJ
ZjWrEg1UfPAA/Gsj4JDcf+mw0d5wdIQ7fXEcy2ealGWX7XvHem0Kbr+OmQGN+c5M/u6/Nk5S/522
7O8KThZf0LCNcX8b/XPXOtmhaaZpq+Ckd49bfFpcJOa3vgMgT58EBshugh3Fd3wexbLqIvduhTF4
e7mJ9m1pwKzW9mtQlnyw0KdmUDca/C6xjjkct4sgbIMFxUA0SlA1rap93fu/8yD9rqCdBomEOUbJ
aShh9zt5pzmelz2D1jiH8kIl1Y0W+oL9mFQJWBj0A/ZOB9xyCsHV56AGccFxpBbqY021Qpf0tVWO
uSgB6MWbRyyvaSU0mWwydoBpxFepBLo7zAu/dI3907IL9ve0zP3C+BK3HOrsUIVGRaiu71OTAQw+
yqPhRPWd4qabfwiBc1ai0QJtamoz1CNfBV0G08dUmNdQDyI2xhNHgS9wCttdUBpkDlHYc9FNpDyK
PYYMTeM4c1x8n3HuIzlzYvykfbctejDpAlvgnVj0l6rtUDB2wUCDCgPfF3nyhErK79C8qBg8qT1I
iSwnqzIgxvsnh3cokTOUCbetIyGwHIq/6CnttPi3KgmmKT3BaRDw/gQ6zE0ONO0gG3ljprWgGZ1V
wdBjCx7Hx7NKCRlXAwUEaC0n/hY0cG9bcpHvBzSUFp7r1E80TOjMLIsK2IqWZc0j1qtd6mXmnRLQ
VZd7c8Id0AXFMFvK0cmWjZn9PiEb07/SEqbzph1rMTgtAffhsNTygI+5qxi4r9Y79HunJ9nYeN/1
WPYz7pMliALg5rHmLcY+Ao+m7GbGcC6CHlxpolDewHpcTxO04ZZ4nNvLx5eSnB6l/tJWvlxnOQTY
YE4PDAV9cTktlynkQYfcWpZDGILKlf9iLfaa+GXzy+hm/II/d35BBaHdhO6Ed1Ade+TmCXv1/Orm
1xweh7hRgIKJBlpZeLcyLkd0X01IJP+JOaLMtiqI7qY/NdseReWvdgNRyNaLf1jg9y3tmNlnKEhb
l6isIQpp1fGP0jeOFaR0l3HTBAejYnidYHVyDU0D37Fpn3ZZssYNxxZLuKHA/cgdoIKFN+4nWaB2
GpZ3pScUgX2WgmK2AFO3YuUSjgLsyfp7Mu3xr9SCeICI3f4FytnJJsCXaxnao+wv3MuhDlxY7aYx
ermvjbHHu4H9MiUM4PTS5KhKdD34G8nbo5qSOFAMiRzQax9KmKiAxgsejv89xw/yFDoAyripZ59c
XSCd6hJ0rLwZ7JMJdTQZhNah1DMPr73linIoO/WxLfSm7w6+uijPmGV1GM0u3zcZeGKegdfQShVr
Zg5Qi9LTqgXLh45oYNmA/VXRdEtLVMWFhxa0vicFAq7rjztUlPIVDyLrFbaTH6dNDFmReTUG/Xud
tuP3tlPdovcs68aT1L5JMUTXAcoDc8jS8apynlHoGnZN5rtn7lrxayU3FfPN16QXyWshN7WewD51
ehq617rOj64h/JszNebrZBSPmdm55mvuZB9mf9YMYYmXESyIAugpZRlfyrH0rm6P+gsT0deui9uD
zzsUevViX6QFxF4SewNW8Q+z9d0VYJbGHZzun8yLxm+ObegqVB+dKe5W4qfogo/xKQDrrx+CHjcy
NM/0h5ZHufEEsPnKjJn5OkZeSDOQN/Hmotf+ZNKanpnYv74ylMBO0+hvu8Hjy8bHBigCDu2N7ZRq
mrepzcdjCTVgLA3jm90IDtkDpwauHlM0PITo3iYzGY4iF9MyysT4Zhp4ZfF5FG2t2sALHlw3wK8C
QuhI8wl/H8cSJtRwotDrH+aNGb9kePrBuUe9W4kozvPAgPf4MAUh4r2JYtxE/zOON6oEDwt4FdID
CwW4DmziyUJ97p+H2Bybn2LTAGFjLx+WNvRA3lWgPSdM9b2HfuO6TVp1gEW98Rw7xQttueKqL5bM
dbMLBKwVAN6Ru6AFMzZ+wFGWPbn4XI8sBGM/1Hs4+KWv09C6NRMwhQ1Klee+dX4PHJT7c6rwRgs6
yLjJVGnAn49GSiqOxRixxwl0qrKwBTLq7nFLpdtuZ07p6UiH8wbpw333w2ElAqRmo/y9jZrzHejB
eMyGM0vkv8uk785FikaXjO0UxCQW7So9DYY6AtsFNQtadRO/Rbs1/kaLKU/zsz0ybI6W+ZTCS8yD
+5VuEdDQkcblpFD1zSe8ffbo3C5oJWxg9WQnabymadE1HjCGBhhVNhuWvd2lu8jssufCz+OLnbML
aHTZc4Cu4HMoGm+R4HG5p5gzxc1pisQ3NANWTh37T30A+GLewbDAqALrqytDtfHwU2xpCio+CKvR
CLyGnb5BsziBi4lfnRIW7FxeBFcWuMzDbaWr1sAxwuBYB+cBjNbXyDDtVZJCnd8yLO+ceI0HQELi
P46yfGIQvhHeqq8c+CnQMiVmffomoXG8TOWUnWoI7R3byLQ3YNbXTw5kQJeZ46TfHdfae3Zh/x3K
bqPMqvgxaivZvBoYKNBWB9VlApzQICzG953T3Wb10hmN0qaFs+uN7m83KvJULAYGt+yu9pV7ARgk
BU0T5TZQlrt7OGkQz1RWzmFyp3vLsSUqoiDbVdMEfQDNZglxIxM8s69EZDGCoN6OI0RZZ6oLL2B7
hv/9NdZkGMrILRkuH3IOf85/XM026+2nVS91QeBDk2w5w3gNjqZYIS21IQjvY2FyunM0lOsZ2ktH
FSRmHrk0NeK22QF70S3hDwb6DHaLi6RP2LOLMv6t593eb9Njbxfll9ab6l0YZfG290P7zQ+8ZTW4
znc3atoV9h3RaYKE7D3ylFpAgijauKjQrWpdnaKKFA2+TPdxFXf7uXTVaFEBWqTYPNW5GUoa+zlE
aXTJXvG/lcTrH1rZmtdRJrCeg5eLtwg9UBwcEMGcRRxE1bZ2BMP+R88DodQVVq72Fj6czWPq63Ra
KAyZ7xp4GC0o5tEpychNvNi50cdL+ILJPW5nPyiR/kG6QlO75h5l16/zRSmeW3Z+cKbo+XFNinVj
Ci2L/oqiiPwWlyheADT0q7Wxj+ic0Hl2mnbYYh+Q7YduLO7o/wQLXiXqF2sOvHWqn6jUtaDd5c7V
gl7pwYCCDrhkrHv1pPoW6Yvhxe7Uy6l6C6/GhrRLSLVk8v1q16BGPquefJDephTcf3Mgb1CeW8RA
VS96CyKVjzktAcpXLccpcHZVNj43+BmevCYOz8WA/bJnTOwdikrZ0sg9eXb8cXiOoTBK8dEEPCSu
pb2DAhh/xxag4Dm2oMq9qhpFc7q/t/pJ8Ljr0xzCNN+SGN+0+RHxeBoUIuDHjvuP0x4xt3A3pcPC
U6n0nsAwuiVpxpGqGy886CqtnNG1K1STgmYZGwU+N5KWmyblHIA5eSVBOcoP8yw5GTFYmxpfNA+z
HQDFPk3n2KDSGHjR7NUPtxBBXEqnqdnNLYvsgq0k/OA8CLTg94TN35+jfoyWLjh6p0/xKjOLS5FB
HUEvUn5WhhFf0KHjQZwpcLrHgrIHYy1tly+BZReXJHROnZWZ+VJUjQnsXGVuB6cKnpTH8RaTsdVj
tYSs3Kpw8hr3KKxm0M19Gj1QFzF5RMrBXhe+itfGd5J26XUzgobHdIBY7kNc7tMy5XiWU4P+EBTr
zoAdN57/x1iLykJhxLsYhg+UOIc6lOEBY0gxqfVp6SiJshY2SAH+IvUZlEwLNM0LY+lBXOYkKgtw
GVpojTRfpX5igUKCK9ttdh0b1z+VlWRAFZU/bdnzp6i12ZNgUBn1U8/b0jSKlXuPwTHSazRYQGdv
4CCTrQDU4U8sgJZ3F0NnN7YndWpiaKSiUSp165siNIShjRf42BtfI7TYOHQwGXStwrTsjkaIfR4d
wdtRbwZNmEgGUCReUtDXOQ8ttXnucvMHN0vAzqhtY8L3B/y4YtfDsnoPnzRAWYAHhqsOmjrzQLE/
aXEKfIM98GoNJb5pyVo0OYKa/bZPm43UKKZgSMVSoAwoTs5r5MFGU7/x3N3U+c9znJUN8OSA4BhM
RtDKnMZLD5vKLwMgC5z14YsPiZ2nAfXCUYelCcYn9kjQGNPTErTurT/43dooAY1KQqPfK80vhufM
CQxR+3k0a39jZxZbVYNynvu8N65u7G1pBtaX8/yf+bEHh1/Kp8VIuSF2KcEjn07S+UJfn2ZzvjeJ
ZCO7AlY3uiKfB205LAAY/IlctqWYtBlkPPSqbYNjsGhNgKkgHsQXHTMxp6V5cHsQqX5vAwvn0OS5
jQZQOv4u59E+9cP8URUAnxmipTqV1h9b1gmQH4HGPPRQG+jKAFRT7F0b4vCRk3Yx3qj+c970cbnH
XVotGu5ifc4PuwQbbMtwd5auDtQ8Ss6RDSEgPRsy/J4WuliTBeDIUTmhckPvlqXg+E8SopwUo+Sg
kcOKDUOzptjg83MBmN6tafB4K/xXfED5fQDKAps940vLKmBVB/wh0pSNkPnO3DEEtxSrcTa4kHXr
48MobQBox6b8rTCvIIaIbf9p1puXdPvrIuDjAojIfUIX0x5PLzqyYqcuNLMtkKuozA8pxNj7GrLs
+oiGELDoR2zI2bBN+vg8L/6vuf+W4gfFsIlbIQGQCbB3b0uQXRJW78qEo8oFAchTz3K1EWUZP7U2
sFoyyNVbrGBbMjTmX7ZmA1USjshAIO+n2udbO67NQ9D7EJFh43vV+XDhhpIzlBOt+iVR1SuLRPIj
beAxZuVBdSvCrjplqaFWtBBi51AwOb5bMHrY1JZbgN2SNvOZvs0ZLBZRNVM1qw6Go+2bWSS/5WVz
bbyojmAc8gqmLNxz8vxXbbLmax246SoOi/qm7IZvh8FgB7wPQEkuNg6RDNBQTHMTOsIxO6Y92JB2
DQPwKGn6fRnBaqrUbLVEMAyOVeEpBS4bxWjI6pcmx30EfB+04drmDlHpaK2SUUENK8EGPIc4zRpF
3n/m8/rkuECEuWI4sx5oGY/jrlKZ/QA3TDff2mhpvaVm+TQWQ3gvoZGMP2j/ncJzVgPpxzfTVk/G
lIV3NxkvcVqxn//D3nksx42ma/pWFLUe1IH9AUyc7ogB0pKZZNKL3CAkioL3Hlc/D0B1iWKppXNm
NrOYBRkJl0i4H595TYVW3qXQZPtkuDeeV/n3CCWVR9Um112yf4XawIrmjLGXe61fJXI/nTe9/BLA
/7zRvZGSS20P20iSmzsh2fB14/T5JyukQp+NUmVq6NT5DmNiwb7tKWVknYfqwTy5LND6UT4kqf0g
yRGmeN4wrmUieNjKsnGTdql5RF/+up5M/WYyM+NGlN1Jk7kfi0UpSsaoa4cpboDzjRXXDlpyAfgx
/ulKFBzUyrMQxB301bsFy+SyyrJyZ7RAJZZp9D3yM18DMFoK1JIh1QxmHGzsPstuG/ro575KHS+O
zfS2FKl+EynusmyZk0YqKt92lByWeZIcjGs1rQJafKz/ffPXbxuFdjNhd6G16a0Std1NGK2JG+ND
F9QbpMXGfTon9Nxs8WGZv0wCSWDITQcYwvBvOqecq3pDrXYrxsnWxZ5HPygSuPPXJeZcEnydri3t
CpBYuVvmLduNS5nQnCuGy3Ri5+GZAap7+ZplVjDMQnjYNqyKKQMMVkoeEn4FCHXVy+kIBMnV2IDe
bEkTv2gZ8nVd/2zKbeNmI0AWXwe0NIWesvEDpbqbtPiTBEbqS1HX55Q/u49iKNM1klnVgX5jg9RA
dPIECeekK4BRy7h5ROstQYPl0ZDtaDcWdM6WybAONhFVvfuubnSAqfDXonk11DE/9qGZAD4cjaNl
NL67rA/NVJ391qYLCTrZFUj/L8v8qsBtNFIzeaMoEcl+NgCTqaduj9fFt0/GPA95xG6PKuDvlhrz
esu3yIZ+TEoVkZa5nlVneGJE0YBy3l9VMFjyATJt36f7zw0czMMyp40A+mSi8A9pk2uOXSTNKTcb
/ZysRqyiWLSfH03Tqz83cmqtyHRUQtEcVG4CmXxZrNc24NRKukPk0tomagNMe2ooVEbWeTY2lyM1
8tPyzwhS/WTF5Uoxm4J6/b/m85RphKt9sPs+jxJyie5rp7tdpR6LZHxcaH1J4j9EuTCuVHqKl7ak
oKI70/rsvi0gkXfqWdpNxkOiPi6z9bQ2d4kq+vUyOW+dmom4IgurLkuY+2+2Nvn9Z3bZV4dYnR6N
QqnvErPbgNYuH4ciwjIh7tSNlNjFY58154gj+MhU6+DdKx/9iXl+VCuNa2p0rpfNoTZTqmXzMrLa
N5uDoz9HeMG/nZSaqJjCQS6ZaJbI8TYeNf/RquxzPTHkmzpVi4ssLGEkz/O7VstXteYNZ5LZ6x/r
z8vc1BzTM5sCwGqZDD0TCoBdahcT9zVKKmiKLRVNHDWtY1SMSPJyql1iFuuYjtP2ey1zWaMy5a0x
jTAeFN0pc6tAJ1I9CZSCzsH2PJilPpMhoq44t/Tqoc706ioz6upqmeUxq5xnTWbhOTB+gDG1kBPM
fszPbSOAxbB8TCaPQVupH9/MW1Z8M/36cZlrpHFludZo5udGPTm5DqHCnoT6HLQruR/D50grLTek
437hI4908FIIAXKdGo+1gqB+W6nPuWeOjk3T70qkTQNQqA62kK+k20a42HxVgIWN6Aq0nE8GCJwo
SRrjU4qI4hj6xsdYpp4T0cgDoBFsW1tJ71Q5vEYRr/hsWyjee4E9nrK8FOexQIZyWcDdEgC8/WQO
SQXbbOYPEaNeRQ1nYVkhidVHUzetG35ItQ95KDdR3UkfG6V9/YbUq4Xrdel4xAEaAVmvrODEVhcm
I+8WGD7EeQOLs+1Y0FQUaZHgKzNPGz7twtfpkS7qVpunX6NA/M0ApA8w89rSgr/lTdNlL6fJJdwp
hQiSNsL3BUAlksvIaxWnSrpvC/S4mC6TecG7LZYFvmeyoKgUBOjoPCxfZYWNsqrQnNgnqnI3SpJ4
VMDQr1C9oSBF0+ZBB2Wjha352PZFtY36PNyGqWU+diM1Qazb7isEks+qxpZXy3y9HD4Wjedf12WW
XEA+EE5VjPDSJKnfyZou7SC8jW5vlcqtZNrqUffix2XKa4zhRgYONS9a/hWafeD0y5dSoym3GaL7
Th7ZuILxkty3qjXOo+NwVDrTPhcWEPd56lVvEsoAhlTwGl4nf1xPN6T+iMXpQz1OzcXQh/ounHkq
MmSejwq3sJNWXX9Q50naYF5jIzOBVyvkfg+E9TwbiEW9plRV7pbJobeuAmFWG1zaum26MGkWTD+K
qy6pe3/epUqfb8Mc+qFAcxT0GamGV5xnMnggmfLcdQ/3Cvl/Mz+Smit7Uml915ZefcEYXKxBbya3
hsAPVmiT91RH0tG0gSY71bhNiqI+JSMlUCiAECM7rzqltlUc+iKuV5M2hp89YRLfhNOjZCnfYm+/
jrTTfBZGH75UHiigQzgv3//5UTkeCgP8XT5wfocBQr1IuHvnj0KzuPX6pKLpnDWOorbSVaMO+t6z
YZDaAAseVAEK3aq0zxEqvyloGlTT9dsWdf61isfCoZL89NCqk72OgtS8tZM8c4ZZPPbrgIzyi10F
uaNKgsw+AIA1FNJ94nvSPdy/7ixPuImWSZxr0DLsI22zTMZai/Z72JYb6iaJq8pJv5ZsK3yMJOtT
WkbeKers6WRG2RdN1aPHqGnKtUmNbcdbg0m6RGaXRg8qNzJu9pPuLlvbfWE5qIT1x9bM2tvB/LZ+
U2nNdihiebNsrsjJZclL5ybrKxXRFJpm4nqk4HgddJ1+3WEsI3W1OCxTpZ9Dk5kQiV4mpZY1Bku3
eGF1wX7ZauhN9Mx1i2HhX99BvG6vpAaJ87E29dcvH3BrqNJyowYBUnH69DGa+vFJDjPDFSLvDigI
ytfJv+aP83zrr/nz+p7ljU8DaHd3aMZv67c8yQneSGcE69Vq6Bp8yXQLzW2tl+4j3iJuYOjBeTZf
E9z5rmn7T6e2Ksf7gohrnpsjknQ5etbrdRvG7kLJeIYN1GMeWkuOIaCpYABkZbzPIjRYVe1BVSrv
ELUhhKR5Miw8sF9o5uD8zWRlQwf4Nxu1mjfrOfPVy0ZGK3LeIsXPNqLlIW48xdxl1ihtOyNA/ypK
pcuu9DW35wX4VJjqJhyi9gXl07uiHdKHNgoRXYjj5Jjm4XQeJXq0qWM1vLOHMnQ0Gv0vsZY4bSFJ
ayMLaJFIpoF6Nf+MphMHwF2Q0qCYuKOaiIPtV2W5WhbL87Qkm0D5AdyFuio2NvWt66nq4ZMC8Pys
j8NaBnaCom18UYFEfKwkrKnatB9OhZElO00zBjD2tXLR573q2F50ZSVZdZmamr9H0V7Z5VRSL1HG
DlZBIdSPsYKVlDzWX3uFBq+Z5s9jxIaeqrY3tLgYISgiO0qLFtFY+1bgmsngToxNmFDNk7GJBl7Z
Ym7Rd1eGWuVX6P7JRnsVxkl3pWHCeso8n9RrnprnRzJ2OlrZEKSJnS5b1S1Mveq21psd4jHl6XXW
BL5bAtK1XxYGFv58gKzM1bJUNzMSSdn/uiwU8F5uvywLMGut+IL03Gu8PSqizX2gZP2uliJz1nbB
5KivYUM006cMX1sUQhTvjMRCv9bJiJf59pTibjD4CXhFPd4DskC5pxluX+tNsqzL56k8fZssmu51
8rVaFVh06uaVDQt1m6HvV5rheWeJPCqHSG3sdawO0k0jiET0UoGnn6oroSGYWNg8aHpVPdkWzhFK
kL9gP507tUXmHOgaEheK8iB1knY9U10Oy/y8LcansRUPdqYbG7Pu09WY2CQ/kXhq8W7ArsyLyfk7
e9PjYnJO+Fsh/M5DpMnWeGM3vu7okqxeD5GM3Xtmo+CtNt25gtYXpJL5YzPLLY8p9PImkVqny73H
pWf1vYX1BqO9LIlluVlBWG3dZfL72u86ZMtkOq+sqdHbld902NS6RHcyqt2F7bYQ2ooOVeW5g05R
XKql1QDv8ZX/tiz2877Fk32mvmXzOta8Tq+kGA6LIXapymiTEwTCPi7/ygZvYCk2hzW5tXeM5IrF
y8dWMes9gtmnN/NePzZ6f01VPt6//zICWh2aQ+a7y3cnxdgfu2gtzfr9GkI7OKuWL4to//JvanBy
r6wAIoNmvwr8L/NLK1znYZRdfF+1D7DyKbJI7JcvWzZINaq5ZmIUm2WeWusUUVOk5OH3C7iP8yng
ofKIg8g0Ta20v5EGlyV6Ik3h6vvyNxuhxGy4uVXrcANbjfi69s4LOUhPuq0bDtSS7rNQiqOG6sW9
JGi8jMhk7fSq1e6MIj4tKzTQOh2LgfvkZSnCNZYnreruq6/U6lrVYmszVCptvkjG4FlMZzIgtbNl
0gh0y1Xs6GtRjrFThJF2N8hZfFwmPR6ZW2W4ouwDVRZrrZUSZsHj5Hu1gyKUuDC1HgXGULnw4Iw9
9lUhNo0qp9tlMu56uiREPrKHPenrycULxY/z+vVUL6dVzyBLUR3z9uEUGbNehqW7kz2bEC3T/HZD
QatvGBV4y5mfYFvhma6IFTD987zln2KWyaUfxeMmGGzP+b5g2YLQNj4jA71e5ntNZjhtlY2bjozn
QhjGGcQR5WyYp5ZZy6cpxakozVfLRJgOzUVI4fRimezTSNoX9IOW+a9r/LWQM6Nu8FFEyv2vecun
ZWXGunhlZwjLf5+3fEpq7FwlfsgKa4DMEYizbhckpewhbexQlgOGaWaOLezwuIAvXxfAWFX3tB+v
ZlKlsVqW8DXx2tAjILU2mid/fPiPf/7nfzwP/9N/yU85rfU8q//5n0w/58VYoUbSvJv85y2i9Xm6
bPPXOj9u8c/Vzf+6/fA1rz4cbza3v1xz+5JffEpf6vcrzb/or2/nF3z7hatPzacfJtZZEzbjVftS
jdcvdZs0yy/hWOY1/6sLP7ws33I7Fi//+OM5bzN8Na5f/DDP/vi2aP/lH38ohrGcrNdzNX//t4Xz
Afzjj2OO2eJLVX1q/rbRy6e6+ccfklD/VHTK4TKsG1W2bEv/40P/8q9Fqq6oSH9aum6qwhB/fMjy
qgnYrfjTUjXTlA2V8qqiWvYfH+q8/bZImFiy2gayGbSoFPHHvw7/h0v5/dJ+yNr0lOMeX89frP3x
gWbxfMnn4zMMYBfwzFWhmbapmbKtsvz503WY+fPq/6MWSTBXGocVacwleFRaZeW6IO+UEMzXimbT
FMFmEPYKEbKV197TeSPF0rdJYPHKcrPiMvOAZSsbBKh3Zhesi/FBt+1d1deXad5f6FAbQDSf99DW
oMusNHIqQ/2M+qTb8QYAyXfs8DmiUHrRVTnBuAVOp1rrcbcOScuz0VpHmMyMXxKj2pJDbZR6eBhr
iKJVB2I83YXisbEIIKx6H2IGHEzZwfPac6rBZ0g0jk6rBLs2NJ1ER/iidOTBOKppfwp8dZ1IpmOp
59A9r7PIvylM/2thQqcZJkcd/Y+F5EYwPCLWkqRz1eBFDYwGfdV9M8M7/HO6CwCZAN7rZ4jCA9ZM
VlqEIWDvDLW3xjf3rC7z/aTu5L46D3REIeqVOkaukQQUKYO90pNGlec9EgOG2l90DHFaFThdl5/H
05cUK/RC4CJQtACt0f3N0cWU0wMM6IuhNu/iVHoIe3ludziYp14Jwmx7kG571b7D6R3kNDgp3bwM
OZ0Iwe/AWB4Zo5+rqLlqKn2l+zk1KPugm1/xClkLn6Moo6swiZ8M2IqeyltOUz9qesk5TLDoUFdm
3FxKAygAKboqG2ljpdUnNUuvaI5cZFZ4JurGRSqZ1NPeii68HpDacaDMPkqSsVLK+t4MpFu9pNuZ
jgfV6m/+/0hVjf+1kUqVGT4Y1v/NSHXziQHgwylksHr58OnDMSzbFzL8t8PW8g3fhi1D/DmPSpql
qZpt6kJmAPo2bLFIl4UlZMYeg+LJX4OWbs5DncxtZjLMyJbxfdDSxZ+mIVPBE5YsBOto/51Bi6Hx
x0FLU1W0h2Ukp0BBKMgYvxu0dKnVgjDrqETmWbFWGWbMPnxgv5uyTuE2NpDFtEl2KtAjUz5zOYOW
Em+IuHAXCses5I5SVXmUsbza6AJIsjLeTpLtAyVAPNHoWYmu81pHFYTCMXZtoXpBlRahwjx5ShNZ
psHeHYeBJ50ip08PeNWB8XDIYr+0kbrvbf3eCnLUTME3UTtrV54WOjpqzXYw3dsKrg+5Pt4o4yry
jXhVR5Sl9MH/3BTF1g5kFHOnL4lcA93RLSTjNfMze39JY1ta+1Ny4UUAP2qSe89QpZUah8RRNvrN
unLFqbkAPfYUo2DgqV+qwKRVa+bHCPrWCukW4DDkP/1oPQ8aQjPZlK+kXpPhEMeeM43TtItw8KwG
0O9okPmg4xoIqwXpyxfsTjcAQI5IhmJYZZQfkyJ9IuqVkgoymnfWtLOGUOSdjZ25URhG12kTfw5E
8sUz/SsE015S+PHrPvYlNHgZOh1PsNLUDl9NDbzli+WBHugyGHuRD5frcii00wTrdd2hN9+P4qI3
Bzfwpa+ETl8Cz7otUfDeitY8s5pkNQHuIwuhHd73BM19tiZ0UN1E16VVN7PkUIdzJCrmLvVDUEVm
u0LgCXsic+UNfuTm8ecq9VNXbUyqkFg6gUqEIiL8z6ZuXFkdbap0NvxE8GdMg8/9ZO4BYBQuQhxQ
/pHuDZUUAnf4tfbERT0hcqqqa61pPDfNkpNkTw9Tj+2hanBbmFBG0eSmw3nV1dFqKmFFymUNqpOj
9zDnhRvHC6EF9cpJfimGhhsGNss+74xVY0lk9hl6txMheuUfkb7N1r1so4UZxwGOnJNLjQ36QoK+
rpaHdLmCYK0H40C+Brto0q5w2GrWQ2AP66oun4IcEGxdpTNhHovX6cWYxXCpGzihImlk1/Wd1mRf
miSE2WZJs6pQt9cjrdlkg6a68WpUBZUrbzw2dZyvzJrXC7QMsr4J+Z5swNcojW6USWyp0bE+7DGy
1+pkaCxSKxsJyU5ZpWULTcTzXW8WVcpKrV4ffNRN3WpMroWdXtVCR4znPNNJ+P34s6oma3/QIQdW
F/mAiLKdICecFDdwUzYhVF878E/oTROo8A5LegmA5ySdoXc1qyZmp+ZFi+y9wn2gK9nTVHT9KjME
WsTejFXfYfLqJFF1MmVUB8q4vx9Gc0Ml4+nNOPwtJHsbgjFMvw3AqM4AfpZ1leROVcQcz/0QgAl8
XBD8Nv2thaaTY+bGdozEjtKaxs2avMbyr4P+T3amKD/bm2YJg8IWQan9bm9dqyiSFHj+1rTy2bnh
ZKAupHFadcjTbfhMhelYy/FlZOZUl+qPvz5WZR6Y30Sbrwdrm7IwLMVQOeIfD5aerJbn+LOgAxV/
zirTcv3mgKaOi376yJCwXIsU4XwvOVhZepAmc/Prn2D+5BcQjhvy/N6AlSL/+At0zdBTfOZQJei6
o66mBz8Q+7JM3VFP1rkX/+aEW/P3vTtiU1V5+ymqbBoc84/7y9AtqjrGv6028VIJzHRbxZdNwUhS
9U2EQyHyy8EEHbqELGX092atXGVauyrV4Ky1nkbKBEaDaeh9W4auZRlPaXteRt29lVtUkOKdVpRg
G/WtHiN3USYNRm0F8ukMdVmrXRE+W87Um/tSjz7XSkg54ClHItwwPRT55LB3Ddtak2M9DYlkOagj
HMYyx1l1nGCQpXetnSDtEVSUdPpPGITepj5Cb6hr4J3BJVwj3ma4YVi7qeqdwHGbZYXvh5Uxhmj1
tmiVK3h1q6pKjroyOIldgdzywfgv1NbSuvUt9T4erVtGGrsx0AAJcxSVrQusz0eopOa+9qaNxCss
aSs3Z2hHWylxlzviv5XfHsPnKq/zr837nPRtSvp/nQX/P5jgzvfjv48anRccwV5+CBJZ/1uMaJl/
krsylti4RNgokhKlfYsRLftPaNmmsOdxTVjm9yBRsdiIzWzVQrfMhtD5PbM1/rQsU9FtS5FNG72y
/1Zm+y5EZNiybYvdqBoZri2b1o/PXauG4Ld4+LZo5O29nvymaM/8cvrNcEJM+/bxft2NQnxMmYpk
WpnT6zfp84iWP0jCsd62pIgtuk6WHmwyJT0rzZ3uQd6Zy536/s1F+Mkorv50r4bMHg1L43S+22vM
oSmeOtVb07B5t1IEDer2o10PwB+RqLfJxETjOz5Ohq2FhhVuFZaB/nNw4grITlqOrh21d/SLL9VU
/RR2CRS48KltpUsYj9dAnRUlfqB+fZtr5V7yItc0a9Cj0v2vD2Qe/N4MjsvZ4+1HYE6OQQlkPs43
Z09urUIg4VhvEwaGTHh7K5Aef70L7Wf7sOjj4cnBzaCY8/I3+yDH9tQBxhUslOhlDvoM9HGcRh02
TbDt0sZztASrSmHxDwgTNQ7tSokZowI7POht5s4QqKkVtxBVrsvxpoRchGNBHunnE4pIutSDgzun
U7CuBtA40TXCG/OZVqs6dJopwmQl3woIIE6DxvxvDm6+0H87gYqt8H4RJGXG/LZ7c3CBbuRTLMp6
KxLzosn7Sw9wSlttNBHdFol2ZeXRlxgsu8ZlzJNknUaUzBsT925kp4HuppbYVKa9DqVip8IVtmKB
f1N60OEST0WxR89AEYIqaeI7iVE+hoRbVow362hchEN/CYftUe6zi18f1hLz/O2wSDwZJ2SKUmKO
Yt4cloSWrJnAL9uqmYoqL2mIUaM3GIuJhqTSXkgGWZ+hAnwFnmsmGhUdiIHaWeQFJD8yLExkMtxe
7da//mHzoPH2dxmETLI6P3VCE4qmv79fx8jOY+w1tmG2TmXrvB3rnVrc1mBukN7ZxLLi/HqH2vth
bNkjrXHadpZmkZP/eCZEo6RjlAX11iCfSdXbCaqMacQ3VRpd98G0UUb50VeuWhKdQFTuFF1piX2u
TQjv5cmdCMMbr2p2eT2ucj+9xjrrsgmTk5EorpljnehF13Zq7O38EI8EGmV7hrr3xvbtc0Ua7zFs
iRyd/BTE5kcvLJ9/c3DvYiNSeFmB6Wxrssqfrr27e3tqphVVz2pLW/CWAp6TV7Jw90YbayvTNipH
r72NwYXsZJK2SVFd00bkM9jOTaAVrNjR1aboLNOT45A1u05DlT8WHz2tzp0sj1dKZhXu5KPJI3cf
W+TGqIMJ4chWfCZH5LBJDef718ek/OyCCVXTFS4WFdolHnxz68paXilFA3gHOimWEoW8yyNrcNse
QWEoTltpGjEymqgHmIlDi5cmYh4/SfbHkgQd7aEMV9zu8jc/yprD+vc3rsLQzrtXBgusz8vf/Coj
xTcjiaUK9S+JemxqFU6mTk+jpj+g5W/u+9Y7hACUVymZ9LpHSi+xeuRwhSUhT5PDCruRhnO8oLRT
oHe+o0T2WiWpdIMJuRt5ClZdrD95UxgeoiRCKzuqktU4+hFq6wAuZIQKMhoXTlMVJuq+1ReIx+Sn
jEoow0aOyNprmByPoqsTJwNGvK6qDGUU5YCkMk+1fRvYBt0orTedJvAvBrMBN1gliBWG20mxnlAE
fEm8fOcNCKFURrkJNOuuMGw8KsPrPJtZfhk4vLT+FE0atgdz/1+gyTuimsD9IO6NoKQaEEOkT9Gi
3NA7+ErESfUEPSgvitwuFU+xJOpVl9HwxFVrO0XdpzgNGldrrnszrUHtdoNTalZMb1syNkBEnmRp
G6fxMRPqyshrqg/tcLL6GgXO0Hw2Omslgzpz1NyDmGNBEZ7WCo+oo/jDCp4LjdS6RsHFDL9ELQqj
ITJAfeskYYB0HrS/UrkfIukJkNaxFvlZZuu6U80jezIUd32wBu35ZRgcUXg3otI2NXIMqELdtUaL
w4yZXsYnpN2LdTgXiiOzogtcFLIjx4BBNbduInTQpBvywglEwMDNEPfHcohUBzk4zVUh2qYtHEm9
63AxnKG8dXDlJdm9kCy0flPLFQN5dnOJhPSwQtAto+5SQgWRmy1WoOeNhz55b+b7oShLN9aEtemK
u0x6sKMK2Q1uMFG1R0nNMhfxmN3YUZVP5fiz7w/1qkQzLeIMtAZqgSBG8/zT0NnPcWofc7nZoxqz
VtR4M6iItYsJOSVzrYUPmhiupxwHLYVaujvfXmOFp3Gvltdgto+/fujeJZrz4KarsqzR8uFV8beB
ABa90SS4pm+nzDwZaNU5RaLf+ESk+qSfQq/48uv92e9S+9fRVCcS1U2FQsL7l1OetlbSpXXF6OgF
67zPXuJenKFUPsvm8Egm+skvrosBGbUS5oc5htdZEiSOhagM8R2iM4G/yxHmWbVIkVRj/lExMRGZ
6KggJOlk0NLThNdqhkXNkBkrMEU309CePGmWuNatxxqvBAj10cEn8HbyDLcGLXkE17MxUl+hPtfl
KwDnmSuHoAeQhuhbzXZqPfikBmBG6pqXudyBhBlmfXIt35lh9JhR6xJS+YzaMbrgeX80/fgFtwkU
NwvLbST1seq5hmMy3QC424Vx+NWejMuxH3ZxAQ37uhViV2RgYpGGHHb81h0k6otYdEcQP48GzBNG
3A1FRN8dKohn4MlKNFORXQyj6zjkQQ/969ZQB6x62rsItqpCtSRRtz3B0VRPllsITmdatXe/vqDK
T+4gxTANjao6NxOdwB8HbahLgwGDsNqWevGQ9uN1jO1taZ0rdUb5OpZgKffTTmqts5pzrdrHPkYc
HBwebR0Dy0RqvSWmH7SlXn7zy37y4hZIGxq0JmVLsefM7+3rRLFLKW3sqcK8I8fpgdI2Ojxn1Kuv
WvD3iRbfAfuhTgxbA47Cr3f+k7PCvk2ZvijVGwKHH/ct5XWUDGFP0CCNu0Z0d7D/dpCLDjoOwI6q
D9n/wStdqLRqeX8aikrY9+MejV6y7DIueaWbxUsNg0Cug1MV9et4asTaNlo3GswL3mOJU4BcmJJt
jW0r75mXRmGDNP5N3PTTM6Dpcx5tIrv/PmwS6D2blU2IgaixnMGvIDLMZsKUfREF428S3Pclu3lY
ESqgR5kkXyeweXf0dpuIxkPte1sY8mNMlwFU8gHVN4rP0pfJSK9hBD/0ffpgURTHFmJX+J7l/vqa
a/NFfRe/CIpopIhUDtFnen/DKWU1Dei2b+Oqz3i/zsSftvsSg4vJC8XVRNO6caLuSwFHCJn7to7u
AZ1+yiSkwy0VYcAuiiaav2Syo7wvaMCsyk65ia3kQVdoBhh2dKZ3Pc7XOW2j8SgmpHEmKCBaOJpb
sGqbJqS7USYSBBKJ0cfisv/6IH8WOgrVxh1YGKr596xetFJhZVCJt7jk3pgB492QKTelhrpNd+jb
GFnvPqQ8XwTPeESceGXdipFb3vPXTTBd5AqItF//pPd1huXa20LT1aVeKt6Va01Pi4yqt0uyj+i6
sfutYdfIHqr7KM4fe7psAyJxgwib3+x3vqfeX27NtCySHkJo8f4ZH4XkkzkY5TaZbMCD+QMVz9/s
4iepnNAYuXiGhE3h/V0q54uoTbypL7dyLF1YueKv9KbDdzQwm1Utsn0b8jgnqbb/9RnVfzZ0vtmv
+W5Q9+0gG0hcyq2fxZ98HfEW38ofrM6jcz4dmg7SXi3L9JkEmqRR+1wJ46IOFcMxjZC0VtU2Agge
2uLhZafRToLURd6ESsfasOJNWmiNk7bSVUVNyom8Em5BErlkSHsp9RHAjJ4R8uQe0psa4+7L1kjv
VZT6nMK18vEqViwf17D6CON9l3v5uNGD5PHXZ2B+VN9fW8hkRChCmatz73L7sVYyOetaHmWJZzQZ
jr1WYr8VXP16Nz+7dd/u5t2tC7QuEALjjS11k+s0i0onD2+G6R4njHWIdqsYBTIVrfq7BPBn99Xb
/Wo/vizypLJDoiIema47ZVSFBm8Ne2NjFtHey2D6WtVvTuhPx40l1KS/YNuK8u6W6k1ZDRCfLrd5
HjOS1Wd5E9zSLg0ca6uAGG9JwrJL2hDQXPOPQ69t0RDddRYdJtPwr3993tWfhKFCEPPS7dCRUDfe
nQA8ZAClFNzgKZj1tvMb8kCCpv5YUYQDGIw2YOqdS6Jw6cnSdqyQiSEFI+gaNRza55ENx7qM0ln2
UkTwntV0bnhQhqvvfv1TfzbKvP2l795syBQNauDL5Xa0Opdy8Xr0f9dv+1uldh5BLR2wls7rE7mh
+TZ9k3hnosV4uDCLbacbu6zonLqRSWTjEpfo7EpI4rqpPCii0Gd67SXAD8gZ+4rePoGodSwjf12U
wyoPREpLundtyLWaXt4YFULaNQ9yFejQ2/SH2TmVN9Xz/CCVcnRe6adfn6y/1eSWIzEZdmVFwx1z
Wf7mSLAWI7keUq5roTwx4DwYUrEp1GwT+MoB0ZhdKwXPGbgnNLDc2AA4bVcIPGrUG/AxPGigiaCl
/6a99lq+fTecUCC0dQ2ZRoqg4t3Nj6GkLpAeLmBqc7IQd74MfOrVQ1+brlSblxVII8vM1ZUPDwUl
BMaAmjY42gWOZfVfoypEFXSyN0aH2bqOU0tWdt0qCLTJheIRd0A9TDS3nADYEpAFyriDWdz7NVr6
Mq41Tld1ruH9b9LObLltJOu6T4QIzAnckgBHiZplq24Qlm1hBhLz8PT/gvuPtk3zM6O7b6rKtsog
wEQO5+y9dvmP0jVPRVKX3lDzu0DjUaOphP5ynB9bGsiuEa7h3nwRMv7iaOZXLLA+nebdoHPabg9V
rf1jWXnCEYcflsS94LYiuA1FcAnHOOvw4KckOvQKGWCTsilr3IylOiCHsPZ2P1PbSOTJTqjEpPUm
z+bbLJz0Ta44x6RV/Z5lAFNYmW4s2HCElB6LGGU8QQHl1m37jdLlb0HX0rErnqOFsJFag7VqbZ5k
VSbDDiDC/TzKW9WmaAQmdoSdqOPel6bL612zOYKtno0QtWS2sSz42IF+YyjOthY80rLKOUIiFCDh
7CO0LN8qScWtq29NukqL5KR36Skp7HehyY0a9XxX3S5TosdiiBa/dwfHofucz2jhtIgbjG3+um4y
kvXcZ+TPi27PPLQOB244S6hE9AOyHfghyWpGSVtX7h5Lvr4xup7q9uOQlR/BbNyxKHhVrb8LYPre
hOg9yKT14nSIDptXbXYJ/BTVWxgXfJ12/krI9wnfyLEdGrkWZuT6Aw7n2RAw+Radf+WcSK6H7am8
h739Pg6E5gVmSCAYg6J0ujdMmR9pXXyARzgR876Om/Rk9Cg9HOBl+uesEiUHZlMF39a/VVbvrmMb
l6uIViL6pplJtXai5KQpTn/tgHNhIoQkw+tDVw7em3q2VqKgxvhWGXIbY4eSpe5PicJ2L8cmOj+i
erpX8/7W6F6pCz85VnL/pU1z2ii8QlfmmOVCZy+zo3LQ0gSQebZ/ZzNykKDUz9VJbksNgVAuxJFj
4LGsH2RtHbEEHrT+rSxxyXQlMg65UsbPVz7BMl2cfwLO22gy2PMupZvf52vhiFFJokpu9cF6iJzk
n9IJTxIjnQa7LiqCDX6dRyOW34a2uHLSMi+c6xwd3S+yXrb/EFN/v7YJPX4iOK3clnOle2PK8Zla
RE18mHqvduNbaMgPcrxJuW4+4lhfa7DrM5taSfNlUom0m9A4velNm27tPnX9LLJ6mjxDjU04fJx6
+yNRs9QbrfqxtEgfpFS9wcT0gnv2Rpt017Oy7sNR5JM6Z8YxsI3HAOz4wWzs2sMa4aGEuqkrKn6a
QrSw425jNUAlGvhtj5e6SsxbQ5nyjQUTz1mKdVe+mUtPx9BZfFhE6Tn9OKf+sv5MTp5OrhvKbSPz
m0km32pVWfeGRe2yKf+xER7kVvWkWzTqpvnzHNoQzhDURLnvymMM2X8dZ9F7xkO7cpK49MEsla3s
otde9IhnX9tQGaLtRLnN9RxpL6ci2Z0gyMOZuxtCY7ryIC7snxFfLgswgnIKfWcLntFI2Q3lWG6V
0AGsn/mgMzbCNa714JZ92vmbwJLK2R+ci62fn/3ayK26pO7LrWrk67CLj6WWvgBefkpT5QCd/mWe
+9vOsAq8g+ZtXpOjrB/N9OoKf+mNtJf9k2pZ6FH/2EGlQCSMUS23eKmzVQC1rwYTHpsHqDP3E/Gv
Uzn5PT49KpT9lRruj63zHw/BorG6HMltW5x9t6lTE/LcEmmbNFCeI+JtdLuEA5D7vabdlWaDFzH7
KJQcWstw5eIXTjBY7uh0movC4o/uWDfR0BgdV26Bd98rCVnhZpcvhfKjxP6vmOLJqOynJFKvCNIu
3jSKCdvRbU2wiz8bYdZAW0AxNbkVqCI1U32NswBeMILQ2NiaJfJFWWm+hbNyBbz209/f8x/9+LNH
TpMKX4Lj6FSz1bNST8pWpVksnTDZrVeKYPYqltMdlfb7vqasbDbWO7KOF7t5csPPod7tGtlvrNlY
TRYNplHpY9osD5McxboVXxsbAmiVNfoCrHslDTbzx2q+d+3BWhs7Gbn6pjFcyqmaBZ9K1zdO34Ai
YENmRtWqsMR7RGEWxDlbGyuBk2Lr61hqn+DMsTP5Juv5dQzcnWzDDfm6X8BYPInUencBqUjVSmD+
Th9PulCYnDAydQsss7GQxCel580uO4lyYgLXF9ErxORD372EwtyrKsknW1Lr2Oz1pSSEzrJoOvGB
itH1jK771LfBN0s1/BipJLid6unv34JxYfAt1T50M1RfdGEuK/Uvs62VmbYkJoFJTYQapbUWdBHp
OMAigHU6IUWoTHpKkm9mUkhK7NeezKx9IvN+rSnNW0vBboVm5qjKtl47tbK38JGgOLPe67lYQq3L
W50GY9iynqhdx9kA83Js1TtbpHecl76MctnKSr3dOHQCYvMdvCxRqX1C9CREo8lZ9wVDQmvFuhO1
uDKnXzrtuA66Jseg4mmg7fn9/tvQiqO0lmR3x/l7F+uH1Exg/NQvNChSD3ENiWXxSTWnfyRwT2pg
9qMEIRnVtByNk16D6WryXLnysX6U/H9/OTSEHqhZXNu20VGeFU+ybMT+O1vMR7lgx9sYp25koAds
z4ELaetQM9+rISzWmoXCUGc0FkMJqIA+AlmDwceMB8TKy9d+oNE6PUf8+Dw2T4mpbZD8kxfV8SjV
1NnqzfA2q2Z26Pv2TbMpFYyv1YTZn1hl1/v7YLtQwFh2e4ZhU+ElJfN8wkFgE1aiMwuqu+02tzpl
HZeIEPNZEL4RJ5t0SD7ZGZzInmeuZZyio57RhBLkU5sZr7GZz9izgysP+8I8qGkmu1CXp+1iNTg7
u5edXbWuMxTbjjpbpgdbLV5k24SlAVRn8Kv7sKR/PYGl66+Vkf4suxuq6mCZoIFouqy+S53plxcQ
LVdkWX1M3voh6yQNlmnC/XMYVJrvEeeO1t43lXWTW+R1LIUBZ7giGvijkHX2Ac7uvqLoGOVqVqJX
7Q7IwBcPxaoZmfzzYGVH1j41g/90a/P7Jc8bXk6vZ5GoUjbAbg9ZBINswYJbNlc22tofk9tyHY1I
AFYZpjf77JgRqrndGQnPtg2qvWMyZY241AhDOViLacEkKyMYPzmD9Zy002seJ1/a3tyZjvCSausq
RMVkJbT7eA0Uvjfztyuvw8UnrzuosyGycCA4Owfos9PZjpaw8yJsz1Hsm6buFuXEtonydUbqnBor
fu+69/Oiz092TAVejYV0IoOd0NuN2dzkEFnd5v3KB/tj67k8t8UTJITGEeWHWOmXMSmh1iICCMtt
JZXDIi+WIMaRNXvRWO1Ng2Dm+kD20Vpr4ueqrfZuk7yVzcNopy81FdErn+aPU+vZpzl7TImixFFE
v2ZLbtXGctkI2+MtBXTgLYdysj3DNl6oFNwjWzxge91EcbmrYrmtjn//IBdHk6kJJGG0ptAy/f6m
hoUY5yF1C7Q179Gkr7rG2LWaX4anTJMYLlAt0Rf/+zWXe/ttHVju/ZdrGr9fs9WKXAy9KLaVC63Y
IcSk77yBgBriAP7HS529LAGsJWpXTrFt1IIGFGcBIiy0/lG/2gBbtL8X7srSXFY3zaSK/PtdGWYn
KxttxnYeWb1GkLlJPUI7Qt5afTFi7c4s59uANSgnpjS6UfLqK0gw4oyjVReQFpnlb2offhuFtTHm
NzbXa5GEIGCmY9NW1w6k+rL3/+M7QAtIodvRXeGcrcV5zUYPBWuxRW+wG3XQhTiClLTZyAZiBZMI
qPp1b6vHSNmKXuxlFPhTxvE5x6bdFj9e2yyCkFP0n8IOry2YWwuB08xbnw0RGSxKslGCwDc6Cm1d
d2XVvTjL/PLxz4atAOLW6TlDyLboHVJubhaT/bHvi12hpoS1z//Ne8KMi8WCE9UfbfRkog1HNEWx
LSflsOiRpWOe6qA5SMO4Qb7r5fQHyjS5Ntv/0ZBY3pUfhhMU0zinz0ZVg4QIqRE3Gk+c12w798Fz
a2F3M2M3KwHJYefzpPWZAvc67qL9f/ymLkPEQZFtOciBzk6Q42yloyyYpZRi8rM28AO+0bAmJ8fp
rqzYFyYFy9IIfkKjoDmcoX5/fUK91Ow5iZieGxtlmcV50dhFTeqnirhWd7+wFFj0d2xtUUXo6nmH
1qT4orYBgx8YL/yUaMXWLVvTOPDQXO6NirUV0GSnEIJVEBphAm6OIPeEGdGIrXgi2/NKveLaBzqb
pjpTmoM6MgtXsU2lB+wNXB1EjI9//zov7ct4aSiK0LmkQ33uH8qQw4FqYDT1KXZQN8aQVlqJF6tA
04W1p7taAubI3xy9/DznJ70q/IamyJVPcWFML74LA4+DcPgizuYehFlEcEwcT8I+uKlj5Mfg2Urn
rZ6i9Vi1hxRJ+IRIOjSHXeEm1y5PFejPyY+ulsNhhPORRpno97HWc7wulITz4djk3LCOFrMo70aF
bg/gVbarSGnQmWpbI4dbrfGPXui7hmVZVtYuNKtnxXgK+jreDFP/SZOW49UNDQ+pGUeMDeZiWpgJ
o7QzQgz2g63ftZVzp8+Bh08VvcbcDIgxaHHmE537DvuoiF6ULPR6/P2mW5U7kLabkkCN9aKgaqcn
YrR81ciKDXnlB82CmTnXL1E0sstyPII7TrLTtwvvMzaCB3AYVFyZgqWGhz+P/bDLbp0gxVWVmgcK
UTQualacOn42c0STgFlPAL6/5Lr+OkZltNU1kzpEaOztUX2XyXGkt7GdoCs2RufsVfiMZae/koxs
7LvJeSI0IvWlWtwMw0RWC5FM23C8zZJiuk2b6HYeWgltFOBVBzqAJ/6tHhJk2tETlJp5pUxGvMs6
W73N5vG7vdX05B9DsaKHvnrIAKSup4okz9bdML2VcBzrbaRkXx0rXk4z0SIGYPNUDA2iZFwjvekX
Qf5FpIPfKpRUxFgmm7o2SAczAZ9m9TuUZd2rIjDMYA0PVt3urUZT7nKl/BQHI6+8TgkYPLhnj5hc
JTizMrA2U/qpGsx3/CBPBtmcu8pI3nBQA1Sg0N1wzlq5ILJmznWkiCnAWzV3woJrjuuAPwQtZLsg
ifw2IYlh7NzvpO58VN2jUBy/S5dizYh12+4wAc9kDvQlHtKqjLHLBuOum0nCNe33VnsNKj53m2bb
YOTU1jkuYQeoA+K5n9ZywAabIWdjDLwXwxpl1EegjONtY6jvbm6/JOzEi8k8dEr5XabBqe2TL1lQ
vSs7berv6xZjc2n/I+L4LRqeIxpDK6vgcgS80UYUE89AHESg7TuRMla4rNnwj2RsnhPbIqCMX6j4
epWifYqV4GTFuekRk/amSTozOGYnYDFIMKfUAiChonulMW5IGiGS78gNEMAZRs0Ma6Z02SeaTynd
5nwOaBxixsQJSC8qNKPHqTKf0uCmtZeo0VAbvJbM4HFQQR2X4H1V6jFI8VdW2cLoSr9yVloyjBkv
VY4ISO01ptj4LbC0G1LdEJzWjUcoMGLNJWm35W2JZo6pyBRVJ/oqF5Fzn1nAxsw7O0eNEK5jkH0e
vwa2Tv9xRYHhqQvgkfW1b7iIipBRoERRik+2ktQrmQ6vbdHdTxrA6il9JsLO9sVcrMnEIq7MBZ9l
5dmwr+Lgpmydp8EYHwtDI2vafnNPXT8CbmRAWW60hhhQk0Rk3Q2y+FoIagmER7y7KgAuJ/1aFCUQ
DOzXEwdtD4L5S2kb29b62mW5b9Dv0KqcDnAHMXzRoBkB7diwoCrQNYvEPP0a1UVHPQBtv9YOnxH6
I/2vcm1t1w89RBFUuauwGndW6ByowL7EzSOBYKjcccJGBUSmMGMIjHlK0k+/tVuuwdH7xO6WDnKW
des6je5KzTkIIXayVwvyvIqjxn7C0ydSnoqgAwp4qolBXtObT6iNqR6z+E7mE8MScZGTG85mzojb
Js9nxV1OtxVkEFDxAZVNpAeqIzaNBpVzqO/1xGzX/bOxs7uKLBKgcqHT+AJAdp59ycYh9EhRhM89
b+c6VBGR59pGZPlDaK1G3B0e5RVtVer7yCEpa+Al1tz+Xk10ewXo9zRYDKHq+9hrt7x90CgrFgAc
df2/Jg89TL+UTKAB1Bh1lp/49yeF6XOl6HWPBtB4p1m00+CVrAzikLH+a+90Ye/sSfFtU7p7PdBe
jXZMbwfXF5X6DHMr20iOqsK1v9au85hT4mDfazDDgAtY4eARMUL+1HY5yJm+QD/k6Y2TexJp4Kpp
+nsZN+6GAIjdKPXZbwWJoHG7zFbuqovSt1RE1EcsyDT9El7d2WzpHfemJxOVjvjyzY4mRM+yIBzC
5Thg0W6NwIEK56WppsFzNJ21rRceZdGQFBrSthISGEp+jqCE4yy6aSeHkdATMAXGNPC2p1/DMLS8
pKl9RA3DdsjhKliu2XlKZ+rIqPMaQEYFuYLUSXjlmsbx3FUPSgymBkcagzhn+9ZMbXoLmE0hnVmA
tElD565zq2A1kAa3hTUJDi6N9MWkV21sSv9EgsejXxmDTpk9udVYVQ4OJAQoph+zVg/bJkdBgPt3
3jk6HfzWEN/gKLL8CN4sqq6U8vvXhBzvUsk+lSmyXcOayAAeaDTqZAUz/EKeXxQWX/Owe5E2P5Ex
FwHvuaUT+l24njMuHg11vCsHe224460sNHtF1MGLDFSUnkWcec4Uu5vGXF43rxvt2zRp7httuk3K
5EZPkYRqxYNrTbkfuExXtQ6+rJxuIZw4vq1EvoMDcKXbwgsRjyOrjlHXNXhCmi+laxKDSxuGJsij
kpqvkhLxLjEiP+3ld9VlReo1JmSt86XWdWSL6nviG+Es6Q8AUxnBrJVsneMPco4gExiSGaYMWOhA
JpRt+gU1f7SisaFtNCO5tXtTW7lOmu0wQK0GqSS7wdX+GY3ROcZtw5j+il4bcPgEI6RpAOx3bjNt
UVO894I4SdixPUz5wNgPADWR6k839uSwOKrUecltob+JprauHxJQbEaCdTUDIrt2UnEz8D+lIn2Z
ppbaTu18j/J4bxgR2x64ya62rLB+qEzQE15LR7m3B2DXDqzuduLCqW7zRlE8rw31LS+CGfG8MnrC
Tu/ADTFzZvJBbRIYEoY6r0FkfKrb+rU1ITuFBSkc+asSM4s0ZX7UhuY5BFetpzCqpinwssHa5XnM
2zT38aYOYEW4InkWXfkBnqNbq9ZU3/T0zra5KnGWz7FfzEysSFpuAiW7EVauHubuqBXRdKgdc1/Q
+YIW7H4Hi0UGd73C/QBHpUWiUU/9c0RQBcK+LXZDFmoztzckchKnVCiLfNJcm3CieSeVcS2i8sPN
xyfwph1vQR6vR9ZzU+Y7Tp3GOuKotk67cdPMUtvGuBX9WsgbIC8sI/YENnOuv+ecVdckaTkegBTZ
tidcRgiRgjTdmTHvHQy8AwYPCN7sC+O9MrGICSAb6J66tT1nb7X8mjWpsg5igPa6Ph61rEcoRFm9
7LN708EbzJz7WR/ABkiZUnoImyNgzcZ3I7bWkd6zy7DJs8gNL52zb27VSyot0YdlFf2mU48ta5sH
1eveShreTsJ1PaCNoLJsQoPssTsEVvIxNuawDtQPS9rRKSvy25Z0jxz5EpHdw37uYppcNM0Bd2ir
obU7dFmu1yc/+l/kwckcg27fsu3qTrSZOjtr1zOiwdVcZJo3ui+Cdw4RDZTiZJQnsNjdam4IrUPO
c9+VQbtz2PC2c+oyeRXHGCUUQW7FrR0FNEjEh+EGT5LcYt9OvqlDQzJHSJk1jMaFd31w6/Qw5P1B
twZ3FYbKCzKHBJ8Kwj4U6PDk7uudat7L/kMRD0FyzFNvnj0rxA210rvVWN5X8rkIPk3MqcY3g9cy
cFuYLK+Te5cPT6H9PhOkIXLiKuVXfYSgAK66o8Ukx9DT8IWFgB6N4Z8gJsT91TYApMzYe2fhayGZ
0F1B2Hy7j4kWD22xzdR90jS3uNc8g0Zd0ThHVvkTzO0VMvlD6Ypjo+s3yljcjfpLOss7UgoOdqDs
ozglU6fb42G+CzOmuhbdBHqG8WFMB9p0hD+YCeVx/VYzolst03ZNQsqSpmwNBhuyALpG+l5T7jsQ
cEtAj+DURY2Jg7E4ZPq0L7TVDI5Sau6xKadDuUB50g+WU46tysashaewojrtwK5w9M043cgCNJE1
+3WJAS0Ij7lBHoUJlNy0n+Iez3jRejn7nCJud4EzcngxN12/THsbXbN2KWF2Qdg8t+6T6KoPpQ+w
gBp3oRU+tf18q5UuJ7+A+OH+6MzZwayip1QkJ6Hmy7HHn4JhPdFqTHPr1p2mR8riN63O7KWQnTgr
+oth9Ed4+t/clswMt39ia3OLjVH2za0RBfs8ypBTpWs37h5NuzoukOLI1E+xVa5luG95yaw0fOit
ZucYnIht5zE1qttEtz4Xbb4XjjyEZvA21/nnjJdVy8MX8uA+qXgy9Ze8uU0Niv94UMppPASRQrZD
4we6+oob56CqwzOCFMHEY/ouoYiz+HADdV9bxrZK54egVAiWIcuJdceeSmYjZ506lCCpkAex/lWq
jicTwwdcdZrc2YP8f0sOAhSs6IEKJksZTCNxN5Yctwd1bSvKhryzVTI72zQySGAmRTLHMALrtWIu
HG3ktZk4VqDI+5aEcmLTCDZb13iqdNH7qkuQkMWcWWVr1fxu6YfSqtbIMfY0tukCJrtsVrZazU+x
+zRbE2Kz8qJ2a9NZEjYWIdLinGWyJipw0BawcnVMJWuvmxVPkWPe91KcADJVCFW6SNkPg0TiRj5b
Nh9AWMC4nZ5Nl9bFuA1cSQSTCh0K3RXutCUswbHfw6rYkld1qPjoeUdMkZLuI0yGLTqqtDSRpWBF
FopXUBiiyelZCh9yCNdmD/NF79YFi0ZWhodaiE0AqbBlQagpSZsR5K7Ic+Nio9XiRCTKwQY5oBvF
Pin1Yw14v60PhCNtGqXe0fvZBqJ4NAxBYkaB0dXdD42yIw/Cs9iNtSGZDQqqazPxB/ycBrDqIp7u
bKjtKxZbFAfWKtNUv9GxHTCLBayRlbQpCbR7O+12dg0hTSt2VmNsJnyfcqLyoUVe1x86d9eRMuNg
/AloBDrKF3X+3uWUADhULPEE9WBtkJD6yUwWrMiRKuseqkJvoCTl1Dpp2dVmCY5Xb5xoOcYqHlhm
j37SNkfjskBwDnXNwcaUB9oDODMVD6sdMMSvEZuDlOvyoP0YhoKKEKFVONfKt2YQHnIEf25DnyAd
nxYNGBpnoxvddgxAPycJeLP8JjHfGl72gC89VnW22OFOCGPtUKgAfeyXfKJ8obHeRtmw5sS+0sO3
yQFJJXaisbe1HDaS7XNgwAgnZTdfwuX1x6zLKMk0yt6JhT/p+WvQB9suyNZ9S1+9nw55NqFuaPlC
mDciqDiptdadBaAJDCfBaMkGda6MTVo5qwS2ZMN0FsakL5OLkTxbZbiZ10YyH3rco4qt+lXnB7hG
2mKbpC7J3zz5mJAnqXOIrVZBrvtKQOVo0r/gvvCB1/lw6nlmYouQ6y0H3K1uSO3xQ/XEREPNp/Vq
EL0GhuCu0Pf8xdAjwNVWCtsdwBglPDfa7l2EDijMt1gYjJhPsnA5SfFtVM3Di+Z1bnF0sFW4XEuy
6CmVTVh1uq7Llq0hULNS28Wy3MAeA1nkBXPl4elZ1bO+Jt/ByL0u+Lrk0DMeWO6o62FKDaZHrfji
jBoQE68PQQEECq7zY2+4fFTXU38gER6xoGYcVfsh9tJveRdt4sna1QUbopKqi5F6apyDCJZemgNp
ExxAuTVUlqsiGhA+m16FKztLpc8o2KqyWCxfvkDcPJutFxoxvC917YzmQTaKX6rdKhjrx6wp2CoT
yNOkqhfl+JoRYqZVfJOG80MMsFmHp9KZ/dZK42ctn3eGroEM5dQgx7fZse8gke3jtlzJIVmGwYZU
AmywbG1jVJ/qttKIUVQlPU0QBR0LHg2woI23tUaGMjnjcJA8bWKPxP3Z5XyTzdnONrRVhZNeVH43
k8aG3DszUzZWuMndYL1MoOwyb7SeiGiN2dJNcaQH6NSRbSMohns1A2svpmkzCgMyyqafhoMafB+d
Dhg3aUYqqQiB5pkkBLNVhGzNq9nFXi9ID2Ne9yVUbaW3HyzlDVvSQcuTndTFvqnnJZT5mNPVCzvm
e3MxsEN/63ElKbFXbOyESsa8pClUyKDTAxTYp2Hk1JWmKuaHbE20+kcmKBgn44ki8rEqVWg1nBSV
cWeYMdLtf2TknNJu8CIq7WEQ7BO12GWFswlilKoD0HD9ASaeQwUaXorvDtltpUZHOetHzjj3hBUB
VM53ffuRI0KRfX6npNYDG919TDm672NfprwVXbELGq/N5CZgj5GK6khW+14m6sn+mlTDSeWxhayF
g0QhMNabgABDDtmqO7JZglR9B5pjFfR+Et5S239vquF5bsd1i52L/MJtB4DMaIBOOvO2zkwUtT0o
QGBeSYgG6lGZutXAib7rmm1vxL7elpuWlIgEw6ABATOZOLcnQ/fY1LLeNEMtDz//UaeqJE00fYIx
W22wnzWH2I1ovS3/9fOXUZSPFPL/rz/+8Qdn/8uPv2Yq5v//F066OqAs+vevf/zxz//vyh//+EGB
ExsMob2nQNYf3TAdjj/+6+c/zn5PBjHuoR9/XLcUHTSS4L2fP2POA1W6n7/+P/+esx8x9XnvYKfa
nf3+L5c7+6v+daUfv/nj/4mBgu8npGo/f+vHf/3r56iDt2XYIqbIWO3s6KYyrVdtsLqtlSntjd7V
D42B67iS6biSQft9UvpnfaBC//dm0qXO2cIFAVOHzBel6++tHFONKjAzyE0Gy947GsneKfAfgL1/
v8yFfjONUBUIBdp+gwT13y8TJbFaNCXTQN90ByATbEJ4h9JVzNlvGhuo79fgOX/qyhZdJFwZpDSL
hlksyo1f9CpmSfBxK7jkEHYbF1hrABav76BME/MdkSglZ3vT6/m9w9o89MNjXDo3Ih39un+fjela
1+xCz+zXj3OOhinzOuCswoNGvniUFfLTCjtSWpzaQO47XVDfWeTWFKp62gUOCljZ7P6bL+HfT+Rc
s9Aoo1LnAy3iYajujOAuSt6cmcWd2arSMeKM7eHvF7zUL4VKuLAWQdUi8jvrvquAFXSi9MptUOc+
CvyVrfYwpbJPiTVsRDG/xh2d6rlGzxcJzA2Nw9Rui2sm/gsiHa6OscIxDZePs3w3vwyFgt1vUYAJ
2ap67FJm4JxfVe4Xtc7IvymeOitbGc78OVNJQfr7E/jTEAkLGccCwiAdb4vqno1CIhT7eKzpiGdj
5ndWu9UBDbOt0dK1Y2shy4SXltjMjMzaNcTApsagrrTUoXO21EX6ST7Nc8temiJObib3HfG+MitQ
0eZpQlxWdEWnsXTKz3Qtv3xeWJm/PyqpFLzAgkclGme/SM4Dx7yi3bqgVFh0IIwK14UscD4owtmu
MvAa5Za03mNhcwI+GYrpWfRa/v7wL2h0sF1iC9RQM5vih9j8l689t4m1CgZmACet6b6ANkrNh5KO
YdWER3b2V8QeFy8HDNBGOwz45fz1mtnX16mJZhK41nrMbqey8NwJiuZu4dT+/dYuPEMXOLcOZYr4
ACwKv39NdZzNEwlUi1uIDdsccLLPVhahCZb58PcrXRgQro5aEj2itlhPzq40AolWJS/GdowBI+Q0
fPTWef7frnGmJwj1EVCUi0wmwRmX0QfAYnZl/l0+5tm45jaQ4Vg4Z1iFzqYADF9szHqFzFRXBZ8a
f+uluYvUSb3ywl/8YhBHLC4loBXu2ePqaYmNqs11CjG/9nnyzqpyWuB7gET+q1v6eamzpybMsK+I
m2HPmjmEb6e9NzhQsfPwP58SeGQ/r7OM+19eI2WYjFFU3JIKCVsVxoOSR9ckjRdHmQWazACX5Fr6
2WPrJru23WARSonAJ+Nkhzfzv/lmcPW5KFcEk8+ZalI6k4M4g9uohiU7c/KCwtpo01fOclfW2QvL
DaJt/EJQJy1u6WwOVXu3yJgg0LrN2Uc09d6MgZv4NiidubCfKij1s3vNtHFx4AnkzAbqJO0PWTNZ
bpnNeChgzMmnaqbNu5izjMxP+v6KN+nSpbBkGfBKeJ7inGo8ZToQnpR8bDm7J1ehRhBqKByh95FJ
e0XZdWHj6C5bOKCLAvCPOH9vhzaz3FIttkMGhV47rojrEHN4n4ZXRG2XJgiT7RU498UL+8f+TKtL
O7T6RaCY3wAtJyo1vclFfMVfdekyuJuA3+Jy5bs6Gxt0SXInpCWzNQR0xXJcV3W4toHy/31GvaRy
hwaBhUu12Hxhqv39pa2Kkcmu4DpNs1hwqCxyLTt4KrPhhDMEklR2DNV4E1A9tZuKSpj9nRN7bxpb
vct3ToVhXRPHweo9OChXXsUf/oXz2dg1CZxZ5KBAf8+mlLlpZyfIGKwdReUZBGAofZLItkJaG4Wq
HYpNyIMWyiKbVge0reYtRR6gJBZ9eQRE2TptnZVZ5atZd7dpKT321wdCnFejER4KjvmKSEm7w7NA
sdMx5ebK412+pr/dwNnGtokay2kWvFXYY1VhY0vPUt+a+rfRwChk6AtNwDf1+sqyvzyXPy5r4f9U
F5g6utbfv1VFz4larHjzDAJ4nJlqG3gNhWbzWH4I1Nl/v8tLY5X907+vdrbA5BNwJ5lwNbPTebWx
03ZixfP/+1Uu35NBWZdNMgbos5FaRGnbOCOPcrSm1UKPGtVoG5o3cB3WpS2uDL1LcxdAjn9f7Ww+
6VEDJbLkapb1MdHmFca0tZTXSL9yV5efHQ4efbGOgpn5/ZsKevoZuaSg5CiTrxQPqlvCZqj+q7v5
eZWz9yjrZ7URtl6gOHzDAbki+hv+o+Vr5v94O2fjXWL37yeDC/VIpp38K8niVqVfGW8XRwIGN4PC
ioq38+ysxKLt9Mzxy4am2SrDh2FDtVHoDWoj6jH3yoR/cST8vNo5iwnzSNz9P+bOZDlua8uiv1JR
czjQXyCiqgaJ7MkkM0mK3QRBiiLai77/+lqgPTBTemL5jWpiW7JEZKK5OPecvdeue44WmPVqCFwE
XyBBHZ273PniMv36i1EP4OpBOHx+M9ilWhiqPbLcGU9tCGPjIbyfnyXCnb84hb+87ebK468jnd0Q
QBRJMWXCuxmFvoz6vZPPGdr/1m0HZ5J6mpcyAJbPN3edGZGftdwNTX6a3y+wUFZGeR/W8osT98tr
xBvZ4V0JY/1cPx+Yo8hswds/DfplkTs08hjMhlRT8ostyM+XCLazRo9gtn0iUThbWeuYDR10h2zj
k0E/A7NrwN8NVkl/WYnsHxeIHAz6GAkUxgcA+fP56/Qi1FqdhXU+GFqZ+y4tNqEWXilJuJHGpV5f
ZHB0f7/O/nxrcFBafTb5Fzooi7MVKZlcsioz/Ld5Mq1U8QBE9oqcmS9uwF+0fDiMxdvJVqmB2Wp9
/m6uhvpTSC6ZIB2pWckccRUA6uhZvUTr4bu7gRIjYb4k0vqLdtMvvyFtAkAR4Fd/gkSUMMWsoOQx
awhP06ACpbj1CO5d/Rsn0uYgmDMdnCxna2Fv5koQIL7YBD7KKkZeE1MgMs7Wvz/ML8+kBYrENWgc
Qcg+O5NJovuu36W87PUGFQ9jPgWL+3STV4fM2KhduJzom4l39SEv//lX1GidslTRs8Wde3boWM/T
JIxHSTEMWjxXLrnS8HazL5bgD7/E53oG9wAjcRMQOJ7C822fOplKHSWO3JSBVBFJmSRAFQxth/xa
UdEgYH46mNNEfF0FEymx6IiZUR2iZ0EYrsc6Wl985E00fY8MPPqJc224zUNac15q8ysL08+LER+W
ytNFXgul8byHHWRdGjWuKTdkfN2YJ9MqljTsj7offbHnmc/u+VnBWqEzyTdnz9LZ8spkNzVSYUhI
ycj3HYsvHCnWF2/0nzepmqUhLqE5DmqBcvLzc9o4MTaOZpIb3R15Sh/G0kK38SxVFKtjudKRcWRm
9vr7e3r+oWff7NNBz74Z7RbkhIhs2IMDzId9YFg9ClFEG2xD3DJaVnn99PtD/mJhx1PIs8r9DL//
nJiCpk/VO7vjkEXlERey8a1pE2YMVyPG7lP91fo3l6vnX5FsI4hk8FnompyVs6Nbh32lSrnpJ7mo
NbFGX7JQoVBbU7nCtOoJwhNIy2xHAY/4q33fr77t34+uf76qrV0kE31H4N1G7xUROvxuWEVINgLs
FIm0/1wn/lF6zr8KdP0UnvN/z4e9+2XY7P/H8JwZ9/ev03Pu2iqpCVv0XqLvef0pRWf+i3/F6AiN
qMUPux5PIwiEeR//V4yO0P/gycS6CANVZ/mfl4G/EmJ17Q+XpjbudYEJDxQzl/mvhFj+F2RkQAok
8CAYt/5J1OLPIzQXAAxhi0QHsIswzpsvg1rFaVePwVpYaGWm+ZWXmhECpfK2tWN0HlbyLKbh3jaH
3QTMOwguDCvQUJv614NvnJJC7P52Do9/Pke/yUsDcSmYos0NXPpPxASdrVrCUccG1RgpFZGFQwKI
vqN094IykV33VwyeD87Jp2f542i0C8nZoTF0XjKVrjKjhZjSgEFB29SivQ4C2FmZCxKoXmY1I6tm
Nh6FznRj5tEyDMxT1Jlg1fvh3oRHuGgs81sZhnejQnhF7S+nynwHOjsA5cPqM4zyfaq1Jfr/dTn6
+5YEXcV4qK14W0LSXwgVIZc0bACw6M2crPquICbvLWQzBe1M4EDxXifVlS6NMUTX4IPZqBv58d85
6S4ocoOWJsmgnxcVBC1d1JVTsM5n0GQcCGVhqPF71RA48xX896cFbD7lGnAGFWofw+KzBawM/abs
Bm45P1s1hBJ6yWgoCxkGhdfUpGz3w/fff7mPGuPsIlMSC7oclqAEOb+lqiSFY6VyRDUqDi6CujDO
jjUo3jXZ7HeqDDHrBsu4cAjPVKytaU7jRRSm14XE5Af25xDq9UGq5ZG44Is26W/K6hAG+XoIhq2T
ruptpJilNz8bv//g2k9lAvDiv39w1oe/9+X72h3xlnBZrNa6Cp3+XipkRUwtwhGf6Ed0wBd+oO/y
3tjGpXBmbEq8YDzRrOgTr7X+q1nnrz/QvCiR4cUQ7Lyk8EuZw4xLg3UX5HcsFP1igktaKvsmk29Z
Zm0xOjnwtYd7fRjWsh0vldbFP6bcVK1y9/uz87FhO7+s8MLYh3AzkdlztlKgjI0Cs7VwA5XFN6Er
18oUXrqZdhjLVF0Js3sYIjNfwD7ExhNG7qZt1gmE80UTN49oBw6t8G/85hI4DkL3yutk+squ47Fx
WAAbHnw/LVdN2vc7qIW3uRhJvrRjfCzYnOJ3jDD3RkDLzPEBjLcZj/GUojazqrehtq9IoHjVeudO
VZpHTYep5cvk2aFZH7TOFfbA99SvNn3W3OATfVYy+14ntUpRwcZqmee7kmsOoDEesQUGOImMGC0Z
G5+HAjAvKrrwvRXdvV1Zmya0HgGKrPA0E7Dop+Hy96f5p4KOe5BpA1sutpYMbs42laXfRpOaGgoo
KvncKlh3m3i6Z+9Lbq3O7TaE5qlRlfGrKuun/ut8XCYQxDnRRf4pI0q0rYGqiuOio4yx8rYtokoc
YScjElhj7H1njh7qvOXImfn9VzZ+2gfMGwACLAnbIIudTsvn566LpqLMzChcj4OVXtRJs2yJRV0B
EV1C5sWKioIGmmK606wWAekd49ucmMuXEXE68mgtWes5psEJCX1RY50uKni/hllcyVhfxr3OUn6d
DsthwnZVxbxD0hg5gFIjt3US9ZrARTqxWt+g9buIAxz+IyE9S7cb7y2t43czkiV//5U146etNQMR
lU7mB52Dcz///7/NAEMsFTpwl2AN/ZrklRqHNGpqszPX0tVIjhQ7u6kehca70CjmpGTVf+2UTenw
rtAna2eSsarYLVTTqrol+efWEK+FX7nrdig6lLHyWJnWplTT5zHx+bKRvZ741SJFt5yJamsYwWuZ
iCvZN8POcMSmaYYtlMKYkLCcGJo+2obMntyGLHt4v2sExHsFeJ1SZ7hDx6Ut2oM66RAgouSkqOW+
7KO3OfssSX1/gefoI33U/+5WGFjnhvTSUGwiTAoxZ+M9Wfgpwk6kGysT76lp4YxLZqyvlXSL3kZM
2HNBO0S8YB/RjA+pcdM1xlUa8F2izjcXaWHe1dO48k1r2FG2NV5JRtVqcKZ9rCovxhDbq1InxBYt
9YQ7ilAd/qrUja2uMMvLoJ+qGv5xDNuO7I6iTp9hXu3VwD/qwCaDxMKYou+rheKjtSV3eNl0Ll7s
m7BGJzoUqbseBl4KobukyeUuqoHnpbLFXVUw4GHAi2GXF5wSyY95YViKyEPGvhUmkkCza/uFZcRL
yRrexoiO7SjcsAP63iTJxWiBKEYM+5rYPsw2B8uiKm/m8GfWja2VmBeJ7FaUaqkX28bp93fm/I77
vMpT5OLA40E02HCdJ9qaqumnqWb4q8yOw2UdkIqNgxdmHnnOLBGPqf9OXPb0Ua/80yOz7NCzIImE
YoWd3ucnYmY3DvE4E69ryJRVdjLaFkIq90EthiW9P2ze5kbreVP8/sA/N01mzDtrLZ1DSiVm2Z+P
zO/2JN/U7krpGfHqCgCTrvXfExDQospNtHSh1/fw1Wu1PZhWeWppm7QSqI4dYskzJ6BlSv1NR1Bf
NBPsl/JIKvebrk/3v/+kH8PMz1fHhWcLPQ2EnkGxclY4+sagdTw2YlXnLExukl/WBQJ5zWYQwicJ
fCtjkbaNlSiWQah2ngiUbOG3ylVqWXdUaxG1F6W9j4dZdPYO7fXt/I4VGnelKln1bPKISMT+offl
qTF8Tw+HA6OW2y7vDtQiwBXbwEtsCyE0EuA68ZcKX73uh4UYS2PRS3evxCirJj6RK9Mvhr0/F7N8
f2SVUDIoQshr+Xylau6AEhSLWFkmMi48iHXMe4JuB1XD1/HOPz8L3Bd0w01iVKl3zsfyRUSWhNtN
LlGU+isL2cUcJ01o922lYDBEGGRThAz9P+a2zbfj3w579mqAF5xxokd3Fbqo9NN6REwXpkdHw6f9
+/vJUn9xQjVtpgTC4+PmPy83NK0Z6qrS3BUOPUwuzZNi3VhkXZjZuK5Aa0SK9FoY4EM4aSy88ZOb
EPnZD+tJJ0g+1Fji/BJydYklGktm5AWZ9hSlco3u/CGEutSP1S0IJgzOXeAuVIu3r11xt1jpZaez
Io82hmgj0O6DFuZyaFhPk1IDWoZH7QWuyMlgxELmVtO1XkaTFwhQdnY+QjYgy8V1cOmk5I8PgblN
AGc2WKT08D0ozFMQIrsNnLWAZoJMJcX6kx0R+Hj2WJ4I53SWudKFGMrERrTvia1bF1PGB3LNTWzV
LUWQ+6SWrjob4fWFk655uVIyJkd/TEwgyZ2ycgXvRIspcR5qFkgI+dYgT6pwnrCl7r1IG1zPIk7H
WqmhuSkCd905JhgNpj0eMVIhJzK7hkPqgCKH3a5aFebSCdpQFpW7VO1xIqfZKmnRVM27ksgE+d/d
DRlPIYF+z9KkzoVVsvCD7AHt/H02cBVKAqG9NBhPMHyAUqj1wu3j1y5M3kx7pTS2tmrnpOzokJoY
hUKdrdRk4jlUePu57HbzmMTrMh0LTwbky5WVKVeO2990sLWwLMArLQoXLcy8ca0hQLlTcVHlw6Lt
s6PdE7jgyHhtKJgQhmEpreCVXIV+gZl7GZbKRTfiCIra6D1x4O6lj1FrQ8HICIex4/zYuMremigT
/N48hA1frUp5F9TDuPVTNQWPoO7d2jimSXbpFP2h1+mvuu3SierbkkH+Ipv066JYufmN4t9HtVUt
AgskGM4opyD1UHLmCpus7pJQ9rWSQ8bQcN6WVB6ib5JVnJbHzC3MnSlf6z4fN27Ycv2cZ+LS5CIa
uBC1XkBLlrRLBhwvQ0BglX6b5MpNUBRHhx+77N32tbUDuA7Jphkm0+vCpvaE3I0pC6WaPMshr3F+
cGaMq6Rx7avaVUinHywqOwSiC+GWW0Wp8I9oLbbYSV43IW9BtxdXpaNvZ/lRE7PqVxYggChTr2tF
EjMr9lhR6FHyUCxa0YL05d8V63rUhNjmQlYPp6TpL4tkVyThoRi0U43ZhdJXPseKeY8uaO8nlFyd
XT7SvLmjLj7oo81GS9l3iktJg1AxgCZMkpJheXWWvAV29F6I2N1AxNgHc+ycY54w2AXU0DbLSEzp
anc/Mm34HoTNksJ7G6GB8AaLJkQVNj9KEAGiJm9V1NQbZonDZOSV1YX22imc1dg75LIl+jIDq+BV
k0LrYs5MT/vyxW4OYV8+EszG23iiLlZ6ROng0G70Zmo9y+REhOS1elb7ZCU9knRdA66hgCOJ/YNP
dq+vxG+1cVdrOMRI13zNM3g94Viv2x6ylkzVC5GU18PgLOPAemtq3M/s2K66FGf8MINTlZ5j9y1s
HL9/i1Mko2ah0sobN7bowSB194VZPNaBuGCTI5cNw0+eiwVAgX5BtOhaLWGhVuyP9ak5tO7RNqZb
2c6CZeuIXQMlEWQqz7yOM9oNpqUmC82oaBzqFfZXERzhalCA436r7hCaPmop10aEzZ5p8k6xslsi
O+7gXdw3Ij8YekqnTRym/LKp1Xql2FygoKwXlWJDfXeNEzKfaJNMFjTsuUlTmh7bxc5jq3KQjgUX
JOxX6cxWTmOGx212lEo5ogWejM2foK7rJu7fAe3WRELq9/haX/BXXjJ6Sb3ohY4JH1qdrYWOcTTS
cc953JaJ85RruDBUjXxd6a77oFGXShPdWmW+slseHWvCR1wYnLHSJYG7JEG3z8qlWrj3hQwOnegf
JLQ0ctVSz2loAkrJK7O2WMxZZF/NKV1pkx8sAx/zW00eMTGmqy4zT+OEPQMHvL1IhIxg9FxbAQHI
VRHAXliifScGEJcPgA6yjlx/i8c9WPZDejWShtuP6cWQixe7nbhcUXjhKMTvNHl6AqkwpIRgKA2b
KDoqlictez0aiJqkIl/qlOANEXu2XjnLtuKxNDWeQsVCQsZWpzKIvxjaJe4ikYYJ5tzvtmJMWxHi
tkgabVMXBI8W0zbP81t1NnNb8y4poiXAw/4cDmJduHJfyOJKLQYF7GFOloeRrAOrfAQgdVsHNiGt
afukj+5t25vvbqH8iNKa5wk6imERE53k+9bSwPMM0WtW9a8BcqV6arfkELy5afTG8IutnKWzE1Sq
XdLP36zFsajbbLn9OyvkHilclh7b7bdx8w3qNvclfW03JiE51F/ahJNGNu6rVXSYFNSMJBUNj3/m
0AUdNcyXyleASdv4aWfjasi7Z8DePNL+CMX72447843JUrSKoJEAvkbhrIdMvUkTPN4Jm7ApfWl6
z0KHExG3EoqNrb0wVB92xGY80HKWevrO3nuce5cRZAc8g3PRHYMVWaSh80Iv9D4sQR18PFb9QJOq
7/CBJx3/UZOUIMWuVcNd5xyB89wquYEShz2CVT22av04lfaPVBOcNYrozuZpVzOWOVl0B9vktyyD
E5YaE1Hi3ROgVnch5ttdi7PbzLX5yaU3dlh8o+ZqGBlxiuHZyqzVOCksTRgO8j7Hup3FbGdvxFh8
UZZ/MHTP9iVMD7AD09VggHIuPzRzQ+ZtlrtQsSnw6ndSdyicGLMv0gZ3ac+7QyfUUVI7YO9MPT+o
jiI2CQiOWey6wicTVzzGAW8V1ejvhyymtz8Wi16DaTkZx3jKTr4TnvRoAn3XRgKdnvrn6I2pWfAj
/8Uk5ENFfP4lOIzJlJghvX0+JY6n2Gk6lNirUrV3YZdfVhL6oMTt1k3xsY6xPFTlMW3EiGO5vtCr
ox7YCGmogdk1zRmi8XbI+hcYrzhfGygDtGWSftoRi7WZhwii5JK1itjpan5r5eUtYa37SJZYT8mA
wNjyRXn/s2bVZbuE6IDuMVpAbBuft0tl6KIrop27mkZm0nam3pYGqDwLvlhCl2Tbaht4eI8TIcvl
NOir+d5eEn92P85atEpjYUlkbpCbcsfkXNvYRvRuRJX6Rc/zF/ssY+YgM4dCB6CdK4XhWsjczfmY
UVAcSzLZFxMdPTv0VF2+sGwJb6zc0Zufld/vf351YK44MkkwXCayic/nx2z0Kopc6B8NBfPCBUa4
NGV8H3fJ3hycb0FmLJGiqEu9D76Sgv5i44VUAK+OxtEtJBCfDz1ZsRJ32OlW3eCyrtvWqWpt8C30
HIfay8mU+uL21uaLfXZ7M9eiu4NgjinnRxfkb+tfHsalmRq1WKUl63Xm8l8dxv0ozRXafeET0hFk
59QEH8tPm7p3diz/HHz9o/H2IfqO6CB/b/7r0wz6f/7r03z711PrT3/ktyPwTz+7/p+PY7EOLF+a
l0+/gN4XNWyGflTjzY+6TZuPz/HXn/y//s//+PHxU+7G4sd//+d3Vrpm/mlBlGd/H1NbdGv+9Xj7
Iq+blypKXs7/yl+DbUf/w8ItxI1KzcE8eh4a/jXYdsQfZE3ZvCGZdzuCfsFfY21N+0MHrcV6zEwB
aYrL3/lrrG39Ybq8DGmhzPk/dPv+yVz7p/UfKwHODIveFFHCyP3P7mZFTq2aji57qjp3LxVKpk5q
F4zgLw3WGibh4wpPTc9uxQkvI8MiZKmy70KlhrAxUoezf9/pojzqCinERtQinpkgobADADVwGiwH
GhYZiBkcwYtMda6xvCmP4u1v5/sXLwDWxfNJhA0Bdi4OmFDrnJ7zjAKk4Gkdlo2+Knp1ZflB4qnQ
zZZs1v3t0OvHTCcpJwi0TQit99AwsVyV0O5X5D88xmrHeKiraE2DJiEJew9BjFipQXOXNdB2T6eE
SHQFn7s/N0ES1YvCmjrTdC9cN3pU4khbqtm8WAfdQYbTZZzXyZZn+kINSOOWiDUpGRYxosPrqK2o
FztoCoL9AOGrDoUsbPS8aZONA/0Phs5rlFTvpdV8DwGEEqUUvJH28tjarbIK+yBe5ENS3IzheO2k
2kkYgXINV4XgFyd/NcnieSQa7Zv16LIFeVEmhX0b49k4oDoNdBDhutkD0HDKS8wAXmW/GoltAIUH
InUokd+trWBkWK9NwWUPsD4qjfs8hIcXxjAz2ileB7Z5MfpuBR8m15j3K55LX8UXCgxcXlaJ2ZPG
14uNG0WbPLOSbVlOd4OdwafNiJt3um6bAKGxaxcmZAAAw62J46KtBrJATgsAYtG6i2XiGW340DhT
tCxkCGp9sF8qlTlzrodQoZLvptKJrUN3iKqbj3MQvaOtyr55oCXjOe6Y3CAfbdCo+fAsIrpEwEon
TygByjj/6A+MLjRM/N7gjtUyiIN02U/uLi8KDaoLiE8d7h/z0OLamlqAYmPfbNqwWrpVe1n7ybda
yEvko77Qu0u7V1SwHQ9TD3ZeJxqIlqxpgh1iUlC0AIg6SXRFTzrgIsVxtyjMMF65GlIH3whhuml8
BbMJPCUl7c73MXUwMzn5U/6UNKCWrMJJD3ZsbpUkO6KXdT1DYXvuwELzTLdcarJtd5GE8xL0jEXC
TpV7y0roPGTQ1fxoX8fmdElaOSGAmuyuI2z2gEKZz6VFdKwHCVUnqRBHFc0m74zyyW7UtdDteGll
uHKNsDOWuiQ5IJHZGhFizK2c/6CH8y3B8nTfvFvIOhiKHo1c80af8reVQbwG7cHdNqr5SmQplYoT
+XKvaTLbT2HZobzNu2zftnPErp4ynnTHZZ4P/sJqBgY2VdrXK6Oy3iPNDy9KVdtYQiPCsneWo7Yf
abQfEJ3UV1UViF1WrwBwXmNxTTbjaFyyH35iUHEoNZtukvYNoO+zrV8pJNHEnYSiY9zZFb5Ue3Y9
7PruoprCyGstaGYhZDOgluwIByiHw+jSiKzu/cx8KUz1W11kbyhFg0VbnOq420aN9qjTWarb+lvQ
EHWIxzsjnGKHMVnzYrW2t0bKgQVnuwr7b33Zb/t24jFwu56wFhol9kwWXHZpxT3gntSUi0SURMk+
jmlgc0CqdhqipPR4HWyEHu2afLxsNAVIu5lfqLTqWan0BwxqFtmS9Q3bvdHTsuy7oDJqcq8rs/tK
Kqd+eMZJSHSBZazdhHBcAdYn873WwNSUovHFbRILT9Pymxxml5i0rRnwFA4ZnN4cuIY6thT5SJo9
Xz4GoM0hOjnfA/kcFv2m8guYsvoT/YsFLNV+pekq2Gjw/pMrjra0gTlVQN/bcjuk2oUsYzze5nPX
F9eyIjijLpqVX8WbGcE6+eSK10ncbIVd3w2KAGbmEe+zyVs192zWn4U99pcZ2MCCFWOdp8XrzI0I
9YqQ0VG89oOf4BfvPdi2FaAh81Wt+mch7O+5jC9EBSm1znXinOyEXt3cvGXiCwjPOip+ewVJtljn
pSigH9dPpSokel8JUCWciP9iFaJRZVwESVduqxoooR1vJrMI7vQ6u1Gk464mSJ7ex5uR0bmxg9wM
z9+xk3UMJJV0BJO+bTPs0yiXyw6IK3UbI9zQEA1/jJ5ykCgIjIr0Is+biSP23S0+aiRQY+1eErBB
82cIeacGoVeM00rrpFhEeSsA0hRyF4Q0OxUIA88QXx4bNs63OYRFaKssJJUyvSXxyGoKQPc2Gnx7
o2a9sp2EmZ/0pFeI0PaJ1kajg+Vd20taY6dET3dBXQw7R2U+IPg2+HnC62ySR7QlPI7MW7aaa5CK
19wVjnbkYTIuIQntJms0jjIIt7IstFPhtBUCAUIrlKwz9kGFJAVOk/EgSFQk2D7aG3BfNrDHL0Nf
aQBK00Kcq5O70M1mshcZ9l3lRss6Kfprs2haZM558hygzfOUSY6HtiuMZWRmLszYqFtBJB6vrcIw
1tzD3SEFIAfQD+yn1mI3AR0VLzRg5jdBErA6FVr42oC/w4uodjdFqk57qdZAnAWBUBOdYppz+lUL
DfMm05hykkpzR3TZbur96X70Jwg90IGuBlNxGL+WxNSkRwUo+DHqDXPBUN/easC/cI5H102XB8cY
Xr3wpXYjNFbZoZ+UlR+/TU6unqKp1G9Uk2KgileDErLNJjP2WpbjxAAinFY9SjpIndGNHkThylCj
fikqrTrRqoNZl/nhSsiTmU7mRTYlBfeVk1/LSVYe0uBNV5nVvUqzTBnFzixKyG+m0+yqPgSR7qNm
BGAMz60+pfCkCOq+qMpvWdFHO1nyeON54QUQ1c6qGfp1njg+b9fER/ufrBAk3ik93aWquOJGdVZK
isPXJyhtyol1Vbtk8uIG/HDjAO4sussmVGDlNi2P4Cyzbp0Q+K9/W43ZNpzcbSzjaiHBwCzElV3W
l3ag0v5MtmFr8MMECWhmJJeOc9CcaEauUXaM+RM9gnUPuNYtAcZZ7bjhO7VIM9ydFQ4LrpkAbmkd
rSHelbQ8KzeHTKd3A7TrtOL9K15rvb2Mi+kQ6NqrU1BNugWyrRLJcgfwKynzvTYAHoytZp2pKdVV
p4LJ1MFahu1bY2Kr7kDhL30Hbn+oRAj2IbN7dklMAnWOSngsXU/90Jjpfdt1rHjxrZZkwFV1SpGW
flYSm8jAfZomLdu9IApWrVZdaYXJYH1AYNFB0y+NdzNh0lMIQRIV0fbco3dl2FE6Ov2yGrq7Joq3
5lQshmpY5FUYLsCWbZy4BjlFV3hUsA8lJA8uVMXZBo1705jRrSxiHRJ7BDibESINyL0eOsxoM0n8
nvrmd/Vbgv2N8V6SM22MD6MmXgq7oIuPGAxdDuEpZf08IY6Z4ush+yH9li0ydD2gf9/g9F86cbLN
A3qoQTCuW6vgHWPH3wUoCkjBEP1AP7b5qHlDU63aIr9PTV8upBo/DIp10up+W43lAzFvTB19a6+N
wYu4KbWckWRkA0Fs/JesG24HtdmV1T3Sq+8RJgK+6HDHduca6uY1T20T0dpJzAMTQ8ZMvAKTIG68
aKLjbUcsEMHWTZQaet+sTR06nV7XA4z3aBXmBj1vPz4V8XWnlveTQDCX8nGzUqMBGTGqAFW31RQI
j1ElCWe2sSLmAetK2mzYJVJ6JRTL9HFORc3cJwvlPd5S6oOOgXjfjDe2aZ0YI9e7zl2XlbWmV1vN
FfneMOs9FV60xL9FnITPJwG+YOwL111ZaOV8vzY9Hbc2wXm6Bz2zrwDeTvKFgZm6yEpQmdlY7FgA
Nd1eD/PtZDr8BtzU74gBca4HOumEzp0xDtMxSnjrS4XNSdXFk6eWyYHKkVdbqynrob5UMXae+i5Q
11rl2Mva942LpuMV7cvKeWiMLljVfhwtaTJup16uNFHknpu55WWiqu1Jy9NDSJbS6BfmYxrk9m4k
xXbZ1q3xmCjTRsrsAbhHceizrjkWlvGQAyXKfSamWnAAdmIsPn7p97620tmYCBnS/Qszr8mI4vUk
vfgR1c6VdGFsWqV/8sHC713ZRHD2FffkTkD52iQbNyr21LVqq+WyYg9wIuWJf1AOe3mNuBq91w/b
9uHYjcFlIPT2oPTm1cia7Yx9eVt1PxhK1ztXY6ActsdeBPWt6k/ZnXsDBuUN3V5yNSau8k045Z0u
cuLFE+chKO18X+kD/5DxjyzNyEDvo/gm0CnOJz83t5Zs45uP3+tCY+mk0wI1VbuITJM5bcSwxfXN
rRsbxRXechYUEHhGOm270X2wc6vZBv4EGjd3rsVUnzrT/V5LUBIkFzwVmcorcrI3wQTgGu62+mQn
jsY0Pm6vmC6sq7HH3IqMYY43ZYMaZZeFXaNKGbR0V05dvzRqQtWrx7wv7UNf0T7Xe+WhTNoW1VTB
ZsOAkwlgylYvoSsOa61D2AKsW/M+qiOCdlmI5ayI0mPeztZwNZopfkaIuZlf3yjcRnjcecSTRhi3
VLy23UcbE0UE96jHTLHb1aQ2ruIsvIuLVS6TaN0E8kqkzcC0mzhxouL9ZTky8Pr4q1lWZMu4fdfL
MOA9dpPXMtqoQjF2qp4dCEBt1x/VWmS23Y6LLnz9O88dE4Mitdd1G3brAFqyE6tA4TPSdnVSl7Vk
OLF2Zl4JvXg9piaCAzHJYRkzl7ozovskGDZdFsuDn2kUj5CvPB/8/ltZZHTCazJOKjOsL5JOW2Tc
PZlUT5wMZ6kwWF0Z4ZCsE3skvQA416ZTbGPX9Y61QHVhXFWmeq1q+rU7t2CaIWcHNVawlEVw0Ehp
8Belkeib2lRs2PxFtm19wq0cxRArOyWwoIu1R5Qz/IlMR9IbYwdyiDJB9iFfs6J6y0uLwC4exXm/
KoVDfgwyuquGszgUxEvUUXA9k38AO0qOEq9bw5z2YxuQHz8e08A9dnrXXfimj+SEGUfYVJuPS9+P
mVx0VjEunbJ6y6aoWMsQKPWQaHLJxJtS0q+iTcQKMEG/W7cNhouk4Lv/eR0NigE5iOQCcFYIhbD1
Ih2R4lwJB63Se4EDAj2oxPHjtx3brD1GxyfNHUwiSbm/HBc+jNYhWon9YlhGqdVvinGeyaAZHKTu
WbGI17aRvY/dkHrZhFgoGOZxjByu9Cl1SRUsv9fkBixV5a6y7tCa8qIsXbYlKXkcRlCGf95ztelY
IG4FQyDT93K1YeanIIQv/pe681puHMvW9BOhAm7D3BL0pChRYqaovEEkpSS893j6+Ta7O6I665yu
6JibmbuKSkkEyW3W+tdvoOiurHJut0NKuA6lAthTNYZvQx1xsU7gUlnYf1eMkhKhSq8mcTqvaiqW
UWz6yzyJ2kM8Qf0wtMp+6qtpHypztengOu4wgPdfbNkajFn+CRxJMgn2ARuoj73qN88ujlME+Jqz
/L52dl/EWH3SUpNt970sQns/aOm2p0iHkqbvc+IPrlNab5tWaJfJLQZPwxC4GAQGvJlgHNqpxsl+
bE27SBAnEA0CV8PcPY6ELNTjQ+3jQNq26ZuV3SvfdY6PTY470bE2suQYA4wJYOeXynTf4f9uDaXs
3sKS/V8LglDqMSMyZwj7p3GG7REZdgjTpyXqJdasnaLkvx7PLyCXn5VIrLLsWoz0PJEddQvN7N7s
0FWOndw7GUZRpItwLBWja3qjH/KcovaUAhKQgiXcAW9biBB1AmPKnS9KPyj7uhCrQjfUp9hQ15HS
xsfReguqpdMbxg6i1cz0eTaAgfgQUQze0mbcJ2Mslgw93GeOcGzb4848FMpbguf2ylabfg9ZfNXb
ZrMdnJRuuzwbeAkfVH/6altTPZbBisbD8co0ccjWLcpNq022pzfBa1up0UbM1hsUw2w7yoPXmZeZ
kmo7ci0+H5896+y9mXTjnM6V7M5Ipyer60WvBppPl0xP8g7ScYw2fTadAle7k2dU4ODPO4DFYmxV
JVd5vMbeVbiBOoRIPcED26gU0Wdjnld5Tjw0F+1K19BQi3RuT/6YXIhdyxZFNHXLpizjVVQhvetk
hFHQBptZG6GO1frs9Sk5L3HrvtBA04kUWxv3X2zSObfNsDg4Tki7JloiVfzA9CK3k6J6aY0XoELQ
G4ap/uwfDL0hFTHzd4lDLdoOVfYJ+0f6p4V+fHTVWltMZdwAx3DCGxU+2iIGJKvSG7KP8pm0adwH
A/wkx2E6VGUbAv4avQeDGoRPnhIUWOVH0psHMYl8xw3o4i97T2tDPSYiuFZpO2zpveJD2SO9QvNQ
eGrRkgEHz8LLh6Hw4CX5dMvGT8NPm+cAH/221oOjManbFrzyrAf0nMr48jjXGU6uajWdN1wyJdlx
UY9P7dB6jy/0sWMU6up4SF7V2nc3Ux+nG5RH3wwVfJLYGxxsiIDXuIeWpdxkonOPgWsmmBFTkIK7
mrs5Gp9F0rAO+u6cS4e9KsYI1s25B31LLLVQyYHAEnsz+CQoGORF7LI8GAATjBqni7BbidSqoc5G
zXHAKjls1bAEvDTofCMVLzknJitILqOs67nHrXEiHTjfghGSzhTnjAS07OZgibzS0g4/5mQo33V7
76sTvsZtE78NN8MkOKTL7fDiGz+1VjiLMdYags/MD3som33LRQqnEVoZeBcHOws8Gg3Or86uN31Q
3pK5154cWR73KVCsC/4izyN9tsWipff/xyeqdANzgRbH2UdJQTLGgF204xK2iZ1MOYpm/3gjTppC
7/bDZ83qm4+wHcFTXb1ecTNBKEkLbR/XeF6XDA0OlQLwFmEj+lax/ll+RbknGgg+D58k/J26OLVK
Wq1jn5tCMZTdiFH8IbNhD0ADsrCMGmgPfaHfRZ6NT1XuDE8FHr3rOes7AjTNbpsEnUE+urFJCd18
VjgrXpWyfkqAGvvaGI51IDt82nsvrlV9yzLi+4madz9pxou78+WZFZjaS0X8Suj4p9DmMAGQeY50
295PwfxKAsf6UbyMpvVBo94dwPwNKDthvyqghJ45EnZoqboXgr2C0kBX4HckrXXsIJHCqE0Ro3wm
w6+5LrDdqEr1BRomRqOu8j0p43nhTYFavIYTDuKIQvxtqpY/ApmPoPQjOUt4wfeENy6abJ73jwsf
o95NDE3nKboZWA+f5sah1LEViDe4Hu1zFXTG7aBO+qaSr1Og+L1rUBmQVYpjo08w+ah6vigJe/PB
/y1tStda5ErD8SE/kQqUaJV2JMnjK8X3DxfKBAhJUnbahmeR94Zhl+Q4hOk6zSRhqzH40mvLs3oi
Ucw6/F4Tx5EoT0WkledWKS8ZaauE4QzqTp1Km9AujRcZBCEKZWsUYO2Ay8ieDihn6i35A8+PwnOK
3ebAAIVKgDC83lJ+NG1+KsCUyRxhmedh4B5dWTwqZlzvlAB81VHK77GDmCIhjHYXQWNQxqn6jFOu
dWxuj2D8/reizE4ccNmrUtC8GbjITEbiXwHfQfRJKjH62jopzQCLLHjJgPcP8zx+hoOr7CIZSWAR
EfHMqUq9EZBhE1YaPDOF9LBqzsJtI0wATMead5HZ2ue4TAAT0Z/0xnvv1i0ZC3ANB8YzDf7N3qPE
0NzA+CYqXgwA4OWBobZKvnMjEmmUAUmGSDSb3LZyaSdkm+E+0a9sP3/N3OGoCJGhlxuftZ4+Ggbz
++NobqsSzMQIsiNeNjJ6qpF+ouhI7OZJ0UsCmHCor3uEoWZlji/jSHwbPn5QBWN7oRup+cQ8oQcX
j9VlPGkFPK14/3iyUgTmd3do3oIheAkANQ9RTLABHGqzI9jgUSolLsbgphs8tWtTrhXzB7O349jM
7iEllE4jguGQuAxDZrssXzJICqllZEgNmHu1YURjbqYbfPjGlzYifrYRTF6yqhKbTFcjLtJyA6z8
lM3tV2LN0neKVmgoSH5TyIHPM/TtRUTr2uQHOj1jnSqsy77x8U/pksXgI8Wss7UwQffFoM5MASeI
AxoSrDkNyy1ySUstyblBEroquqZYD6krto1dAJrgaj6hS9Tq46N4R9kg1qOziu0h2AgxzUvdzw51
Exp0hc2dEEZ925n2a2TW1a4ic2FpRqLHMJOMcL/2D7auroaoc9bw+hyvNeDVKsAZHB+MQeVeU7Qi
XDKl9IEbrGDzqOEZ4qkgKGU3HyerJZslDntPKOnK6jXx3aBfXo5ZW2878QM0R3wr5GyiTsDViBCr
dj3N0CYlaXHnUOx1TjDu3CxBD6LCkxRyEzRJ/0a3b+y0ajibxXRWUrf8GARtfB+mi6HCMD0i+2/F
XR8i+6nLBd3To8QNWwDZfjoZJQT1QhdsF/ntFEPsH3KPZYNz09/Z1zwIH38mhNgo5KVRiIlZha7S
RPxGQQmwSkl6h+wbmbg8auNLzdhAWNE5tCaxfNSigeE+J3j84VBPYFYuL+ReFjGPZ1Rlm6bDVN6M
zK9AI429NR+mss1esX/+h0Lxv6KO/N+SQv6NPrL5VZx+Zr+a32ko/w8yR3QVocv/Th15Keq2gDpS
/Jk68vidf3JHLPGHrmvwjWBawNPQpMzjn9wRy/6DBYBPOWYEcDcMDdrkv9gjzh/8KDRpSFkqtptS
8ftP9ohm/4GHDTYgKLxV5DiW/d/QR7Dx+I2bBOnLtDH2lCwVByrWb0S1POqDnugGlAaVjQp3BCqw
lhOzktyx1nVV7TBw3okCQUPHGJiqvIG2wNuEBmgSzxasc73aGWm5NW1r12CFTBRD/Mvq/GPVvWbT
dNB9At2Z+M1g1XrZ7HxiGfu+20+FtdTUcSUyEqtsFFQk/WmclCYkt3RYd015DFUTkl+4rOzVlBQv
SPrXoSEZlVS+5kRWir3DeHFbxqROVKTLzPkWSuA6SFNirrKlbRUvlp7I4f7K18aDP/WedBIdGMxO
bcfJ7ZzszkScXLyEuvtiDv5LEg3P7fxktc5x7LIj6eUXJUhfuB93eYI0j9yyrG1QnK8yUywpmE96
ivN2OB8k17PrkCacLTTsTTYeAMbUNqHGhcuXv9TQVROFyLb0jnBjO/TF2zjFPxUdjy5artxOj9lI
Pgw5Vnz5xzzDJMEY1q7CpOx1CMcTEWWrHAF8DkclLgiyicrNn9bu/0DD+QsPEwYO9mT4PoMuo379
ix1UaWqRD99lNUU7wVepQySeRUjAm7EeDWvlM3IStBYNP+IGJH0WideUr7raeD3PnsJ1VqEQ40Kw
Tt1863A5KdWX7px9kPVxapDM8gu03Lo5L0oKmbyalu3cLP/z+/hdye0IKI0mjqE69gum9eAa/Ylv
Nw+h0mZTHqwwB0iWgSPIKkxPup3/GAPrOPTc44xE/4by+TuB6fcX/Y2I1bnjHGEEGqyqtnztzOtI
shuxgEB2mXv5z+9P+10yLl+Ld4jTgzwLMFb69/uj7RhxhwxAVjmYPqOJbOkPO1dPlh2T8UoAs6RK
fK/Kq6Urt//82vrvZG5eG7UmOkhG6pb1F+amJZGducwUYAhlP2dEvqr7pFjRSq6lVIrNd5jhGpeB
eSC1ZJP4xl5UgNV1961ukEC58XMN179Qqkum34qqO4bROVLqY+aMf2P28RfTl8ezcs3C2gZYhlv8
75+TVfSaW8aRQqZvcRxRnuMQgxOVfp6FcwnHmUF4/cahRHqNg4u6e9Um57NqD23tXtQx+ZuP7n9+
HOlTReA5tt2/q10jMRsNSjdQbSKPDZPJZVFFt3DEHHSC4qwCeCnd2k/tZz/olmma3ZuSnGiKYtHF
d7RBb//5u9TUR3LEnysRPiHXldxULgD+2flN+mvgDmzOpk+R2vLdVd9LUZ3SDCqqEYj3Vv9mWvEd
gvmlEOvZtGQmIEpDyZkNQkQDkS3NI1hnBTypwXxn1lPEyXfTiCErp8dSR+5GR0vzPDsXqU8KM5UY
PIq/hnCEwUx/DTHhVb65b7X0FsbiogX22WG+45TiVhhExmTHKhJnVJSkhN8cxTrV3Y+8V76rjXky
EDsQgXdG7dbziFNqLIqwugmjWY6G9qS3DI/D/NSRwlXb6S1XwnsWl8x5qo9UpqpFYMpYFiB6Mt40
XfsiRk6KkIdl1dRXgVpnwvhnNmC0gHK/ubzXJLJOiW893ktRizPUMKQuAw5qdvCtg+czpscAdvGi
IdSTgJtDneNnklonGbmUdOmpM5O7fPQBHGQh31mjBYcxWbQux7+ReRZUZDXTv5rBhSOnnQXxMVrO
PRfy9RTVDWkfRBD7ZDfoYUH6+4IwBYGukebd/xhm/UlxG/KPG7Awhqu7lmdzqmQDjwp0dyp0j7Jz
59TVu+OM3qTisBKlQNaJgHPsntswvClTe/VDe17xSSziGLKaWRegNA2rgkghIl4yYm+LddywoaYB
XJ105ScN2TX44XHQCENEZ5Dr9sasEKsMGLmTYbobCSzoMnHQy+qZ4GGX9C1zkyDUWerztu3bH6Wb
vPmQFm2G0KpCnHc3IdZkvLBQB+LYJiX4oZbVDEKDSB8dKrSaBHCfWIc5LpdT+1MpmLlIlRj2SRk3
vfWBHADiQYJ+XVK9H8/q6PgVgUi0bdF4U4sIDDYY5tgfgSn2uMHHHkYIBuFEMK0qskWCcWmGwTfd
pyPPq+xmpfZp7PHBx1rbqOznJr1nCG4Wk86kFnUx2tbirBBjOVUEY8b8CxZ+BoPkFpi629msYJ2t
kRgIRsvRbRZJyOya4QO0KS32QqQXQjoUMvZRYGMs8ignu1klUo8AdkTe49G1hx2cKsZv+NeXCYAc
f3MYPse6/uIvLoqC/WI3V4xuEcQb7qUfOqqT6TViArgogc69MRA/hsQlqITMPX7bRysWt0hfbDPh
w9f540TQ3jvGh2lsa16bTsuk570oRnjrxlfXb659aSorM+Rdm/TJ3igXooqasFSsHiKcpDfaBWNG
d2/1yc8WUmIRQdGcGuXXPL4FipasQKgbMFX3MlHJDUF6m8zgnrmoijune9VshfJbnKsc/U9kn6il
d+mQ3QZh8jaM0GvxWBwH+8sv2HDVhHi17NOdovZrxc+P8hknKSs2euEFeHaYebqutekXzdKZ6+LS
h+6pIVV54VDLcXTQTeIawSdRxdomV2AAYgBSxy9u2F6p+1jJaUBE+/hRODCrHz/dFtE3M4BZVsQ8
FkdcmN5xenlSbOcVERDSxpa2/PFoeNrfjN54nrUWKyOEsO7U1Quns49z2l3lmeJn/F/pvGK3Gvy2
9DSbxrmq0rvMdpE1rx5C9pEfOOq9yFPqYWdnxR7eMlhS7eXdwOMP52KcfxpZzLWRo5Qr14SiXnBV
2vTC3qmWfXKU/Ka4GWlj0zd15q/Jktovrd3o850Zmf1SWesEomcSwPCRR70aJ3fXGp+62sItq8c+
rIXjCznkNbDRqKt8Gk48VVubTa5VL7E+fKouYYF5a+hsW3SMA6V0Gcy9N+nORX4xhWEfx/gENZKv
UnfZsShGXTs6l0W9H5krYzC91hoeSC5gVURE+2hcJgUBdxOuRYXGF4aA+RoV/IGwxWZFRHeNhh/I
6onxlheq83d5qxrcNnGanyrFPLeBgk0JGrxBQQhrQytgTKTv49glWjd4btwIgaWrnSuSC5tYe8bt
5BT1fApKjBCsKjHTb7NbZPqX2Q7uM3daWe9zOz6oXXX1ofMs5McVq8SfISIpRAzMT6RvohMuWV9c
Pb3kZn1NY950UDcrzthgQVT5XTCrWaQzfxogLxy0J/Wn/K9KdS9l13+W+VOsndwmgYQlaeJ9mH1W
1Qne9Fl+diMHrHynTq9csk6QxGrvILqxGLoWJ5WDE17Lbjy0Qj1occsgX36q8thwrJOht9fAZ2Mb
CR4Bbe6etImxk3xC3QpubsBHNKEPXhA/ePPnBGIsN6NeHE2lvCrKoK/0nt2kE4XpM4M2yEIe0C8N
rfFVIUv2LWRcds4tMLnE0GfirW+67wV+xLR9bM1p7pad5T7XLtR87cG0WhfyPm7j+qoG4S03tHMA
p7w3iJmWb7SOqhc3bclVzJRLB8o2j3QW/AMOVfcxNn6o32I0bY2jvSE7umRDcZ27n/YYHeTVLcut
gLHOIoDN3abOTl70caafWTEn+fNVK07CCc4lgH0+lK+jpR3ozKgrrDeu9F9EU8BYaK4DGtbkXIER
L+SvV2RxUHezQFN3fKniU4ZOrg5YqKUqVf7NSfaqk1x6iRlwysfUREWlvRJ5v8gQmQJRMaMmMLWY
eRDDUL1mrSpVS2x7CmGkgdxtDWa+RMNLsIC0PSOEgzm6Vuo/zIDvhxZ/aQ7Km2joAvpg2KAn2yNy
uwnFXekDV4cSSussUK+UrdaX6U1W53Gs/Epm+6C7LFF++nH0u+TWZLAkZutDy7neZVmf9SwovGNW
EbN+r2wYTCnDMWVESq4t8YJ8CNIfyy25JqFmmmQpS0CgtsNbb3SwTJRzHJzToov5BKhCbBJa/5GT
RWSZwbFjnmTqS/5k2OAQ0Czvj/tIKTmnFecyRu4lUtW76wzEJefHSQaBVxhBKKN+9mH7asGVMhWz
Jjigubx1w5KvhWkvC8XaDXHwo9ooyPLlJhmn5I5s59QGPpgyVL+hRjMqiDpZJJN8m3XyOef2r6YZ
IuKtqHOLjCs8G2ukwMjHKy1zyaFgwKCGYuHHXHq11Z57vb7jCQuH0hS7kmGmPQNDM1JS0Q4vsii6
py45lKO2zgfnO4YxOyhRGyeN74gbOXnh8nsTTCfNdgpPsI4aZ9z6qn5OEyqEWrXSlQ5qwRC4qI0W
gXZwg955S0lYHEd3w577yeAQ9rbOVvYF6ahNeZ4D4o5yCZ6njYt5jT+hwUaN3pviWYu0l8jmYisD
mF6+na4eS1YjGNJLFZMcL6TAVphVaxGf9YHyMR5X4PTNMuzxg+2xYTMqftYMxWsAhXNgpiWzWr/s
mlBsO4cOKVCjb6IovouybZaQkmrqg4Dpl/KTCHjWeHQ00Td4hgNto83FVde6TWBTwRIRvJoJFxZu
uK2z+hpG8a1Vv1lNTbgbZmk+rMckLQzgA7QHQdHJ9M6JdNWmXBu+OIuaAFRRUORElbvSyJbaMSVn
n7j1OopZ7u5UIPoNWj5aN9jUlrZH0OKsrcA/6KNuQJAtUcOzYyOslA+Wokl+lrmZSxWCHfBIy6mW
92xx5A0vSVzvtYHPopBLLuozHNywyKsKEynS7CzRgdWwZOODmRnnYhL4YMjr0I+ImOwsSq7RLzwF
dkELrQevrNlcanrD6vRVY1VXzclJMxXKAgT1ImVj6/gGwEd+E7X4iacNal4ta4hZTy99AAu96TEK
iX2fMUU+LLHRb1aFjJ5vxqpcj5KnqbdEetdwkDcaWV8brV4zjspxtXJdOATiQx01KauYMPbANusI
sPWUDu4NAnu7wEj+p9tw22kh6nR4WC8MoGABUNkySX78C9zSu1ZAyi4SQksb3urjf4OHhp5ebyYS
0vOqfY419lXasOeiPv1GpXlJLO1sVCzgNBe4/FleFNWvdY/hj4+DEnQNtvCY7O2igolud82y7M2f
oxCU0BZIXgsDKXKwBw7kHdv75yknPjigYWDM0SyPPk6F60DD9cFyfoki6Dym4kSZYiMxxOlNtm8V
xePCKrmRmcVjR+VQFRo0tG2Nk7TtP5d9fX10b2BQZxbyif+xfKjO/dH/oEF5alQOpzTr7wNhfPIo
m5iHIvq5JpinyJfA0gF7t/hWxWKX1FQibXA05/baUPdDRthDhbk+TBTkbSBXTGVE7626tUV8k6Wt
AusrTYu9IxvNZniWzYWEK6Ys2NYDp/nM2pzlMdDl4X1sknuv8C7kDTgEmBIYaBsWQ+B7orUoJPP4
Zo/Jd8OsVunYMyDclueMKU5TVV9W6BDQckbp8BkpijegIZtiZtI1lBYQWpiCAMdoyyYStXv9WzT7
nypWJbkeeMOY7wMXAnQDCJerHInDj67UXzQrxOqQd+3H26KttmpkL+va2OVQwhIozYtZSuebEaU9
a2szqxNwAbIqKNoctBE3bdbiAe1SXUt/vS6izWlkdYe8u2rQ9xHA11Y4U4SAjlBCX3sCdRFJfgMT
5nCc3qMyW1ZqV2J6aHOD8E372RtEiWOX9z87zdoKUsqD7J2LdaczWepN7R1c4TKGPgKH48Dx62UJ
PKMxVnD4Ur/CHsStrojEhv/pMQZsVwWcv7L8zEuWvp1QZCXKBcYRZRVgKfGd+OMOxUvtY0+A5IH1
mr3Ytb0P4LNpA+1Xx4U3leEtQhuxSOroHmPRAXNm3NpV91Z26vaxBlWf10LMcJ2s5BZM/rrCtJQd
RY2hl/Ble21Xu7+iKfgbO7S/jA3AALGqwxEMd1RS+2yJEv4JYjUyJhP5OOPxO5CE3qmQNG3lIgEA
+Os7H+q0IsxNUHg2I/Ihwt1ohtDlxSM9jqL+XbbGXwBfS9XxzsP7gqkaDnrMbP78NEVp09pGjoLe
la6ZeWHJzWPt7PAjEPE7frf5Qu6Cv0HPHnmB/wae8bIoWW1emlhGxg///rJ6Z+QtxgIKCllO9MKf
MNQgG/SkhxTCD3wvnbheBSnzNCzexCO0ML4WICTUkEhYdhIKmqoIrwNu8d53Tgq9CAI877GFxdBe
Zf/Txf17xV9h5goiIjtCSQuX7WGm90+adYMPcMNGypOAUj26EBjqa587uynql0nYXF2OqgRFIsOd
7AhcsatKOiM3XPhhxElgVNduNs+yMR4deWrQ9wclpbvshg1ZPMqSv5NnSOH3157Gw6ppyEWzIorj
WSIIymydZEEt36PC0AMRjCdxMSSYVzP/agAjaGnZqZnIIKL215x6yPaxfYYeMY3VdarsnTR5ywP/
UuTFVTohzXSLmeGcs3RVJdFNjyrkUOq552+mhblxJ/syMAuBtmrpeP0AtWEX4HJ+OBf5683MXRzU
1caH9odsQ95/cM2MMrg/OhwOvcVoq7GXyGsowLtmE4RENrSrOuZeD3zKEFXVvIaqG/45rjUkt3SK
euGkYeCRus/YnhAmb6i7QOWmVFoqBrehJI4SLhR1oi6fLOVdsdpj7waw14u93vIVRnH9PZ1oSfq0
WYIv3moGJ1PPTRkov2QDavBOJVIUFOXVRlJcWeAjBRBWnpLPYRI7PgveqOsQnFHc4J28h5z/fzPQ
0B5jhN/WN7NBlO+qg0ed9js4PE45qkgtoJaz++e4QG7otS2+GX29VkKx2saB+ow++dl1qj2Wjfsi
o50Dzcu4xzTAu3nvWLc6EviKBkud5PHcoWhAc2yV5AeAdJj0z7EZbkSjvg6Nsnl8Y1ljvyfw5OT6
xvLwyHT7uc0CL1JRC1WoBqu1Wm+sGEoXVp6Js5ybYNOmsUf5tsz92cNxdRn+cNiXFHwaZYZsNYdY
qk3ypd+qn0o0nSrc8VQ33nWBwOc3kbJiNDJYiF2aoKZk8L26UA8dLLFOsD+rUUDSBQcsIXnrHQZ5
8zrWUaN1BQiLBUfXX+s6nkZJ5/lEtbjyecieMNLohkaaWiVaDoO1hBkCuSXcJ51yCBtaFAnHFQ5I
62Dahzi7JiZrkfqUKlKScMZmb48Y17ATEk3AZLJ2Rg6gyoBOS+b1EIE/4zSyKoEjYQWfpD9bFUa3
XhNvWMmtkXPiPBN3D1HmOijdp6ZNnmvuPTVz1UVr4rHRFlRVvKF9YIi3ANLKZKmeMLmsKtdll5m/
XLXcVma5K+vpqcerIq5OBsxqTZ8XAEPbAgh5YY3mcdKCYxIrS9U3njpF/0cmzn/FQ/j/iDogb6H/
nTnw9jPtf34V9Z+JA/I3/uU5Yf9hST9WoodM00UNxJX3T96Aq/7BYBOnBOzJDUZxf3adMP8wTYQz
bFZDhRopJ5//4g0Yf0gWGqbHqqOZWE/8V7QB/eHA+eezAUN7FxaLyR9VmUL+Hqtjm/M4GbMl1nHv
X5DB3YoQ5VHzLi8DtK6RNwnuKMweTu3o7ySSlvVUJX4EnKzO5SKJUymXwLqqysyFOhp4qqbuphls
Lw1xJuqUCj+UuMTHiNFHbpEwZdfMbMKBHZbWyCPqGUabG3X7gdJjFUc6TSEp7PCPcDQcaQ7FFyyc
ZqG6IPbSIFNepYrjf+TW1yzx6QYmILW/fZFvAeX7Z65Z6L9y7Bcjry+SvaPR5DxwPS2x0eWyI+bc
uJfdqca7EKTh8W96FXwDhgZzY+cWvh2hFUyQxQ2u19rdwu6GGPc9a5XJNqhK2e+42zSLuNSWTG/Q
jbsXZ6SSjw2k0BINV4Zur1vJT/lYYwsTVe58eamlPYNUCzQR/uzjGNCL5BZr88zlVg7ItssvlOk/
kC653tyhqdACpM9JgyV3MKziUIzcHcktBGcKZjCFxgX3UOop8KrshyURGYnXZJAcF74RY/vZX0gr
WNdqAzVKzJ9+Ph5LzG47OOj9sjXrS1UG79aAgxvsBmhwWfxDicz74/9UbvSpFB+V1GkUhnqtWCtZ
0L8Gs76fKr/YdJm5q6EtgpHg69ZjANiGJ9HZxlqJIcC2cbUz6xYITLMmSHA4m4TqNXOzdGu6r4XI
T6NtEFfRMeSrA+whE+iCjDoZ6Plfk68cA1wSV6qKmqL4ZAHPizozLwRNXrWs2ukpTUQcD9+A8Bx8
AD8qpx69rNE4Tt3hZkPjHLoQ8p2DXbaeYR6YMmmf3PE1SAfVW7d6WgOl10RWDhA3p61WOYpMqtkZ
ij7uEj/d5WhlD75dYABSIt4rKl12LHV2mjI+MF8xkVkf9KgmPgyNtxcpwetgcleKGVfdotm7E6Q5
tSlvqVz3iWWBEkamsy6KzmKo9WrFMeaG8bTMXBPxrsDJr+qgNYTYOXpmgPwdTBfjduxL4/KuxpKY
gWoTnaH50QtyzFAOfKQaSHWWQ/WNU0zV4MeZL0VjvKlTvqtl0QblN16ls/YiVNiNEwJjvg8NPNs9
1ogGvRAF5KLCT4F43bNoSF7K2KKeNbwTZ/A+thHeoWoCrfQrVuCvh8oKYoiuhl+6Bp5ZmPMO3vjH
CJl5YXT+LqJvt5Uk22mm/4p3wyf06nVfSlf5yPVy2+cbz8qdzwbS53pVSf6rmsbFrmwZ8oTDk+1/
IIg/Y+UTvlnaMOExgRDXGoLyyPdeowdF+oI6nrYUlDACVdj3c5UdELTvogi8xvehKteCsWTmo/rO
08TL+vGScxKNpXrFMLDYkq9HdkGffQ3RwLSpKZwD0xciU9zg29CKRd2F5jJjJrztpcbGNwfPEPm8
sdu+2RZVxiIT+AsOM+bocfHR9lO27AKsElB27TPImsxd8M/gCxEQu99ytewWuS0OZWCMtHhvVk9M
rNoP77hA/7CNTdnFz5GRIjhWOHTbIpcqtuIjT57cePwxifTDnYJgWQVLNRpbILNpPSjZAGyB6D0E
43IG/4KScT0iuXPxmA3nejF9M6pGLFITO5ug6JdC4RBDIaCt3Q6DsL7cmQ5YmO+MAF3VSJBhZAIu
luPWcOpXTM7RG/fYKCtYC/N7yAkN2McDHvArR6J35lidc7snHVezF6aefal9my1yrbq0oF3g2/hC
NtgMmH7+DUkiyiWnPTvRS6CKdtnj67XE+66ngPsFLxJj7XRtTumqF8apwUnQy3TzrjRQPLRMWZtD
FxHSNe/KxsA/O+PVHRxqNVyLTTv/boW6f7QiH3O2KvqgkYC6LfJlKcbKa8supUTScClLmU+JMFta
IQYFpdt3W0wG6HOmLHyJJhLt1An+DWIPFic31Fr5VWTjRv2J3stT9ASTWReBQgk+hVwRaLN0AYhN
XUDbYY0Giygbv+OJHexxuNxohfw5nQG9YWkvoYjaJaJ2E2ZE8CL9kA04n0MVAZdYzt3uUdOYqZPj
foRTR+j05QauLDLd58mc3qoq/7TwLdH1SnYp/4e581huXFuT9RMhAt5MSRAAvUT5mqyQysB7j6e/
H7jPPrvOPn373o7uQU9UsiyJZmGt/DO/DEg8mgeEd7FLY+FmwJsvoNSRG52SUYVNLlxx0iviPuK1
rvdem4+nECgB1THhMarmwjPHbZMSjFOd8pCNPyr11o0S6bUolZkFJXsSAfNTiaMmmaApWPkQreY4
L+1j9bbMo0DNqUGBzGZ5S8kfE0+AyCnAaWTdZZbHF1Opw02UEVOuNG0bhwAizI5THMjp/WDk2asz
iZ1tbC0uaBvsDE96DAcwlq1wg92yPc59+o329CJo5OZXE1bl3uSibuQTytJCU1zfMxYZ0JZre0p8
kMgkBQtP2PVHk7RHh0ClkJ+MSvIkakoOoz4FrbRCY3qbQSoXStOMT8+NGV/aMn2Y8+QsgyzfmHn0
wRi93i1q6RujotCCFO8x8YBPbP1ZMn9UqyPwvkmgX0SagOVOcBl2pWDk6yyQOeLnYacnpeFinggv
BWpOJ48QkGHnjtO8hTS0G4QChae+ym3pzhxyooe5sK+EFC4G0ejtAGdjJybtKdOJ5bR4CRm+44jp
w/1s9Kc1aAeFI/qWRiNhrhpUU+wETtV49E/v5jKKTiKipVRllA+4hQhXqX+f2lHxs00iVxdISDeV
Ihoux6bix0m3L1U43Exg3Mbr81by4jgnBtMuLtHyY2gOb6keLW6jOO+MmzHc3Jq25iI8xW6mzmdG
9HCtxnakxN5xXox0Rb9wKban1sWkjiI+HGsM71vlYMvNAtoCQ2Kkld2+EowTpDCKPEtSQTmqpBut
ltEDhjiIy/mH2k3EwpAMXExrAMUaUQRzjxuGeNBuglKVdaX1q5ADs426LRmB+mE0hbwRbBvdGJ6A
S6K/3eRrCJpMKQncF05q0zGXWV+78jwm0bhXLDx+neapvf2DcRqzxZ5VxbhM1fwcFrqzxeh7jAf5
lxzjmGdl2hhFIg7UGhnXfFIufbKg0c23vhK/knJ4k/LyY+Ew3ybGbRpHGBVDYWHSUX8shhJIbM5c
0bDlMJqf8JiOU98ATc6mkqJkjq8GI5OQbezQK7QJpHg4HX2+qRDSXUmRNjEXJ0JKXygHrOxaTIhC
HygJqY+lFb9hcKjZcay6UGXfmjLbTg1/f+ulOlnZUNK+6Vn2vZGfG2cIhDr+UGy267YoiZhRHbKR
GbrOxkMU5c9Jjp6lApK0Yx6DCEWS1TYPRh2044Q4ludI4zjDyDkxLk6gbvVxwxOi0XYz0IQKD24a
qj+d9HUoj+VkuRXSHhlPnvmpDhhE5waxyW+TldIR5iVWSDWBCo1tIjfr15wDKcRqhZJd+62/Vn38
YUn0K2iZ/bRMyZdupzCbrMDJLlU4Xy2HiU70zTCbC+i1a59bl4GK3n1ipy+Nne2zpcRRWTL0Cns9
KAS/fCiQr7pbI3dBWbG1KltBaxwY2gPw6jPDkOEyKdPIEIIUmdLVhpsow0mJGCyHS31Ssz49pLX5
qWRRfubBZA6ePQ752JCbgw4vG2vq2KzenQc6Y8QhtBnrGMU0cxMSqcv2tWoj8zxp+rgRZin7afTR
hpSyaToH9AYv6IHCt6MZ9Y+DpXoSwBwXZjLa093GFeMoS+1nwXCBHcjsQJp2nuG7txteYwgGw3kU
ozdkc9A7+TFfLRe80NC2RyAOuX+f3t7Fblubv+uhyf6cJcaIOGURz2DPHspfShjxsOW8GDIzYqtB
rDC1bJNLI8NGwXQnt6Rhm0vacy0k28eO4IqQqFfe5QzsjDUGQi2zXnYXXZTrGo9KmmBr09fNH094
SO4d6HFttLxm5erfDUmxeZCziARKn36VAjQTub9r1GJiq/UY6Zn4h66j0DVZT3OMw+rKH54wa2O/
wdZJZnaRruKLUhsDCRbnyC71p31p2Q5Joe7Kc/05Ra/3781X5v/9nhjqDkJ7Qbo4/oLH8DGW45Ee
rq8w5FhnYuFg1nG728DuP3O376zfm5tYncIZAJhZE/IP0+kiSxORWUWm1MfA+HHLCmt5bBRxMFJN
O8RYsdD8touUzUelW+edayDHVNIvA+7BtpiHfhcNLT1foz4fezg0jOgwS9Rhd+u5+UGeiTrL4H8z
W3rIJj3f4YRsfKk/N3kKarpNMx685UXHtPE45vopd3gQZAgDeSd96hLwuUVas9Gd9lIN1AatZr00
g9xUdDtg09xUVyhuz85WDqXvnBfgsM3Z1/28uSrey3qoctRf/7zfzdl+HaM+3XZKFMydLO8tnefM
0DfosMpKVXeiJ4Qnt6rn8YCmdqqKIuUcCsyvhzphHGKYZvukL28YacfZbs7Qx6Kic05G1py1kaN7
UuQcd4QwGc6o8DosleQ3r5MZbpOX1eSPjCHmYjpq86UcKUKKHDP1FzMMYXC4VLR0vErCd3OWxcEy
T8YiYEeUxAnMZMGuxIJZyTb5N+6ccH4k67wq6AWnL231rDVJv4ETsosyOipaeBJNdMuQLErHeQ7D
8lyq7Y8x+aF0o7mrVulkUNWrMVrf7rYDDm8tcclT1FFSCQB1y3V7wFfCU6cFTLMVI7ooDYvuatNI
pM6NS8yVq8szX4eg6/1s40/apIyGti2PhRsR9j6FEHfj0gI8HF3Zoj1rlGxsw0h6zjh9ILtclgLl
QV/F/z9cATajQiWxL2pCDU33WvSfVFIQ5QeYYgjsIhwPEC6RLIx+vXKvakKi8JGqUj5iYx8WLPKr
dpkwhqT+oRHT+f5ykFWGZn2bfVmtuVdrrqBxDYSaWNymnyCuQ7NsMT7iEZGNu3t1va9tvjePzO/S
oGPfqB0/nVBPbLAi28yOvkdTue+FNW+Y3bzJCXPiUWfSskCdjyyDVPQ+m5O3jI3L+uS8T2JU/tIu
7B5gGxVh4a0LopQslzBNvLqMFy8UHDJUToHG6re5W7bWmxJhd5ZAlG9kOf26++nuvw6BfY4h66qE
vFNhVMnXTRIrLIIFiXoKL92sG/Rtb2jMIDiFMcXgUV0XhAYFu2DX0RQJ6USW7D7HGbnmZcN2Ceya
M3dBG18Z2Qutu6yF1fyeK5gZ1sdc0ljqVP29TnJreycC3B+Ou0eoiJ/1XvusbX6t9YFgWPqsjNJ2
hejVpYIOvbrqBgs3smW93yWzJOfm7n/QvCpmy8gICHi4l3f9ZTKmW4IlMsvzg86Yv0jenDr91Jbm
MYunzFVNRgGYjUK3XEHPxsiQdNQh63U2uxU5Jf8pUzizW6T5ZE08ic2pWTwaOZ4RoLlQsUDeF+4p
pCtTDN9NCzGomSCIDt768N8vAZNJIZQTGmQA+U01C73PttsHtqOBrgJAmLWQDLsYwUq3HIxKSASb
EuiWm+pFGLCc07mnoEuuLxPmu56B4xRDC5KZbrnEGWuW2g1wVswrzNVkMXxWVfuSVlyHflN//6Ps
DVrvv0Ki6ShXmKQSv2HiYjrr13+bqDJQa6uQTjWPdPBmmBMokzklGMuG2BFV3luz6L7HPOH0ybrc
/WN30TCrxPP6m0kFjrY0fF8XgfWx1Z3sh90dyvkwFTWONGO/uqViPBqcRnarnOlUqzGTVz752Eui
qTf1/9Wm9G+M7/UvMkAm0+BrAtpep7a//UU4mB0H16HhrZpwPubs31HGjPirsxS/nPp3M0VMHFVr
/5/flWsH8b/dlSDNLQpgVOBMf+8bUAtyqxyCuCub2itFyJJgXFYZuKOziiKeu5V4XUWqBcPjesnv
sY7lS/xl4F3rKueD3O3XLB/NuH2NYMf2av5TXzc3Pa/mKIwDm76unl8cOPXXumdYp5cJ85r//A/5
93pG7kEasOBLEwFEa//7lD3RZTmaY8MbVV5462++vsbp63tsKQO1ky+8J1ee8/uaKAM+A5awdfhD
awbCHluPdYazjpFaZF1rarykvKxL/GoE6TW033WRm5Xvi8E1c/VvWzM/oP25ESJ3xJLE7bWa/TQX
C5KstFsfS4B4X/e/9H9ktPMv0dH/bg71f2HE1OHp+3+fE/n9Z/cz/8z+BU6+/sifgyIb0DhAcaKi
ts60aAWN/zkoUsme8sKDOW+T7JHXXo4/A6akSBViBI7O096RZY0b/GtQZFHVYYPfsKFFg6r7r0yK
VEten6S/TYoUEwY6v4d1H2Vh0fhb2DkdcwIVS5ESB5niXbEelmpOTVo03iTnV74eptaRVZCvB6yc
kxZ8iD3YkZdxPYKJ2rgkYX9lPHGJvxWSAz/XWa7k+SbOb2sKA7X4C+nrCWM7c1pOegPxKfutUMAg
ClIcedq9JkVxSdKCEDpeK5ilXeT2yoRJfGCrCFB8Z03aoVyPmDrHlIWsaPqacf7McuU8q8KLen3V
tWO3nKATDJm2jeohYURcobevB9qJg21YBhlOyg0FVRG4UEGlC1zyrCifCXU/LMoTWRrMH33L2Fqh
cUR0y48CuZSxsm4W38vR/IYcB5TK79R1MMOlErvADcEv3pSMQ9gEZW9y2B5rc9xFAmgvmGMDGkD5
BThxwxgcaC3OfpsTv1Hl5WYBPbTRa9RVq0b80hAaQw2hIKRnydakYz31P3uz34tVVJhRF2pb/8He
gxGciQDcoEDAemEPVX+grr2JJGLEsEoVM4maVgMQioYBQVIcFGSNZdU3olXoQPAIYy5Z3Sg/6xc4
imznU6yOHEJ/EA0FN0+v6Kqd2IgoBWKKnZnTsW9ececFuZwqJ5AjTJ+TLIHAGXZuOMQ0sy4aVzIj
67ZUWUWtbv1SSNhmlJya/ZT6rYQwr6y2xspMOYHUaNO2/FH21bAxV1WoX/UhONa1m7RF5HUVG13F
YXoj2Q56djEsm+pkUsS7rZLpKI3RTsAP5uDKBglNSlrVqWjVqcpVscqRriYqa9wWMat7JiCMsojE
la1aV4ToNSF+oT+7yaqGDasuBoqhAdw2QipLkM3MJlJ9UU+VNyKpxUhrAG6Y4JJH/qHbW4ei0mmE
FoMYt6yqnIw8J5DpxlWvG2uvXeRlu1jJNyVDrjKHkWQQ/ET4nm6D6Jeu6p+DDIh/AUlxVQYTJMIJ
qVCLHhbJVZAPq7m9NhBCWx1IFhvPegQupi35ZlWDxymPLqHcGe7i1a+GkLH/SDq7w1CNERjRLhsd
wwUDz3JVNWPN+ZE3nd9yvBF9sscapRw0QdMdmJRdrSTEsRJGBSI9N4imNeLpk4GM2q96aoewapsa
AFGkVrFqrjria48Ia6PxqWRmmu4jzOPzoDcrT2rkhJwHacERHJT2Fe9Xjpux2ycI02ZbGV6aoHAp
WooZJ4xoPExucUfdJjeVA2iNY1LjzYeIlsilmfksRbXiq3NXY0lZ3piAuhFPXteJSTypXWCGHBxK
ubrRPsNhvbFBqTRtwsGcEPRAPfh2jI0jWIt5awojPJrqkDFhAU2SYCT04hHXx8TAhScdrytbZbeh
FtYULCmRVE72G8uexOmcdsOnspRPbTbtLRk52sq/Z9Xim8ZQBaoVH+xJ+zHAF+ep3jFLjPqtrYXF
kSH4Dtj95zITjKBKBW8ImS8q4KDUqWBk/VCpGDkIggfdXF9pX4DLAfkJwypRicbqwfQOPnm7Kyfe
V2EyGFN5sQHGJkrh4Jn1yPPs6nb0wjm6GWuvldZL+0Zo+gFMR8yBjbpI3Ken0gH1IiJ8XJo+7+P7
8SDr8C056U9I099Zh8hbhWT6i46V3k6V3m3mSOMV2t8Sg8bjiUonYDxwnfSFyaSDkLsIFjlI4EAw
5APFjJu+tJdzqEXnjlK/sxEpwyWK2dWa+vhYxUST5qJmMIS1IkhnaJMzYNN8myL2sJz3AA0/hiZX
tlUYSg8Iw5oPALvwFDt86hNnOWcU70DoNm/QWYzXOF1YdKXqZ0f3JiYDnhUEjpkO178aQ6THxsHi
N1gBxUrJuyid+VimTKhTiNaTCrwmTA0ek1jg8jW147hO2uqmoYoZL5y06D8LS7lMZmFe5XSsiRuA
djGMjP5zpVY3kyanQOIycnO9cE1qSHZSb1AmN6lbBLPeWyqzOXE/ExRoG7foV9xBPkfbATrmLdRk
eAPMqozEaIJBbmaP/TId8Ro10gy/nLd2yp7beHJ+YmBwHbX8RutfdQMbq7oCvPtJag3rHMc6i4Gk
vgoDvz4H2VOzpNkBV+VzXP2KbMaZpQQmdwLYNcl958qJymDa5mkaFTuO8DuMZF4fz4/LUGE9N1la
4yxFAh99M68PUw6vb8r03UjJVy2fCzPdawIKv6oCjx7zuoDnpHHtwuzWcB/VwIIIYRhXSuueQkih
RqPmsCO1136GpXcVSYFXK3+U5uHWDiqT2ARwbqSFDcsaibVUVIcqNZ6UdVA0EQX3KhBaW61QtSP+
4zAAUTid6oIHQojITSCrvqasmzswNm+1GSWuApr/G8PxslPKb6UAydPKdAfB5etddYUjqfZcBFOt
9bRHkNBZNOdGD+hTx8DxsmTjp2a32i51RAwNy5mDGVPBNtNseZPX9vyU2eGrUmCr53V+NsjGBRng
MFd3BDatxm8jLuv47sRhksbYi5bwEsOlq+aBvFfXnGeL06MzAzqtCqiirePMPtcsy02klf3Y2ES1
YoI0PRV2dSR8KuI46Jb566QlWMAjniGSOX00A4Opol9YF6srZrzwojqjEiBRfEbQUY82efaNrcQy
kS1WljpMnzVnnX+0Q3vJOtwOTdMM+y7UcImp4KqtUlqOEEnx31XTAxsx/giYd6Y1X2An/FpM5c1q
FoowbPyFgz2cNQITzTxbkC/V+L2Bi7wdFBK90HIrzxERqZROJi8LWPITCy77yIEApKjT8KRwVWGd
N24UBndnhBDjoY9fu3YeGV1SKg0hFYphywUna8L4yAv0mddOuw/JSAf4276xa9RPZehogb0oP7Dz
7cM0tQ9dsp0tpfLr5GgMXGC5r7faWs8yMv/1rTm6FDrpvSoip46LKQWrCBrOo1cbQdRJHnAkjRgC
cBjUebzLsK5aMcGMOe98HcW5i82jkyp+5UQ8TwBsRxNz3OqFgtprpakHUH0FxHZrVzg4r8J39iTt
tirYU0383uNknKta2s5m/UWH5M4yBQhKBjM9vH2YFwLnOfzIvravk6le48jGAqN/5QqvGiBb2k6G
FKcOKCxqBcO2xGrMjiQHRd889aJ9piKA5hcmGYMS5PNC6GC+cLhwzcrhBWzB2lWS1eeLNL+U5UdW
MH5S10Fu0snPcU/jCBMMZmV14/dD95jWc39SR6OnzlW8Lg0NEKbITxP0Zz+Onu0wHY/3Nw7DRYoJ
ux509Zyk7m+fvL8blaBbGDzw/b+9+8dPNQu/o6qp/r995e/fX4qY/0WlA+mw2D/uX/3jU8ww/uWG
f/vs/buaObH2CotuiZx0qNc3iRNR0PHP95Zi+f1zf/uWOMrhrNx/5K+fu3/P/RYWVWZX9refuX/j
/Wb/v748AuHz0haAGJvz/DC0cXFIAYLN22599/7xX1+5f45pj7SEYt/Qe8U0UqqLw1/fcX/v/jms
Cw566tYxuOZhB2AM4BjJ9/st3t+UKgWsXI/4b8x85HtYkkuXLQ6BMl1QPyzb6o+6wRGc2lpx6IaQ
YIvRh+ABVcCCYbUf5uUfvyKmwH+8JzAXDfWAnYECgU05Kjlc8Ck/3N+T1p4adB/4kuWKKZQ0xobr
G4olYm8cmrf7fwXMGZozkihgOf5TCaDe4f4FKQsZkUvUU8hTUx0ijGS8EKyKFJ1BRvgQ1pC/7+/d
v05ai6/fP3n/2ML7F/Q2l931m3+7ifvHv93OX18v22Xat0kmdrU5cHWiQRq+T1QDKhwPKp2X/gyS
CIzyegd0thIt26yyaOerMdKM60PahBJfL9a7+f7x/b1GCgfXWTL08/V77m/0ulvnoBFu7vvDoZe2
AkKQ8GM+q0PALOR+H9zfxOsj8teH97sJpLeaMe/qmxRfzHrH3d/cv/bXh/cf0uPqH19FaOPKcP/4
/pX7NyYKg0ehXITJSDuMYA1Ik7mFeec5zToetJmNLVQzjNqT01EdkebnsRZXXflkQhYUy3CqTR6i
Qtmrlu2H7Rxwlgwoqd+VqeRZjkab92WZizMXcGLVA0uAcoNoGzQAn2RDPRbxK3AIN5Ud35LKQwVY
vNLLz+RRltRjE88BXlrftMUuarqgMxqv00sfAddv5NEDl1mnHnwPL62GHcvgtdFr11J/hcWvdom9
XF/9FqpLNg06z8icGetICLXW7HwsQl6dKp7Ffq7o8dc5V1Wb3bWHghBAQ8vlvOZKSbf6jHdFuIv6
EJOH9E4I7QOGzeMwvQsZYx9H3jQjo9FbXlG2PgKDW6xF63p+LJ3qGJhJd5yS9qHr2QhqjZ/KxFLz
hD+CE0zxNob6gRDdcdSMAJb+QTbVoNTtEwXWAfUWgUiU71M+P/dC/xjj6LQ0n1qPhhtGJ0VNkVQT
ZuULJ4LpOLQ6r29U0IrgaDHuCks/9XMXKLMaNCUI8WqCBJ4eRqJnWXYZBi4l0nZS4OGOuGxaUF2W
dROL/TLk5aONMbiKaixj1Jp38fDEPvicUv6w/gH69EpjeGlmwSI7p36y9mU+/kwz5cnUtJfGka9F
LD+opGialBNYitEzYvxZdMdC035MNOPIbXjM0p5/i2tl9+cq7rEXjVthKQ+wDeUy2k9d7ZPm3WWo
r5a2A/y6LXdabgeJypzpPGFMM7rsRLPJPpNUv7LqLVNWyNv4WLTuAMTkNSR1X+KeNGXcPErsq/YG
du6lNhMQlGqg57TVg/arnelRqNUlpa9GsbPDIhVnZ+J/15ej/WZ3qV+yCyhMi8b7t6iYGfKpO90W
jJ0Mr5Oto4ZfMzXbfVlW4JY444bzkRPPedZepCENYls9dqH8UKfLtU9oowlBn0JK6WKSyJ8RHpBk
NnaNbOza3hfO4poTDwxIL7aNjkO1kE5YzbBOhl2cGy07Fba6N/v4nNoGrpFn/GXUdiE2hxaQcuSG
Nn7vs+gNLjqRG0woc7bvdfWY6uoBusOptjXPtj4KCSitoQJV0WtK6s3l0IxoAdK2E7hajTaw9PBG
M+k+7V/16UudsWe23cmi9SOaVC+qWHza3g3nbaiJbV23D3IRsmbG38tYuwwFlzuYbZ14wXG7l0eb
lwFbzWk+Gqu6N3SHUUOh0I/yaN0SSg9Sc9gvxMQndbgY3ALyAXkI8WFM2Y0T9UabxpNABWTzwgR2
eZRa+5Dq1GPnNvmR8HGoZY+ixaBq9gNavToZO0OpL3bTvcqVfZRr67ZU+iGh/a/CZdpZzaOERbUP
e6o1MMLWQYWqYsJ6oGjPZ4XiUAqjd04vKcW2VvRr6cBH1yWtG+2BaTl3LVX1qEhL+Bj1wwc276Nq
Za5SS27VqdyC/Brr6kemTiQs5fO40MiG57GhHiyTxUsdzY9lYrw5efGRZB0HfhF05fxGw4+/ElMG
nBhVV5Lgn44po7JMRqGbkBwxb9jdVaKpC0DIxhLMWodXO+9eODcESiX8NLYPhXKit3If2TSe48Ed
rPAmOmPfooXozYlAbsBc3isyjXnQcnAqVvdEf06l7kGF6p8sp0lwF8vFS8XhIEWBcYzlQeIuLlWe
SZJChXHiCyUMigpaIa+3TIuCLHfOJL0e+7jYpXikSe0Cu00vVEBezcG6sX19EIr9OgjxrBMJtMIi
KGH4w6IJhCTOAxlNIyWzXOdnQPe+Tk/h0iN6dNI+xZNC0MujW4gSHoy1s9iaN0uOiLBGhxIKOLlH
hFFlHxXhjbLNi1mowZLFbh+1fi4QJI0gYssvA9Gtl+mS8DyLFfvSi/gMFZxBKT0lTk+7W3wex+Q4
6+YVSO+LFhFcIh3oWeqxXIO0auVGN61+jcfabU0OerhrZRnzqxoGQmSBvJRBoQE7nz6kZgjG/LEW
y6FSbV8MC9cn2bs/xbX0dY6ja1ZhCsiw9GO0s5q9WvasMu3OHMgsKJ23yPNZ4VkghnkvJ4trtB+U
QT/TsrObjWmPkA63pLiV8bDXMCGNBk4Kqd13T0lmBLguiHqwbpYSkYpiJ3Zl3h3H9invxyOt3bc6
0s+mCc/A6YIUolMl5G1ntAcl41wOaSorQi9N4wMuhF3SiXdIbz/0MH03qTkQbbGXJ7x4FrZVpWLp
zm9LXL6Qkz2ltu7Jdn0uMt9Rj3XyLBs+yeSNMz7aX1bzMqbXWjCVhKa7M6rTEgIa677VFAUCES94
GV10mQZ1Tb0Wzs0AwNEqyhXX/Q0G8GPdZs/xFO4h8nAkUV0lucDvdbQqCPWIbfyquA7RS2WXb2Ul
tkoebUUEyTleDoYtHdU5OdusJ/OMSxhZ+KyXxrake9SSc3+Uoi2QOIKerAhi8SKj5JkMoitWd/zG
ll59s5fiGtaxp2QA2lMkRMlTzWkv2E0I3+jKU2wYu44wtbmrwzOU9o1u9rCULC5LbDH14WBq8dXQ
b406ktIkQF+muyzVfZ0W6lHNdkDk3amd9pzHAlNmsgDmUke5jFj1u/xEniJLDX9OD/Fk7suhumlw
8MM8e9Bt4Dv2z8S56p1xlVr5oMupZ1MTVVekkaedyN5n2iHlCNtQ3vh2NLorJhNhes4hYJvLdjQP
k6ANQKj7op/PVaPjg6o+WlF/cmrO9MOksO0iTGH79Vr9U69r+LybuaIJp6P6NjxERXGcay7xtfTJ
aXIXW49p1no1/T59VaCDT142BcBmSIXq6OnIlYDQyjTya+JHMJa9Qmf7Fe77iMWuL+EwVIGz0LhV
fNkglSCZ73LUcxPbtqalZ1k0voqV3rEFPYbLg+ppONor49Fs5aPFjKY0xL4o+EUFB+ew9MLcF1b7
gFP6OGFilebpOxbQmymV+0V5TdLmMEeUg/fzc2wuJ9NGmEXHNBNzqyUyjS7podEdhABjj1tzpy0W
w+FlhwKGzHwRi37Su7eiq07UyrIepZwlxl2Wa1sIEeRuFF9I054yQxZ21pTm0SrWXilUbJptQqKa
C5OcqbuOi+IpeknOcw6YYuAZE34sUl8F1q5LLN/p05QrfggmSw6Lc1az+aZbFcHppdcb3xCFDz/n
mpW8+qOXpeyuk169T7D1bUEcy4w8pnuubUFX77+16uAOlNp2HHhqrovNCMFrPhjU5AHY2EkyO2VW
DkVRIEArL02CLZ0osbVU/MciKN8Vtd/rIgxU3fJN7RdqnqvJkOqS6Kgl8y3qKm8JpxM3yCglPMgh
LxUQU0XK5XP025yRYENxA5OGofWiEqqyVbqjM7pUiGLMxF0SUSecpTueZe5iVGhqC+Rxx53tyqv7
hwwtP6fhs8CGZWjTUbapBLKB2KaGa3QSFpnYTSsZLBSlC32+A53CFK5+KbkYTcsubgdfwkRpdoU/
FctOSya3slKeSeaJIrej2jGuKvxhzLYp8NlBxjC/WOxeo6eJBr9m5BrVko8bEz8uqw1k1AfpJUs4
o9iYpnNqT9Te7w0mUBp7/HbP8o3YKzBca3jQD10pbXBZ+4smg29RmPvUbs8fXqwxESpUVVps1Wqn
kdGz7KPRxnhh5R01FzthOD6zsIEwMOvxAaUStjgzlLTawTnfRxnW17HchzhRlmnrOMLTMtgKmnKK
KbBZ/2wsiAweyn0md4f8ZzzmHh03AjwLkzC/pWhLqn3daoJIGp4iJXovofaJSr7WNtsGNrdlxSrO
qbGi4LhevY0De/V28iYoZWQF+DsoC5ifJ8vyapVZEEbOoWWOllApk3PAafgjiKBQceL2AHDoUPNp
nZ0xWOvsF4GqnIW+XAmJ+0Pa+FpmncTc+pmBtXv6EvRGpr1zkJvmrcof+vV4JOO7ZwPfd+jaTr9W
Y1xhxlGQ16BT6tdST65hbD6YEdSAek1x8AJKknM5AMuZKjdvI5b29qhr2jcJG5y5qdHPG0XzhbGw
86Vg1dF8Js5UJoOnG9hERaafjusyZroo/EFiy2ecN2gamWtK7JI61nZWwCIx3USLd/MceexRTo1+
VJoSRG58NiomvsqAHVJhLGDuqPvwW6f1OQJFsRoMEFsqvQuqNj0oc+NPjuouc+XGYeiHWeiDVOTg
Yt7QAgKddo8BD3rB0qxF87Ne6x7gURzqmddjBSpaZ5OP3wShpVT1+9Tc9GvNBzQmmPVQ98496Jsk
+2ar2n7kgrX0Olm7eRsXNZAlVBlVC3Sid3EBgLJCQW2m3frg4U7FZjZujWH0qgpbIrdsrfIOpOl4
QKOVHsJKBZ/ncEHtKHCiJlsqfIWdPvVzwr+LPwSuEthWjBDLTkOAYiBVHjAiJvLu/u79TbR+sjAp
Q7GJ7W+mMqWUYslzvv/+JawI6/hBSMvOzEH7xLG8srVKYPxFCA1pHi3/Ln/8TQ3563P/kYoSD9Fn
2/OLSLbKzpthvSumVmYol35rVDXdGyPq0D8FtBpdfkuAYeYOQUpSZsJacjb5bat7g9Rb/h8Km97S
G/2H+kWmC6p0aXNs+lPzuUs6g8Hh3bSKxpVLWLRGNTFWMi7dnPO6bsiYVl0+voeWrGwyi8LNcUjM
F7pyiKLVw3sEtAByQTa4BETzR83oXvNSkCCf2RJpldwC5ziybROnZbTsTU9t97H8P9Sdx3LsSpZl
vwhpEA41jUDoCDKoxQRGdaGlQzm+vhfYXdYvX1VlWnePekLjlSQjHO7Hz9l77TBGBO4M7WtSaCzM
qHSPv7+MGR5lmE6em34qLjLGnEbfCjRUivHfbvL88PvXukjsnCncCfJbcMr2PQbWWy7Wxu08dm++
4MJG2lJG3JKX7gpqqO3EFOrVnZ2dar1DzG3w1iWI+kmzosCt7XkPj6ra5AYaLznMCOe4W7SWZt1n
MqdecZKgi0Y8zh4eE8cIk3OdDgeU2OODXpY5UWr1Z1KOzG9mn4eiGAmkKcTEEXdjA6ja0m3MdgZd
ijwBEtvwE94ZTfFA4AjoJ1oEpmNss2nSHi3V/ZijkpfYwK8JSGOHMDx8y13MuADlnsfcI4k7N+bT
VAyYYcFCRSHX1c6ogw6DWy+WADWsrAQeF2x8Ng3OGI+SkX1l6nnA/xr5zKrOxiJJOVY6jKqzIrFL
7obkMJQ7OgUl952lU4r6GaQ6w9Nbz0OLsOkI4Jo0Yr7OdoncnDtOlYCfpPlRoyqoNI4ewYbhmzts
ZERfmA+Eam6h4h99vWN+yc892AfA0leyzhZLxkG1lwFFBuLp09yEhOshy0nnjeixvhTVtkN9UNpM
/Vz8SWxXddMc8/QuDysGxylWuPHQ52WQD6wFX9tWg1w7eX8wQDyYZJN7Mt7opKLVJlYtuVE95Yqx
97Ek9WWJJB7JyRxvMxeLnYz3Gp2bxPU2s95uB2YqNGtpBap9Mcid++NwG2e2gnD8OeT5tjt59YhU
KWd4+UWLLzEPwJBtHbI0yjYKUug3COjg4cYggiRmpXfR4Zls8K0L2e4zlHyyZBJMqDumORC3702B
jBvBwrtlXWly2G9F+IaE1cGT2CVHqD8QSJzGwoh4igy6gEkRjBiitPrJME+1dSGsirf2qKnNxDw2
YXeKt6KgybatPBj1j3iI0/ixda58L7wMMnua/FezfeRAxM8bjzTRNNh0/UNXsrMbr2myKFgwdYKI
yR132wE/IfqMCSvcOLwX4oPPjCdqadJ4c+0G149pH12EXm30YvNcHZMKyNSMTU/3zqWpAqsC+tc7
OCSDmhRXIsep1MUKktJhqsXn5Kkjfes/XKiw2HvGGcnpU34zWt7ZFiSx1rcjkXvS6F6pkeiv0GJs
UDeirpDhU2fA7KJ/Dz7Fba8KWRD40pUo3usMOO/eJulLVK+/Bk/K/DiDDJlYi6WMW6BY/PMW6mBj
36XjfmZ6hdKsdfkqFa1aLRegT/u7zJiZsFokQ79GZsmTrV2F+65Tq1TDKZOSm8FInlS27rmFEuEL
1dd99JSJRL89efMEJ6UBVZbs5tjd48fDgKD6TUVX1hOHium7rrAs2tbFd6pHUVlcuPONrTe7fNbv
InPc6/JUCX8HsOwws/zxuBGR4r+krUHTdTph+r3EldovWepd4ETAtKdh5Y7VyuFmXAdsM5nYk3lX
YjuO9wkaGWboxcztOsEv+TD0n7W5m81d1z4PbKbR3fJoG1DIrBKrwYj35k+sPyIGjwx/Vd+42k0o
JvJBb3KiXRD0fznZenyopzVoFFHvbePQWSeCLSvwKvlT4r156duQ/aQ8H1I3N3VZ7Czbvi09nhm1
uB+jPdbaxTmSYf+E9mwMj4oaPe3ydd4/WcN4TCQPrh5uEXJth85kSiJWcXTbTvOlN71zjsGGCmPQ
wi0hwLul1aAJ+7UotU1GPmWZoa2t+439ZjcrA5shIXRUzGssy2RId5dw9A66W936SfOBHVR/Mtz2
HTUm81F5U7vzjYXxtRI6CJdVyWkx9O1Di3nTGrUd1w+MWmVAQOTWiEYkMzarOb3p0TIM6BGY+wd1
YuxdkjR77z5PL33BRi6Hq2ASP7hPtSKfauFAOaTqsTl+h6r170mHAA7jDhNbmK1/uLRgJXF/QuvJ
y9bMETNdYZ+LntZy4ZBZj2Uh//Jd6HNJ8unXJEyny18YDaqnqRInrcCmxTZMszW/+LNjfhkapQsx
Ugaj4jY6gcB2EC248auX+aRt8DecBjlO64v6ocJLhDdZj9dg3d1T0SPGcs2oPuaD6246pnRc0UOM
iTJ0HxvP1G8sXz04Y3KTQ0y+91tZ7RrLAcA41qCiu/BAnhaACSfNL5Gus+8MVvOW5T25wGVlnGdp
Rk/uTBa6cmuC3ZoHz3F6Ygi9rzLJo/uos7U7GrdwN8pDpWJioUotf2jTMn9I5Emf4ub+93dsHZjm
ZHiA6Zc/ywfHO9d5dNU5UTCCNkflDv6FaHCuBctnXNSA6DhY15RmfzCB+uwpy7ttDoV82fWXjzqS
pZNUhLMBknr0NERgqxDSxNFbPvx+FmnZjWU3/r7XyhGAvT38AcTBdDIlDtoxYrkWOMzXlVX91CVN
OKVryE0t81wvH34/UxjcVnmUV1vyN4F4zzaiwK7V2OZwDIJMvbAu6CyIARLvSAR3M3cEnXpwnpEF
FBOTAYYFclL3bk8Ebcbgf/3rQCzDaOCg0XaUdu3j729RAB6GdGpvUwITcSQ9ThZB20Qsq8PvL00N
Qn8xYcr//WWddP8z8+L/SCH+/yr+/icl+f9HJCHDwwzy30vEb5Lso/2I+n+SiP/+m//QiJv/cC04
QRThvi5M30Ht/b804h6cISA8gpwh/TfYA5PGf2jE7X/opu2jKDctz/RgDv1vjbj+D1d3bev/UiP+
n6wvxM4s8nQM+ZDomPP9s1HEzZG2Ck5sMAAOZXsbUNVvkHevG/qh6MZOYYGXMgniAmNb1lwNYzqP
HjQA3fNQG45vULAOw2wz8zdPqPdulOVjFu2Lx5Am619e2v/Cp8NL9Vc1u23bcJlsgSmDWCaen7/l
JVWOVdsIcJHhutWhKbolMG9nlddGRLcjiW9ivuJK3f/rL2osVpm/aOj5qrx3hilMB8E+SXZ/19Bj
VlFITNutiRCTiLUg13r2hnPE1TbPnKPsUIDKd3SzQZ0dzf6S5daDd3CsbO3PCeEsDkgHpyz/zYth
/D2I5vf7YkExGMYj7fxd248P2W4VUqst956tYohQRNpNiRpKNptpgIPAYAAQJBgdcfnXL8nvovj7
S2J6ruMQW0Iiwt+9MTazRBJJVbuVOfbLujsw+F85Q3LbezqsxTAWsDlJMqrDjUM0CLpj1L2JSHc2
smZGAfEPw1ib5uLC15R3HsLYdBzvjUkxbJ7fqp/Z7p8GR16gSa+tKLkWMmdrtcxHCyF0qzz0nZg8
QaX5Ep2cbqD6ZQWn6VonuslO+p3uPyVEUmdeTKxHiOe5DobZffKUvevQbnhLZrjT3CJ0PVm6u2DX
lnZXICv7iX9+X3skWzQn2UJbsStgVrI+0Bqm8vTGPbUE2m9QeqU+EqrXUpP193xzz4Jz1zFD+MQK
dZ6jviJJUvtQN9veV6AyBnzlNRfIVff+r98QfGp/X6QOjhL8JKxS12VJLI/OX/xeqambRu5H8Hqc
e5URWQJ/6r4dTmCNmX5rbeCGAUlB0KdZIYy65FMcr9Wzwyzf3zDDEzo500wVIc8YczBnj0sjhlHq
R+uv1EtC+V7hCCVGg4HPBhPWEsheBWYf+OLWP2bLAPCuQJ0w73JSZUSKURD8S9Q0INsBAEM+Ll4X
on8SrfRxQwago2BgbxjDa0kEmeEhSy45ASn2rV58MVvu0OPVy1ekH91pa2lu8/KA/CVut7QChHsI
qYK6rSrPZrpROumicJTJClh3xc4BSDAGU7qPKxQFJMUecE3CrmzBkMWHvroty4DixWcq0m58uQ1p
c9aBAOCqrxywKkQLJAw1d2Z71GtkoerUchnzt1VzrLntAwLxEna4jZvsJ36emvpYkC681kJmPYw2
7qZxbUoc7LsmuWXRJTVBZZvJv2/nVygzU/wQJYeZVwm/SgJ7pIMDM9fnCTS7hqdl4JKK3twY73R/
mw03CpTAsLUE5te1/I7rde/+u63E+E+nwLJ8fBx76LI5ovTlz/+yfKYIq3qVe0SI2YRtvrjjg9+Q
AjNDJ8pXiaWtHEBnmUeKmrpAgIGGQ86NOV/w496jmr6dzWw3MP12wC7OE1NWgYG4e3JQ1WrTQ6kN
wdSYW/rC3rIjymFtjC9EiOF1+aHqXZuWvvf7a1NEkM0qlGNwSaW1r6AbaYCgMIJuLNbrlP/oSFxU
l8J4/HEbsuw9vC/ALUNoE8yMFP6mgUidrAvoumrZZjDptjzazM1UwCRHw9JeRndp9zlXO12/Mcu7
qXjQXGINaJ7vqb2hxzFl71uobAFkxi5CwJnfIhJcuVNAb0wIA6khJnxivEdrDiz/avk3xMZ7wKXs
fZHfzc2T3j0I9SJgPaKataG3u/aLlXx1Db1on7Aml/5POeN5otVOGzFhOq1JtKavU9Gv6jD6N2+v
tUSS/dN27eAA87CHoXB1KRz+dsYnQIFi2y2KbaPNH1Mh241bm+4mIeFhFZY4hmDp5UeRaKy/Qr9F
zd4TIM4i1hmaG0qdzbi607vp4vf+JxiwhoDQ8U9om/3esfqjLcOvfAjPgGpbvBkFGij3a0wGb9HY
prsullCnaB2PA9FEqYp2fWl8ahCDMebE/8a2SZH09/OamsrC2M65/RvUZv5tLadszSJJEBt6XQ5q
XsKj6TVoE62G80wKMgei/hvX+AI+15lkTRWbVdhvJ5c5gefUx2FKC0S0bP21jZE3AxrUiE8tNi66
xOgTup/TSHPFJf9iRU5ED0SvW3Vadogj96oJWjYUSUDUtYOfIpLzrXmHM8LAxe5vZOZtlflWRkzL
bKfqGOUgSioLnihcNHkqVm5e7JvU2NgNwoybHJHTqhzoZcGn3Q9+tQez9DhLcl89u9nAAEcvZKU0
FwVYBp4ohlRMXcDfkajOnq3j4VrwuucYOgOzyBYrHigAd3jUi2yTmlm4qjP4bzFwMwIB0dmX1hK2
hJSpAo50kA0dghYp1aBBX2BpanYbBgZi85sWhwcImM/KJEJRk7UXFHkNGNfIYpqv452p6ebRqwux
BpmVn34xXl5i2I+KET7vgUbirgmHA3+eqXvpvQ28lCyV+Oz5sHpEYl7D3Davtuk9OZGT7Rs/rpEl
DOQZF3j0e0GnsEtzYHJay3EtPIA2ms3Lao+HTtecI5vQlsu3d5dqRX8de/XcG9a5nMcWcSDAEYx2
DKoA3i/qktvIauI1MlZ557byxSqw3E9Wf9ONVr2tm6q7d+emIweo83dNEzP/T7Pb2NSfIsZqnwym
7DPv0Cpyox5H/r4yrBZvHzbvmBtb8PvZ1JtQgJIxPmuppC7pkp9ySvuthovhE16QOuQQzWEQ2MnW
zAxxTgGvsI6ArKU9pOQ6IW43coq1a47NGYfXM5m84RbCAgdGFX8oTyE8g0G2zftYMS9wtC2dmGbt
+XD0/AJ5nusdRTum6A/bYle2/nfYDNjR26rasvnLOvV3Br4vTHxHUeDPL2KJwVA+UMTt2sxsecYt
k2FafIRvQf9U5Zy+9uecC0JGi3RvdfGT0JUKYrQXq1KV9/ZAtIhb4ZHM3NbfWaNFF9GODkQ0TWum
yh0+o+oOKz3tnNznWh4BgNS7TQQwDfkpxDzOQ3+nJeW8XUrJIcaRklN4lOFUM4i7E5NYGbTWVkBY
XgABHUrdzgPu789jBA3M06wSgLSzQVN8YiZ7HnPOzxCGYJqFHZlfhBmESCYqt16XkcTcOQPh6yvk
JFr643r9iDQmbYJytBh6/TR90axSC7ermbX7xCA62syNP0ofjF069Aw2l7IiZ7AsK8sA3ji2NFzt
9phP5hXtbsIZBVvAMK2Caa7Fs+EJNps6i24nl4lOjCQkCE2bSl4vPlvep5Mf06TMs4EQgVArHqqK
Hn7f3fgD20/WYgvVRGGvaXF/TyLNDsUEOYxt4VgN+on5mAFiytewC7jEiWvPBeiglYU2MbB7sR7S
hQwdDtUuDIf7ulXEIgPodyl7nGqrrIQ50zzvwsJX26jnyGCCso+txfsZym6bMOVfYd+jJm+zCQmi
2LQ9QepVgRC2iJoXz8Yp41nixH5tbAzP46GSRVAS62r51mNKS7YOm5eBsGXqKIZgPyJjoG0yWmkL
SSNuFCfsY7RIChTxwE+c1nqGeWVTTE/LLEeqrZ31KekT9xnk791cKosnCyJHNzNzc/kITDxb0hXY
JEcJUouGzW2Z1nVgMBmZu/rYlEO5NcMcj06frGoEJCSgjENAo1krMFvFqc7bZKTw8JiCCe4UQdrQ
FMh1+pqNwpRo8lVG1nNj4RgUsqpWMXNpFOIdcpu+S1a2PM0hmexmo4ZAhx4BzhSTTtxCyQa7+e2l
HLBR9+hjO1oZbod6vqMaTZ32UEGyFL72hsMoC6aSEr0dJVVyzFZSH1KopPwP8Ev6Fqvr6MONSbSn
Mn6ayLQEDUbeuOuOL2zbRKfEjBIT+MUgYpytOXToS9BMMeBodllBkhC2xl009U+UJEuqBdo0TSTE
+HToRRx85AikyHqpSFsYBC3tsUQASxc6QvwI+V3C3lHmne+lgTZXAjkWW3LhNwfZIhtqyeQMHGE+
TP34mitl711f29SjDA8aEBSdZ4HdvzxIq85WaSkl1CPjMRxMwpiGmLX5bStw6BImk+6E4Ya7UEG/
s31Ts89IqBE37nSvxfHXrJcM7CkdY4f4sEHjCjkC0gx4yfZt57jgD/Oe4bXLzTEBnhNl7hAUFXMm
WaBzNsNTTr2tt3pEpU2EfA3aC3Vae/DH0FymWiDV6nI9zSsoOaaBTgSOLBQXr4Gg2waalsh1zvO6
rovM3vTmE1L/7jAUot1aXg1kn8Q0pdFkjYfBuUDaDKVuXUQUWuspNezAnWS/GiOr3zmcv1w8RRo5
AFSrmUk+uM5Y8/SdJ8L3dqDFEOqjv7cSxjLxj27k2gNGM24vvKw0+LVjxn3xNqf9jInfd04qT06p
Bxtaa6bDlCNRCdvZOBbpbCytXYxwgxGfOu8b8vjCKZrDU/ftUIOcNavqz7+fUWenc6xdpY0xPNY7
l10f1rqvX0KnTo92HaIO0evNoBxyon3tnsSN9lRW+mOcmfohr4gv+P2QUa7eRKCRUClIgFA50272
iWWpdMWlWz78fvb7oUlRkkDk2FnzcyMkAouyUn+AMBk6HDvd2XRtbp7GNpoDv/GgMmWo8jq9pCFc
uXu9DsEZqDQ5lyDC/EkQBCnNQJQKKUHlMlasEWe6DoyAWJXFEYYR2+0wh8c5bEjjbAqGOkJsnCSr
kMa5PuGmuMoKoLgjKWROeYmXD7kud2YWVee4aImTaaJh54wNVmSnPlX6wI3Ur7x1FKXtLT8oZklY
fkPU+QQKwiTFCM68W5EvOBSMU0XfbqBE+Q8l2XkXt45PKdCxSa+yj95f3GUydlcTjal9OhpJ0PJ4
4iwk5y6TxGr5zfDmRfWdYdUbbypN5ouldxr9HFvXQuDVm/Fdj4aWMFm4R0Y9GpchybobdiMwnnBq
MqWndxU1z2PN2uUnKMcjXofPnNcApxuQrWkJIgCkC307jY5FqSZ6Yvb3JONx7+Nov3WL3mNIw0jQ
lMzV9MxtThmKcYC4GdVSzvlt5/4ZMQA7rQbNdXLLNLDncsQ6op250c1ntxZhEOdYm7J2vimUaI9R
bE6nqcuAkhvtXWb7Z/LTKb9G7bPQi3nfq8i7FLV0L5mrl/uUZLpevREFhdoxq1gkdY3pUCLD1FL7
vjRAZqXLESkRH2S2aB/7TrHG0YAmdtMHhaqHB+SOjxJ1opPnzcbt6Jj0YSS2KUdBgtE2mRP/prTa
e9XM0aGkJUbZD/IslRK6nUieLXecAHb6WeAPdMdUUqynnlvvxNTMDaMZ4bP+bOiWsxfQQTNElHOb
7DV1CxORuFXD2HWsd0wVDLllBcLQfYp85TPX0j9kQl2sq5d5KttNT46xPl79zvKx46ibsTKijRWe
RpEwxUf/H+fFoTUtpJZhy+V83BojTkxvxMxJ+ck4EYUFD/vaieKLjHRJH3G5JcG1m1OF4LHDPBY6
xU/mJdWm3ETNTI7uNWYOFbQp41K38khOncdznMotc8Kzapo3EzUtka52UBGrtOKS+jIPsqYdhURi
rnCAhG+eP5AmB8q4zEsCLgugw5XCng17dyTJkVmlVm8I12K/FN2fadja0vBWYvCQqnmfVqveXPM1
Ulm1jjyYY6GZ3Pk6N05SjX+GUaxFQy4SvJKzOWBsVjmObfSV0uKvWMZ41ju5n1U8bOD3Hrt8eK2Z
0EpumGszG59rw2FAG3fXiNeqrQkubc3+kwK1HTgU9e6Nku/IQvHgfgxHxEGM7V/yEhCkx4tHes5X
2XfPkanOZYmprbQ+9TpdJ5O9InbVJamkuePdpOc1QTtNwJZzDnGp2BZVS8zjlEyo5PSHPh3vGFw+
zEbFoZ+FP0jqslU9cgRbqBqzYTj/fmlXYdd2QUVqNXBydD0AEpfvCKYHD2H5RqV8NtBBMi2t/8w/
sUVAjp6SLgYq8zhS5c+4W5xiZXQ6jWVWMHyPO6TLuAbzp2ieXlMlXpyIcSsQETqa7I0eIcWLyJFM
w96auG4UH9S/N8LwnsayuCH3e+2HIVIExuq1YhSOBHScKqwI86NlhK+Jl3+hK6HWAFFt2dpP2MH5
y+cIzOj8ZQoZMGP5bEfxMDGC7uGzrYq6fQblDRbawLlmxw9jXuFcG8ZPoZdnBMfDUYbFQaPwJ1Du
G1bGXWhY19xL9lbdVnj4Z6jF4ksYuUFqzJzvnVi+JImMV6OZloFbaj+2KXiQHVDRERadmIZfGX2S
N3I/gv3whf0JFPMobS7h0BnRgfCNPExZdofycuOZwAkcrbyrfDQb+HHUSk+5jZNOvp+b+TNnhrju
jQffrxCio5GgZIGMP2592ztJnMOxKA4A1W7n+T7XbDpcfL1aKWQ/lGpmu9czZXB7cr6qQruzq+dm
XGBqQ3mrKWaBWpSiMR7PXj2wAjvovk5yqzniakfxo92xZuYZqczsmseyn1YiwncjUbwU4qmXPIZ1
6cVY6+NTnoMO0pENlZzecQFdvUyHxzZO7gyGmBCyMbCQbWu0Pf/IzJ9rp96aDmWzyX8/cKdAwu+c
6k4ElgFuo88pb2LhPDe58yW8DgH4Eq3YZ7cJBNlgzhtoKxrRnDpW/c4JOmJgYIQjaMLqvwqjctgk
ih5rUrzSVS+hfHwaktLS89g2lGxWSm/UNnMYFHCeoppo+rVtK97HfuLHEP4qA9+3rq0R1yoKW2XZ
Oz+rHvI8eeRYq4Alkg8qzPvRaGiV6+55KOKXCKMN5fwfxFagUoeRnx+Y0TiOB4a7TxMjH7Ra6WLz
xSI2xkGusqtrkbjniHKrx86Nk5O2UMjsDGIVhGqbfri69kNEowTuSxMDyoezjhhLaEm2w3/IIiz7
TR9TbqYxFBszLrAXGKCSqwwRVAVfpgrAvSL2QU4BoRDThMaoO+rNm3FuGyYkMRSHTGEXqAAum/Rp
gN+g5PBIqY53mexcbJ7PRYmIPq/mz98XPbSaA/lwV89GMtln0UWidmSYgpuIPcImUGGbMIPfpo08
cYcSaMGnLFCRutHNWQfJaRHvrBpiBPJ0Z5rIQDKXYQn5BWs7sY+lHmXssoLZTdPeKjUQilX+KCk+
Cram0tPQiWhbJ6PZobmvzqjeXb//1vRuZ/n6eymSd3u4YdUjj9EfROWmBN29J6X+kJbDXVYmt8JV
Z2fwPuwS/rCRQXBmuGMMhEtlDSbBxYQ1O5TcFjbIDKuYZzVfvZWzb8VcP1J5zNzwpZz3rUR6IljQ
tGq5rBJOOsffncnF2sY3q/n1M96hn1QuGXjUjDKTZ1l3tA/D+I9HghaP6cpymo9h5meMx/LVJLxB
j9Mjtop3R2p/rK6+2qBXV+6QxAw55g7VkwUKvPkpDNKN4qM2++/S4+3flklLo4hHwqpJdIj86XOY
uhu7oEVhWhmOEVTVZIALwBzSvFgNPbNlABMVJu0/JFcwebdtW7w0mBkpxbp4Q1YFaS5cTaJafqcu
8Y9GcyTtEckuYvkkOoecNu6EaEoqONL071+0UTvXGrI0sEqo/Ji8uTgjdMgcs+58YJzmPUtm7k2A
qBp3U2flu8xpsJSmYMtLrM8RTymvO11OP5Jb223ek9aH7GjWt6LRT9OIX8Se61WU44ignbzBFKHC
ibwC8dwm/OAZDVgT4qSWUkiPWU1PBovvmDCp8VLrqkb9XhVcEEXy2I3heSrjaJPVDq1Gv7W4ehXu
msypQspdVRMGEwPYB/ZBNEkznCAILP29aTuQGcEG4O1D71MoQDWxhfFQtjO2y/nP6JW3uTO+1Vq9
L52ElC1FkpbjUtcsuZkhLe61woq0MhBuCdO9dLkNCath2uC59jVNFOIfuPhmdYhlrlZAGukIana+
rgd50VkOcQhKV03fDjdbTh6sew7TTFitQSOe82wybwVXnsAQzDNcvPS5owIjUU9mz4jCg/slwnDv
QDkOPNN4jDjy1xrME9mbzsZfgrrwmTPSbE+k2Me0veV+EG68bZLpp0zje6F3h2U/GbRFipeia3RK
zSR5ByhrXxLv1twgzZGmije98E/EDqCPq8LnMKK1qTMb99zxMQu56tpyHNeja71HrIA10b0jz7Tw
mStExzqph6stu47H/chDEK2HQUUrpxmfq16+EMOAAy7UosCcyp2GWYWtrcUeQwWyqTRkmu14O9T6
1ep0OEYI19bRS92WDBX1+KWyvYvH/ZsZxfBAEsfL8oaFA83CRdnpwyqCWJpOxpfrppuWXgX2uHvQ
bxibGpdWYp1tBVkAUQOqxTC8NcT4D3+s/yioKLtUZ468OFgLiwren1m0rMa3MPoSGRxH2WLY0kS3
NbtdN8kKG5gZrxnYMvLY0sMaA5FE90DFI3ZIVx6HiqpNGOGqw0Oxdmft5I7hqu+teDNX9MbIjD1M
LhGi4ZSsmtYqArsY+lXxPQ/iJfN3ReXRy9FpXE9mdNSy+BEZ+afe7JO0eHBQA7dO9u2GzdGO0nrN
wlz4AaTyJiB3EghGmS+r1ZgzoRLiR5NgNLyigZYk1ZM1pelqpLHuUgtojpfcIfD+hpJFnGztPzQh
xY1fq6e4RaVZHTzqkXZsaP+7JuWmz7KHlrck1AbtSAWQnCYZ/SnDcaMy+WHb0TklRXydlt+Fpa6m
i75wQBJa95KM26a/bVu3X2cOYeeufOzzHkJNGYgpfexr6zMeyIDi5UTp7NIHU845760nUkOYtLnx
bvRaSjnt6hYWEDSSmDT5pqQbWChdsPVxaoFlo4JnHjza5iEfB1ramvWpFR3mb0xyuv+hcQEJRoPQ
LJ2axB+OhmP8SbmMHQrr7AC/DwmXnqbSIZAtMNaZmklwnmtj5ZpvYdJal9+clzw55ILIc0Rdd3oL
DNCuOBjGYbLXpdPdk4x0zgxQp5bzPRhEwurGu73EUbVa/Rj7DJvzIvY2iYY/RJ+gzRe68xlN7RnT
z4fdpuOuC2m864n1SjHxlPoGabgUCevIRDce00SvEIDOJF0xQu0jNBnevJOqveJweyjmml6Sk0zr
LCsIaWp3XZf+6du6ZLhJrK6fOAfZ6Ref4QmRVP6wsSIefUUnXzOhXGsjh9808EpEMluFQVt0mx5A
E3uE+B5EhFlzI+yW1D+tBENMVQgRD4BQHdUrC7ZEYGFKV1jo5zKMEaaaQTLM4xET3oJTdGkus4hX
RJatkEXCH7P0kRHp8DBm4ZtDgbj2jeleyfa7nziBbdG9TPkOJc/7nBQdCx96FK3TC8Qlh3Y/CR8W
/eSx9PLAau2I57zucBSHDEWJ49oUFph3Xzd2fLP9NVWoS123qC6eRf6Wicfc9ka+SsHVZTQ2Y8J/
qkv7ale9dhN55pPTGhwJAzNAk/2SdId3O0xRPIavKB8TqGlAA9m6OGHzeOvZllimPmdZ8q33cVbv
ZiKQQBBf5oxTxamcMChF1+81npoNG7aGL5r5P6iJOBO8yWNMNE/+4bT1W4Szgi1muOka7YYt9qnE
ajvFdHcydDJJ9mQl9VU3Qyfw7YRLha5AwtX1NTailxZXW4/8Fhfn/Nqgy6QxaXz33SL/9nijSUZJ
TqO3w3aHF4dRdZP6aKrrh7BNoi1jHChyTX9MgXo5UMQPronhWunmQ53H/rqoymuiNdcIw9LGBZyb
WnhYCequM1wwXcwB5EgO9KjN1UYKwj8MI9nqo4sr24Y+xnX1y0D2T7fCu5QRxwD67jwxp0CP9TtJ
lBOC6Yp3mTwoIAt0yan5m05tzIXLUbpvRRInW+bhJ5Uhpuj8D2mF4JEGbTv42WepGHYVRrSd0FZ0
fh64jIkCd4F3lzEPoZFyY5sVfoqxhcjk5J9I8MFEhhaxjVZZbBjD7SqarU1NPVFNr44+wq7z3Vd/
l+glOcUge3u9/GMbI1HAI9Evlpl8Z0n69D/YO5PltpVsa79KRc1xAkACCWBQE/ZqSJES1VgThGRJ
6JtEDzz9/8F1boUt+9p/ze/kRDXHJggCmbn3Xutbsg3GzagJh+c0OEFnilf1RA5l1yGYoFHLQym1
GcVAC8mbeMdI7VuXUZxs6Vu8Wbb34Yp1bjMGGSdGFgWMk5nXEqxxhGAk23OGSi/YHZP1UJHt5lZs
t1NKwAGqCKwjmboZIZGAMdezW8ILtoUF4s0seG0647Y3tSfiXaZla4Ynr+lXozQvpwCXCZ6mUzsA
ibNtckkCJY5VWVWXQ6HdFuH4EpvVVWKn/ZUxkVFvhsHSCXn2cRr5mzYO3OtI0DKaICTMTUHivSlT
Vm3kB4x4St7K6M6B0Ua7Q4wLMNwWxWLW93hzDLQ/gfYSV3hEHM2T6P8qTuvgSYK0fi4IulpPYjjb
XqMvTbsQezNxrxFnR+wPeCoB00csKZxDM8NbFdbwonfFDek53U0H2Q8V5ng5FjfpAPlczVYTw3qp
VfwRpOwJ8YzLj1rzdYqHJ8ZXSVbGx3ZgAAiZ71vgD/y1Mv5i5EAsMD7jhjNfRiQSbsdIM4GJtPNz
2pFRdaz5Aa+tVJxIe6dQ50zV692r60QH4tqCVaBnBSdS/8UIgIvKAYhHMvpXVaA4rL6Ksch3kd4B
qB/N5RjRmLCVCTlWq5fVO1Fj9w1wUizXzh5G1rnW3LUhUCvk1qom0rwgdiuu3ibHOedFJhEkNvdJ
PCAdL3AC+PhhJuncwcZ/dWPzSQi1c0KEHEgmpgWSNof4AafZatp4aTho/Ux0fMyAzpOk8+sPA4b+
6T6cgxXHWw8nFUFjEYaXmujEbmtq0TnUY4355YdjNbdNgK3J0mImlyPZHMhnwrFAXDPurKordipz
Tvog11YHCKCGUg+0srlxaKgLY7wgWpKwj1wjRMiOS6CCJJr0OLgujQnRYT+ll42tW1fI8oY1S1K5
6MymuypLk6fl23+MKrB6zBpuylimHOjmMPE6ab6U+r7L/LegCyO4NLiL8rj6KIcKP1PkbU0IwwsD
O0ToNP3C45tOYXEd585zPFX1RV+XxpH85WiBBpDecRHBwIFGrMRw8KZGXvht0G+Bd4B+UdkHVe1w
aEmBKJKy26FXMTBE0yzADl9fj+yhbgUqvGGTo5AOrtzcf+hS01j1bQAr0Y2CyyZjpm8l5P8GRX8d
e96LG/T5jpxM6Hy1ft1XzCU7O3mwRGze3kfZlIEq9fK1U6RqGzfNe92r7GtrpPfTUMqrtkzKBX8x
GXwBKWtKqviL7LNxDsaKCFdxXXRwiXeukayMeY4/kDYE+Al9Zad2dutinJrMHH9La09rIJ2wl6xd
p4eXWH/4KQtF2Jth5xdZF8fE2QK1KDhw9DZr3pyvjtzPTW89udLs8TLI9Ct/DLHZOvoO6t6FEeoL
0aCq6PEybMpIRmtr5C2QNt6gNrMfmxjSSuGxKril0dNIUMZRw1mtB2qjstK6n+omwmJ2xl49rInH
8C8cHJNMfTAlkeOwAPb7ZmecEiDuwbRkmIURXHeXglzPXYfhmWN9mj502YDIJGvORVzauyHQnDOC
0LuiqtUW1617OXJIgH9q3zMS5GRdmE8kKOsHFui9O5F0DLaHfj5yOh84ZJCr1zwdOYAx9FnbljPL
G9Uzg9bbceLnAFzH0uI8Qr/AL9wyGqxBJ24bOR1KH0+NGdHMsmCzzs3+63hKVmVn9Vc8XPR6GS4u
9eTKtDlAyb6Bvu12D26UmRdJZTP2k5j4UPoM3Q7CW36mcRajnwZUOXXeOs70AWNbFW4dNzGvM3Ka
E2SROH+0Z6uka+3GbnxD3klqG5xi5sm2MXnlbF5hLD88VHWy7ybRrwMclNtgKrvHRgM/19Wtu0oZ
8K6mGixnDTCGhMDuS6tmDIjmBaRDOitT1837sYtuC5cqvFMh0lOMMlPRj+hDhv6gtJZTbR2vzFBL
dyE72Dkm1QipnX2bgkZdK8dQ93nb4l1nmrASAVIhi18dbqY61YIMPX80MXlpkX6dxshCgW8uhcBi
YfVaNmfRfDiysx4gJlZJHGwdJehyzWGNTs+7GGukWdht++xwRqWNKs+Kc+W9FpH7mUll3ACvTZaa
1t7pwqtuFO1GjeP2TdFZnLeK7ID6Yy73RkIfpR0vlJWb69oti93ksELQ7Ih2FMKgoggWvR7ih3Cw
s69JKzdiEm/jYCbPUTTd1CPP+jSk0ynKkZEOWh3dCp7h2kb+MLGb3DpD++FrkphNIjgbcFoXsCHJ
MjTSatd2k8eLCYEtqp9kODz1qhUrL2ZBCv2Ublg18ATnuY456Zuc1l5jlKlBV/PdxoJ3tWPrgtUb
iusJrVpPZ2Opqjy6KIcWgp+wbyS+4E3NpZGrhg0mcDk5cwZeRHb5FQK4f/nRN+56jBpiy8mq2kUB
WtHB/UrYvX+ptxwvOwcBndtWN4mli6vRJzAeSYe/7i12jAwp3oEnCj0YX8rrRHds9Zjwd2x9BS64
DhEu8h+y8SB1HfKAjFEfqbrt+ts8mwXgCvUUrJOA2A+NNPUif/Ms97XJuu5cAsq9YD6+SHppwDYF
gwG2rwa1oO4dnD2LDJD0vW6DNdEyuhBGk2GYJf72bgROczW1X8hTiTy9B4bhpRdeQdqGWdb5ddqI
JTFfZGEYtEtM2980NYEunPe4oDAyvvQ++gGUWlt+Lm85GuOX2m1pwbTBm9DbE+O1G82bsj2y9IZR
p/doptPOLqZrAqvjJZ2w8kDLbGdGDdF7dOo2fSpoM6YThYZYdX0U31pZG9+OfoEg1qDa+va/kdrm
k66WvmslgEVrpieid3g0nKIBw6fOQ+Jp95PhJIe+St7c28mf8jNsqfqOesk1etC+LZwX1b07IyMq
HCSQ96yDJjFEWGNwbUu/23bm+A4c0d6i0yiXmpN7J9VP3mmSukIERau8SfJxC3W6XtqJ5mGTRTzj
5X57qWzln1IP3YVjDYeUR6zOm46mBoKwJdmPxNImG19PTDS/hv/Y1LhVQ/B9+2//NTgYqXwMKtkc
x8gr9+ZQPtaFsW1TVzzJWAMb3/QSz4awnry0WAxwVeo46E62lSF6i1tc1/h3RSF2lR8DnhddsAak
4z7WHXPrCuTblU4k76rIcgAhONZOqXnttUiMwrFKl5NK9oQWQI7UNBOfawi4Zhymo+6eC1pEi0Gl
IDuc8KtwwQX0RmldA4uWm/EK6Fx5kcFQzlms6N6ULxpuvIV5GYwRJQakFcIUrGVq5B9egJ7GiC0I
CXQ92zbgxG5BP3HK9rI2pktrfvfKyt60Hsotjx9LiFOv+tvc5gEzJI2bLMweClKFsRjrJytxtC3U
ZmheaYNuZe600M5WLaQGnWSBhRlPOyAVnLCVwfAwHQ0Avd621dVDEd/QRj0ZMVcyYfpct+VjP9Bo
cfFeUzVyatXbYGdHV+GEmQ00W7OEQCKwYbfHKLH2pUMgEKAAWn0+7EGMIOcwFfjb9eCr8u/TrOYs
MdxF0nlROpVcaRT5Qt7qY/AS+DYjWMwCcFsfkezues0+pXr8mFgY8dAyPfRNtW6YLi9F4j45rnfW
UrT4kOK/NjZNb00bNtaI690hkCoVxbVynPsuY0CTaf0pFe9jfDNyLWX9TOPKuPJNktgMG9gMI72X
XoNQFpPjSrAPbNaufmNDe/MtiFy0Ki4A/WAuyJf5QP+K/gOgcTe502rvdtIgHGKAWqiIDN4qYMPU
3XoZqwipZshAqBoWgg45dcRODaxR9CRWZdgRXQk8zUqRijlYnBPIwYUSH22nvyo1qIXO09QY1QG8
Ntp7h446R2Xgw4zDOawulQlfIskbuu3xHf29RW2lD3Zj7ifOLkupo0SOsn9L0v/PUdhEzXgey/d/
/fMreXBNNd6+B1GRExlDHFEzXrz965/mbOb73x2F5yrKo7eXt3+8/ONcvL4ExU9/9m9nodT/sjwS
lgCV2o5J2Iz8j7NQGn95QjeEruuWO/sHv0ufMf4S9gwEJp8J0983q8f/pM/of80ORddzhI4m05PG
f5M+89ms55kO1+V5wpPEUNnyk23OQGQEsl4jPMv1QZAw1EGtvEBF8EBoGf58rBhwS4lWQH703f06
/tvY8I+8zY5wLJr6X/80Zj/D936H+aOlJ7AzErTjOvonM1QlSfrTLEEISr2jkLqjKCYjcrB3xF7f
Yeo+53QeFingjdQiuTigNbPoQFTgE146m6CkyZtVrGrt8fcXRnzUj1cmdUGolIt7kQhuHd7fp5sC
48ZJlZeiN2srWDvaeAoUM1XPHtOdl+l4tYhkLWzknyXTyYohKEvzyxSUdwabBooDkwZqhIaMtTle
pDUgCtF99Ank7wZMGQG9UKVV4C92yubgQ6oA3TkLrpaZVauq3BfiIs4whhnNVWOlG8zTAc1AwrWY
DWE0h4Nltxd1wTLIxCmd5NFxg32RpjTjIkbrIjq0XkCIgT3orDEkBKfadJEkFTwTb+941UFgghEm
EbsqfjW84o7+E/+ie0jC+mkY9AfHM09+UpYLtFDbdu0ZKUYF0vs6B1DhZFn3KJuIqS/NazWhdFCK
0B4nmDhcWBCV8q+TWVirPm/2qpQnS9JOyzBSVz2xek5wOQmUZKGmXE5dDKUQPpClCSqR4URRi+t+
gCSL4gCdP7WysGe2asRwyUifRW1wJJ1WGdAzQC3mKYytU4ceL/ODbUS8BESjkImP0ULxv3IC5hpZ
aWu43OhkBi5QNLI8wWuHB4qxq4acRSJA0nUgFQs48+xAELSYBzOT0EZShj7MZB5SDKCfzVeVqreM
ppxfKWM5TditMOTQHPWRD2sVFUEYMCekMW3usoas7tBAI6ljNPX444mK1o7N5D+ekxBL6Z0dH1kE
v3y6qeYmpAxxREaXTcujRXhAsgZKgf2BFgz8SQa3RNZycDCREh2Ch6HnMcsCHQ6KSQalq6tkHQjI
oq1Od0yfpwyES/QhzT2NBZAG17RyE3tY2HO0DrOvU9PA60ualzpMP7youMsU+fVtEJGWifCDup/G
X026HwXOZVt31U7rgr3Z1eY18Rz7LKHdnLDmMX3kTMgKE63sxm/wnQh+d5Bco93c2U2BZtXB7YIZ
EVdmLa9Ky9z1cnyoq3rGlIQfNr9+W6U3DLLIVC6Y/flppNalNp1Tw6JSURZBhPhB8ZA5216y8eWJ
hlWhDE5y1nqCpOazywweaFTDDJ2cpfQI+wFCCfGyHC8rwjfGAcZOkN7ZPXidjLuSRj34ACd9Tv13
oxm+DoN9PfbjbRnwnVOZoiRwmGakMLy8tL3zcpRMtlt6VKRfSgmArqonCg4Z1Idx/kdjgjMVZrYD
Fydd5pIWCTHuGBPsGYl9NWk3uS03jjnLpw4xGfJccjLyXhKlNBkkbHX8IcQjz/MDHajy0k9o/Pox
D519qgsW3zQQ75EhCRC1UWBO1kXA0Z7qg5ZzzExtYUQzos6+r7PqqYkIeYxTZ1OK4KoDyNeUDOC+
lTJZTScilM4Tzh7+UoVPImA2StNtbNZ+Wx4r4gsWqG3fzA61U2aCwM1LbimvbgLN2Qi/ZBJdgUjI
+/FRBBNsUtwFVsOXbOrZ7vGgZ/nK7rUn4lJRigiuHQ7HooOzTZtxT42pc1O4Yqco7no92TK7v7DZ
JJAlwXRI3Xal0ytmvncMOgAVXna0c/JN9TYjtzvZupAac605V7Y4GI5xgiThLnTxoUR+bixmJ6rj
RVe9to7pBKDamWm07lkkGrgVBbYGTxHL0lmz7Y3Z86+487MZomZVU7wxa3Hyu/i57lk7cccdZY4q
k/mr0fjrjiAKrFfZWuasHBkIDPj0my6vmBmgNqf7iqnRRFcCf3ss5cFsJP3ckYWBvSKN4jcirMTC
Q70Xzw06m/1ugPOsIztGXbsomuA1ZtyW9u5DY1X6Sgvd+6bGjpyFdGTq1gaQHFwhSHITNkTZ8D0j
/ashHGjC1ZOPOQBnHA6tKVoOpE0vYbTdZNF4zd5CsOW47IW67Jip6v5NYUSPOS6YRdSzxQdCHrAk
HQbzBPYXVKxrAdOhses01RMKvMta5DcRzU+mAfaRicrG8QiWRkB51jQNLlHF5+iEefAslEn47Jjx
65hiuplNjBq/iceyqtz7pLn3HZLCkjZ8c312QvoSiOXMaOG416ODmasiAIe9zngmGOc6p+W2dFw6
2cBgngNmf0aO1ohPlkXebmpF9YgJUIuJs44GUe/ijIxH2tMcwgn9smmHtkVN81UieTAfbEottApc
Lx6E2RBSefZyrgIp28VhSAKyTeHOSPieGW+r7mfHwSZIzjbP7Co4OQJ8v24X3eMBUquuAceiDA0+
IGKjyk9JLsaf1SL1IOYN0YnKnr/t9igfFx7mu1wLP7qQ29UN/tmE4jyZFmRm2o2Wd+927Z4mEYPo
4pyUvFugSsylNfE7N4hoyGsi86lcJlX8FnPzaKEjQwQaRrZcuYzN6FW1ULAi+9QTQMw0jMGnQMwU
Bc2VShqao/ux4agSHYIhvpGNts6L4ohKcFbHDR9+RhenbT13UUFR65zwDY7vsSswcXnqJU5LY428
nyZah/YTLezHtx5TGB9q1SDumf9gT/8vNooj2l9v07XGJQfsu8g75Wh/V2Y5i8YwRBjlOC3NKRSk
KpMhGg3QYx0Y5Wl3PSHa8Mt2z0k5Qs8TYKN2q2skMZtYFEfNSK+jKQRZmMd3RYaFMgpxyDFvuPSj
9qpkhUaz0HvLL0WKKaCjZb9U9by/s4tIA4efoWXXfdivG5cejhWEb3UTfpSy3WddtbZ8CHJC+2rO
89QsmJValftaxAzzTbi7CeHQHI36hmE6qyBraYTPIZDMO7s9rFBCzUbWOAcok5ZTOfcVd8Sp02e/
zY/CNh6+nQFUfoLs5OTGDba8F8snItmvt1WB8VzLb0sQgovJCcs1PQNMJd12GFtWDwa6aakxiPRu
+lnRbtYE+LUxeJ/8roBljqBjWo5Tj/E5YQ2KiUx2575N3BXZMqY/1GhvMfI/p53ousxkmwgLMgk7
JvIGLznGjVh3fXqLfu7eNS1uRb83Vf5MakHsY66aJvx8OcZ5VJFhi83LLQprg3tKrdywPrvldKGq
CIYhWT+tG0HEd7TLKPatZY6MvcfhhmAoQU0bKd0E7xXQ8aFuXVSZ0+1wP30VMYFiHtQOw+8OAY4A
JimLweQfZczD3Q7kBtJ1fmkD7+DVZHAPdXSHxCF9tUeDBs4Mb+Awltr+W3ZRp2m7IvuYREDkZEEK
W9ko0UanrH2LxuYs2GYZ68MRwxcxiTQD8EhdZFHKeQf++hwdvvJ6opho0r/W5EIx4uOolFUOHX/1
b2IPEJ3gvfj/KIGkbjl0u4XjMBuXQv8MLTH92jG8ttIAtkLFmFiBG5IKKb941yr7xpxgHkJ0nI+M
hkqPDknFi7oiw8BuLk+IaGJ8vM45xB76h+LM/GTP/vvKqH1cIfWfc3U9Katmlk3wGD1WRf9YTcEb
MVTeOs8hsFcOjmiM915ybsP4A7PyU0QXb9XLgKkqlvSi8DZWn2AnZRkvHcQAqP13jNiwc3OKIEz4
2baUWND/4TxOivvSc5kK9yUyHVJHf1/Q/fLLWLphG54JrsD9jN3QWh0ockrpYqKHmHoOAiXRxgZr
+qpqOb7yzoOjupORfWNY2TGnSawqtBuGdVUpeYVBY1kSo5ootspkYJey62tp60R9ZiZfyC2eBv/Q
WmA3Sq+luy0ugim/7hho/OGbGJ8AIt9+Fkt8C6v1PEl/gMr1OwJE343zcDlmLDEIHTmE/jAZbPSd
vNRSecJJoDPi4XI9Qjg9oX35/Y38qS7mcaUgJ62L5gNdjfmh+e7TXeIlFBRUvOxas7cozEpN/IEM
MJfW3zUFvn1BB2+jYzpza8P7BEEY23JseiuYkcUEw1bWodO1y7pjTf39VzHFp/bD/El8hKWbcAho
HrqfMEWoRjMWw9hfhswFqRDGB8O+L8bhCwaN/ZRql7ntL6yWfdox5yXdxDUDgQknWoRIUnkYL1Ke
B7IblzLM8m3twFh3lPEgQ/8uHdWWN4jjbBW+IRw/lbPTuijsq9BslvMnSE6/4cipX5HE5CDfFTXi
xhYZYVrftLp9DFt5cJBO0qCPb3LpkyTCrh5btAEkeWlTS13DhvQUOci8ohoT5cTSkTMKXAyVutDx
qYSavSMTCP8r1RV0e+NDu/N1GxuGBKcSv0o9JkVvT4jFHUKsiWanNmejAIUtuuyGmQ3FA9E5urob
u+SDTMoPvOIXVupfI3t6SjDrJe+92+2/NWqEPT00HIzYMPyzI0qeSqJQSH+7T6ino/YpbPNl6VHe
DhiUXDYJFcZXVqvuAp+yINEu6etvM0EimiiDD5naoBgYGjRQPyuE/ctWZWu9V8itZ1G2e4FX/lrr
5aG0uLVNSChoS1E5Fykk4M4bdnKcfIkHc87wMiYYi2FwwCp35xWTvghdwthaF71c21wmwyWYPgRb
iB3Q4fcCUl/SkXqecQZmwwhpW1Q39fCE/N9f6mLpOg99nJznd6CR7PVSjofITa6+ibd8bIXLPMrv
/I4aM3yPVc7sjR/IzzD79uDDUffbqAHWWmGdRgtQZRZ8+EUG+VwhfvXVU6DafVhqCMrn+NZgvMed
tnCNdm9a8VVHcqZtEd0STw/lFL2FGl3uxlmlkXuwRPDqc4zv0AWKhn3BQ1a0FMUHhfwLkBjLfyRb
AnCtaPc+8hNsUvCNyY6COnucU88RlF4HNtVIMnk6YcVkCTZ0IcLWOSdd8TTFxkl08WsecRI0sFUj
taCgigpMpLDphWLHnn3jqRZ/JLV/zl25SxsaX9gZ30Bpkq7ZI6dyziTtchBIebPMGeKg21SQlK5Z
h0naC+iYVCp6aylN3Py51ZvnKKseKp0jksAGbaviIumoXgrlHMYgfjWHfuvO0QdukbxVtNLRoR+0
RNyTvbZQZjn9X2f8vRr/bn//oTPOLvrdWrt6aV7+/nOHl4yO+vElf8l+BO3Nf+Dvdrjj/GU4dK9d
FxgaW/KcuP4/oD3xl27PrVfD+E+n/G/QnveXnLceJL0mXVk2cRbzv9vh/H2IldHMW0LiOqZn+9+0
w61P5x7Qdd/gO/xDelA1ba78+y0up1de07vhGCwRxWFRbTk1znGPMMKV5zClCuSHRXTHFkEBJDJ7
hAgKkicQtYAw4954+OWXspfvXSvI5pzxOrFN79hDVA1J4lKzyy9SgD8wnC5dJ5pvbnCRtSRM4QIc
fbJaZVA8wqHct2GJeqStLY6ptMQ0mm2wSS6sV3eWx0QQMxZ5hrKBA6yGZxSJ9Pywh11PzKKFyNon
kgEqFPpNw7JoTI70PAo0At/9uL86w+qfTgXzLQN96Fg4JZhZcNN+vGW42W2+nSfoQBKtkHnl7Rih
Ss8b+wvSLkRS9sYTzUGL4jUUDYgGI5emMIAyPyaTHCk38sVpN5j9vCCwBGPZ1RH0X8R5Y4DNARlo
TPhMlQ+3orzMWiPDQVbWLOHuUSHKLGiNBbqByAdi5yiMB+Df79QPK56pbSKPhdYVVwBjV7FbnooK
Kk2WYZ3V3L5Eu4cbz2fR2yrZfFWo6wwgv64zbcZ0U8ydoV62z5Y9wwTRp2woEFfK1Z5qNRymjODx
OPZoO1B0lahCAcrKd8+YXuuIXIHI9aBIXNeJejbLTgOU1V5RB/RkmCJOHWPz0U+GeA4JyBbCix8b
z0/WJH35oBl1hyoF7ellpL3aD/my1VF8O01dLmDJ7pPa3bS6dtaVpOEMsbvv1K1OqsAO4bKNAPiM
7rzZ1IOL52Bs3qV+pMF8KJyLoCa/hv1/RQX8khhUU7Zx9/snYh6UfX+G44EwhaGDPLQYLJkUED8+
EHaFqKVNEx6IIoK0EEkgHUF4ckNq+jJX1mxve5ThBNKrvPK80wC6HFTsTMPTaMKXvYBfJ+Ol1bjl
ivQAjiOuSRR3G676JtJWSkf8BaBh3cVHi3zsawQF/17f/9fK7Bt+6rtzKN9Bsj4RUQM4ESyX/umo
ix4pmw3KBmQaTBJjHaNLlNauctWLB10aCeAumgVXTTqBBu+DU9mPmyFVH9FgBathPNklCsRk5KhO
vCxtHhtgVV6vi/zd77vHnrjn3991Y16ZfrxixxGM+eeZoGcagoX1+5WrCMsm6QaXvuKIxELqz1o8
fdQOemw74rXU81epDe0iN9hCdTwvBd0FL+QQ9Pvr+PnHd1zqEkaUjDp12BA/XkZHiDrJHg4MuV6X
S9q6T8gibmsXoOHvP+in+aGEg2RLzu7StkFZuZ9qobzsgtyeZAPikL6clrvBMm/oeajqGbHZvseg
ThLNbOoy1SEqLK7GgC1Qm+EFzRqWDaLdEzcugSNAC9QqyN5/uMKfV0YKC3YMU9jcDiREP94Lnwco
KEvCNCbqxrH+EhZiWGalKtdJVGVMB3Uw+4EDlBv6XTV9hE1+iwTkIRfjuxZd/eFqPtWOPNJcDbeM
Ao779tMvU4NlTvyuatZyROihSnCgxcug5NPUZGx10t+xITWutyzjgv39P7PxX2wSP++qrAQ6E24p
qLrsz29TpPW9nrcRdAgxUaw0RbHkEZ6AhprTggEFOELfvsik+AMC1ZiLuB9fCjStHAyo+m2P7PdP
k9x2IL8jZ+KJzRvyX6+2Xasegry4cYxy44fFTcjwryfdlwmUrM+//9bGvND99OnS4twiLc9lTfzx
93dk3yeqtqu1ERc3bd+ey969VnhFRs8lAcF6C6Pp1vfyB0Mz9z0KTukfYbU9AJaDJFJtpuJPHSdz
fuQ+XZJpIitwOVAhObA/rWu1hVKIxxV4sKHfulgnamLWBVNsfaiecb8/i6DdhaSYmdFwI7V2r5HG
1oILmqbd/BSTIt1CCei68iyifQGg30sb/kD7OtZIlKz0hohauI0kwXLH88leNq76w1L38xLj/vAd
Pr1WTETCjuhiRgu2d2nm3tGzmld+6d0ffr5PHQJeGD7H0U0dWhoqDTmvuN+1O6SWuQMDReijQfXg
FuOtm06X5rKxml1v5A+gyS85bbxZcGCQQK50DBFQ+3CSLQuje00niKuB/qcn+pcXxX7EmUtadC4+
tS3wQzRx0Q60rImaXwztdtLAyRXkXvF6NeZwSzNux/DkaUyco9XJZR22Z6hU6wZRssL4OuRHrSuf
fn+vfvGkA3PkzDwzmNGzzP//d7dKL+I0wyZRradYv22m4qkVxr7Gv1EN9fr3H/Wrd5pD5ox4ZvW3
nc8bHfQST1d2C3YnYTBiVDUSq5zpYUohOzn4k/rI2aWqGxbEzSJVk/N0yOXU+Yfr+Hk9dekqCVY1
W0jL0D89Hl5lGHKImXAJzz8akNfCXTCcPbnX3PFWhtVrYzmXXSjefv+55q8/VzqGY/OhlvNpVVGa
nEziDSrmBPabU9KpBxOFiUffZ6160orsZhzKm95Xq3jFaGL2gT+zKpM+ZDJ6kwq5rB5iGBmG+AOV
Jy7o6sEc7D+1kI1fLTUEM3B3LNeij/zpNW17n3CERlVrP/COhtW9Bkb5VFK4k5m+AG+Ka1s331pD
HgM9IAWm1+8rHTsxgIQ1s+SvKKhXuQAd7jlHI2lfo67S/vQbzr/R5+XQ+rYd6myLuvfp0IQip1Am
vLU1Ott7sGtC6LejYe5HozmXRvkAbxx9glY8V9m48iNC4WT4h2VG/Go5sxCAURZLktz1T78nq0fW
BnXAG60XX6seB0xfwqGGaMWPVZ/6zmDSIhQ2qby+YtS/8afsJsBJnHrEiFlTd8pTJpul3tlM2Y2N
MuQitZA/DJoB5gBSbxefOAjJ5Uj5jRXBR0RdoVlJtszctsxkHDQkOoqYVRU4ywoz+mASzYOvTax+
/+z+vHjRxtcF03yb72mIT6+M7uZOCGbCAChn3UuDfNSClELCqXAwjKjkO63/0xls/gV//IXZeSVH
Y0gHvDPWp7tLX1S28EcNlKQyxaiBcN+eXgIxbrSckR1qQGALU3/KTHtY0YryNq5JjHdJ8pxDp+n3
39/++bdm3eKCdGgDpo02+Md1knazkQyo5Ndp2F07kGX8JDokNQUf4/gxOIx5TaWG2LTrGV1CvsmH
4ZAcMgstsUkwXKRHT2PgAfF2b+zuPSwTi5idnnlZasP64TSPI/s60cUGzdi2qavXVNk2BgGxpMtg
ogCAWRR+pct24UYNLdnh2HkunC2sIQ5O4KHD98XagKiCNrPn3ZMPU9bcIsz89JVp9i6lSh7CnkCY
shlXGn76KUjoW0MATSpka/EDrNbj72/bLIT84Ud08JIIDnGcWue68vOmN8WoJIsQxFuYQvtIUSgY
qNSClswc2wo2mYagTJWuWsgkeMPbYe8wUZ7KOTwP2OJ/uwH9+2qQazInpfX0rSHy3WYXZk0MOa+a
ZqoW3gXXeylLJgFR0bSY9uPL3mhoxpezfVnYxWrqAfd0bvP++5syn9S+f7Dnq7BAG7g6ItG5DPrx
UUqtyEBzkeHE9CfM72X46lgZXEi19UTxUJBmU6npD+/vTykLfKig0SMZ0eiCwnh+wb/76kPZh4zS
UC4x+7h3qm6eRTQkf9PlgFLjY6qTRrQbIUtr2XjLb8ZL9NVokN8MHpCv1GY0VcInCQSJUIgkfn9L
zF88J3OpJeY6w/LYd368PDt2m7hx3WGdZcgSE38decFtOtw5lb8tE1oKPQhjWg1VPCfFrBIQxtmI
wVyztpVOY7/tbkh6T5jzvMopewFp89gUcQc/khh2VDTXVSkufn/Nn3dJ7igVLMu+Y+k07VHz/nhH
6WPUeVBhrU400JJJSmohUTPuND4ZnvvoRjdJPRDxFHp/OEX/dI7gk10b6TFvlWdYwvm0GCej1jap
Fg3rxg7SJWBCLNRm9lS+YQA/kTfcz5J3GA2T8dJ4auvCXcHn8YrN6MnqYElLJvQ1MbYLWh7U1+4B
rzrtsPEP++NPdf636zQJz2Cj5hz+eerYKitEtpgM61nw6dUdY3F9E/fRKfh/hJ1Xc+NImkV/ESLg
zSsNSIoU5e0LQlWqQsJmwiTcr98DPW33bszERPSY6OkSRSDzM/eeq2mgJSlZmYnzGQ1WA6xuyZm4
Ts5tpzQRIOQvE1Oy4e1o0DCASPjPX57t8u388yW01iE2/+JiWzvbf357TKRbCR0aXkZX/J1m07pq
H71L75qv00wa86hzBHZJEZP+8cV9OKK9arOD7CokHo2XH9mNb0FIyXPrHIYu5cWqlLU1UJM9uEw/
cytPz56v7hLF4kaJ8r/9cp31lfj3J7Ct0OUoMrmY/v0U6LLBJKONYd/t0XkSkd2telnkNLEbqOwA
uuhvKXg3yqTND+E8m7tsaW8tNLDPSZnEAy5+bN0O90umgJ0RT0EdPp6lIM3RJjYPEvh49CKB+62A
0KOW7dBWSPysOxhmzmlw1HctMFywf3vzizk4EBSKmIMEe2RzI4VCI/bZZB0mt5ywZcOunwoSbds2
IwxxCnZZxdzcbGaHS45fY17KcGc25ppiF23IO0W9DJR6G6SRechw9m9yRgFwyCXCZpIvN4TGXJra
JhCxEP02TLM9cJEjw9WbckHd6Lfeo+ktCItnPE7KLT7M3oIgiv4bOZdnyNeFjThe1Prb8+4xsrdb
i6DpVQBnWfscOm+s3AWJhkSvMbxXMAicnHTf3rKc7ZJDF0o02SeQATqHZ6LPovt1WcuLhVyBTQqI
MmsEt4bNBVoEaY4KEUyCQHrsXcLmh3rH1C/agx4iiQ1+ooGk+iZCTUtFa/5yzOlxWuM8p5IryXOn
s45sAwOVuKlQrCpIBjsf3OvGTmR75yFkVhQSGztlypqY1rR3DcGPV/jDXrp9gzpSnNImrbYeFAHU
D14VM/yQW+2DyLHs+Usv/PqT2ZXnn6en1/MAJQro0pC1daxFhxffguTWeUgI01q//+f38f/0hkCH
mHziZFhnkGgU1qf9f91PxtzMuacjLK218+yl7svUBr+Ahn+ubLPJd79hRD0GubmjlUhn4/d/+eP/
3U7wx/urboFsA47V6N/yjKXJQ7co24HYQw3kcHIo4GYPl366q4J7UnKJRYWxeS4H1tFzr6xYWW67
pWG9+88/yc8c55+vNT9JaPos08zVdvKvw73KFsCAfjnsvQg1GeHxWKSxcw82ekpOdpChBMIuLeui
On/wSzgk8752QudEkEQGZprHyjh55LA9wn/YlOvjpce2u5N9Fjeqk9esRRTXROA3mymzEQyjdleR
AZrDA0ubOYUHlMf40/nrKujnHxyCQ7P1h3An+/Dzro5Vz9HsCAjzEELWpBdNeh0iPYRp7YKNdhT3
uOj0ldQ6wq3ICIbUm40miNYWtZAMS39v+Pq0TKbzEGHDt8bw3MiGpAAIbYc04P11O539lyL+/7mQ
XA522yXIh6mm7//r0KeImSMSxQmUtppk77b9rg68q/Qlj78HasoO/0a5KI6ORGE22n/x3QR7V5Oa
Vyyr6QFLSOjidwCbT2qrHv/LoBe34/8tKqh+QioxfsrIoUj952sgLEgrScJAqDEacrG7EWJOUtpr
FVYfcXxvW8N/UOUork57jIKULMjIHw/DPI8EKxVx1mvzzk6c6S6gmHLbqbydFge/OvprWyM4mkxI
BRBhNjTQlAjUgNbURM9jv4LjnJaE1RSI38TMibyVPvYjrWKTamIDbNA5zlXxla3MCYaPMD+09Lbr
v1vVfEJ/3QLqg3HVD0Tj9haKM4GbIolA19HT/JqXG7qcORL62q3ShTHpy7hemYogHo4V4bScRhxr
KFXRi+cam/wcIuhdOHT0vSjMg0K6iLWUsg423xwzPEripFh4aFZjganGqw8FSQhH3JNLgZjNUODe
QxfhDiHFpBjyHVpoyExbBnvI2flOSOqjMSoPHsiha0NQaEp6d5NEITGsAMJmaCslH6dqwRbIfGpu
Jdj/rZrIrTdRW5M4tdUqfF05TxCdJaDdrrK3Sg392cvs76XbmX5pXeoq/Aa258TDQhpBU/N57Zyh
ye+mjapnzy7rJ7jFXJDRzp9z69pF3u2kMvfO0wSBp5V8IefDOVX0n0ELE06LVcPHFXfqPOyvsJ7x
wth4PLu6hOvrptVpJnEgLkZwe+sfl7f0m3VkfguvXVM7ITGRyPixiI++8OYHw/Z+g4SfgaNj/NY9
1k3J14z0OwvxHpndkeUYPTf62r27NkmyyZdr6uZvJDT8YlBXv5QDwuuyu4cz0n8WqrgfjhPFwKmC
b8qTYBI2BglhC+ulhAYfYLRY5ouYv9UMI3FMsbGSeRWmvFThYv8OhhyWmEjPS+iO95U9Yfowxjvb
X+h117A3vPHylLlp/dDTjYQBWi5k76/W2XMqzA6O3+5QnGI4ypaveS03u9Hxvko7QEIa5ADVCwUd
aCGq22oAF+d9cu66NLoEZNhkfn6zwExK2ZEi0ea7pGniCRTivHjR68hSdvFc40QIATIyowm2Ikui
12rTzaMPxN1/zAGcHgoCm8n5BLmf4f5oWFfsq76fDlWwsxxXb7zCy56rMdTntjYf8yZ4kN7cf9QE
o5E1dg39jD8H/sUjw2zqC4TB2neegfm7D4Usb0Va8ig7VXIx7NrBJKvwuzbJ9NyixeybYtoBMPdv
CYqbzu16toapByeq9cEgV+W4q0P8riwTqnPR4CjxD8VcGB9LmNwDKueL8juIWzjSKXLmDwvr16bV
BoZk1B6QB4wbVy/+jYkVirJIXBppP45R5n7wjttjxDALV8NJOHOzo30TJ/A9H5Wh5qNn1zWwuu5A
yA6mcr+CJ7/EFcm2UVp4D808xdbaufEtiQcjhGEeCOPqjez5jeIps1EDQHKGHi+Xdxb39uMqispd
97mZ5LDSYu8GDNF7Y7RhQHLE0c5eRJmPR2FaFxfk3KbjY+zIzYvW/qk9eRApfv6b1VVvXQ791OmY
vEiwCglO7TpgvBKN7P/6hPuRF2RbIKy+H61VTmv4j0gCTuEqNLPC8QzZjMwn1vQn0+aEqvRJCEAo
geJQzdYKV3UgyaSY4KcE6FUbefBhTh1Ram18qKbXcva3TZ926A3k8acUm2l8x5xSkKiZcE/UA5oD
d7COdn2YXZtuRIj2mDriszXgD5b9TTAlyW3aQXcrEtAJ/QJkRzSiuQuc6sWt+yNODWNvLqU89gJu
WmYiANb6K4L5cunNWXMV42qnJ7t461/cLLkg2aqPorG8swOcH7LGBDeNRF6rRktPA+rf2rnt3X5T
aHigam/ToJ+uic9fUlYCmKLM266X9iatLevUcGCsGTjOZa6W1zapxL0bIaAASPSYqhDubjnq+Oe/
IiAjMw/GTAy7HidGkaqPVk5bWMZAgSJ9pZ6stj5Y7tjlfotTKwy2He7L8bZPKdByysrDoigxEKdi
X4omrpUCIazBP2RMkAtp1TBH1Ia3yxNC6Ph2nJLhalFP99WyjBuJm46BmnpogpRAoDRD3Jq7J9wz
MMFA6W9+cnt1mMOOW9COgPjsdoPdkn6mjC/uscNEh7n40tuPYb9FX5HcTvk58OmFQkwagP4GGdOX
fyQhlAc315fGZqyhpgKHfZ7CzfQOpg2R0QCZf65JGi9ZIjHi/PB6Fezcpr6R1ks1Q+dBtFRus7XM
n73oiRsKAhKLytzJCVKmmWWsVZNLkUE/TnXzHfrW6adBsYcBA//a0rTRcFcBLZLkOK7tSZk3L3qu
LewkzDZUz1SyGg49+Ee0MMLCSOQ/lA1ICYdqLes6dzOplDbYQNoyi45a3XIGQJNNeySyBH9NIS+o
C4kXMIB1MlM9dAsFje4uDNyKSzRkFztqHpGjWvHoJQ3ghW9i687Wih+dPOPoh7P1lIGNwBqq+0M5
2g4d1cTKKAeExBWF1eIxGorjPPDjtypx1xN66yWBdYgyPeDCw4HJckfvwwIsvRj/2h1RFSk5Wm7j
nVXieyj1wVzmLLwduzv1cjnCRPpWTs/FTOjIxo5aIx4bIPBmRue2dAvZhsFcbIN+k4CQuFVV/Yr2
84ussQWBMrgYN4ANUtQBwXQq2kwwSQ85NnLUMEw7VDJYAAEJYugsIHGTtVwQUO9Go4p4Tc3sMg3N
zmwzdzMMZnNp3fathOpGXuaemfAD0TnG1jWZ56zCaEYAoOWMjhAsST9QhnWspB1HrRKEhVqHoqUm
aotgn7tvXlh1BMhTdIUx4RQURQhgY1bNSxy637rC/mT60SkJmj/2gg2t86shpv5ggaW/xJCKsx1Q
SpqTxaFJnmTndfM58JJTJ3p3zzia3LWq2JU1aieEZvpQZEAw9OzkpzxfLkMZbL0oyB9FaL8hEcV9
OgAbbBoZHiujiDajmb6nHfEHyiOYwUr8ad9aE64+kIq4ooPrmHzIosHlTld+gFHq1059fsLJCzKo
wGOnAa/1OAB4chfgQ1CGogoLlWv/6tz1lEmPlB9c3x0UOiKwSEhgTRvnpXmrAxxxc2g9C4NoAlm4
fJ6imo9ydv90dladyKcivgee5NYbtYPeFnjZT7cVRBnzY99enUgIXS0MQTgVuYmqZk2Nm1ySGwjG
dOsH0EkgbF5Hj+SF2QdprygHN1IlxiGCWcZC+liQLnD5eRPt2SO8kPDRTp6BNx3EuE6KnRzd95jn
fMBVGiKIEnPf4CcBXJUCcj6ziKDn75HV2O/aUT9O6fIkBYGdtVXeNUlWc/LbsW1bWIoUcSBpMyGu
bo3TJPz5HLY+L2+RgLAvD/0wKyatLGVVWJCY2UfvBAWR/q27/KIN/Ld2SVqS2friwvqNDace7yap
6JdQsktH+PdE2XFzEwyxGcd5PjD7i24HP4suTavuvDBzzlZg/FEtOV7g8UjvytAJKBfH4EzKSxiJ
7oglFFV5kR0xAOikuEvNxDly/4awleb2WHsfKihZqhck946CkKFsjD6MsSD8s8UiEvqfjQvAS5pw
rZcovdGFPttNRML8JGYOPfk6mW56WYwZnGy6oEMMtQlGHIYhL+RerARhakJGAY2RHBFpf/woqnnb
6DoUERq2695JuFnwM1cDmn9BHxreEqT7MaGb3wpQoYc88B4FGy7SE9h00EpyDRgMiluG5BtOxDle
lgzYLfjKbV/ox58nAIzVMZn7V9/of1np8FmTXB8766yvdP0nJ3vUA0eE7AuQ/wEsHPLZZtzHnn1x
/Ht6P7KuXOioEYHTTuojXyeoCCPf3lLJgkK1eMVDL8+VOorIjJ6Em9sbOeo7H81GvHT2yZqSlwYA
8s4BtIW5kfM1UkRGsYj9RnPOtCCzmlPgOcdXlXXerXD6ZJvNTE3GnpfDyFWKzJK7M6xL6+QsVbLT
DW4vIz3Nft1sx6ZNzxloJ0M6C+ZcxhlmXb2lsFs2/pDkW6jfaRwIyNBlTqoRZqaDwqLaUc6h2/CQ
COVPhsXvUqQOvDqzvgnwNJ0NoimOJJ8Kp71RutIkvjGOM90hZt3BOWkIez8RxZHMo3qHJTQn7WVk
Q7ODhSbJNrAgagRnkYfRwzxWpyYXpEcCGSF/TMAcHANilElMqNv6djFoG8am4aTuMsp033YeuhqZ
RznXu9FJaLulOPJWmQ+pmXo3oZG8zyovdrCjXhGzUkUueXtqJKPvIcYG490YKv0Nq5sapcXChzo1
ZfU67Zshas5otr4SsHqH3hu/XLMJMZB0RRyEAZ/eYyBp5OGBya+zC73r4PX5pQNCX/hW/WzYy/kZ
zFwbqwjW5FIP+PrSWxetEzmBpDTU6nNoWxPa3xq6BH9y50fZE4OfX/nQC9JGgG52Nt66O9OVMAQr
smErDQFdj8VvH3XwzaR49Opseinl3G/8dAweOqhfPINTDD6KIeg0BY/TC1NVMjIE9Wrgk3hV+3/Z
JfY3rCq7eCCWZ1+kE2Gz2Taw3eU28MB8G30fa+ery/mWcgDXgwaCnmTmNYn6x3ZpqThz8JohgYIs
/bZu+q4LKz9FWfcYtuC8tZ8GcVP294uvDnjX4E/LBZc5kw7c2e17Ch4Elo8T7YvulRQXYtsSdoQu
2WhuesPVgGM6JWAuN6XY5+S45QIY97Q8OdCBN06AQnOWwMmaGVO0aRE20qN6CptuPjikuloJUuae
5f92EvYpIJppp2FtqKr/csUsDjZrk61l9U90rt3GAX0ECTDlsjU/Q6zVDF68axQOJtEDEaraYfgs
Laoo37duLLNAaA2NlAgW4xhqKBuR599kEYWQVvI6mdN4SqdfVd494c4iC+EjmyU+7Wik5vcDUhzK
HhMKt4w198A4GusQ5MaRL+kXjil+K1V1zJkfUDiDsBSQs6YAY38EW5iGCXZJszqfshyX83zP2HUk
CYlBJOQ3mEx9RMrHmtgDLGDbNh6oavBUmxb/NTszfLjK0KeQxGJpp9OmCUrsUqV+r2ewc3Jw5C43
yxc7BIzRI6PR/kevocYCyrjPY0cRhBWlWh8C3X51jTXvCxpqLPE6wnOSvlSEMSkSB2FGZVA1Jutm
wcVKaKUgaMyRe7bm0IvN4DNl4LmRdsOcxWstwqvajyAxED325oqWLMpz1pLFnXcfvaTBSbvs6ChA
UGMLuG6Y7GBjM7QDGNju7QEYDUhUzC+h2huE24PsurQyJQPApR5vHX8rx32eMcAZ3CN3bh23DCRj
H2A3F+KjM1ikc6SMsXIvuEnE/Fwuf9CKZw+9TV4honbeTxkjRuUsSrioQ4RBaG7hHFOlk7HYgZlO
PI2+3GBYkUe7uu9vi8xRh4QkTyBx8+Oi20Mm3Efa4c/aXy4e7V/bi2szmUdz1Qr49C2mhAFW3Hlt
eEuff1fa4QUM94s9pBN1IQM2gGAzVrgYFB++cQz6YzOMr7WbP6Y2a1sktLxFTc/AOUvvWZx+GPhU
SeJWn37p2EcLWrTEEB0UZboDh5E7RL+Zbv8N7x+IGSdhQ024oc95bQvqhJygVhsxBgPIkfEt841k
Jl26zZr7UfTRXo6IDTryF9lU+X8Sd1bn9kzOfPcgK/e9LHiWumS6ScIluE8ozP0IzE4ES3IvJz+J
p77BCdZTqLIxw8hlki+Cu2rLOuQihYPltfeRYEBprQncdFCdvPWTj3dwfCajzDq2DVWD0ST9PuOK
P1UTWiDpztN9wWqHq2u5GGYk9hVj9mNj2VeDiNK9WqKtPeN66+DF7jo/hcA83QRWcjargGBFls3W
ofMbcQKPmGxl2TJAXW68RJpbuOX2YYiy3RiYGvyvsXMH8LGtZXyTffjHtWowMQvgGYzK36omljIP
CuyB825KX8wwfS9LOrWyYytotfKvK6zPLrmfiPsbmuiSBgXI1glfZC79T0Yz0Bh18QIf/+hGPbPi
qtlPXePwH+ZyFzpyPthzAXCYW0H0Q/Vsp87voIvOltfZD71PD1KthaxfmL9O+cT/LgmHa5jIii4/
+myT8VCMh2WkugkK9Vo6nKF8zlutLbq5Aq2CtAiSdYo8xopEJKwcX5eE6Bk23m/MuKI7oco/k68x
pfVcRr3lcoQkYbvnZgzJq9FEmJL8uE3NqrhzpyqmTVSEl0biZSjmcd824x+PGuccBOYcCxfO9+Iz
P85YgrCiectBC+9cBQM1MrK/xIgctJpvCbVyCLmRf40BGcVyKAc6LVBQ3cYo7XLH9HOEcO6dGdaJ
a05mqxuk6o029aEM8ULUxsw6pV4OsvGHq4cfp84O1mz+0g7s405QQQWldM/D+M1kXp5TSZJzSGHE
DTzYQE+HHv5upI1jpoEoN2z/VuBe0sMAJPIh3LOihK0pDcyVqr+BK/nxs9Emv5vPIRZYOyC2fypy
xdT9wNwKO1KRXCMa1RvgwsAX/fGTNLQFC8JbYjO9F9WcbTG/w4rkBdyI1iNrbSENxNi3EDc3ZHVV
u6nSB68cfk0GtMWak29oOhpfBhFYcEnnQ6y7cUJ2EOIxCmKfZbSSZNK4aqx2WWGStONB6SZXcUEH
zTaX+PgVBDQyidojguOr/QxV2u6WzL7B1giHsVISrVb6YrX8Wl26VDlzTbU8MEyBiu1STnGrn/K2
N3ZI+oGlZaTsSfc7ZWZtI+d2POFQR7sotIJt4EBngpQLj7Vo1DYEa8S3+IVHoaIxHz/s6Mg72GIs
nhGjwFilcgZ+TeowqR67UiDTNky33fQ9iHPhqxeXVf+NY6LdrHTxzG1x3+ZmxjqNwPDZMfac2NMe
JR6dZE+YczL5h6E1L9Bczn0JcT7t/9Yd4YkKGMMGQh5g+AHxzMiqBxlWrAvMsBbzPhbsPsAwGh6r
IlAkdGHL2G6CQ6dBgQU6lmypdbDLKBnyPx1V/wkRC7Kp6fGFgBHg4gp+WQ5YwzQleaauYi8aRmg1
3tmVXROXHgWPqTGqOC2xKqVirpL1F988NPu2WknzsujiuvNwtJXlsVvw5QkNjre01zVOhViRH8BO
XcrpAYIpoNwVLwciuXysAhjtYC5XyC16YeRspy4QLz7iuYOBq/us5XPXNhLTNw6rr9mzjYvMirM7
DsON7d5jRB5yEpb77qWdKBl0Jm6axNuNSdQ+DG2NDnOg0ShDttzAZzb0t+q0OC3vWM/0r6ZYDTnX
iBWP1/3wbnCs81Qan1Zmekeknl/5klZsClitO+IpyHLz5Hh62zvpfGp1a+5Hyf+bmJheOZcwQ3qT
juF3NWYznWUiyCyS3heUCcDbSypAh783xehyxTHYMTKgcJFMbHaj1qaxugGhT/qaVOquqBM/nih4
rVSdTWMMET7kLVvpyDn5y70RoG1LgcqteDoQoGJ5mRw2Gyjzra0e+lM2AjpLZZTvCux0O27w7xKe
+cHhiBvpTJmdk61c91chK7lfhwaz5YSXxXrXDNRjMpE4QiwdXGy4YR0RhefhrzlybaCBfKok71Kk
CA0vbMe+9TpkNI2bfrv83Hkrz75pHG1usEMxNOQUZBWsD8E/x5XEK1jSeQbEwOpkRAPt8CtqtCvi
NkjKOOs+i6g4px6U0Iycogl7pYYMZvVjs+2mydoGgT45PBUhmox2RrVm9EyzlJ+/2GS2k7d+BSAN
Ba/61tkUUoyii7qkZqSOSy+vpWiOsxF8u5X8O5lYwHo63kotO01W7ZYgeNoTcng4h3dzM9axI+Sj
LHM69XSdnie/+pbXaSiScZd2MzNpNkin6KHK1y1NJodb285sagiTVRSRqHuzpkkwypqxMIDvQzFR
ejOB6KiBa8RI7PuYHGZgbDJdnyafPgCPABetxRdbY63bKbnGUWHp2yoSqE+AqfB/qBGQVfTlLmPy
IOwi1opwud4IKFeFuJMmpAs76x1myYymolAS1VHVK9Lacm96w4LgJElvi+TVMkxqshQsBXISDdjO
Tu/X4NCgc8KzbyR7NWTGSoy+9RJrPxjzW9nwA7QTtlovx9tVt0FD2Cdq5kYb2YFINfg8elsncrqf
0DmqSBg3E+oAfOiJ3ld5gQja8I/mYptAloZXOvwu1d6D5mlPKosHUDKOT5qx2EdiJtic+LNj1BMf
ZlZkj9um08a5R4nI+WVt+UfBqXPtCJwrsKlewA0mPz3fJSmBXwD73H2ukLLgyTjDNyKgdRJXYtHK
DfCQWFpavswjw7i2q7d4XjlrsvKJfXx+CWcwEtgjhWuKp8ZLP35Oi9L26Z+SELqtzo5mgN81rT66
Lmif0sq7GFZ0Kls13WcCHdwEiQfFq2i2w9ySFOd48RgIm91lynKcVRCjrGxPwPsh7QIZm1b1lbnE
vSoDryIf+StSYXmTdfro5aN7p1uxN2qJsTbCrnlYfJ7IH51GCeN7u/Do1JDC0SmR+mPO+cNgfg1w
/mfPYYqYsnANpqPt1dFBSAHrf3kVkZQnSrcv1xoFJb91UjP4QQbOvD5mdkuguzgFbU4GoNX26+wx
Lq0suJ/n6oVvlGw/T9NxEzkEJu5D5QTQ1gk5kdK2gMrjod77y8pJnw1zWxNDc4YElTMgWqp9TXzv
HYK0nhu/9zZcTOXJ8D8VV+AdaCmabK/xrkaa1at+d0OPM3+Xc/W3AE4H58e86ycV3norCp1SlsVO
lOx++gHRjrBXenE2a/crXOG8ue62Vk3h03XoFMaU3Le6C1imU0f5jPi3d4U9NkfXX967iTs/sMnz
7awr7jCIwX3w0M88HIS+G4TSzYdk5sORFQZNq3UvhZKc33kIJp9hbaspu5KO8Z+TOIpyh0pG+33A
ETWuadSUoROgQiufSU4HZ5Y5pJM3s8kEm2spBQLZH0y/7mOrDQ9sJ8ggVTlPb62uOhkSGm9/5xjF
n7pBpxWO2RsZWY+BGJ7m3iR71Bg/yi67L+ph3QkCMitbhseJzt8aVbz1rneGUmbvJpsoimHCwu1D
TyKsPhZpY+39jP0sIWNLBjdjwDuP8/bvpHxjM+r6xmnzl9RtPhuvo6jK3kymgFyg+NarlIWrz8ft
4M5bEmzWnK7eltT9GpT77jbB7dQ4v/qyPC8KfXquCfbMO9YduUVvp8TJnHwPfBbhn3XpPKlg8WJR
db+5p5GFAKBAA2keaq9ld0rEJ637OYmCx6ry/pI+T0C9R4qvJy6In696YDFbIhaBz2ftDdXeyYDK
kFm2RRoA9260I6j7VNTa3TpMzDaGfRor61GlxVM9cqOadfDds/auB2SWdgCvriyQEfSILJYEcDSg
2K1CXA6Sj0Wla4tj0+q9EzSSX3n9nFouYNDgb+OLN7Pl7x2cSfC3wQ4vSSUhwmy6M/muRr87OEk6
keBQ3RF6TnScV/4KVXeJbMwGojubdq9vupFLiQEUW6/yFlfYY6YtXnVgAtBr3h1d+rd9TRfaC2s3
FQijfWiYsakic4cs6jBR2jjs4jbogps9tvgR6uRwZyDJIXylBbyWQeksyfUkg8dRgLpEn991dvQo
MgJtEKVuSPRqdlUOGmY2SHwm1NPJ+mZnuShTlMrvXPxPux/3vGksirGQ0+9YdLCzYN3P6Otu8l5E
7y0wDlAkeI55zgiF25UY8Rpg77VHfUOQabbMJIvU88WydmGTn3RZowKxJi6qajfmWH+dFjWPAEZg
Dc2NGrD6G5LBVcqI22KdD1OcYsQcq2kXkLGKvXilEFRjvnFbTnGnY/+jGEmVKVBHXocGmGb5plvq
1MhmxsSfRwO8ixKd7KFfpVszQQ2Vzt37SOXV+TANPYHFAlC+4DhJzF0a8imX0I+1yeLX4lWnirF2
OuGnZtMAWNLBkUHIg/PMLClglMX+J3dHk9M4umQ07IZQ9NDMdtyJGJEpZQwtlrZnGloyZRoMxjYj
QZJ2DWnYRdwFzI43wDB3QUaMDoaj4DqMPZTS2kKO8uo5FiddiqTB/5u1xmODVQNJ58z8uOnjui3/
AHuGQv849XXASqN8NzDlbugvkBqk/RXonbtN+9SJ50tB2xUbrfwg130rPOfJ8LdlnR+KVO+7bLFj
M8KUq84WW3VVmn8yG4MFGmzypCExE388PGaL/ycgYIAQgONgBUCrw+63T5Dj2J4UnThTKo7UyePk
WBAVuSU8fOHn0CD87RrHQmuN2mV8wZj15InmWmM+26Rr4Hc/Z7et71OGzfXNUkt77xXtPflfaHmq
kSnxOqlZlvuAtnwTMhW33M+5z7dIaFXeX1utrjkGrJ1f0SIltGHAh3CHiqOo1G2d0LAMfFXhLIlx
keI29BZ9mhhG5o1Fa+2xyglqDrPwXWqUWdIrDm5J22Uz8tAKXRFrDHmXC7+DCikaTnry+ObyNidd
azMr56vohvSkcxwPDoJ8hUHeZwkGnNTkcLOLLem4LAO7I1wqXpmaR72sh+9OvYQV+y1IJtkxyEwX
xcBMZIE2CShexHwSMImJBNhFhMxinViuhWUku4xKbx7ombl+kMGrbg9X4Yo+sjgaQDJ4iT1aY509
2VR5+45sxG3Z4MRyszoubIp0/IPQ5OS8sQS1astnaHNOTzaogJbaz7Ib4CVH/BDhCB6oGb5+6gfF
upZArLvGRLUdlZh8JOwYXt4yODi9bx89RedTWMFysnt2cFkwj98hd/c8FA/o0SglnOYPcR7Oe9BB
yfB6MTxj7lt2ZTAv9wpLoNNRnrQT6NIuaDBVyeajbgK1KsFV3BZk+wrv3suW27qjbUlQSW3RpqBa
8Cj7bfiz/H5/h37/ifr+F219uy09gFAzgcDjTDccaF4ylpx9kv8qZbrEPpwCcMp7OF/uRml01eyF
j5wlj+Y4HUO/e+6LnGLV4tc6+LtwITqy4+sN2EKPo7rrC/ezbvJjPy3nSDdHO5xu0iTwNkYEtNWV
R4UufO3guzjSJtWnYjSWfWV2+Fs4XDARUiqzI0GuC5S3Rdp7IGC4P8/tCJsYCHyqqkPtNoxWCLxT
/Br2oe7fbOg3KrB2SdHdpLy5iHFYFOefQxE9jE392kzgg8130sWf23X7n7rdI2l/qMwDDjDTrrgV
0Ivj4Ye3LgmGZrVMcvw6zUe3UfkP5LXethqIapWySlbJLzct9kGQ7YaKk1NTkKmZU4R7beeO7Utu
0isujXk17MI/TixAkeqjx2H1e0N0Oeqd/2HuzJbjxrIs+ytp9Y4wTBeDWVWZpTvgMycnKYl6gYkU
iXkeL/6ov6N/rBcYEdWSSy1Vdr+0WYRlKiQR7pjuuefsvbbeP+ZmcVsr8lM79Bsr2iScx5WjVF9L
U2WbZ31RaBaO0t0IQOMLnobBaqVfBXnQrxhMqfiuqeeraY8sOuqCL1Pe7eKBSCII8LWKCL/7HLXa
Yxy6HyqpwEdjaisJ4CG6fee44S5vsQawcWFH317XndmfOFvrxDFI1M3UU6Vq28Jo0QlO+ludja1v
jIYzr82cENppdHFV0AXsQNrsBsjTKe1vIHIkyf79fyn1i79+TduPkPsRZqku82QzoSyBOq5B09EQ
n+UHaVUUXFr+oIZQIMhyfTVm7A6NAzbacPWPejQYnlkQFBMZS2U6fkWSXT8RILWk1yhszqKdi3Tj
zM4YCLXNPl3Lh5uChiDzMcU5OMxaRIx2RSAYH5wmPygDSJWBwp5gSCs/Gm7t2RU0zjkEdhZqPTRd
tXw2YHW4He812LnKuqXdTULznRuw+jZNTd1kolS02ck4mshZztphKxYXUByRql2MQmealt3lZsgA
3kAHo0WIRjSTLdP7f+MvGoJMDSDvA6lcfgH2aoVzQ9L9nLhcXdVtUfl2MC6LG3K86hUgYziBoVJy
oeiax3aKALNj7SeQjmBJpJg6RnDIl9edUs5M6MUx0RFNaF2+ZWTc9MbtFL7JqaXZ2emaX8i0usq2
pDqu5m4IwAOlL3aOclTwBWZnOAVlW65bhxBWvY8+omeG+xrFkxcmbGCErfpsi1MvsHLcowjK18vG
RwVRZRQlNQT6ERhD00OtTdx0cbwFCrFVS/Ltx9aVvpFpt0b1qqMyxUQyu1WLWck6xj0Q7MyVG/Rf
9cHcoJt5iNC2nTqCVVZ1NKgbHSH03Ll0SpoZKXLzHDXWVlR2dCzacMkxeEpJlaC7SgZyzGS1UjDD
FBh/MMvvjdKk5BG4quG2vhoEk900BGiD/MOhG6T1AzPrx34sFR9NCka8KTjTsGCb1ZcvUdq8JZN8
tgfIV12fbtUlBiB3m9kjfGlBtjIOazGXt13U3WEEZJCnm69DYtGKFce05OkzRbUJC+lcF/Mnqw1m
33HjT1GKbwAEvJcK5nPxLIDf6TVemfiNvfiwsFsCX0sNgMy5exDmyPAWs+mIFBbTVvapjkloZTI3
7JRCda7KilUNAcNhHPXbenDdXRuN0sM2kqxdZjZeQ+DkZjC1r9yBJK29mytonW9NJhN0tg76LJF4
uhFCx4DRFERGFpQBeIMtlGmtghTxYCatmBNi18ZuhAAiPEimPdsIp1lHm2aYgGuPJDL780Dcj55p
B1XbC2ca/Ii5xNZQmVO73ZRvUe7Snwjhslvk+jXimmRinbwg51XqxbziLRR7OQ1wkw+faNoLpcDI
iffgaoob4V7FoMuvh0qnR10c9YxyWkQldx6l1bE1mFgY4KCogrI7+jMQNelK6nuZmA8VA7pqHIr7
BMPj3dTxh0ZqVapya5O0yZteFele9HG+MqNAAovkvHYfUARKD1huvs5F9pbRHRVSnTcq6Cuxykpu
XLMkhLWRL8D/n/XWsdYFWMCo0Bz0Wah+C2LXVk6LKjJze6rieuIKYC6sBvGlRTASx0J6aJoddJ0Y
8GZVXpHtTsYZKt1V7sRfjLD4nFXBWddwrbkKOPE0aJL7xuXtOJEqqtkU9LI2EcuZQMYTAJBotnU/
n6M7TQVy1VP29m27G2YX5L7sOgb5DLKIr4g2hD9tBKYe9CnDif2HZ0NSKqZwx/D7qibPdp1rvLxn
E855Vz9LwddSUrHR0JH5i9TesM7V2HwlyjCjnUwxG9Nxaxh/TMMxpA4l5gJXf8lweRTOh3QgDrpp
iFBsrP7UE+6K+oaGY0fhGU+ssElVE9LRFVt1+sIonK50SWEpNZpBifUycpY1AkzkKLQtIxBgxTE2
9LTvUbnNcGXCaNGvP6CcTf3S7vq1q0znSGxwQ7LTmYlFoseUSHK2YKwSnZyVCa13bDNja7HOmFC+
O3JAUdLjKOqJJDb5ozKKxoOcNbmNBub/tENw/BGf5hFESVMKLey87Idioc+bqf6IEgL1nrFpMVCo
c3EtwurFVmtkGOaxs8bE7zUi9sjau0pnkivI0luPk63wmhuvMlrbXjlnGF0dvoEbPjLnI5QpIpyB
CzKF9b4sloZZbr86LffZorXsWNDpqKYdqtP6eih1yKN1Qps8bL4EfXTARJf5ZsZxaP5Sb4Jo8NXW
3U4UTVXoNxt1VmI/65Qb2SMeCMvQr/MM0Y5ob/meOBbFMU+pAVXodJTjPb2iyaQLwQDUT6fwq0qg
EB948Cw1frO0ai84rTalM8aauVuN7chQxnS/dPTX6JFjTqBfVY+4EMKeSZxqpa+9Y1Ue+QDFOhtn
JIT1rUwF0+o8zBZg/E0byJeqFMq+dkuiv3uEKIlQzU2TDHBfI2dlI16ymZGuw0A+EspZXzljHW9o
92bHZrRZe8PxMIrpNikxmJhhc+rnr1EI7l4lsJo1v6W+EelpTCUqgnxmxxFoKtZ6toBasTaXCXwQ
2mALipE7n27p3s1570m25bR65y1BdMMmj+KW4qd5E4N97KZBO6BE9mUTqveK0WNTSZlBqU5Aj8ed
zo0Vg0LNVfeub3HqhrMRHgpZtpsWJOC7UA3I9Xhfl8VwQACR89aIqyK8GnmDzsCyb2SDfzwATGfG
7bBBXvyU4MHfGAG6aZl9HZCVr1M6tEg8SKkRfXenC3QkDeqerqHhoatI+7VBvx5C525WyGuZTCTA
QfE1Hu4Z1QAuBK3T0bhbRTMqr35ytZVDMbnA0I122meMQZRTa05Pun2PDu0jXb3Bi3Lto0KaIGn2
LUowU3BlsC0sGsl33bYpB/SW01FzgMXRWWzA1THEQ+wCoxHvgtTNdK+Ui3uoXjIE1sgNqpWVGHfE
bFLfZO1p6Gm6sH9Zt6FC5lArkMrw3CfpW6vUO9Ewdo4ClBTRFL70DDftOn8i1PswU7EG41fXVm/G
g2blV6nVYCeth7vJJdAtptCJlfg5TghscKMjbskPlqN8TLHjgFYKVQsXwHBMc7FRQu2hUZpXr6ox
Fo31/LVktVy3RxCLzUbJa7p/U/s8sVUyYRk7c7tighQ+KxrNMTEicUEp1yoPvfsUR/WzrXUvMmxe
1EmFAx6tTWPi3tBK8G0wA4aS9/Wgb4WOTeudlZEjjZtnej9DzIW0SuUxhR9aONoKTdl2yNQj8ckJ
Gpr0xdQDxK79K5wLP03wU+gMvcLsEI7zg252n4CgMtJhflSa1cbRzZzUIuy/1BFs6WQkPSFuHfE1
phlk59WjqhNThC3hTgttToz6DE6Ed0PVfJpicTZpPXQzybgRa6EXaXiAWtqB1y5NdbY7sZWTv0LM
QZ+TLGtz29Mnmmbo28N5zmDULWdfWZi8sJhXuFLI8SgTsS0C7L+gfSBhdJ7e0C7G8RZvCovliJpl
Ry0RNtTnIarEbVzA1k7ldZ3Ezc6wEPdZqP7Z+6IsHzMiCNXePIpmPKdAY6+ntjgMOvqH2Fb2Q6N/
zZsh2oixYpZmlBTq46SvasEQS6BVysPZMybuVofkExYe/EmFc1/LIt9F2RKs07U3utHXjFoq1Mpz
u303bxAYzo1QivsWQPEeAxe9v4Yc2ZSkKE/JQfJ1U3dvhsZ6l5hOTIOpq+hgn0lNQCSwCHAmxX0l
fWHYMpgOsGUhvcAr509jQRIVXJL3UQcZDPHWYQBZaq22K1IX53mBvZ2slGj7qMWRs+sWJX8xxVQK
0s48HZnfxnVC01fc+FmnX7dukyDhZZIRAzzTQjFL9N9TwODD0eOzJFlwV5TkNjcqPOmByFKX3pVX
ITb1akzy76+asXLmncW1XPWgk2mGjPJIvahT2cX65iB0hhJJ09obu1dwrihjy73gbGrFXhMjO0yy
fkmHbOMk+ZeAjFy/C6kk1GlW/Ja2+trRWLJ7Mx73S1CYMTbT2myITrDrlL5MGrJARm7i14Wp+91o
PGQM7VZOHxOsywNB2NPEzAqbm273xtZWCt/FY8jbuX0MDHp4MdNQn/jM4xwinfm1Udr8keCwIMSQ
t1i2pS4QqO+tsqNiYORR9donV5Is5kI/GGN5n7E8r0Y7/BwMgF2EfQo05z7PC1K3rPh1yk1sqQ0u
RjqEj0mWXtM22Sz/EuM7rrL5Y6U01lVDzHQXDuza4uBMy2nfRPTNEbz7Q6sufcr4uW8qbD5lquA+
YRvXWaHl0/+wltkQyO+B5/8WDYVYgU561IgNOrRMuFdpXETbnpc3P0msYTCkv4GDvMO5vvePC9vE
90bH1sBqpV2cFhOVdjAai5ZtcJRdVhYNuvmK/U+5bZE95JX6Nosx9ARqAHJur2l6U//mXb4Z7Oxj
ZZXcGSWtfrJYIitdGCFEkuTjPsriu8bWP49KCasY0R09TBhfSC8A+oHXQtdtFHZJO956SyvzxRSE
ijtJxv6MxCC4BwU2S6Vsi2NQAcgdmt+YuxeAzeX3hqCKEsE1+drvULNvAAKGWtThjH3B703rWptL
Zr5O+IUAWsxVKJhWdctn+PUtiCP/x4NCEwJhvfj1Lce6oBbYYlZ0ZxmhhP05b6rXQcU0KetH3urj
mvzRGNLCSmmHcxPoBY1h/ZhlFC1TkeubKcdkQFNAAUK8MnWHVyNhsoog5Unkh0ElSURVvbLRX5Xa
aj3ic64gOOFsMJuAHeRwolqc6bEbN3FGUGBgD5vONqZzGc3bbuYVTLac14bpc5hWW+EyI6Y6bje2
/IRn6knPmSaSJMzR7CVGlbxhX+26nIZuU4P+xeseNBoGokmbloS4D0FWnSbHzU9h/QjUzF7VjnEP
TxAzlbuBZjUTihP1jPCrM7Mmd5Wmp7Qw7mrHPvZwytbNR/QxBDy7aJrkRNODEiTihviaMMPFjYLt
GrcVFWkXetGkEBqFzaJiQAldX7WCmzo3jqRnByvaKYOP+evGHpXrRWoFqjXdlzqx6V1s2afrYLbd
D1ZzxUihx1fThmTeJLs81tjBlMWTInBlF73qHBXz45S17K9pXrrOZK2jjBNP9PWxkd0XBKTtY9Oc
fn3P/MBYtgUMV7oXrsaYFHfixS3jyhII5FiXLBPI6KfCvArL9KNDUhkTvqhbOTpmsNgePN2Ud/Ry
0j3Vsg4Dp36UiZdYxDD3wYShG7VO3uIvytruyU6NlyHOfcKEzL3FBJkEiTkjXGjy1Soqf8PRWj7i
d48a0Bxdd3VAUjrzJefiKwz8ThXT5fbFsk1RUTLWZn0cK8ojDNr3Qqmhd0Tln7ylfynT1rv/58M/
3srmH1f3m4d/X/7qS1nJJg6j7j///btfbV/LhWrf/vIPPZQ5/1z+ke9+bPuf779NLNDCy//uF/57
5Oxd/9rI82vbZ39+hL/+5H/3N/+b5P5vbrIfuP3/bPpnsL6v/5WAC4nq7wxb9w+UeBZTdpwmqmkt
l+ovaL9NGi0rhM1qYXIfYuT7t3+glO2i//g3Tf/D4vpCgISmv4CHoVC0Zf/Xb5maJpBvm+/8JG7v
9xPPt7798xbhhHEh/vev//FNkuwl7cKyFgC942iqpUMEvQRNBqOc8rzCxNq24RnSIq9M67FVq12G
noIss0C4H0fd/fjN2fnrU3x71MvC4eKo5gUFpB5FS+pvQV/ctncaJKdyOPy/HeECDZaPUdskFlPC
JMHmXx9p1qx+fYQfcITLmTOQ7DGtV1VXvVjlJbtrtWVa682o3yRd4WlqMOH+Dhu3UA2/fdLfT9U3
h1lO5TeLKiHdHWkIHEZORKJOj9r6Qwnh8tff5XLl/vMgwnIWJqwLWPz7gyxvXuaAHKTqdxrmkvmF
8fyK/njyGwQv8Vw//T54UaAMERRxeenVJGEJczPb08kNyHLwSUxL8wLyCFWjWyDtZx1OMNEGBKVZ
6hqz9SAZZikvSviiMgZZhl75eIUkLSK/oKvbzah/UuCR9wZEpbl76KbwWNunrrjK5D1i8a0yvdqa
XA2AuGwkBRRP8PNWNiS+Irc/FUp9Uho2OUq8j2Z4KAkSCsAZwmsqATvlTTbMRvvWU5Cv9/14azrl
l7HiJZvBAsqDTZQKL2qRdlhfB7pK6fxpzMi3PdU4pFKQp0IOvmrg1oTg2lK6qvQQkOipufDzPGeh
Mdadezvld6bzNuRsG2n/GO1VE6inkeZCWhproudWpRbtSAJeV8EanhejrHSbwgASY3EoZpNdOyJi
jPumoexkZK1RVhvMK+IsOSxQzKD9WhYfDHHVJoAwSGkcUUjgZ1mSC1cq8XNJ86JrKBGueuu2k5/D
9DjDMlCQNKuKgmIMgY+GSvk+zQ4DI5bK68U9TOMtxQS6BZR3cepglxWcpoH5hXbswABgFO9cIjXU
TwNZjUZd+DyKo3gRFYNLtvRJ0W8DsZZE+032Z7O8y8TjlHxSTbGtWptSnciQaB3AQ8iRBTrdjUlM
cVo3e01jqkJARjd+QpfpZ81LtTOG2UcjyYV8sRJksXO+ThOiKjQXPzMeWdwxbS29JiuQNn9C9rAb
Ffu2TIJrkTVfxunOAuWXorixbeOxAHpgD8tOI7G8TjfORmodIrSoeJw8hb6qMmmbGN08FjCV0eNE
isXygXjPHK2xPZGe5OX6a6M9MjDipXqYdoNKgmQ6HFo4aYby0CQVI3siUhgB42M3i5NCJkKVl56r
+iVNDzRKrwCePPpdfmL0R4Urh0Zs0w/Vlgk1AVVbDcWsNqEPKsQG68amKeRRB5smEuIr9fTQ0yce
Rbau2u6sNfqxU/sHrOhHAAJD80FHGJFZw70a9scY5GkzmvhnoRzEPe2A9mbSyi1350HpynXhEKCM
usd0xg0cwZ0DKobsWwzW5srEZiu7j7FooEN8DRsaiHQAtWeRIKjC9KbTmjIR+8SISBXC6k7EDZIo
zCzPoMZNzWxXdqbXlIyL01E5RTF0KKJMwh6FIze81l9VaGGUCtKtvYT/Qjyq4ydjwYZr8XWTMcPp
FcAixCQo5Jzk3FwKo0CLVl/qjgerKda2V8rwizqnbKRLRIjcorN9NGckxTPCBiPeayZmCRvhgY3p
vZB3k/JmR/1eQ70GyzE4Blb4wd6zgUckqV/VzvRZn/ruxPZzI6HVtT37sqI4wTfwHFz7SnZfkjaF
sjVCbWAd5/TOMXmuhyN4XwJfTb5itDUNGn70A7V59oY689GNe/h41vZQkdTYr0c6RHyvw+jY2Ah4
aPO7FFWdGWAZnRFhm8h7MTFM98tlKJJrkT73g0u0OnHiUXe0u/DsTuoGB+EqQRqjbsIRHwdUpSS+
Gn5LKP7pqg5q9u9X+8Way0jPCKHh2Ci6dgPsF+fPwv1fKj9/Xi/+63XnL8vY/w/LT32pAP8rNuKH
ApTgqNeiTf/n//hH2XZNOch/PN7/89uC9P3v/12Smn9QkCINUvGXY0Rc+jp/laSW+ENdFmYXO40B
nX3ZO/1dkjp/sLV3NYLBoaP9WSr+XZLaf1i2qQPTdU2bcbBl/Csl6eVtxIbMgiYuBMWywadZKohv
Kh6FYIExLPTAc0Ec6ISiSif4zfbpsgi5PMRFvUMhTPLFyCFQYlw5ZYTdyYsh8pDaS9Ld76Byy0/7
toT782h4V1VODdu2i+eigzAQdqoaeA1koaK4Kc38VJaSmDUvLBOCpfo/92n/x6L+B9TwckQN1Y9p
abBxf2ApuoIOgoqL3nOG4QhISc2OJcTZVFO9OpDbukjXMa8i3olbM0oPcS6vO2nuZAhfjpMtB+BT
FQIjxbr/5q78SeH/s1Oh0SzUHBXXvnXZMdQSkyzReQq8MlLOlZHtUL/7xBAdWRg3euM8QtT6TSrm
D+E+7yfjm2NeVtB6KKngRwJrosGfMa802Rcb6DsRNxU+P6Tz9AAY8PQJgvRwJSb3Nw2Hn93Q337p
ZSfxzQ2N8M+CJ82Xrmjfo106AP/Y/fq8vvcUL++xJXODR8eG2X55jyVo80osaVzxoLyd1eJz4Zg7
hWOlybU7yD16SjAf/bFFa+l25S2EoNkutr/5FJd7ouVU2wQXCbqflsrW9vtv2piip5/aBJ41fCaX
zEsnYoQ6tF1ttksL91Thm1VoPoXxIREuN0Dv9fJDnTuPUdv9BuNpLI/V5SmBW0830iZXw74EObqB
ZEFCX+QZ47EIUGNOObxGCg76qgpU1qYeV5WNvU/FIkBlhykaG93o69I8uNQOXY0EPJyuGRUcnCjz
ekqeAgtFKLiKPLNqQhhv1R1TAhclLjYT9RODFhRI/tBL7zen9mc3EY8yOzQL5a9mXrxEoLMUlhmV
AXzk2ePtTbWZsCsKIen0a+bTW5pMXkq3eMbK45riSufpku5TRJP71x/lsmWwXGQaEwaFCphwdr/f
X+Q8sHmAaR16NkikCbXTSG51k9+yiUd4hL4XD8Pvgh5MVrsfLibTZEJD8MixDF3cWUZIwdl0CQ+x
+oDv3BOkj85jfKiRHdTzuMmRTKTRJw2hspqIQzKYhzoMN2qqnJY3GmgY35XKSZfuCVkMotpwszz8
M3olBRTBZCO2T0d6ozfljAoZK6QB0AVAjiqnrZOEKNqzHWTUm4qhmUVuGTMHT68xTLkZMNje53NJ
hmq/PtWkafzse9vQxtksqzpd9e9P9kxOX6p0NlDKIN0RsIy0CbtjvnMM6s/hmOXdfphvUWN5GTuO
HthC1wXAoQipl/0mnvr9UEJZ0XJUy1964pPcnA2hYa6UEqHexMAFhX8lUI1MNzC115NCGp9EVcC2
DEf/ydaGTQCj227yXUF/O2sM3tnWDp3jWTbpbmhKJCNA+dJ+nTG0bGC/6Ha2m/TBn2iGhG24LejA
L9drOeFqjCQ46deSvHB+bzUquNNt7G9qcrDb0Z9qgWUCGEa5KRmeRO54bQAfJMxxAIRxM4TjtepM
O+spfGii6igxhvJG2tM3Z04GVgrpFmrRg4A7mVKnW+ybUrYpaZifXJt9BU9DyWgoM+R2ckIaAALq
0EJMCRcI6amXIY0I2sD6IVl6wzxuVvZUy+5osK1JYJGNhrJp22lbx2SCRFAqJ/2gMN8NHMpzeavC
UVjOfCfh1hmZJ8Nxo5vxYWoYEKCO0mkEoHE5KPwoXkqLwQEq2RW6sSuHjttg4UnthlXnOl7ZZtsx
Dx9kU35hAcPcT+2u2JC0m+laH/lipvMh1+KznXY3Nu274DosgTBW7Sa3bOQO0KfYzSF2uGuK7DZM
bayDYGPM0FfwuvZhd+M4AK15X1nIHGv7FioQOjCs7+xQs2rgnjZ2gYLzQn8kqIbBtPMhWVZICEku
IgiL+kmurD7xxVYYV2njrIaFIMr7srTeIq7usggtV7zObiglPaPwsSlJETxkUbODeLyKi2S5DdDe
RTgRTSbcfLim3zALRTtEj32VW1BqYp5g9UGll7O8iFcuruqlaCAa7ZjFCttedo0crhzmbTi3Ny4/
zY4CX23wr7toiZz7NFT83C5ul4PZAu4VeOfM6jb0tX0oaoeWxSAlt8NxTNySxZ5caG7jkyW6/aTM
+2gA297vu7BnXqIyMIrXlTttC909YYDZVVO3Huxpu7yTIeqj2xIoddZOBkiGb1QnYhem4crso3PW
Ij5kwq4qIWwF4fVvOcSOUUnvosSHHwsYmUIsVzaJg69p2BbETvNfxMD15pKwK9yTmbRxkCUIQas2
iyAngREdFPuYj8yZ6UqRfkyLA5+pzViUj1T1YpXbsE+1dt/WFv4ZEwl/5iHwXuxvG32Yd226tsSi
ljpoISwq/haMKbAG0lO5FjMXMRswc0kAtZXrsy4AXdNQB/P9SYUAhxSYy4EyIjkjskpDoOfSMyBR
hIACCiScVTj4TsZyabBz5d/K4i1jyW2BbilNwSrrgT+qIKb0fgO4BxoXH45/+5blmJ9HvOkqtgiM
ZOnOBA0YfNTM+HytTndqiMgiUTbTQEELqmiIbIZSLnZmnXsLs5VqH5rwjd3QIZW0RJCkYjYlcCFk
bBwfsDmuxzy/bVS6KyTT80ky3Ay2Ht6D9kRvRmFgcv/rD8RIr0stOQgNTDpXd6kh0jCFGhA/tdQM
Jm3TGJW4ScOAlwLtvN0SjN0hG9X5yQq+oUY8/XqR+NkS4S5zLDI3QX9eFl1zgyXE6XTXM5wG5nS3
Dotp2wv9NyWmcTlpXdZ9Ug5MW2MjQ4LaRRmbBGZW1fRuPSaqhzyJtqiSVo1FoyYrMfpLlJEsvpCD
Ypmz/5ee1gQ+PhOv5q5YJBeUngGPH7BGeOWBP6hcOBF8NIb0MwKkDvNEgCkw4MXidB/tKSObVKwR
Lf+ulPpZAePyXaiUHbZkxkXnvjOSqMgDAmbDOHkKxhtBTAK82TWi1AfqCJpVxJkLc5foxmHif+H9
ont+0qz+ecZQbwoe/MSkBdZB/0h+U11pPyv0XNfW34tocuqWSuib3YJOWzkzMstFGcrbQulwMYHP
KubnqWOqjKaS0ATf0AUw+nZdjPWX2O7WtW3uCjpY/xd31jcf5eJETUOu5C1NXk8Y07Vdh4AzyuoL
iseHXx/nh+wZbi1b1UysK8RMcYddVHdDRgy03hkus5TsqVLNKzx9ftmYu0AD2uagwee5K4YA64r0
YB2uc0x5qT7gr7kxXWWzLBtu0OwVFTimCyunvClrJIw9r4io/w0jXvvJA0ctppHkY/Eo/KDvsELZ
ZHajuV4P7kqhux8tKnqFBeaRK7eSZrQqgW0st/9Ac9LuuVfe+38hDX/xL45u3k8d/DGbVVfFRnhx
6pTENiIoUa6Xa5+nNoKt0x+XXUxMxZsVv+ss/GT/bhNHx/xRQ+FC5Mn3NyfmUbtMM8yYerLPe0zk
iQ60F8G9ji6+oqzpPv/61jDUn1T+HNJ1uUN4tzGf+v6QmdXgEIo5JKYIP2VR7HlUnQaHNk4m0AvY
Ba+Iy/PtWvGXP7I0NWIohb2OUKIShwA33XLL4EVf5wcAswRPYraDPZjPWN1kRl2TnUYX4zO8UyPq
cCBTHKqBP8cT4FZ126N2qIksQDKwnskZ4q/nmAEoubZNGF45Vn4amITMzyHjhSpX7qcUJF3d3mgy
WQ8OhtLUuHIicejglcYwB9M2PrQ51WqTQKeAuTaInV6qPr7WPRlkqDVy3pbRmfePmkGbzdal23v4
Yh1uL6S4G5lEPv6nXcfa6ICOM5zeHzno0r9YFvTlmVgqcOCrftH2x+UNV2VsFVDcKssohxCwnmmK
5A5lDyBnE2rdvHXYyS1PXu8upMfmRqGmUqpoDZgLn6C5W2pe1j2cNUvNDL76FJqKp5Tsi7vkEEbp
28CzCmft0eyns/JMZ/GmpkwaOIGY/bZpMkBVY9MQt0xwBn+pn7V6JOxi0w0D4IFsF1DER6pydtJw
K8hE6vCLKGPgd7Z+MHVmKwHuxOS4LDfM5Q6B/jmug3NmkkW7Yqd0bF1gtyqnu3RPbccSMjgnA2Bj
Nl1NbeZlMxKdpGSeF24DigvoZX5FR0yFIBa3D9JOgGkRss0qtlSKwQzPnxo6GnC13RMJgqdn9Gu2
SzbK8rZzT9KGbtxEh9EgAIcrMXT1jZrTdpcTI45NVbFb4AfA1NwU+XHpMxnuPc4MzrtxNbafDZHt
BBvP3A63bs5WIo22E5cjGp6TsdrkzkMDH6yMxdp02VUAKIqpe/RU4rVsD7n1YhWf+QcPK7vQcNvD
aO4gLTWd3PZgSrQejo29b6mpYLhpYKJj3leuqr00PTDiwLgCE+m5of0YsDsG3XhjF/J6+Zgua6+Z
UgQl3EZcv9AdVu5MAQpITljTtchvWuvB6MtT0rDFaz9bGnyoMb9d+qiLbFMX41arMPLkA+yK6GBI
1EH0LqI4vcNRDh+HtgwtFzy6dwVtmKXbK7oDG0vgFpHfqGKHpQbtLGq9ekYzrATxypTpE3W/Cb5S
keCDp+vlvrUmbPK8g4dx2CzP3FKA5G67l3Z6klQbpprvatj/ZN3uLVaQLuDxcRhMsaeLHWqMES6Y
0vtWTn82tI9qiy2w5DQrXK6YC8T2iJgVBKoPMrqe1e721y+5H7t3pH1btOIN24EhwIb1+3ecq6lJ
z/lhpxUq98uuJTcn1Ef9cWYjsNxqS70Rp+G9bfOJTbltA7FqDPf8689xqTWgeQiWg86dIxZV52U4
X6nWaqOSc+K1yNkgv6wDvGgBd6iE4PnrQ5G2y3f6rj23dCoJw9NV5MUYxS++s1bg/yF7xPFMkRyU
2QXCIoEGxG10zmEB0Crv9RpMBUN2M70jSd6vWWQiQ15HyteRjWcvupu6js6ydB7SgTeXoR9U92Hq
ecFEI2xRWjvT+GwtXCuXFAArhw5GQMA012twsaBwHg1sIzCvSvqByilJ48Mo270QMDdlt+twX4Ip
4ALQOKgqHq5Y7DTJhjAu0YiN29HqEXu7J6B0hCU4DI7lvB1HKBtlnu6CAMwtG47SNq7KlJYErYjW
js/sUc4tj2feoCTHbKEXdNrLcfKixfrcqp/d1PbG9F6JlF2ZhQCqIwudgQ1SPAo/Jg5J0pY1Xxea
vB47XtBxPhwr6zSlKGmFe6/PNF8K3u1zfjIR0qZj9tCKTWHEd0pa3nZNTnIH1bfotBfESQSW87wo
6abND13LLQ/OQerBecIZt+zgpuqz+s5HVmBnQNEuFeLivKW7kbEzjVH2dkP5Wc8j3tjRwUqQSvNC
l2q2M83uWWmiVzmBAUod2kbyvlPcg0Pq0MALRKFFh+PhLLr2S04pV435ThmC+9KiEjfwGMHBO+Vp
+LEzBrIIaSSkOxiv0Wqsg68BXD3eTofxA9r2zUhwZOAUt51gnitY4Zd2gl6UtyO9L4PPsTTu2jA8
1zCGWYOMlDKhc06K7t6nfAx61nfE/mAeyk61yh6xqTdSTljdBC1WFyY7b3FYBEZh7iaNHTB3Gkkd
vmEt7lCoLeFTL1hYquiwMGHSJjwvK4hd2eiOi9Vi3iK+5BS5JFik2tqsFO/9UG6yC/NmHxfmYcm8
YlzLp892y1oCIBlH5eQFGDEtrKqrng36UgRI5W7pgVgILIORTXnK12+zkz1+VSMVImqMqoL1UpnP
5Jo8Kzy8AAqe+1D5sHJrRNWjaT3Axj4BsFqHzltACBXA3C1w2l1bcW+ZAb0Te/Rk/NgZxJlkYF0d
fBNskRvxQPjSfaKeIOLdgFS9NrL/xd55LMeRZdn2V9p67jQX19WgBx1aByQJYOIGgKRrrf3r33Jm
ZiUQgUYka1Zmz8oqLZkk4fqKc/ZeO7r+VTuy442HQoatP6aG9bjh0wuIDnL1IihceG19L6DWNIkP
Wo51D7Egk9gGqYQd3FCzZdZH11Vlfs1RiUidvypV60bAdWorzGsQ5nsyTLmN5p1hxVeiAr9lYALF
iEp9aawNgF9na2l970xqBmP5iOn8l/PVQCHvuHMjqqd1qlPma+dWNqbfUB/NmBcNE3uBtrHrJ8PH
fcbuqk+PhVS9+FlwLaCuazHUPJbS45+iY7gZd/XUPXcEFuCMROLqvo7LFD8vni2lOBa19NUSHUsX
ZePFV6ivKQuUlATUpdQrY35dPHOT5HlQIWXFGtp0ndWr8Dbj5i0Y2gsbuA/GWKIV2VDZbAzksz5g
RQE77kvZnFk2vLZen47Lo7EmWiI3GctJnw/qZ2Jsy0AOR6uLcU2gKjTGnfebvavsG16nVYmN+ZHv
Vw3n44LT4wHJMFbHRen43RoplDf1wnyinM9dgn4EQkZ29rRJjJNCeW/x3wzRImEDuT6MijEKPVQf
VmMVJxxkGKZkUCnhkyY/e3qwY1e58714BcKLu+LCVvT+uBu/JVfY+68FTvOf1anC9Z1i4R+IGv7j
9Apv3pwztcL/opN16+f/ev6vyXPxUn9/fqdU+Fs6q3yhYY6ggH0m1RDEzn/rFNQvvNUqMboaseIs
JHjcf+kUzC+mkBWTIhUBv7Yx5hj+pVMwvtjar1fkDwEDgtsTqeyn0tmzSs3Y6zQMXefMZLQRJzvT
OvCs2HDY8yFRWMKR2fUbxtWdecx29lE6hgfvKj7Eh5T/5QdnM+zcbbf2t+YqXqWbdKNv6z2v6azc
EwOxz/fAAffSAa3UvtoC0YGVLNbZiny1hbNy193GX2NX2KQ7tN67chccMB3vkkO706Y4w3fSpl23
a+b+ZbYxVslGbKNNtVe34ZEwlL1/TPbu0TnU22Dv7fU14Po17N/lm6f4QXf/gxuiUAhFnDwuZVXr
pDoQdRJLFGwAlHFov6jBok0uyWEvHWIsULwZYRSt66HNcwhTIrVUx5hupRcqKuf1HYpQvy7CpNeq
yOrJMRxNTXzNh1al++VRTr6HVbxBha9PPT2aGO0+1/3nOESGaueLRm2vKuZlMJprvXr17ISX/V86
nn9yTyEgCUQw+lgQ5I0+WSanwADw2bERc1uAYhG2/kG/UNA6q2dxCCpZVJCw7iDsGSswb+6phOe3
xR3Tz+IxhqBKQFPSq1CtxedXcl7ZJIJYaHzQfLgo4cV4Hm+Oo1aeX8fobmZpkCwsKT8mVfPNq9xV
pIQo/AlgzWijEDbaUGA2W/dgBM5tUcr3WphcqJkr6lkRmJmCdiseKIvpAvb9+5NxcsvQopCPF/z9
d8y9t1aV3+paciUAQwzyAU4sjDFfHIgx+W7Y1bLHLAKbB+0rGSZ0ZL9Gps+uuVpWCYt7Z2ROL0QH
O0vCvTkhCAWSZyIWiee+5KzQFiOuJYIio5VSOTUSsiFtcM+zDBVQKDdTlUpa75T1hLTdrwaeGcSr
FsBTG26A0j1xOsh4Bnyp/FwlL29Jq1nzKeL7cLa2dV0I8LpBBwNDhehSOGghzVAsZPJ9wOgjjCy0
n45lkmclDU+1179UBtBf0+N8A9HxBPRJLrfrsNoIw32UovLWM4tb8niaCTFyRzfAxIYJvrOb27pW
QTSPoJhUBS2xdeMkIujRridddfSk4nFITfC3fajNEqhUQxNN9UH7Tgq7MneAo1kCnHsbdujymx6k
tlkflB7eSW7B4KtHFYXiL4KA/9I6HKWrx+BhkwwtNKQROHKA+fxdqdMokgFFIPUhs2A4mmQQTLSE
uLWwkV9Rus7SCOyBY4hrCIqyVWXTMAfZ0PCdgWrTZ3mDylIrkmXZitvEq2/t2L9Pm5QfVYgtyb8H
qswa/K76wjB5/r1hjuNTJl5UhVIin7x6aueZaR6m3ayTSBDrQ4Ts0SI0swvvuHpWOeV7e3uck9UY
ET2Ja5XjcZLR4R88x5U99YRxlcJHrSH5lVaxLWtvVXsDxTJr2jDM2BEykiyZdfqjni4VuIapo1/1
8cjuCp9tA7mp7q8/HxnO1m7jiY4dD8QdOnPpyQ1JI/pklUxcIgDuMZFo7gzyPSb2iWvKv6vF4lA0
G6ioyBSHUUq9/+w72bOQIYgW47VNSl2+Jb7s0iHO16LjQZBCsmRRSbs9LVnjMg38UsIYP04gGl25
yi5uQBogL7JvO7BgWKL3LvTMLusg7HHBbRsAhQZfFuY3bhEtyHf+MXDPWczcdw70lMzUr8rmSTcp
AkbO7Xj2Tk5kQleuXKR0Q/xkONGz3ik7bjBcgIwQ0UaM6/5RqT+kU7Ii502V4jegZm6I6E5N8mOc
F1t5GHaxkm3NtDwaTbhAXroZauUepVSitt86oGWuHWxiWJKeE/3IdPJJem+VROEzhkQK1NqkIAlE
Z7+cFfbMicttykfale5aJqRIqqMF/rQpH+asjtRZ0TWzIaGZnd5amjdVE2DV45/VyLXNyKdIevbw
5rehZ7BVrGUXpo/sq8fAaUQ6/quDWEc1Yzrj2AOwLU4NQmD9wrsBwxP1/hrcyXK847KWQxdW7oeK
rHO3JZM2BwSjSkt0ADL6druV75uRU6hIlTopqHQwAV0VoXFFYMEEGewKwszW1b1VZdj72PaXupPd
hG288ek5OYrHWBXbSxWL/KgzyvGNkhb44KdHcyR1dLPGyh9Ba4yMSxIOc0AmjcOM0NfsJ/X4CcvD
LIYA1kjjayjv/F69j+38KeoPmYTgWwYYKlnJ49ATzRRQeeXOlPmxY0FlkLzAEPk6vr0lMPIhNIBR
7gyNZwkJjREHkFa2CPL2W0mx0y3Ve8PFJKIqr2057H2HRRNyNz/4SjdqkXXSrZrG5Nbr9Tenw55h
WUQQWPuuLrdRl92QSrjIaEUCkpdkeWcl0t5W3HVImq0X8dyzaFGTL+0X7h3z9PM4psm1dUX2/L68
Bvhg1/axrKutlJVb2gSPFgGV1gh2CUhvoD7ir5OhIMwXsF4Aqbrvd40u7zwyJWWNCN8Y14virzUl
uwl8b9mAog+8FJpfOzNw7MiNe1cm/LQ0iTZJ5h5CjUcF5rOheWI0SBYcNweYWH9DQbdun6veW6sM
6XTnJGzZejBrancrkXYG7e/KSLX7SAyEBT/4UgaYkji2UNzDDMPzan5HXqfPIETgCU4njuwx8yh6
MR04B6nR5pWH9aVXSGqJUh5ouBF4NLg5VA0jg1gbqKA9RqOobb8p0oBuynYnkcU70K9E496OY6xc
mk+q1fywGlIy/OrX6Bwy4xdxehs6zbWcAXCIq2JrWP46s+zbgZZNQw1ofPpSGC1cJ9rESgiNwQx/
+Bnjfifv6ka+D5Rm0+Zr+lhXQ0PqL4MRLyPqnWgj4mLuteW2QNhQWfGr26XfzfJBiOg5dKobqbFJ
8eRb6vNbu8ZYUjmjf3oO1BbhGbMH72HGuRLQ8q2o6m9pinaSVs74Ves9EDcD1G3rpY+anWyoA1bU
fLNB2WmeuBq6cpvV7S64iWqSG9PsEcaZNCGtQ58ofXbjlgkMiOdc3FfZjeWLfUIBeGpGeF4CVuW2
X30zWLg2UoTXpcknDgmandf6k8iOH0WYLMY/YRLb4EThhkURmo76yqmC5fg3jLbfeYpxRQD2pkjT
DXi5re0PeDiiRW/lcBV4L4H6DEaCBiBZorp8UeAJEE54r0loLYro1W6qbVu8ZGm8UmGLjDNr58cb
y6cxbTr7Jqm+SS4BvvYIH20njbF0PPUrnPed4Xj4ySL7ajxFMkjuCAxY5DamkMBbFWJkmwQ/mrTc
hiGZfwpfWQk9quXnki3bcnMnNcO6VuBq4wutmMJ1voesz482Lw+F4z+WE79Vzlj++5bedwWP/7Rq
xrhF/Nem7YNyhgt6PnpXxRj/xl92C/ULZnMN7QwyZNY5IxfhL7uF9kUgosX7y2oQ6uCoYf6rjGF9
IX0UvwASfv6F3/u7jGF9UXSqGzb/sDSdbczvlDHO7PAU7WjA6Lg68CHL1EfeL4nkbJCFJ3KDmAF/
Pij5IjXl6eCES1u9kfe6++xK2lKlII+cYpIL6E/INsfU3CqcEyM/h2sxMdsnm0ZZSygNGbhhMWWX
ieyOJGjolW/u7Qcb4vOapkZhkT0xaodR8HS6W5WbPDdVR8w6/JbWo6u0E8U5pNbAQup3fbHsATkW
q0WSy4WgrPT+1sDZqDq3JnfE58sCQ1akgMc6aULigS5fWATzFpz0w1CqI60YuSE4+38pgd/sjrvK
bjX6Q+QFE6iD0hnT4G1or6lE4Dj7lpDn47N9+/xeni28DSQ3XNZ44BGEcHJ97A4Ty4MGPxs6eIoT
ByFuldx33tXnhzl/ZBzkV13YGPf+p2+YV8R6HsRQgwKxA1gq0YbQCGpqdjGBSxcOdbbpMcZjsatC
Dof55VQN1w91FOc0dzFqsgsnBUAHk/ZkK+msVbOd4R80MrMYxENxp7Y7oigRRgI2pM9fvJjFN4vQ
u1Qsy+qlau/IWRXxgHuUHeZLCVJT1nvEm9t4uNJangc9sh4Il6XMgOyhkoTz57yAk4zinzps/r6J
SSyfBWiBave6Ij6shisqlT9JlZyRnkecCILTLlh4bTVp2hcEAlJzj0jZvK/cdhl72xSCTl7dqTDt
mwJWoPSq/ABkM5OShWmo66aW0TAmK7188Z2LZbCxfPm+QUvVScHYNW5ReXAnW6W8DltTLxXor4F6
W+XOqsRlynJxopkuZgd3pWG6trtn1+6PomlXKboD9u8XHqh6/o6OxS8cQ/gK6S7oJ+8omawZSeC9
mOnpnUxZBNPtssCypfj6QmZ7annQTaNwG1pTjaiaiVekDw4AnYkifoqSgkpgdV/rht+xpIVCvzju
+qfWjq8GbJsmyn7Zqje+9dKIf+8Ovjl1Rve3Ba8skIaqtAcxA3qytHCipKC/zEaalAtXLxeUUUlp
v1HCep2wHourdlVVs8+/h/NR5f3dGz+XN6OKlktWTrAP9toum9v04GhUyRmeXZmKIlilDHN3GSS/
PUZzVPQMqo7vhgd38upEjRjkomT/SbEFBqlAthTH33JJYHnGl8wvLph9zkoqfPUUa1VLIEyl9j/e
hjeX2RPqQ1U25zIBr3T9V7b5YOAuQSU+Gsf+Pooln7yKXit0j1gPXsUG694P4b+mzjHWdkZw4XI+
OhCdDY6loTBEFPL+cij/GX0bcTmkl8RKTXwKG6yazbXyUkTO4vNX5LykrpvMo7LMUkS1KVy8P1hl
IxuvG6Lh2+K1DeDc+18/P8AfBZzToeTNIU4tQ8iC4lILuZ7QiOHaUY1g66FU3sKpJTz8iPNi5MSZ
tyAtFfR0DyLemBUGcaXgH1SiMcp+4rYFhWMEa5AfEqMDyE7XXKk3WmmtgqC/bckI7E1/R/kZFRX7
MxxbmT21gmxdK0tRR3dmxRCfpk+DR0UxDO6i8GeX0DOfdUG8pWM59TwT/Xe8VN2QnExM3YTSZOj1
JYckBU+fD9qP1LmFnb3wVIvkO3fmPhuY4w12dnps7cnbWJtEgdZGeYgdhd25g3CwJLEabIOKDNEp
r1Wa6QppJaKiLSyeXMJsg9pcEIi3go0BtSKejsgS5DmkdCcLObAWGbA0rVfQDrQrqU22ERy9Lqo3
aU9mfMxp592KFPrNENf0p8vrICqPFd6bAv1ArlzbiNCH0gQShsUyipeG5E09+WsKnBH8qqf9iCmI
+mkKtd5ayRRR9T7HscelezwoWKl1RUyM1txIQ7eI+yfHJK6BKA4w5cdg6LAIJeuiiNa+HOxiNMID
VRkvlhdxtnSx6GREB1KHXPIeTzt2msjAwYpax8E2V4VBbmRpoNcMgUnL60BvblQpXCUSvAta+aTU
7cF6HJGdryQtnxkFVF+FBgUumBD7WYgMuEY5EXTFfQJ53VbvdEgHPnqgo+kdezSVWOZV0qrBrva3
PR6UGNWNxeWxDDFnofkqF2AtEqiNBZBB1Z01/X6EDxAXNpHJoTQfHWPVlIdU3Fakv/elMjHs76Eg
Q12i/QYSsjbnTSBgCjxlMXLJJpzLMDIs5TZnqZNBP22tGfW70TAhHUmAqfKInOSr8bimAbY/b9d6
HO2h3q1tq7zWlA5sGHgDycVhUU8tu/jROy68zXrnm6tE5iuo1aUnhT+r1LhB8nulN08+jt3clu/q
WS6qqZT4K4hEqADBXrBftvxlv1NLfZcM9jrXCV+OlVnj94sE70rZqAurLCaOoUzxlS40WJR5K281
xd9SPF7hK1vZiFfxeTwK44VHtUMcQVAjL6tSLBTvu4Rbo9I8CmIQNkjRDUW/a7XkhhLYsu+6l6Bz
N21aHyy5wjhpbQzPWOmiIAGWDouCtSu15x0iASsuNmpebEoLin1aoeIii430k1ViyQt6HVPmlCMS
Z3PoEYI4V6id8uFhoH6X5v0UJ4GOMjj1Km6xtUnHOCKvgK1WAr9HkQEhQwPPjjep/h6E0oVlygfS
B0ZRJh+2dyAfz6QWqDAMqmc1U16e3CSUNwqC21wUw4T5TBypXpHlMK/67C63bj4fXj9aIL058ukC
qdECGQ8MORY9SBfwAKwtblxC4SGPX5jWP5pl3x7pZD1jEmZYDRFHSqMcCL43y8E+FrDjPr+gDyek
v2/lSD54N5lLvkCwDBLEzZ+dju7WhfnooxvG4zAEaxTBovJkwyu5tSEyPWAap1UvLyR5XjsbP7+w
8jI+msRNqu2YdYF1oVJ4fxkdWd9tbrC5wom/MCSSbQ0J46HHwrR6qokzCVC9mkaHoaGb9UMyKzuQ
fiz8+4yRDL2j6ysoaY2VSZpVT/Oxkl6bHOvnUCzIbJEcZROr5UwOKzgqw7wM5LmaW1M1VWdR4hEj
Rpao/gjmcdcQOhbUVKyLYRIgMrOihC0E0itx6JyePuSd61/LVCNbv9s2ZsN2vlp0Ql8UrFWVYidl
30p2U274kgTIsO1FbY2eboK323pnGwfXoeVv2VQD5EmDWpEwgQU5Tn8gvX6rAPUPlDL/qEb1H1eA
4h39vwtQo4rm+XtavpXRjEyIPwtQuk2VaWSUGYomI6WRWeH9WYDit9hRUeVg76+pqmrwrfxVgNK+
sAId1TUIxwzKH/ytv3Q02pfx1xapF/TSmEl+C0HHT+VLeLs8ZJ9g839BcUAeqYzjl/Rm9W5IRuYN
MsTpJrVnkfsMymBVa8aqLrSdTGE9Ghu+xIIAdiZuLWfIiTHNykjMg5cUIwHrCuUVPR/zvKmuKI/P
OiI0oXYvQGu7GP5ZQ9H96Hi5B8y1EFaPmf7VjY0fVHhmQcuyhqiZiVd5P0JdfjA6shtY4Eu/Fjry
swjdeyvvF1LVLR1I70MkzXtMf36JkzHX9hIiXcbFudKjme2aZY1ItQev2cPyt90Kmbq8jmkShfo3
u7LmkRQv8pIsiriYSh6tcOScKFfJNV8rUIwlu7saCIETerpoCbqPDRVjiDwfgPxLtYXrXp4QII5F
VpkXnUmCDyR9Rb5puhuiLoxJb9a7nsh7csTnPitL4g0epXLbBtJWT+ODKapZBVhazzhZEtKEYi4y
gXkQC1FOPyzIlRky3LkLWbahr0Mgyi2/ZqwwcU4Yc0KAUt/bY0Kbph3Q7KJZKjZVjzTiccjHkrDt
YkVQzjHTlB+9VT+IWL4GlD9JyAlvvfA6b57StqHxYa5MOzj6YTg3+G1CWoNJHpdU7RHkCfwlfqgW
rHOFNiWOdUJ2ArkL5MCbPwkoXBtAsLXA2qWZclOm7gYUc025pSS62krlK8j54ESwURDZxaqcTXd6
O16pJV6hcq5idKeRJzMve3OFdqvQnI0yYC8r4gMyhJlT9ahtIYNM9NBcjsjXVCiP6GqBQlT34zXX
ifGN8PqFXcTrGrGtJoDlF2vDqJdy0y3qlCU9uQ8EhO2A7M/I71QbZMBW1W1zVlpw+INNkmgkDYfb
vBmOpRUvoz74mtY9eiIL0Qb1FjO+GSRCwXh3aN8fe3ZmElaFcW0t91PyuiZW0C26gjW9/FXPr3Lc
18DUb4e83ACanevGrc6LlkkH4dyj52dwBoldxwdR6UvgZ6Qip/tocJ7yDmgcktvaWkMeA/xFgLza
rrqYioQbsY/B66bQHraIV3NKkB4RKVHlRsi4OiOsZ1I1T0s+ilRBVUGsk2zNwmI9Hlv1XjKCBguZ
DAJe91zdxIR8BnVFCix2MWCyRd1NU4A0bdKhF7vLhmYZcNGOG02AWx0HSZuSSrT1+mvCUfba+DZ1
1txXmpkI4pUwiaZ1HQQ1PKeh3NAo21Os35qWyyK+8q8LFfF04TtPCbFZ/WAv++qnHKW3qS3vUOIS
vwVJu1Y30AQWFdOlRkwgYRzkprM1IitHSqZ8W2yZKN7PHaM/kut9qwwI86QHoo32tNJnSNEKQmRM
71okHdiwZmVz1xSz22qasw3ZmMTABELbWNYZJjSlWQ2RtTLIb27k7InwZ10E1z7UBBJC5lnYb4sK
Crit0kaSSMEciGCJtn0mdX8sWv//jFr5VX/XZz/+579fUf1UIx2WBPbk7fw4qmU+m1G957g//fN/
zqcmcFa6LiiqFegnQISpnP45n1ryF2EJxG22NvJv+L1/zaeq+QUxiJBtylOGZTIH/jmbqvIXmGky
f57CP+Ap/bfoWb8Mn28nUxkkKZ0EHKr2HxPq+8lUZEZTCn9Il6AmnoLRq+0lDVklmP8PYVwO+PTA
f4zFAK8mvC93MRsa+DrWYoA22VIrnPSRMoFY5c/Z6ZD9HZMh9uZmftDDOVPIjCeJYtYENTY2t04b
D5VqykWvk5JX6Gj+IkTsiyjP4WgK2z8gcNhWOaWeVk6oC1RMeolqdFR3IhgiTQ5iIEP0WqU38eDL
xGoq6vrC+fEE361IOD+dfpjJcwJERjvh/U1Mg7jniEqyZIRqp9yielIGMXwGW3uUQjWZF15UTluD
opBs9Q2xi7AbK1UMB+KCcxwd9QVR0elmghMy6JyolAQNwF6nLZSEkaEnCSdZeoWaUtTqX+JIvnJk
2nKWmm88R9h/DA7/J0TsdJc0HlFDECosioJ0h8Zd2ptFGYwmYltTctEHxNYwM9ZR5OCI8eaqlWoX
7veHx2IxSfER0gldzffHIpk6y4uEPI26jPR56ZUHx0aubPQqj9kxL1zZmTCOT4P931jrhHxsnNGz
WzUflEpN4qVlYWQqNWeMGZTv5Symn9I08iqjvmsHNco82cgJwZLcrZoRNdeTxZtl/MMv3QqJE17d
YYC/L5t9NqcgNGoByDtnb7mCmJ0coO73Fwi6yrjJfv99c/L0fDUcmJoKAvr9veoQP9S6QZXS1a2r
siIUKo081EVQHQeVeaMysn0veZS9/HsdwdcMlG08//z7GJ/Hu3PQcOvrSPaQSdMXPRXscVOB8yQt
74bXZzPZLYHuxFdeWK1Ss1l3DaalSgdX8/lRz96S8aio9kgW4OBnH6UQWVgTDxgv7QQIK6IjDRgW
K50IIosSVX/6N/75B8BmSR0ZiHx5Fpunkw8gqYQbKJYbLc2O9amc3tdNZk5KZ5mX5qWHOo4nJzfU
HBFxDDUYCpgg3j9UTbfsJGTFvqwNPNl+BlNfcrZDkF9JkgcCdUyjVqofemUc4qp8Kmwf+ZtTaRdq
FmcSbcSX7MGQKjAZKUxKJx+i5ldVaYkoXMapRrMMIk0BjiN+bn2NoE/va29ABq8gD/f+I9uA71re
XkmDOKqO//C7D5vJVVcxedCePm+9J7ValK3L3beAvU6rom2RLmvxVZeTRapG7o/PD8dm9uQBsPdF
r0lTR+Nhn3o5WhqXtWlSzs31recgiYrnrbb1RbHt/GARBvZdGuYXRr3zr4hj2ozqQFtspv+Thy7a
guC7ATFS4IfHwvdHrPLKjIzXsHYf/dB40WLt5fcvE8LGr4vktR7Jn28H9brvEqMoiStqzeRrB+LZ
/pmH8bEyoxtFBt3lASR2B+nCszybvDRYGXy8yG1NHAynUwn9FiRl1I+XAUEmLKwVge/b7ZJpqJZP
dn7/29eIlpiHyFLKMLQz0Uam6YFtEx5ky9m8kCJeXjck+FNbJ4059XofXRzs4Whgmf/5kX89sfef
MaYXkC3WeK2MUiclPwXWVtDrWPlNuO1TqnJ0xLdCLYwdQtCqTZDnp7207ZSXwLUimAiKfW0VTxrW
btpdUn4ow61dOvVCIojroa/qeddcufXWquK96PLyYPZAPeM0o/aRGN8dUdoTv3XVYxAZO0l3HFSe
sbWQMm1p573xVPXGoU6dlRLG1m6woGJ/fsFnX40JkNBGIcNrTDHIHH//zRpBbwZ36MYIQgLXC/pG
gTRp2+hIcIq07LJkV9gdnOoov+JnXDj02Tv1/tCnK8hMLaXYk5x8iT5P1UB8B9IU7649vTI158Jy
9Wzi4VgIcxgZUSDY2qlXxC/bMsMukS8pVGxCFLsFYMDAbza+c2EAPoNWokonLkJolKURXQBZeX9H
JQBbUKjbnOcrPyBqeiCyiiD0CjmQiBewFzd1mN1K9B6RhGNakUix95FbBz3ppu2QvMSJCjnugemZ
rgitByGFZBdGnjXT++p7XoH7YGBdKdSjBYRqT2nhRevNsxK7ysTz0lEOQNSSog/Xn78r52v+8dLG
9RbdEWaY07J70MV1XFVpvnT7YIT50WXLOhs4iHnTVfltkBrkPHpOMGky54hMnLREaePYkDX7QHnW
nB68ltUNcLf4rD4/t3HYe/fdcmqWGGEEpsBXOO7a3r7HfekNUhRK2RKRD6XrIF6Q9KdeWDR99BaN
20LgmaAIACy8P0htIZEfHC0jAC77bjpg2o2E/l8UKHPRXTJ/nCEleJHAeABywHLFP05rqk2hY/z1
M45m4XA1sBDY5CIYBi3pxiFaNrFMd6u7SbSSaNHFrbvTcSiwulUnpX9p0frBOIEEkh4IOkaUhqfT
jq5lbU/TO1+Wpg7VfGywGhXIklIZjnVZPSUqToHBt9eKXd9+/mh/3daTZ4vykh0222tGqdM2TKxn
ChxjTObyOPM05C2XRlbMHBBOs8qzFkpq7StLl+e5Iz0K2qwI08m098WjqynufAAxMdMdn9JfQD6m
09RfUyxrZaja0yHRsk3oQsZpe3utZSjrq+7CZ6OOc8a784elSwy3yt6PwedsaejFXpJFJqzezqaD
SGoh3qlhYtSrzg2o7lY1ZbzUujecAipbpKBahkggcJQpOv1V0Ek3ohXU7FLiT1U5lrepr0KCVPEv
tlpxYaQ8G5XHk+XVZq9qC8U4XdJoTiNLfqgnS70Ho6PF4pAOyaKNo7XItZ3jOfWFL/fXe3xye0aT
Dft1HjG2npMB0xzqkt02+Vo4RhZ5qEfXLSl5cirHM1uwA3Il8mbDiEY1mZN5ZuEEQbInsiEkZMNX
p2GVfaOYCPgQ02NZh1M9IsvCyJ/Z169koDcKZcwJttO1IUVHXpRsahiLJkrvTL06JMy2upKs1FbZ
i4Q/3BtUPltymQrIkaGiTBuV5pjdIdmQdFI/cA+oE5sa/7QR13yNeK4ymMG19G1M4dY856fWi21L
TUZpEIxI8v0wyERM5nFPQqGzz2pZW0g1cYuxfomKfj75sG6hdDR2fSwqMKeKv7jQ27LSRboUmbJM
VXVnF1qDhoHJhiFjF0V+BJQ9DNE/ESVLLuMsNnumqlarSOMcHoIKsJEd2Pee3R+CWM6wDBpHchFJ
zdKhIurUZFMyc+vY2ZT11wbVZDGa8Lq6e/Az2Zw0YXgXtzrpW6RTLz4fCM43zuO7af5a/YJKoyP2
fvwlwSdA+kcec+88RG22t6C/TAdcinHDdsuqIVmFqjx1QOkFFtoQ28n+ja8DZS+LfgJ3MIidbN11
T3W8QuEMpNTVCNrm03Vb6Qok+GtigqtJLN+6sKA4nwe4atsAq2YTkgcm8uSqO7nE/UuRdOnlDBt1
SGOjl4KtavCQlIch9dZZRY9s7BYVirlhkCG0skm+ppmzuvAA1PORDMU2uVWC2hrgvJPVIh5/AKh1
nyzdhM6aJJtLTxVrKUSg4vzsRxRtWj0neIMrT1mJ6Cgq5+rCKZxNRGxsyWpS6GeyPocm/f4dSP2o
Zr5sk2XGOkPkzQ+18zV45DB71LoAJlvd1la3bbF/E8zRuDP7ydH7h7DnUeXmYE46t29mtv3T9lgu
aUnAPiIfLoxpHwyiY2FHsH9RUNycPrLGhkUzhF2yVJ1mjDBx7iOPCo+na4fxEUmpcQGRf7YyGZu/
bw548l76zQATSeaAZnaN8GJlAHke86sFPKPPH8DHR6LdrAtmYkrl7+9/JIK80z2OVC+1OMppf2W3
huH+jC7sAc+g/2zkKd6MU9AYlkb55P2B8HYXJhyXcSJqvzeFvTUi8lVuSD6ySZiWl5IkXaHEV2aF
ZT0PeTLpUuPSOZytKjkHKsjsQXmGLHpPPj3mrMAsCHRcuqHhzz2oC2SOjlvf0GyHKVgsZ1bmZbqU
EkC1GQvPuvkBhCrYFTrkHTaKyoXx56MTYvuN05oRgc/+ZK70ICdmqeLHcItjDUtl+RzmjO2fP+Lx
h7ybkGlw8G2NHQ0yRM5I7WZPzVP2fWdRayhleyWdCKWw92XBjsP3oa7VaXYrxxSWPz/u+eabAwsK
5FTuWSphD3n/yKXQJgcXcxot7cFf4Hd9drLKWiZ1n01iuryTMi2I+w6K5qAN7m1m59mRjbU7GWzS
xLp8VTIxLu1aupWcwV2ZXjhDU5otTQbNiehFPQlrsup6zbmVyGI5DJXp7pp+rgfZqyL12mKoC0KC
jWbGS1FN5Kh+GHQ+4AiscqBBHqogA8AQx577+ZWfjRdcOK8al43n+LxS39VOrbHeshcjDV5Oigdf
1noAdxWOsOAHQIf6wk7m7D36ZVcyaJiz8wfgdvIVV3aOkaEW1sLzZHBIlQ+kzCoePr+q8XGdvEf8
dHbBXBo5SKd7BpfoU78d11cjFEyVvTuEvggww3r2+XE+uBgCFpHG2PQfGG9PvtLSyvJQqSJr4XTk
5bJFA9uc1Rcu5gw3QfA4EH+kNqPfhq9vfIZvKiWOWdNRjFvaXEqlLahYT5KhMQ99mNP5Nplt7JB0
NFN2g5leusrWDm9k5C37JLfx2eIwKSiVUhRA4xBrCgOnbxNv5savuLG6Je2q4qvd2dDP/EAsfJvO
uFx5K7kT9ia2FTIrlIWQR7YViViXPrxffvb3j4qZFEe9CkSEweV03RhUSe4g8xVQG1CZBbl3a2Sd
N6PrXh+K8NGOybQnkeixL5uNJFneMcgIw476VW8213GjYj2j0ruIzWLPJxvhaPcIme3Yc6US14Q1
ZDqUvjPtU/heViI/+12hTX3yv/4fZefVJCeybtFfRAQuMa8FBeW6utqou6UXQhpJeJO4BH79XTVP
M9KJUdyXMydmQioHyWf2Xru7E9mI197pDsl5svLI115QCRmdbj33fiLCea5elmF1dkVLfS5SbljH
LZ+LQpQRRyR6CIXKNmkMb+9t6IPdyrfY6VXVkcUgBvykTI/sG3H7NPOPeQIomxdrE9oZXMo59dvP
Mz1FaKZpGxSmgnEKP9pw4Ww2vhlOffE2tqR8m5v4PqEwr/UqjRYD7B+pusfeTlsiCKw+lggqF4fA
vMxeT3nOMVRp9ocUHZ51/1kVVns1+/KaOthu0PtMe+GS+ecSsg4yoNvLDUVU3ZLx20HgP+XD8JeD
DantmlcljbPmM1oR6cIVswGwzfvefalz6CJZjzZV17Rnc5ovLv50ZkRjTP64iGxffvM8mcXGtLZx
s40r9txsvrky/7LUw8e2le55y2tyNfrBAo1HvL29NcTvLRVmKOkiN4IBs7OqYtutpiHvg8gv86J/
TzWlnb2MHRFZesjG7fei7/uHwm4+JoHMcfNb7WAXfYgePX2Yyn6LUr3KDnnu+gGnNkx7+z6tGKbY
lVl61d3ss+w3PSA/j1xEEONh0W/FvlBYT1qMINOI58Uk9LkUA9EvxA/UZd+EhA86O0Rg2pHEdO9R
yeY6jeXZzprkxR3IYnad+ZySHz96jdibrVdHbWGkX3v3TCoHusgM+F1Xf4MaOodat8wPglSGSzlZ
pCfMdn80nUELmmFOgPhrdbClrYFOf24/0bjfkmlKdtbo9KQZCD3MW7JXExvoCTwCMNetdVuaJA0o
XYZXtZVfLa5/y19RBKXC56PGZGS5J7sF37pM+acpL5HHC3fP6nM+8NaBDuAJi12w/OA0eA66ftIC
9OxuUscYYxDOPbvpo9u1C+DzO/HcTbYTwcceF/tL38qZLAQvoiRvr7VznyG+b9WSvc911Z9m1R59
0WtB3bjNYXOHem9bxWPnqPo97b19e2e/5U0+7LVay56sCdGY4b8belccErvT95qN/93L/Oo8N9Hc
CPPNF2QMTmdZquVtztP9JOjM/B67eU+mSzUYQ7Q5JB6WioiT3lwDbWseJs36bPSmASlGWAdV9cVe
1wpImbXrwdBIv9Dh66dJz6JFJzOiaZCCKd1rab5dgrsLTKqaVrXR7K9pOEkYn8XAJMpZByfgLrDi
WuUPWUooh+E2UCgb3QS5kXTh2PE3FVtRv3bldp29fj1oW0JEO3N+0gWqS9eipQMeKA6qA6hQpCh5
EGRslCNGsTOosCFyKPhRjMeh5QljX4CzHPQGMZSv5Re4jUudrzfYBnwFtIp7lMFHaVjVxW8VoNjS
csKio4SmiLXjJNF/OIt/TzDbaKd8TqN+y+3DWK2viZqeQKxgQ7FNMLteEvnWXc1bIVtagBGBsPQs
smz0T3XnZQeUmqiNyf6GgfphDYlxtIWzwsjFmNKiN05NPB6i8ufbJB8K82nL5/YzOo9dWQOq1ks7
izhz1kNjcGQ4IncfV9WUV2tu6/vlhyavcbMd1I62qNrd4taEKOJ677KsOPYNB3LCzNKo15OQ3qM2
FtlDO0rrqtvyIu2j39jjJVnLCiK0hsUSapTdWs3nxYwcHZzyrJfI3oAAec5Yv7jZz6WSK4wh2wE8
SuorpmU9WJb2q6erg9njdO48l71Xw1WdFn9aRf3mCvi7DQGri+aWgHp6uX8/9lM33xrb0GoSQXCh
2FkW60UPIcq8rjSdu8k8+7PI44QbpV+//3dh81tgw/3FWSUwcqXAod7/5cVn0GFl06EZGef3JCUv
tvCBICHFvfl1+70GaJx6y/fJcE4ltIpgTfSPLn/0TDyTjoX75W51pjEa/XfdR9I6bUZyGdSTKjVy
sbRPqe9+wtZBrryxfTjp9mFm/mlO8Tc5TfaOUHH6f3LK/v48lE8U96RD/6ZIGdvMkJ30+TJxLeIg
ydgi9P2L32nrHyrq/9k+UpHcKcimYRO89O/fbQMSaheJW8ezwdSkLh+Wyq0BWRCNUs9iPJhDEijb
/zQNfk/a6fbh4YVdKxhc//0b/j69hsIMM4BBgMNC87dk5p74qUFzsjqWWsmRrQ/MJ/DfCxJmsI/9
1XvuCkZrPKOU2tXSJlst8XCzbt+FQ1wsj/uPlQwUuL3zFigzxdSk1RUy1OQws0vyzXE6uT5cZIHy
RdZ/GLn9j2kLGFDUaPT7bD1+7RM41ex+TbUqbjUCXDsXMW5XlkfHWt/W6nhHpGvm/FAYhfuHBuV/
3XdIUwxKUdY5ENt/6XQ1ta7VqDkVkzZ2YK2dovNsRiAx1jeZJzd9dD9qSCXb89aUfwIU/Ja+yHVq
G7T+1MJI3H6ziSbCzfIUuVjMEgmWuhZphvnYJpDS2MLhB/6+zB8OVlg1eWCVshcaZhjC/lYGi59Z
B8eSSbBhs/bnJ2sDVfPfl9T//m7+8fZ+mfYkmYUxq+aSGsWz028Pf88AtIqEa6meOtPfr9j9zIcC
rP8fXtn6taXjizHp5u4yL4AKv+Jh+1RMzMDditnP+EKK0S2xR3dntCI7rZjHQq4HBgSRmGvScSsj
MlI96jd11Ir+T6PY3zwHOuHtoDtZRiJ2IcniPqn6R0Om8sTQS9VV8ZBXbKTMSGQ8IpNl/jqvgx8s
WzipZQnAs/k7TRkACcUYmRpk5ba9NdNjs3z1pPuXMdXwiJ6zXr2CpfvOKIflgir2PD9zmyG5MWGo
xDS/T6WbBp6TWiSZDV81W74sBISg8s2edAQKu7bOPqn5539/479B1v/+lKxc+bltCAx3D8c/P+W2
TrPruLA8poI3VkET3GkZt17Vvy6leUt6F+E2cMK5rD7rm/jCr2DtBsODe8zEszHdT67JY1ZaW1wx
CCWTWe4WPWU61XMzI6Rr9iV/2L6Og9mFRbGXGt7W1lN/6J9/Fybxc/EpPH4o/g/b2n9/EIdXryZq
qpjWltHsindi83kLaWm+LrA/uq47JfP8OBkNaG/UoaQtbcvyWng2jzKTQIv//mZxwPx2MaPCxPXA
iJHDGUrtv9+RJ5LKVzMmVwqS+1V/bPMel0QfDo1GTJ/hnhMpzGDmPjqhPG+yni1hb+0qJQRRF0R9
i7aJqhRTb9IS2NIW74aX1cCNbBXnLCoiPRtlmHmJTZCz92z06xgQZ0RGRs40pE4fitH8OiJ+Pa/F
iVmbODlTF6ou129ajjUP5j0pR+ApE3WtXfdzNfoihGn0mhU27FhP/3KH7kVW5j4VPXmIjGaHwJ7d
BPGX/9eczAC9c+IAy1FPHinvtUAt5rrvxkESxOV6x9ne25SUbJE18NtaNuxXeIwMzUu6LTY7tX7l
3YSJ/bFZ18z0mzhZ/W9tqn4abfpdJU0Gk0Ng1dwWP9qE95VDCSVh/WyMrhH7KUEnLeyQED+zDCBR
yBDTwbgvYEzi0lDxmEBw4KFb3BO3VwqWcXwb5vpWqbSLZDYR0VIKorIX7xvnsbcbxz45Kq/Kd2mf
iyfXH8XT1loB9HseDLFUif/VUfQaD5M+wcfLmlO+2PA3VXLcECxfF2thiqdjM1YPizd/tuccP7Ia
54gqNokTQE5Gkd2AVZZoKhZiMZCh7ups3G3u/CNJtPe5spy4sXgOb856aaoUIGPu7JxsxZijPQ92
UhLoSY9ueurZBR6xcwgv0c2+v9aTFyEWIDUEtkUnDeizOJi5X/FoOCaM9XzBy1saXGVg3FNjRb7m
uj9rfTIi162Y0xFHR/RFfyyyzdr5ucJl2MtXR9NlsKmO8cr8Wa11sutYfu9LgRCxnh9gZHf7Jt+C
xZizwDa6K0yqmB4dI4OQuJhaF776galvF1t285ITqhWrYSWzwlk+429gmi2/DEVbxq3tFsdCf8i6
U91+HdweY0Zh43b2+osroOVxQQxGdpAcIYVmYGSdhUckhulEGt61QxHxtJ8Phhy6vechreq9+taO
0yGfTbmvdfdx0tEDTUrjQW9z3c1vW8WWXs/Bd+UPdungw0QVsdcmLVYCUTNX73VJSW5yzSzW8vHQ
mfb30cfVsm0vCTmTpRx/OC3eba2w3tPM+GZkBslOebrSTLJBNDFcMenp39wZ4rtqsnrPjQ7jfckE
qRlJOJtGCcLUjsvSrV9RUi34cjkqrXL5WC0XhBlSw6Cwa7blPliCsTEhPY+gMO+5Fe1aDugzavc0
bibwuMrbL2/YXIjs80Q8ocznWnS+eK4qSd5cLi3XDnmsSx5Z8xw2GU/XNrlHXJBg1tEBEIwlY360
OQUASbpVdpxyeiXlVsm+7Goqx6b6Uo1bqM8G368vId1lBeGjzLeOhQQq2zqpe8r9oJ2m7abVKtxE
AjtQel5MoL0bJEViMdbovjYGGRyErFn7uevNQB+fGUeI85Brxq7JQbnSmRthLpIvSTYhkivz/JEI
ozNaUJi5O72Qzt5CxEZru/SnzbI/lhFao262UHbnOM8mDoDe6A+Lb4N61fGDDUYzXkn1zojzgAvg
uebjQmqrqfT6eag+ZRUwiarK1oszC/s6s3mOCOYjGRFifNbeMyFWTte+tsjpYmwTTCiLj9L2uUZK
9ZK1o73XUM3vUmeKujEZw3LI7Rh+5nZVk+HeSYc+WTmmi2+PkBpd+6TyMo/L1CNzejPxsnk67sRp
zy4Oj23uTkHXJztcSO7D3P/QvHtc6NfW7xhLmdBtky03AnCTHwbSkh15RA/NovlQf/hzCyD9Tv6V
dFE12Qnz080LalJonZRV9kBix9ih8th8SpDUN4ll+OYlsgyt2VX7oZQJQa71s91BeeAJ4tHPoah2
tDefchPE5s/eBTuFtk/EWe63AQGx1mfVoeimopquuWMD3cKwGQLG7M6M0J39RGbHe5kaj5W31N/b
Vn8CjbfLu+k+3dCiRnKoWfMYSd1QcYntIiDThvuam7Mfk2K/LANdCnqLwm7VlwpAgevkbOS1je9O
g6IEXXN22Ca1Mz6ownWRbWxlOE0FKSvED3nVhhFwiBZUls9aT1Vvy/x1sQb5wK6oj3z232Hbc1gN
vT3HomLwjntCC+3ETqOqkWSZbclxqbTibZtIj2Qx8aBPpdx5LlkeTd4ybWg9M1ptsyD/i3PKsJLX
QdVnMc5NXHlrzzxqxvxWbVFtru4f9hS/6+cIvqfMwFLus00ADvPvgsP3+sKS6VLFYoEoZU+NChbT
ko+rRj4loWTbpcydq0mbFVru6KDuqbh9p5lPvcid72qh8BV5aX3XB9AnnD+9v98WKaQz0yxjjbor
X51fxw3gP4QnO8YMObqiXV2dzJk1Z+kOzxrPy81Y8JdPtOq+Uh+aWD4cc9vTx/4glfgywo/4Y4X2
W4HGSkSwgGT4dN+M/fJ9NdJBcTuJgumr89UdlfYgiFkKm0SbD6nsjh03UbS1jUMihXGb7eE9c+uD
K8vx2hdkVeV+QqhoW4D+XN6GpF4OplfoQQVI1tQHnfSUsYz0kYLZFrBvR5bIXummD/aUNKGHxtpt
uG3tWsTFYn8TNYBlf0UrZvgqHFX9AhP2pMyW0kYxc/Qbr4mYA5nqZjCRZXZ/31eupzHzvxem7N+2
Uv6pCfofVTWGMx46aLbu6tZfV6ZmPmPZN9oihkmNAlm5XlC23Y/egr7aWMCvN0wJQTFQjGbGcbXl
0cKXSY4vbqfc4T7M6Jr+0J+Keyn/r20SbwZ/y/1NQd77bZtEZ6zcYTXyWPPuOcTJuK9ZJJxyfaSa
hv4UE7dM3GOenLzU9vZqZlmUZWB48mTFzprhaV0t+ro6+bnkGmHeThePsAsRZgmO5kF8KZgDk2I9
RaIancCwM4ucudp/dcYRj+wyH71pHa6zw3lq99ObC4rFEeWRvTakQ8bvt94omRwvy4/iHrOb+AvL
5WV7Y/drXvq5G6gfhoIlQvdzFNeJuTmhx3CBWilv5WL4u4mY1l1vTvfniIoL/T4DZsi7Q1UYI3Er
nk2SsAaZdbFh0p7+d+tCZOuv3zArBWw099vibnL7dTpCmpw51onlRJVjZvQhG/FV2fi0ytI7DMXs
XDmd1ew7lK3b41aPWLw3KiyvS9/1NE8D1OR/9ZtPkeisPud4tZ0rOv9dplMZ0EWycHeKUl7E1n0z
Oo0CQ4e9V46WICO2aahQu3fMcg+VLZMbmqv2lOBBTDqDulZSutMhsbeb/auHy77u0zk8zHcroJL8
B92sQSM3I4odDvdAGc33BDR5lNjaHHpuTqhfNVM6JbjHKx1wQGJbJD51zc60YVOYo/3UTKzkWg91
p1PLvanJl9lKTbZZkw6bmnKiHKdj7tTGg7cwne4IuROVq27W/X/aRD+opiP3cuC2d9t75HEHU2d0
jr1JoPOca7RoGkF8XZU+rqQDx9rmgdOu+1e367/CJUFOYGasawgRioVcGQrb39PEMl549GKCn33t
UByawXwcjPbSmWKKq2yoGHb64mGd/UhfiPIx+fIel6VjeF0a2Q41MAHQo+OBSAZDnG643Z07G0Rt
VrLP2gkvPTNv4DlzC0KcbOm0cEK7ry/eArK4cIuFA6e7UJQ6ePWRlI9dHhcdWe9kROmRlz2ZE/NF
zRptiMdWBzBR3UwL4lDZnVH8rCF+dXlqh/yzZq79DnBWsjfIQQhHQT8iu4u+uDdtgHTHwLw45WTn
7lZJ0ww3QSMsntx6RblMZqr+qov0Y0VgsRd180iL91dr/XTdebkYJfnVWy3lDulVKi2XUD/pP+Sp
i5HCbKICT+ZuYQXNJsJ4FY1MgxE3zMEHnrsV/IVjUyJL5MEZi8aJs40IL2rPi9MTQqkNQw4bm6uH
kym/evbDsvXOgTSF2zTZ64OsuDwGvPBeThU1ucWOIQqb6tI3IjUTDJ/llYqsxKZ2Es1OzQhwtWr8
SFKjPXbKf+2L1jgmNb+PNOOqdCQ3uZWe1+nT5JJOCel3Jtcx1y994r2taFTP+dokoZkjnOylj49c
LtlLsyqArHnzTc/KmzEsyWv52rfhoAInUSLepGoCz+X+kEMBnNLwz1LT8IlmzVOOtiyomoYEC3CJ
vLu8suFvb0uQZ/Dq3TQDV9Pk8dxi+Gyrun4Qqr/kPj1DzjP/xNEL66kg8AJuGP8medAMxWHhBR1a
DSTmlR/Tc4tdS/JG2M0zUb1dOz3ccWSVNX/KlwR4eeP9mCbTfWZUEWuTfl7kog5Z82qYWneGRU8W
ODeSNzKdwgZssD72x6i1Ni1uCwsR49QRTNa7r4DtncPYahRezqqHVt4ulMmtFlQFGWGOYL9b2qzJ
aqBcfpWdS17oatvykM0Wh/DEzn81tRb4FCVdC1mgdTYtdEVZPeT1cGJBoL9pjvvF3fBVtjw+QmtJ
nZ3V05H6dWZ8ypy48xj6N2vrYNgTxqmt7YQpJi9vYTDaj3K09nJMb50+O3sG8M/Vyh7PI5hwxzf2
keeLvl9r2AOroWAuZEUIXeQCqWoGO4HaG/NORpzAvhHGMR9ocpI8NQi5Lw/m5Gq73qAn1qog16tn
ttv7tUiaczMDrsh8ksoqtY37Nad7t+xjUsDyTGu9BR3ic3/kQLTFAn6fDOHYvOd7lsZEjc2qbM3Z
XmYi1/dWCZqtt+2HtvEDD7Fvohx/X7aOGXdKy/dEx3+4kLcDiZ5l789ygnXqPIsGxqtbixSFH2e2
KSEkhELrdOZhC7Fgaq0ik+Evxm77zmp3waTlq/2Rs5c3mKHsWrdGZ7nBPiB8NpS5eGVJ4wWLPbzQ
hmyI1xRyWVsLhuRQD1N67GXexPf7C+k+I9exYKtnL1xBudCO1mLYZJhYMVMFJq3lclsRGQ+OnM/Q
7BY+D53YZN+kbLOntS2vovyAemoet6WO2wWG5TL4bEvbmcIbI1bgplOkR8ZKMeQOKWSabv2edPSR
Wj8UYbWgrXhpmqJ98zUh9/gT2Bt19NLEG9q99lWQ6GiDO5TbzLyw69mei/xNNzB+JbgdU2Ujhhnc
PcuFsMp1EqbpC/jXwKMSkb6w6GX/XUngT5P8vimW7dJWJZnDxWVWXDdoMNBta+tXnkz6W5Ws5ARC
umJGtwZqtd17tHFz12CgtN6qjATbntfI5cUyIO9l/E6RtxmfnGr4PJRMafrbam4ytBsNA50cYzFS
rIBBqS/Dll3mTjxR0vHkGTncV6/ZF4Wjc1al32pTbyJzUWnoObIOsulLa1vy0DPH2m06/e42fnj1
jEOAT1QakgU6V2XGVprkTR5EnVd6cHSLMoIwfwCc9d2UgplmzSXtuAsWP7A6pR+ZeDKivGcdnmhl
IDUTGVLJqMl2Gx/0jRfq97PfW/kCVwydREOAMhkSqUdbZTxrCktrUjZQT4icDxOyBBAuIMp5dXiQ
R2tGgVSBQwqadc9UXxw6zdsIntZf7LJ6sTdcorlxtw/gfNjlMBF5vnPgtnW17Laf1Q+VpflVus7H
6pTfVrPs/uKx8uY3bf0Ja9musas8VoX/XuStETsb9Y1f9zqaQ6N+6rmO8cnqXOAdjw3andCZ+h5i
bNKH9fpXe2/N22b4SJc+eUK8Ml2ZfeMY8KLU4EhbM+eE9BIuXUtaA9AbAkestkeNQ/wBJ2Ps+ZsI
a+QEqBKAkvlZPd1Q34wkbE2gp+mWLpnsL2UK3QhFbVixSYud2aoDbx5I5tkIku5r1z8XSxf1mhiO
WQ6ydOwk5rMPrmlxHPpl3bem86Js5slZa6031T/54zcD+MzJcN0ruWGPRd05X58WtWZfmvzWd+hg
yEcVZ30tvs/C/5A9yTWGmo894gFjmYDkq+LCxP04Gljyt0YNMfdDCb4iUTsEHhstsKPFdMU3R1fi
Mqbdu+edetxSIdfsuKsTkotIuS93gyqt8yCny7AqGfgthyRzz+ciuXRQFm9NMl9MB/dD2ojiC/ur
iVAPT+FRqBkg70opC6b9BsNPYldG1C7Tlp04x8gXl+yNxd3w1M/lzXLVGfrGwtBhRPaylCHZGMs9
37Ty/POal9VxvUMks6zZcxCMoYVFoilz7bno/RO4puWaEekcNrI7cIaa4OPA1ajXabLSl6kH3Xk/
z6v7TdcBNahLP/a7idudcsqb3GfTk68utx0CMPKlsE/uzMUKXEuLfbRbME+JNW90YEx94YaMHXM0
WECGoCntjKBc65z08OKzVVOMcjnjV0YFY25jfdHRDSGQC13Jk2/cFM8SxwOXw3lhqMpEBcZgdCBy
seLy2hW4THaLY7yVql/Ojmg4tP370LdxAUwVzcdWcsS3qa8Q9mTMfhYLk1OSHJZ86K6DOfeHcmi/
2XX1yuP+ZWsaBfiXh1BfcnB0WfVpHbpD6vBTsmXgGC2tF/65BpBRdo0zGbsqtxkumZBFCqlUMFnW
aVjf7yV30VDltSp5TXAW7d3FQOyT2T/azn+zVRcrA6NExk7tVk9o6kqSQTozKQi/ILQi6GTVxEZd
n0dzeJiV/a1xudZGC+Rnhe49tC1gpeVW31WMw3xnbnkkGvPV2O3nWmU/lk248G/nNSoNP/AttQM2
KSjLrFe/Io5l4lKt1HoyFTUqNccZ7cARZ9R8ZCNUeaCi6uHoQr2tiHUiSWl7F0VPFe9A2Sym9MNo
X9SQ4n6oXO1gWTjgrIQ83C1FlagVhhnWDTtJ5PBUWzVc1NEgzJUFGlPTK3RJ6M3Vil6rh6sJnsw9
bZnzWk5Cxu3mdJdUrfep5menGTKy27L8NE8WbVBLaSsG+TN1nNuaTGI/2lw3S1cCFh1+8ObSeB0U
rzKlOh3JOB+34g7Jvv/OuRpxXsFXLe8lXVrzp6fpNCR3xUOPTKqfR4bIw81KWA/NLLD/u1c27svw
fw0jcGwKnPL4ReD6MCzhv/9jTezMBR1cJpxIavmLX1kfTi+ayC6gfSWkjY9++oHU0QeZFtSZ16BW
6/6wNWdV+Nt7EDqwIWRWtse2+lcl9FCbaYvSXo9orylq7Azj/tYQEi0stcejOB9GE1XkbANQMYws
36lVyI+Ey0vqe53sqfNSVUWQZjUZtpv5VpuVFSZWlh6KiQ1Gn31BLvGA2wVaVrU+ZZ3ow4Ig+mgq
rrJvvWc9gbmT4EnQjMJ6wgv5w7gj4OU9pMlJcyKoSZz3lPlzlQ20u7p4c+rlTW8mgmtMSz2TQ9Me
XYG8jpr+qI/V9CwG7a/KIqO9mIePLknKZ8ucPjfppZj7+d1MWov+aNv2ViutyNarMpIm2UckD1UH
lBL+p3zE1P+aZhL8pKh4RC2EJndALbeRZKLEFg+9l83nUgE3br3uwJbbD1VBzI2q0iVA1psG6aLb
YFQS9n8Jq5ilKS/ZIN2r6Q3fUwEeAFo0Dzd96cJZqfXc2rtq2bRL1RRb1PivyMrkuSYYWtRgQZRf
8tU7xU9r4PrPtfVqmk0ZmgNVwNg5b9XQvjNvug70yk/lth43v3jS7W24TU129K2Mo8ObXszMXKNR
0c+Y2ng1BMGSiNJTQLYA9Co3SaMBSdZu7uDgDz2MdcGzneKAmTRpx8rpjjhwrX2zuZFWlgMhT8tV
kYHc13MTQrhZwLTVAZcy9O1O+5hoEYJF6Um82c6rX9hUeP1Ahp+yjnNifMaFwjprXu29aq1iZzaK
ybzeLewtD5ZdJTGmrjEQMhFBMfkXgwbSXvQcrZuzPjlmrR1Zce+rTzl36qtYXSMwv7V9mr8veCuI
C1z+mlIrYFrFDGLD8D3noiVo03wHWlVdDLyFUVM28uzQIO3ERinX82A4cKg0581w1iOrGthq9zM1
NwUtU6qe1s15BPcmP5yE41StLELsYaA7uFP9NE3Eaz3jQuR6Iqx43mvD3FzF8mSoh76ZVTx7Th35
o7YeCrINA8frkQ+1VnppVvMCW8OAR20gzibr2eiX7lTUTAPdBpHjfx8+v8mnmM7h2EM9CHvgfvf/
++xpXbuhKYeG3syx2S9JMG4E82EpovBLYgd4rK1jTf1T4ujvAiF8ZwBJmNlg7sBQc3dm/OPMS20U
gCxOt6jw9IS4p4K9fftVwJhtV9RB+DR7cogiYzMei5b28L8/9f1E/feJyykL1sjk0QYR51enhKdT
ceWV2KKWYIazqsfvpe4KlvBkr3TJ+vrfr/b34fnvl8OLiT4Nb7rNGeqb//6wnT4Ug1OZeDJIlDxZ
aKOijsprlzTXXmtZ1Cr0sL317LBwORtr8j76uhawEoDBLrpuv/V6ti9VTnZXPRc7dB8hSXpMnTQd
92A660ENCzQWE8/vcc0fLVGqU+UZ8bZkZGHbyLMZvww7J2cpt+QpORYr9ZS/wRJ0905HL1v5HUv7
ZXpmZH2stp6qQJOC+YXzFSdtFxd3WiXfT87FrT7/9/eDg+O338PhqcPmCXMMfp9fJUQVvv0UCLke
iSXRz97iBk1LqM+CHfo6h0aOTxAJgx/klvYVca6E2lYjjpxwWrNMc7hUyS9YvSVg8/m3gvhR1j+S
NAefVuOcAN/OEruvI+xiYd0lz2OZ0mmu5vdh8n5Ca0FEzNAvzHuY2nS6rxhol1eCGPrI8+qMcEPx
YC7C/jygDw2abuavB1K8diuDrQqSPoaxL0NbTO/Dg5uzTcx80R4ThNbhoLnnXm5v6aAVt8UGjIx5
Z0W1rSWXFR15SDD7GokS58DidvLdVHg+Ee1UOGjN5bDYnjr19tcN6Qq7+dL4sEViM5KZpod0Hhyq
9MaIh7m9qcUvr+yJGbVImZ/QNIdrSYRc43OmTbMxER1cP69d2oddaadxpYCeGpXs4xkQ6k70SMPh
bkJXH9GgKU/etnY0AIAOX0Q1d091U7/YzjJdF69IdrIRWXzHX25uxuDYPAvJM1pVLgbsfMNXUFMj
0+pdTDMlS5a9CQ/JgA36h1Hb6ugre9xbixcLMYW5JtLIzJz+ZOfinDP9j5Et8VtO5QnSjLgVnXHS
rKU9zuywCjdpThZ7YgT4gm2At9xcEB+7msCj4zoRG1eggw5HVuxssLHDtJathdSV6Dn44QqvHI5O
5nr7MmxGtzgw79dCf2y/Jv9H2Jkst41kUfSLEIE5gS1BgqNmD7I3CKnkQmKeEuPX94F7U6Yc0qJr
0eUySBDIfPneveemvrfJS308qZzHALQaUrRcfhvow5+lpqLTjHKFs2jzxKM8f+N4RX+hsP4pUVCc
kenQqLb0k7Nk90Ps3MWq9g5skMVmdAwYvaYWekM+B25ViQAF4nZ2CZtZiH+jeq+USi8CkC1DzymM
iAoioWkY1nRC5zARNQR4J6yogm9LNxngnp0zvRBhk+jIoyaGsYDScBqVzk2lZU9xXllPqTUYUEbi
p5HOL+Gc/sZ05cNYzcjsC+stWdkJojKaYD7PgKNQ+tDA1JjLFCXD809e8HfVJWgbpCWstT5rve2s
//4/q33mZDWsPNxMY8/DY3q9f8jN/pE+33L0USUy7Fj+raV3rxabEDqJp6edJ23f+vpjVFP3fPx5
/iLMxLAAGMtymYTokAf//DxWBzi/7UkCTd2kesz8oVoTlQtgEjmxYqs3rsst/eyO9sGea3ULb591
r+0eYKsymRkEwNuknlFWEi1ZUyB9EXaS7Yr00jQRp7SOhJhF04g4Y1U7lH7qPaG6QnTi92cCob1N
SzjQl0h0yUNR4RVw5vZirhKlKcte/bFtLq1M7NAi02T78Vd/zyXkp0BQiNkRPgyZcFeHDc+NUk6W
vL2FWb3y7I+r74rIZp9xh1lrQdYpE2GfgTys6M6uLetvQ7w8IGdybtQiLogsEFF42EdoGZBwwrin
Mm1CF2PjUeqyvKege8hbL/1kE/2LXH4llzqckBBp4gC8VmfaGRWw0cOFa9A2sf48wPpBkYQY07Py
cOoHLHb19Jy24tT5qJ4L7yvqta8f37+1LvljK0dv5Vg8wq7JYwPs4M8nR2WOqYmxoJWH1NboGJd0
fnb0GL59fJ3fJcj1hdgPOYshHba9ax2zvcRQPTqUBVyS00fDIV53n73K+EroL6bf3AuEoYFbQUdS
e5W3nal1dlBMNribxm1Gyq6LKlJgQ0Zs56CvbaawNASWs+GLtpKtDWdjjz2UGhsZbpXq8cbwtXu7
SnY9GpRNb+ANd4zqsfktpoHeZHGHJ/axbZ0Ph2Y9BDazf//x9/7b/RVg2pHUi/UJvbq/RS76hV8w
RddO+q4x+V/jRpzmVcb88YXen7r5JfHNryvAysVzrtYAFhnlpwS67ON6Vk/VBBav2mFCuXPio+h7
olOtKrQWumpJg3BximlmfvwR3tXefALqX4p5euyGeW0A0QanTwyT0tev2hdnaS5oOl9riJv1wnwn
pirzUh9jAdCWjy/8nt+7XplnirhQJNugWP58iouGEHhvyYgoHW30ehxTG8bbAeERzF0yyDJpdmlR
3e3KSN8bFoIak0+UFk/+GP2Unf9iaFA0GNPvXRF/BnxbYyyv3zFEPi6yefgK8LyuzAP0DEka0bEs
dXr7lEvgOlHWwuIUXwwveajMeb9iyZaZZFNi87CVDMzJGYVOTIRnD+gGtq1PHsv1GHT1NgJO/g0Y
pD6DvvfnDUPe2dPVHpK9UuNLT7Jqwfrz8Y/yrgb2gEf95xJXv0nNcCuSzUgnzd97wsDMsTYIVnQF
E5vPEu/eHYCuLrZ+3/9syOhp50SU/SocrB/QLt0jo8I26IAN1H59/L3+dilBbA2gaKLG3nWWJkSc
0qkJt27c5QZC44li4Bvj+I3Sm6ePL/X+oMXXQu7punACkfFfA8lITkrIxFq/1hTvYifF6JL82zmd
HcZVld3HKCGxXTe7nHVty5mrK63hwr6vOjqRbPCHoZhS2vH+v4P1KgbM3BIdGugYHqomw+GLeH6j
blXDWH6wMUv19Q+2pXKj2TypenTrrRR7S+qhO3ISSezmJrHSW3vOEavVtdjYK6hdLRO5jMwyWbNx
dEceAgNp1GQNyCQAqTjsPrkt7xqMyHMs9k0bsRrd+utNq81boFUKzbRf6LvUhI2PNVQKcdDYJEnk
ZGXrNJKCC8u/I6w5CvQuIfbXrbbcx2zDnOmlH1CGVZ444yl8tApSZBj8oK2l80tkOvaVwkTb2kGO
meLQTVWYGqK5K3WJLNojTt3Sn1OhXmj6P00TggkdOtHGMkHyrbv5XOVPncDqC6pFDKxE6Yh6JAJX
9PGd+Nui72CbMn4DknhUrt7jlbktq7jgYexRxlZqoLar2x9Mx9qtbGuOeoMGX8Ou7tKZkUllqwF3
xPApwuxvK/DKtISvwMmX/L0r00xTORnwcxLpIAzvUAoQCFekRlgS8cGp5KezxDwxkZQ7MNGvs56O
54Wfw28n46bhKR5mw+Gofl9YxAoR8XUwBFSwtPa/EF03nvHcQYi24/HgV2Kvu6q5M3TshPyBFZA6
z7uFWW6gSfvM0NIKlHMRner3RXM7pcDI1bDsano36LZwaFaNYhDQ0o6L1tqwa8MYJc1RaSR8LCbA
Adu/9C6TsRmUb/vsWA7tJI8vYGbGvIVR4jInHs9W5hHmK4r4bPRzf8Q0M3Fmwf88a24YN5HcUfc/
lz0H+xqNjIgzOyiSaNWrr7oAHTUb1oiBbxwoSMxbrNg/s2J5ja3iZNGqDMa0iTaMyr0AN+OrTYri
VhloZxImQGE0vhg2PX571BvmvlgVl55kWKaKPzvLtkm3p1HwszfoflP7JbupSS4Ac4awVfkxT/qn
eMLjWKUjGq+KrL6qDWZ/IYsiXQ3PrbADGCwPcvpHt0gy6cuZZoa+JNRn/S5q+zfTjx/oJTyIeHpW
mfjl/sBN9SNbRgasAmj+KM4w4Jgy5iF6BSLhcxrbJSHreIOYeebuDzsBHV5ghMW4gNjW1HxjG01u
x8EQ6zyhsux+hXkq6rHZaXW3rxuN6pFZXxATgBJ4+JMWhrJTO7Bcxf8oVw9N7eTZUx6YpX+yeVQ2
iQ8qreyrV3+2vv/W1ib29JYsDpZzAHutnh55ZyqaGESojfGblnTHsfMevd+gLXWYFFWhWrQ3sHTJ
vrUKf/crm5aO3Kkm2RhrPZul7Wk2TawyWfeURGmyNTJ1g9Jg2eTVCIfBTr9jtw0BlCIjokoIK6w6
G7dkcGxNOWzOeeABpVKRTks3huHsxloVyLDkIhAeYEezXe1F4ohSYL9QTwU8V4ydfJTmnQZ4K8+f
mzwC1+uI2yab6o2GH3kz2iPR1Ln+TRHD7smOhJa0WbaOy/8NS+kE3tSCKIp1oEAM5qytYhd8H4PQ
s7AJgJtE18M19bArTAR0gHnY+Q6PcRGLm2ZhwKVgMdVe+jSr5ilr1UuGBvs4ucWjY2vTqW9EG6a1
dpnyh36o5ZtmJLcCf/Bm9Nz0cayqczvb3bnrCCla6KTseob8N72PgXBSyyq3Zp4x2cwju4KRQ2NT
0Lr6bdEV1m6q/JmYPIFuOspIBlqeDTd5JShR67sHqvDXJsNgEXt9gMR72kZQ0xzDPIxp98YdT3Yt
7n1S/lqxNyq6CWnNaAxM/2ZhKLCfnbYJXFYt6CL115pnC0Fyg4jSGdwDII6Xtm8IotXwNWNc8DeG
5YSlExlBMZ44nYtjPT2KCEWWb3zRnBJeH/4hK0mzI2yeQBqouVqLVhPAhycOSiRxWiNaZq0VqDOx
3BN7AoJg38iKNyNq3mh2P9AdkTeJu9DkzKzDwCjDqtWN2ya7KisZqbXesOm1tt+6iGc2Jn3J/59s
SoFnEoZJbcLhZOrF9rxghTB7TlGTR0pD7f3AGwZrUKdRoWpts44WURIZWQAL7tYb3LOeJyb5TZgx
PH7TAFF/AJukOtAVCszszWnce81TJ9U9M5A/UasO5C6ZJmRheg+M+Qo/yoLIaagfKii0xkL+XYqr
zLAWF2/EcJ80T1o8LAcHkINTZGSGJq25s8cqfS67qtkKumG+/tMYShIkWT22QAi3SZq+ZXDe19H1
Lkc+bPDfKGjz3NOHOJ2ZKhL3GXvdcjD9H8KSB+WRXN2U1D9RpwJ7ZYebs8EINe3vJiIBLGt8buDy
MKbnp9DL6mAkI6JYTx1IM+pPBmlQfaE7rI73sKy8bdITceNUDQa2WeynqaUTlSF99wbGDNiWE4OI
7PlsA/zYitUNZOnZt5rheIZss5/bAltrdrRG3d0MI4gDsy+7vamcHtLDl7SVj74/ouWeZBBJpDGq
X9s0OmAPlLYpcC1iKY8G+IoxevMT66as1C9iThUtUvoH9uTfe6UMRL+6a90cxUXL5DwlQLZwMjrO
tsKXQTwWtj5YyWTs6D25JRWg5sE+R4hiAhrbQE9T9BVKg0M6LVSB3qmeqzqA98kBEJPo2AZKRbeD
2WFlzRGmNikprJiCwF1gsXBK6wllCP0YsXi8kSWh3Db4AwpoEvfi+dQUVYo+QwwBAmQnJCLV8TWs
mUv/YMnKCFFSo2MqzO993P9YDGx0xcxOv9RsUEm/hENT3S5ZpyOY7QNNqHuyJg+dGfXBuiQBespw
c70xNvsZx/GDC5/o1OWvvXR+Vtgxtrbm3DIrvjSpzudHokpwtxd4y20z5zvRpHWITq7dJGIi7dQV
Xy2zE2yGdn9uffr5fe5te71+ajO1BB4J6Sio4WXEEMziirfK0ZqXnsQBV+8fXNe8MC0lntZITlnn
6luciYjyxvgB+Pq2l2io9VjDO8PpjBxD0w0mz4X/pgAWEWIWb4GP+Pe6Zn+vRkGMC8PmumvwzWgC
so9xt4is3OXuzMOXNhe3h4SDJBE2PQDWIB8ZyHV6/RxVGClF4d/PRhPOmJ03pVPhfcNtHWv32kg9
gMAYuS+zFVre9tduFWuSeS+22oL5yz5FqewPwiKVNlP34wImqXBFC38EDLBQVA8z/Ru6NhCqliP2
V2pxrBFeGkcYT5MOV18JG1UmN2glf1p+6QZSI98aLTvNJ2ANsRUfRpeydUoH9H8LjZwI2lCA6peT
c3UzFG4aVmz/G9BJSF5MlYcIhYvAlVirWUiMUJXS3EOcbZNio2fixmaeGmR6XwVzNv6yJdNPpjP/
phWlHFEJWzmbNnvZ8tYVBRABnjteQyy9enwR2m0v8ic10RcQHjgWHR8aebR50K/Tj2yUy9YoGb/o
unnXduwTGkVgYFjjve5WzKgYCfD5gQOYFL0aq+tOpc45wiTLUsgQC7r4cFMsNrlfeXxL1VNtk7Ku
A8vq2QNRKA7FoqDhoo5Fa0QzWUN4WdehgwUh9OZebi3vWUiivxiwyH1FyGuBCin02mQOYD1RDjgL
9KPcBjpi96w3HO8g6J40lHwdhtOQDuFeEjOwGZzqh1ev3lpvpPaNWVfdEUUSsxx0ZGjnw3jV/zac
mXAo2gV6+toO8zohQBBNKTP6hD5992gsSGWiJHuDZ0Pl6ZF4upiS5kqE9EfP7fisHMJ/p35rSVMj
jM+1w0mivu7UoO8AR+OnT+uN0nZsSksD+NenzsbFZpM77WnDHsQHtR3PEBF45nyI83I85wYnrMxE
c1VqN8nUlYc+WYxPDlzm2rX4s3FiM/YAkglmD7Pl9ZyXv7GsKLmj0MzSt8ggMQ/VB5NK2w96BZKS
ru12BuC446YcOZqbODMatK4YybfFup3UWROATko5GJvDYQbPRvcHfWGfdI+ypN2Z/wQhqLYaD9sn
5+b3p0UI8ozF116JTsP8mi1id7FMVB3TN63nSzeomsZBWZ5p2EsbiI0vdnKu6NTl8Tc9w+Yooqj4
hEeDufT6DvIhHI9G8O/hCTyAP1s1qZO6VlQUGF1tqQEtJj868ad9v/I9PbNkkS9sdve2CoAWoL1c
8DowCiutCdEnhY9RorZp9qStysr5F4WlQzTheIASP91AvTInSluQZBmnX9bOiXTGqONZ8qYOxo5J
DKTnbFwNNuxEHY+lvGp2lS6mW4sXr+qTC/tEHJgux5II9WLQtPdx4t6lsaEfB8TnbTbSYfCgNqRN
DQjOfqh859Ep80fIcwQMWoOAXOndwc+zj7Zm3QyL4IgVNyxCzpdJzKeurR4ZWrNZjOhfS/UvB7Hl
ZGk1fALgq5Rjj7iC5WGB/bEx2/EXY6VwbiSySwgn80JCudt3LQcYWuVAhtLAMJqnaDAf/Lg0L7nt
fYd701IQ9fNxJFcaZdCd9H3esVg+6OuxSGDlk/A3t3SCW+pU59mbRhSdZeEErjngiwDVQP/GfBoN
on5lrFPyjVSJAy0PvZEnwLBFKDVamR83NKx3PWQ8Nz5dXByRtHTfues8oXq9oxoLi5Rdoogi6HRV
vmWO5IQcSA95xgLdk9AGYiH9pZUA4JJlizqW5RhR4PC9iakvDQeZdEXbAS/spqXvEriMPaEdaHtn
YPVJIev5xdeWMn5KiUWyodFHwy/dzJxNHMVPHqVtVhOP2XVADPvE2eiT9jp2PJLrRNnKv7LuxJ+8
nkx/3r0aYJZNHWY9zH2Az1cEJb0cUAcX5hRWS828WVmsm2WEeNBeNiaYG9Y3Tp2ij0iSbjgClkxA
PXo9oQ2PYItLbJuMNjpEF9lkM7XqETf2Xe8IfddWpADZNGKNhlMGNPuD4Q/DYUjJQk0U/TJVgweb
KH42ZjftK01+8+eq3JqtDvTWXCyqEsUL6DmnflTVcRk8hLMWPj4cwIdsyshexS0Wlaq8dd0qPFqa
qwfligysFHSrOZuKI76firjQ5Suj+uFo5xUD2gxsXfsyt9MhmvvnaeKY29j5RRhmfZtG9EfSVBPH
tK8YW5iAVLQc4qLndhVdXuhqnVtNx7hNid2Tw6NvLA9D46vVcIWQRIM4iFXVCruiI4Sz42QcWZr4
gluYpHFhBkih6jBjEJ9jVL/Dw3/QTetECNrILGq1w8sO0KFQD5Xjd9Q2ZbHzeTYDpOkDAfYaZ3TL
ussriWpaL5EAe0itSmr2glSB6JTT6+IRXjVReLAbAmVODWd9jkL6jbWSJOba2ceci5ET2pTxdnoE
oo3IWbYvQze8SSvPN1li32hRqw7Ro1eqibAaWdMmuUg9Lu4tes63QzYEY6LkxcG4sDVkbwZtwxf2
elwKRkwwg1XnXAzVUVwW5TYn44RxtDHhzXZf06yM9mk8Xsap5E8lJGG7Rn7obHa1Zu10uRLPRffc
ZrRH3UnYe3rFxlKSL5XyDzOe6UFbNp0k+VNGHkTfeQjT5J5Zhrz1CdTYuouvdggg1BPRFaeyYGSH
yuGsSnwnU5/JG7964YewkTVOziEtp2O7sL2bNRYNfkf7MloLeS0zdpha9LvFHb+5/jaKLPtkEp69
auRtmkSh0ftDUNtzcrEc8GOkvPLokPQyuMlRt7Vwcpt4q2l1xoA3uh9NIw81v0G6F6U6Vnlcp0lv
fst6sz3OMF48PbGOJmmlMspy8kfsb1VkYJJhmw9UAnZCeMkefx3QP48qrRFRjgAOpt7MCCjAW4VD
HuYqWgwegMi1116hcV/53JZuoanhiOSYY7oNu7l6xVeVB/7oNweLhKcY9nONU5iUBvckO/iIRSH/
HXX93vem59hZvs+jOI79TDpDsbzlVYJOx4yfWv9lNpMbZcjyq2P1TyI1i5Odc7Qs2tY8jRxiDAQg
qLEuEwDITrMYb49BZ/bsSmilPl7L3w2AVvsks3fmtOtafh1QmOvOpJsd3A05mCNKL3b70sXD21gQ
e8ocUwE2iODja77zQa/bhwuhimYutPrrZAtODVlLY2ui/4roqtFgysZl0PgaoNmbeBR0+PXpk5hJ
9y9f1KThD6nQRPX8bvrYWm4UtX47hounzEMe1zCrZm8Tn8GHEvngZF81DecQruRd5xNEvZ7wpZjT
TetLQoFTbw99+zt/R85yzzs7LylWBrvk/BXZ286Pf+gdphDtICN3rzp1Q42hNnWhgmLBKMykE0fB
U0Hk3JqzRMwhKdPlS5MLPZyn6B6l8UIPjT+JVfOrg63Ma5HpcAR4mZY5JH2aLE6O2JtW5xBR4yEj
JgORWRnfmWl0rybL2pdF5oFztfGXjwZEJaI5TJcGxpwphekBDkiN8DLkUQfg21Xbpn9CtqSHcbKw
NFjaAg/slUOF/KRe+MutR4lDThrRsmg/rtn42WTrpdFQTKZFd1j8/Caa/CQ0RPc22Gm5bafhkx/7
L4MOpk4QtRAxAIl8N5JLWjeTOYO3kEb4i2qqnyY2gsr2s03N5n5k6vk8jf+UmSu2GBLx6dHcIzC2
pcj2cyq3RO28nBgh4ovOmcSZ9PEL8G6wy4wZfzqYWfi7zMSvBqHRPHGcXHvVfmPdjS26iMnC3/Hx
Rf5SpUHrM3jeASAwBb0+SKyQlV7UklmZI2cKJOj0isMrEqf6C4vBS2wA9TF7HxhAgQlHm7UASaSC
tDqnB7/A8MiGa92ZOqvdRMbQzvXtn94wOgcfywIDkrGG5NUT4J7n5YPged0qn41e1rgfuwoFvZOn
0IT8dtOr0QELaKCz7rxcPfkDgmoO/t+ccSVI57dI7jghRvqL6ef9rZDVJyea90sONn0CMHSa7sh4
rp0Gi8hRrHsdo/Tal5uM/Zp5Rr5xVx95qlEUqfi5MzD1fvwb/OWycDpcYo64LNTN9c34z8SbYkZQ
g+GDX1j+Kb569rzVyT6atdzLAexzU8V3VoIh8OMLvz8CE6Jqk8lsr0+YQy/5zytPArOeiqBccyYn
RbdFbVWqfLpYw4ysyk7Pc9SIXS2R48A8iLr0Gy33PogtNP1+X1KdeAkG/Ghma+PRdOfVBNvhLVys
h8KCcsSu4hxbiVBVE59qVN7X2Ctq0uEAbzqQ/q4F4ri54KPrIM4s9MhoS+MzxAzt4MEx2eU6RL/a
p6szzHI3Z+7JtmK6sbSvhvqLa9DCF/qIjJHqYtumnnuwaFoAPvvFYh0du0YfTl0xY8pp8yO62weA
Z4wBzGTcWNFXjnE6/W5emMmgjlOcRW1NPjZqpJ6TWmC7sgCcnO6Q7v/U1mpM2u1L50ZcfYnEVhba
Sw/i+dJoDAAIGi43lrtg909a8g0ngBuI4vMDx//h4NYg+Rl99MchfVZxm5+xNYhtMkx4WgZ5scxK
u4lz7W7omWKAET/HwtP2i+NTdRQjHjLT5C2jobShJflPwhArqArxhjf2FvzIcKh7Q8fF5Ra7Re+P
dcSfbvrmH+xjiASz4bkCsL0H/rHPZ/N7sfjQKcU8nBaBlsFNpr2RaM0hzW+z5AsHSusSp1g2y3b6
ZDl8F+WziuJ11igKEUv3EPf/+bA2AHpTqFZNmKfVTBhFy3Jl29421jUo6hnU9To1ApdjotOY2BtU
MMZyOaVxygFIP3z86vzWYP23e/T70zimBY6X2ggm75+fRjZO69vO0IQ4bJrNkHALF/OXHxlvIk1O
Wsmww22QYVi1IZk2ujGKBu8uHvwe53v3MlCTBiDgW+05i9p/sjl6UvXIAyqdR1r8pPy1kqTA6L4s
6u8cpbDwGhoOrCbj6ze/PLk8K2nSSBTVOVP8tsJiuCVskDtt9qwn1UsmSyvQv7uNtIM5hRWJcuLZ
ocglfoA2ZgObvegJuVHHwlRvpJa+yS794i2yI5QrPmUG7vWP79m13Ob6ll0JC4ohUhiB+iac1sYk
zsuOWjKL73Gd//j4Su88HL8vtYI/HeCW6zn8z18Hkg+VcFk2oYzFP0ytAmK0uT1rET+4Hmcdqn4m
XtquHxj7jcyFPv4A172P9frUFkQYAVi1nevUvY5htb8kcRPiMTY3HJRWWJX7UmjWA0QFnhdMfyqK
v7jwdT6+8vrNrp5L3PKrxEhYdB+utYMwthtTtG0VotjaIFDWj4DnIFSQt/DxhYy/fEebvZJQUcOj
C+hdbR7A7lsYW00VFkVz17TzV7NKf1QOhZKeuKD7LRU0ddPvmYRqG8x1amKFjZaKosC/1Qx928xw
pnLmj+eyc+7RXHoBpJD5k93V/MsdYXsAU6rToURRefWm1lQ4PHeiDF3R3ZsA4Gw4CeSbtwevnMBH
23p7QQe2MeA50FaF5ZljEHQKNw/hRv+YNG8+whjb6RgY+CqvWNIWnPvZSNFH5oxlPrQxJJ4ujacj
IT+2bXzSTXp3p2kf6fwPdRD7JfXg1dPclnkdK5/DOAk+xk65+Vtcwt8TlXuayKnfoolFvS8L+35B
WH7vpZKe2Eq1lXvTeSkyqoq4aNyDKaR5h5vWIPgHL+80fPpMXBfx6yddabsgHairyZz8870DUdvo
VOsDOS/4DTqn2uizY4dGxyK0jg+y8X7KWkIc+u+I+o8Y1909siDoLARvrcGAOuxB19jA9Jvc6PTx
E3tdUP//wwnWbHj03ruXkrqKae2UDCjuiDDJqYpprQ3fP77Iu8787x+KxucKVoYtdf1jgVVKMzJ7
eqCqpgq8qX+bIyhhsojuu0z+Uo62rzFCxVofjvbqRWmmx08+wroT/ncNWD8CkaeW7ZLpvZ5t/vwV
jITxEmtiH6JGpJXcx17oe4xq64h4ALvLOSSK+0Rh0yq9vNxOEd2fTz6C+ZePYLqU02SPCaD16+Lx
n5o2Ldy4bselD8VsPdhzB4W4WrMJxvjcdljFFw4MdF+XZJvPKbHy7eDsneK7sObPDHXvbAXr3WAT
sMgdQhmv/yYZ/+ej6CNQXLNu+7BMMG8S8QJMMgOVw6G22E9KezV91NQdBFvdwKsvE6u9kOeCqzh+
SG2iy4y6+sWhZF9K6KVVzpySxKlND/tx3zbNDk3REBL9/SnF/W/3kBh6miAO1mv08Vf3MCICo3FS
niSooUdJQwFQLVGdEtxAuVQ3jUF/dPQnUJ3ynOI5c6wbLf6USPeX14ZfkkLbcQlRNK/XTwzUGtol
W4UMMQ5EECFp0MKPH5e/XwLRo+H+Lu/WyuE/P1EviB4qdZC3aT68ZqQRqs6++/gS6zN/9U7wKGLl
02kpmc419G3UROMYndeGjl3ceEnawX4wL2VUHNup2w3ucCGY75O9eP3YV9fktKsjlnJtVoPrvTgT
ImbroQroM8boVfWWoge3EjqeAhrMx9/vL7eQvQG5JkPNdTa4Pkz/uYV1q2XYuZHcpVP5r9bQmRfF
ZyOd99+H0DyLh2CtaNx3QfbOqMmkoAYNXYjXtEjSsGA8v6ESj0HxzP7Nx1/p/U/G5dhNCAN3HUxa
V0+FNPKO9CANxmvmvXQTBrwWtINmAaEBfcoIFgazAUDy46ua7wIMKGYcmo6CTgBQL+e3JfQ/t7LR
U79YuqIOgUQzAo7S+TKWdrOdgJoabo6rfhkvRUyTeBTIrAbf21m49el3cyyeClce0lno+yWLb1aC
1amCErUZegFvrRkfo2qh8k/y7NySgwL3jKwdoFa7DofjAalJONmm9sVgQFIuuiAmpvS3eqT0u9bP
l+MQt2/p0LZ3vYiCVjkLBlO/uk3xO2DtvklovhPI0cdBgc/xoYoNpKDaVy2L3IdlquAqadHjxFB7
yxRs3FZuzWeJET73leQYXT9xXJ7D3lC0gxgnT33qHTW9RdEZk6oca9FDJGR/UjO0Mkf/ksfmruIX
3GqjRc5SG8lLD3XAL2z9xqsS48bvCdRe5OS+Lo72ZikT26tPYRh5+b6VsQRCJFDINJoVDorrJIZ8
xmhPN3L07rJCxwLkt7BMOg/7ly7j0JiBtcVMgeN4JC+Bz7dpRx3ZnEK8YuZas80XuQoKHMJzVjKH
4vDdrcAp03vEojyeUl9b032RVjEc9avFCr1VmkDi0y3yERrAL4Ntb11q1qwgM0O0/DauZHcoOuTO
FmydPCW1qYZSA7qUkWq7bPCdaL8xnXB/yJCaqh5IIElSWzqzGPNBnQaUbqAZu0adyjFFYEAMRJs2
0NRM+W2yk/JmsXx0StkgD60ZZqWouHng0E1PPXCWCVv4jmFUMf7RAEVtnCGhf+Zy3+ZxWJ6sFV+4
yqM1LGAHpftHGsDZYQYrMBpeeWuguL3rNRsinGs+M4zgtnkAtKxyQJkBDG7u94Ss5oHxzUimrZx6
gETaquJB97ATZlHd5l50m8Uo8zsnty7kbhV6uadPNe3a1NwKm3GYrrwKTCp/OSPae4IZ1SH2bWTE
9G9uIDy2B8vDntU5X5ZFaY8WLEYa59l3UFJGgJTb3BpO+VBJxwprzqPlYMX3eh428NgChWL0XrDv
uiOiMVS4064co3Y3cajEaJo2AW/zCLPFbI6xmfX30J5+Zj5EDVsWxyVJDeY9K6M2VumRwRAyDWw6
42KeRWL/+ngJeb9OIhIG44qdHj6NI67WYjIc/CameR8aHsAnf45e6+62R1jZztUn7p+/XIomBHUc
tTa9kestZoyKktRsQXpgFT2LGSH1YB1sNFg8dM8ffyvzd4flz/2M0xPrOk5HztXEqF7tMcKtOxal
JOxWzGRS1V9TUlR3winiVZHMMM1oN2Us6oPujlvpKD0cy5FGAyqgNnJfbausQlpwAL7GHEZH/bMC
g3QgRRN92ziTTzg07dm3s5/OmKsT8tZxm6scHZC+JuklXpg3TG+lWy6Q1tf5ZxIjdhwabcsK+rM2
5cWzOjLOJNFvNFOBxxfqX9A1b/MM0DtzCVfU5D0UxQAeEYL7mM+EDW5rAA6EctD8MDNXBqOsl+04
Mj3NVjZ+qelhqeyN3jqvWV3FIcSse1Li8g0MKCLi9B+0wd5mCl0WC2MMC707aVAAABtGD7UgZVvv
NrnrqlBNqbnJgEFBM5O/+tS9QyZioZGu/ctiOYeGocI4yBB1sosODsyAlxVuqDfIVmPZhw3RFTtZ
I4DzZdYGK3Q077vsqLwRH3leH5DN1TdjUpK1G4sLoktkwZzTd87g4RbgaYRZ8s3M0L/pbo5TTBY6
pXchgPLnLlqb8UdTu2bYMWM9Y2pzj0VbGhsWo+9iamiwZZgvvHi3otG+1shVOGLWb7MRm4dSRnng
phykC/JfK/0xHeP0AB7EwIiE38jPqvTElsl0iR4MxNbyoBn2P4rF4GI3cGJ+GKrRvoiKpYWo+lvH
reF86cNNabm8Qo2l3ZKd/cWLUXpGCLq2Umxn04m3VoGF3XmEotYdk8p6Y1Ten2uXjDUD7vnBIk8j
j0EYpN3kXcx2BptleLwt5heztjOiMBiikWXU7NEKncCWIq+TgMmGObURTVUAfl7RmSsiLur/sXdm
y20kWZp+lbS8j+zYl7bOMhvsQYAgAS6idBMGSmLs+x5vNA8xV/1i8zlS2S2CarJr5mYuprqqZRIJ
RISH+/Hj5/zLoWFD3qp179bSiN2m7YVss3G38PMbO0tB5dvJuFDjUl/FKnggelfVIRxXKciXPvYX
GQocrpZJR7wThbPmjp5XsOt1NEnriWQttigfEELh9XAOYQBN3DEnlobSpngHo2moTc46R5l3KbfZ
fdjABUF4mB1aa8s5yjSswk5hVwrLlzLCr6dLcFzsw3LlwwlYBGHmkt6367pSN5Pil9D3IXJKEg0v
oOdsLFFJBaNi4+PVXJf99OK1yicnL9N9Xsnk/bjeIqcJNtZIvsdpOS1Du2DL6bVNxlaeqamxY31K
swY9h3ldDiWw0QLIsi0563aUvtZj+ZDUmnEDEKHBjBRh3PdD1F8FhlchCuKSolD2JYdzaKVcFCA8
jVYK8lTxquGghwsJK7mUNYShJhM7iXAboAm6GSq5BUHl486q13T0HNoecs7/S41jHRigsePAlfM6
BZ2IJDbBTFopZQA23g5nY6Vo16YxAzz9hRXOKNfSKpzsr1RrsWCtq40uKQvHtK0dkOViFslm6RZa
jOU7Q0YuguSOmjrXw9iVWysPn6zGfkEQ/MWMyiV5DlBjDRHB1syvc1kXcnYNko4VZN9orOG3B4/Q
fqytXxJr+8JPr4vU7fogWQ9AgLbTAMAt7b4ZHFTdSZvuJRvRztTOQAjV4BV850Vu6rmkJfl28PJ8
Uw/hIY1gsWjjVG8czQ00Kdjn7WeOv49GXdSH3pJQZpbwQqkjay4b9L2LQUbZSfJX6dCiYQXoeFBi
Zz8MIJZNvOsW4YjkoS7VNIeSMLsJnefBecq06ktEmmA5xeSavno08KzZy5Fqz1nlCJqkiX1Q0ei0
dRBHOYSUG49McFLTtc7hcAEZfJ94QXyTjc6IvgXntjyqapIBoFGFZK9H0z/1QIZyC6RylTYo8Noo
yrZI1Jh10uAVUYHid4x6h3ios3S6wIZY2IGVlmNRpe3w4Wqnax+xznWmyuvRqsqrVLa9tbSoc6t0
dcxLPlA5Mt4c3HAnVNhV0Xyw8A54M2PTIDMmqwpBcJc19ICyo7MMJrnveDQtrZ71Bv5jiSrVXC8i
g9TRRJoTU2MvlZ401tcaInSix0jQZDU4XxSPcRApDADD+HFU7GcNcA1qgO1VAt6PHmaL2eeQHyFP
g1OtsyurB52mwDK4KsPJ2UdCICsL70clfgqcAdsuZn2e6DdT59CjNO0afloaLmoNpls3Du28j3XZ
7aUMpVkVu2ZLV2aQVfEayIcbrw5MmuoTqpLFrtHJWq0YbCf2rUSHkYPK+xHgFwgOMi4BF7Ep9VD2
uWimDvD+ldEOTOCAiHSP41izBRZfnAjuKr3k+wQo8ZVi5z1goZI6So3CjKRK4xGxgyXql/gYJcCu
Mp5+jbx+E+pXspR/bvBZmZndfSYDvkfLLVwYESoAGp60G9wSAVwMCxw/na02DPAkFYg6A2iLXQcK
WlG1dDuVSkfZv2+Q6bNsN2ltdAwVf1xLPao5TkwLwsp8f6HTUaNaupVzlX63lu2qONNdjcgM5gmc
W4kP4yRhtdrD4NJDTEbgE6DtaocPVW98abDtWWptU0NMQpMMmXp5ibRCuwrN4TRIdYVE2cYvGvu+
JGbMSs8ShmcNSlO9563efxfnHtjPwZj8Fx8McAUoCYCxvqxJ9E0BRQcltBXoHZJusGDXNQeXhSVy
OovSyDag74XAvkWvuxyvFJyEkXgxtnaVGdupdR5lvbjqIc6NCYkeFqoIRnhmhhXuYG3DQF2pnVS7
NWiSDWxPdxDQOY6X5qJDsJ+uV2Tui5rRfv+5RJp7+VgYkOimikPSW9wIh+5SnorSXAWNni3raHqG
5Abp2K7mVcB+J3dOuVZlnDF6f5Q/mOCXFXbgMSIlRYVAdgSd/KK2q5m9jggfJjtjEsMz7ddtzNoL
S32hDMVOWEov3n/aX16Q7okDzBwVxjcAkRLi2ZhwwTahhyJlYbGHUIdiKRplpo3md/Lwf3BBmlcc
n/g8rZvXp4w4gzLe9HjFY6fi2hoZWdrp6FL56k3ZlTqIYPhr71/yMgYzqAYEAANuPqITtFheX7Lk
J71mcMlW2D6YIFdm9Ng+glv86iq8NoHxENXUy2OhPfiS0RmII+mK/1SlyHxzSPxIouLt5KTtp6Fo
gF2OolNAe/0oOI9h3BblPIqsLePIAVAjB2ywinLjx01I+YVUbYj2idQ/vj+Iv5gohsZZFJIkiCJQ
ta+vbA9qJntInq30vNwhJTTMvF7Xoff4zrqR5WUxfYgxvzz9iveGHAvHX40qv3rJmR+0IRgppZir
Hitt8PFri2Axt3oSe6+qPmjDvX0+R6cCTh2XKYJA0cXIJvIkI8xagEVV04XedyW66eMnDMY4AGDn
pLaf3h/PN01sFjgrzjJ01jl9lMvGhZIFMupr6bDq8Zqa2Y29UMPxM/VDbWUFMS4NY8jxtKOIIrym
mBTH92/g7VRydJv/A8MuKueXPZzSqWLwss2A51PRunone4ssGJeSZy6GOjyqAdyMMIchWSrj4f1L
i7F8HWK5tCVCnQAosYu8nkulXFYoxLXDSo7ScEYOo7S55PL4nxy1lyHom8ux0J7ev+jb9ckzCqG/
83X/kgL8qe7r+0pldDqEfCjkAi8PEr4wS+WDePrWdYjXSk+M/xDECeUX3VxdrfyWfW1YWY1TLqgj
lWyNcPsbAJBY4SmO60Migf7KEYlq8rWQG/ZTCidDqt50Y4/qrvmR4/MvHp2oIfSjsMZBDvninigw
1rVeB8NqMCyDzCVCUBzk5fvj+6YTx4Q28UUTYGJCEweB129VSjsVK4NkWJlFv9Mr7ys4LNSE1Rrr
31Kp79Ryn07ZneJ7Bnr00c1kNv5aSTRtFeucT72i94HB9jMs6edd5wXXyjQvmmy49ypDmbeFj7qA
553ev+tfLHuhkAl4AJQkneOLYp4+eGXfVFJP/WQ8DJJkzzjcZABnoXPjAzHLpfQjCZxfLDwTgxDg
1kL8iXT59TgFXYwRcDT0KwlaNVTWL3oaFnOzNe/CZCVnT3ZEVR35/I/El1Tr8mEVmUYfSESZyYko
3mXIAdoeylpPI05gNaIaIGIhydRY7HxVCUfNCYWaVoUn0HUIDoPrO5VtPbml6TyhOg8KqRuKdW0E
/XUEs2I1apAXfBPINOWyx3oaBPlE7h/GhDQlrgBUgIyJsfTTQ7eOHKq5tb/Fx9a7RQIKrzaIKQBF
npgcIENq1mRoyMsGNiW0s3gLZMCaS7IyLPVyoGiNV+iisNVoBtE6/5xQ3oVr5EqZMt4UgOCO4wNn
dmtR+5iVYw1LCdiLiSPo4q4MEwx3o08GMMLAWHkeJ0hJthFGbGUo4shxzXI6UJDqdByAPVu999Jn
jvcRGHG663CGuzlkwnwrIVeBpbD6LWvlT+WobRIr6m8lv7A28EXRFDe1YxP59k6uVGuna86SVkWy
UirtxQnUbNnkkb8v4mhy0fjcZDHAXCw0+qtCx6bPy6a9DxzNHcrJW2v6t0KBToRosbKI2z6fy5FC
caMn8VTaW6xz8mNGK3QJqFdyczTnJaQrwdx6M8eMH/QO765MdLIjozsgNFi4spxunLgalw467UZh
3zrYHxUt1lMgYKlhYZJVxuORMrqyl43+MKgRqvkONcGqkPcJgJKZ49X9RsAf0YOHamSW+WcjSKc5
DhWfVZuSrVPI0L9q87GR23mN38WysrcpEgWKPy0lJCMWZVqrV1aAGSc8u6I7+orn+jgULKOasGSR
qc1UGEIKhilugeXEKuZEENOvm8cDRBAO2oAcJtA7KgQb2OrtsMl6eRVyuN14nMRZv5aL1Q4Ezkpb
h1WKXJ0h5RvLM+cadsN7OR6XSiBpc9Nqc5eAhaGOjJVQAfm11oorA4naeacGOatjlB7SLnBJB+Ir
m5Yrn8HwisYfaiMC8gWLMdjVgnATjI7nakn/EhmeurWjNrxFaNlB9R8viTjFpWt6kCLM3OIavw11
wrLWr4LHAMnPg6RedzGoQLQfsG8NS+mTeldClNl6EaYPMWygWppu0aPoFr2plAA0cUmAnPgUJaVE
UkTZW+9HF678qu9NzzXvQN6QOwCGWeOXO0eCSt9h6kjZI2J09QJlBGX4OkCCuBp9JbzWgIl4pnDm
s2w8KjuqwmVKlQStnmqphjqz2ytgOvhIZwXe56CqXLV3upvW8RCGAGqztC3QUhj01vPKSIxVjE8L
3LiAE3ha6xuaB0fWMNYm5BPzIYmvhTYsfYNgi1nyrUM17DaM522OwnoL32vTVPICBLK37hqB4Qqd
FhRvxEZB43aGWcd0SCvT4yAO4RpD6grdHdPhnvQdpcfwmg6aHhmBGyaRsvQU5FKpG+jgND9IKc6i
gD8nMoDOYOnq5HGcdB3rUs6zSqZucHpAq1HbbvxMIJNtxFujLLpro2DeGtVKKuzgq4fqsUWXahn0
kF8tG2kkaRmGtXQ3yka9jxUTjaGkz1d4BuKKGj8jamSu68LAhndA1sDygX9OUzddeTDOVxonZbaR
5hEk70y1KmkThm21bKTGRDHlCTmVvR5BJgQQeSr95sv7W+Zl9iYe2kGKyERF2wQJdrFlhlqMcJAB
0DO7H1s2iyAFo1ID06TOjAl32EvFHOGe6qPMShMb48VooyBqcH0TbT4qwa83zjjVIA5oBQCFsXvq
K6CXErJohJvxSbGHxZB4WH0MZrbusKgua7VcJ7BuZ3nfIWQ32UfH8+58dq7ZYCI8KdcZuWAaHkM/
9uARN1C6fFCxcYZFGOhoe9UUNcifLw4uSlcQjtE0kced3moNPeKAakDf68tMwMBGw3dmWUDdVlPw
KTF71G1jibYdCSaeOY0V7ArtocKzKipxoETo7HusqTsn1OVH9MaurM48ISXa7XPTGXZGr6+bivjR
or2ZtJqy8FHNW9H7teb14ByL1NSurS49tp48bBCXX9cYBwhwJV4fmRdfhcW0lqsSlRNMrNzaQ8mK
nSQmxPVLaQgw2PWc50iG+YTaZEQxe6JjpOMw4ECjzjT4sqGa3qqV96kz8+NopNhclCqwMgQaK17A
Ue/osHdAZGeRYPAxL3eeQDxHwVUWwv+0mtptDSBweRHkmF5c5QLPWFgzZ6qgv0JgjQKUWxGaHdC6
XI/wb+aGXuBNMxT9OgAGs1TG9hPGHObccxok2fX+RkvR7nJwWEDVpjXw9bBfRjxg4F0iviLlI2Sr
4jDEPB56MtU1Jl2o/ciBylZ3LQxu3Rj13UUn6Q+T4snLM3SgR83Ryz6qIIl0+ud5CsLE1ACXwGsD
3vWGuZAFsKCyzihWtll4y6k1lJlcds92C3Thn1uK5ysBHlOF16WQa329IgBcVHlscyU/KV9aW5M4
NRKSzazoZ59lZJJa6QMSzZvzjbikSB9hZujG2zpAbHkd3SfgM1qTJCjD9PAiBJCihkznCNUIDJcr
Wohz5KERooLMhhcYmfuIJAaweDdTfxw8/uXr8K/+9/z2r5Gt//Fv/P1rXoxV6AfNxV//sf6e70/p
9/rfxKf+47def+Yf93nKf9/9lcXd/7j/7SWvfru+W91f/uar7+YOftzh4tScXv1lmTVhMx7a79V4
/F63SXO+D55F/OZ/94e/fT9/y/1YfP/z968A5BrxbX6YZ7//+JH77c/fVVEB+pefv//HD8Vo/Pn7
XXdq/v1//fYYZl+/Z19/O/22rr5np29hNr75ku+nuvnzd2RN/gBcKlMP4DUD/pYpyvTf//4RnRlR
uaMwKQqUzLYsr5rgz98V7Q8NEpsKBpMCkWU6LIk6b88/Uv84SydT7eOIxcfV3/++3Vev9j9f9W9Z
i7N9mDU1z+eIFt/Pi8tRWVYsKgdNVAUY8sWUZ7GXQGRa7K4xaAvpG6mFiStjOpdHc22MLap2uIg7
2G2q3UL8iYKJLamQzEkAWtstgMSEnDRjKcXUhj+DbCc+alXGWqu1A1aGa1Vo6zSWW+U2DbOj+Jhq
oRcfZgB9jIP4yDSpaNQCM0zi59g0Dl3QoFSnhhu1ujX6fBeOzQJBGzcdjANuHXu8fQ6pms4RRN/B
5Mm9EfcffxXhhN4169RKdxhfr6Pauyf7pbMlLXuHDBPL5ibflTXpA/dnT9Gz7Fj7rNUfjfKqkG3X
kSuMOu1u0dTJs1eYbi/km2hTjgDSclvDIguTAY3vtXDRQQ3u4IxOSD6uHcQFsXw/SHq2U/P4OajV
g+4Y67jHqx57sFZfB322G2gL+XyH+MIBNnNgEcu5qSzL5o2TzSYjg+3hLcXdiAHtQudefDbTq6fB
0vfi5kfaXihJrE1IUYWhrQveXYIwwZBk88G27yMp2impv8kbAHnaofQNN4RaZiJsZ/raIeHqlXVj
qvHOxKNH7rD+lOp+bycUDJKd1Gp7JqVbCG+JHF8V3hUHFTerqzmUIhfG0T7TGWHFpO+b7LIEYxx7
k2vlNqT4VMCnUjsobbaxl8EzV0X1VFXKwUQhBu3vtZEuwWK7ec0NtcZaQf7Js/V1z7OJPx1N24fR
g2JyOnCoYUtLZHQ2qvcdusJ+GvmlllcE8k0psFssDGYgb7Mz3RKUaGkPa19ZGaG3VJNk18fdzaDv
SeKX0egtauO7+EAm4YgKVzBOFxrvZ1T0vcIMlau/HiVT0l0nyQcdBzLx6OLTep0uStQzC2ZAAhtY
/LsSWC4y8s/lFLwgn7CYYBtgYOn6GlIB3CuWmS+JGBo8dB1m8/nh4nzXMYSCxi7GRHyHmG3hAMN4
Mvfi9ias0VquKQew0fTrXrVcBLvPa0+szw6Yj5j5HBawAoOTw9dVsnOvsVbFWHLIWja9tvYr3Gh4
wzr0DCxollWa7iTGF23qnVh9Zm7tsVmgMmjvxeJs/HSXdgir8TNxC7lkL00WycAEMkfTbUKgEyz6
6TP9hTtfPobyUVxPfKeIDQETjD6E6zvSaVRY9GKIJGMx9VR713I+bMXAhCRtvdp8kMuql6Vtoti5
8EljQtA+LkvbbYWvqeKnMcTJbJcq4wY/BvqTlhtK4bO480Ax0X6obNeuTVeszDJvdi32iBpRotLX
9WSRy7TLoq6eqGi7eIqsPZ6WCky8cwYNQWACFm/pp+3jRzz+Of5epjaX930BwCgwvVWnmPtWEwyI
WJ6Ihc/DQfqgKmdfVqrO1wEwo4iSrUo/7HVig95O0JWIsC0QLDgM0Sm0SqRRbDcuqRGGeCI2yyHE
eptpJ96/GLGUFa5GBD2iAM6W9wU6EU3m7NtGP8SRtr8pi3RX1dKywF1VwhAwnHx0JRaxHaxgOu30
2H/ocm3uy91dnVZPvUm8xKVpStqnJPXuxa+LAIs5mSvmaWN4Jzs3zsurM8snVWKegicqe2MfO25I
+byJqicVrrQ/6Suns+6jmpj39zIS92330bOZWHsxJxtnAmuxEqsO8FDYzcdevROxKFbzJxEvErFT
9f53kGpIdRBIeVBUYlwRctSakCgP8XNlBc+IRB0KRbot9bVcUPDghkNcCEHffjAbLk+Cl2/pYjbk
mvVjFouhFeMzSNT0iLIlazpXjX2gG+77E/BXC4f+KJwTmdr6m/ahbmeTmeUWpxYmu9hu/IBXTZQr
C2n5/qX0X17LAWig2LjJvyHbVREVpNpUo0VOhBUb+d85gh+z2bDdiakmtjaxfYtQE/fewsfhVTuK
uxObpNgwVc3aRwTCtsecnUk6oGPFBBHjI268jiSE2qRlxGIN0E8V21DJNBXjeN4TJos+qXpwir0l
t1C1tYPY0Hr++RxOc+ceFcVFxxQO2U6Ro/hISeEXKZcO3IqlKFTJ7Eu7AEWW/CyzlWhR1yvLsk4y
oDjUcpZiJw/xgGr976ZsrMXNSr7p+iQNIxPh/bfxq5cBMJUWJCWQtwISCiA4rWnRX2wYLzHXxM4v
tiOK7B9M6zckLzGvMSeDVWjAkcYe8XX0iTU5CjhtATmXrb3I+jzUZpuNjvNrjpbRefcn4xErGN2O
D6addcnvEld36FWTLaOaTlJ9cXUkCMwgZ9pNI4s6zYhSxIQkdVzxZ6WZ877O7hIbIyOAoS3bYK5U
T2K2ibQxKrOdmJdiYxHbpNg/REqM6hYiyeZczFe/NfcWoctQ812QxIL/AItLXWuDtRfhaSKqTLK3
FNNRBHlxjaknhSPEBSYqN0VHbhdo6yjL18P1OWQZJASRdC+yIrHTA925L1SWJUkODR83tPOnSjHQ
GZmJeBWgSVbe1xRLxLVEuqjl3nKQmcNsbjhWje1e6vQrSjpLMaeA3Xw0q8VLvDhIYAugcJgQpMs3
Dd8YQFPjpEQScZBQlWg9RfLcQ3sprvGN9lfiNkWcr3x224bUhWhL+hByr+/P7Dc6DbxwYVCgIAfC
ZFXOFNefOpPINYa01GA4oHmL1KyyTvBldPIrh3ZsVG881dyLDEAsOXFD4uZijxySZFQEjooE24j0
vUiYRFKkcZcimYlo1FeYTr5/t7/YmU1iIsrkLA3ZvoSkSyQb6DxysyNRwKkmDkv3Ivm2JDRNP3Lr
O/szvX5JrEETPLqjiYh/2aRGwUVHbpLQk5MD87YOfoEubFDsnfym8dn3OPxllrSsDf0g3gyyoLuk
YLPmbIXHCYQ+RLLIBYEvTqmNu25yI0ExapXgWcTbIjEOCSarOI7OwClTra+fLKw0VR8D4WyHytpe
JFeJPMw1ylAikxbJlzifeEr9JOYrUlP4/vorg/QUyZe9CNs9kGCHAm5AbxPZt1ncKK6EU3uslezS
vv0ByPAXE0jsiGh8aBRldflS6CPv0Us0GkbpfI4cS+qTlMknnPusvcjenZDoLDJ39gwaUm7ah89i
CUuaNctiCQl+tmwOuX8dlKSleB50iJbn99oUH1TN32YN1I3h6dFthXgI//F1fOsw2Epsf4zIXzmQ
+BVSjc6Srt09dSX3fBIAenqetD8KMD/y1oua0MVf/6+rP68KS/9VvUnc0X+Un/7fKBHprOD/ukK0
PUXpCRHsf/+fv+V1U+Xdq8qQ+OyPwpDl/AF4wtQhceIyx9rntf0oDNnKHwQDNkSgQUIwQNSM/i4M
8SmwUBxwoKbzygVo4O/CkPPH2XqYDZYgDM7H+qcKQ9ZlggDCAbs45KVg5VB1vSSn930XTfKArp3T
Yr439t5AtwWtzJZ2lGfuymb6pulFtSnlClAkBo5ohcszDrso1nczjDBOrTwCzBy8WaagRuo34xa5
+0dQPGvHQcAjyE5JCb3YioVBW4jUeYxnfVyVoMk6cPBqcWgVVLa1YTPi1pho/VwLqis5Quy/K77p
xV0TYzXAP6uj4JAAn04cNNqlG6GNtdWM8jpJEN6KBZ8ay19uHfIZwjcpaPTpscRdF4fqbRwOxymX
kjkqGIgx9+jaVegbKxW1cCUZHwtavFBemqNq9yDQi3JWRNM2y5DQVKiIZd+MMjlC1Y9nTYHBE82b
nZNK875xGthFfO/UWBRi2q2qdY/UR05YzNM0lW4cC8XndKTz2KjzBhf2XkqusJdFJms4tlYVz7Jx
2no1HaEhOWk0ahCsqVewP/fi6nUianPTtjeq3eg9jNGXGvBRkE1bf4KiZrVHVSuo0Tymof7JzhGc
6D06zNOj7HweG2fbmcOjVI8wNMKTVOqbTumOOeNiTPKjElADSHp7AeuNjXvYolN9Qr1qRb9oY+oF
WM0gPFWwWS0124iBaUZ9I1KiKKeAzfjEOWZnWn/MVTR1rAx5wYDeTLcWAm0RvOLzVCqF2wPfjrLE
VlWHbWtSZeGIzl/PZ+GBjTrGQXESGTwDrMe5NjP6b2Ew7U0tPFmStvF5QvGBiWkxdKdanFB1CkXt
9JhJLU527bHKWLJTfzTrGl3lCL8LEywyusphHMyl3PkSh8mpayMKmIn8RTVCt61HeVbVxTpu6f+r
TvQyFujk+8YeX04SGhyrmNvVWK8wRdrqsb2XIhQrs+kze/xSCJ5T7v0c0AY35OQ0+sOjxcCL1wjf
b2/aL4aJgLqMSPwsa5P7MThm3vDXY0jj1lKuZXO4Fi9H1KaiQN7K+FaM2AqIyw2FuTfa6EXNmRoe
3fmhQ8heqI0VBbUPVPAkOzplKUumLcD5YZzUh6eEZ5RTeV7U/RrTFwDfEX/vjpZk7lFgeEwQCOo7
3GKH6Vq8XPGSpHFk0AfmhfY8SQ4u7OY+i25bEozZaG4tv5BQUM5AR5qr1jE38qTtz+sQMps30+UB
7g6PJSWnAcF2GDFTRy4aPSqdi3/Qix0CV8jzuW/Lh8FmUtWl/sFWflaO/TnhMRCbJVICq+YIoL9p
rgZ9YuRJGCgrcTdxHp/8un0IaK6oWvzixPIjnYdH0NiPpYQtqZNvAsnYjGny4mGMYFbxSepBRcf2
sw/zGHAvYxW/pE6nzuuaBRnBlUoCpqaTjE+GB7y8m3p8apwbOVSv5IQuIcirF3HxyUTby6muoD29
VLX8iNjMo43mYNf1R6tKXzTBo3JSNxfBUsSIYW55iIOlirJrMIblaIQ88QSYogm4stI236QcTXUR
dAwRuvLSvLPRBY7MBkHtaSuCV5VI36sO7GyFq9AoiAnhKYsbwlQYvoh12xvTTak+Nh3/JgJUI1EZ
bFmzlI9ntQ8uIu6PaahtBG8JGNbmp83xF/Uv+/IsLN4Pkn0Q5UH6aqTrr5MXKwj9vBaC7GJ7aEDC
zB27O3qmfLDNykW4KaYoNTzmGMcmzgMFeNcerXmvdNgFMHPFhtJL43PS6stIBH8j1PoZfuSoXFdP
ZeidEn1ZqdWnXh+O+PUOs74JV8kwoMbFZIiQejGle/H+zQ60gaw4X9sRDXMXA3iqwxPfY+XsU+Cu
sLlJXwypWqE1NU9G5bt4R/TCHyO+CI3o1STHn/JsQJTbeBTxspjik+mA+XJY5kH6gsVmh6Qaf9HJ
d4E6XEvNw9R2d+df8AyQMxBsEaP2mq1kOck8rPEpb+J+/de3YFbfmDM8S/gCwD1Ia9OkKcIXOwlf
PP53fq+5rK79LIdN11Kw7o7/P++rxv9ea9AgQXon72ufqcn+1WMUjUTx239nevofJGQwHzhz/ZTk
6X84oBbBz4JBERkgZYkfSZ6q/QGMkboQvpYWhQvBHP7PJA95BxSDkHUDfMgf/1SSJ8q+P0dHrgCK
1dSpjQAKp+X4evVhwzWMVB3DtW4VAjrXsjY8HQZxOMyiBuZbVwvOTaUgqtgWlFAzFXMyOFE7JyqV
fdAXw+OA+cSsSc3+64ClAcXExg0DfWOU2qaEnRwmW8umQvzT4P4ibpwL1q/vHC1/wxbYfcgBBI/X
dw47M6o10PlrWhZzx0wVkFkOZbSmoFVo2IuxDru1pcjdOi5SFMR807vVo33lT9m8t7CA5sHdwYGQ
aafW59i50QKwBdBhvxaFzE9iP1uCzL+VnWh61JGwQv70KVcT2PO1ly7PP1dNTNlHu78z/NKe9z18
w/ef8o0Yl8wzgmo1RfPYpm56URAukzybfE6Oq1LcVDmqBcAXBRujqRIeK2Az2qJFUSCx1qbsVyu8
UUrUy+qvyRgi46/A/K6QanUtQCZWCFRxoiKyhF2bLWXo07LgtNk4NtB99yt/M5b2MimYCe8/xhuc
LI9hM79kcdKxZYRrXr8s4O9mOo2SveoEwBLyqAPaMARB6ePO6tudtNENXDrUBg6WrHbj9dTe5pVg
sWiScoMzUbXiyFWgoqrvsF/THtQUi5089xfopo/3WIEHbIGQN8q0I7OBaTyzqkDe4YddzBu1+1SU
Y4lCgznOkZkiqR2lPdKPDcpGdjc/05gF/G9s1IaWGNq+/KMdjFeO2t/SCkmXkYHqvyPBKo2jBmnZ
vqm/SD3q8ZShomtq6A9ao5NzN8VnLbgax4qLVZNbpV22SBHQq4WXPHL6I10Q1NHRmmsGr9qFweeg
aFHRrUHVmMO0a9F61+lZSOb3Vk9OCoLW+yQ37JmNkbwgaWj7VIoweqob/OrxW4T6MzdDWd9TuPmI
O3WuQ/+8xjibogAHIo3UiXq1ebHGwiz12QC7jp43LDNf9l3SOnuFQoOxQjiPo5kzWteqtG7C+8as
jS0jvA5h2S6pxOIhkA+b81Qz4noZal7nAl2H+IwvWIGL+ftzDNbBRSyjpnU+MAshNZWM7yKTUCzs
IFt8MP+KZRPRYS13xbjVimgJfhVl2qIspQ3Mk3Ktlf1zi5Do7ZiHm1jONrFhDFdgjy1siUbjOlLS
x1EhpwiiVFmipprPQqmtN5n0BZpcR0cilFYBh8LdeWGOpvoZWStpAf0EiRfPm2PjCXCrc5ptRDFo
A8oL9JgXYc0qWbmrjsNjHE+saMw8zNqz53I4yFsWDjaRIMOXcQU8TK0cb8HVwjXIkHLR6WjDeLKx
Ha2pvWo1fLFKGbljH6C5Izt3KGvOxwESLAXWKyOfymXq1O2sNpXPYUEwlBU9nxtj0O5yX3rUcstY
9IXR7OopWZjFoM5zK6gXWFWXt7mM24KPzuNVkJBnOXJ67Vv9QwSH8rz8zEq/MiPV2GZwQHA7NId5
l5aYEONytJzQtVklKrM+Vup0abXh06ijXnfeMcy2QMiiijmnBI9p1udoJhjqtso0DXxxE67tIXKu
aikG8H5eaaoTNjOc95pFUqKZYASSfpUa1dHuvebaGIJpHjmBTzM8Iq4Dx11Gnj5uaOZ0M8BiLCs5
w1Y8VOiFZyGE+y65wlbqYQy04bZwsIEr7EM3htm6ScdvMudCo7SsQ6UNXy2t4gRrBzd9yMgrSTFe
VW3yFBoIA1YKAJSmxk4I6QFN+MOXGOYClsyVRR5grKKP+mdxvLFq2LHJmNXLKE5s1GeA5Uu2VG/O
u0wLuNWYGhUn8KceFIDl6NHOT3EtNBxvi5b63o51rMK8toWSxlBHMOYBgmSh28nJwzlw5XpXb6XG
u1FTHd+koAif8B04+mphLfWqQiIBXifSdn0I7RnIr1N3G56l25mNos3SPK9uKz15dqrcRCRqyhcR
eCBOc+FTkvkDAEjEHqwCIIk84OamYloV69NeGxVsUhqJ+SdiQ4pKh9D3GGdFT9nUK5s6nVsN8Mf3
V/kbM3VRuEakD1UtQfVSRWXsZ92uMbDjeGi7aK2NY48jbUBLFoACylbjvTV64wErTXRdchd/QWY7
uFWjDcq5hpMJtQuo8+eNO0OXea0MnBRoE7AKg+7KDyEw5mikLhOnSsBsMxMAoC5Uo7WuQmU0lxzt
wLdD1L7J2iC/VuLsjqLH4n8Tdl47bitrt30iAszhVqKy1Orcbt8QtttmJqsYi3z6f5A+B9gB2OvG
8MKy3Qpk8Qtzjtn0UXuwOT6Psze9RvrjelUrokb+4Slq/ueChfduL1JdNoZQyziW//29u0iQif2K
yF7QFoFRgrGXJ/w+I4aC58S5I1njTP+UW/hNS4b8B7JltwjJySrDKIK03/KeUoI86cOx/fe+skN8
Y9xt5QwKOTZsrBpSfM6e+dEonQ3t5Dj/0O45zDv/reBkGwNkkbxycDkgH9cV8b+sZqzSrqFdVNmh
iOqOp1qf7IixMm0o4qUmvhelfCxNDztHCiO06QN1r/MHWEf3ekpAk5j5L3tADNw3NlaDpCkPUdK/
5YtVxDKm8e8RYgkoOZYaTjnb8jzJ9CPmOZZlfbIRTv7HALq6mfr+W5OV+iUYs5/9oBubuWWs6I3O
8qj1b4COiJGxLgEjgv1av2qZ/j3uFUHJpk94UTuFmk00HZaMHPmNnNCUi2zbTe5AOYhXtelZ9U3J
vtc4AYjhu2V+H6H0fYci8w/ql/+KzwFnxD1hI+RbCvl1KPxvdwU1ROzlSwYa1V4os9SA9aw0xHQ1
sUr9tOvKaHxsNWN67A3twHxueA1AQmW1Jp8VpMKyuTRIR7ZGAerDlEq/2VMmj8hd80vA0AzEaOsV
9obK5hn3XagQmrw7or8zdA2BfI0HUdq/hqiimS3AG+lVdOmM1DiQfmIc1qIzLvTulGBt4GHFMT8n
L1aQj7j9CSZOvM7DnVaFLQYXyxqqg5YGpIUV8XM3ymyvOra3TeKZu8HS//zvI2U12v5rleMYDsUE
6veAGRHG7f8AZbujEr2KTTZLFOOXSqnvWo4TBm2Jh8SDyozo4fNa6eTYSEhk0cjUPuXBE7AH+wR+
zTrZWbPTa6n+QRv8X3YI9MBomXS24qwxffZ1/37HM+gfvHng0B41Hx5s7bAZ08ifHazfWtlfcYOl
W96aPNHxqJ3p4l6g04LYXKNVeXTt2ruJOrskPDA3s5jfap5SZxW8drEpn4wo/p6YOrq3OX3Q5tHZ
OXYr9j107BqUCsRCJPvS7Icd4GKiRGz9QSXK5oGd2adIS4uQ/M2tGVHR/+9v5L+gFLxtdBG0wEug
CSjI/6g7jZ6IV6+qjP0gxYvoiu4we4R1aaZF29kf4GRMpwwocdn3l9qqlq22hV86Nt4UaiAIoKKL
goNvSW+vFaI6eDk0s1GWv4h3vIJw+GGkuMx0ofcUgthkkrm7j+52tpgs4Wh1b6qrjzEK/p02pAOY
fJfRLKXMWqAEQUlsUmmRiZZ3r2RF7dskvuAFC45pi3DPgcqysFEqqEfbEZr0ho1hdLIj5zHIq3rX
C3vYp8GUMuxzmNV0lG2tIPQxIyf5KZ7I8FEds1OwMksLYA0GEZJLKrOTdT8YA1cXwKMbhfwb9ScU
jInExHaqjH9YS69753+7LRg9cE8EzoLlxcK9bB3/5aTOFZTBkZZxrwNO2jMpuGcIY6vIOkUxIRWN
AGPlYfSDuM5MPirFhbHTfmTD4iXBcK32fRbvnMJFF1kCmxlNiJR+U9+rvH8lNACp5AD0CUKYGzqo
yEqYT567NVr7NZAkXYnEi2+YXilYnAqM0Ky1W90yaNkkqBTTHrEi1uolGbToQlDHNpZUkLUtQN64
tb6R7jeDP+dNSXvvaxiUU5XczH4cNnE1yb0Wt8Z2XXDUg55elFkc4tyxTv9wIf9XS8JnCFUY8gXr
OAady9PwXz5Dgwm+oRwTS3raB7i/sGNZfX6Kdeslg2C2q/W52E6N+x5lrIC8umZuESX2CaZV1GmX
itD0MJd5cDAljH5ldmI/+YqOTxb+ptXbl9xL51O55DmoXODpLbFOtQOQGtHiyJGpa+6maiTBC38w
+BOHFbboxSZINXcj48gMtcGaQ9DrEZVjTXxXFj2LPjpq8fQ024Tu1eCWQoM8Kt+v71nV/xpFsXeL
YLzNMY9BoTQ75HFH4B+Z57VH06EF1Rs9I9/v2H8SwZtQcv3/l7bWihYBwxubURNP/HTn5vydSM6f
//ujt7hU/7PU8KiSGfnbLPHZsbr/USqO5txNHcXZ3jHgp8S1sLEyRjl2mNkNAcKltAU5lKQ2evAT
HpvwJmzkkSRFG6SoL2CUajuMnn6qg0A9aoyhzsI0o4dGh0c2R32CzIbGh9wt9ai8Pt4UTqmfZBT4
V/LM+shNHlpbPBcji7m0a1BatPCAUlA3ZtSkh15BakNi0TLvnZkETCgnSWA4mGnOFzTpPP6U0jcz
Vzn99FxjvOskdU1c/QwIhb3WzcV2Su1iS3ToMexjojStCkGV7V3X18ReNt82lSIPbdDms24QIKsX
3XPburcsM6J9YRkkZwjG3pPbgMiRkCJZADZIosxfgZy9x7/vjSk64jnf3ykbnJzZFETeVpEWkixv
Xr3a37o0OI8R9SPOJbIGCVtiA4tbpmpmdWlZNB3XT7SBUlzHI4IbkRHn2FzIYGC0ktD/VRhKKzmN
14TzZtk7VnIWn+vvaq+fd2uvzlY3XD/eMQZVl3t2fNOTNCAznEHQkAziqGb5ub5HL9N3o9IFQ7k5
QjtuLfRBOqBxjpt7pBOLvv5Dw1S/jpbfPgyaa510VH+0ptMOyCbmP6/Kr/FgoahCTrRZeq29L9Q1
mqLhCEbOuJiJ+q4LAOVqRimyPBUx8c6XhowGjWj4o9YVi+SLsX4cTcHfLyW2rOzspXQjbecYaGpF
efY63dzrLctvivX2EqPX1jKyqak4rVAkIgvjUidIPImZwi6XVx25dxTXP3HW7UaEhM9gl54maVS7
gTsZRP+DLWb5JxjxKoNFakf/qvz6D2EHC2zW8rZNWzDVoFWjlLCXvOEUi55r3jsoYlgYmievIjOF
FuqKH7PY1rGeobepzH3lVzWYuPn899Wnxjm25+aqVUzG1tukA2ewKVsKwigIflhkjQM0BDhppOl5
/WYqerSWeeXZk1g1KMqL0JYLG3ZiarIONGYdmX3dYY4OMkUuIEAiYXUOsXkKHhvWzEB88DU+8Mbz
e8mzQcs89QhOz8Baq4wNEw7uruULbVsOr9wssQZXecEdMBShFpUvfRe5O555KgRqW+0sUUZ7ux+z
i9ZX2UX3+nJnpCY7XpLE/hQV9GZOqZut8Q23wMfw/bnBoWBZxperEZlXYPWzUej7g47n3XdfpNaQ
Q80Db/26/LxpmVl4nyrPzGcB8MpgSRrqnY8vvO7vupVeUvJaXqb8WCzX/Xo19vQZeyDEwNgkRDIm
fmQr6oqn3GQeMyNNbl2AXXL580IvotDIWuNUx92RZOGW5BTrASiydjQkGWiyiRyeENM3PUnay3pX
G7robkxjOOKX482aJy700YblnreHqbANkAn+kIQknLm79Y9Ug3fvetd4ytufAIuHRFgvRelWHFY2
93Sf/5aovhD9DdiliUEmNScDvjUdE8u1XhG0nMuRBtxB9LUjZJHGr+u/YsLSt5a01WPXa+amqKIP
JwKKWfsUVos5FU1yPm1zWotD6TBUkKrG1c4i7xBnKdKUPEfC3ycvvaV9doaPF1yryvqIxzQ/Oj6I
OrcGe6u54uJ2TFiED6awd5k4k7tpdsaByzA+i4KCH1Whvg8qr6J7wZlO/S82Ls571HntNpF2/RTn
wQ8SFN/iEXSBN7P6Lf3CfmwIIvTtjoC9UZwDyS6z8tLvhT7MN0fgwZwx1/jR9H20/TG0RmYkAwmk
BkvzTa9JGXZWN23qWGHX6U2uX5uKbhjseuda4psBju9psAZCogLEbjxmiwdGMr8Hy6n3QwB9mLFE
dIkc/8nrGQEXiDMvZer4V6cBPGP3+tWe5/tauuroJU7k6rwpaVFDTcATa/JTN4GFGtKYyBKxuLXj
ISARO06m4SlWznPtPkZBBtPSHEp0fWOJPIaIr4ufiJfC1IxXr3Gh2Nmp9bSOD0CAafBbtefGVwXR
k46/s6OivVuZHoAZLCqcKwMtcDW5rFRTELzrX+uzwngx0rvyVXJNUiKemIEGB2JSv6tG+/H3Rel2
HOwyIs4frGg+m7ErdygNwpZ24dD4tXec8Ltugk4yPC0Y+a0HQFKO7F3zcdukw6vupxXcV4dsEIaN
pZPcsbtqCPiSLPRiszrrLBDWv+bqXhH28LSf0vhoAujWuukEb0LbD7M7vfWAmI1YP/LFUiBZ2j1l
9ndUWq6Ho+6DpjS7g1Vo8c7thujBnkceYuZo7S0Kd16hZxxN6RlbkZXjrhXKuoEK+fsm10PQsdSf
zNca0NC69gyQId/M+psgYxw03hzGMaMdz2i6g1fT5xtouXA1TfVhqHX96kEheqR2jm/svo62mhWe
BWlubGZS6z+FCumnGgFxxhrzXdkBh+2BdqYm0dd/v0SjDUK3Ie2+SeUxBTjMyHqTNjOzw1l8tSXj
bFV7aIOClteNFpKIaYLodX1wdm1fjkffHEhcV1uwoOmBZGLKk3oa9Qs1hL+rx+IgXU7tgChH1Q1g
yNUoQh91MoJwezgqBlu7WU7dLlsG91lpQSbRrTfq0u7BE9V3V4/OqcWsRYrGputoa4avueT4IdyB
YMfoFOmuQBx2LNvaeZ+y8mV9Y8IYvvWJrh4bryc5eaSsKvP2rddAtqwKK1iryKxUI8KEtGPoaXyy
ogt8qIcgjFHcxNDQeadG3n+kI8WClN5XZVrv2GU+9cpKw/WvFDXsdjjbzWkcSMHuMy1+Vvm2615K
5Kavo/Ioyosq32e5QWWuzxQERIFb0glB2ZwyoIUno46Any1no2Hb00OQ8CqAHnxLJskMcFJ/0oSK
kkOv2ZYSUDNVtPfYUruVmU2SsTeOZAZxCDD2XJwPwTfk5pdJjMkZ+4G2t8TMwygZfrZV9avOvY2y
B+09I8O2Y3VhM876CPy82qCg6jAl2sFVpRNunlaEc2fUHww8dqpU3zgV+494bM3NFJXjvclz8jab
3j242eAfyzg7FbY33QLnRy+9fqPk0D+nWr41PSF23erOjLGbTn5tny036Q6DU+DWJCLea4dX2667
Q5O332rb4fgjdvNaND4CjJTj18TXxnNgHrZuUzCmBiVHRcMoOq9ntdccmh6ledktK5G1pS3Onyy+
+srb1zUtiwtfe8ONMYHcrcsfdabuFUNRlkX5fIUAQIPZ3QM/c7+bi365jlDIdK56rKP32uUGqO0o
3cuam6oTwCHrQFUnJif+vm6pi5Lgy42QF6YJS03F2BPXkrdPs2EAPJGkz7pmwz2QZ7M6MGqrH41R
HdhnZzeR9ETVBWC0gxHjSx9UL1SlS4a3SWBwXj13jXPHqtZcW6F//j3q06k/5gYRdwmJkQ9B22xq
UacUienvxtYhoSU9+ay5srekLif4EtqN1DuyKGa3/GURz9q7aXBlBHwu2TCcTAGROE4S7xqP9jnO
y/5UQ/8+rP8Vx/nfQ6ItNrGRSRRVe2fy7rZb2qdKJ8WPO/scQbvZRT48Zi8FHw/D1jzW2uiwRkCv
Waf+LohmmOFcRdtKdxgQNOB+OdU0ojI/yGuaFzT6ZyzL4Do6zpdvfY/aor7pBU0Qwa+Ioxb2DzOD
HuET96wKHNK5OcMZPFT9Ns8zcSrqoA7zwR53iQSqXHBChlXWpOcp7ysGBMUuKeb7yL10EZncjHVp
XhDO3Bnlkd0yMk6TRQOkBWzOAw99/zg67c/1lJyy/M7/F2ddcd3nHjEMIxBo+mwiNyQKJJ3ZcBF7
bogHJ8DkYJ1R47QnSSDHySorbVt2UR76HqnTXZ4kV8+P9/MyC1r/xMCI4ER8c3AFA2GfmA2Kz4IG
ddtrtbjMBjYW3An7HBrvMdPZxHpJ12M/SY2dhxrtSIxaDpl7QuKYmPmb45Z831nzh/0+c9UK7QY6
dQdjSNf/kFYtQmMZjazXkucX2nYm4Zx5oyQ33OAp7XCHp253KWRg7FOu4AjwPXkf7Rxm87yLRZV9
zL78iMn84IwsNR7j/JfDd4OEsL1hpJx3ip+xEdBftwH7K2HozQv6YRRUibqorngvOkYWNC72wXfJ
oLRK5xxo2Xvrt9XOzNJoO0wiOrB/4fxxYKCKqAFtBRwCGq9VFadcZLDsBz+5lsAaGaYeBJj1kx9g
vw6i9EXLBBeJ+CylSl50VYzbwhUsDe0kPqBCZHlrI+JIvtZSiSBz3Vbok4No34vxvclU+hC31cGW
dbbPa6JLYssNjnPt3mKz52k+W3fmcrGyvW+qYIgOXxAR2Hu3fJNWOr8XXoSrOm+/M8tnI0Hxsx7t
9jhb28RxrSP30DVgnRESh2edpHFpVOO8oF0+rvVIl6IAgDPwG56avhfLdRSNVfKQodxZLC0AOlrz
dSp94zXOUw6A3i/vRIhsh8wvHyPYzX+Lt8xu563tVuMd5e3vuStRJbom/mgn+wlm+G19fFE+y0us
uU/S14NLUwCqbub7+jq0zLzGxNbvrYWGsulcAFv6kc1hhE1KHedWMg5Z9kg++PLZpY/t6ELPgy0+
lFiKfWRPpybvDkVAdb/2kesgXQh3EU8ArnInw8K/MFJ+LlONVay36pNG3aNMnx2Km3j46ZDR59jI
vZUXn5LGMC9/+yYpitOUyy+yHi3GjnygKm/7czZn+55tzSHyhL0tfT5gf57PmpvONzKpduQQGKHV
lmNIN0B+R5rv1+5NM1HUtdPowpFJ1b6YpR+OMvB22mxHUHezvZlJ85wXM3Rns/gYW3IptagwX7PC
tu6gp998Z0bWwkyJTA5gy9a51ob4QkjecrwU98jzDl7za25E9FEN9rHEsn+yqWNy2+UMtSoiFwfn
0JiCLsnkJUuTwOuKzg01wGesqp/xzh6y6dGOxv7BML2JnMjZeDU77c+UDiyFEXlsUIQiandn+wFR
1WMaxdGhFfF0KTWj3rpjINoDPjrnHKVTxpN8fl6rSLbOh4kR69TzTDSl6DbD2HaHetZtbvvuz2ik
47HXMkQzne5Sslg6iaw56RF9QAONIDaljHtUZNSsKxTcaIDHh+JUR9WDFiN+FDkjTL+bCbUbHE6X
vHM2w3SlKWWmoFWnUmvdV7V8qL6ffzcqMd+ZJ58mL4nhryM1kL3VYjtIkSIXdX3z5vZbCUPgsB6f
/NwV3O1ZdweRLa0Ow4FZTSg7Sge2tp485n50xrfYXxE733yn/Wp16b0Uns09hGlMOWN+Z59ANVt6
0zZtLBvHAiqyBhQZN6QIDkIsc/BAVK+acr805AiOGbdnOb1aBYuGhhqECIXt3OzjnIG6Kovq0A+T
xVmvrGPfGeWm6N09QYlmKMxFUOQkXxZr3LsIONH/X+9jBsk2w+BwMEf8PANnr2CHAuh3Qj9R88gP
4q64Gy25QER7oKVu2rus6i8t7tqrrqNbHUdGkr7OOjBx6/1Uz9/6sZ22dhfHgA0c7jwBw5ssYLVZ
64GaG3ZH0g/TB80t92DUNaZDXUkHpxgY4U5wnhXJtRbPAIewKb801YNPqzqMYjhqeEsraWdAgxAh
uL15GjtaNGtRGrrVUpfOmjrkHQOmLEnr87o37wb4ZSQVP5CrkTRBdQcHRdRCk4DiQ9e8Y68Mpcps
gcxN849x1A+xNzx5rdkccqig2ygadBR/mR+6kf/DUtTNKQfgk+ypmVMhfnVxRDCkVN2bGvrHiNDZ
UGWvlSWMGxFHP2r4Rn5vkoNTlg+SveDj2o6Z+ggBXXM+SZgIDiW2tMzt3xMEPdtssrC+VzyfHJ6w
m/XpYS0CkcIXTyPJWSflNSycNeuxijv7YLZGefRLDG1DtKcPPCf52BzH7nMwRqqFxHpRife7ms0p
hN/W7OdxhA4oGWK1hqY/DASCbFHtrB9jgTdiGaiCeqo3qxKpMqf8eWzIlXG9ix3I7m1VYGlu0WyF
W1Wbeob4aBZWTBGPlrOA6/rkGPaSMurRXuRR+yZsk0LO7bu/mpP1J+aBxSxo0etQ08THrCcbotlL
a3AuAXq4eJKPFZBWIqbSfVRYtF+sFAqvPAlZnc28as8imd8aGTkPdRwcq5n8dzX6O4zYYmf14K9Y
ZYinv/vWj9g1xUG0JD7MgvYINwqTXJh3fl30z73yN2CVkTHJIQjnXH33Xf/u5cApGak4ewpexin9
stHp6qfa3BvsYDZOLp/SEpnBgHelssaLZSi5BadlHLpWvcZ6UpF0Y4R2lDlL9gcYk2VC4AVCMcSC
4pcIoKbwR0+1Tj63qswnwn2agyst/FCrVEnSTe01iwQbkXGkt50WbDMtoe1OsPoadhOWeCQ3Zja9
Wxxj7yijPgyL1+by80mFeZf1+MTZ8NRME9qdzFFbfdV7FZ1zo+HIwt6Mop1ndk9jbIaA8JODZ40c
KrQgjSQ/Gx2Isy3YW9fBchuUpWI47mTX1E6fGMv3O1v3lqzW31FnaHeH1nNTpBh4PJPEKk2LKfUa
gPe2MSb3gJePE4mRW0a8NIZYSuzZCLCJp95moqzc1XXmHGbTvbtkvsFk9CnZvQKpezA9808bF3tc
ZBHLJdUst1+23IitTgpNILhT4ql8m0Xp4LPF3lwa4yP36w9GsEhQGsFEa6YpTPzkUulmvaXdm8Jx
ZnGCPuCxa7r4bMTapWZkfTSFzaqmkS7VGUlLOvzRo91R5jimTeBkYGV7uwK3Omhjvm9S/8lfxvr+
okp2xgXMsjQW6y+eGOqbWzov2lCZGw+8BECRudplZXztgV1efuupCE6JxujDU0Z0KbwBb+pgCKQ3
Dr9DWcQUm5O3/dalsj8x+Qr2qvqyl6Gs0b85QGseSlkeixTrtggzo06eJxgH64ystEHx8xZdL6i2
JlK481jbzw0N2BKZRyqUMzbMB838PpT9l+gS2mnLKu5JHuRAmXCv50Va7muTMxW6P4nf0nAuji3e
2J2Ig7XE41gx3b3PyRIi/mXPmOOf8/hgblMETbQliekg8qI9ekjBTXeiG04Qu8VH5ZLV5EU6JP0F
4CMAwKV9BmfXMOpdqTlLvVog7qA6AKxJdmnQJc9NiCrtZ57V8xHZ1sY16uDel/CIl3HfKfIx/+si
wcc77UevGNEc1ubNi0wVUhg5IRqAfkPIBJrB4IX3E+9qx2tfjWwq8NglzMToqV4dM7LPXaX/ZuCw
19wh/dYUw0RghUi2tbmkbgSms+HBT8JSQDmYlh2UVxedoUNTg1KY1zOP5pshOidk+f7LkIN+yrF2
bP2IcLVCpgDx8jELlZ84t/ILd3kB87DgFhhJ7iLVhRD1zJKHyOjRBCJpYTyhGVw/lK9yyNLDepa0
rV4jpvS/km54VVCSyLvrenLZPFg/LWlyqJfDiC3FYX3m5HbRwRJq2E2Mr4nn5pexyNLd7Jp/LxY3
AwNnO35JYh7fcunkF7JkvLM12l815IxDL5djr60fUuGldy2lsfIMGv9FBxYbXowru2b3nWhUmhEw
Qe6YdNdU/ngrMbPZCFXzHQNh9gDWzkm98dzr1ZMiOeZEj3Av01a/uZloQ2OIjuu9zUB/CGXcY97u
KsgaVYBEwHPfbKmftbgYz+s5o9f1Pe+0+lwpu7utD7XW9uCiNvWzW7PylGUMZXegM+U35xYUDQ1v
+xS3GgHEQX8O6iRFVKHk0R2qPw0AnYNmpXcWC5+iQZwR9xorciP2eRp5Hjm2TbsTLtYZXOuUoVZJ
5F0fyYNTdkdNQU2uSV2+NNrwgJ03usSZ9zWi98Bah+qvLB3B7nAmFFAXyKpE2j7OJbFmAsE5l42b
7TFu4dxJWjTCbuLvVat/a+2pA3kU9dt4zCY2pfkfIX2QUxnuMGvqaEVkdlsvjRnOrj/OxsWLeIOr
SLaR/kWLZuO89lGDy/xklF4YB71xGVPvyzBLdgwO8SfrdDWbyS5GF/TLk8K5JLbxyDB+vlIXh9Oy
0cGAsltPYelQQhZdW8DcUjEkZCwcvezsa+WyIE1SI745IyezF4FbzzP/VyuC6Ey9oA0c8suWRTrR
qzab45mBFtk4sPrwEcJ3qAUUVdPSE7J0XITUikTMtPmOVkHtOaa8y2SqDdN2RjVdfarYbQGn1jym
yo4JqLWT96hv7xnYz+1AGuBFtFB+beLW4rGTrPVmSUHBxT96yAKLWP7qYzc/8t3AhJU6uSfcY4bV
vRsRt7BtXQ1E85dYoO31zZixIQqHPQOvYZ+ng8VmeKqByCMhdPnls7f7Y2K38tLY8i4L6V5FUdbO
tq4DBvfui3Ia4wWoW7CdoK63wppepMvVlKqdx5kSDEP/4brJV4EYY4NAc9jbjnZsFKcSh/OljZ33
tQhbL1nTmheaLy/OPSZlVV+GJKuAOiPSBN9+Xg8KeLPlvjLTy2jU36qYT6YSeRjnRQ72sW5PwQwL
BE36Dm/Kh6T0fHAQtIR1Fv3xWLDsONGMnRLxx2i6WxJ7fiC0MvZeGwQgAtqjXrs63pbZCUXfsxVw
NXM/c5Cjl9pVZpFCB03qM0MqztfFLmL25Utsm+yWnGp6FmgEt4MMguW5gi5QS6GktiYIqCT7kZSt
sWdsD4luSsxDUNlkXY7Or6BJxH1Q5HmBuj2t2mdjNlHeesjLy2w8r9ciJ+dwLme5WdXKQRpfS8H5
mgb+79QdhrCpUTgircrqoLsnTnydRUKmu/2tnj39wfneTLhjicPb4jOgIbWi6DZmrjyuspMxXgK8
yzRjkuE4l54shYfUBqc5Cv9E9FtxWu+ROk1PntSG0GAuFK7fWw3ElrcuLmxkgViX4oh93fnJcoYA
pNBtbfM7PkWiyywGLnZQPnYzAtcITQU3W6q2JvbRB/LyDrWTvSaRZd2y5ZdW+VsxFu0Vf2/80HgX
ZG3fYlaYz+ng9teh6J3tMG/b/KVJzZdVAVH4CVYelG+xiNnF6kw43Xzc9Mhn9/rU3VaNQ9S5061x
PtZ+YPRfi6RcbCV0CGvPwJBgEUuVRJ21OyUDnMMwaJzsEgFIjObe2GVrNdsz5H+o9fHVlIP91sTy
jdZc7vwuTo69wpKCYdLcxJqqT4Tz0QPw+Hd5VvIYtFUpdn6sv1GMyGNkx9G1W7TTspw+wMfjQWZY
kwa5de6n7jtAReM1x541J20e9n0/7AtiTK6UvmNoBsq5awZPk9x1H/PIbh78vkvRNhb7ggbgoTX+
GF5b3aSJ87Vzydr2AwYO0jSuCwiK0A3xXOl+fzHc+CnprKvJefo2CCIASXqtb01aEPCioXWN4uaS
ls2bzMb2RMDtblq2HHnGcoq6TJV/FIqmx/VB57jMnmIrfzbT+Cnv0vJmqvEdx57YxtbcXf1fU2Z6
T35NRme7j9QIIcXyiGKcX0jEKvaxCc3ZWjRdsgCxDQoIYaN7DNxk3w0DspZ4cK6CRbI2afKtciL/
mDFrG6P517qKZ3DD1Zb2l84KUKrq1S6lzvyym1+N37Lc8MV7kxTh5AyLWyBLwgB1zjnnXNl08wxU
kZZ8K1E/lXPJng0dyaNkan0icg5p0xjYJyBOxYYu6Jvdama/LbXOCs2iH7bWsqoSqmzOmjnd4KK/
AD9GkjK3aTjNxoYFIKzoWa8fbc0mDHDpi9O+vfWJ/wMyXMP6Fsa9o89bbrkIyr9/K/u53c+zx3Lc
pvAIhokWO0eW5bGL27JEandtbCyPb+t3VHndwWnt5HEmH7bk/oi8yP7FxMfIX2gmlnAXjwl3Ow2P
VhG3ECZrTDfjwDCK9v+Wq/iUaQ5Dqrz0tgbAltuIKhSz8GBSWPAMl5pwt5VE9OEsNbvP83k3URuH
eQzbEoIPMyCfy71PU+PqbDK3rR7RB5XV0Wksea3IaProUyU2zuDoV0g3yQZIbP5hD3z6EqHf1zS4
yTPTJaKX05CJenQjQFuGU+XYu76rKLhMelkci2CJnGzaRFpeP5gO8Q+RTgObCVraCohGKzlBnWh4
1gKQkPbYG5+mnL9kMHLMI38xHA39WNsbG4MVCGnIfvuFfYfohympHxZMZNUV/TVWM6tKfvomInSO
2ZFrnta/30wsMkhHCu6qv6XxgHZDL371OiIOMcTGpyMJlm6LF6hxwbXo9QtGgmA/E458ilXyvIQG
7uNx1diZqC0rZ28NhCevk9BYG9j+stQa3pGauE96kHuHfpphXSwvLjHGz9GdktN6HSQ5TXsl/eIk
AoL7DN+Rx8lKbrremrfO7o07uRlJnfwfe+eVJDe2XdGpaALogDe/MOkzK8uSxR8Eq8iC9x6zeWPR
xLQuqCe9pwiFpH99dHeQXSbhLs49Z++1z/C7h+cpHMOj0EpHQyZh7mtWb8gYTU0LUegTeSkTFg68
tb85EmlPMDWoQBEcaTrlEerscjGTcgjUCvkAtjEPH3x82Pq5a8cG0NE+1amdPV7GzXszTF8j+667
llI/d7mh7syeNgo1K0rLQTEPKgJhTydhyg2bisYTGsNrCGwDTd1HIVUtRJMlupQreLcua3I/okfj
zTQsnsEkJkB1tSgoY9J0RyU7I6H9PhFG8jppoBRHPVisEoorXcOFifzTmGmPalpz52E5AAaegh2J
CxMf2eK4uaRLLFnKA9kE5oMiFkHSgAm4ZdYQMVArh7uVX4Z2tq5tOxKcCWoEiLva+u3aRhCP0KTU
re1Hcd3v2uklpAF568didsuRAUpbVUddWadHK2FwuTCWLebp0hRQBYilzh7IPPLNOOkuGT2jP1o8
AIPTUaE/VucopMgjIMrSFI2IVAvzG4OqBWj61pdxFka/f4YBK6OeoNXk7BK+brODia2EJwuf34i0
4M9NHtszs7Ga8DNSWz6V1RroVWvyG15iIAixo3udbb5uv6ttIb0bYZSRFzSzSxyKar1QEVHcbsq4
pDSlnSXKc56DzqXZtwaFWRFUMuYPyzTRvVnY45OMzf2r88YnPll7TEYLLtYvw5boMLbmE8PTn3WU
it8EXIBpP3PY0cqeARkT2DNAk8ycizSJaYdhtgriAjqgRpLc5LAY7lrosPazlGvINl+kQjl0Dj3R
srWB0mHe2xrdkz2wpEapdNYYDbxZLYM4a2Hp7iaW0FClSNBVfGXzQRrs4dBK5qulZH/kBXg3EDmI
dpcphYdFTa2r0bAVLEYLHbJNnzIy+u4W1dyRncaaHMG08HKheCyL0vmGn66YihcI0/fKAgYUURUE
c4sXqRcclSVWVJgoyC+3+gRYPDt7Hcl1M/Q2yu6VUA7xL9rBv5o5XB+STHmWK0y/0owrGAwSs1ZD
u2qDE2iI0o8yHVWPEa7zYNkhj6lQUlpz9hRnQTwbxafSp6/1sKC5C/tjR4CFF7WkWyqh89shbuA5
rKZzTlvhpXBEB5QFHHwDVNpouadYZlAZDPptpnGQ0M2p05oJdHtuhNd1nc3uYNvvcM0+7WwGWlr3
PwrhZ0SeIELF5objWIvuFIs9eYooTEejW9VEL2XLyKhgfK9x1QaxpvZH01gTwEQ5lP8x/dxmNqNS
zTdtCElqbrTy0IForSrtUar0R2lykPwinHNLIRsf7PoX6LXoYsaMJYD4/FiNWnlUIu3THn+viRx/
OHF3SkW11PdsglZnrt9JY9yvYlMYhQlM7jDNGbBEXjHReVpS51hW0y8G0wsZiUBDJkOWTvkQAihU
6JlkI8ua3tIZ2xoUdZGbF3Myv1BrsbwyKUbwk6zChJQw45GqYMKxBiIWFSYCqDKoypClIT7MpCzv
NxXiJt0c9OKco5/EQxk1LHnoxMLaqB43DafwB1Q98Q889Jdq6mDeK8o1NqPuUcXwVSURQiUboRBR
X/0uG+J6T4M29SehuJhNdDxRNnRgkXiNcYke83RfaRkb0tjOH9fpVAgZcRtTdI3N8J0lVMWIajCe
3GSUmHQzl8R4OD9qP56R4RJLvi0MEUEBboH0+EynokKUZQFyEjdiIrqlIBX4PeTBuDIsKJg3gDwS
1Swfo+gKGaj2uzEmhShibLFR5oT2d5GywxBmho/Qyf6jI7cdtA7Ob9ZDNseESh8Ry9skuqD4QXjV
HSM1ubbqPO5QHuo/NEIt9Xw5SGkUHko7/oWKGIf6qNn3ZSSIKevT1R1zKbnqNaDIXIm7Z6vRf0e9
/EFCdHpTY1l9ZaD+4chLerMjIoh663EZiAxfe/uh1FHmqv0kPVvx5/b4wUgccfbmpvohW21102SZ
4Z2oPXBFyUFczq+9kZUHmoqam6tNeq+t5lltesdDFf5lzHOGM6N7niSTMiR+kksBKBKC+i7Fq4+M
S7uN5WV7MiGKj2IWbJ9sJT9vi4/EnWj2JUj0BHbT9n0WOi59texdaUbz4zYlzynFsVVY2MjQEbsj
w1B/tAb0FdsHXc0HRhCI5aX3ViE7tUDssEsVtT058kBjUBrQsIsLi2B/vIRiZJl27HFSEkrCWPpR
ZvNbGHSzOj21UrLeNiH4VnUA3ibMY3NLDQkVtuxmqn4Yxl47laFeI0HEgq3TrD41c4rSWxz3MsHf
gQQx7DCWgEzDAFnOg++Iqf6wqO9SGu6kajiqlVVfGjO07q0d0jZYpPfSIPe8MiMeADpJV7ZCq1vr
6Rjoma6cq8kWzCPKiZahl4cDjMWUxvPDOqffCZ3Mb4wPCa+Xx/mi4tquQEdtr9XZkT7keWn3cxnP
10FfUHmIF1U3UzEmOW3Ovun0c2mMTxmF7m07DGUa1r3CVg69NZPwqBrSp4a0CjdERx+UpjsV5UBU
gKVdplXOeTFYcZDao7ULSTLxo7Iz7yPaSVEOFKuMTGid/M5mgDsV07lS1RybstUdMmnQ7xVmlWSR
fiVdVnyHGExUQOImel8/J42T+OssjWj7VNQTmiPdCPkcPHQJx7FXLBQmyquaLdVDwpZVtpbooRKX
wfywGTrdM510LqVFlzGtzwinUL3KuCYNR70qMMHEP5NuoYjtDeOJF3f76EwQLfTJSHkCDJB2a9+A
T6EJ0hTxdTafo05N76sAPZnNhZUMapNdVPthtYnHnLJTyXRWkmLttR2PaVku+2bKX1FTM7OzMU2E
aahcu6ro3LluDYwka3iMaLSYsX5FF9/vKoPNYJ1N5TFP1kue9iDt/3Q9sAGt360CjVUdPq6hLb0U
Tcz/0lb6wwBSbPnLULXhWIByr4U2M0J9V6IhhWswXnk8aroVi+KXzpYxMMZepw3Fiy03l6lG02oi
fjwWdSLf2qR664YQA7WSvTjOkl6zPDW9OGMvwzShvulw2SYN84/DJG6PFsV0NSZ/O8tMHzNcCi91
/Eq1HJ67VE/+3anhOLttZ4Bwr/PR4iYvYBMIq97uRSXGCGnAOA9GvsNDFUWPvK0sL82yW1fI0lFm
AfhTHA7YCnZSh4+9VHgxRZAHyKUo2Ikym5DMednLY0HxNC3tYwk65c9vmBD+76sUCYXsSIarKOhp
tuXS6nkXb/f81I7lLmLJ8hjQRHsn1bI90oQgy6cfaTvVT0oBEQRMymUrjezQtq+5OuXHkEQrL5kw
cU1yalzLDhpB4hQTLGjcLex2XgnuFvHJi8TAsrD3kNYcw+tM4aLJEu2eDYsJlDAyroBkfVRsw4EC
l6SAvPm25LZ8EekDWwG2LWTae4xpynWKJTlZLZWN2MCbHa3MEqUPsh+ZQAyE6ABOJF9G3HGRw/fU
LGzIVyiuZRF8uW3icJbILnkS66OgERuozUyz6wkavNirhNglDUiuM4+GHBJGYfTP1A9Xmiqw87Ah
yRKNlwQBGkM+R2ZAV1dEFly1eQYOaBo5CmLaydEsPWSSAv0cCTcUllNfKD+3UrXoq1NKRibR844T
DPItHWkaaT2xq4uiVmJM+L3ILSwscTdCn415EMtFuxvVW8nr2LfVmLmHUb7os9Wj860Bixea7WIE
6Y5A6n4poT58EAcATQ/TlGLYTyiUaF5aNRnvufZbn4r8PjFdShqZdEat25u1mYduhzMskWZk9VNX
7gwUHHtghNdYc9bbqDaDH+OYnTCsRa4JwrHt8DnM0UvWq9mjKZ0YrN36JCs+JQQlrh6u8bnvFzY9
xAKisytZA5LoYW6kzpVD/WuZavMi9+HkzqQ46nMcJA2tARkRlGXl86lNe6hxtfM+FY3wiS6XOMya
P2iC/8fBityh/yExyMT0+d9jwfyqQPuR/RMaTHzHv6PBTOUvFf0tEeV0OQzHEibFf0gHshzxVwZa
ReEg/Q8+mGL8ZULAkMmo0hSFdyPf9Xc+mPEXbnFdxFcRgayrhv1/4YMZ1n81UToK4g/EnPw4HerY
xnP4Bwcr+1LMcqboThEZOFfyuc6RqcO+hFSIpLthQJOectrlEfg+XAlnTQK7EyuePlg3zOrfyqOq
LPtIhrvA6FVJf0pze8L7ejCBpsC2CrRs8uO031FAoy9OTwYd04Z1r9G/x0V2lZdJDOp25A0ejJg3
bSOfLbzPy7KcVbw0A8Cr0ZkFN+ZkKjKN4S6wQTmI/4rPrBfQ1r+Hagcli/en/jjjfxWCDJH7A0OX
Mpf+YDmcNbb3ZqLcDZO3MGN21ewC3L2HMvocHT6S1dOWbin0VpwPMknOHdGq98SWvaLoAlWWPYeA
0ATtnyKE3PyTKp74LlSTO3FGxKepZGq5tXXFd2vGvC9j9izOsteU2wTQZygGBmi8xSNY9HhSXfE1
sT3tHWU9rwu9WSnxHfWjjo0DfKozbohdiJWnMPKvoVzOMTAGe76M6bxXSaW1C8p/Dk9eclJkZKGj
8cHQnHgznSQ+br4ry/El5CpiEt5HYM7F51MHDlqybyZnu1Jh9qKZnMzsmiV90KwvGIBdU+r9NOJC
p/NnLwnySYdYoEGirngFA8S65dqubSDwlg5bpoRQg0Vw8rlBxOG2PcYO68tA1CRONSabnW1wf8Xz
vlDUAwoeT+bWYJq+E2dA9Ba3M0gnOKJcJs01bLha0F9rmG9t3tEQlb0ohybLlRUfNF44Qxy+uILi
FAh+u7hsgqZrQuAXByouUEcgQa1zguHcyo18n9v8JG5hcdEsjdMY9dQ5pw5pb25Oe3GwtA498WXb
jxl6vN0doupuh6FmV5X6QdzQdGuCBLikLb2NmPdq7Griy8RFUdqWLt/nCMnXACAmjlcwN0upCSxy
FdEd3sQpmxbr1kocv7CFhM0uyVtM7bIfSXgG2TGM2bUinLWIZCZEHzS4/RL3V2xJblb8FB9t5oFR
mpbparcTt9t25MWyz8L5TIFyZb/udh38ZLv30ensCXcKmHSic/qDFs7YTpN5iPOXlFSwWczPLUzz
Kt50xgr+D/G1Vc3Z5DYR17adP9DLhwgaxDkXOOCajBRxpxSpfC/5SqznvswtaGvJqQMJZuXGlcG6
F+f93SAKw9Gzk6kT4sH1ECdZcRRvrFpeaM3O4Vo6SRvodXZNW16yvDlhtwXOWASOM0DM1w8C5Nyr
055+JTajHC3ggqoNANwwnoM8IdlMin+K05IkzDK5muJDTTUncOE1zOu14UOJ6yCunmWccrVlhbrk
UIBMThwZSDfZSk7ixIgDDud+V8TpSRymUpA2RKyAOMmlkp3Cugsqez7HYqef/BZHkvIL22k9i09I
2mUwtvlPGt53ydEOkrW8GUtLo5HHUE1OsTTyADwJWKsgM+dd/oXs+bGOXgSLmaTYl5UE9IKLPvJY
i+8suHpSJWG9bYOBc6YY33qc5jExBg03n2QsZ4mkW/FUiTMhbhAEzzvx07fLwpPG9JQUkuxadzLd
MZon0+DnOqeaD2yx2NisQae67ve6s0vTaMuJEpBgCNBujThrtbOfSMrPRXQrDNNjJnkqtPQa8SRi
UQj0mU8FF1KPPsSdutY9KczyGYUZnbHnZSJPp2rQT33WOf06TCIlj6jObSGxwM3UpQXntZP5PKxu
GjewzGdmVGNl+VnhuUJRfyI9+mTbnAkWFPGyQNSMP4szEqGxDxevZ41Uu+Kac9lisYDrMCrX7NTO
jEJzsIrYFOpHQGO7ihVWZR2QJOjUPNxOXJzEh1nFfSnQqhpPS9/6sfY4creILxNo7TrmDcR/xS9Q
aUCtfRcUxsOiF3tGMDi+AHvnWI2waIuf0uL+bgREmgddZawOLuEqDls21nM86t+bfHyp8uKqsE1C
GeuK7yvEghma30dpptHJaIzToUcghkvW1FE7ECR+hlvNhYvk9bzM1vdGmc4ZCDdxhjLnUNvLwWy1
7wazd/HNymweeojZ4jAh5HgSJrx5BAZFpnSmHWQ7O1Fs7sSdJv4sLketzC8628MxhaVYHdZ5Jnpk
uSsjbfIZWC81AuljVxh2a0LQs5lexRnOe56AuX/RWVHE0ecy0s40Cyq2KuWw7MUHoFm4s+psVzQm
BjHWkXB62k5uYRyc4jSmPROd9Cru27BJTpHKG4O38pitWJ/elWzdibexWCEoqw6Sjd+IiLPZWe+q
lF9tZXiia/j/1S9Jm/87KK4Jkuh/rH7/9W8iEOFv/9L+rocPjBP/XA3zE/5eDdt/0V6laFUdEgf+
MRHBUv8iCAHggAn1VSYiWvnPYtj5i8wyQhJUBQgIaDF+3t+LYesvA8sCDBu+yVZkw/i/FMPk2PBb
/oleZgp6mQzKF1SUBbH3vyBFJK0zkrHBsWspQ3OUy+zNScJTrPfjhZ/W0OKFs+YUZet2pk58VTYX
blnKPHZGheQmmwOYcniWsk5/WiFpVOq9o4cpO23nYbkwef6aQ8xc8BG9NyCXhJ5lwf6+rkPfGOBz
LV32ZcAO2rfKSkB9ONSXHuSBaYxs8HtN2ldjPxwGUliGGaWZBMn7NCrM79ZUd+tC7vcROrwrbExs
kH0dhCOVWYygyjUdVFrTYi5usTBCDOGkumCUJFpT/Oxk7CBjKpR0Qz8C2U6b9qBE8YfshKNIqeYY
ZJnfF0qhV8/2YW1KBCLqSGLDUJenXkbUM7T2u1VLtNkc+5s5k7VXTpoTmNXiBLWBRTupdHSTWEbS
BastprLJ335qM44AQQTX3kQdSCqiybtqwp5Z1K+don/wtpzvJEN8c3rafdH4YHT46+LOuhdOTEiM
DOEze5WsqPtB0jmDWOVHlPOOlMh1DsRFXBWIZJkSPkQOrvIc8nY5zWyoW2aauYUvuV7flaWV4DBh
pxIIRKuTkLZO8rU2hf1TVr9NK95TJ1E9VA+2b5lMjjLVsLwSpaObZwMKXylKd3HFct+sE23JlUYZ
w1eHzqNrC8VRpQjLuC5dOnON9mGVkkcGuSaGeeUtFp2wYXgyGnLJmdicnNq6A08nANXKLM9ycOY6
3yjTwcTTod5mPWo5pIdQqU+bKUwOiqp5qRm8BYi0xAUfzivtn0M5gE1nSEZsQN7gMMxGJ8CgTh6G
GNmtpf2hIcu9dlJyqTQEAsRIzCdlVi8ZHHTNTCdXLQ3tuNGU6Fcz/c5J2JjE+K8LO7BliKb+EPQy
SstmeSti0XdL1efQQBPcmcv3Nq+vVp9W501I1sGU8XV9wvcb0W+bowvNMZjUI52/oh2Bck3hQ0nY
o2s4DJXsaQEb1TvBujLvXzqIGQPTHfEqgf6RZZAvCu19WVWQZqXZUpJyp24naFbgODg09uZGrznF
HLitZl9qxoDU1GQAJFp5nfL6PjSY2/AfX0q05K7BNUU1x1djIU9i1MOEzrNDHt62M9ap9XlwjPBh
O5NDgsi+RG6P99Ap9rElAP1w9zxpt3YQOzJZ+lWaKvp1hdYjO/FgaphoO1HVHuIBRKOCA9QflNUJ
4MI/zSr5X/gnv7Ih14+zaT0AAPktQYamB91W5zhhewa1bC/jdfvzUEasVR5t6c8qr7iRxhacHvdd
F4WfuJd6NBXHoltjtkQpNhUmAZdxTQOtG1HAIEb3k3kiTsio9lYyN0TBp4Ei65ZL+Dby+YExwmaJ
Cx0rCcIJ6bO2SnEwR0y80nB4JMJgCfRYGb2i1LujDcTVtxNUiGFsuiAikr0hOTLb1Gq6vG0uP0XK
n+WosoLtbM41ZWtspGwe5S5F5W89Jzn3R8tEpog7Mhnw/pP/V3qRqrA7z9pDtJKL0tunXtzJpl2z
eMjZkxRNkitxC/UWz/YfyJCMT2hrxpbjfrTmJdhoDjPuCA8jhL+IVBhtJORiWw/KGPGpKSSN2+Nh
Lt2xX+xfkhM1frd2PyaOC3JP3d2J+7HdTLKa02qtT20JAigrZxv6yHLP5eyBCV2JFgjZrpqn79vt
wESOzUvUnKEfosYB3UQvOiJxiqsogEhkRH+xpf69fdw1U157QurcxHCoKA1h3lcthUeTq2OaVeWC
weN9Q2ubTeg8R0aw3fDLKJ7tPL0TW5tQz7JMsuzHgdQVvWvqhUMh+yWNWPljx0zAiDw4xXhDFOME
ZVmL/NQZJoY4rUqPAUw3F4IZmaRt161J2I+WTPRVbDTJAjbeiedDUZlPw5rEx9gsrrL4/VoVXxKj
B3JcAvTdIEPo2plTWm/bmSiRoZJpQ0ccwomG6cJfzVUoc4SKGRhwNLaZn+GcCnq8Iq6iqytCgQSW
7TLstrVDmhZO31gd08KJgOrWhy6XctbeFKHGVGs7K87PVSG84bM6w6uo6NhOiBmLeTlFs7oCmJFb
v9aqMWidccddgV1lLfOHxpR+pgM6hO3eknRyiCtG632nIA2XIgX2B75N1CotKzrqZpymkYSQZjsw
u8AEY1asBwgkVn+xUV2kZL7Pmozrkn4VJavkNgp5gDn9XaY7yx5GUBzE8tJitI6MfVHouIAY/7S6
vpMNBg7oeBuUZ5EXw4DwokRGs2/zcWu5aIEvqDgOGIuxUlI0sEywAU/tvTZJjT/o6sPSYE3sh3QI
2PC0IJbRSDH/xOA9djlPivMjz8cycKjqfa3Vz32NBMiRKdIBQlxLzdaOvW2wzW8i8ORFs6GC3e0p
6nXEeCBJS0cqcEmBqupWRT9EzMnVrGsenA6faQonlIaX7RNy8iMs82/qCk6lJVB5InDaRex+4AZB
4SoEXHN3rNNR3vUyNlSWoNJXSqoPyPHHCJ6Zr4+5O6D2AmSqHa0w+rU2DUIAyCW+qhiaq5B2zBZ8
VxUyKJ9moG01Q2XJ9XKn5HlQT2wiciP8xJ9ZeysTu51gY1USEU3DSjJl2LcH09Huq4G+oGoiyBcT
yiLBhcDNjnzNSOpzqkY7WonULxMyj8ou32xG7ImSOX5kUBlEtcWNZgDMyOLrpBO4E0fpoUZEtKer
14JRuWiwtCbLvqQhEhjLaPdAZQlGF6+4UbwHsuVUOwNvpyUGY8J2DNTxToMu57WhHj4XU+VmOdAR
kxXkyWTlDaWSrHSpPpgqWdKFfSnnSn9N1bBAfZJ9dtCFqCfWNzi66mNpOs+i2ZNlMWWBoZp76GmX
GFyRN6yAYHQ7Tt3tj1oXHYqmPQ5z0Zy3v3HEHZ4mmp8PVXFMmTF7sgR9mRfwG15msn7FigrSjHUN
mTzSCIYYffoEWopQhni3trPYj9KUQrXpaj1BJwnQg0pUKDpUjNYaf0dLzXmoeYfPEc9P1OOB0gsQ
F7P2MHesG2mL2JwZrMM6jVfG1lmpnJZAsU4zMXHwjXbPhWhE5SbHv6VRjrllNNOFcGbTrpE7Wrf5
R1QhtTDqJfbsujoJapK96vyG5KlTOyhEdVO47EyxnKB2oRqRvGQhdzpPxs/trypp56w6WvS6TwNE
+vvR1hPSOEFVhDEt0JbvUMTDGBEv1onlYnRS0AbzjxiAFU2eCbme/oNhD7pzCTutlT86Iadvq4lR
Pzs1inI5HrGAFYvbDORZlTUIhe1KZFI+71Q1+26KIs4u8UfI+j0yrPiyht2hjqTCWwfLDJxMIuqj
KYvdoiauriGtZCrfUN9M+lkiV414DMNjRME40bBJThOHizuDY1ZgO8bUNEUDUX4tmG0elVH8tkj6
bhb1iIXhPvPmdzWmfCixaQpVvG1okGfhm+XM81PaK2+2Ey34VEz4TAqfOUIu7k7OABLfzpRbm0nE
Uq31L4NYpMMCc8iz1MULo7j0lF7tcIBZBVzGcYc6WD4iYcK73DcIhraypTHHwc1R4fuoq3RvWTAd
G/MTmJEoSSFvbFKeTdfIo5gwwKBuRcWSgnI3ppfJdkyvbiirclu0U/r3rG9J6ZaS89qbz5umRImI
tBrYDsn61BAoRhhTYtvNQa6nIESu4jk55VOITFueAWhZ9pQQB0lJSXf5SdJ4A9vRkgTsbpiQT6Ke
b6eJNqrYdEUMFutclOhUNOSD+NtNY6cgqVYEeFBtGG6IFbmYiKoL4/Zgic1UJKl3xjHzIZXqC064
Bbhd/TyWhhloioFxvWZ5YlwAOxDlklzX/qj0q59E3NZx5zWAOo4ZQCamD5nmOZY8EYPWHQqHB28x
pzZopzlg+1CdzSqGznTXLLUjwW/+hQ+ewla1elfpWSNnI6tP4Ph/cDcyqsZ+ddLqtA82zsiwah37
lgy4cY2cveiRwGJg0mkBAquL2dTdiqW5aWrUHjaFI7Pa9jHDZ7HOheEpZt5fzWntoGaGHj4v+9I3
8/eyGu4GKodAw2Dnh2D/3GzkkeOWsy5yPvysMOHt7BL6B8Of5x5yAXr5bqIqKdAxzjx4dtWDiU8e
8KRNNBhLDnpWTqhmJK+zbGTb4t2sGYu0k+omcokw8Uomv347dS8RtJHj1DU/RCbCHhD64NYOYYJW
T/yTwZ5KZtft5kvR7kYlTvZqPR/XIeSrhARzVPvHJYewGBVWFuhL9LEtNciNr3Tp+9Pm9uoBNnAK
DMltK6yiK6B6CGM/G0Un+sG0pkNOvq5VjHFQxOt9Wy0XDQzjRgwqiT23C66jivhgpHjnlTBeUGrT
SUZIi0xvZXuijobfMn33JY12fa4wlmhlSlh5el/Svt2xZRsZBCBdaNOq8m0Y+q41oo0oAKme2QNA
tFqRd0XJesokyS/XZDhUWoKpeSROL7GUN1kjYUJOV0SbjnIfF4la1uan5jVlC3ZKGxM5Gx5rZkka
vkaUNtQYDanveE1b7tPtZkWaaeOiFbrmMXLnQbO9baO5PVtDLvzIiO48g9WfRAjkFeJ+N4qof7KP
cspjpooqdpGlayVZaKzj5SNORKHoGCcjh2SRKrMNaavc4d1r3e3dMUp8QMTMPJYRIrzl94oXyk/V
ngCaNL/2vZ3i8TQbt61TCtZF2fESANfDhK4c2Jetq17AER0w2cWP2po7F82uEl8dj6UifQ9bhQ9k
2vgJxWeN6WfSsKl2c8sbOdWGgHRJeZ82z/C3v4DetAe9X7/3a31lc8KMh1Yo8v+nNFVnAIaRti9a
Kr0cO0EoYOUO7YTKbtE1yUhJxErejnbmZYP+VefTLW0M0taQBu3XGo+MQ3meoYkDlt+P+xpCRyI2
rqlpu4IJcBDlctBE3IJU9WNsVfRcWj9s1WCTshbjsPhthossbVbet1b7SK4c16nUXzqdJkpq0C3r
WoO7X+okUsAfMJkyFz1lRUX9Lt7G2+o2aIsnK6kFw5ftB0Jf+AW8Awyg06Rn8EaEomQw80KLPvVw
S7dVMkGHpdqMDUrJ+LWyoylLLg/q34OCQtPfHqyQ4CqDaDdvopzmfMFMQiAHSrOr8qOQo5ehv62o
eMoeRg7A+1PlWCl+hy70Bwca/PZXVneTgPO7K1XpLoNLyvxQ1LE8pYQyskGgL0IvYiQ8Q1M8ouWO
uHSpMesPbFbc8B2LX9abhiu3VU+pM/3cTknV0eVjOqKEPOlR5eg+Q3FBf5P9WDGhGNf6c4S8wBe3
A4qSz4kliW8fDunCSuzk8V6z2RJuKwXEu5/qAvZDme9bn4XXAGsbHUUbnaQXj+W3qUZ8boHZIM+Z
bo9Qws1dWh2kuPIaw/wJTxrJ1dSDUe21j+1ZY0um+zz/PFYAZ6XwKNNLU2rt03GaLwLXX7lJUZlH
dEpm+ZM0kYgphU13T5jq1AK5aDv+1NVqcXO5hsGcvc+0AxLeTkjxv4YYGxIygGDuJNcqCNgyZgV0
XBLATdpZiPV9KQPhAcELSWnT2GCt2OSVZUsu8/Q9Y/IZgmOw89Jvw/I1ng4C9tA75du8liKhpP5S
zXYfxaw/vHoqfTpJs/I4F6MA6NEbKeh2lvh7QQLmB6UiDtPJ+/oWS90rW6orch7pZqbK5Mm9AQBb
tDHzLqE9BHd456hGThc3jF0t00FxtfiBC2VFpdmg4sp5jtY8aX2Wmvd+KBIe3ZQXPoGyiiL5ZHHR
16IfRFzMUU4YLMLWSW523QZTkR4UY9GgM/a/VCXhKWAAE5PwGCvOEx0/2r3pq7VKb7WWHbB7MxzL
r2HosEKDabKn4We7FM8khh3S5KCPHLwGVcrTMrY5dCaYSWfeYiA1sKrOY7A/Bc3oPOO61706MTta
Ob3X6ySzqrktNjDJTppeetx1aMnkzymHhodvnhuWrDgSenqntVy447shewXi2GjkCmntoyHrMY5D
rAkJNFzZ/p0WMcSM2n7Xm+TLyltkG4PKOH89VAZ9xMnY8Tse07K+T0xwZ2X9lo0rFbcE9LWP6BhQ
5rUNhtVF+SS849JK+hIkcvrD7hLCXcbmVrXkw8RGcogU5vyxdCsjjksvwaFFKU+YeVJjzFyGoKFh
uf4A7hnEDmu/QbzMZB5Cu3yKlhxvu9wjIF1vOsUDJnuTqgUrLVD1MJ1AWCanwRrfo5jkgsZ85Ol8
U5r6tYnliWjZ6e3GjiUw4/53UUuPRWxXwdiUs1tb1bUxjYIpLmrY8XUuKdSsgf/TzMOpV5zDGE+/
Ec3QxmsbuhtJ7K3ht7aRR5/qOnWrEl8msZRfdMjOaqx9VxIbHSlGoLnhphzA7zt2pbqOXD9SZj5G
yfRqRtZnTQoE2/QT+92rwjmb6gP8zcZIn7SG1BR4gr4p0YOY8v7WOx29q7jy4ZhZNE0puqEt+aqu
31VUo2nX/RoidZ9U+UtNRG8rTw9hZSjUQdwNJSp/rcBGuuTpmXyZeyLWWxpkRDcvvTeF3Ioj3sqS
4hBto74y+R0sX9O6lLaD/kDigXUcUzxCYhJIHI6/Ro1zBPMuNBl4UIsJk0tcvIVK86FNXbrr8Zng
KqRwYXPRjZGHXGu6eA7vhwcVge2x7NdP3m/jrg7rF0OGFZDeyE5BYqJa6f7f2Duv3Tq2K12/itH3
JVSYlYDuBs7KzEEUSfGmQEpk5Zzr6fsbSxYsUduSfXHuDNh7S5uLq8JMI/whza2OdwFTEiXM1kqm
TReFy0k2NMv5GEe7pO1twtbUW9lNhbZutKyaWGFDEcwi1/EIjxQFKq8DJ9mRDCgYlmvFYbAeodCt
/NrZhY73DKcCqY6pvkFA7Ipk32YnsQgRveocURaECdGI2o+4oKynwS82PXRYD9kO6serygmf9Mmw
zxvLJG+GMyJGK9vi0sx69LUV15tUSgxWDSC8W5S4vGmTO9bKmS0IqYX9QNFxx66Ja1OPqJ7pwQO0
Bv9KxzUxD2bEiz9mS0bRKqrQIbIidW/k3hleNh+rRoXbakjgeyLgtKmr6NnTl/R8CbU9fYGbkNH6
BGNPu/Y9+6SYsOOIvDw6Azv6FCch6WrmF2fdxAC1Gir1nvaIY1d6arcjxZYY3jNzt/ea2+NfjMmd
tpBnx60/9x+N1KRBoXEDERj0h2ZAWU4PkUvrPEjpRoCUmqc945bcYR3bH6zFpT5YE6VjrXdd0rfO
81ntW78jrMOi8ipp488oxH1yXWGMBP6DQpwUSZ0QcZgGUdHXFCcwzsCg5Wuiq2jKEe/HFZdN2sOZ
xJ04ffAW760vEfkvEwBvoPO29h4Dy0Ncq83OoA/hnhaISrlJL4BoqfSB1HQe0aVlb4yputZyFwVD
07f2I7Dd9WJ0z5A0UKIc8HomCsUBDr3CHCRQSVcABD45g+MtLQpDNIWgpgHcFimgJoRDAt3yyBbR
hDNqxlQ8Mh2Zp9m+R+OK0tqx+ogJcxtFW5yCwaTgDnHs2hw7WCwQH8zGclulBT2TPoWoRmNsJjvv
YgRDjwG4kRCjhZ6zbbXWP4TSQ8J7C7KatR7AU6OuQ+XakGuPOemYdTIaPcTmGdoIc9RrbE6sGeO2
b7rmFNONDVWidW9SG5nQ49uBpzgJSLeOCoGBkTOxvf4RsrubzXeLUT4vDnnEYC8J6l24BtUB0AHv
CVOYkdB3EAI74TpExxR4VPQFkfjgD2Y11q89YYvGM/1qqor0rgWL+aPHh18X9RjGZJDHMn0uJ3ZQ
aK/LlFKJhTyYN+5d4afOt4IEaiJsdWM1UtliSh6DxyakVXYsDs50SatWbV1UnRyEXqBPoynbYbyM
YgBASkdm60i/t86ov2Rkmv5TWc9kC7rG4diHn5Cx0tY/tOz/wmrVEKeXH51gHMM2kQhWtmvYynXs
d3Y87ew5ZPxWvT1mvnXTn3QOzJXGsOhIjK+99FOURhlibJHbQKuESEMqu/ge1DRtkzG9zQf7Y2tm
gjNZTjTct39/i/Z7azRo4rpPXdc3DAfsqykw1h9gqvlAD2p2TDRLpe2IMr0JC+1aX3odfV0E++Qk
DsnL1wHuzrvBcclCG7oySW/598dcoGTzoC4fnoZhjA6aKGhjAsmbjfW3kv7VpXenU5U6JF6FDMFX
UnVGQKufHN05tWfnhJiHJolZh6In3VDsQW/KE7HBMcvTtWvPzwpp0LN8DKKNAZL9zEXkNLLtE/jq
5dUSfzl20WafNebVnreBQaxvzuyRLV5hVQiyAFFgVKWprJCz8prXKkqTb4ZT/8Fx/ws4bp+F/c+R
LPvmtXj++vyjw7P8wnfgivHBcl3fQ+sUjDRoaebnP2Dcnk7v7TgzDXEv/AdyxfxgA2bBpAb9btsC
AP4P5IrxwQf/As7EhwEN4MT5t5Ar7/cozBUs5dsU6/knd/Nuj/JGL81Q8kw2OmaBPQDUhYgQ/Kbg
iAWTFySgmMGVOf6dS4Pphxf1V/sH8Paf9g+5uo2EMwZ12Bhb3juDNaPUi2Gxi2QjmGy5rGAuA42S
pUVXNyU9BPItmDFvaLaCOBSscmy8/P423u9icheOo/OiAQsZOCn+vEXgkGVjTzMl9N3A5gIQyyXt
ycZ9ZSdHwHcJjvP3l/zFpFqu6dLrdRTOnQopxZ+vWVWGE08DTSjBUwpyXODigCK2An6njr8WcLBg
RQGZByMmovV5nZQEp6hh9cADwUFjcHKqpacIhhwG7doanu0OALrAIXhR3oLeFvje9CPC6VA+wQMX
ILH5CSCNPxns/soF4Gl8RtGiMkrEZsk4/7DJeoXqygkq0SaAMya4bRx3IELhBfMFEZyDjG4I38kE
7y9I+dQAYNnB5a3BxzovjW6sG8AvGGisBAovcNOZ0rIgs31aiCktfkFstzy0UQIeZGjUjDsOYH8K
wotJiANuVK4rDyr/FzSofOWiBWDI9bVAkdHs2Ank04FDCubQsJqVal5GZCPmIT9+eoSj48XU1Mfb
DGMqQYIH4G+97EvY10DhmR6hBrQXHLvck7xNdGLPBP6bAL4RQLqK+50MofxcbsgVyjLjByFAMN1H
2gADIbhiQQurHG4C+HacAJ7lXgVR33CP2nDdgpQXdHxEUCfLIgbDm2X+ymL8ppmlwEjjaHcr6Eum
QdEDvge7a3QvOpj7I4iW+xNAMzChU4HEylqWT8t7lhchWMih6Ta2Q8hfkyJ+A68KcDxGdc1vwD33
xBVASQUyO7mghPlqZ3Y3EVU7cK6ZQsU+pfsCLmquYW9+Q+cfYceALQXiLX9GWncT+dcWIR+i5oEF
oJ7qscDPzc6+bNF6lQcE3bIT8LrcoswMmcZ9YB5CWA5gXrhBEPwyL+S9E7wd0cyyN8EZ2HTVuJ8Y
PrDm8tKmRB2SSh1MCt2UZTY9fqWCuNUhA8hzHl+a0jdLdWnQjP794v7FHVsWt+/rlu64psvW+s4g
r+fkz0oHdyaZekJPkK1NFrOQBYSZ0fBaNeo2M6+dF0P/diUgaBkYk3aaAI+VepHNDjsm6m9/8u82
JDD7MXD7dodA300XT2y2v58X7IyyMd13th8dtLgX9t9oKAyAwTEwG5CNGZ9CWB5MFcap8ps/vaS/
2HUVG5kDiUjxrtx3e0Y1F5Vt0/Q53oLsELK3tZSD89smeBHUf29dy/DO8Yusxu/HQrlcV2iHwh+R
QST4I5c4lEhC+um9TCMXzfMEnR8EFthSBTX8+9FVnL3v351yXJ1okpgXaOn7d4dgYIMCIjcOeQbp
KIdbEYqSbEsm1KAoaJA6pDXd7RxqBgL8l53DYCZSzJDNTjYHm7W6sIyFrnCcuDCi5Q0gKSMsE/x4
DrJmBVVuAheXdVzZhKuWs5Z1bEBrtazPFNrPUsO+hL9+wApjK1tnCEII+4mpSS/C8VpA479/Ab9E
/Uyen17Au7MrcpfBNnxObeEwya4l07thO5CjRUYyNXuqQjApIAIhy4ilHkQSmVEwKWTg2IEF0Z0W
+cUfbu0v5rViRjNxhP6mlGQDPxxECxmy44Xpt6NctnOhYOCit66YyDJQQpYRzoHcBjJdp4Ik//09
/MKL4+24uvI9n4KI7R2X3g+3EEYjJOYpTjYyF+SystgL9nyMs0+FhNHCFFLW8gdHWNuRMOXdmpYI
jq4r3UO4gzJvf7hwjBZMVnngXLUsO/XZZCNFyR7GOvkKaddsgbuas1OhUmWuflaX/U6CnZJN24G+
I5NSNh+b40iIIW6anDJnrSo7HXPjOp+35oKhHUMtIYvQXISN44K+52zLlxfhRAjnSpgVcgT76bz3
OfnkNTQNpxCTIoDjKkeKTMoJwSehz9nqJZym89yHNwCpCYpUysZ95CFxwslmbpo+1VP07sSQCiaQ
sLjaJL/QCBTnmlAtRCxaBArZyphWdWpeg545EyKB0CXkfQtVQW7OC5JTeQTZWl0fnk/4RRhYcTLv
hagja3Y2rYNEv6gc7YRfoDp+lRA0EdYT+/cwIN9qU/sPv7hVt8aws2HpunOHnCGsEA4uWfUStwiv
ICug8rGJVdptX2e7obUPNR8XJo1IPnxnssiOn9c9mC39WkIdDRDzsEn2vQp3nvoc1gCGdFybma09
2iYVQM8XiYsdngHx8YNitc1Md40gQahXfQruMKN0zg4o0RXv/3hSshsWprG2hXtVwW/jOSUMkZWS
CTuCP+MvT9ny212bAD1dbMjgghyPLhfR6GSrg8wK6WEsUDWJC1o4arLB8UK+j5aEORIZKRdtEeZV
xbGedcwz5hat2bWP/8y3mSE3C8GfkjcsMK4ugZHwziTWA/R2KMHJzwWwJ0rLYfhRLiAEMTWzu2hQ
y3gwGc8FklDKIaGX817CrSqIwUxcqqc6MbYyahJ2JoDfPLQ6ESFEq1FAdQCkOPscvkx2aXlbkzXe
xfCxZHbi330qPFR5I3J/EpxM1NOE3pUQ74HpyoDYuz1hFPGFTAFZFkKpk38j8LaXRxmw77EwVxAm
YKzrK5WCDYT2NWvzWW/PlCMYwxC4mPAXif8QzMOtkcvCbbWBKy5flto+ZHCyhG/lQVmMIMPKVVSW
b+sWGAsUnpg+zhLbKAQtEjqeDzSxrB6eabKcVS6zjn/LQ2qgb+ThZNrLISuRp6wEGWM4nbcddysT
WAIBc0gh92AhxcRUw174fnECPwqw9sIuIvGuPDikesxWXuR5WMwSAR/5lbwWWbFCDWRqyCK2HUTM
p7VwPYUFWAQDgpAN/swEmsKaImiL3X4/A4QuAdNwYDALjqw4dux0wtvYgt00DncSDyAeeyrkO3v8
gjkZPRxSHHYAiSZ7nsHA1kC+1E3G/TwlF5JJyp8HKzlFLkcUfidKgRUx5TRHF/K4uePuwcO67nzm
s08IjbW0ezbL5FQF7NvBCww1yQnle/E5OcNa42JR/babnhLmsFzSU+aBisyuUc2uI53z3HwzbuQn
Qq6LYTPLHihbknythNkq2voY/go5TSJTiaPl/iW4qSHDenCZjtF46jx2VDTRrl7bTngqn5FXJIFv
jbMayBQHnljKhLMCD5xUuxP6k0N8JM8o+YDsAJILyKXCxQcpSoKtXibCPokb5MeySOXKcjxKmC3J
h8TqwgT0QhuA0OWcwJGFlyUpgVioWKQwfAuisZD7yMT4Fnk/kkUQjHNWUQlHRMI7yPfKgSDzWpLR
Y2wJ7TFCgMipod7xQoS8OMBvrY3kIvERmmg+0Xndy1Y+M+MMu97GkQ4bBRiagttKImakz8SLkcPU
ToeNhFOSPHDoUScIxg5I+WGk7MZ/kNcri5XzSvYQyQsUS1vyHNRhdWwM+m46k/GRbTngLcnLHUzM
OYL5OnK627Q5yR1cjnnvwuPuGwvxcnQLI9YmGeeRYDhfmdC42zBemeW5hyc5SFUpJlhLcirhWpcp
QrWP5ZQQdMenwvCVSXPMgBg0GX8ZvNbdfz87spSkiA1BBkeolxITSnKLwyU60HAU2d/kVchn5CXL
rWTLsF9f6Iy6ZNFy1qO5sxFCoo5EFP8JS4ytWH+48bg56WE7ygYiuYrsdHIFSZfA1K69Jj2V9190
X+p5XidQ9YSuJ1P5GDj9p8T4r5QYSSJ+U2Lsn7++QsGoXn+qMvI7/6gycjhRZHRtxAkcW3Qkfqwy
unQhXBMhCcqMhMQFOmvR//yX4XwAL2B6vu07tu06YkL+nR9nf/Cohrm+pfiEjcbXv1NlVJIS/RSa
Yi3k2K6rbKhxNr5mP4emKTK2DnqvLVRw/27o6ougAsVbxPPlhMAs0zDmQMbqV9M3dtq8aD0Ke7jz
CqLTuoJ6qx1s6E+rYHqaEyWoLThtRpRtuyav1tZMAGCX1hHqkjT5ic+ZntJ39TtQRLiz0hoKaSyk
vrfVUFw+rer7aPGqlWXaV0MFJNHO24spL0EbxUiK1dmVQkrCcd2vsI8qAudorfIWPHlln/SRffnD
UF5/ewt/K/r8uoyLrv2f/1L6LxmDQY8IyqDnmB5CU+8z4cXCfRgWY7fRenpfWknncQpOMQA6c8MB
5eUexOcUqRtSnpe0tbaZBSaozL14XZg6reIqfkhb0K1jAHxtgek92TdlA9EvNuHWPGPhZcE/tK+i
qBkRTsr3s/Igx44xcV9C78CrHrwCkIRf4MJt5Cf22D2agXOS4yAK8gBpA0Q3svGxyDA7sU10+1Bo
WlvusrZi56MxWDdRxYjEFvSEjtaJ1XuXidIeJ2D80WDegB/ESQONNvbOeJXM5TkGLrBxv4TjfIEa
4dUQXdkW3hNJ4219PUaCF/6vgnyx8gPk4TS0gwDk2UgSaUjYEZSGWrnx/QjaFs3SpSK8GzlDpgUv
Kyt+m5S6TC37JrAR4dXV53LJ3oIqrRADLT+3eJSDSjuPfPe6a/w7rQKA7I+f3a48T6P20W9r+ADI
d7WeurEne2/1Nf3v6DZaCvS40UGL64/tMN70dgsdKsAtZGJ8EGecMarxH2Kfm21DOpx1xEntglZY
5tHfoDrMgSMujw+5XvM+MHBClKGyVhaUygakaCV/boe9ESpcatrSBJCgPcVRd8hmTnR9CN/wXvqK
w0FftsJZcMAeOBZaDSh25l2CjqORf5KJogXFeWcoqnY4fsz4rpQ6YZwxmnQLoTvi3Zct4Aq80OQb
lI7bVG1tDTe6L1tKm72zpOu+uExmbgjrOUBTOp3b2Ii/HK/ZZ8FXwvbzJJvx8hjVG5pq6LuVa8OG
ZhGgQbeC1PYRZeSXIMJNyHOS8ylVmCdPRL6Lina2WT32HPlIiMY7p7NvunE3TK5+cAtmyYTYI/Xr
ft6Vi3HvYANe5P1wMmdlsdIWeF0Ii4f4eA4xXJtpODigDyr3ycDN62AXQC4x3tJO3IYJNYAQzjvd
ONPt5hqjZoixdaXDmGJnmXIN03DvYJpE0qlXGJvGojtvzthqwK5cWZ6/HNwBYcYoS8kLMMBFYjxF
CxyEOGS2ohblpaLaOWadrh1wtDjO6Buk5i5bJ413XbccND+5orFgbSzHPNMbhBJBw5NpDVeDp9+U
Dm5BmvcZ66JtWkMDjKI3J61vNU5cLdceI6geq8I1P7m8ohbXA49OahSnIBBtQrFsAD22wFp1euwm
CrCEPIRaNYSvdiggAsStCryaL1CWu7HtyyoHtIhdKLWZ7CrDAeiUaugF5LaHuGzoJQ4TGyVOgkbf
QPnyNXqdUfgWhNYzNuxXDoqMm2xw8T0ACIxn5rpXX7IO4evAS9MVInav+ATeW8mbVfvFzhkcAhXD
OzNIW90kfNO8EfSnDWOxUNOV8lAAbzJscWgwp1sfTkjrD9sxSi/tojtDFLCECkM/vwNthRDyusnj
Q9UgujgMt5LwWvoYbhDk7ve8j3U2kORE9afZiN6yee31JusFM0RSxx5ShWrSlWtq07qaSdzb/Bnz
Wr4qd+nFu+Y6/OSBOjizA+PGmRsgjjkImgr4cmUD0I4aeL4LbA9sJc/wIgaxG8dvLADZbNrTyonr
TdLnJ7VIpmCXgdBOCwnJnob1ZVSL0HyEAVpL2pVl9td66PxdH4Lx8xpEgz1mjOGilRB1wSaoaixl
jBCJBvZ2b3G+BktMsLaMO7Du8EDbAPQIeZ0zfwU2cOLn7ucJf7RVpMUvETezcg52P+skqGzHBqxj
UMrMVuEIzQU7FUgvTHvRwFyR1aObHXJoWAsU6qxh6zbij4sVvDa2umkakI5T/Rj55zQp1TqaM3IW
OEfQY260zJhAzffsT0ZL+2VZTRka0FqHhDOzcwvqgKQhw8cX4AVYdCcWEzvxEhq6O8oIHpPFZFcE
3xh34RVamKgf69Ef6mHql1IgpyrhkElXz+N0fa9P1VXTgCgGMX5afjUdbBsHUgs/25nVfDXn1p1h
9QdskqkquAfUfK+6vNgverLT2LY4dOp6QGKi+Ag4r6rjTRtEWwoumyThTSTjGlYsqsybenI+a406
iU1jhS7xKrLVCSxPvTDuysC6au1XPSkuYqXfhRxMto79OC6XV7muf1WBdml55pffRxO/FmflsaX9
QHcRUMZ7vIMx9TWWCzw2scwqQVgcj0QpwYx6QFYHPx1DpYTSlgkcuq6g0gLB8ZBs9HyWh+cjVxcB
7aaZVRR/qBsf45h3USBOccoRUIwiRn1XN3bwvA6zDuXjagLQh1Sh1487e3zs6+u0+eqhlti1xaaz
qZfb1jZFrH6EW+Bb8c5ND13dvNTpdGXl5mWOIFbhZJ/B8UB+VNhSTGf8z4QrPpCoUx8/1ADxugOM
ra2yWHmRfiVloqYuT008B2c1Uu9ECTC898wW0tJ8nujZdRNXJ1FinQ7glgL4wERHOyMqTsOkOoCe
qvWZIluyA9WyURVu0KN+WxvR2vYuU44Ybdp1Zy1rw+3nPelt4Nw0cQ7FIbuNXG8PxHPvoWw5EsEV
3rQCjbZRaJP2MCx+PwfcX5r6vGGHtjrUQtegBv0O85INgd+Gedlu6sRBQZXSadPOI8rekOoBgmLW
i1x37iDQgLjyZ3zXUKSfhGmUciQb0WOH7vImyZ+UDv+o5iApKHX23SbIl3Jr1MtOhS1cHfUA7pCW
USTC2DZO2wVH8oIMOxzRG8sJcyhVGXuNlVyVbXpRB4SPxcDWBob8pTRMnJzielUB01xPvnPSpsGd
XoN/KuFuYmNSrnoLcjxQ3WervVe5gcStPqxjG/44VJ8xeHTL6nXUB2TFrfmxxpsI/h7hQWBf4Gep
AeaJKXg0JcJlVX+uc+EsC1CRhsOZ5Yi+KhM3xB6jYZJnDCmZNnSmqz/sQ782A2VB+so3Sb0cBPhk
sH4oyyeqg9RjhET3OHdQnYI+aZ1MzbIHr0lJEft4GJt43RWYv+I/HUX5vrPVBkfIQzY1l3mvNkPu
HKyAXAZkY2t0f2hYGL/mH5ZJE45mJSmgSV7z8x2a2TyAgDDaDWoqN3nOoVBZxVsK8ldxjpgmPA06
VA+1Pq2WlG5PZ36KZg9aAioNq3SZvmao7c04HKJ8z1FhnmMB93yc0v+pDfwLtQHDJGX/58WB0+f8
OflZOOf4G38vDbjOBw4CIHDo3Ni+5ZJ6/70y4KKpg2qEbzsISZJ36mTt3ysD3gfbBBDEz3Bv+oZa
+l4ZcD+4Oi02HzcJn+qdbv07lQHjfWWA79ABMzmmrVO2cF05xX9YHW6DO0zTgsZOh/xKxB8D71Il
5eeamsFKRY21OpmL7nZw+9tAwe9xdHjRda5uqeVemiLAMFdwCn54gX+Rkgu86qd6BXfF3glkix4v
z6nebaAaPHpn8tAFH6fho8I0nSJfbiJbSd9srqZbC9cGp0/eEie+8LObqcW4BxwfbMB7sfsJiCdW
nY6pix2+mWH6rILOgt0UdOspNanTet0Kg4dVF/1hKeOb8Bd3DpCJoMygQ+0473abdObBysJKdmBv
UeT36id8oE6mrK0OuQfdtC/HU1ClX1IdzniTA8LM7OoyIbJuhktA/+eWP11EdOXTCn+O1joz3eoq
7f3H0bCuI/QPMOnZVJ17PsfpmTtaOxMlT82ozvsKZlaOj1s+Y37sJvEMI624Vyq4jxAWRHsYi8Mc
yne7hHeLq4B8jLtuDBENQPRpO1r9rV9ymJB52wkvSseEleOppaqjbrLgNOizC40iN9q69DQqmhDR
R7N/1stqN8cQ4R0HfQYyGyzp0AMIC3016S9D6G50jNpWoRc+6ug+AD7tIY8CsUVBN+uL+7RTJ0an
di7WNujt47NmKneFHgmeJGpt1cNai7x1VDP1YGOEpCu4ZTWqnTfhMn+yM6AI5MPG7vgJNWVvdX0/
l+Q1wNh7wNHtReEVd0HbZVscGTC80DrEBJnbZZ8/Tao+AUiPWo2eXPbpfJVQ21ZV/GjrI4QF4542
4X3p0rXxF0xWLHUa6v0tBKIUb4yD7lR3Ce64kfO1wv1PkNG94Fws57oD7bzSF+J+VaN/3y8g9mfS
wdwNv7Zm8dyreuclV0bjHFrMC+gbI73QoAoPHxJRcnhnRwvUWXBGeTJUQJWXT1HeUKIZu+c24aR1
cFhcx/6DsUTnrt09RamHDpu1Ru0IYZiYByjC+CQojadqLJ5HS2G7aY3VWlGkrzR0lZuEO8MYC90k
quLDqH8qJrxNi1g7GEKFs90vro9o1PG7eNlYzoljvGRZoTtWu1GfPyu4mSlAeBabTx+6y1/9cLwy
Hf/apVZeDYW3pSY3XLj+vZUhvJBCeyPXI0UL41f+ANs1e4VXA/ymYUxGU7wPU2Q7vDTnoUVYKjCm
cx0yX+MQMRge88ArKxrNcfbW4PI+ReFtjhfL1sdfYjPIk050Mksn3MYOlhu0zClUnbkz8SPlrpOj
QD08baZpBPp4oOKya4LpDt2FVegH1b7O+LI+sA5BjPnzUR0EUYASjEh4G8Gph99D6lrG0UplzEJv
IUGcx2U94Bqz7QuI6uhpTJq6V013Xxn9fskiVzQr0JVq9M+LXZvrsmIqVrPKNhGO0pAnryuIi/sp
pF0L+ETfDZ1wvItuN5RQKyZk2NeAD+2+uuqG9lDOC0J+TGQvpDNLwjzkn8cyaXZBl6MPk7RXSJmh
+tjQa8lqD50FikNHLanJaW78wqXcWATk38l6SZCyhTCLlYbjXyKRAouu4Neccb4frfQBhXR8rSl7
gOVh339xFwRJhlA+oaXP6TLf5wOZ7KwKGs2FIOMy8zry4ovOTq5YtLein4l0ekby7F40ejeLJgJD
a10AP+tXllU8SznBD6NnPj5tWThnDbb3TaHlW08z7pcRmgBkNmop032SXoWNZm1wW+7WueVcJLVB
hYA+KaXjWAhMAPSaVO0CG2cBzb5qivw5jPyvIVW7OcdVuI57SPtIhq2YIFCIk1RQ6QKGh6ceb9A6
8F2yz9zms6ntUS71ISJxQ1kzU3v0M3gAgqpvo/RtQegmghsNWsBC1sIP7mNFJgcABXFUDpzGTSz4
paTxM8UWjiK3Xu6LFOMlW3ZbRDvZMxg/aERODAM9Nsb7qDhYLUObwhyHm0jYTJ15RZPrsaxNToWQ
B6/t9m5YjGstdHMgA/ar0VTPGYD/VUfxjCqufhH18XWlGE2DrxcGHGRuBnCKgZIpZjPDmW8D4wxM
ZI74qrmrAxAMx31Vm6ovVgLhK3pDYKLDxZPHnXR1GAaucFQfaJL4Ls1md+VaAB3M7mpI4IaEw7il
zIE3+XIECyJaUULPPL72Ksgu6E1gR26Nt0Y+3Fojmsh09MQ0skwvl5Y1rdKSCqxJ4ZUW5cWS1dfL
3N3KOV9O7a3JyWRqwTacwhdYMfde5lAL0+/JT78UsVqXI/eZwGbZ4evm0+HdDgHRctU9LGGHDE1a
bDVjuQ9yarcKS7nOns/7hCnbYSGxitAjCaEGcFKNw77sh8vyNaz8i8nnjZppUJwm7ZmOru1mypdP
UH/IbHLrHKfvfQCTlTSHhVSxMIus/mJD/AHc9GyAZoCxmD8T63XrEjsSow6flW7uEss5aXIo6BEj
2OAplLUE+fhtbDpzvtMtHmGK4RClTYhYE+31JOW1VCHmjRBOVyZBFqy6elrjubMPUkj0rgvQiBsJ
HI/kvlRISeNjkywM/9yn7NnBtD1Oj8UaSjhWxT4UXYejjWh8YhZ4yGCyFVptiVIzQohtcbo4Y7Up
3BLHhAjhGBc+dxYSV4TwwrJWv+gS1p1bIvnlZfFbnJq7JkTxTHbLOA7VqucLu4pJeJwQVsk5Wmnd
eZc0Wx3e8QpGS8emRjncZE2Dz6x22pBoMDQw1UiU7e3GqqcKy3VFb3eYq1sudtBqhiTTWSRHplNi
DyYNU+32eGEdTBwyCc9GWebHOexmGemrdZnHwdPYYVtZY7iaYaYLexWsCj56g4m4CJp+6JR5UN80
Kp21glKP19NV1xo+p+xbgLLdtzGYkvpTNs8nkALxZE/zYF1kr21VxRSzX10+v+4i5rLrB+djpyPv
Cw+r9vJrV7f2DqzLOGKSyx/KBfWiskG7EA2ec5zBGIxuMveIH/Q9IdxgAHlOqv4+RzptNTto3qAa
sqlb62vuYgzVJhVWhJN0djQ0445WTlWUbBScYJXM7uk8hZfTlLSHwaAIaTWfA8+hpt/EM1j0sTwZ
0eTZWqF95pvYAmocQEYMiSXBeo+CWbmJRgMvqwxTqAWZKhosBmJMiBeZ/aVmqHLjhET/DftgQnCT
VVjbU4xiZLOP4YJO1fH5Zn+5ifw62oTtmAIFKIFvgThSJYb2tIhu9cF+QwjmqdC67tAMC/uLukUD
wcSkVTufE9oxpnXrJwVw6M4N1+h8ojVEHWunpy745n0sYLjjnHfHwdh9c4VlFEPX3cvZYzYoNlS4
xcDcbaod+TNkvbalINvqq+q5HhrgO4vgbYAI4Kw3b3KfGWRlD3GF+mMJtAdQOISpPKtLOijuV4XD
cfvKpsH+PHFKmCJXQTrBaAGMKzcEs2XqodYwoc/QeOihkIAEIavyuBjHOX8GPnGWFt0b+KBx5ZvB
SakatkcaRZ3pIwUxvlm0R7H79reYMT27ikaQlnp3rtGvvXRk0TGpVcehBa73S1eOSJSKFJ5OTbgD
3DFl5RYMCPvo5D2UUbBuWfJD6txOss2CZsGDhc13ndawVIfsrGhVjDA6uzZUEXxUl0eW7nU0RlQg
xAKGxiOtJ2aq0XEnbKvrGiNMNDd5fEw0HohcP01VW9MeYgel4Hae5uGZBWzWX7ybyc5OZovFH9sp
sxMddEEJVns7rp+aIqHQwVIOGpp4upOv85intlqiVBeqdTYX2U5fKNjE1Uc8t5CY9EL4lVp6YVvg
+WvEw7SYrX02/WnrhwMN7PHBlBM0640KRe176ugzyofXbewj2NBMG3QfvzEflzAgf+pNRCuKmb4o
BsRJwcT2SkzLHK9fVwuWzUGXosBYAaCl6lnVPDJ1VDSHzGXr0GANuujhyKPUtZHSo5uiMccZ6CdQ
gj09LUG+PXiBCZq+MiG1ya22NHn8ZHhyIUWumopNm96JtfIy2mN27J31IBHWYZI/5MnVMRD2Ei9Y
ewMaEuTj+UiyYNlsvR3OJbDKYz98a1sbyTy/uvZTzKxGOrHg/MK7KNTuHGyjJiyrQQaDITN9ZqvS
LnQcczells4bOsQXYZ48hvTpdn6m3TphsUn1+DkcyGgsVe7Qtz2D76GtHXYK6W99HNA9tTMSs3aM
nxUHXGB3p5yF+aqt2P3hNL3OSk/3IcRaTSML8HWEykYARQHusSvNJbhpQTJypgmFgTdHINA+Immg
QQUknuIfy9RxrJZ3quYYOf6XoTeMnea4y8adHqeBkypHWHc9gdHLg4cqYIdUfUlmaCGpa85JBLsX
WoMO7aExXwcK4iCjANIf6aATjdsuR8AlIx7WdZJdxzcm8GJpfCjdNFnjfesdYoKFvKz8q46Gm57S
QKZ/Ss5eEmqlICVRmtygl7VLMyfZGL3SAR1x3XYaZ5BFCP24enHqZw3yeOkOqzHszpzM2DUddqW2
451HmdpwQl5PI4ILrm/aePwsd6Ef7trYrfe24kwM8+HOjkfmTNbhb9QiyDKnpcucNDCrApTnQTsE
mIkpo0ej36umR99oa2QihmybmLNFys+50mIogWbbGWKEOM7a5vr3NRvjr2o2IGAs5fhgn6FW/VxJ
ylBBq3wzTXZ5b610o3qYg5GWrs3zJ8wd/FUfWgDb2yjspt3cIKq3pM94/WKYZSIeI4C4cmBC/H8p
XO5fy8vn/LX9b6mIfimrme501P3vf//0t83H/3f3t7ey+dvFx93d+0/+9Ivt/x5/HL6Wm+fu+ae/
kPDiXHPTvzbz7WvbZ98u8vdP/qs//NcUwA0biPo/L1xePDedOOD8iGk6/sp3UJP+AZcbA/4u/Djf
PI7oP0BNJjpUcM5gsDiu7TLY30uX6oPnUVP0TWWauOdYzJPvpUv1wUKHGaYlbTEb9PC/V7r8BW9v
OAK5ElanaXHBd2Vz3+4yjdpPsTHjafVEExHbDDOjajY9lTOgTqC+5TD/oTQpt/9TaRI/L53CJAhq
qJNCxPh5mqdVkhua5hUbx3/o50+ueWuQ+6oUZGj6FBGIg/TDuNYqPlVseYgal9rXi/9j7zyS5Ma2
NL2V3ADSgAs9qYG7wwFXoYMhJjBKaK2xmxrWInpU1vvq78ar7EdGssiqHvWgzDKNSSbDAYe495zz
q7SoSWTxEGqHbDIixonO+NoVj4TMucm9i81OCMC1aexg6R4Gh3y25rGB0IKrrBO/WFrym5f1TYfx
IxTIt9A0jaEzvyJB+vFbtLq6sBzj01niyVzWz4sLTu6wuqrnDAJkqKn7oYtuHGhb9eR45vqhI/Vx
xooZdLDHFavBarJ2X+ywDyyCHZUSrT80CGHUHnkMcVbuiYxorE8i/UhaLlFC86GxQb50AC2S4BUI
ZiBDeDx9XPBJjMO77BOGZZiLPZHNSTSQ4enD5H33eP9krPx3nIUv61i2HJrrJjP5H790Qgp0VDQW
Lh0050lSYvOAFUbEoNT+NlGaFqG9VSJz/+ujivcjYZ4YrrDq6LrDmB+W2Y+Hjc05CZNBL5HiQZRi
DmEyGnMDI6wOLuxrvBn2ynAsChuMNd2XDZHOjQZTjhw5V2Ebl9jwl2l4KIckMM4kr28LTEOsK2Hj
KtJ9NGFduUxTf33WP3vOOWvebjT7YBDvrQXaaVxWvleJi9M+6iKv16pdmB9mhxmP9a1j3+k7ZJPx
bTcfi5J8udDYKsmTXj0baCBa9eOIfE2zUAzcJBBuh4We/LEnPFf3YnyicNDYVkxFFYXmwSp2Xftg
6w8Jm4BStye9DX/zxP8EZONsgb1tyYK0tfeawLGP59nOtRICj8DZpSUopsdRydhNGM+XlblxY/xp
MoBuYR1giZ3B/Trly1w+abTZPb2tqQZrPW+refoNaqD9ZCX74dzePZhTZU2D2q08mOJhjXFfbRVv
pRqDY4gLE1VEe+kzZ6dCOPr1Xdb+jlT/cFVseWbfwT8dpxWHEXdZ5x5oho4xWsIwF98tbFIyRLl4
vRYTg0Z9S9jYb3ByTfDp71ah77/3G47+3dFxNW/zvuPoWZ14bofKqLgR5b3a6piffszGkRQUCFVJ
6DE+9Qot/s0JiPfo19urqaPxdylcIJS9WwYZZseFWnPh9Z7pc0dEAAOeKJR8eJjtuKxUBYQMwCIs
l+uw2OkK8llGib39il0u7n2YpF1rvB1yvGsjMNCTZyptPFwxxIVsiEuSmKLf3bSfbEGajNxwQA5t
Id6EaN9dtnHAll3BYXqX5iAmqbtHme5fFLXZlfA6U3hvRSE8sqeBnAa87F/JISBQGgM11pPfPEDy
Cr2/hbpuCxMdJn7P75nFw+gym136cpfAncLxZTdMj9AH7FbdAERsZzTv6bOCGJS4xl14Hc7x717s
ny2vrkFKn2PrkHffexjobl9O0QJbJuONDTPLH6tpl4TtVTzGh3o94x10w5Ti3jWrSxkWZyU+rq2C
vwsZFmEsZWf72ok//+a6/OzRBjgTbLCYbCLH/PHFapQyqycdc7vCRGsfTwcY4QdRt/jjmBerbfa1
Vp0E4aBQzHC/bG6N1PoN8+GnL/d35/DGjPjuOWEe22HLzJURghxiI94IrgqxC09dVAbjMlzDESEi
rzkN2YNSjr9b1f5hXvHu4aBCIjKGfUQ4FIM/XoQQVW7kjrST9ezC78CeFsPbAhRu5DZAr7ZibT+2
xbYyer+A4ib5L8ka7aNZPzdL70MEvLh2/pJM2j5s75PZOBgtTosC7+aVCdMtk8jdEOFpS/FkuV+x
kPEsu/fxetnreGzJ/2WmrQ8Dbtcv+DWu2rlMCRTAnddZjJ3Lsi9Zq856N0851PfoUGtQnJsiGGDP
2JR5zMSLnYryfhizQHPyYLQTxB4mFZpzKNF3tY5+NNb4BhOpQ2Ub4ERiL4/FZGnXYtTaRDJTMDzP
QxHUYxhkuroH/NzpRui1IiT3C3O4Tt1LEVevFkFXxBvLuSc+2JPJW3aI0kpCcrR+RQ7hTTNQFfb+
2PkwtTejQc/uNneJRR85Kl5vi5OJitlyst2ifB0N4sg146hpRZAyGDC0g+ZEcJJ7JJT6Tl6rOD5r
/ZOafSEhNSim9Bbe0Nbg45XVOkRgUSpzi8wpUFMCxk3UhuJ17vVtviQbbeW+iFfUVRCYsH8lWTba
aFO6FVx8vH09AKptFz0tMznur3KKWGTaPl2KwBaPA0RexBS7MH1tNMwejBV1nuIVec9EnhgDRERT
T6bAIoj5IwElZtvOEBHO2NWrxSlaYTbHE75l48EyU4y0jZ2UECxL8RJOF1elkChIy7IZxTwt00GL
mqusMnb9VG5d1uiQuZZVN4wVxR6ekifAaKaw2LbyXFjb4UeDIML9cbgBMi9aWryZYkMfnozFdiTW
AlXPpiy+ZLDTkoP9AVYdUFR1Ya4JHNc9oMmgtY32wFqnS12Z51AFCtY6zD/xCVHxX6YSWYmwqxau
nfU8oyUYVsvHpGirfzaJI7Phrj5rQ8KXvgsTcmoYOYQ62nq1RXpAMYlm0NQikmTGYzFo+4gsm5FS
UDgTerYrrS234cLjrZ3s0Q6qlPEUCQuFTAnjwYYv11QMjG4s68ERjRfV926EXSBM56JkK0xIgMkg
qEvRYb8RBJWXKr7DBwbYb5shLMhNtdyUEFCnuuPCPTQkoMw8Ki01tpxoaXZxIMw3iJqHuiC+bFg3
ghQa27prp2cT5m/jSoczhInAZllLz4AOtsSeO8ZUcHaZUorJ68va06kS+zj1zF7b9xDTUjvdNH25
GfV1Y5fPDSnjq0/exSZeMLDv3G1rCo9IQaYvjIcgTLz5Dz92DokRZLznc7hfK6JGxo+tLjMz5w2Y
rPCM1sEohIoDcnQZmxCkmb2CjyfTtrIpw2GPZsuNmXvyTkY8LGF+rHkLZbKLjilnw/0RHbGJzQSE
VcIcrjw1FTzm56KeufL2zh0ML4v1fThFe23VaZgMOALRplHg331pgSNWfiAXGN87X2qmm/r6hXJ5
4aqGDm53+ivPA8bPj72O19wKF2PEl1tEG11DtdLauyHGmCO6VntGYFzr0O/HzBMplu89tUBd7Ybw
s0ZWaU59GWu6j2lN4GLkOHJiszUdC1AjKLmMiyt/xnrQ7Kp9g820O6bEwGPhO9q7xOL6zccJpkY4
8VX1mQwsbadGKFKWb2pG4s2ABwJR8CMrmtKv2HpngYlnntodSabwo1WgIDcQV1Y7W4W0j7vqgho4
Zv3o+m7bg6rnJG9VUvBCHboAt8f1SNDhtGUcuzUzYN5u9DKShsCJGJVf4so+lC6q5AGVQnI1DpLY
/dBFEJ3bu8T4YIb3NtZcWlxtQtMgWxOy8IwUIdR9jcCrHAY8FqSPK86Zk/7JNbFxcPdJ4QAW2+cq
xY55r7TJzbwqe6lKIT9sCzQtkcLNFBMTz1vjtNUFn2SvnCc+qz7UEJAidwvMB4QiIG2WB4OZXZ0B
CCVe2WFPyAW1anxwSJ2aluEkDDUwm9oz1gTj/QIfSxarJvf7SPHSXA3yXN/WKq7ESG5UvgnCUjPk
GcGTv5kfo/Bpb2UoGfn2XgOjvGuWjbU+LlG8tfTi0E+gAFB4hhSAtMBOXjwAtIyJDBhA32lkXpnU
XoehcYMsk6iyfdXNe1qTrZvd6nXEhhSCAPp9oxOKqj0VHZYz2eATLRZEpRKIKt/BKveTyMF+XBxF
GAbaupNknXQU+1qcG5YiZvO+GHr8c9T7GvPKjofYWud7hdQhgbfIaO30PPTWmD06106xGh4S/WS2
Nv6s6h5X+pNihsE46ce2NS6djPOZcl+uXGtjH7pF3cttmOHTMR/1ncHUMcdzng1N7srAwietROvN
RSd/6oQ271hW2mlkzFKG5m6AS95qWdAkxnGyW1/ROKmC2Y6qH4u19fWk9yHMYrrLbiM4cSoLjYpA
/lmEqkjuGCpnLtfIytF3eGwTk4Jb8Er9Q5dLb/n240N0IFXv3HGoVGh7uRGVqjhZg4oUuNjJDaey
4TSzSuSoih1cJpHVOp6sliiiSDXYIZd1Sr9pngq93U5yl6rX+9FRAsNkexJKIKubaYz2jXLuHf1S
5tq5ee1rJYAOux+YtCp66889KtuGxAYdp5xe3TuL4tWT2FkjW6CjeI57YUCzl9I7mQWfmu513rvX
w2hfD70CgwlAPnlVawoiCq0IG3Uyo1XrIIR2LpRsVw1Z4NRcdCO7XVK66wlDviy+tSb9JH+faDrI
Copiw32AH3BO3IPZ5Jhkm8cYgcYg1FMUKxSO+sVu2Znb+ghLJB0Uz1xCXPrm1wxjck0hfTOKD6Ma
Xs/zl6g2bpvS9khBcYgIbmP9pKfaORx7/23swznJIklzGl8F2wjz5akfCZmfFd7KewVkZ6XwyKoP
BuN5SzGxECxupWWAZZJso3W+Qx6cxXMbr+IUurVXTebV2DkPlVM9RGZ+Xnr4LaHzMNp5QFW5F41B
qikyJHhVsYsofgmDGRPNlNd1QX6tm/aZieqWxu48GuN91GpPDDHijQaGuWnLlrIQR2OmEw31qRqG
D02VBbLwY2KBhmfQLzx4CQFX2yqEo8QGbDHhijTKlo5r3jyJlLUgBevKx6/YgrtaOhxBuX2Ms+OD
XqPRFthexHo++szPLv2UKsFcTPYuN8kOIabbginNjOuExvrOGrVLGXHwvbFWx0QNv+k1NaiiPtEN
HhJwadKLSNYIrzHe/0r/fRos9XOvuWcRzfuUMWLWzlddMr9qVnfXZfN9TmWGA2gF6mM8K1UGrfE6
XVUvWdTPpbK+TnF7ZyBpRHFC9BCsSDkpK6Yzk/z7vizYfqnL2TJkPgMWq+sEPr4YZyaBn/WwxPHG
cj70pIWw251rW9+qAikrByfNYnxtVO0+5FpisEVU3LdUj27g/F0Z/cl21leRqk+5Zl2NSX2nNs1j
lPPi1fq5csTRTj+lEOvWcLnXVXoXWxxpuzGFB4fp8OM1wEz1IruNw/KDqnIn7eFZb9d7q4VjNJXZ
y6K+GPWkQUsyOtJXWKBy41KhspfvJzYTgTbe97yGXFdcqViHWrqPVt1bZnZLpp5HMgGbO50UD1Qv
9GNf2Ec10vZNm7zmFFzuQ8rdgaB8NqvkUPOYuuGCGXPL5h+tT9B6TovDzBd5XKjrp0JRL04CYKSq
F2Aivwpnavl+I79chYyuIDvPxQqwGq3DyBs7yNpPy/YGIxCThwVHYY+BDgIp6JuxN4GAz8UM5oXl
+atojh0aAFsbcbR+Qv1Av7fXmldjngHSIgJ721OY5j4hmcWt1RcvMz4RuEmsSRlosA7LkMpsIawR
d5L4E/iNZ/Tf4KJtp5lAH+LwwgiXuy2XiK0GiDSGmWomt1OdBXIJCZck33Rlx5bN6w9K6MS7cRYM
g7m0xes6Wwe5ACKf9OWRLPLMBL2hXKTi9bN0psmgRWnqbqqjff882Gx2un6EQeXpoX6US3dRjEhK
d3ksTk5hgvnRI6TmYcyYq9FWyA5KbkJykgSpmjaPJo1fcZrEPIUCD21T4Wp7uY+2irisxeAPCNjk
dkhQw7YaOjw/yp3btL5YjQu5mA/Enm/6KfRGLTooWeub2G2LsfaYpO5NxUv0dV+r7vVcuQebGr9T
6LLYnl39VidfvRIYlmBEb1G0OkYaNH3nZ1a5j2usTzrWq7oIHFvdl7YShKpxpXdidxwbcZwGsPWV
0thU9xEzf0cHseRUtCYLlPVqqr7JxlXuoBGJfW3R+3g4nkd6KkcmM5veZPNbfrilO8WejBxJ4jgq
uk7aPNybd/ms7utaeRBJe9fOxFNUhB+FD+5a3iKXWDYV/iGKc2c15nEliQGRuS+tLDfEJR2EjdTM
DcHsozrhIQvPVhk4gNNx/ShPyeSBsls2ZnYQQ8teitRCU8jUl2prFtp21fmVNn7A5YQWGf9zbnWF
yS7uDBVd8mpzlYx91CT7pmNAqIVeQnaivLVyIEFsFnpYcoxaOsj8Hx2mydMkW/qqLmFysta1YQCF
/O3vRDjgY056EE7rT8I+WLZ+UTJoUJO7LY3Wk7VH1DOoZkIgwZmIjQSWDohqh7YIB0fETwsEGV5U
fyngLwODL+JILsF1luvnWrB1W0owAML25SPzlYNW66e2EaTnUeWY+qUxmWXavLquwHbfOkyfeMIo
kbxI4K1r6ZeippRBlNbzrmBbcLIz56Av3CU50+GDLKiEbIcD8R287naq3CxZfpuay6t8irSx4OaZ
B1xQd/KMbFh8M7a/CDfFCnf4W+2kb5nik3HAeGkXd4nsJsNV37m4QmfZdV+vG3kJE9o7+Tal3Cmy
zWjUodiUrR8zOFIkgZGwxJ6hj9xOVGhj8g0sTN6Ghmw6qlYbYF2+2PIFl/rMNmQoxJsXxfpx6Qsm
QOLtM94qWeYeIz1eHl7Va3E2YnUvX8S2IjiPXHV8kw+kir3KP+P1IKjRONpYq+v2TYqysotNujjT
cwtC0FrOjCPJM5TXoYsgwIXiKJ8l2na2D1IL+TaGVX8oTZ4tOZJTMAGTU6vIf5tMSvgZEPk/UDDw
5++R63e//ZeHquCf9wj29z/xL7/Eun/4m/8ZdC7P6P8i6f9/AOJCZXj8nwPi9+PH/t//1x+ndvnf
/9pX3/74+MfV1zHpvsfH3z7hL3xcmgS7hnBsoMTvhT2W+JNJuBCoV5CdMZdm7vkXOm7/aWhoGUDH
MboFhWQu3LF3SDcQ+08UajZo9n+A6v89y4+/YRskciN2A51HKqRpfOyPw9dljBoxg+3sxpDQMUHn
NtGXF68VtmNKRjhW51UAyymjIKt5ZLlt8djnN65xB5ccLiDFFIQtlchs1d3b5sQbA58TQx/7BSqd
v0QQw+qKXexchwqWEPUmjf3RsFB+A2vjNk4CHl000GEyUjo+GNMV1dlOTR6iAmO54lv1Mezw1K4J
YOsZ3GWmV9svmoolrLINiZxRx8KLQpoO1dwtrNECi1W90ZgYPJlXk7jPamujIyF0HDwYIlj7gP+s
1NqVtjyN7BXtnVp8Il5wN3bINCiutBUlh/0Qp3T3ceQJ5B9OFvncHk/AhDL4fqwsO4XSYmminZVZ
dGLE6nS8yzPz4FAnVob9m8uGLBDvQr49cvHW6Q4pw8Y1RlbCG57Av/3Umq/hUmyT9Nxy9OgiGywx
4mj0PFCaQS4b+ld8N3qrucvIlDai8RQxOS0HkmXJ923zjLRJ4gFSGkzzI15qHb1gb/TbCNP5HBeG
wmEXgzQKIc6fYDXFOqz5sb3W1NXvYUli+Lglr+HkdCTukCIMobR8LV3yuxc9ugvn7kwK7WapqpuW
tFutOzXIC9Y5uVv79jqV8qMyLndOF92NAPXyGlTjcEACeW7D8GIXG3dpr7s58iNaRllT2dT8YjCR
mXdMYtx7eUmX2PQW+5zWxvlOnuxa9NtlHk4uHCRguSCy3LvOzl7ladTj6stLX8bCX6aXdDJ8K1b8
Xl92IVemdbljjXuu9RwztVc0o9cE1R01ImZw0EhVKjm+9ZKuVxXZ5QPLMUDZOcP0kWL5jD7vgsSB
Uo3hin5t07cTW/mamgMBRuwxENqMMD4mbn/KVELurBJe1eLbceiJkJA1RkQ16cWmleMvF3u9ythu
xqSxYUizzj6OIlAH2AlKtjblW0JIUWQJ306JB47DwKGiSNttjS6WHMOe3aL9grXCVi0oksMdN+VQ
qcmlXNWA5MCHrEHuhmbDwZd/SV+U7DQly1Y4r31j7os8JkLvERIbUU+vVa71myblwYuMC44g+2E0
7y0yy8yRMXh4cDr31K/unRISc6CupGgH1todDEO/zInNQxRahNRB+OywgLQKFOs6Z+1yOvA8eJ9C
BdZn+yjVJiqNT0XUlGk86bO2k3+UVdHJKplrlCvnpe26DMoh7UX8PKhftb7aTBCVVbLWe2LK5oxr
PHxdRXZooJ8tTQx1etja5oLNGaKuSOxKhHn2mG1b/alFooHUD+UBcYoQZjRCiKbbPmUE821c6Sew
Tkg+m0yDELM3yMBSvBAi6MkJk712eA3Vp7K+5DjPOahqBv2hii+YBhTYIYd95RfkxRfqI2qEWFzr
Sem7xlcMRVyKAT3NLn0b76Z48CemuF2lbVPuw0gmaexleXYYoVCPpLeFfXk05YSHhappYX+ucDPy
WzqjjTW+DpjVdKIPwuWT2uFINrBSqZ8ksizS7JBCPHZHpoFQbIiseY7m9SRzronw2LqD4xNEWmt4
fs6zN1lUMiNm1QsxK/EQMO71WhZs4pAJ4IRNjXBMyws8a0cCSThKXVxGXQ9WEeEo6u67st4SwsRY
u91rThbAlPSKsfcm1CBJ8awOBHzSf1ktboT8GGTkc6SupxFLldz8hEj1d6Cx8R6zlXsTEzgB5A6D
i0n/j3uTiBRewmTmfUqLwJzIUWmVR6OQaGx5k9BHKFPszYJBGDe3JDBRk5Y0JQPgCq9R6uXEoBVb
+kPfmgGy9xOOMzu4oGdhIH6HHY4Nwna2DNyNBgior7VAcubcLXH0IUlknubq5yOb2WrBP429Gpqu
NbB5keg80FBGXUSxlm9mjZSiBsNfWNyrylmkrE6sIJMR+QJoIqZCa9bhuklQv6jR3RLhFKJyFg7K
pHXYjwoYZGxttdI9VtF9pg0nuW/Uk3JuyHAxMQp+O8G23xL2nJqa77DQLQT1qKQepayFw4TkjoWv
wnQpUSMClOrjWDw3VnSRaYaFzubl3Dk1UdW5QoqmcgtP95YNZF+4F/bhs1xsw0L1upHsnTbHg2Dw
uo4Fq2PRtlnsuuRY8uFysesJoZ/H7IOAP086NYSPo6UqtzBe71J1utJW+xGzcb+D52wN/SmMi2Ac
slt21bOkt48z6/m8r3qAjzoPVMH6QHIUJIVjxCiyo4/QxuomJbnHAXiX3dc0IuLgXA0MKNlEEyc+
Fjr+y6G/6AbiRLK2SiYGeXXT19VNx8qnAREyOLqKWM//pzBul/8aU5Qi9beF8b/+cR4+J19/qIbl
j/1VDat/OhS8b14vuoN0B67NP9miUsyNpltzDFWy7/5ZDxt/appqSIW7Kah9ZbLBX/WwjtDdQegu
oIq6Gr7K/y2h+9+YTiw2jhCcA3sbpCfO4Xum0yR6y55SeDzrZBI5TIp2+lyNd4wUoeqU+Kbh6KRR
q67qb+g6f+MYvTuw8eOBQ0BjctTlgd1rI31KcciIlEfGqdvvbslP2I2W+BvnRGA7g+8M35A1lX9+
PFI6m4lmya84SJam6dwpokUGFn2oGVX2gupKl4wc5b6uyxvWuzvHGg6zxl6Wl4faLM+11h8UhUIe
bS8IF65tCDKYXO34WPpkazPa7kNSu3fNwuCc1DICkUzcTbRcxWZz3FvkZRfZcI1tEwk8+VnM6bGj
8Y3aFRde5UMzxs9lYW70OfHZIMmyLTBhg/HoOyJ6qsuV+Uf60tqUbDXGskxxJrjkUTdekTt1xnnu
MvXFeYRc4EoGRtidKlv5kLnDaRaUesw/pVV76uI3nVGXhYScUmC1A6v25N5ZU3deyDSJqfFStNxD
ld/KwfuS08ggHm10ln28dq/MbiURHoM1lAZy+WeafN+xCOMjtWthR+QlXAxECWiiP3317Gg95o3C
zkoCEbo/ZgBqx7zAce8yxoxyoBFqRmC1o1dX9u0zyt/cAqRWd/iHBhNOe7FkbcG/Q+sDxB8FJI8Y
qadI238F0R4qHALcjqXjPMjNSW5EqTV6Tg2XpvBGKtW8YII8Y5R2wXVub68FZqIs75a4FGUeZCJ6
mdQs8KEPeBhz7+cJcNa+X+BnpdSyTdFcu5jBjVV1lniWMbkP0+qcR4ehbpiRsnvfvOWKRpsSXHAN
rVPaUDVmHzuRfcv0+EUhKy6rD53RfhSwdqFPnCM7u22SmOwy5Vy6+rE0lXMSmceMa2eR4V0NXLh0
2ynpLfHzW3mlKmDwiu1xqtkNQJIbSm02XlJATgvCSBl2PqBUy9TqJjSAEpx5F5MylyeTxzB5j1bi
4MepxcB39tpo8qYo9l1xmpFVlTqxZ1FQ8bTNbIh5bh1VcHOzmK/UatobqR3kSuStTbLtASEIhtqM
QD78Cv+DrNFuuQLKQYh0UBDfdC4T5dreJDlDcfxuiuVK/qQRmlv53OI9fap0duSC+qYCNyzD80pi
qbKMXg7cFUOGGlTZ3gHg8mZofXctH7m0aT9KV6auYKYIyCWi7tD0xpGdPZjn+wEHLA0BFHkyt6a7
0u1we4ppU09swxAR47QESYM8GhqB0z/06/xsA69aS/Iy6uVZV9vrAs8D+Vd74DM59l5KLql7rlbp
vx0/IPCFFsDLp6Cf6yLftMHFteROGcxgysyjYO8dE5MWxb5vDeVsE60WTgvByfEmK66sWruh0HDG
k3zzsF/0JBRGMpbnOrfyUGXKewQIlMH8SaqZ9MOR/pmA7zUPKs7Djokhk19e1L5eM99kiF9Oe6rl
LaxnL02iC+rHz2/3liy3vSyxRE1gS6zu1DwC00SyNUfHnMibJm0PiAxvWyUPFHyzcyaYYzRdVQzU
ZssM5HdaSFNXku66JzEUKhyQuUTrCHHOpk0edgQBd4eMasVOcSVtcWQHY6icx0kke6e5cSCOQPiM
x2vZoeYVyys0r5DrVuHcn0RYWhb3dQT+aqDm1SisU57mZMId0trNYfpSCN7sNrQfu0556itKzHDE
Ex3Ld5bPuq8+dnZ5nQj7Urb6xXDtL7YaHZs6uqsL+zEr+oNRVDeREj6xsUIB4WFKsl00OVdORNN1
iihwzSY960PuN4K5qKXuoubFTFk6GJooWX5i0AjliPH1zK9t9KBm7p3Jkk9QDANOl+z3UKrAY1jy
Iv4Wq2eFYf7ajp9aa84ZogLlFsaxyWKvY1VXy/rF6K5ilpAkJ5IzwVwMFL6o24992JAgjSYP2N2U
IubICpoQc7uwu66j8a0OlLAC7fNZVslxv4DVpKBXub7PtC9GBWA0zGC8yjlmZV4t69wOXB0HAo7G
txkb975POyxEinOe8wTGw0lL1is1oZbOpk+93e0McGwZVM7FuF9xNDMn9dwgllSCaMKku8A/ulWg
v0GXw0nObEI4aCwvtri4vRHYdn5TJ9OVUi6+fCqT6yZObmXdi9NewIzgapjKG7v8autw+2PoBCjR
WnvaSFfwQtT3o8vsfOU61Clhosqt4jr3nRmfVye/E216m7KuDal5MfvlE/HDBTapdfdJUZarbHIe
K7iEm/ar5g73Vsmjyz0Z8tcGBkQTXTmG8Ne4A6G3H0a3vtYW8wKeteUS4dkbYWzhj3l9cMYcxgWx
j2b/CbP7VzXDY1ItMUWoZ3YzMOqsm69yeFVs4idMdYJwXv2FXGiHZSoBZXJv3K76mIBR2gmiNWZI
WejsW+70ogJujM6jaTNLS2LP6ddTG34lKvELFcAX10wO8dz4WllQSWgvpbkrh/awtkzF84/YTsg0
b18Z+0Ojm0jt9UDWJg34RNXad5ONNgO31qWAAPUwI5/EWHQHLkrElrkZIsZnGLoPVXwcqHLcPDmm
BqtbtvpzSKe3jnsp71BiMgPX5DWGBtN2Dd4o9cchBQOupXVj5tQvlDT5Eu2N6yjt8Dlz7sZi9BIi
kLPP8j7ESnQtFh7WjyFN/Bi7/2Oyhcrtv9iB/FqrBsm/77J//7c/bj6WX8u3/6o6APtx+aEfkR/y
Vz9i/Em2km7TXEALJzKVVuWvfgSJmjSmtGGMo0/TTEr2v+bzzp82aaG0HZqGjlGX4UJ/9SPYdWHp
RIOj28wsdDRTbyjLe9Tln7//3nX6b+Rsx3Qs5+2DdEswCnnXFhjW2OM0nYY72DivXV59nSf7kFn4
NoB+JrP2Wa/EBXfuQBnrD0nX3P26W/jbBEYe3lGl5oHjI9z9sVdwQ9PF9y4LdxScj2GB+x/VM7Ex
Xtg6h6kKr399OOd9+yW/rqvTzDlcVUe8F5zFvdWnxHS7RKobd512HFJCglv3WHbtnYBdUBrl1wZW
wmSWAQq7swTqJUvGWVnKRv2kagKxrHtFoM9D4vR3ktsFi/DkytB1S7vkVXzonxZcWR0izdr23LUG
/F1MNRpjZ+f2wSnK3RomAWS4zcg8JtKYcjlElDOFgCwly6EkObrZ9Wyvn8MckbpyGM3otjvjn3ik
LwnS2D7Ivy4ykD5A8RpU24UQzZSWKeCxG2FriOiQ5hDX1eYOgHvqo0Ol5bf9qlzLSVdTh5DkMMgc
/4EaS8S2sVl242dIMJ6rqCf5oR0kboPAEnVxvi3QOX99K35250GthFSimRCO3nWJmmMOXRkb7k6U
V7UxQ/QET+3OoYItBQyr/5eDYSwnHKIdLefdU66MJVZMo4mtKcC167aEqzCrbwmtY3pa/FbP89On
zLKQplo8Y+hCf3yqcT0jPWnSiDNXbX+FGS4JV5NVPdbhUdHdCTOakEQVb40ueWgFqLNPfUKBGK5P
qJJjBIsQZdzl87Tql8WARue63wY4Zb++KO8nAm/vAn78rmWhB3Rd+f+/02XEYVyZpbvgSV45jM17
P28JIjbjK3MtXn59KGGyzP0g0Hk7GIJczPQRrerWOw2GofdGSCSzC8WmuLFmpspEIMn2uViHrYRo
GmvcRy6s1TQ5ZlTIg+rrWXctKT/LMvkpnGm1p0spqxtdDqWhZ1sTfX13brDkNg0SjEaMVEbwK/4d
VTiX1dcMBcYMxUJyEC2NJo6EdbeIUDJO3rDy1xjWS1ipdJKjgymYrVtb2Q+tA4qpggmsJAkxJJQO
tW/xQ9NIL4p9aYRNKnxSfLO8po/AUcytkwKMkTyjZthW0HhM+lFf5n1LcIts/dX5Y2O8hOBXtWVu
MwhFNR+WyTIOaZ1YFp/8UTxSgFroUYhCJhI09qwa5IxanCF00HKFcpvikfQnRAywYvpDhnlorAJ2
RRHBNIw4kidXuZ3rV5OGJu1fQ4a3FVW0TT8Q0hox52RkLZuiFLSPPtYb4dZmuIukiaes684B3KwS
/FD18I6BkR/STFj2cEiFSX0K/MXXiVos13GNmWprWwJyAeTtJzRXxRpAzx9g2nd99BwtzDr41DhV
9oTEgzpinU2TKFseYtPh3ymeJD/o2eitkNwSeyELk85dw68b7tKVZgxNkKQCzNH6P+ydx5LjyJam
X6Vt1oMyEAAhFj0LB6jJoAjFiA0tBAOKhNavMq8zDzafR93qlDeza3rT09aVlZZVkRSAw/348XN+
0a5PWjRL/Sp38zZdKXllLeBRosyEt0HX5pxsehVpsjEKMVclWFHiwNYeINRMAdQBsufuQuaW5SVa
V2O8GNHDgKSQMR5K40+MLpp34C6GK27cqMvJJxDxc1lhsX2O1GG9CBP8Bup61ZDeOUWyHintzSXu
bmTR+yItWW2EU9NSAISB5sQ+v60up3VF/8/PmTQcyAsH3z6jWsgYX6dMQDNcXhJOMTw3s6YvRlMs
YrjjcYfy21T2+WQqm1Wc/JFCaqid9L4+rwfGz/5w/MtcnlmCjN51m9Mv9yd1hmiPTwGMM0rur6D7
rjgMTjpjDMUhmpc8u3gwb4ekRYco2dnFVhuFyzKzblsK/D0PoYTf04cVlCKybe7MvqjQTztObCdA
PtC0arcP+huLXmugBvNRiJvOANKaUzlAtIiqhM+7oBkvC+i2ABCBm8vywj/gI2A1fp63/LB7kKzA
8htZ/PMTx2DUKE2rxI/CU4HjF1C7ZEPYj8eurgHVZ7B/Hb+sH2Kl/L6xpnK+hYaMp+C3sXKwLWak
qiBnMlbfolJ7c4ripW4ve9lrCYGMWzxAyaMa1Hwry0FmRyEhpbKkK5OOogWm69iM3zhm/pJKwGeS
j92ApdiN6okscCj0gxrgUoEdPxnEPdnct1mPJ/Uj5NSD3A6A0/sqHTaIHs0LtVwoHONl/7fl3Jvk
iM6VVxg4+J2ysBsLFeHrSj6PhjnhU4vpFNBk+PjQfa/GMb3MbkWHOMiUidVd1shpsBr8WZlKxRri
SgYTptqhyUBLW+pVjudBXIA2ch2izaltXrvBWJ7s0ZsKGa3jWMOnUDqr3RG98V8P/g8FZftz8NlG
R6BIoJt+VzMPyj64XEIGXw50FjGpOQ9e4Y+dqntk8jyJvJMFmEq57Ea6dafbl40/k711eS4j7nPO
AhMPlADWG6BTYwPLedYBP/j1heJ6//0uZ2KWozEnISEySz4FZb/aUttAiSBaXimsFc1KAhFyRPvV
DPvoE+DrflqFxqYfnHXSDjMWzJou9QRLgaV2rbZRZ9/rleAT9mVWbR362J2Nzg1JmmbUKyTikLUb
u2MIQRIFAhLTSy3r9rMaxn5j+/1M/qyDk+HnSKXTjpZrgsB/iU23LgHAayGypuGSApOHKOPEGL9e
cFZDMmqLfP7yklXzylahpHXgH5X1VYMZooLTKMCYAAQctHmvgEGgxDpRrg36QC2bISU77PAq3OgM
4PQd4qK4Y120dlZQxpJhxMHoKpOqVhlwFqqeEh4xdggMNmUmSkwAkWc1ZSc7AHIHYhfla8+RMINe
SDhDbJAYFVT4JFINaK06LmH/X9bgd6c+zAG9mTgt1couWFqaD2re2NQYlvcJ/8+UlPlDYkBbsQx3
cIaZcfJnstrcSrQFH530LbYTIDeBxw8JkBbF8gYUDpGZHVvRPmQc7BhARhygS9tN/TEmfYD2uvFc
lhguPSJAQOAjuu/yU2XFQyHYGUE0NSpNpODLu8gEE019WXceU794CeJ0h4Weqyz0poYR9wQk1ZOd
SYMycKTiiJMq60jK8F7M36TBMsn6mgj7uZBUi4OPanKo1L/LS1MFpdnrcHE82JK90UxpgMhMY/7r
ZSDBYz9+DXB6qOxAvui4fRssKQ5FrWISnGWdWGHgWxwcZQNaoV/AXnBAup1GEFVO6sYSTyTjhkUJ
a1CSXd9RamUvcZKUtQ7MuTYQxJMio9QRadErvnnvB4mb9R9WjRge3d+KtkRGkd8YKVMreDKihxq5
4T6kCZwobO7xWlaAuxiiBmVivzWWFPLX/Qh8ERdTU1wpw8Yd8aXZ+IRuULVI6cN0lJLkay+WP8vb
wZOJgdzSOzBCoyKYKLEG2DP/zSP6ZKp//4xooFnSrkL/sXvWGL05IBPveFmermUPxe6v9JTwK5XY
FwtA1TWc2GBYyozfHbgCt4msmUxPpLqjhs1B4OgbeSdlRNHOiZ/pkEu9jkkdhdOhucmv9cKq2htZ
CbUICa1D3ZsG1RjyIg5UEy1bpGAdTPoiHYao5aifmbClVb+j2TLc4Mc90VQeZEs+otJgZwP49QT6
FMH4YQzGqmqoFtEebZhvJ5BWtWqbJJkDeTdcjPVPIIRjE++idmqp1SfdKT9JKAJpEY2EixPMZKCT
yPiAM4XM2xprjJJfD+TnKANxrJIX+ONN1+MAbpGzKoZbh9FSIq5kwyHt+RO3mYrmfo8RDxXUkI4j
mpbTTzCZDaVFJ1h37US20tpGmaJgCkUR7hBDL3M40Ededa/hGYRf7KwaAcEGe5BgDAlkArWvwcsV
+iMFNkU6lWFPhXlHw2/qA9+IyxYOIw+X+r4WUFNHK/Ta0ahhBfx6cH/QgZFBgHBOa9yinw0t/tvB
vVgYHORW6nhKlOyyihRFVsgJxBUkM9gQDmINljoA77+iqRPvrX6YRd11jRkP24G2udi3LSYEY42W
aE1t3mcuysG3acPUeEPKGqeZPMvgK+/711f/swimE1FG0I40PMPlMfOrDTYb0oCCaETVIPQnVyQm
Zfutq5zf7OSyHvD9BGQNUpnjbMwx/rt6QZH7A7woAiXSqUv8euYn6tS/vpPRz1JKYAgoUuPQIRWu
vr0VBfpE3CWx410LgC1MQ1Uh0EAwu5w4y8bhMiVFlDw42TxWc4ISwQwcJBkCqiiGsYEv95vR/VlW
/fUlfbc/JFA0xvWJS6pP9aJQabehCS2bHBqtMXtoflMC+qy2fT/M1BxHBs0IqkDmd8M8NnN0hFXf
QRU+OMiWcOzHLhI5kzr2JzIzzkEIoKwxlTikpDYpGCCI1xu/ibn/5DoAhkjZOF1Xv4s3lIzgBjQn
NOg5zzegpTo0H2U2H4IJQN6oupDj0iVMaKfGNGidNhOVsvj1hPjUwfhhNAzNwLUcfAi1qm8nRKoU
TYDRn+1VZbVorpAVTt1NSqXBcWgYMhlwsWKS8Cc7kIFwkRrVC7kqZfYPX2iRlM9l04BVps1P8Mbu
6jcD9bON3fjqCvVvr7Aos8wehVwh2uSREW8Bd8/S8tjjjpjWUhgCc2YOu78elx/keWTAon5DyKJK
TjH9u4AVQOKzTNJaNAdKN0ENVRZODLgJ8sxqxWv5RE5E/VMFTDOnEDD+jZ38z27bGiHrogOmByf0
XdBJY9/v+ojbbvPTu2RuSzS07B3Kgc9M7HMo6clWz69vXNPleH4/Iyyw/tTFVQnK/+7U2Y61xhhy
vvizSANGWCIDSxVDdvKP3qjdIPIPMmzUmCi0Y9rYCD2nPi1rfVIH0KgCT9o4TYZU28mDqnO9PklI
gFkzQ6zrunCYaBIcqOMULDlKVXD4TGltdrd2VdHRSuzL0witGlxrNna/wHB7cSHs2pUM+rUb8lsW
z+QhUeEsWcVoXLOIYk6eEmggs744aBY5mrcOIk4oSkkAhQSPyDUWUTdrwSfIQyoWfo6WTiODI5tM
VjhByfqZQWG0YmOWRznMaRYyFdKZ/FmdLPpirXOKOJH/F6g5VpirAT/YnSrlvhvHz/l1vPysH2qn
g8y1ZdopLQfQuBEyxeSE0YLAimj3pbgEyvInibt78pvZTYHtwxUyfRvenOpnGX/SyFOQbO19DlF8
f4TK3DiC3DZaQt5Y+GaHCxg1N+pksn8IlrLFVUzmDsMIADq1FYlCVJE4gCgsT/4xZ0AVql1Sr/ty
cRpRA4yEnsFD4/hv3gVwf004g2ZrryUcUzOp6yv6vEfeXBJt4RbOGo6zNgTikDJVdZexT9RBRxWI
QhvuABKSTpcaDgEocKuZyExE4tA1Cpdm/H7pUMOEAjUehllJT1pi0CXsoaayRzI+zdFx6fUP1VRQ
dAWNQfgfUoyPja087st2vZ4YADLAV0QtIuew2aHunQplWiQh5AHO5L1CW6kFBQOSBqR1RcufXEe3
AdmwlyXUMseXGrE/6062vFXbnqPLIqERtHJFkxlzHMumsnktz5AnGhvyMfkUIPJK8WhY6MyNeoD/
WWdPfnHbmPVKNn0l8KJL9Q0exdPTQAo2esqvzHrkdlgoondA7PS9F+5wZPqsW4zZeoKGggtXd1E3
FiqCyZAJNNqnv1nSP8tfLAIZNAvMbuDlfBtBRyfd11F2JsZDRkts1OwBskDrdf0OciWkjwDiSkQm
q+rwpcFZwBs3W9pIyNvpkqUdlGeS3tNLOGrOchUF1IgcELky4MtSnDxC/fqaZXT7IQhxEqFIaqHQ
+JnHfJVylXauIITDJYeaZKdymLvLe2YW9UdZGazAgv36C/WfZV+2ih2RjbolQonfhb1ylCLIgicn
ZZsQtAvHEBgg1ICeDWrqJRnrBR0BOctr1ViizTkv2Z9lLTaOlAedandMyf+ix8C54aecbESeOABx
0vFTplDp9njsQoFemTGgHzXndLO/0N2HZCfBXtUpmHbK2S+ufw7kf1Pe/h3mVXK68xh/QXoLk+pf
Ni9owZ6Tr3vp/3jjX910/Q8kLNkLKfriFfWlla7/MUJOkYz9H1w3JvGXVrqct3TRpVIdBx+W3JdW
OgqxiMpKCoClq/AD/kYrnbf8sFLGiFSOx+jBkkiiPvzt4j4Fp9A2ejrCuvUa0rbDUAEH51gcx/a9
DWNeGz3Bm5hi1TEpCxPfAeS22IocjKtqE3X0VEMGfaedbq/EpdPlfPVxFLAR/YlWV2yicuxG6XYE
yT2wIaECFAossLCtMSkQVeNkANAtYs100Bfumd8iwuEo708Y8o4BhrGFqvRT+PSXwhqmjXruu4VD
CQVWFQF2H/vbuvUSHfCdP0CDi6mp3kfwOEqQOBpCDthBuWEFDj7rWPkOQRgIH+LnPTY4OYYFDWaK
gYnWzjmEGhFUEOd6YSlAuiwEICykw4vHFhGD4KwBFnWuDTwUgI6yaN44K+fk3zf9oTwdMNx1+xDJ
pKI2t0U3fg2b0QOiqdDGYVOLt9FQQjCRVJ7IMBDQA9DUnDhZY9GzcuSpodUS2RV7ohvJqb0ZEJxi
ozz52p4ca2VAKcqyc369N+vdGE5g7FPM62sPiw03zGP8JkYiqmgljB5opcCWNqPcS83XCh6dMUbk
BAKjYd45ERUFCup9guzKY2keWg0jan5oqWdT+hPw0gHRSuiH2AS12JHQJQBT2+OtHEZnBO+BvKIW
dZoXo2GaV2fQ0p5T9RM9Qk8hmEc6NasOHMGygJQbwt7LLsiYt68Fwlw9yuRGTGfYfEwuj5m9U6jr
VopCjoy1jeII7XpOxqDLEWEZOzGs4nNZBaIEnqAhblo3IwonhUuCVLbXidbwnwhzKC38vROSNFpH
W7OZ5Jc9fXpPraA8jzYl7Ti2HEzQL1Mnve+H15CRyDNsY3c1iXfY0ZnlqSEVYlywmSwfAXEaCAsE
ChyjpKSahLSSTSMEEyQubspmNq1OxVJrh1XdnQcUQ6LCcCey+yTMxvXR8fL1Q5I+Rvk5zNHRiEgX
2/IxTM6Vf/4MN38rOm/CtwJH7Y/ql5zk/yht+T8jI1keNv95cMZq8yUszv/zX/5BTZ7UZfXyFsBM
vn15BV12/hQTX7z/6/+AbPwF+mT/AbkYwAUHF8IuBP0v8dr+w+Bcg361qpm65AZ/idfaHzqlHRMJ
FYPSi6xR/xWutT9U+Mp42lFbHls0X/5OtP4eo2Fy0OdkCSHZgBk9+t6Ps+u0Ou8GfeSllfZgmtV7
rzRLbTA3l/J0h+jXB5VTTVzH1zdtdHlNhs6laH971WiIYLhFjc9BKuXUX6YZci/wWQ9VRjNO5bwF
knIsvhru3Z/Z1jcwLYkg+yYL43IN9kIGhoRGg0r97d5St5hEjK3rCNpzTJIdIlA8Qie6bpxw0gch
1gmPTlLZAG+HdTriEDO+wCLQOc74o5QmO2VNNcbApxorUnmsn9mS9JypNdozzrAttFwDlQJbzeAU
d7rgmqVtMMChAnUakGFKTjnbCBTP1C6mycDh5xohhhBroO9LbIOCDgXAfn0pESqz9GfM9mwxqsvH
/LLAYOohV+oGkwwbJV1NZvzIQbYOTNnYwNGqPqM8EooCBZCpyUAGFdVm5hQwSb3npDl+tmoMu8pW
e6SyfTe01gXxiXjnp2DnUTecx+x/uLGUKLwEBblbPl5gMCxOQWfNS14T69X0EkMkNzOBNQoinw2y
jMgRuUVq3F7VIHezoENRF6VdjpRDd8W6zmp0dkVKbPmAHbsa7UhM3hQt20m+bgZ9rc2VeUtdQtRX
NoxLZ6D1g1KEOrzVF/98vSqINbYp4sUcbQuU8XoeLGdkOLKIxCizMraXtfqU5DiZxeZzbzu3/eDv
s/HO94E3N616FyLqOsnK8k0L1RAxdMSghqhYZwXy7icUuXL9TR2nt2ow4FEW++f4egEii5JDoLIf
X5WRj2LaolcjBDppizZ9cGgG6/7TQcRoP6iSp6Ay4gFpSOSlat1VyjhjBlxugow6cAl/vgsaTHg1
9mmkDi9QGdzYyjvR2FkBoxh5o78fhP9LhldC3z8Pr25dvLy9pN/GUd7xV9Jr/4GRNzVvA+iadEAg
WP4FIXX+QNWdVvM/lB/+ynmJoY6uUsFGYR6/EBnc/gqioz9kXZvAbGhATFXtb8FHNUceWL8+Hcow
Sjfxs2KJLOD3euZJh523ebI0zwmq4yUmPTWHA93j1EUEF193HAMpvvjIlfoJnXniOtymGZram+jJ
6sNZkVVHrUWPCZuoqRUZ4aFTxUVHw64eShASukkShAxjG2fkDv5LVp+KDbVTaUMS1WTJMJEq8BR9
3DvuyWgb18JbGlWlS4CVDoqaPV56sW3uOnhLamTeVKZ8TRe/a2X7jO4hpKdLrWK38WiMu4cuGmDc
Y/9ejDLUJvQ4m1SPTbm6IO02Dc0ynIcw7iPHmdrd6f5StJGggdVRKIFWDX96dR0AfFxP3SzsisyL
RphM10P8PATpLa0mx/V7GYRGZubm+ek6DTuCQDaP6oZGcRYQg63GJ6VEFCOi7h2WoI9CJ8WlyFwm
+HNOVGQ0PEJ+Vj75ASN5jfNjlsOUocLBMr/YOaYqdOpqBz0LA6Ek/BD7SqCaOu6w3VGB4rcOmWje
YrAaBghbVSWVJyXy8hal3NLKCG7RrV+RLVZWVHodrYdV6mt3Y+2lGG0wBW0WHLYwlE9TDxt0E4dS
zIqipqWlPEL7DMHHUXJ6G4aBce6RoImAwQxKgNpaoD6Ykb6/Fq1K3aXA9lDDsJBC18VMbkotGqY6
nB1XMcaba8mpKDPrDTanDxC8jGmFM5XA8q3u/G1mpov6FL1LKJxtZ7coGi+vADmF3RcN6TizTrOX
4wv7V5b0yyYaP+MBuNZLSqg4X4T6eLpxswJZBN/prkLqi12CYKVY5Om2tleMZI17Os3x8WhXqGzn
YV4emzq0JmGEzUYGExhEIJq9dw4ygWKMDTxdqBrvPkJqaPlrO0w+QFzGruK1yPJwTlKwzdJuTo0O
Gb46zRMneVaBOY+cl5YHjwobXqBjo970NM6QeX27jvxV1hTHvFTDeZGAAQwMjnmVxUSroESrYf0a
kap0MR+vBXQdmekPaZHuchXCSlAfs9K8i5IkgJQzvrGry+tgAIPJL1ZJba2DXXKdEz2mo1B90PJm
05cW/XJTcLLa6yUiGTpWX1eHY2SjVHgAgzpq43dEk+hhaqwu9GhKep5Mox6FZhrsEf6cybCpQjCJ
49F1HabD3ulw4qJkeuegpQryLXwOTxpbrTEsHSnPiWXwZFzl9uxa5eivdspLiu6bGcaVN3JYMkWJ
Cmvkr6ISaTRD30PNvu1DMF5JSKmbBqqUjIWf2VlnxUyf89GnPYj2lgYXJKGHVdga6yBu9g3tiSGK
BMyeaR9bx7HhzG1QmWmG6EeGoPCV80iYM5vTfIDJxWFIt5FPrc1jpOS3esv0tcL8NqxQzMsiTtzJ
4LaP/SUe/S7V+0mmp8sslxzX/IS4fZvp6Y1htNcq0eB8IhA48pdDj0AbpLVzh2ReiPoYcp1rJG8A
33Di/e8N+PNYQo3xn2/AP55iePlfu6/+h9SNl/YjNnkolaQvuy9/Re+W3YZSJTvX14Ry6w8TlxWb
RUCpasQR58sOzF/xgWN1ZOsjTMVN5++cY36iYTF2bJUMgPYRtOvvzzGVX6YoVpBMU/DRi/Z1sLVd
oTfYpJdLJQFH0xzH19qnCB4v7TGyeIK+8d6qqGGganOpkB0J/BvsfmforMyD8NVIHgsqIjbWCa1a
HEAsspyR9tCHaElKub701VLKd4QZBVXVLPBSK6axYdL6OKqKg4J+tTAjdRtQgFW74tU5mTdqYM8y
JDnj8dzAc7aDn4oMSGv/uXb+1hn+368Y9hjGYXZ+D1++P+3/Jzygw49QmXi/mMJ/iob9aab1dSb5
j3f+NZs10j8QYNJ8Bj4mne2vZ/MIIgYZpqrTiqfZ+uVMzkleWmtgcEVEok1OZfOvfNL+A1Meph79
WRhOKs3Rv3EqlxXSr7NJQABIoox0CYkwHfP7CirLpbPi3NIRUekQfYG8nEgD1N8QH2TJ98evsUF2
SBSMDfno2xAbZnpZtGgzeKOKdhymi/GwB4kwHY0CV8VVHQ8CLK9RY0iTmR06nA5rN77OB2iB1cU1
dGVWJIGr17cBvqdRAlzqbYjWJufXGGtXn+5RmiIoBAr4CojtmiIytA+aGo1pYwLhZ46g59TqUPhm
p9RydW436GiDwP1qAux+LBr8ZDDtkayhjKmkgEeVG81XjRulsOKu7zUd8SxsQBEuRlL+1P1ZNvun
QOyfV73xaxtL7AT98e8xr/7oBDI6xMZhpIG4bSgKG4Pa0IFUmzku6VGYIWBP8TagiptTzc2p6lLM
Q+kTKbLidKj7g03tF5NndCFFZ57r9COC3jzGpAnsq2V3Lt6QjPqjVDHPMB8KQrRJx9NLYYLEQIm8
OK3q6nXI0TlGKYo4GBqvQ7uvTGNaO/qiY3TbGqKmZogr0vpQHDyfI/u45GkD4ispUYexMqvDKzIR
2o2qtp+Q4mv21jQ6AK4BIdnadbKNpIToVF16CuWZeqteCpCgjrDhKo970HEBgqCO6Z2KEXn5Ih4A
DGquCWBN1XxIBB9Y/QrLvwgLjK5+reclyozKdY/HiNs36C9p5aIF5VdSGk4CaUGFBwcCVtSUkgp/
dv2ylLwPk3TMNhCS7d0k0zwVgQAtFuUYB3LJ5+L9Vidihb8Ncq+p74eyEqqSzErnXNIYK0hTL5qO
rg+ccLq0bbq54CWUA5Ibmo0xnM1OQVwMhkREIhhkiBVfJ6N9HpQT3FMnTnNatFxsggRthshxxbNp
kJiKI20Gx9ttEQ1rreuki6x9ZlQz21SmIAyniZOtUu0s8XZ2hQGn8jo09qqhNWwZ5QQIHupbQgGI
MKI+nl6TiYm39ms6NKDKJ9TM53oUEg4AjdoqTWhAgF2+CcLjgOqyVVAiKrzRYGI9pNOmnpUweoNS
WcIT8TSHvG8QjWkj0eev0PFd6/0B7bDpGMvzaGgWhtIeTkG/AoDPUYTevo5SfVuLK0o0TJS0rHkO
z9eAyviI2WU/xvV+PKIiyNf3ptdyi0NycUcIW435FqkH15klKIf7cRdTQNJu9CI5JqmxjlJzihy+
qwyjrc5RoNOlXTfo+WSYOJD6qpSjAFq70RUZohP2DzOGY9HhyBs6m6YcCdRlEVzygSNewudGNjps
2fLAM3RVyybI/0MIsZFx4XwPZFiVndqvQgjs7ywbtSisOqiYluEHXpkIwle/CVSf7Invwj4QOFu1
2WU0GoXfFTcjHxqKkxKpVJpYWnirltPoOsXNm3luUPgjLETH0K8FTR+vUlZFiLdp6uB1fwf0IDC7
31zQT/aHb65H+/a2mzwMOy1hf4j7Tdfa6Ch+XNGv43ypXJ1Zhn+sX/8ZR/9W6vIfrXwRtP9N6fR/
/f+kh2qxdf02tflH0+Hr3IYM5kueTmaDxwYdBar5f/Ki/61KRtdY1Rx8a4ETf5fZWH9I90wdYANt
ZTrEJD1/ZTZopJLtoCs3ZnfTAX79nczms0D/7Rw3KbchLzVGn1QH2v3tnEJ7LbtqPZBiNbJujNb0
Il/fB3WCXqO9wM3eqA+agmlOUz/Wp+ty8Ovbwbigbp3OC8zoEUND30iCh+gF7hvNcSVjzLxMMBRa
aAWCfRm2ESdjJkXgmiS8y7T6AIbKRWMYTMvgdnW3xoXrue+qKWymO8oLMMlcKlwz02pcVNzPJh9H
3RtjoOYwXK2pAyTM6Vv31LAAneuUtP3T66VsL4CKakwtymncKLfJCZ6JHbJflbhH0yTNaEPrmJHo
/kpXsuNQNRvVrJZhrUxPOEWpfkZeMNzTR/iI0nKZtED6TeOmGWrPDIdtHNC5CLGVa5aKWc4MC5cS
rf0zCfxbC+6/5lkBS9F/x3ISQC1S7GT+z/+Ovl5Sn2/+cliw7E/Uj+bQxUNr4MthgdWmmSwOUBWS
ECdtlv8qPlscMUARI66I0hmKAkTPL0sKmXbgjGD7ITjA/v47Swo9MdbMt2uK9h2lbEqsSCJwCPl2
TbW6nwVJRUH0mIrt5vn57u4gduvZdnG4s4QlSmR42YXFwhfbVLweFs/bQRwGsQnFYvI0u7vb0qKZ
zda7wy7lZXeHThx2syV/hEL+75m/ezqfPGuSzatlO41uuokmUEcXMb7xyuIyC7dQAlxVzEOvFWPv
/Xb5sF8/rpe3Dw/z21t6MGI/f4jc/W0tvGMtxuJZ/uz9Kh46LxUfm/f57X4+v31Y7edfPdKf5P6A
WH49NsZ32b9OCalHslL3VgA/xOrYeL2Ltyy/xgyNujweV++b47t33DxvV8+Ym4nF7vB83E598To9
XMT6xl3ePMFHc0Ne/3ZeVN7msDssQrE9bvZ777iYdWJ7uDvvEvF0k4hHyz0s7nJxJ2ZvuXg+rq7i
VRxU9/igi9Ug/Ml5h9OZqCaNmO12AODEbrc7Hxav28OMuq47W9+rYsk/t3t5iav9xBSPuffmux8f
q9XxIxM3T7Z4Gbl43rv3y1Ugbm/fY7F6YGj37zc3HAtEK/b2hLRNPPhTMd8XPJT31f53foafQOwf
ph0KHDZ6gUxkeTD/OivieNMpxHPN26TCEc/Pz+8eV7G/dT/eV5H7cBUbfq94rNRsQf3Mjs8PALfd
zTPqNWBtDkfveIxFLbIFUE7xIefH/OPKDIkF987seN7gQcogzD1HMGXlA+Bg4z7sPy7uarPF5VLc
+UI0/A2TWBF352CquDuxW9wdDofZmRnsuDM2CnE4hO7N0hSHt07sTM8Q4YJKtZsgEA2mw+3c0vPv
mknn9tNicl2o3uXQTcDHiELc3y/3+w/fm7/zMFet4Bmv1/z4JF5+N1nZUX82W9micUaGPgl74dsh
tRREYj+HVJupXLY/vQpuVc7UVOjTRmiuw38drXUuVBdpf/GwXSyAwDClQQ97z693s912WiwcFj1j
tlo9A7vC+Vlg8Su2houRLF4M4jkXi9g9vG63d2yxjA7gpDlD+TwWhJANUWJ/34rb/X7LROZzQvHq
uCjaCSY2T+9hdXPv9uI95aFr7nHlPT8TeA6DO7jrBZ91PrC+H1YsoY0ujs+YiE3fUhcPOcLJIHJ3
S59q8ro13VzeTOghGsRTxvFo8uqLSSEGd6e4lmuLmzVhasQFy5s9nHlQ/B8Gbm7CMqx439h9pz0t
RlN8F/mzY6IMU1C4XjmJ+UjNPYTLV1oR4nhl6iDxIHqRuZHgYaYM0Ygb4jM/r7jzHjL3ff9MfDw+
HHFTnB7lI3hGX2HG+vJ0AeDSLScfAVebiy2IJhe/L77lneX1VIjbj/0DRX5WX8qvlT3BGM/VBV+0
6sW+FgxVKN5hqbsP5VKu7Yf7d3+quu8PR83dPr/vl4U4arPK4zDmRd7A+g29fk55n0+qPMe7D4Qu
8gk0kOUzA4XkN9NeESiii5gHu9WZJhgne/ZEfi/tHDGtvCuTg/qR2J0vU30eL7eqq3DDT/QsmDJb
GmaMkj4d1s168HD4ubG23fT6EuwAeGR36Q1r527MR+F/455L0c7QOvDkw4RdPbcXvQvhi8+DC7FW
FwZXHsjRtuQNE3Ddxat8Eursfd9xR+fFK/xZgiBFAp7yyH2Z3b3m8uUwv3nvHcwe77HYZO5jNL27
eHezZKXu2l0mnkzPcdeVeAvdSTClyTNVp437aG4r8Ugo4XmcZydu8/EgVwKhgQvx4hn+FBNDnBX3
Tg7oIxfazN8cN3Wnr4f1LGT5n7zdGfyYOBhifXUXcmecVaL3ljdge1lx8lkyz6eH9ZrgrLgvhXhZ
vl3dlwnVkv3FO5euPj95zSqevcXuOf8c962cU0c4wZOP1Z65FGwVt5kH3i6Znxby8u8T9/3k1vOT
u2Rn4a1v9bT0Mm7L4kk+nn05SuIwEsFsD92M5QKjmTGrp7PX1n14t1iGohMB20fO2xjZHSmuwEqS
eH87SYQhdni68WngMrxZ4B1SbroTi/UT3p18dOoedjIubO9M8bTd0kB1dwcO09yx4k63RNVi1YiT
h5PhAWMeMXO43zvk9KewMFz5k5i3YLjHkDxiM8lt265xgzc9qwP+HmGrmKIiIaf/cTs77HZvz5s7
VEQmprduxGNFZOYuydVdsOdM79atZaBj0zgcyumZ6AS8Qsxy7464xFAcZrPdzfJmub6ZPHWu7fE8
Gjdc91NlIyNFcFNN+unydNOKF1OU3ls5Beu8uXzYW9OLub6UVfK8ISTN7pj0lfe6M7xqYouLuLnv
p+a2cccM24T+vJC3s8UrgQGWMwOgE78SsX0+DDfWBvGKxUvA/clrXu0z130sPcudNZ/vO7w+00yd
nebZ5IlXndiGJxT0hM/c1RYIfHPp4CC92c4WhNCA7fLW92BBsI0vn2aPw+zRFG/rhO97ovAqGnf9
EYv324/3moGtxXvm6pPWc2Y6idhJPA7uzePyJDRxn4nFiI1Qblk3mVjLzetskyP47i7w1tcFguPi
lk+JXOJVNouWL84MZxz39oZvDFYvlwkdUrcWD++3xP59JGSa8eF+sFblSDTi/Di7lc+VPdALuDC4
Mp41w9NSoCztJa4vd38iFi+xCDsP/NuLFdtF79L9ZmJEhD6ZnOBY6b337uaOgDpjBcQ8jufMO5YT
oqOcAq2bz6k0i2ghZ0a2iG+QFl+zlbVcoe+u6TQzr4dJJFC2Y/6wx60eiL06YaQVcjjlPiOfOXvN
u++xEmW8PW4uLiuHDYOE6AHHHmL8dvUQc0HvLZEdX7KljI7xnFDdT440yaeN13nJ4rLI1u0SeZBl
Ok+J7NhmsKnN94GYW+LIQyTLu7jH1wOZ0MPDnk/kV88XrG5Ja0j8anELAsG7/ai8Fc1asTn6U547
4yyHCnCa9/4wmdwsWTitWHE/ynSVHatp4q7xURPWZH2z9D12+P3t4/3ywutXTJw9F4AojwuWhO+T
+S2LTY6vHCciDBPMvScUP03Wy/fVxeUhJbPl7DEQq3dkarbGyly59Q7ZzVm46z11yqxDolCg3eKS
4yMuS4QVEyLS7sZmPr3IyUV+t3x6WhMNSJdYifz8qZk86e4Hd7Mna1gC5ybwyPy0X2Sfk1wVhcub
l7eReLl6t/+XsPNaUiRZ0vC77D1maHEbkVqSAkjyBoMqtNbi6fdz+pjt2OzYmZ7u6h5IEcLF7x4u
VirKFgebajmqqgYmeh0unG6U7w8dqA49tzhpQhbUOPjZYclAuAmvjSbK3HLpj4g3RsNjgr4dRXWL
xq3WCSZY6rvBSCYqegZwBk0Y1dXlwVC2CazemdlgEHV5LQSMycEaPvlORv7lrUSvWaKd7rmJX/je
4HeBktZRBtkkBz2esuoQNUzYhWsGJ70gAzzsZRAu0ItOac5Ggw6mgMV/ywXBC/hPyJD6WL02+Zkc
C/3NN8hJSo0yWG1sPL8IC1Ba6aZxyT99oH2S/PrO7xDqK/io7KgQsQvM+yI5vjaGIL4ZUt2dp6mL
3E1zFxMvGKmpCFY7nacweV/ZAeI1SL/oWT7H8BOj0cWktPK5iOBRFASpPQrEauQx3KDZTkgxyxbU
K4I6nGyBKBPBxg/Hm4pptwAbLZJkohMHLJ38z/95wf7BxsM79S9r8zc/5XZV2TWuhIsaw6IME9Ym
DxlHMvSLcq2sIkt+GV+C9VQUZcwPwCooF8tPSMBHWbuzXJYqlJVM/MznUr9IvGiA8cIjy5xVcEvu
LyGAcI+48VGd8SLxQxZWlitlMUoMvzgveUEhOxGWBbtQcrvAY9gQNA4WztM+6sVnx3wehvmLxc6I
5RXsjZ0WRZznORqTnWEn/pgyrrzipewvurYDO7VzeWM/zWcu24Iy7PMnmPNefseuHcx5Al9EUWSO
8rjM41kZ+r9lKQ+Xd+Up5mc8H/Ms5v8dP+/jHiz/IIAIeGxgjiNzakaRN+A5eiDsDa9kCQYek0yy
gWdG00hH48jjXwMPUkjYYkRY4g/9MdQUZckAd0IaCPdnfMwaO9wDKfUho4BrxtydZYW/SKa8ZqMW
CM0sy5yN4qXeYMHeLYZoE6QDCya2O/JxOJZhcUEU2PbYNCFV6BmBEY0Dk5uHZeJlPuD5v9Ma8SdC
TP/P6m02WnhJ6xKJ/DdGPFIT+nJ+1euGL/YghmrJRuJcCGO2Gupi/kIo0MwvUCxJhkIPf7YlhBaY
gs9+C2EICbEh/FXO+NsvsD7yGPLys4x145lFAvFAejmPFqr7alUeJ19hLmkhLDEI+bLEwmE82M4M
yk+GyS/0D7FyJX/JPTxXFg6fAovJR1t+8NcQih9yoyxsyeVlCeuUceJpXBB+2UOkgNxY3zQtSzYv
kWfFjPyofp1pxg47MFost8ZczbUQMb9c6G0oIqlEfBQLVoW5cKs/LMGbapbDLDI6yIivhCfhVb6C
D+FbYWTfkAu5Rji3ZJFieW+KIcuMC7iURY6xJcuQq0IuCtGHQMSBZtl5MrcwXCje4r0M1zoqBCEM
nZfYsbKIzIInMhIWiueHOdybhPAwZm4ec/1X0jJ53nNmdPkM9mH+7LxsYQL3ljCWDCCOZZOxlXk6
j2Uw3DALZ1iQ8YzX8EjmPyvjkCel34lxH7cIleDt8Rx+ehlkbYrn50sSwqw8i9fxbJ7qzvBVyYj5
AnbPS54O09q8jiVhWOLJy2PfSGTdXf4n/v4REmGaf35DTmw50kkoD1nARXgQYhEn88Aeq8AewUsx
htAMDxdEw+6iZpYKuY9EEEOzYDIuUkMEDITxk7oyJmRfHM7TQRq9lRN4CKU+kvErsrhsBJ8Hpgky
DXiLyVtMfgbp6GcUdJWJ2kcUmKPxNMBxGIwjXpPmsmuI5zmsPQYNcDfjE6ES2LOZyEaYI57xh+kz
YcQMTwTip+gmkuAVcxIthcCTBRt7A0Yc5d9hp/3IjhF3IyQgj+ShnjlCJgbRVoFvxv0gUCOuHAt5
RwEciV6UC8fR1ERkBUJq8gOg7mVozZHIUNZuh18PmcQs+7I4IxuVelB26dpMEEGHIPTENYpg5gGe
J1OFwvjBSFOmOmcOKVNEnHMzVoBIOZFzjFGugx/jlMUb8b7/ON5YCm7mbehoGZNnTsepC80wjghV
0A/GZvKLGvamYKMI+4BhY7GkAUNjWzy2JZKPWKOxjdA/KahwEfVNBszzRL97ngyU1+AtUSkyW7RB
snCi8YhB2Xg+A7ktmKPgGDeyeDzmxSO2mjVjNXgH3ktZmnE0QMEQ2aKQ/1Hm4XoO2AdzyibAGrA0
uyYrwpWLjAGxHVCPbBIyP0uEeTM8nVNvPOXjASzvedPpwFug9iGgaDz1Egd3Cs7nxGHZR8GADeTl
gwXSAQt+KqoKgweWWwBToukFvIk7lYeixZCIA/ysQcQS8GtgpkHuzllKFgLkt3BQPIENXcXQNwLH
CwZ8xIrxvmzIsvMgR1AR16OLgAnC2x57Bvk5ICR5g/xaoKqQnzIp9ibjUQjdLDH8wimALXC9JbIO
hmPCC6MY+mXmmQjSJIs8pKQo2ywa8zhwIHKSmx1RSB4axEdYI8RFuA69PxoZ9SPSluHIyJIiTjLe
hPAV1cqHeG75MA953RCtBuaOIrn+33ToPwXr4TOWs0YpZQGkRcf+5Ty9x/Hx81qvoUNxTgKjUAwC
hkS7s3pfOVrgFBI5E9e/XsIvhkIXodnQsF/Jzfp9gZZoAeFwUbnIQmaD+INH5E+ZC7iySr+MA1O0
6J/P/wAzEdiITRHC8s7vm0t5LX/+I3SR9VUtn6Bd/1wqSA5xCMQW/1vx1uVXFYh6Dvk/Q9QwWq5A
BzsLdpotK/0wcRgsK8y2e2+VOWAT2R+u4mPwggy1SBayXWDMhc487vVFlyKhEe8l+8kAUVUF25cg
bQGlOfuXsX9fNSK2H/hCfrBzC2620KeyKHItmge+itHC38USeclwZZxDLElUMv8GqghscBZQlsyW
Z0EI/A11AFYhNfgFLeUsUM6yakySxebQ5qt6wVu/gix4pi+ExLLwaMELDPir4kD+X3ZAUZWxCCyO
Wb7YGc0kas0NDchSsJ8oxAGkiAZmVyB/AcRgXgazZ/WQO45Agi8a4TseIr/DYeKg9OV/md+X2L+6
i4nnaTzjK1c+jzm7yTnXwhcETLF/MGXR0CwT8A3rSSwAoB1Lxtx54Xdhc3ssAAhNkudIJ/aMwxjG
jIzKh/J4Eb7BXLA4oFnAM4LcRsL2bXdkAqhkDcy+PAL9IHMJIgA6GNbECvsPesfrg6KL7PEIQYrK
xEvLYjsIMMSeZyJuRFkDf2QUMnjIAf2O1mPZMjmm6wdehFkom1OGQ4BM2pcrhT+Qq8JNrjvy8j9T
9zzMDV4ieuurKnF9jpHGEEkmfyPS0A9jHZgyWrRVJvS8yAaaoXMPNiRAynW5SRRh5oxtN8ZH5zDV
BI2C8cCCxbzfRjZCOAhXwRCMJyxYboQnqpgdAcIAJr67MRed/0VXfM8n6Bob5RiNvSRCpyDaGUYU
jW1E8ZdYoXS06FiwzRw9ISrEsUce4j5D0yHmcC+4OWDjO4MBOgAUIEaC6CH748xRflg44zlgCCtM
AMQYhbAYROwWOIJPBOGi59i/ETrMxNDhdjkEQuALMJPfuMuwcERZyLemm7t9FEswT0cjgc1YQExm
xE1AHdnwhf+LX9dPUF0MidsEHckT3iqCHExBO2y6rJqHtYROmnocPI37uOFc2dHZ7IuMZG/BqmLc
r7QsGNgSQx5XJThXML18xjRmR80Cy2aflbhTxRMgVj+63mOPBEgwC3ZBUBOoaGqyOZwPg0X6I86F
+7ZJdgpzZnnMRfab4CgdQW/q6/5hPaBVcwD9QbnZAOWEKkagePiRUP/sgvxmEqwGSIFnmDh5xmPh
p1QcSJAGoJEpj+EQ5odBHsOjQhTgn3GG0IT8ILJpNPWcwZilmgINplGWCUZbYBj9Ojzyi6imqHee
xKBtYAMPZf9wakKVGa6wjIOrxK/ieeJxEArgYSAm6IDdRPbwEtnQooG9PgaejPXU24i/frHIDjiz
fiEOkVAL/Bm/MMMCv0vxLxqy0f578gMBwChI6oERPU8v1G+B1b8oSE5cn9UTwTwGx5wIspkLjozE
5wYXoyrxESDnRA6wS6JCEF5iF8AFfCrCUAAhugOInCOCkcXoAKQT9o24N2SCiEOWmgfiQEKPEgsA
oYAghS+QSjaOB9SnSHOxJ5GJoAr+pyis7xsw6pB/6F2RZYFAQ8INQPY49+UZMBKwTkaN/wfVkETI
GS5NbVPgCnoBqcIHfPM7BNbaSDp5PdTrBiAs8CJ+BTYU3sR7KUwVIVMERvGSqQl/AshtEZCgM9hG
pIA8WixyjC+0KaAQUkyEFAFm8k7snoTZgnVEoQ3RJSVISssdvk8MguclvjN0/mU3id3+J5fBX3aT
4Kq/wp3Vmv431yu7WWDTsFIsaTYUXc15PqYYGgzeZDUAK2JGCSrATQY8APDJZsPGosLZ8xmKOo7n
gB25B9IQ8YpHj6UW3vzaJ/hE069PSRQ49xpMlUcWPpgFDcAalAju/ygv7s6/KgXygRYgiDk+QnEz
7XU6RxzkjKUAPuUuKrMscEDDNiB/L8LNXQJZADX4Gr6/wmLmoqJyt5xZ1EHgHyLpmRsm8Rd/fKWR
nODglLL5FgOUaf8BA0xBVJgpmw6SYMvA5Wy/CG7iLew+FJ27gclfuKcwb4TKvxQllP4V51gWiE4e
hIgFbCNR+acQKE5idJaoHvmNOOvjL/uS69eLhEhGw4E6ggy5jFdYYAt+YY+DEB/fJYqQoaGkzEgv
xjA/iAk/1i9ITtA/e8iZm0guDFs4gcX785/46HDjYcAiVIEwXMqT4BPABEqJ0JIosyNAlU78BUMW
/ZEtEPuGFmQeDgH0C4RXUQw8RoJlITTDEQ3QDeeKwB+AFR4DbCIHX7gCuYV3MRDRCMDAX4iadYQ1
Ig4i+SUjhwRKq1hEWY/4DEyZ7y8MQ+EM/oAAidbBOylrwOViEcSxIaCAkXxNl38JeyCr4f/xR5sO
L1Qxp0gu0U0SX/VX/niT7npvEkIlMTr4aoRZfXgF6nZzsDGkig5Nc9AsoqdkBWGaAjcTpFDXIRi0
wCvD53AEhM030CtOKDBGir0ZpTYMBKoQDx2PiFPxcSMhg0D+F9+OMIHN52k6In5h3hfnOC8Q4kL9
2YwBgQJ74mKEUvCcip8gSBBScB1Lv/AgyAjshsLBCsbMg/L6eDegXd4lVChGL1Q/NgWaIA9BRBiG
zBRqA1SLv+oP3/uevARYgDBC/QN1ZePQpWJQBpGfIQf9RP9+UbW/YJ2Ex0GtRRJhZ2Ted78SlkHk
tu87/oLIggAWZRYFNiYKTyh48d+NOlJn/mkTycEiBaZNeaze36KBWo/LqTu5PxFyiBxUClYkPC8w
mh8VYDd+MuyKP/+By3EOiphDNIk/WVhIDCOxcvj9x4wYiiCUEzEsh8XXjP7KcASSuNT4928mxMlT
mD738acAT4YxJ7zDAuMBUw2pxzWGWHjMX+SpKENf5JbnfP2j4kQN3wQUyRUibn08/8CuyPFhka9i
zXlWEQLFOQ9lDkUhjr+wZEwipJmBeCzxNPzZtMUwIbSJ73Enfk3OmYhW0cxCwUI7JuQjOEgI6Gux
yt6wYyiikDNJ157nYT6Tm0RJosaRpdyO2Ba2/KIPGPKXmaC2Re3HM9ZarkC8mQB0sFbEfbwU0sMJ
JfINKTaD+sX2wozAbpDni8Usrtw/JiIm4xddAix4Jp5Oponng7thFzBtigdUhiQffHU16uIrzIXI
kX0Q+fcXzxdDi6fjtBFdxUKIxScSHpwOYmN9AxPwxGyABCnek/6SzRJEIZcBHL7yW7S/TYAd98Kd
vBPQLbfKy8aC74AGX78Q7iOcSHIIApZmfLAdrjxTfD5cOf36834UXia84uL/QF6DKwQdInWZwgi7
RXxxqKqvY3LM/pu4uCAFsAYXwTnmCI8dHPzLCASqblCCrDTOHn5yhSN4FNAh7ihGyeERLIuI99Dl
/53bmp1/lpmSs0Ulf4L0/54r8GntVtvDDnYjcMo+UzcPAJ90VFLXfs+ljVtWKdJL3HFW1sbYR3KS
Xsvf5mb8GG2jR3YN6TudNDVJ21XzTCjDklN6VPfKPhQ0l1Ev1ARBPWrv0bhUVaMK/t+NUbPe9kY7
pWWtw7LVT3rju/Oyuli0ZnofUGmR8KutqhA2Ql6Pom6/cbW3TsOipYram3OqbJgXgy6cauP5uHVC
SvwZH+uUv6PDXl+JpiKibVSzNkEtv4ZHj8IJxF3ondk2q/5usGHMO6MiwaycmF/ctVk36fVhb6y1
37EY9YTi0hQrNF9du96i3shoR+X5RY3OgPozfqsWQQqDx3w3J7BA1/rRQ9/MgzlJW8ZzdPRfxtOW
8IVxnfPzs1NVzbDuNVSXcLSmtSfM4WNu4wNRrisby4E/bY7Js7NP3S9O9B0CSdJXuScSIjtau4SY
CLtKOMudCAWiH+dHZ0f7GEV9dq89o96M3Rt3bMowqo1JlDcPjRjJTV0GFTpdmcu0ql68mBias+q4
RLThg6KilDFhp6qs4ovsHbUmAMnjb1q2q7fTYdPpV2JVlH/Q5dKhSM2Mou36GPcQVjtyr3Sy89YW
p2fOtbw556jFqjWMvbfVMSFKz+FHtYfkeQRbc+m8o5d74mnHNaEUW7MTH9/m5edJalVT7ZK7Q8V0
em+qvVFVJyNbugQPOFur53b1oplcR/TRaZZH5+n1nI23CQncCPdndeXhe6dHZTASWoa0FKqGVHcc
tq2POTGe6XtIeFk4eRnV4epExRWTnhv9VrAlUqM+tfbmHgDasFPKygW1Ov3+zBPByBdKDanWzaZK
zqtpbnrx5eIeTiGEc3yre0ttWW0W1Dr7u/JJoJn1MmpxJaepcpclTT7UY5039Nunsa+9tlgl2Gg1
p/KxTfd0vZsSwZDUq2oZPyzitYg3pCi0rqZLH9BJV1yKALk3Vn5lN+JuymacFy+Dgpxu7aQqv4cX
cQdN/+y2CcK6sLGUXBifBmvOAKhcXLyitkVNhXN8sI9ZxaAeT0bXa/oTNUtIxNgNHgO6qF71Jrnd
jYpLD9GsTn05t5I/INmN2RxVg2pw0HuDbKmwq3fegfCZZ8Wse232p+echM1OQVM3vUtRs7pQEIyC
kL9YUrsdQmpzKrUmJidpxG/CLzs9dbMq8CT9Nox7NDHKLkx9I07OfxgNGDfemsXSIJDxGygFyxLI
3PCF7j7EqrSM+BxeeXq5Npve3o/b7tY7wwQtVctWdcJt7ovzsO1dNY1XgOLewz9ree/KgNfV0n4S
WzaBxSuEG1VMunWYj/xmfFww3MGo5XuTzlBqR6jnyyW9At7/+ahJ4uwQK0+i1/Z21duad02cGWGb
LWLZZg2/YXVZ/55twzbE5PAifbWP+mO1NXN1EXf5S8cPZ+0ejI37Nv3fs6ZTgnnJKKCPDIgJNkR+
4YdY6/jOOyd2LT+XJ+scbcZLk4/ehL5dgr11HBF3uB/MiG0idxbE3jF2hPHS0TK4qy2Slhd/EFQU
ztYTT8IAH97O6m4IjV6XVw/pa8Ud48b0tgz1auzNq8LGqI3v6cm9M/K9t9en0X4QXn1/F198koKp
a/ce1n4Ifx011pRgMpZ1r052Zbw86xXlL4xu8rqazWN/9bYmCeL+c9dHIjuJZP24txpFI4zz3qTu
EtqB0DK+rHvvvTkhss9sSFDMw3agGAdJxfatzatDhC2BRpREkoBESv85266xQorTBYLoLeMVf37O
02r4MiCV7bCVX6nLq3qfvjSlWBono3NQmwmli43bzW5czE7e2qhKk+YkqllVvaeGHNdbvSd0zaCh
z9Z+0Rh6+EQX1a1qlVHc7EmG1FHZzXqrunEZbiSLgLjsmin+GWouD72uyh7GkMLIzok7IGasIvBW
9tQnF9H+hMlrRgG4nswWxA2PhqJX7uarX9PIYU1NXOtt8jDK/FpVv5BIWYTLYEO8YFUeNyDHky4n
R8j0Y7eLRhhSMPhFlPROpXS6JuiveVEnCyoIRBuCQT+qsiRsFk+rlS9hgEPwjo7RWd/txogWzgSq
UTfZqRJZSZoSg0FOVqDRuKPj5ktvvYo6GNed+XLh2O68Orj1Pw49qq3eVr+C+vwY1dS8aqUVZva7
6a+davjEv10c3LVTc7pGeDPq0+rgh1JfBPne4qNuEyx10KT1xh2LkoTqbFfUKabyIMh1Y1WHu4du
J8TvNaydboc1VFVVx2v7bjXsSULtE2pgWncHBWmnTQokEkqdFG1PUMJEF3nLcrZq5pfUiR9S+kVT
SMiterdgEh6t+sgnJ5cwwh10XjOexAdDh0b60tYhf3tLZ5t+CEt/mSgkvY+u8Bel2rxPTpVpv0cY
8sTuEj9dIVTr7Ho182T7VcRR12vquk2obFjXvwuf/SJA+IqaJjacmD5zaewN6AjxNbGHMyShWuka
W8ThOH/nR+IKNnmN6NdjNASDEJhNp3iPsDhKuan89ruxOibcSxj+Xh9tMlAlKFf9LMMnHuyS8tj2
0esQM3sjPtGoE1y7dPIt/H7VHxfhke76e+9sVy1r1a+QhVIn94TT64PV/+g9IdVI/GClXw4xvlOS
S0E5D9aU892gOOoZ0ix4ohDPasEGQi0EZJtP52X7e6zem1tQr8woO7E7PzmXIN3qsqGe3gw3hE1T
HZT+OqYhvK4V8SdYmw3PJfeZk3UY00q7PyvjGN2MXd8lpPZpvK2Yjkf1YcOouxIO+bGO3k3l22hj
ncFkyQfK7keAIGdeIbK4Yx/692HVTIEDuua8h2zkURNGaNHw5kDUcI+ab2Zunwnb7CDFwv56sItr
euvWCfYm/n4ZjJ/Bsaqm635PdxKqnq77NmXA/Q8BhlvdVNObvaE8HxKauqz2Y9i7WI/pKtrmV5ei
mhDynorV1mbapvz/Se/Xare4/xymDWJkT8M9rB4RBj66oU9+KgQtk9xMTYNef2Pepjvl0QIR7GCt
DVo5U7FAfaYH8+l79Z6i7sKZRIrxu2odJro5boAY1tZ1+3Oh1GneI6AznQw3/UkIIQUTu4Ez4hxW
FPGi2yu72ySwtbvo2seUFgbjy7g9rA/JXhisHfIINyfVGW2Tg1GpIdhRxF2zYRwTWp7elE9hIgTA
kWyMippvYkTTfDI+DDfwCp2Rw/ovJW7nL12NKbGwrFNcncp6RCWv60Tk3rxN1IwPabVtNwhlRJjG
decTtv113Ew3EMsOQXow70GTqo551eGi6Wa47R9s6ikNwcT6MawhRg/2PjdvC1KpP5oWIyVDLp9G
s6aaVAiQItw04vHXwCeCLC/2CYUeQ/9Oh/4UXmtNRUhdR9m41ZOFxKo2bNAbtZkuRk+g0dOZ0o4v
Pg4n5XFERYKghpykOmvYml3PdDI3JnmFPH9N5x84m6648XQSbYvJ7BBR7LV1sSa9sFU2opf/bqqH
3zL3wf3ncdZ6k9a7NrUMJj+0Q/TTCdv8GraG15x2CdBQ04q2ds9+Os8czZb2MC/Mc743btPunZ6R
qjK8jOhWTmT3uN7fF2cq5m50ZaPPb3u3UsfwTTmLWXv+NmvYMQ3dcM9mpWk2fogcJuuhAxu/kGT1
+YSqUrT5pvWEWresGxcHlHZyDldjnfZQXBfaX//sowuCvrgTQ781T1UC7XOQclyJeuTZEWOfUT3e
XlnklVGnwaf9RbQiiYAoaNoLmIMAgF8Nr2mrqy79cqJZXzGC2uSJg7jCqnkJ6ial+tXd8feo3WoC
LYGukKJUBcvq/Ury8Sis5FBRjJBfluqudkE2rQI8VhbBtM6xf8w6/eVPY9qDHqI6EJ+ciIdfHTfs
DtK1u1LLjUH/cnTJyiA11uygH4/W52msad5u7aYVqPJ3E9Vobz9oByt5MSokOOu4Agpbm+1gE02y
Y4C613fMzH4HgZht/feQRTQfSCqSmrAcz/OJC6C3ibO3lzBxdJjVKaqBmASCZPv0kd2HK/0MW2jt
g7GN6MrBcdjD+JBG7NZ47VvT9cw6w1ZAHw4pKbbgjSorowGcbBdXDNudtenDjKiLU3pSrYBMGIVm
H5PpMu5Ys71bl5Q9P187r7xmnfW8qxparZH3TaL5yXuJdnX7YV6mh6uyPyQ3RPWAZI+4jkngbuA6
khpWxs8lokUVSQvvn9Ow7nbsqlu1Woun8zbmVN8ghOli7qKj0U/PAYW4mhS4Q7+Dtho0d7CeFDmo
Gp3h3X2EN32jUjtFyswK1i2ZNz+VwWV6ifZuDeD3MnZdo+OtoiZtKSg0xyw/0WtYWezSDsU98n3b
fN+97k9j41aSZvze6Qc1HS4GXL9dGS1qG1+cFpH4RWW6tKv9+8Z80Azpqm6b7IQQnFHX70LlOwqD
6QdV++jXYNXtjjSSuJo79xJQQI8eSuHTu6Mgatjru7in820CresVIgmK6RoBOgvIfrbTe9AgU4f+
Ms5j+CLF20zpwogPYW+nRzTA7a3mIJMLdTGSbk1N5fRh1NMUqantaMWIjrsb137d+CyoUALZvq3m
7zGsOaRFBW11AP5sSXSIJkCXqlU1usS6cYpXdZ4tE13Q9ivJabGvK4pdTAAiao+aoTDzsEds1E2P
WTt0T1e10GsrFP6JSn9p56x2pNJtdfVGOy2v99sbN0nWCC9pm7yoM1VaqHujnhf3XTMaNa/6c18a
1ZNq958Eux/UPtyaW+cm9sZO3WKGOuhp5UpO1s/UuxqflEYMTpXofs5Td2eWa7ega8XBPyEFapTt
NvfA5Zc9aajqxu6ieag7e3DoOqOosnOgUNWVAiQ01lbLk+5d9f2lulvzWi4vVOFQIp4xjowaeQ27
fnEDE1aKC/ILTHTSNDUBCj4M/03Kxj08/D6Cq3ki0etupz24Z2ump2yVnXW/wF5JyS6KydJETddG
Vz3ZqbNHA0xkknDTWVfWIMJrhNWt+FqSaGF2tvrKt0BWTCAySRAr9BtgjfckIK2RfDezReLZnW24
k+HkTUBF0LrVJPurWtwtOhvoZd6l5GV0WLwSurYvn8667IDsSb2YdZrumdSEUavpQuz4HbbGe9Cq
qjo1RqzNxHqGpxPo7OO2P+AoYOh6Cu+Oe+7SQlJZWPI6CXdGgaMCofjBtthHTUw6YOHSXKdrBxzv
dqxLvg1JY5JMLDIQ/VaIGw4vG1xMmW+sVGQR0VugQoSdefRQHepYvoi1FGwpqj29ogU6FglK1DRR
E1aW/CDcWlcbt4jPgbvcEtd/1xosjgH0UMSekANqbY0F/fk0HWUlL+ejxzs1PQK6TA/aubs9fWTV
YY2VQcF2HWzABpN4y1Qbaj1vk4hGa2398C2UjltTP2wddsms07P2zjoRswV0aElm4Aqs/CRdADSJ
Uilb/h6BWQctAceMNH8DRLeDo8Zq3ZpuAwFXI+tOwHxbLz1M3xh4aF0B5VsQJPfNmnqhf2fDlbez
r0yvQU45XMp/91RWpeYArC/umVws0nwA70a+dPBnVcmhOclCXW2aseikeJFAtiRZZ2NfWUpwHywl
RNV16YFEa3h1TnY8DxNc1ZweWJOkLHPtmUebSQHJV/grrs4qedvF2lzbNf8ya0QegNqkoa8uV/G7
oVqY6Re761yRCUf9sw+XNubv6qwyMCXVNfHIdUXWL927MV0Hy/6aLbhCx5xGHxA7LRvLoJXwafBB
73hrG/OMvKWGvdNeT0wuzm0pYmOc9PzJTq0k3Vys6mXwNn5qmlqwko0XLvXLu/kv76PtBkESzXDV
0635yid3lHQ/eiU7FaNrtYa1xdWi7Jz7SWq88obQaapO8uyTHDfcUYs+fsc7gcNvDNGfSdW431V3
H6yaZY3soZQsaZaGMs/JEV9L20OrGFvOqB3IO4YM046zTOitSkpiTN0XMwD0sIVb1TRrIyBSY+SL
g8x9b4Aqbdj9hdzc697gbVBw+seb11jMQ0Rzy2FLL8dP6gf0xnu8YiviNCkI7d2xAt/YgnR89FBd
6W54Apzu3bX9syNZ/mdpIFF3tIgAmMuyMTfWDGAiWzEBXfR0L71CBYVVkjgnwkacT+DKUuwSMfRw
mKqU8+Wf45ykWbD0TuUPdxUXxBiHMZtw8zFWxPLadEmb7ZgVrCSSFB20id91zx58nNyju0TVYLQq
LClcW/k+DJvjAh5QebuPv2PW50R9a1YlCw2vYflx3uYuvuubT3tPdZodsODcNo4uFsl6kMpNEORL
AeyYvo3jigaJLD5+NJOSVrimeBNKDlJGO3ijj0dGGk79uxULTrNbVgWJEayMKsnCJz2umOXG4KYN
gmFjhSAqkRFsRTs4WROjsVeNZAAG+6EIuUp1FvwsTbp+shYPp444WIEH+WJtnqyfvM4qtiFzRAp+
puN0F1S5X8UY0ltFm3PtV6wYIx9xujd7cJyIwIYFH7DcKxNLhrR97n3hP8Bg5YjB9OvpR/Korja8
U3RJP++pXDLDX2SH8iS8f2Z5xFg722QuqwZ5u0d7bTcRolt98NfegaMKMohZBNwCOkTP6BiXC8F2
7CIuPYiTUlwqnhjBJomaPLkn3rv85D6cTkihGbx5W7Ko6cM6iJsJsltVXQwOBoo7hIUGt+sTLmks
S79NNvaKTPAI551e+1f0XErU2B2W3uLffyCuC4Q3KjDuGleDQjWEF9v5JGcD7UYEYuWcgVJYKrrY
owdQ5ONt7Xpes+8EytAXDA5+6DMO4Xr+QgR2cecGTYNQ7LfARaSWex3fcakc1OKtxo3y5VGVg9k1
mTVAhAXKsJBueK+Nm6aYcg6lkGJ6dAd3Y0l5iXtwDbKPt+zjxcHhCL0AD/kH2aBm02jY17pa1NU9
4Eu9SuDGBIgWHOzV/BBsYRqmR+csPGaVDIKE33wMW8ovYCKpaQdPcJ14+RWOlyZHMnalj+stOZus
aUx3ZxxyYQf3i3MxohW8MlEJLuSPg3t75W3sLZNvKI9iC6C9pnf39iPOMMaHUFaRxHLjiQrEIJ9f
XcrQQok2vht8NZjKpHVHICpc6jXS/etL9fS3Fg46b6n32Wv+mW/Hb9od6XvP2TaMDe6Vtd6g3nlZ
u6BjzAcHB2n17NVNdcKT/yGg787zTg7ID91Gc2RQBoxlpOVF1LKNtXMZRUvkTA3Q/xbgqnt6RDkB
TmjY4b2eewEynSUK6AsDLY4P7NPbwHDRP1nQxUJaGuga/kPBvclVJsEyaZt1YgI5TbJAO9SJRi2s
3VbaZA8nVs+Y7kKzVr4N9yGKzb2iKzaQcIpKt18UVX6xiVc2CV1BljieD4h/Tb8ARORgTJVtk4JI
cKOkh3K/RSYkSc84kYl924OsJ1TZYG2Rn8o5mi/r5PpZda2oQGxRUgzJ4d2o70JGJlyS9JwdDvqd
Dt/43rjEpZafOwE1ct7UJSeZ0RicPTbTHeqRIwM8d3d5r/dT1Usn27mkuerFNOPwzGrAD5zKVO2a
5dJs4adnnEkrpuc6aA1NgCPDOkQrvGcrNztFuBkbpGZispPaS6KeU7OGuCa3MPIb/38PYXo+GthN
hwEWNE5UW9Z3aZ2CnsHJwE3tm87ROiQPDq/Ml/mawigOlPpTI0uVUx9ciC3tV7UP/DPedst4QxY3
IMjR3agrXNAUyhsd1CVaeV1nx+HFSz/MG72rMfnIaq4r2KzLqQnVmlBopK6ytI+I7gYO5LDTA/GB
HuwKBI+jZFHTnPVwlrTNavFORy270y+m2cbuuZuwbgMN+3LO5O1pTasQUGMswF5WszrufrTOKs7V
eVhd+zU+2G/tfw66DbuAKxacEuaLLgIfWLR6e++11cab6M5v4ApgOv0QVPRChQBPSnwMzLwHA799
WvQRydVladcWRoualGIJsAt6gjXg92gDhGS+GzvnES5X6rfCcd8GH87Z9P6Xu3NZTlzZ0vCrEGfU
PaCOJO4RfU6EAXHHN4xdtScOYVQgIyRbF1NwoiP6NXrcox70rN9gv0k/SX8JVhUpKNtl5dlVsSeu
MKZSqZXrvlb+azmittdYtBi4gFp6ROTJJ5lUHPtkkxvjYDgfI+XtuMOcRq5040hQLGnPL7i9/ciZ
0tthXnic2UUnwMXj+lRYv/Da90MGJY3R5TQpYSuxGWeAhnamRJj12/6TaVXRH+VTr4tn2Ckw94ME
P2XUmBHECJzX/oho1sunT+i0YIgSomiK+mxcfGlpnakG0AB4RfgcYbd4s24H7Y9c/+VEnmyt6bNZ
kiL1R+78Ah8y9LuULMa8YfN63flIfaHRX/cBAq7RE6o1Rnny0GtzdbFpXVQGM5wZanRseNa5Pdf7
AFeOzubdIs7tjUbfmdFY9Ve9Kne3mdGEd7DC36yiPUXeEGdumKdYVwEUhVEh9f79IFxzYVxrdESZ
40uLLTIH3lxyuECC4yudh/Xrx/49eCACOUGgLpU+LZnOyEsX4eIZMg7brKmNhU+k0qhZrEaGRmPN
LWzgkoZ/gif8KxpaSVM6zT4pq+595/zUa1PB6zMI43SNNgZa6JRRsyB11oe4KH7HoNQJVzJMngoj
/nJjJNCF7tsrajf0GDijR/P2dFMxi5X6olr3huN1VP8CGFGpW3toub3ql1Yx31hFpnFGkhaIlv5j
8wkADREeFeufTL02oNjaFC91b/pBO0Lsg98Q0uYTB+UOy+35rIFk8xOxpsLbccdrjTyrgYdCpsAm
JPeurwaFLxdoSpTQatUIqFQALflA4PV4fd8yHof6ZeAShfnXpJAqZ0WjP4jKw4UV+6QW6yWfMsy1
Qz3UXaDX6SzFj2pGQrOWCZ8X5n35soxfaS4ItnT0dLHhcSu9SUaKuqh3SaqYa/IcFnifH+eX5E0o
8XY18B/yPcpLbIZU6mlwqtvxiEto6060aLoglWxDCufsvlcMG+V28SbAD+nFN665aFa3+iS4iC6W
Z1NKfC2OY97zevT/VCjHL1ByMMY4atNFphG138LBGsLNHX5aD6gcFcHqWrZuVp0SGcuefxU1AIWi
3coBM+Z2CAYBvjtANAxz77od1MKgF97Me8yY7zlnbrvYd1qzhjY5xVsZXl9vWvccDnqNFI7bW+HK
6S1vQK2zW6FK6XbB9Jh8oVHiEeAckJ5Mrxu04OwOBK+XL2bXZZoFgEZ5MB/7od5AoVQvV353joYu
WLeA3t99MWvnG8zYY5dqk0l/gYZRnX1ccSOY4mB4NvPq4STfHOtgfqwoiwcthyR0G0U21s34bHlW
WdWpGsb90Lz3W2Ro3FljYy8BpKHS3bxv03Nxturzc1S9XKJZNmi9+3E0Fo4MBogLP4NZC502Lg61
zm3dA/6jx2D1FtDeaL3xgvkc9RqpQvOBQvQKkKb8wB3HWt3rzXvFPrPCLkgrod01pNSjLj8fIO51
/fMmIEcaU/yKiD3v8YfcoaiOYTyCa8bLdUgyt6s3zrQ4WJ49CuiPjVl3O0LpFFpCMwugigVC55zr
pk5raumM0TmXNdHJQPYO1/mLyacaaqXcLn0K7DnnZQcXK8qPuGSf1v3Nb09Ucq825Niaj4PNtY/N
Di5q54TLzRCgCWHy8udoCeqX7THKc3CxbE7pbsBT9fp5rH+5XyETtIYHvLHowdlglDS+372lWhh3
OBls3yVlVKPpnQKXkZ/mO7Pm0x3+QB6PR0Qh9d5DM+zPhfWnt6CMUzClrNuLmqPbRr5Tvbg1802K
8rHdj/tjFDoOPgbXpKgeE2zkz3wMtUs2Bm+u+ai9cr+7eni7m1bUKqB8FZruaUYVrap7jfczPQzW
RScCSkDnavTHpxYpL6yHh0/x0KSjhcMgcGwX+h4ZSbePU0V88ogWqGGmaHDp1E6LwLzEZKoZ6YFN
LF2SwBd+xLJF0OS0KE1XQMzDEaa6irihRkXPYg2+dBs3bh1MiVqT+BE0tWmHNjl87Zd7x/Ty4eUC
+R1TnZprptkXiyDeg6AlopTlDP0GKtCpPrk9D6qYYNFkpJkULm/iIbONXJHYIS57vCyOxf2QTcch
3NKBWEJ9k7qnhMenCwpYogpCyq0tnNg23bJ06LXpw6XDHdSjiCxeBZrZpEy40lutn6/vCdzj1qaR
b+d7pNqr56tmiAaK2uFo2cSd55iFwlzSCYC4trzhqnN7eotFH9zQ7IWrsqIxARA0FPbnuQmQdMe4
nA+BlMlDzhpNbWPwYvjPSE93iUNSbBmtYkurU+ck4VxGG6xJ3aBfRZ/WsllqjDHOTVI8a595aAQx
y0n1ckv+H8LbfAPA7T8BtvZ5i00rssztoLqL2A7Wl3YYu1GYgNWLv577jhdd+e/70ssLPY/Io5fE
/ttfrOmSSb5OGAXOXSSBb5YEjKOEhLvd03bDLy3hWsxgjaesXagwk6JYZqClxhARRkDRU+763uz5
z3ldrzF+Auz/GrD9IL4XwBThgXs0+h4VXn7BHTlf/s5Lb2B/GyHIiGE2nYkKReBJxbQCNJrBLAFg
SmUqVEofwMMHyaJk7AbG7sj+x1Phzo+9SDDjzPGlubd6Ge30FhqkVvjGCUYBGujAooKKDAZMQUOl
S5ygGR9KgLEm2K4Gf/8pnJB6gz1OKHJsmWhQqPGK3LvQGUOpl5jiQvP+Pg1qNeYJM2eAwS6VYpUR
C78cHwhM20wkKHPKFSShZGAQn8GvJRKUPzBniDk1AgWbgUPaju/+eFH4rlbk8Jgq8iYqpNb4JgxF
jQkmRQbhlZEJaFFIKYRqjQHSSAnQNvxTMKo7DfQLUcEAgRmn7S288F0qGCXBCwLRvFYu6Aw/ORSH
WrlaqwgY/iLU+vV4ASAw4ZpmokJBB9idgfYG4L01BiRCVUkgah8KfIg+YBCNtrMdPO8XYgWBeJ2V
BsUP6H14irEtoNvzljIRdF3/gDIo8yjMByDHv5yboGO6MhKhVGJ6Zg0YDiYAlDlu4Qvtc4KuFz+U
dJ3pWvhToItXd+boF+IEpLSclRVK2getUiyXEXoQ5tB83NLdp0K19IFPKxjPqlYTQ85+PdUIBHdW
A1ESMyIwNAxrE/OSgK6XqVDRPjA2tQB1GBlVYm70lvfexApv+NLXMARAcHe6DUAcOzwWp3zvC4nn
ffj3Z69bTOdmimxF+wq5v/2qiEh2T9/5XeL3v9/5eOMeH2y13t4f/o0RI3u/+ne25b3yHcm7Cw++
/Eyc/b3sf2SKsCAhxdF3TD7sODZ9Xndzukv4L+vntz61lgRFJ5+JtKz9SAt2Tn7dxWRfX3lPp7y4
pBfxtCi1LOoERfqNQn/7yw+vGzrSRgEDyriiGQf+g53sSrCBmDqIEGfZ5qkfRPPcydJOE9YogNGZ
be2TmMjYclN0qGjVjIQY+fHxPeMK1bAl36fHMY786hEcSpwcC//43593Io5qR86Ex/elRJZEScoO
hOyF7/4kiWxYnjWVGF0EOvIJxPuR8VeP7yWhbAe27bmWN02WEiSsYc+yLjy0vzh30oDubXyeddmR
RcIpd47mCuwc284NncfYxvgmO96ygPDCsz5p7DmRPc2NIiuyw2S57eoixs66eoMFkNij+gC5PVC1
8beTZTNvOlrw5Z3JBHOT7FZsXtdIcFWr5Hm/+wa79X+iAG/fP6sA7+//2WLvf2QqsZJ0nTobyVAY
KnjDDyMrd5kylCUFK5tubmS5T9bUDxIGEExReYnd3sht7Rg5WVqupKEOTfseH79x4Y7vTePAkkRQ
VyHgpxA4sGaxtGP9RdF745bPUdVLednaqyQ+xp1/jMXEPde/TWp7r8Xc3/8/T+CseYAF2GdeMRrx
u7rsjQfWWD8EscRhIrrPumrb2ljYj8B5SNbaaeBXWQHnY8Y9/xfc8y63Q6RFdQUWrxsGlu3Kyyog
Lnt9lBYVONhZadvzg2mKBIYCEvTjleVEyfa2x1VQsOzAnlie7KPgQCePScKpH9eNZ8sUDcoKjMQF
dT3JPOiiBpD1wEZWPHVyJ4E1SUUposiSefF1kFrVUCBkzx6g2HPOXDrBgSOowtjf2GGUq1veIqGC
YDoqcMmv72eOT/bSlpSEIYqEWUnd9okWch3bmc0jSWMWDQZaZ1//KvYmuW4oQhJpeUy+rldEbTbr
G5xM4twwDq1kpZ1S3q6ugGn+cWmOzMtrs/nvOXG0duDlRmnurBhM5iiQFGNCqiZqCqKq8PJr7VtX
89l3/WO8g13qI6s7/uvF0ycuOlnWGgo0/YmHbx1IvEVa9OWzfd3cb/M78l51BZqe8GXmxMtkf1vN
o0DA6n4IYbfReccONvbMf3I8iSQiF5yVJmzeSjlth3m/+FvY/EZXsB67MwJnabsFBdtt2t7SCiQt
r0IddwPIIGdvRGI/K3HNMPJTwkEaPPOy9E7ezWXaVhTQtuUcpLBe16ivS13LCnz7mC06TNf+OJ+1
8ODv7ISkQvRErSzrubWdCVmllP9WU3BybRrAvNBeJ1sUG349pn2dxm07wIeVl1VBB9KaMnVrCqSi
Efh0jUmqQRd9FllPrRN76ByJCLqmwJfq3h0oBxyO7PvtgnYi71ZXQIWeHaQYTDcK2Tfbw10dWmvZ
FaZym33lgRU9pbihqIC6Ayeax2nXhD6c7Bseuf6TtUhvWQGNBw56PbI9/N1Ucka0XWQVj0H8xV5O
/DiYJWttXfbiq07z6+pn6LtTaCKtW1IQBQx9z0pVP0oKRGQodLu02bKC0zu1o7kdHEZcolsk69lR
9VxZsq5QYZqZ9ZfyenQVoeE5Ndp4Zsk5MBXVsEsfKycLHs202ckrJNpOL6wrYODRVmsGjieV8AwV
UcfoIZXBNVSkcEdPFgFdME1oug1mDBUkXtlT2XgYKhKYo5UTbXZSJ29ZgUCPFyJJLjmXdHImj3l/
Ruk5IdZ3vNnUl8PGw+aQ+IdDr2ucqzv4rkEzSrLZ7TGWFNAEjYyBsmeBzNAqopqRHaSTmhUF1CYJ
Zuf8zzgvUhYP8HsVme5dO8rQurOn6UgPQHYV/lzfD/0nidq1mk6b2KuO7c/LdYkepz9jpmtG05Hk
NygIsU68GUZ4X05fPdjX/TFQyMIV1dP9ZXUV62IkJSkyFHhj9TiIvamzv1fRD5vVZWrMLcmKqdDc
l/ZDPHGdO6FPcPZyDe43SaJZVKBit4vm/qV52fjXhApCfStpl6EpMfDlClpRAV80/KUf+OH+dksK
fIav3T3bLkovl5Bfeo6CyIhJ6Hbu2g6mkq0vKQiMmvcOEVckMXdZgV9pztYP0T4Zygo2az7SfOKj
4txcO8bxkdSHuKCUVSTNwIkCeVkVFt6M5o7/IGvmigJBvELC29Yy5ZRUFYRzbWsiC2FVwfG15ymN
/7qL8LolOWQEWt+yc0Lj9/+N7Nz0//7jP7tPvhNIcsdF0ewP6NveWuLfI93MP+5aD5xJ2gXQVbjs
Azv0o7lkSXDxslOB/aaoUFRgWYc00M6skLavZIe7RJKCYyPD6EeRzA5KwhY66laSFtZLCuhLIim1
qAI5HmJK79JZLyW0jdG/6fwJ93STU3x/RDv0N0JP0kKcrLXlCBUltFMHr1taVYVq364qWwxdRQlt
py4BrgtDK5Z2fdjn/+Pq5xKfXu5dNzQFIcjz9YSDqyqGiuLJSGQL5FSgoaJ4MhK961ZuYPupDI24
RZbVURmRZ0xfA1HRGjiKU912hgpbd+XLQQhz+xSQ4Pf/8nPAZvz+39sOhPPg9//x7hz5Oo9RUEBr
OpWc9NUjcUk66xleWR6DA2QZ59pp9oXHswMpVFGvIgxe0N+Ra1mh5AgYKmo/3EZzUn4sly6z08Ik
zcCFPckIGgL+Juvp/XbgdxsqajS/OcuJNVlJZoo7uNn3u9Ohh/KtovhTd4LcFe6LVE8pvd5Q+/MS
gNvbiH/CDODRq5el129R/LyT2N7i/BOexOcZ0S5ARnJSX4E5OqGaNLGce3nhUnYNcRLQRyybIwXB
Ai3PM9ea2uE82eG21KOAEMO1JVrtpGVVbHgepw9Ngfqtk0K2JStUULDXBkbIn8pnpsLUjwInN6BX
XUpQqMgjcOlITvqr8B24OTbL9cWP0cnlPjvoKoKPLp2+np1yAAEBSR70/qCUleWj01WEBj3rQVYN
uoo7Ev11MFtv0uoMFJjsZNhVKPt+KvHKwOjsa++8niNrKxDpPte+FvNDkiiQ64El1yp0FfUmasCW
fyAiJQVUpuZOjTDFyyq8d9JXU+dJvpatC1iXrN47C1vrtEyrKFGc2g9yLkEX+EBZt3tuBRTw3WM9
yrqAY8m+/uLAVdFVtBOfA9riPDxQqwmTXW7Nv6aA60a0p1gPqA1pZV0Bd1zNLSfdd2YYCuT6yrp3
DiltqChSX1kOyTeJFCo8jCuCfuEWptWcoUIjjTcT+wg5VDR8Xjt2xOVsiR4qVF03ohng4VkQ91cH
OU9TwCH92LPCOfH07mqc9ASgqBS4zaMHLji662O6RMCLKhDMoTOd0tJkWmG0v//d9fPv6yo0xJvw
LkZzZ+Hjoh8hERhDlYqKFNrWPli5PgUJlxpguLDWAqlhOpOUDQAW5YKKMtiVQ3tCniKbXFmqGLVa
QVNx5ja+/CJOzvyvTcfy14Q5Tu6CzhZLSufVKgAhqihhNP3F1M/9lczQgujPkYESapVyEazFhD/e
70T3rdgJHOm+la5xibQigG2z28W86+TvuMqUD8M4WW9bOto9Q0GJjg7c2ZGVFeiSgfUQzVPeyG7b
r7oMPy8f9BW4JmtOaP8VBHsB5bb/kakEGOYkiCeWdHrJL+/n6BN2BlrJtqpRt4IJJZlk0a3vlPyS
5Qmz2HHlpj4VfpPYLZgzkqunosNU9LnUrTlYK9LSKuLaU+vJohR6xJaoCD8b1pr7AInaTQ5OnKIK
H6eR4j0VDQNNHwD2FCKRCq8jWfd4j5yKkA6EszRwmoqrIi2WvZszwJocpuvHcn1RRc28AxCJlBgE
KiDhlPeLeA9hSR0jKM/Z130mx9AKRFUt3U+hoqdSNPCHonQuOY+6CqSMcy63Rr5A3JI8HkNTUY6O
cn0nisKt2j61nxxZVamIDXaYeIwtlzMthhIVyxUgZ2pNt9u/8idWqmKv4h6liCV39GnAm354TC8y
dCA7k46i3LXDrWsQBKmEbxuhd9rhIA+hotusTtOSE855ZDBzjip7Q4VcjEcvPkEBCzM50Uq1Ohoq
IOMawLqRekzOdevEqAgwRpbsewFMnjzj/YpzJ2RmTMIjcmJZiFU0YO3Wx1OiPd+1l+tkx4IqJSV9
RxE3iQLuQO2vXNBqKrKbCNZO80tr64BMJx98j/DHXO8XHHKVOLFbeNys0QSNyN+CSVCg42+33n4S
TuxRLODXr4T+vIPYYQn/CQ8imAnWkOuaKvJodWoqKeABFTcC64G1kVt1VLTjNcj0S8kxFXmxhu/6
6esNKrK45h3uvIyNKoYKfZNwgU6+J+JvzEzunGNxNyV10UFFk1XLcheiKHHMa6oocJraMf0UUqaB
PFp2moxIoZKIl1hDVwGsI2pipEkkA8qAguw7PrcDOdWn4u7LOIjTmzVUSMg13csbgLGlgzNevzL3
TjNw7L/JsxjEN+5c2wr+/v8AAAD//w==</cx:binary>
              </cx:geoCache>
            </cx:geography>
          </cx:layoutPr>
          <cx:valueColors>
            <cx:minColor>
              <a:schemeClr val="accent2"/>
            </cx:minColor>
            <cx:midColor>
              <a:srgbClr val="F08774"/>
            </cx:midColor>
            <cx:maxColor>
              <a:srgbClr val="F0B474"/>
            </cx:maxColor>
          </cx:valueColors>
          <cx:valueColorPositions count="3"/>
        </cx:series>
      </cx:plotAreaRegion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plotArea>
      <cx:plotAreaRegion>
        <cx:series layoutId="regionMap" uniqueId="{BB8129DC-643F-43D3-AC5F-DBC68BD31EFC}">
          <cx:dataId val="0"/>
          <cx:layoutPr>
            <cx:geography cultureLanguage="cs-CZ" cultureRegion="CZ" attribution="Používá technologii Bing.">
              <cx:geoCache provider="{E9337A44-BEBE-4D9F-B70C-5C5E7DAFC167}">
                <cx:binary>1HrZkt04kuWvyPQ8VGInUVbZZkPy7kvsEZJeaJGhSBIkwQUAF/Bv5hvmE/rHxiOUytSSVVlt3WPW
/aDQvRcA4XCHu5/jzr8/zX97qp8fzZtZ143929P889vCue5vP/1kn4pn/WjfafVkWtv+6t49tfqn
9tdf1dPzT5/M46Sa/CeCMPvpqXg07nl++29/h6flz+2xfXp0qm2uhmfjr5/tUDv7T8b+dOjNUzs0
7mV5Dk/6+e1do9zzpzc37tE927dvnhunnL/13fPPb7+Z+fbNT98/74e939Qgnhs+wVoq33FEOccs
opgzIsO3b+q2yX8bDqR8h3BEEZE4ZBFiQn7Z+/yoYf2/LNarUI+fPplna9/89v8Py785yQ+jyrbJ
Z6Uk7Yvsdzevh/3pW6X/29+/+wGO/90vX9nle1391RCIrlWTKuuMenL457f7x1rZp/aLVj5b5JtJ
/0GLEPSORyiUnEQRirik0bcWwYi+E5hiEglBMHod/3wbPlvkXxDoz23x+8JvpIcT/u/j2+9v4+l5
Vi+H/t4kp/f/DUwCrvj4nYt8c6T/oEEofscEDSWJEJKIUvKtPcBDKPwI3sEwfTEY+3IXPtvj9q+k
+XNr/LbsG8F/fnsL+v0f6CTxY/n45gk85dfWNOrxi4L+885CX5xFIsmwwDIKKeLfGgdj/g5jLELM
WBhyKvGXvT8b51Ww5F8S7M/N9MMDvjNYnJx/sNh/a+c5D89j++b4/O//t/miqv+8mQh/x0PCJedS
UEzBFN+aCXxIikiGmHDCGGZIfNn7s5n+RaH+3ETfLP7OPOf/YaHtpJ6K9vHp3//Pf6FxsHxHEKhe
CEjxFAsGPvI1BMAIv4tCSElMMC6lQN9BgH9Npj+3zddrvzPNaZds/3u7zneB+Itb/1dBM0LfSTAH
oYxHEfz3Q2xDBLBbKIikknEABBD7vgYCfy3PP7DJb7n9Hxzv/0/K/8cI7Xf0mj66x9Ur7P0KpP3z
0dcDAiD/buk36Pmba/dFg7tPP78lggD0+h1NvzzjG/3+EPo/K/+Ppc+P1v38NsCYvAs5j0SIEHs1
1ds30/NvQ+E7wNZURiICx0OCvn3TtMYVAMxhEeQtHoWAO0hIGcAK2w4vQyR8J2VEJcLyNadBtPxy
0Mu29nnb/K6V376/aQZ92arG2Z/fYnDf7vO0F1HhBlEGT2ewCYBOQPhw6O7p8RrYzcvs/1X5ognp
0NFT19g0C3qb4EnjXd3mOsbkcfKhPeWcqcTmdGewClLE53ydzUu0zskwnMKd75tj1QXRvaSsSUfV
3pfT3Fx/pd0/ExT9IKjgnIKEIUQqKUMAYl8LSsdMhaya5hOXZEjopHxiuBnjzNhlRZWmOzYbtcaO
5sdRI73J6tM/F4H9IALDESAJiZAII85fx7/Slaj17Ezr6hNXVh0bPt0Gw2DujOriMKDobKwOkqK3
Y8qCqlyV47AmyxRdtXl5X1W1WkfhrNY2CNKe5tl29tSnPMjkphfswndzEg1FeeSWbQLEynQp2Rjn
DJVP83zbde1yGS3CxgbVyxZ3mdmowl8KQsoDH4biPIloXaDMXNFS3/Q5mu65O7UknA8ET4Asf7/r
f2KNH24NEwgDdcQcUw4XBzL218bwI7Zzw0N9UtrM61EH/YqVHqWlE88IF+VGljodZDouudn8861/
vLFMggUYReAbhFIECevrvUfEcV8vPTt2QpWrvnVp06PpajF6VZKRHtQSnNhU+y0bSJGUJicb7fAj
mqIioV29KsJi2JS8LpJgROU6055stkvUdn8l6A/XhWPIrHBXoErwIi7Anq8FxVzUjrEqPBq+bMiQ
F5t2nmXc+apN6l6QbWRKklARmDWugtslqvu/EgGSwLfezWFnKSQPIb4QyV7s+NWNLZRFNKzn+QgV
AbVzJLiyTb2ccBA8LnJ0x07q22ypU2lIlQYE1bswR3jrchTdZ3RJvBkv+miYIVf/s+uD+cvZvwk7
nIXAqmgE+QsC3/fevMyLrjPRjcdCDcVO+VEdUFPrFQlaswr7flnhcsArXtj3WYHErkK8jLuhe8IZ
79NFiODoK9TvSu7SslwjPZZXyA5xRZfgIMtlWvEuXGIcivGQ69DF4zLXq2Vpp0PP0HpxxbQrTfE4
Yd6s6wfN++6stI7LRpcp67L6k6f1sPaBSyuYty+aHasDH0flXG4GxGPDC3qYAnIzglFPnRIsJTJK
Bkabq7DDbVLSrljLJ6+YfW9JWcZa+NuSB8EKmyiLF66vx9q3j1HuYyCeYxp5rbeqb4IL3zxObMCx
DwKSqHISa2b8mLaVKuLJVvxQ08Ku9Zh3ey89XTHasbRviIqHzPXXik/drrP8fQFR/LgEuYiHeRlB
osiu7aTrNOiJOvp8jOeoas8oP4Q1ltsWwlfcFIuMJ0/IYR5kH9NQ+G2GsiAe8j7YznMV7fN5FHGo
cZ/UlM87a+e4kypclVJHa1XZak2qkMWjYM+DdNkGsSGMw9GjdTmKMHZV/pGjsTnL3D9Z5acDb8VZ
U+ZOo2meeMHBWoHgx0YyFxfFjMB/+3FTjiFOZjmjNVaDWY+jLtJOtDqeOtrug45OiZT2l6HCKhlp
XZ2iuSricmIHgVp5XpxbL6xb4K4Mw66lw93gDVqLoqTHQEmz6vmFYaS7j4rssje+WOkSQvMUiGGj
bfXJqjaPh4I2m6loi10jhpsmg7wIhsI7k03NRcO69/NSX8xOVFfG1X/hzPxHZ+aUQ7EBA2AHXCi+
C3xw4zo95YM5wiZuI7BfS93VSckCtZrjImNi2xd1d1p0Nqznweu4KetiXbF+uq5we70UQn8IW05T
4ueHrG9Y3GS0XY1lhLbD0pI0Fmb2Rx6VeSpH4tYmy6okHxC6rOagTLpe0WTubLHCSoUpH/oNdSg6
LNOL4TPltoqpKjbZbC5q0DuGaxY3MtS3ZVZe9f1ehzhc5Rw02qkcx72pVELJnKXYLyI2dTHtS0Tz
BOXmSK3qz6Lo75dsuUS2JH+hzggg1LchKIKwEwG+AlUSYKbf5bCwHaaIjj0+FkTw2Hnp4paP4KaT
vB+RE6egvMY8E3vn9ENTcXHVdGOiTSYP1dwXB/q+Ja28HG2ZhksRV6N/gMzyopJwuuiXtt7jQtzk
Bk/7nHRpX9X8Creuj7NsLvZD538ZGS933dKEsc/mKgaL1Ns2zIpDGJpEUS9ufLjKhpMxUXSlyBR3
MyPrmrpNx63f52Wl05pO9SlfyHxZRPoCdO12I6lTGuY8dXm3JKItzNnV+b4g9CbM6X1vl+Gk2WhO
mFZdKoLR/qLkLhL18pE5uabt8CAi1D1kXTXvVMDzVAVl+DGK7JyQQQ0xU9PH3qhUK/8BBSTcN5Uv
Y2ZFkw4922VEyk3rTQMA0hKIMaxYL4F9Qi9Btx3tknRhcFOasdz9RVqBasEPRoViUMTISyUOgNoL
bv464eFoYIWRYjxiuhKTlmkzYb3/48+gUFjFf3wPsW4+D9e6lT75YyRTmQYVw5/X3/7xsKezAON9
O/316/cLv3rGVx9f9/hj/uuir8T8aubr0J9N/7PfXk/mG+M2DCF7nTURTZxQdeq73K4naHDM5qYd
qrhyFT60zbgfM012ZC7vepfZeM6n5dSJul6NrRYQZfL5klRFUueQV4mgal9h41dT6JpLulxHEZti
RNF0F0zFPuo7/UhIqxJIk9HlOP/qJRtOCOJ73gYbHrhhJfwAPk+JvFBlPqXYllkC8a9fcTfkp0bl
fawdIWmQhyZucUMgWlU8Jo2KUuxKvaJl9t7VU71lFY1Np9SJePa+jGi7brzfqKZaWIyIeY5KFOmY
95PdQ2i0h3oZ7nCmd7Ppw/s2744lwPW16AFSOwNhj/uhSuwwFTtXiT3SOb2pa1JeqmLWqVRFdzWp
PE/ysGlBez6/9GW5LyWklWVxQ9oOAU0h4ZK1EVl9VU0+He24nDOtEtSa4NhNHJ0z38Z8ZGQHWerR
JkJrvx1wWW5MBt7fTaLfNLS70qrWGx/NUSJ60q+mMsP71td2FTblsrJR9BGwLknnQJNVgKppnU36
ZikGnJpquKpaHqykwTQeWh9ussb1BwlQQgGRuLEz2w+T2KhpSIDzjet2KedVx3i703mftIigQ9dV
9U4oDfQPeI+X2Z1hdxWXbj3JcE6bnJq01fUcTyrEm6jfVpQ3cIT2sWuj6uTdFkyR7XnN3+e6s4fK
6jupBv6QN8sN1+y+rIg6qYUVB9cGYRIGIdrnE2T6vAtFMlQZhizW+SQnvtx44BcrZvhjO4ZyUxBk
YomL1DJpL8hij111QeREr1zUtPtlLJeY5bKOZ58HawC2QUzVDGE5y+WuyvO9xcG4Kfji9hp18cAW
dqwjUiVAZR6cEHzro/xSElodiw7F8zTvoVUot1bNbdIEjlx2wW3tj9M8D7+ERJZJsFxL0xXXNOPj
qjEDiodg8OsSIbSjUS5BMXV/NRreJz2yn1hTQIorwznh4ApyMPzC0f4RL6reOKlRzEM27rV2LvG4
w0k9ByZexgKdGBp+pcSAX7hqvrTU6oTMNQO0UkTxUgBaAspOj3om83ZkvUlG50nSFpru4V532zJi
zTkXOJ6043EEkfTYKXY/heC7YV3UL+CNx6CfMp08q7bTnAOgo60GimqGI5DvTzXRB07C4qIM1Lwh
+TDHWZ1Vceco+piL4mnOWLvyGuCqLtpz2dh11UzFnYN+SuKfC7PYUzgtQ+IVSQdc9ZuWIogsVZBt
q2EAOs/B72eJ6boanF4bQsfYdgO/yoMauHWuNhnHQQJIIkz40oUJqkJ1kDSMx0ykJsrdVRvUE0Su
Xwivs6TNskSQcFlluVq5tiUrkvPhwGcVS27IPhN6gOgGuLEz/ADEfT20pDuUNT1E1EyXoViKRLdc
7sA5xxXSLM3UWJ/qbnKJ4A5ukETV5TJNW5WVkI9deZBEX4rB1BtNpqGIe5HUbbmsZx8uG1Y7ciZ6
PIXBcFcGpt2C4lm8RCHe5kEbpGWPXRwFwm5qBoYXS50fgfan02R2NR6rhxrMnVJa1aeRJPPc5TvM
1YPAgb5ua+AzeWmTYIgIVGhkors5vJZl0MedFntLfB7TxpDYuYidqaVy52d/X1QEgg9W1XYOpnrV
lYinaC4BPSj8QdE+OEGpP/YLSkyQ5nXbXxb1RRew6qyDYok7AJcl3ATNIe5AYJMAfSIVM0nKIxCZ
I2vAn+3Ipq025ES4NtclXUwSdH0S8WbeTrTgN30XHDgr9T4LhjBx6FOZ1zghi1MnK1dLUYhDU002
0XlLrrouPw3G2ziX1G9Yhfluqbu4qWR07ebc7tWcN1cZMMqyVu7oJU1kEWUn8JTs5EbyHnw1gSG5
yfMlGaO6PreLHu7mPlrlk1HXuJ6KOESlPz+DZ9mrqJpVMlfZA54rmzYVKVadrd5ncDXiUs/Relz6
NSZsXPN6rjek6PZmwMFunLE5Bp2L1m05XWIMIL3JlvDWSDaBrwmpVmIMl4sqbOhZNifa4OakjWlO
YvapZKo/Dtkkzi0g87Th97bMURoZga5MMCUhUK2PQd/+qt3oztrOOu7HJgfsVmUyEeBZdlrEFQbh
Eqij1fuGZGVc5ay8GCF3xr0n7U7KJopb4NQHi3sWR0aOu6xtttqy7nocbLDJJCuSSNO4aSGHNSEG
ipyNBywtBgqR38GO5VE7QRIc0HEzeh8msg7MXnDRxRUap4NsmzqWU+M+YdomcBcM3ES+7MMxcI+a
9WFsLer3rEdtnHdDluixIhDomE0+tB6fu0b5lcylStw4c4gQt3KYqws5Dh9o31/2ll21YfCcN6uA
heNa22ivfHXndTHHslUPXeHfkxLdzHp+KCd8E+GsiPOM7GTVx0WV3TREriFYgE9OD0JVKamideQV
TbOlSSdWq7hFXR/XolBpW7z4GMY3hmVA/MrlUE72MZvDWIzlETJotLbZaGIzmK0zYbTmlXnMDCgx
0AsUhLoNjO6gRrIHNHM7GvOp8TftIreir5K2HZ/YyJ/KvokDO14yO+xkJ1b9DGFmmZ5bXEXAJtDW
RW4v8gKcXNOTajtwwFFWibBLm+TAVpN2tom9Y2V1lQUl+bA44DAsCN9PRUfTgS7TaQryk++GX4BV
8t6/H+Z8D2xnDmkU2wGD5vTSxWoO72sTqnWRaROzsu72wCePiHVNPBjw/36kJq6R7QHY9VUMFGtd
BON1KAtI7UigVbOMH7KlSxsfXA1uHOIBWw9PCiBd10WMcDuuG9EcvLksZLTBZO9a/qhMDkDSHqAk
dBuOUKe2SCTFYu5NtujYBdUMJulXyocsKbzv42hAN82ONMVtNg9xIMglzfmJkL5ahVbdOp4BDaNT
XJaSxpUszkiOv0Jx/EEMmMeLm2JWZDVgEAwBctD3UPtZQ6VIJhEuL4YSxySHgJxnpyzr4l6OPB4N
aZJS5m3ql3E/iJPNygtbm6thzjZRp67cuMKFvhF26pOiG953sjyXWMZ0zs+9uiWLj2mAP7RLuFWi
yJPWqq3x+XNdOR1HXXW/RIFKqxE34BVhrNrpmAMSKnJzb221Ulm3h+KUSiZkjxGqzrwGg80BVqm0
0x0NzGpR+LYciYzbHmo8M47uOpIBmlH3NssurVcu5kbEIrSb3MrTRIbYR00KQfRTJ4lKVBeq1LYi
hvLrwepMrlXtPmXTsCuxZnGvMhMPpAJM1tZPc7V2zejThszPoq/RJox2eUOBaIvRg7t1jwxS+5bm
alcNGlTSDyeFcr5f0Lzu4DEnPS+/5FB/c3pBB0CeSx+/fnz9I1yEDkRNYZC8fmQv319HeN0OGyin
aVddLHZGffw6QdZl9tvc1+8drvHh9ZP5/VPWLH6/6E9NEc79+nXwu7mfR15XRCXcw1mjXR8E/uvZ
nzcdxkYCOHl5Npzmvu5ctn5d99XDX0c/C7b4ah0Cqdm9bliWAhiNJyz1UfZF7NfZXz3288KSui6F
AF5+1sMf8kKF/svZP2/5x4llUZr13MqnP3766mDfa4ojH20ZWzbo1QZ/rJlLoZIh8HZV8dYc9GIf
OtP4LXRgwrMR4pxP420tPE6ZbQHCWievDQNo3w/9Zak7l4qWyKsWBzZpsiFK+9oGcbR0cFn8zFeR
UN2mFiNLui78kHcTO0GkyuKR66fIU3k0pDhMShcXqFQflZvdCqL0tQVscI5EBkyNdZu5a59JlHUH
wDT4kHt1O9kHpkL7AN2jDMiXXvUTFH5zvqiLqLbQURCV+misAmJkeb73fkq0r4H8kHFXLdO2jUx0
qwt3QIV2K9VXdmsXK+OGIbXJCS5X1kILqAryOhaB2kIF1d9ScS5HCQ83uU/CRiUBkfrClIeR1dmm
z6K0aEl57ysoxQULvpu57wAVaQiuY7NnGSRi3EMahI6hiklJRcyXuopzJfy514avbJX1qRSN2uei
PKFQ6Yu5RUdnliJVBMqEqidB3AkeHYayMkmkioNFfIJIrOXKTvJaB58WYPqA9Ba7KeueJbwxzbbs
XJ/Cex1n1zGTzC+5oOvsVRDO3RFq9CB4pekqRHpJ0bZSYXYZ+slChUCLtOBVfuREBKsBFy6JfBYA
6RqrOBSB2AC2vxv6+pfA+4fGar5Chq0yVfr90PtjjqN+0xNZrIs9HLhLVJ6VCUGdW6PJZ2vWZrsJ
unFrEjCX0GWBMq2XCYl8dKzEcojw+IvMUb420JU9GI+2M2LRRviu2+UjGBUapu0KaoDlRdO6W1RA
JqBjMB8XM+IYCqvQqZHACPV4LopRHn0h1aaLWHDyDWRuAMrFORinfOMXlccSSgxrgIxun+Ny3gRS
iEQvRCZBTu0VzYYbL/ujY1qfoSzVbrI5WGKUD0daqk+uIu0ds5nfNAuiae+zaVU3QT/HQ8/vGB3c
RcdamU550KVjQAmP+yrgad+iLFFh2O5CvthV3UcbNwVTPPb6eYIyD1ArTE/aFg9dCEgjMOOZzq7Z
V4y7ZBi7KEWOLCk5SzzVZ1dAj2Aa7brB0q/n/KUVHATyahou50XiOI8Kc8yhzq0K6zZWOB/3aOlX
lSL40laRiwOCTRyY0uw61XyIRqj4NuSm6WywKlk776I2xbKZ1xqY9hXjtYkbX00bjzk5tbLf2Xlw
x9roWBRSxkETzmeqcGLJ7A55UA4H6Pu4Qz2yh1JDDctMbbjvUQAlmhY6MiUAbEih5S+yK/NLbvMm
ydoI73Ux6K3QV6OXY8wHy1Y4a0iaO/Ix5/Mc97pge50f57kOPtqsG1ZDM3dQWHhBoouLEgMsYWuH
TCdhuNxXaBpj0bbtpUNLvTGhcUnbGX1DGqjDt1m+ggym1vB2L/rg8+rYjhXQVQpMvw+SvlzC99bh
ajPJ/NjXgiezjpY7L7xbtXyKEqTn4hAoPQHThs5QxptVqa4yGkG3CfLDmjcIcJV20wH188MI/riL
GsBwAOtu4T3fA8CbYW+4nk42wmndO+jNl+G+A7Cyp9GY09ibMDzBO8vNpoXg9WswmmkFseGa2fIQ
+pbeMnDG2ETKP+YDvZ68uu6nie5pq/Bpa5ZGHlAIVaCoWtzOTI5uRNXVsWWLvhkgPEvAy3sLdr5g
UFKomX9UnjQfWo2yGGop9UpqA5lYjMu6IraGlo5Ticn7emP98AECcvGBT3Rb9GKLhGjeR1p86tVa
9qR+P2fzOvRFvsnKdoaYHaCdzdxlCY2JNcrtlLIqEunQ+PmEgB9CD3/rlFJ7XfI07O5QObSfHIda
Ggr1zZg3n6oeAR5aaHajsa3TIcNujcMeStttdacq6TcZ8k0CQt1ZKYd1gVu7h+bzVR8F+jT2voo5
CHn0VNs4m8YVdBfnY8ehC98xv3dLeMnLqgfaWf8qRorWEERJzKJZrxaoThxR1tx0Q2NP8IZ2uIVX
sw+NxvDmBVTiLrHtEmEWBIAzkQRaTXnL5HEYINyMnJMNzpd2jcbB7KGFclEX0MnUtu4uFXXVSstx
vqyoi5u6mdOude6q9B1eDYpXaeiJhxY07COQS8aqAfwMBGZb58Tt+mW5NbYoUyF6oE9jERfQFzt6
AVVuuLDscvDLdhn4um4cgsoYX2VhlK/qIncrSDTraqnytDBluw0tXmJ496xNqxzaqkDgYTMNVEDw
2q2QWMrLIKsv6obAz91wQfiFaMbuwyDXDV1neSHOYljYumrNHDteZNvMAF8D422go7dHnagu58zF
S9O5c9PV76GwyLcMKihJy8RFgQq31qYwCZnMkkK3n8dT2TW7gmVBGlIolU0RFKA6VKJbw5v7qwm6
iNum9SjWVQtdSChnQBzw/giNyLKj9T20JeWupuSMo+AS2tdzPD/JHdONXvlJut0yw4p2zsieTwvA
eu8PclCfKNSwIlKfwmg4zXMutq3ozqaDFlhZI5MuTQvkMut2HNflCmUU2m++zy/Cvm4gIPAbiUSw
hRddL4NqDCEUNeUJ3iOat7rjDy//+oa3V0C4JqjM5HrTzVBlyUokH+uhuQ+RD49ZJQ9LVQeXdVtd
Uja8t4vsbwqFLuch+6i1mu86iLmYTPAWPqvRfqpBRa4sznj4OMK7mweGDN5Mwv1Kprq4ChcgMWa4
wtFC/x8lZ7blKK516yfSHkgIBDfngta4jz4ibxjZ0glEK5qnP9Ou/Kuysv5Te5wbZ9iRgW1A0lpz
flMerMp1n6qtCzoxowgwhvx1Q5nv89RwYN3j6ayGt0G32XMNRYfY+fxQNRSdRGo3yaQ2LLgTJjeC
leVooMnDMrMdJrldLVO6ETqZMVFllXkOnfgRbrp+tQqLH9qZVknTr9IzrNwfHOtj5hmJRecuD8Qg
3/PCqa4qZxl0Zefq5nXxcHecfvJoP0GYP3iqr6pd+yLLf4Y5/nz6f96Kqmi/fys+34MGf73+96c4
yM+j3lCyvz35B9b2PzzXb+DaH1mS/8cv/0a1ff01PfIr1UZtuJx/khr/gNpu0GD1Z5rhBojd/+An
yubY/xGMmrbtgLthnN3InD9RNuc/prCQEbEtekOjwHv8d5SN8v/Az0aqhBkGuGAgaP8/KJv1D97G
BA5kA86yKWdQVn7z/npT06KBpH5SdWtCu+OBNuT4WE/L+FgNqO56cc0FX05cFOsfD/afP5kmhDFr
zIg/bzpeK5TrG3BcYq8+s93pskloNK6ZdZExGvJ15ukL5M+wGp3J9QZWsJNFBUwMViiI6v34BDlz
vtbcCpZWuF4ttRGat3dL277fbbLT/jZVZ1kN/Hspl0Q3a/tJFMPebjqsr3lfB9Yq8niCJA9pcxsu
tjbaSC1F4xe3p/m0/FfE7h/u6Y3KAZ8Ncd9xzX9Y4sVcyLwaQeUUdrFNwQp999KQPg+mfHF2Ixvq
U5e2gzebAmiIMdbXtKq2M6YPx9NZOQUg8PJqb9uZNUTON5bmXzAJN9d0hQ7u8lqj9HTiKsvpDd6C
qGksHep6PC34pLxWlFB+uBaHqjCkP6Wd+WZ0BfFHWI4g7+Q7KS4gEtuPBi4gFiqnD+u6a8PSqmnM
sLB7omL0QWsy7+RoQajL8+4wdmV7HNSae9sw7iZmkeMG6/q65uZyNVwEftKFbUCP4BWsSnvErKqH
bFyXGHSM3udmCzEWfx8Ws3vIJmacCF/gfU39/Hj/qQB78tissa5Txx9Bdr2OklceY5n7dc7yULhS
QOMs6rCHrQBVGwtUK0vrgq4p2kqyHZphVVGmoR5WN1ri9jCjsuvN0r0oDpN21FBlCpz8w7CVYzC1
xfpJZ1lSdi8kbZ3v3Jl8rJJFAQ7kpsLM9Mcmh6sDgOmzHNGPdXqlr7ooUHDayxz8Mkv8nAV/pUj/
OfRuLAWCSxZEvP/lxmEImY3oIejR3FoGb6DGqjx1Zv6k7bG8jJuM0nEqZw9oQHEgKjW+mAu6fpnV
0961oeJOtdbP1MzoVYP0uD+DPtQFHFV9kOUNuEdDO/aL1OyDGqJcPUOui8elhhCp6qI7oPQqSvu7
BiiJHoSy53G7GIVGaQk+6MW0e52YqUshOGv2UnaOTubOov48hjNTns6LPaWd66BFFuJQWO3XWZhU
+BvBIWpHqMDmzeqnsD6OqVPTIxWv/34Sxe+jz0VCwmIMgTvLpozav81flSmBH5lW+3P00dS2Hhs6
Z0GXpvy0SaM9sbxWwag4O+XlCNttNNMtgvVqPE5kcf2ioHUs0po+3l8TX5ahGB9HiTms3JqL0WW4
QkycRE/7Bwtr/ZXCrx2i1ck/u7qqE6ZtBnsXJRovVRc0TanvFuFzz413ECkSkwB8ipwT9zpziAii
fwCX2z8g+LP5dNxwsMZZXU9CnS+q+uu2VZhRafmozcI4AJjhoZx1eTUqZ0Cfai/XZdn6hK1Vf2NW
2replFaQwxPcVY3tz+A/X/tm8yarKL4Q3kzBZmX1EYEslBmZPkmi1oSU4/fsNs+4t3nm/pNy9HfF
sjVRc/vfMODfrhMFSHnL5pnIE1Ebj7+BQxQmBCcLo4eU9h2U6vWDz2P9Q4gSbh1IsXLOAQo6qNvI
aC+QikfhVdxtI1z99k3SG7OVFutBlo56G3uSsM5n2tKXecjsJwj7NBgHJSKLq0uxUsPwuzE/1II0
Z3h1T0ByVWLZaCLM9KPLFCyAolvPpt0u+zzjNUTHne1Y6dmm83a5P+SOKo8gynfiZjDZ1WT/F6CT
3zDxX3hOxBIdCsrdcYRl3HD32+9/AU2bIk8Xifc6FPJbM5nFyc4M7Us0hUHnKBs9tJVFd3NvVhq4
mqZ9NHOYhFRtKsbsYb5YKn/LgVBfMQKBRMqpPcmNmW+2CKuy+Ta6zrIjg1QwOKxsgSSu1cmZZp5s
zN5e0Jm0EYT4YU9V3V0V7jm/tiv76+p+CDSXXywbZjYZigw6CJylwnDnk1QYNCYK/i/1BFCpy+pP
bWuzsO9nvTct5T4QAl93HqzlC6s3qOjiv8yc/Iat/3biBG4h9CyGhcgBuxU1v544dIF2U67jgXIF
dDBlmAyHRTYwV0f6ZYWm4w0miHHVLflTX3ENwxtkHzXJ8LgyM/UFV1ncLf346Ar+NrtVA0u4784r
qtYAhr77Uhfc8Zx1mP3NsmdMJKba8a6Cv7dU8OQcc3uuuxU6G4Fa12PJDK3JKiO5GFXYZaPy3WZc
juARsE725bG6XRQ9OV4+ZvoFwgXkfD6Y4cbXLJiYnX7593mRIQbx2ylyLY6QBMAAG3GY3+fFuuGN
Hpq5O9hOU0UwUOdHR9hHpUryhmZEJeMIAobN9ux1Sw1CR2FpqbYp/VrsTW5U3/plav20N4orTLIW
83wGi8GWLzYbYqc3odP2vFL7FdXI5gPWN6J//wb8f/kGWBsBfFP06Ygq/oZhm2srUYi09cExUPfV
owiNRXePY83YS7q5MCrL7lFaMPG4O56l6zxDaF4/gRjJAjkhJdDbuJ37ctkegLpLj0q9feaZUB4d
++bBbaQ8Cke0wQbXkE4N3DqzO7Mi8wtWNde/HlCyOH5NWxHm1Kox+wdmb5DzHwWlGF7o4KaJu+Zd
sFb5GFciNc+5gPll1fUGgqrl52ycXv799Ji3r//rGLBuMCvWPYRs0UOgHfj7GOjSzHYyzhaQdjMF
eLBAMV3NPJYMYJG2XX/ApBHQDWoZuAIoW5PZBnk29IljgMkeYay+AiXt/UmV4zNp0iZQxHKCbR7q
S2WVOyVL8xtj9hNk7fUzmRsUZ3VuvDeFhJPmgqZtLHOGLohx1pf8fROgdvBOQMRaVT9QKL8TE0fq
ZuZLU2PRuj1juYGr50AV+ffTcUtu/f10II8jHEQhMSHg1PDb73+ZEojNpemuQ7e3yU1LxtKanVce
1DOxHtt89gZnzSk00qqKlDM7gNx7dd62/gcTFJKGIU1fAu6LJ0D/j7KZ0AINFVYY4gvHad+UMu1v
9QYeSE/5V4hCjuPBxXnRkjf/5canv2H+2FMAeR20dgBsUdAw+7fZjRgrrpLZtPt0mulDW3yeDXP7
WJr+Yg5TEfdLbz1lxUIOvBmB0HaAkSAVZX67zM3kbw5rExvTlTfU4mSvqSWg7aHS/fcTjkiWcVuz
f70F0dMiKexCacYQM+j9i/xyzocCmokiLbipVHpyAcViuS+zDVkM1ONKd/l4mtSTU7RRV9BdL4DX
bdCXC7jglTxrBttkXfYdLaLRUNCW21Mpsp3pSK/cxqfebMPmto6wA/70ODJ6zpfpXPSp1w7TJ5Wb
L5ecDp+Bal9YliY5G0/l7Jxqihl1PLJ+82z4mB8zxGlV2WfJbrRwFpWN8z5yilKriLc6i0edxjlU
1jE9Nh090e5iYTnpibmvxjkCdRsV8DyYnve5eDGr2l855gyqnzfW4c6H+ygxNNYWplXZeJu9Bb0p
LlI3cWWaYdVnwVx9d8uP0vmo1xezCETqTeZBponV7rIFYIK/PInKL79CF4X/Y9TnFPa+7i7yqvBl
8xLrLqS2H7MzezkK9TyNM6wy+QCG5bLwV+LGFJSc+8UgT2lfepNzMPW+HOtgyCGa+ZUVSL4bgKO2
gbBiZ1ZeumhPZMCWnTEY/EKtu3LBxcrRVC0sWjbyprsqueWpjMpIWo53GA45A4G0GQ+20QFFl6Gl
zMfUVs/aMk90hYLGgajwJKtgxq8TqMtCe1jydoUuY0MMD4Pc9gAO0afyRBXimSOZoTekOtoKnd3s
yWGIWn0YYHpZ4lNGyDVnTSTq9zY1T5JuyEdNDxkIsrbk4SAwpU/SeTJgrellZ5ls11emj7genH/C
zhPUbYhQXroNKO5Wz1Lvrmr9JZEcIjj9hOXN24wc/svNqfEoonttdh3614o1Xu4O3sgzT+Q4WDG/
Z2sVOttFljkCUukxv6ZZ9ppt5jHLC+7N1fxDTlA6XPtLkekkc7hHMjeUzuizEFoh8bgSeLctsPsU
RcF0WFfcLtkhfR2yN6eWYHn2C3+x2suifZQR7IVnvsk/gw8LCrD9ZP02AX2tbRGBlvCq0oKDJH1F
3yfYotv0pM0OyJCD9Etoor/nz2P/US0vpbtrs0+DfdXjszYD53XOZDQA1q0fCpJHawFOH0JACOaM
uL0/5mfGDln3wjd0FmkdQJ6NmTh0kgPTSLY0moq9wMmUaHPSD/tDZXtuXiX9wHoBC0p90mCAVTwP
4BgA+1DXt4YedZPKPW6tt8+S1oATRO4XpEhM2WCuAG2Vb0FbuTh4HWgL3I/RwtYcwCAMV1KwuJ1f
jSo9CwDGzncGkn+pIJhaYEQZAf2MVix1w3J0vcwsdtVo7fEvvuIU6KYJ86kMcBpAasUNH0NoWuGw
4X8VIfLDvkF4YMkpQbHkQ8eJK83jEYXkbCyJidu/SiFXlQ/q5soBEOXU8ku7CZdBAy2GsuROCZFG
KLQL5Jp4FcxpURreSk+oNpKhbM9OQ692aicdyJC818dhZHudGREf+VO2qHiteXxr2ucaa7c0/NvQ
zkgTkDLzbUBf23ykPLoRNksXOlUiyaXOH/opzFq/VXuV7zozho+7Idc1xJvh9QAeDS+DAYxRsR1z
99PcL75cX1n1taB0b4+T1/Rt6OYytkwSaA7TesxOy9oFeQrstUeFs9ZahC0G3WGRcNfxvV5r4ehg
oGn60Vh1XFBEX8x5hQmzjt+RliPPKGNphGlGzpYZsq5G5Z3bYLGNCYDq6GGJqmIXXFq0tZfSgSnV
I5IF+lbypNN0Cqyt/1IB074W1J6f3GVOuhItWAlD3G81TxPqAuYBlb43YXo/ttVqe0NqJEuxiYQ0
jgLcnhs75EqgYbrFixR8unTCTUxXxFQb3XvtdAvQsrKKe+VWSdsPTmAS/QEpikKzuyBCOUV8hYVU
OCTOOytm2u3fR9TKiUsLN+hlP7wbNtCltUOQ06gbUCpW5t3/W+tosV9J6aBswF9l4Fz8uhigsowE
Up9YsMCsh5Ll49sMiPRYK9SaopxfkYWoH9TS6QDFm5sswCDfOarqeZjtl8XZtpOaOfUkXNT32V2c
YGGTSqDpnReDLo/DkEVrPsISmfQSmQXuikFnPx/MUsNjr8vT/XVAcqSChZ6BVt4GJmJntVAPDUts
rG3CNW/3ZVauGJ0WUgh/Hqm3Kq9jDGdsqD7B2zNCh6Q0SB2IQP1UGqGdVZ8VW36+5/0P7w/31/56
ev9Yf7222k5cZxjgI1dKejBWoCbXdutnJCXIJ0un2WfWrcmoa/Qbs6rU5ovevC2TjRPcfwVnTu3v
DzlSiEZ4/7EBTSM9Ndgz2AsYgYg3NFAQJYlZYZ5t0sTdZERygn0s01BxE7HGBxsHrxGm0jaB3Gd7
1Mq9kS4Ramx0H3CoU8Qa+yXUbRnaPcZ+Np5nZmJhHYKy6fwJ9iA8KTAWc2I0LCHsYwKYUNLTLEQ8
EXquQXqnE9DxKZ5WFqf5p5JBiBh5pKWMsHMRKEIe8Xx9Vp2ZzEg+WA31tr7FxOk+DmrbqyGPuyYH
qoUJw2WBsfaxGqq94jeNto9xMndDh1pgiG/TleIi7AwWIKfg2YC9y6I6sV6FAz9IJz+urIi0WYaq
tDEJDhEZeSxIGQ9aBhn0d4QlTgZUYQJ7GAJUqHI75hi/cp09BCVgIVox5VVclzQmKY/b1g1Xf+NV
krX2pxZEbD3Dg566oNWjj5jGadtIojqCdZUEeWFfW5C09oIct32j1hcfte9ldae9HpF7Iw2QffNJ
b/3nDm1X37/JCetUur0iTfPFki+TGEHIOUcxDLF28DkYveQE+e0Cfq49JZk6L3DIR4EQKy7epJ2A
YOLTNduRkhxncNHlgOUGxMkqRMTWZ73IqLaGAF5BCBwgQpYmXDULaZaGLrPAVBE/1dWud7Y9xv4F
zhfA6OrdLQGgNuOONkNsGHGeWbHrYkWG4zDXkfxeGeNeYMxWC4/zQcdFagDQN4+iZ1Eus9hY/BwY
DMTFpLjxoZjQrKoNV6dDMelEZGj2c27hTvWI5cayacOaGOHoIilYHzcD5RAiQIx9qK70SmuL0NcH
fELKxKG3fFE4aR1PinjZuicAHyxGgnV1AsdIXDXtGVLWdqpjURuRO5p7S2Fufp+pc+3AH2tc4cxQ
McFYkOYCkKh8oviAs4EhNA5RiYDDMsUM/AYpK9AQzpESGYkcVkWLqYGqGGKTd/vaSNSGjfNqoMKg
qgzdqQmxhQrWegpLogjskXj6Vq06c0Sd4WCby0HZBLh459di2fXTdXPaqCndYHQxP6D+toYpYBIk
Z878FK53i55vJuh70c66CLCkQHNI2UPIiPs6C8U24+xViV0FuKQwxLO92xkxYevRBb2IE/CI+OWh
79RRI/VlN5jaAbkrFPeoUBP+qerSnb0hLgrMpMNEKSz6gs4osevxkBo0mpwixDwdbrOx35YlssHa
r/1+bpdwZDropk+uEB4a5GC1kXROxXk18id0FO+GArCk8pcaXvLcXuy0iTXvMdrVC8KIAcSmncHV
KdP4yJrFYn5SXbGbzCbAFgtxTUjcwy3LinXHuEIJD8h8hJaPMHABB79PfUSBfb1t8Jxg82KaGqyk
vq2xuRErKfdIc4AxnEO9VnvHzB7V2B6t8Y2A5irn88Dq6Ob38E1EyDmhdrJQ+Dh7OpWAkFcUPbaP
ZOEOiz0CR+sR0tNzB/yx2dq9Vq/20iRIFj1m2/JV2mC3p+JQu90VV0iLOppSK1CNmbRWmpiwkHA1
D3kvHvo8TOO5ote8ymJWLbisfczN6lQwO6i3LNQABw0XykXz5VbnM9buoPgGjE9xWpHdBnndKKIO
82/mkog4mGFaHZKChzVFvgQFUo2dGNom7J0hkZgCS/EAKyCkHfncuenO3eTBJmnC+BDZEuNf4Tpi
bkaWzDeicdo8CQCbSb4Ha5F2n2GbfHQ936tpPU2g49e0wVqyl/YtUrqFCyJh9npwyIwZcYhFb3jb
knpEvpu4QerGHwaBpEoZ9WLdq9m8NOsl36zv8/zEm/KKbtXjQ/O45lZSOMlim/GwXTteHdvVSHo+
R1sBZMf4YvT2bh2WxIUDo8w6hIAQWqMVd6oKDWcIiKMxNz3aIrtUzbSv2zmBzxwgY/xoidZb2bHk
aAp2BYPzwOEcRCksk7SfURNHPde7Ns3irMYNDIPE4e2nPo3KgoW46r60W7TbNFpmFfSp6WmSgxyq
46YRoaksX6TjCagBrKkWrWonT+6SH0fD2DNuHhc39znMD8jfb1rnL9ViPuUcxUpqtjs+w5E5ryg8
OPQGuyS7ri6fUQ8+8I4/VhwivZw85T4Kk10sQ3r1cgbA5cxYDyM2fjIyxFvboz2HgIzxiZF/cPoX
90s6P5RoQ6kV9+Vzyg5Kxo4xnIzCjiq7OBqFeiGifhxo6zcC1ARAbkzISWE4ez7W75KKb1pkH3zB
wmqU+7zPIykVeKbxsHTT/qY1SLX6rTsCa8WHyfkJez88NtN8WIanFjMHCRskL1pFfLpJX2uAp9La
DU+cDImyrWAjCOkAHLNm+Qh0DrrGnEy5CImTP9vDBy1voM6asFElhrFCARmjYqiCTYwhgjp7CyRI
XYORQW+ZD/6aFpcxb17B5p6hrUdEw29gDnJ2236pH7JB7+rlQ4EVppvaATbaWSzbUUNGubDDSspd
h2JTmK/yuQe+0oKNctihkbfSpQQUnKmXDSTRMpeH1ipOizt5tWPF1VztsB/NqaTOucJb99typmhy
iroItbVDMRnoHMunhELSsB1kmjM23HmEBZv0uX5syXJtR6RkjXwnHrfU5011IqlAQAyEmNGmIYTf
fQMQnq8F7jw3brv6ZFcV2nPyTEh6ygndtdu4c7JmZzmNN6fpM6HOK3bbuMLjQfDJvgDuO3OzhIBs
e7oARkjGh7p2T7WZ7zZz3KvWDgjNdg4yp5LQa3vrl7EjQmptV8nGXSfWc0ablzXdHqpyO5q1J8l4
FSV/BgNwlIjsKImY3owuqMMAg1CF/SUm105mkT1O83oqHHV0GPJY/dHR9n4hCHQoujPS7sWtx1cn
/Sqz2csGqAHZcKF2oJc5ro3lIJtsN4jl0OEumBfDRwjGBzaMdX99MzfkA+XopXXz0ZbWW5+vD0AL
XwbscDA4qL1uM2VhnGr0jKsyPjBTvrqo6qwuDWpSBTaMBDcdPuwtvWbZlNBR7dDqM3B9VacejJEe
nPyHbGZgi9V5a6fr0Ki40Kgr8vZEWRm23c6YsdFRNu0yN3+aYH92iu+rrMREwPfgRh/ByeAo/eso
1JlNPIQX78kyGbFFw9wZ0VRmD07tBNUqzz1x90NBH3oEiVJQ76Vaj7DrkKJpHrMm/wQyf2+j1L/d
4kaZfQIQj8TEFNJZPE4dPyxmQjScg2052O58kFJeHWEfBjSFy/JiYGmcmi5qcASohF+3BrmeDloE
S31yy52OAcXwcjsamSKNCtYfp5Il8Lvk9NoykTg8e5ytYTel4gAFeZiLI5YAVOndjGmGlZ5C2NkV
H71jRuPaHuFh75FqPkyrhDo/Kg87AyDZ86aH4h057SeRiZjMpQe36NKKZ+lYBzEVJ4WU4mDKIyye
k7YEIkXpPnXJDkz0CpJTLMSfHCMwaKxNOwQ6FrrdEouvi2LROpvhiLCwLsuwr7bLlBnXEsM4wyjd
TPAR5inLYbemjdcCg5b2kMCvepoMccgaK7KQA6wIC4tmjTL7TdmgZfMldke0+G+Ub4d06WIDFTxz
5F4a254wwHsgzCY0sujx/LKEXmcj7LmCV0Z+zi3jwkDRukH9KLYD3LhXgvE2TzM2XskwrlACEmxK
REakPSRcBbqvjs28RsKyd9BwGumbWEILK6JzGq5jh1GTJ+h9iaBXMc5+V0xYVqYTHZpLXeEWHrLD
ChhEmeY33YwHWDePFWSKoRKemSL3C8xvcI2LMM0XKSnm6fm7XgQmWBccjtxNVWgtr9Lgiay3Cxyz
01Ro6HC3bFPe7dxahmDWH8jmvAghHmEJXulMopVWjxLuvjZ3tTyDa/T0WO1JOaNxh9pc051G/htK
JmKfc1i1HJvGoNYeOMKAy0HX2yN1ywt68bPM8iOflsToPy9FftQp/1jr9dma2Fcxsp3N192s02PV
8J2pp72CLKuL6TCv1r6kb2TSiCRiEsMXaE34HhMArnLATDUektZtD4LXB8Fa+B1OIEgXYz8aLGvN
sZRYE5AQmJd37F75sDjNx9YQUKQZuNQMe6pkawy2IITctSyotxCO/zFZoGnXi4DoZhpW2KGY6DDt
FStqIF7GI7PRu01n12bgZ6ErYNOcQeeRMr+T+sfAuyA1jItE5Tbg1kPILyrQB0HqICIGch8v6RBR
Nu2Ek4ap4cTYH2dHCTtUDx1Xn7s8SxyicBe6YJOMQBWvGIMHTFBXNg27QtHHYkbzUzlnUMtoHs/A
vKBHIryWWtgxAMHibNmxBRpSg6XIRomx6WPp0p1FPy9dehFVfUrH4VjNKFYQbPCQB017CCiNOUU1
WWzkGXJ8MosHU3Yh2oQq+qe0cldDXGuCXnF/8f78rpPcn94f7tLNX0+noZUBlePiiQaA1N/knu5P
4ed+jMoN0jbVO2FANZ5ZDilgyKFCiLWmKDThBCAx10BWwEObqgH5gVoHyDv/fO3+U1PDIP/jPxZI
QXhLkTmQ1DXglWrdmn2XEadCJrFBx+IsexTh3X4s8m7fTdCTjKHH0kwFblTAOHu69D8f2lJIuLL3
59AMboXV//w+hUUPKHHZ3V/ibtHuJ9Hif//1X+4v3v/453H+OgSyZJPXD3II7ufgLv7cT1M9r6ZX
NyVm5NtpUmJ8Mxu3iAxi0v39oVRm6nGskP59J5D7FiF/bSAiQfjh1CEqCaX/bbqdtPF2qu4/AfBu
9gTbSyUyRal5U9jul+z+VmujuxDO3DfJ0xLOuVygoGgw3hAZcG7vB2jY7Yz+cazboR2r/JoK6PN5
1uGSda0PQM5N+ts7bpZV//G295/ur3XUwS4t6QYrrJToJHCI+8H++r/310rAE+sfb3P/TTmUSBsb
1dNQ4fSPMy5Pym/neuzbPiIrcD1NXG9DlFu3Q9witjetbSSgG6VsjOfRhOJQePOPEX1SvXahqzUC
9Bb6AxrzoQtrC3vM0SWe5ik0xsWvlvW5W90vpD2lNKTa8bJLX67RbGNzHP0DpNfVZAO6sjlU0MRv
uRBSref1x5jCAdy2xJiGQ11OEXZkDywBBaja00wGQpfh2loHWGDJVosH2qsL3NnYTAoYocWA/RnT
5qo2dmiNHNtnNSfZG2E+NjExfWr6ekBRvdpJfiPpidplU7bPhjQsb0tQVZ3VYW6znSS4K93bomgE
k2AHbFpwrkT3DDnlh0WiOVUH5EtuyV71BIQAWxbhuk1tVJjWro9lWQSjLv0KGzHmGiFbnA9ZqBhG
/KHvtyN2HkyMutyxwd1z8pFq+8HMUcHqb7fTsKV2aNfVbXse0AzQ6BAkSkcWVIhRAc6LZ2dCYfx9
MPo4Lw/Q13Yl3yKzy8NpOloaVaNRBJKkCMhgsyOKLaNQnKxDjbYr27UWkpcoPSpAmG1XBeNWw+II
v1HSIZ2AHkBtx8msgnxzkKlCJbc6cUcFxn0Zc2QnwEdhywLTc7SK/i9d57XcNrBt2y9CFXJ4BcEk
BlFZ9gvKtuRGbqCR8fVngN7n7LoP9wVFQLRkkmCHueYcq0bK7Lx5L8aEsD2wvJiSVbuTLGES/sSg
OcfZdx8zi9p8/Wx50ytJOIg0hIztAake3s7C3jYxngipnNedY1dYvEm85QQb87Yizqd3zyLpQ0PG
Ww8mi9FQOlkoadkkJIfxYEsVdkHBjGHsc6S0ul29Nw58iGmfU2jVCRYtHkkBYW8KFMq8qnYJL2+Q
zWY1TlKyObjaRwv/pLJQzHqxyZNXw3822KMQU41GK9gmE5HZS3ZERQ710gwBoWxmjPVadUjJBo2A
KawuSsuv1Pl0i79WZxG1Y+E+qSj2ojavdm5X7wbdPNRWt9GKPkrxucUN4nMNpLNstvpYblNLnhp3
jPAQRV7zJPsCbzNha8qn7iLYN2ebSTbh4mFYnePQ55XpfR7B6DmZpnX0JsLvBA21vIeA4G7H+EqV
MCEEHOfdrYqbH2kV7Fv+WBYP2zTwtnbu/FokxY/VEe43YRaboRfnkb7kkBGCSCDp9cuvBrnJo/bl
YkIwwMSQ+pLo4iJ7RUPQyPnnAZVLMn25IJg22ogIBTqzikRASM+mLq45GE1LFEagg323KQmW6cP8
4CXebzZvWNG0fSPqdw9OXu+LB2egSlCb+DuLTdBpG43B2sAHqPXTapVFPe42jWdGGRivfJ99zVlC
ueBiCn9bxMu2TnqKlBc/ybeZzoflKDQ53D8ONgB5TkUejTFUFTHuqznYLW58ox63tTq+PkR1ppEX
kZ1xZB58TeyTAJ0SYybEjDVLz435B2wtOTGxTVBArVo9WEHwkGT6JvcJwXXtPqDM4g1ONPcIV/ES
YYcFeOplzQ6SJGBTQCmNipyRuw2bRL5gyaVC0Y7OjujmBl0uGsh8G8u33v8ujT70+dMDb1tfHEsb
wGAKES6jAKJHBUooHLNDmuUbL+8PS0rorGYd4vUbEf+dlR2Who5y5oQAn6IUQi6Gh+VxmcuDzLtN
bBP5p6I8Gck5yOdti1ZsOyyjGI8z9KKi+NvH9fNE8dFvugMpXCS89mFoWXBbJ7PAgIKMmZTFQ10F
V+F9WlMSSVvjW1Uf4vjdKWsK+B65LmwbOHILpgwHPmI8UvPU7J2PZ0V61d72tEhjqGwDG5+7GQba
QHigPMZsXpoi2LPDfhCzBBXwpxxxu1tB2Pft6u0J8Zj2DfkihJPy1Dn6awKUxTH1h6bxdzal1BXW
YLQda93HOHOegF7e6qZ+ad18RpZqT2ND6s+nWHxaubj5AuokJrcJh43sP9HJnRZ0oF7Qvhk84yA/
GH2zGWoc6c0NqO6mLtvNAAOKoO7GCIoNjKUtIg1jrtz4/N/dhUVKqW3XcPHsDhvFztJAEPT6dl8y
8BaJxT3g7xfcsCkln3HUN7MUUeU99uxDG+FurDR7ahjpQR8gG+jRYPrXJrO2wRIggdpsA+pDgfMn
aAFJzHLjLnjG4X2WpkDBNJ601NknvXmcuvhv0h6T+cWqh2XTemsBynmA2/juWN0WZubR5p1Oi2nr
E2QozYuwwOYwgmhq/qz79I2ALAEp+Slk8tPq1EPmVccq9z8pz24kQfAQzNBh3RG7uUCts3D9G2HO
C7PNq0yopTGlu51zGjA71cZtmbSjUcE2ICAaDJcsnV+SYPhhps7XotgFSedNCTbidYqAujjACPXn
VnPJWZSb1J42it2d9ZQbxdXuMxY2LJiGiR2etnHmeF9L4wIJ5SU2nEcVix9S0159g7ml6l/bKjv3
qXcw034XcyPEzq70ZkJdPQIVPA3G0BkDAs7Ll2XnxOZtnNJTI5cIAWgrKxlZab6Lm2nLljOKEcyl
YrrMkr0fn2ufqdvWIiURd43gNGf6w/o2mPMx0dErRn7Mh5+aGWVn/OLqiZzYcfCOomeFIBIsD/U5
mZkshuwS2PaF4XD92u/I4jI83NDBNhYlFTHNBxhAjw6FSJHmuLO0Y252Dw3xv9a9oHW+KdOEFOqd
qtp4GEcQqJl/zZL4pICDqTqLgp58/fJzioOHWWbH1OyPvo+4KJjtLH+rkMMJtDGpB6wkIcH9HC1Y
X2QLii6JYpfVBbuePm/J9/8hDQQFC9RQ/af3X2Z584z3khV6VWBR2+o2TiT16RqvxnIr8SVCShQk
8qICgSU7xd6THP4u9q05aMmt779L9l/sNUN7yHjuqzXuW/MQmNz3T5X3bmlYmo7zuxGHTJjqFQBH
4Rz173ITP8rPdMJrFLVYnvVN8Nv+FXwwppQbA/Patb46m+Zoh9MrngAWGQ0fG4X2l56h0g7hD/XU
PsIE6NvfYQgt9POc+YlNtJsp5ruxu+XesFBoy+3T4vviKrW+jjDFG699Pr6ko6KqrVeMMbJ7Ripu
HpypxIrqGm2YCtOlkoPdjj9khi5Z3RAsS0/YgjSI0STVoUuKfnMPhxRk/Q+q4j9F4vAs+t77aqX+
4pRiumre0Pxpkp6VV2x543ae4EnahtQeJtcf+DJ029GBE9WM4lIGY98xm8JFsjWHRWqVerssZ2mb
q7yiKAHSdZcP0IamNfdTTRTU7Xm6OZ6tbYcK7HIm8opRT8veg8U8Fzqa27gk/tYfOuhgjGlv+Twv
WwZo4xwkRJWkDjMiW5NLyf8dtNk9mKXBngW23yV1AxmlzuKx2Krl5X4tr8r2EPeL2hvu0py1hICJ
bMz5p5nXxxaUTVVMxquUKn+6+2roy/R6v5QbdTR3VczXiEK17jZyA11OXlN8scyE2slEu7zeD3aS
p+hSWIWMs1sLeSanN19VJparaRjzdfFiVJTG/nm/RFWYfWyZXgc5W49QOnf3T+b+abGfZO+a8+UX
y7xr1hiNzto0IgYmDlOnTS/ZDM2rpJ6W+tRc7v/yfqizX6lhWk/wGtuwn/VgZzS+Osde0Z7vjxxN
nd2puMLaMB7uvxkTCiqD0autq9ffWqY7L33XUA2USUca25IXO2WZvcb3NCefLslALsfkwx16GT/Y
weKBAuFj1mqZPdW6FoNQpMzuWbUIM58V3BCUPFv5BYEhvUup4i7l8gv2ou3O2g9IBpCBIQ7Duxjj
N9wOp4KMdlKW9bNuqfii7JVsZE7WR1lSIB/Tb9wsoVix7iDbllCO6oIi79ooVcGTPhnOge1D+8Im
CwhxtpR/Rj9+tk2HRZxvaDALhwdNldYZLIh1awjGkNbmm6W1VHja9TSYq2M96PYt9rINUOT2WqD9
hKwK86i07fkzsUZ067EZzx7c+A+t+Bmo3LxUqhjwxRTusezB34lRjFshvexEpNAwevcLqIRJxTfG
+gm5l/dE2dUxN9Lk0rlP8+LkZ6FrN71r69DUBsgpXpZdZTy20dRO6bYbddwz6XTDmG/9tWA725Rh
vqYEBhuvtghTaE6GLusy8lo325PS/0shhS4CjfUlx/wCPYsqbo+oVR68LkkufqWSy9LokOkKCv4k
j0oocvmjpgJnD7h8PDlu40VFq9Lfdf24sNejyG/m2/tt0ri7YMqKF7sf+JZPgQrzuUouCAzikuum
s0uf0fwl2AF3AhlDgDhPVL6VTfLTtVV/tDxFcDoYR8xoiGi5JBgf+UFGYd7Ibu7ESBYP1tsIUv5l
rXi3VtnvJ7umoIsc5drS/psY5h4pyfvldk0M1KK0IvDq1MjX74w4ZJmPvbo1rTc08rEcnwXU5XIp
zBeJTjylsfOuCKhdRRCIMPZG5z0xTcxTw0Al2m6M/WJYPpN1RZnbVuRaemN4FVXsPJoSdTNIxteO
ClBozFW9IiaGV1aYNzxGzjWYteGVthrjxpKeQBDIh8hNp/gknnMGkCSss+riiWT8NRkmobqyb96s
iiqaqiYmoGJgVqR7xCYQ3MGtftCXPvuS6x3Z9vp4c1sMZk4t801sVhnmgly80rCAgXca3C+b3QLK
d/JbKaapsq1iloa5T/VuTBFyjeJBE1V6qaYGql+rty+Qq3EvY9DoPIfMpXTaR2IczoW0LKGYvn2U
Iu8e+zJOw66Qy9F2q2kb4HhDa1VjslHSwy2zRlf7ecaAgcO4t6HpzYVW3lxD+FTuCPdnayjiftCF
UYcrymQz+xjDLDWgnfA5ZUEmX8T67Vk8P8zmwqNgWAjWzLibfYghF1JoBA/jrH4SOF1E3Rfn7P6X
PXOwI9ip8mcJT9gzR4cUTkO9YvS5H61ZXMaRLgDGMpM0DVp5bbtkCH2zssCS4fyoYHHeD7ZegX3D
lL4rU/Ar8RpRBICaPY2L+SGnURyWrG23w1oL1XuKdyl06IvZsqK45zkI0uaR6thWM5p/NqNjf9ie
kFENqfXRAZZx8IvdvxHA7GJykotD2GNI5AmxB+9Cb1+zZZkiUyFh3oNXBcQJNh3lzl+zV/dL98Pg
G4ei1PWz58T5Q2X3f9omYbVNgZaVZvpQVYyDKCcnOKXsZ1Ad49OssQmMrb5fkYtDF3rLJCMqLKxK
zCnHzJo2Dwn43JNaJHGZrOo+ilTgUiqzr6y3fwy9++tfzrg0NbFRtpu8wMqcLpbj3FyrT17uBwZy
sSHkqB067IaHBFbHZi7yGw0m8JxmPgUB12mfEaugB+WAMIsEJ2FmZDtpzrImWhog2buLvXXTgW1O
PLvBIbCzMyF4BrjAHSma3aOYIMynqPEreEzrwRgtZCCH3Fk9/+cSrBYCVSPrcFZ8W6+Y1U8HID1w
YLe8FFhAz/xdNyIjE1CEjY0DPlItG34aqoZoFpvNfhRy/olLqME82tu6BuUDtMqDE8/keSA9Zzhq
HDUVF53q/gWIAq1K1tP7I6onGk5L8/DfSz1Rk4iQj70mCIzzZPf6ue/s/xw0S8pwSrxqB0hx7kOv
Xf2vk9HMD22eRdAMq3O9HgB4+XtH85/ul0CW/Of6/dF/rpl7P8jLh8LImCerQmCK8aPScpoLDqW1
g4AzNJSmOe80SbqliDGGqSbqGtU+5gv14fsBQmXCZkGhIP3vpfszvPW65Pn365aq2uMoBab8uBpe
asL/eeqMT/cz00LvkBI05NgX6bPv/i5Ls3n02UHOlsTBtB6Y/exNoDTj37V8fUbMMwZi5RG5LGCt
NUuO2ixZ342F9yM1EXRwL1Q3d6jcxyaAQZquPxD9YICwLL9dpdn7PtGb8zArPHkT5FTQ1meMOd5B
mchdBkvJ5zY39OdxXVD7dTc8LOs1K5HVmnQXOaVJgXyGMY5t0oL+6TpNcbby8ZJUhnWzW8M/YpcE
GTBgMxeTuRXtEj91FmvH3s+Go5dQzbpfS/yipgHIfLmvYHOjMc65svgS6/MXUes+IGEgTA0cYz1d
MuBkJAnsXWPHW9b3aCLY3qNxsv12Y9vvwzS1r+PSCepSnUE2Nc+3AdrIyUuVdnN0SClGbPe/02x5
UkLv3kBrlQf7j5k76uAOhfmoZq9C+Fb2h575nx5z0IPfKhnZXV3t5p69KI4k6y2I0/87TSOoUuXV
A0falXK43nNugRFsHUNY/wKzelp9ZwZq9rLERKmS8tUsqNWFfj5rDDd0EsqWniGejTRuaj/HDm+a
IdtppBMWO+/CHtkv6WayH/DhsYIt4+PMfbH6deAXF6bcIZm1KJksGAqrWt7KITRJ8YUjuMg/HVBo
Nof239SxHnN7nH7gn142AaTtp3rsqTL32fBQQAC6xHbAn+yz57x05Ye0kCH9oopP6Xqat/Getq3Y
h+NFgX7rzDdzuVX1uLzeI9ucJLb5Tq+X+KkoYxyOVSnpBqGS93TOLsWqBMWy9x7SVM+esT7Cd7fY
kVO6xvvgv1CC9ipr/vfLgvgGKcjfs7Nrdgl9frZmVdVXrVHFYUzdmHhHScFZ1/MDWfn6WuBO30JH
Sp+XCuE06Rf0aRlogJTrF23wgW9qzvhWK1jz9xcj/Utnzuax71nPqqmqPzranuyXMW+24I55uflP
rLbmLp+RXT1dZ+HuAtp9NJYLHqx00wTUczyzlNcG1Pf1/gh6LyWcAItj1g3wBcwe96epANgx3x2C
LphO+OlMPIN9c2pqCGCNwJKsBzmEiPWaCuq6hiJG4EhlL7IVzem/B59Iwb9TowHkrJXg6u4/rXuV
hmwy7N1YGqPc1xmdB/SSjEw1xmAKZGru/MSn7cw6KwipjQ9Nq85yPdObrjZDbTYex0mUByd2nFNj
jNR9gOuyQyBj663XjFqRU9Ht/NWLX+6x+q5S9ELxjRGo/GSccu1hZiV2MB232vdO7n/03kLNuU1+
+/ZWa/Q4QpOVe0NVFtDPodzKkWfeb52CMvAm0bBWuzqy5WIjncjhPwfXL+KTQ2clm6qB1m28Fo9f
W4sZV4OAgStVj1zvdEGFLo+w9h7ITstea1Mvj85iV6Sf0uw6WM6uIj3ztBhZ+9Todnrt/p9LS6CO
Xs0dMbjyasN4fILIHz9Z3iIO9iSKzf3a/cAb/2ourL20yi626bp5yteDlzTDUV/7UGjVbN2cGGho
E+iXorLGCxwm86z860ghFnwfh/tlmJsDKxC8hhn6zuzKWG2FXk97YsjM9XIh+NqnDpnKsRoPiw7C
lUBJ80Lljn4HFJYMH2kHltN0UfRsC8faTi5T630XSVN8UIUqo1ym5U2z1viFF6eIg+k3XPrsYHtm
+gQbg1SVkQLLD171nADSFOSPsBhpyqQBPiaikGFQs6onc3U6GgAw27o6/KM31F6L5VuzAK2URXDC
uiepdOUW0FeHQlCyemX1NbDK5lCdYptvHw192JKZ7ldLpRISQPV7BQEbhEhRs5fmgepN+ukNSKNV
s7wyHo+YyPS/ADWzT/4d0WJNQFRzC+BgU2I98xtWRlvpMCO5WA3jtvpO8As2cLXy+eS61tPQYYy4
n7H4KfdL4f66w2CgrSGzkqoBsgnZLFnpDfdrjUdurlJgt8UPXYnyOUn64SXrkzHSJ3rO3U8XONXY
hJIndgMBZJKPuhHzngL2gKHfEj/ywn6yO69/dhO/ecwcqwoLz+9O5C1aqiRwdOwMGf/+Rt4P8zxU
ILb9OcxbBOj7FjCGB7K2YPKpgtA/BXV23SwH0BhDc5q8D2eKj2JK6sN8/wEKEnSYRJItyOlYc3+U
NTWArSTlWiM+E1e6B4/d1YNsiBdJaO8XX6Xf2Mlf22KYfza5m0RLZ/CVi6H/Y1zVIp/OHFf6cwbh
PRLOJACru27A+cr62e0M/damGbtTqL/3s8kx8Lr1MPGtYTS20Ingh1hDdTMJjZOeIf/dLMCo/Xmg
K8B9IndicTbzTtH4R23K0fRujp34t0l5e3uu28v90v0AhwSveA1FJ44r56ya5Q11mQhSMtMjYZHJ
gxhG/zBlzQjrTJW7RNdHRPKcmTovs/e+AsGoizgSLGkflWzbJ7ukUADzLiDQPMeREm1ylXYZbx29
dp6KABZa28Tam2WjqBrBaP6skIay2fW+RxNw+wRLx5jpueBkeMPrMv8rhtW7Isef42ACanar/s0t
WBnG7cDE5jsgqQvzINj+PmR9Xe2nbrBZIY/wEAkH/nu0rNeS9adicuzL//d5Um5acK0H4ibWh6GW
ZxS36mlWFNtETdRf5HbKBr9eSJ4vaSRqY3mRZf+fR8n/Xbv/9L/Pk27rPEiX5Ob9Kcv6C/49mofs
2QarPFTJ39YbmLx1Ux+29GlLt7WS+fNoxQwVadPt+sr+lTa2c7oDYagaOGfKhy+jUVMOx7MU9QUL
bUnW53AfcmoLQ2kf+xaOLrd+IRO2SKUugYMEClrHerufeutpt4ILsDuwZM3TKRpichMJO5hPredV
ZgqT3MiM+SmcF9X7zrFZg3oai4g8mgY5nrRJ6H0UGw32tjuJ6X6YULMV0p5MNfD0S/r3riUSEW68
vMXriICcu3REanSn2AIS2P2T9AqTGqBVdRcFoegnBJoAu2tmvZQTjSETWPUX7d7xaxw9rGx+fy0k
nQ2cftRf64YWHbr0418Ka24cJy+UbORbZ5CrrVMnflGGYt0pKZb2fu6cWl1iz2JcfEmmBIyj0w3v
5uy+F49a6YgfWre2HQFlFd1Px4ZXPajOuE7kMF9Mx7mgXyeQl2mv0M30gRiMYd7XuWp+GGZMwxBj
fhtntzqrAFVelEH9A3xhEGZQECkIBUbUgDSkj4HjnidvWnaLYeSh3Q3ueUEsHUJbJ6Ogi3pndVB+
nPXQAAwLO5kTEahbuJ+11u/6wqQ3nV3U7aPIJ6qCdHxpepeBjZEaO3qt00EHbWz/T9BUnhsKE1HZ
Ggq8HKsobcdkXiqlMa+virUzC3arQU4NPCnm/WhQUfiPsmdDfZosqnypEzDirnLfCG5zO7QzzuqN
2bVmJEfa0sB6aU68DJro3R8qaSd7s9XMhuS7mZJjQEFmR9Se8ey8VWOv7++X7of/KsumlfQ7/MEi
rFlvN2Fq5TpMfo84eNzpp+HLCgDJIh4NDf2EuHJ/wv2As3gOzSWnTLiU9tmiwEaBcSXQMuIBCStK
rQ/dco1Kl+vDwPet8/18FOwrStzci987h0APrh2rfr6lYwHZtsWvgUjvbEVupWvowwbQ46mXvH2P
k7hPNiIzqhtn/0QsJ2nuZ/lUtk+zX9JqR6Z2pM0DwguEtn9KPHgAeqJkfr5r121Rn6DC33+qdB++
1frTf6cmNYagEMOeFn3qibwVFNuufizX336/1Gr1xi6y+vF+dqdvrM/KzAlnrVqepJ1n18SgKkbz
ueQHnGk4qW1vs2MI+s9yimCatLcpN3+DD3VwB+sDZWtNpzTe5UfWvlU0m7P+bjcDibRgNPgGrT9F
+A49AgUEQmn7Bjz3M15c9mSa/wq2Tz7SChbl/H7d5R/h6EO4Ftt/b5LWymJ7P7//h/3Z8LD2oyM0
OnH+TGj/+8T7eavTW8NLNZauunu+HxwR/+fRf68pK4l0iEu7BdMbtgIbf4+yWTgaxJvan01f7gzw
3VM6megxLV+XGYlBUr/SvbXVqIv4GVR73UBPrvQ0JAn8HuTL3k+Neqv1wRJWy3FSLL+FnYR9N2LR
aNksA8KEWwckCv2X9rB/WF9S/exgv8TqJO1sV7bLHlNSu12UcaOlEB1VFDGoYGpB2frNta+tp6L2
s9BJqrPVC4e8Y/MBxw7rWXxYBXUsNmzx8DgFmvXI1E/ilNU7g7BR1L+IVrX0qjApKjXmW58Bb9No
tLNpJEIJ9t0gjileJ0++zXAD14kKFREaHROuDEqcm/kvkjLPFJJ3ZkzHCX4lacBs1T9wvuO5nYLx
XJrkIku/enYCrC4idS4OnkI+LuozqezYb2XDIXbRYRJU+tJ/08F38W3zX5JyOicZqkU8BlnY4g9O
GWpC1QQ/YqmOaWe8rWPJXo+DqOzkhzvBcoJp++Rw+zmWvSnz320lbpOguwUfaQaNNUkk4XAdVxEV
QBF+di7f59FFy5gX75qNGtmPHuatH1BkJQCbE9kLsvh9GYzXogoeqbERG6ENILuG5LfZDJ+MZ/S7
06YnstFyX1pG1FO/bmzz20rcL01+SjHPYdn0ZBSbZxXTm4rgFfLe1yj7rwYUcK3YWAYLiQh/bVU5
GDtXIKdo+bEdMm6mQgCRxX6kWGqHpmNakUWJ28bemK80DFrwmq1yAbfShwrHbkw9vFBQ+yFsk5+k
X6hbPEM6fokr94pmRsMAtKumIfjVTelro8yPNJjE1gBbPHjYqGlsRt+b0r0Btg4bUZQ7CyRhNva7
dNQf/Wx6DALrsZA0+8joaeGj1c6kCzDrkLXw36nA+XP3qx2C79p2HIw4JM1JfRme7m0Si/Ip4YVe
WL99jSykqHaNNWukk3O6lRq1H5ox3eUcvTs0k3xEMvrlJLgqcVcyzRkiFFPxJUxwR00nbuhjPa6b
Zptkw2ft+B9moKGwOcWJUnIeJn52NOruQWNk3WbljI+JLdu0+tHqGMx734uoRguQNR5qv96LxhWR
J5goF53WePpjUxc0OJ6LfTDBMdangHhLWsKAT4AEg95lvXFOY3Q+1XWEFfKlDVvlXMhECkrOPTau
iKVot3pXBhNJs751RvEaOKmxnVvoEkhsG0fa/kksIyQjl3Snm5PqMfjUKhNflQv1z+Felw12vkl8
184uxjYdMXvUKGT0bW2picD0euC7XDN4sGlpm2fdT5tdndMFlt7A+Lzgu5eEtnHGEHsvMtAHdBOA
vnHmv8bws1YAcwyZdSew6Kvkgaz6U6a8PwX9rukZF1yMid9cIalVy1eAhw2HBYnkBBpCi6C+6/EK
h67aWjlbypkko0mEeTIOs0PYbGp0YzNjdW/Kx7gW1kZ67YeW0J6PguuKeRjxM1aDrDaLoX1rrvZZ
YUKRAk+Uqx5mxDJI1/3knqRTHcGlFJHsBNXLUqONYGX/cHJGw8Kcfws/tggm6jRlKbGVGjSSYaKx
cCPqGi+OLl4iEPsU7YrVL8Lkkg97K9MwYrgdg+rcvjRF98Hi6Zvg4bOXxPRFUHtf6sz4BOPtyezY
BKkgcn+Tj3rOu+xNI82lhr/Il+yxNMfAakKwJEsiS2K1MTUcS0IQ/c1pW5hYci13tD971ee7kS47
o96YoUoNXmCykFLMf9tl+2sOIIQQqnZ6DaOSUf8kjMu9MBS4RWzjCNRzL9WX45XGpipBxNNls2P0
9VwcnXnizzvTbSK66nZnSle/eg9MrZ+cqmYudnOO1XCoXocl/xJ1R/XabT+s3KIdT2B9A4ZwNhWB
3GkmLRmog1gW4zKU00tC7x0I3UcxWoeAVn70LXWtbeZlMIJAC+ieYsYmegrvTtsU8VSFKd1Mgxwb
IPwKy4XXWDnf2jR/4GRHLzV4hr+2Q28T2tYN8WNZ9celZ7EqKKcP+Dm0kX5tCE+5HRXXQPo/eguq
CsW+R5acD5bn4DKE2BAi/L0aMb9TBgawUdq96aAJ/Mz8MgxMWQlhd3OVy5tseoslrqVRUB+vMlIc
AocnOK8uMK2Nbxl4JwbFWnfx/jjuhKlGdW9akGx91flhYXen2e9fe3fT5lQSJ6t+a6pZEI3K9obX
zVvXD3R6+qR/fLpyb7UkhAwzAMIODl5vfvktfl2fAYiI8rSZ4TWFzN/vmt89KsP/K8rYDvuqhOzk
0MImj2m7McfDbSjGvyNCuU//CLaE5SdLjXfuHvrLW+ppxu9nLLpORr3/NlExNzU9Zyctrze+Tpvz
ssDJR7XpAUP9ZUzja4X3slA4TQ36JrsDnDc1R4TCv81Ca6ORlspare0S1htFRfgqtgBBsR54HMU2
nYAUNU3Fpqz9aVOVD/PeeIc8WIIN592auv633tJ5iG4WZzVmj6InMOzRUg/rHlTQHW3KaM5WG+pq
VAu51grRv3CfPS3pr1UfV9sZBTYE60YWmcgsBKgJP7yPCdgB3cW6B7cOtg8QIgKm7lJUV9MlqJ7l
04Js178OGCKOmLVGen+2MW3U6rYkCa6QCZIUc5mzBB/cnjBGrYNpmrSXq5GWslT/yPs0i7BjUoat
R/YN+kw+j55WOiEdWvUlYVX5Sdh58YRzvvVfUWui0aELiFc0f5IVyVxpAd63drlmd0DzeqCYs+wx
ZMCPz1V7habks+a96lP1Z2wn9SqcK2gqPQNyc+g6RIus1P4AuqK1XY/4tkAUkkzmaWOxx6UBzybt
koydQ74zlvqrCrL6ZnZ03VgyibUGokArq4iCfEoNmTdvoH1ZCn7LTfpfwWRTqVEuRcpt2o3j1Wy4
Qy2X9gZLHZwwHYHBYFDNC9aBbZA9tLF1Kz3GY78uDjlG79Qqd23tFHvXSTK4Mtj5aTj+rHC3EMCS
+Y7obxxOsvhdMHKbDvikyh0Pju3pe10tv9uk+aYHDPA9dsVhHRgrI4n0Z56YCO8JrZGhv3I7A9Vq
E28+CSbnpBt/sZ0j+B1DiOta5832aQJam/Rn6dHX6Yny2mQ+bST8hjVA/1VgcQhpkUk3aaBrTvtj
arUvhWlc1Fa1sX2IYl6WPg7HNNCYvSeffU2HnjwOtINLfSaAwJwja0hvXWv9haZWeMMPWoShCrbL
LqDbCT5BxSxP10feXxe9nQHChoTjBeahYmcTz6W7a30W6oW+K+v0RfwPV+ex3LiSBdEvQgRMFcyW
3oki5aUNQi11wwMFb75+DqiZ1y9mgyApUqJIoMy9mSdLbesGkCiIiq8goDnLSMc72HX5dCBiFLoR
an2r0MXSKOmCTAHaJM51gHX8xyjbl1430UOc3C/QXu560poCGh0iWqX77roewg8t6mf19WrwCVzQ
+u6cxdN5VKpeaxoCBBYbSpj2Ril+NxDnT5fXddOgH1KnuAwK13JeXkkA/ybsdtFMzqdUxrct9HuF
FwlL9EYNrILlyLaa/Fokc3PFOECUkZNk1/oHGjm7kPLFqiDXie8k79ZZ2Lk7z3dfCPnUlizXLlbD
0nSy1Xc4UuA2vQo2CXWOcOO67cFrwSYZmf8pM5Jxeu3PGE3+Wq+be8DdxWxcYEVK6sey7JzuWWBD
7UlpJcRwDUgZxnFbfipyelZ+dyfmJIyhWVhoP7aEYWr0WimGJwFqHZ2T2zLpHJgU+heipEZnqnGj
2f69qCsaClxaC21uctoF63kJ4C4srp5qhqOeZCcjDJiC3e4VXsJmDGyYSwlgq0qmLjgE9Jz58NJ7
ObFnCYGT2WQghrTJ87BF/BrK8gQv0VqLtJJArEpS+gaMvgZ/u6hZ8Uprb/cKzqcCd657y3yo/WXL
dnFZpu5LRIwA9QicEQE6j6MM+ZOqpSXRihQjmwNAuTOokToVPg9Z697aFMxzcI3w6NoTHs0IeEVS
46jo9rJAoVxIBlmGSPwAkKAay6QNhE+869iWgeeeXTzIaZ0RyEeZR6dCt6plbXUbFdtHDK7ZISv4
j7Wojg+zGjIoyHAPGK7XbvBMNxG0bIKr1C3UbgjlIgxEfUSWxnbPZPfrJPlaL2OHPTQ0Y70tN74S
Fpgf/T6eorvJMZ1d7mT9gjrdpiIP+45aJnLEjp1wx7Lf0Uu1N3s+20ZSrEObQA4vSR9Gemf3BTL5
mlEs86LVyLh2Za5GoQt7hGwNEDA1xUP6vnNSEqZgh5r13h05k2WDdtwLYbahDHWW1aXTIRKy2y3o
S7LZ49Rrr4w4yFPqg1uZCG5NVldZs4NjAaaZKA0AgIMpfxlUiJZ6M1QENcLntW248nZhvrNBAeae
4uctSn+DSkhbtG3Fdr/JP2t9GtZjwsK/zagcWmJvptLDiAZLijydfpfG5WWQ6puk7b5Q3kIPB9wv
GZ0dDc1XatvGGhQsp4VG1XxoCDFqNBOHEyAGbV6f5X2TrnS4jIZrfwoGsE0XCMLs06Uhq2Sra/bZ
Ulp5sBDy9iavgqhk8446BlbgQomj7yL0vKyz7UXcOvoSWsjWyDAO9EbwFtDIWTWZS21Wz15BRD85
nTjLls0QHBrqvHJrU21ceAlI4dQrcI7pxmuaDngjJAI8Lx7YM8yrIuhVhCSgJbYCKpII4zWk6Ezp
L/QWH8vIzdfwWXAYTKiXawtldfAnHp07H6Jr2HgWGxRB4Yh1nSEthTnNQL8NaS+a6jvNyv64Q4xB
OGORS83hDSX6Paqsas0y1VmYDmMmVySGhiTEmBSEjMM7X+eEKTrxG+7GfqxoIaixoVfBJdx1MFs6
mEgFl/26qSwy2vSgX+oDTTcKz7RtTABlMr1K3BT1IBEQOu53ajJRBs59rQQoN3dfzDnVmkJhODjY
pab7XLgPTp6e8KrlAJjRHDkhXCn3hdFe2HSm4rqlHWlxVhrCu/ORZvjJufXMV7cnHFNM0YkW4j4Z
SwyNtUASZn65vvMVOVAsQ+0YOQIupFsio8/PXoe7hsIMFxOCdWwccPdFSyif/8tBkwaQDs50b/xW
858jPK1ZNFH6nuiQHcn67FBzUyKYUuPTdUa82P4faXQe51O/j232pV0DzpFt/CcBvI99NW5rFHE0
VVmks9fYitp+qUk9IvFKcE2AB/RwLLtWq+1MYRfUIPAIus6HcrJkWXnj3nEGiPYZlmRScRG+DG9Z
SJXJIVfNdBr42bky79w0ojlSpz7L6D+Blu1Gw8oeboeYfsI2QHFIrDaP1ey08OqQUzwR0rZncbnN
XFBCIUm8qOLgrAZZZxwm3uOhHEHPxJLI0pGRFPP8zNkZ4Auk4SHMkvtSz5p904X3RZh5pCQhxZzF
pYn2hdadrRJzBDVyOhJ+vCPWZlo2zeCxCbR6NAVettKxpoOIm1aepb8qR2lnklIBOOnBSR8x72k6
xnQP6lc3ymRdG3iyAo8WvxFUJ3zKc+D42O476bzb6gSS5k3kk79yVbYYqCrt6aQ8pVH2NVCQ6prh
Ea672sExrljp9+Giz6NHQh4RK8Kkmnq1hVLCXDawGKHA/J6J7DG1yqOsyc5uwW23pEIvCie715zm
7PbTW+e4WzuNz8IDABNXeCctFzNhkiOTYf3LOFW+RWlxAcS1EumLgcbxbsL6bmlWuBhRWDLzeEiy
qkNaA5ON6F2kA2gwx4Hk4nZOvTJC7AodXqPWsZYVdMbJzVlht9kB+cHZ1XI2w3pAjCCVoRqzip/P
oClqdaYDKyd9tWmixz7Gj9Ac7sui+FBm8qkR+E1QdryppwGIP+8EwWyggi29Mh+Cr7BWeu8gE4m7
peV0+bIp3NfSxNxoWmB+C0ShsBepxWWPGVL9ozM4YDQ4veEeOOXRqaZmM/9TrZPJjUnBzDeya2bG
Pg37+FdF2AQi9bSCTNpHb0MO6sYwWMuCXxR49S2sbhE7GeIpaO70J1fHThs3gtGSgAikdGmNMknm
ER3w8COwzDVDwCEmNx5QXRGuAg0mYmsyJpmYRBrVCKyEIb5DHag4mUycn6L76LAhJ6pGOWbYn60f
fLI5fozq9i4p2nPd58vCIrkszUFMT0b36obpB2lp1ULl1BD6KtibMnjsgnofi/FrIoJnVfbmOWAy
ZSgln9yBSUZ2R+cGTxZ4SD3XnjLJbKLN7sfeeoiTewIEwkXls0VOvPZkFYCVw3scrMc6kgTc5rT7
rV8o7iFbUDtbd7TgkoTSkGF+ctaDAfW6Q12me+ROwxLo+nmMtoHTBhuq5WoVuTg668YkTC7cwFY8
0IagMpp+VcXERqC0jDVEst9jTEFCr9gRBHzRbVbJhcjsGqObOCIXf/SIksOXQs1EdNe+rH6hoTwg
J9UXXV54O5O6X+7Xd4aOk3z2srrI9FFsMwyXvfdCa2AT9PVXrVipR1V54vyhJh+ctIq+KsmA7+FE
8DAevYXLmVq1Z4PYUXeKcPDFfNqV0SMWxoCq9xFwXmbmrpG/dDW+le6cnp4iW69es/GQAvqkmjyi
yQ7ufEYWO7QfpTRfGh2Qa1u/BLb/qb7H0XocfHvFcuokfPCPXCNcvRb8V6c7TWF0GWORbgD/PJVu
BrG6xjpAPjTUVShi+DqhKFDTDZqrmIxTy4dVinX52w+DK2i3S1swHuTz9lDQtHCZcoaK2cmH4EAH
bBUqlIqzbSaQ4qmQEx9D405rOZ8gMUbJoTTeYjbcK6c1rkBfnMUYVSDNS40PwnqBOP4h3qvK3kRD
iDqW5dvCLLp3WYJUS3CEGsfGZ/7xKN/OvDg2qdjZ86B9inrjdUhe2/Ab6sVVmom/uMSV2NbBAM3R
G57BI+/zibowNqJFjbhEqJFdJ+MBAtiYTaHWvEidWSyMxl8hmrKNpH+6Nsb+NI1wSUeJJYC6G8JA
VkeV+FRWRf6Ko5YT7lSu7+HYJvJF4Y5EwXnHnrNbtFV+9rX6D6KmTTwmn7Y5niFIfriXOvR2jTXc
6xT8S1fjqg3Ye4+uBjenALcytp/dGH1TzSSVz1Lfk5dxzuBbw2myC6zxY2Cg3U58xiZ74mH6pkfs
sI+gEJlb5a6z5v13Tfs2yaAs5n56CqPvhGynlaZBehZ+RTNHgCayKWbmFHjNnHSYkTjXhdIzsJ4b
SvGcNk2+kKnFAjR1orVfeHx0Vl9sxrwHz1R+GYqVasg4E47eLu2nX2SD41yS0aYO2AVm+bmkYo5y
8mtQ7sHIEb1SGYBtDZqy4NulhARBcmS3jLEseqa2cK6dLZzcxOsR7rtQ1erRpNJEXcBzqZ3oSOTw
7bVvMoYpCDSxqhNmQriOlCC2AtbHukvhArbj3u9aixkDq7ZX0ztstVc9C78zRoWlZ3lvTiFYz9cA
HgvMvUEXeUu8gUvoSopK485q2nujw+hOvcxhCxakW2NdlibmzQq7cfkVzFLTnDoefi/U3QUjcpib
GDviA2GQb6kJGIDagJgZM71iFAwUQrt9HFKUxIOXYR8YI1Z6rJ9LFVprSIwM5yzlGtM78MViUbir
57iwqt3KMKIwax1yma8izdU4C25jS3xkShiWBZrlOYDXWjjeA2jnt7aLfYASNEJ6efV0vVsFfveg
t0W+aTPv2Rf9M7JR/CR5j5QoPJI/ex8ZdAR09HIsXZpFIsWJWJs7w/FXuERxtk8s3X2UNdsseig1
/cmyVIje3nsPOhYp0B3upji7i6ggLpxIXuvEfHTbBcHJ+TLDs78hsgXfHbEFRegJsJDTB0lbS9iq
nKzNF1Xtd4wO1z6k0mgQHbgaNfvLK76RnL3lFODYCvOYr21EPc0rVmAnekF4UIWR0QvlIW/4uLzs
uSL2kpnXu7ewSWsZCYx19aZ7ZHkWLJGWnazYlqf9zpIU/j093lI7QFAqm5UrTWCfCc0UpJoGK8Jl
hERpFZvGA0Bcb2lCmO+bfG/HYDQ8gqnyXP+EaAXn2ZmV4gxRdkrB1Dema0Tk0JKlLgQZF2ShrH7T
iYDLkVh/2ijEhQXqJYTn1FT0hJU2emsbCwLrK6AAo4M8Es1YjArKX2dj88gFBYEktH6JsH432Qse
S5Af+YTYxtU2+M4YuNDRaSWDsMDMSuMJu4H26BB/gs5jY9XHImreipgOczD4yyaRr7Js76phDo/F
qbYIh+xO9uLcGoiUfVUCRnHYpfll/awPh9gePuh8bbuadhwl8xQHoTdGf1JBcGkYqp4gk+xMQ+oU
DP1TD8WEhcFMV4rh3+nmZ0URQ2vw/UYOlES87ssyxzsu4iOdrGhRsRR2m5zeg/KfS+GQhQNq1Kjo
rlZCA6TfqQ/dKg4U1x7GKmYYKd9BocMd74LLTKKd8ODR6htX8QBvAweeZx78rP6tZQ6xK/LO72P+
Z5J4ZQCrNKP/4YdUX3PFnrPEExMCObStYREXyb4d5CctNLfy7iKjTJd2UpaAL7py6YTBL9PNn9nc
MPdq2IDDbotgrl86mXcfg2faun3/y6GCbgfxJRgGtXfaC72UaTnNLS2J2ZCSQb82h/7Zl/Bk7WJe
bqX1sVpT1PrtQClkl01Ul00SuE1/hoGHtNgScKVZcvrY5WsQxsRsSXHtKblgeP803WHlee0ydbvh
PMm8Wejm8GUHBLV6Nptl8jhfWJa9JCxjbI8dgYf9F/G33eOgRBHtO/ld5tqbEgEZagpEGaEzUXnJ
f1ESP6fWM7aZYOnSpV+wx/vTiepkZtm2aQvws2bjrMISaWeCQmGK23upFdsijk52jI81J5PbbJI7
6k/fijloQVkfb8RrPnXuvs0gLup6hpQkIDKQ8nNFKWpZ6NpOxRQ+a5eBI6QF7gH16KFmUfOyj12K
JKFvP5iSI1TK1cJkOp16pD+1qJ6ot8udlDUSvqQ9+d/+1LvXjHKm3Tyxt7axGz6QSTRDF2HAZMyB
+WMf9xnGQOzNnUlHLTeoYYPbm7gO+wgWkwWuBTSBFzjAVhI4/l39KjR0RSmGfkqzaXTismoxyq0E
J41bd3dOVm6YgswNG7LVXEISNW2jIuiOU4iW07UGqty691CH+j6WbbqrvPbZNEuuKpP1AHvQ3+jx
n9wJAYLdBrBHYmaJJkBBk7qcEw0FmO4VZDXLAZvLNIT8jq+MaA70IqCe9tXYbNluIq4a1hULTBay
4SvxWPZCt1n8CjSfDdzARR4lHbsrGxBqGL93XpgjIciDuQP/4ba4a6jCW15zsfnSp1S9svMlsGfq
Dn3s/g5GvV80hGBkkHcWaVEQiH4y6pG05gYhs+uluw4vQTTyMQ6OG33EZLEvGKXaZVKyrGz6fEOZ
rfDJ1Rh2JEuDdGmpVQTnrnVOjFUMnElHaIh2NMb0JVYJhRH1ysqs3ad6/6b3qMdwlDvJsVIU/aTf
UtjDresDMqzSFr42mDWyojekFmNm75M5hYY1R+RSgpty9j+LptT20vO25tTLdRrMWNZWXQkGP1W5
TmIXVSx4MuyIkTp0TcI/Qh4pzdp6ohrn/C5cMpRUbsfrsG2vjVvzy9hmoe1JDatdqQmdsKS4vyUn
7RFUMDSZSEMmgewo04uHCdnishPZk95F+z6wqIOCUymn36IEcRqnz02WfLWR+d64XGxuqj2HNWXZ
qRk+RCA/PBNwa9zb0A5GlGN10S8sme6+RKUB2taqVapMyOSk72Uj9U6q72yvWdGzJfOMqd7obE/Z
x79TJdolev9CmWjhKK6bIH2Kpupj/NSrniKbtortrV44Bj33es8y3yGQi+ohiCtk3i4GxRIxG7wJ
WsxrJ8CwByJk04MAKcYrGqJXIzC/irF9miaqlblMXyovfmrqGtesu2DPkA3xoWeaHnXnPJXpu54i
QiI5GcjeAIpcqWeMAjQBxNZtMrGVpK1MdNpaO3K2cuyPIrLWBhaYLdDLk2ZpX4FNQrbFlMP1ydJJ
9vgm58ondlIU1D375VVbAXp3Aer3PuhYv4GEZLD4h8yLYCTNVrQ+L02k1lVpf+aWsze98k+ZFme3
doZFndFu8vYGm+qlKmP4c4kNRYs2qyK6pwyGPb7MC4treN8k5Oi6umc5Aw+qoS6DapniHbNyT6iZ
qMHkeZlFl3c6RRmg07g8DyPXEgYzqqwRrIXgzUNWvIgNau4emH5WzoRZgabedsxotLPBljV47X1L
fCkt+U5s8T2CtIsa3D02pebmtR/wPDixeW00ajRzUECNjntB4gZ9eWNaZQOCbrsZV2lnW8umzl5Z
mcCxQmZIUbMFNp4S1ZrPb5gUJ2fAdz55zxA4WLOEExygTPpX5CJRXeDSctxTJUKYJdtIGOWyHAgr
CLAqEndrMPZ2BrqW+NNya/JqIgHpqupXZt6uqy4n3m3C6qCBuQYcg1mRrgxL/ZXRjBezzSF2Wf3H
lBRPEbkivzDnhTuC2KjaENbKkEtGKSDbKWccdMANCZ2vJDf6O2xDwbJPvVORDq+Wbp1b3X4vUn3l
+OYfwsgbLKzEWNfBskUPszLszvv0wUTP6yYDwlGdH70yfMakhame+SENv3Qz6dnVvyEN/zYtiguI
cT6zdHwdetaQdci04RoB8QUKWB5wsCxl110JRIGIG0DuvvSl8WALTWdfHkJrZNflBwWoLmPQGaxK
YwmfhsuAktey8KW1JB/0RR9hzwla82aDhwA1sU9XqKkYRpqkfO4qjCwG81xJ56PTP8nR3geTV69t
a7ofGtqGekieLVKOAuJavqmJElvZMdL8CCk33K6XKUzVRi+HdqV7TrvB2/2VdsxImqDvqbHTigCM
Tgbg0rB7Qj610ht+IcHkV8E/APPHivauR+nYZDUjdn456lgrpjc1wLUKTOrmLEG+wToxPLDvGAwL
MVG3apGMLKcOhYIefBKRjvyydH9NBptZIHfXrmSV28q7boC/VTRTR+mJPhBOEPExUUr28whOi025
PUpM1hPNq52ZFfMkjXAiojAbiUQDQ5xtZF0Pq9pmY5TUgPMo6kk9FmT8sI0fR0J1zX4GqFCbXlbg
hpfKbL9azfHPlfgoaqrotumkLEum34wmzR29q009AFOnvBtpf1p+yPfc4jMNaEJ3gUGSeuiwsVQb
I0eg4AI7GefugVcb+mmMWImm7jXMvXFniZzd8NirtWxS0OVGv8WWVm1KzU543M12DfPz2vWTj84M
CAPJfGqsgDkFDKeHItmC2B4ic1r4PqBFN7pkTf3dlHqBYRvs9OiML94AMX0Q1NhiAUQuwOLbmuGs
11HNjhYtoAhwzjqLsAT19RL101SFr5mF3tvq9JCwEP3E5n3AihhTjUwZ/cckpvnonTQtNhZe5703
DhCztBv+NO5IMZaTSsOXoCtqldBHl3BbgII31m4oRcmeQEQbA6E/57YxT7T4HGLweXmVFJQI2hO7
LSMsCsRPs2wiwFeimvZkQ4kyadSvFXk8m6ovD3Et3lPAHhTiqzsh0j05qc9aTKvGtDYEfs4FTrBy
0jTsZWjE96oBoG1SDAlQz20naBkLfFsMSMFmmJsw6EzpMFUNvlTnVdissPWebaNrmztq4vp11Gmh
IrTcy6TxrybeF8TskMnsHEC7V8pVbqAjHEbKa1j2yERjzIz5YIpJhSc813S/gVUswoSpklNoMnz+
GT2Xi6ynE+ZQdTCVB6opHZ5yQ/8uTN3fGi7xGcDQRuZLPru2YBE5keEF+ogEXS2mnV07HcEl7ABq
jdXb0eSUTKI4X4t6LA+VgHx6O9zu2qpScy7eg0sdGd60RdNbzhE7PzdxblWo1AtkPB0GAmx2qFKr
buQ4BS5+TV+yea+bAnlifUIgp23iwMTNOj90OyAdZ8sm5NFukf2L1M0Pfw/hHIwT39JxyF/eYXtd
tjM6FAc0YNDbrRkR+vduMYOuLDjNzIBDdlBcocnPTX2mjY7zwc98ut8YL9ml+hl0Ow5a9L9bt7uu
kfH7/a8GiN1eK5hvVAY8kMUzN28HwiDI9xDFRczs2mTO5omZ3BYULcn0nXupt0Pj59XPrcz1OmN9
exCTXY2Qd35Sapglb2j8yOaLrgrtHhb58N+DEBGb6v5kZaGG0cf88lIAhw7vkG2GsXQoirFA8IBG
+ppe8Sbsjq8qHUibojMisoJqa43o0e9pYlU2SCqznwgOmD+Z2z98u8VShw+hie91TYI1wBI6BSlQ
uEOCbfuAonVjy+GYzd9uJ56rGtFYGKDEG+2lYxUKhn9igQUIBG0awhGh4x97jU9dj0i++PvN3L6t
26Gevze/IdIB8RERPh+38yAahbduDfER1+jw86P2WwTUIgY+JNt4HJGyrrKipD/HXtwyvimI/ia7
TsNrjtG14bdMWlsfwE/h6ypn6nP8f5+LoH1Gqu7u9ln9/Jj+NpOW9FgEls1AL36G9Fa6hB93u9kn
JqDbMutrohPtr5/HOnQ6Pz9ubzeD0i4Ot0Ofzezn0kZYcKMJR07jJlxk8wk7n6bSnBwi3pJXs2bj
+XMy/f95dTu5/CTzNxDsTsyRfvl2OyWbzgB5W0B8MYY4RnAV7gMEDtvbR+reCLy3D3v459L4uT7+
uZvXGVJVRBg2X2sGKuBwu1UEE2W7ij4jwghKomVdHX4OuvffW7dPjG4C7d6KDn5YNtMhZeF0GIcE
HdN8SKTWIBFkSZKji2HHDZSwK8vo2swH2grt0oWQsxGOz75xFEQRljnzJLim8OqNMV+uWcY0sinr
RiWlETFMDlZKz77QQ5KnPhoPTWZZy9YLG9RM4F6q24H6fkg7+vz3+QY6tYXZxPX+9vLbD8zQJR4i
p0xwe9XtB2qMml08kThtRIZ1lJZ38fXAu5SOSZuWwnCW8xBJaKhqHKCvlpN197dnhH7lXYTVfiAD
nyOU/vfKrIUVHihG69FMV4qy81VqbnC1y15fUxJqfh7rjSG4am5OzEtZmGi9uXs7EIc7HC34M7dX
3V6P9ai+H5kk2n+e9fNUPEa5ytpzmEUXVy/sY1y24kKyJcYEbNHsk2NxCefHRnzQ64ym92oSaQgb
h5U4A2H1fnvK3+fZ0RECpHZ/+0X9xOaYE2Bao/lAvztcIiXNnz9yewIuHEFK4sQGDp8koyB/TpfK
3WppQHgqgkl0ASGaeL3wqbVH9jrVyatapDKRF6G1h3LyrdM4v5bxXV40MgCWGWbc7e2x24HpV7LE
oRDw9zFjjNPTvB4co9LfD+Xwh1pkdFVOMl6UWg/Uva4uxE0b+d0ZnK15se3xMU70/Ng0oXW5PdSO
dAUdUqJWGlKP20O3H8Yo1/e2yWbg9tjt4FljzZf970e0kj1fwJZKmMTj/H1q3tfQndRAD39+yu0H
sSSLqrHF69+/fnscptEiqRxCTP55Vx6LL0rS9OVvzxjnN581TbVpbQ08kHLKC9Tl3JX+vZoPlQuv
VpA8100YgNyglxejcORFZ0ReFvZYIj3kMfBP8gLjfJhJpXTC5sduBw9SxHHOBgcd8ff0ijWZnm3h
0XA79hSmFknZOmttAlJadqRDIpd/Huw4Pg6o5+kKIx5oHfrDAytR2N79pSkfRTg9Vg3r9ckZVpj+
Pusm0S7lfMirIdyEph/OpXP/cvuBXpC3bDrIdiQ6WhwNQ5rcDUO3vz3l57HKP5bs+S8/92LNuJJz
cexNYW6JSw93SiNoA7vxdEYWsJgK4mfmTldU9Kegkp/MWC91TcSWzzYrHiKU9zXt9OQs0WIsBs2I
Vl7dE/NerafIeIo701sUJb3YwXCflenvaoCptc8bZtRYyMpe2A5Kktq76/EnjTjdmiH4Vh6sxkg5
0aou7EVJxk6d+d4mSptvv2/3sYFhrIz8atGaSbXwivRrSAgZxdWbm8Nvu0x1QOD7ILeoetkd6eq+
+hSeYe2sICL6A/E2V/QdQ7U8TCzWFb/mLhumX4FGHinX/nFEw1Fi0uXm7WA3rs76rne05e2mmO/f
fiLTArQQ5OcmuZ/qgWHj9gQvjf3/Pvd2XxmpAdSUV1X/3PLzaTxM2Tf5JMSN3X74f8/9+cntFW5c
Ex6f6ftS06Cu/332zx9toVCjppl/N//NS6oaf3N73b9++e2nP29sAtzgNDFxxfNborBpLarRFKvR
9f/3tm/P/tev/XlhbDVqVakI79P8yr/v1/j7v//8yb//sRfGFZZd7+vvQ//6x/7/k5L66O4EaWFo
tfkO/r5mgA62xHwHSHMcHksp4y0od6nEcC2U6h60aPB2weg7C9IIZsauQLIKzy3eW7HRPQi9V9eO
asx85/ZI7FTDVrkhefIRRkp61Xsn7dAl1Iwgd2PXjkdV9Bdr3LaEdbwMtladEdMTCBwPzoNIO4oQ
s0/2KKdqpAuUjJJmaETV1GIbPlYe0iOev9LE1D3cbgU5+l26z/ERfXtFld1rN7ql1Q82OzzKW4Bn
2GgYbLtyu3v0UJHO8d5VamDDUkQZG27vLSekpNvbq24HLctXSS32bgkh1Sb+7mQKujOeIw8y6ZKT
5FpelIZLEoyU1Ldz9GChIFCo84ZpXwKduN0jPWGigYDWJK8xqgXAB+4jGN2bfMwxOc+3tCKI9z39
Ip/enuvRXmofUsK6HsF7GkQ+zbhCvcWUhwWDqXP8UH7/Hmb8827OBl/XkYsqWftHJCFEAZqV85Ll
zhb3Kml10UC4U2/d0XINltB1nHfXok9MHzg7i8TWrlruvfV0Ft5L5Z4zM33xXX/8EDEyINobjx7b
gmMqTUWlUXln9A8YlQrthZKucy2nsbznxfhUUoo47Acos8npzQwybEB+ab06jECjJqIHT8tJxM7b
GWprwGhyZ7+1RjP2rkiJuiNApqR80iTAK9ujvJ0DaUTrntOQYiKW93vJqnSnKOsB9Qk3t3cJEWc5
mSbROO200waNOj4lL9SyNZaOXPefFKiCuUnX3wUEkx7sUQ+WIjO+E5mPF2q+w8+hTKjMEZm+7Yf6
DzSsykKvPjg7R6cEkxOa7U9jC7gc94WjjdtSH+jjO04Mvrdu8CcgBNLQ23tES53/HrT5btXXl6xI
l+2MMWsAluBGiWgtzHerRhecUd5wAYJJUUE9p1kg/uB2eoZJUb/RBIXfnqtm40ckIhT2FkqDUy/D
wcVEThjtycS+v2hG2rQE92C7N9iJHX3b8o9N1/o/txLxK8577RQmo7JWJTI2Io4M9SBnFB0y7+fK
17xrSY+FSwhJn9bakD3LwcDmELO29H1XQq1BUNvFbnYwM7+/owBR46XzN2gGmj1KIfXKBwb3miBF
UzBvqkTAXEP+3Wtpea0t9eWOSfgKVXFYIYuO71sfoZ1UtMEsNXxFaByIJACwEtrmRvSqpHgOcLUP
qSSaNf0BYWCGiWrqIGPSeve9xT4rmVi26fPd22NgTw6eKonKmPrxI2LeEHXz3nsA7lMWeJuEFRVj
ShhSNasISsKE1hM8dPnXIa3uA1e5R+FRm8wGAdF2HkbKiCssn/RLasfqriuDByIECIbUaXMdRwuo
uEUa7D3ByM6BJnG06aA6vWhRcU0ixMjQHn1QQ+2bIQz7tRUqX6nStO6rRhI+ECSwHUxAtMpvT1U8
sAumBbQh1pnYaCuUj25YBHc4dvDcjPvcC98tP50tPelIM6cUw+2xVrfujAbGxIY1p3sNNMTGEgPy
gLfh5FnUrYR0zUPgEguezoib0P9N38U9N4IlCoikkJWQ4zTwxyjWC62Rj76sqrWLFH/D3s45qTD6
QutdHDDhFUuphVzQoBE/3cFHjknp42pVKG7Z1Acfeg/QofAtCpV2dgwVs6Ju658k+OL80sLm2olH
NbmctiJNEJs4dc/ujm8NywimX8Pex1bSzIMi69qmezYSf2Th736NpGsQaWq0iGu4eu2CRHmmrGR/
u6LHzqx2mM+6xTBzNc0MXkEGj7agV78ao3kBp3fV1Z15A0XWUSbtfPRI812cH/LMruDeS33nLtIC
9cwwzRzTsYh1An0PCJr3mcvHenLEo+WXfwgqykVinOqZayAlrGxDdfldOd915ruhHg1LDBbEEhV2
dAaThKkrSrIvmW+TZqx+jTMaNURvVxq29476+3wj10KqXmpAYh81PnxKVDpDWpsXf9CvzOI/hPiL
SMbUELCsnXyvjTZhVxuP3pRY/6HrPJYbR6Jt+0WISHhgKnorkfI1QZRU1TAJbxP4+rcA9b0dd/Am
DIJSV0sUmHnynL3XJi447FZBowgfm2mBpTJjGvV+wW3KZYzm8CTIYgNjzsdb01e6qFeebc/ESOHG
u0CoP6bnYLysG+a8ljOnwLJrQ+RIiZQfLHlxPtnSqnoj+BFWulsXVyATauvGCI7h16uhf45bkC6l
8IGBcxU1jD+1EP/zwG0U1/L5Z31PgLEfYKyFgDyd9rOyy4trSSj0kvlvnvf81tz5Kz6PaG2XFThb
Hv2B6ImBzujPaohpA7V2at6mkfmHSajapsHqeAtN91xhUX0jpwxrVYYjd7nE2aM9oK6EipXwyV2W
wcoC0pn6xiGJC+9Kom62j8Yow1vRn/GiiU9wGT7/F8t5nFKbWYDZ2BI15WS/5HgemFnP7d7Z/eAY
/z7TwlGtMP+BYJ0RUh7MpH3tMJ5IxpIh/fIiaVXvsYh2knS9wW66rS4iql6l9FUUYrGOcjffNGaX
veTIhKEDO38Gj1wgPSz1DYqK9qlEr4QSxXhdrkTlM0PeakoXr0NWZ2fHpiNZzBiXVsPHMxi4nwek
gI+TM67QfI0fbY1SE5F0eYgtET0nwiWAdUy2iRI7q2+QgS87qsaRtS/oTyyvWU0JWHAY61svI39b
j2SCaGAKhyr71nvnpbCG9GgRTbHNBUaaqnYgWDqO+bQ8QI4hSoRmE6opXosURgaPrOalKBOW6e4N
PapXY9LhlNfJxYv6lMgMjNkbNf/Ig1MgMUwppPA36k9miOmee8b544ygKPvwu5WvaQeYoNC96Ksz
iUDVp7i4G5OyjxBf8AYuO2bA3IFEN7++QS/1t8tvtlzqAoZo6/ogShGVCs6Qz2ZkvtsW7p4c9vJO
A1J7c3WPhhN65VXMR+WFLOC2HZznuLb7F/6nf4y2Ds6DRtRyLGOvvw8yJhMl9JpL6eNCy0vNffEN
oh7aOK8eCbNF0+t29zz3h0eDU/mrbjX33h7V4/IHboPhXuhTfarS6glkbfzUhZJSp3fT7yCiM2rl
+qfhRPjb/Dg/hYLvqDUAtISNg3zqGCRorGZk4/XdKTRT/at1ObtHmtcj6XDyj6CEI6+8Qu61usk/
GnZ916IykH4mbm6q3y0zyD7YRPxdVqVb00EVFiNxJNCu2RQWy2ycl6fJLraDFhC8WPTfvYMuqO3h
XOX5QEpaFVpXgf2Rngw+xLhq7qPIf/k+DT7EDNAgg0JeYRi/0frQXwBXRi+gl7T5wsF79QjRCD5w
ekJt2D73Vd49ovFJ0CE8DXWd/q3SW4Dp6K/BP0O5bXivUEzXjjXMlqW4fA9jQbhI5jNxmi8bqgDw
ES0zrwobrN1WoMIqX54ddyL2MMXn+bPsxJbvMLuBlV/q5HOXCWeR5XJ5WPj55F9ivvRqB9QnWOi2
Vu5FK33vOFElhojVYVnMr5ENyu7CRnvpawOvkpQa1KSa/Eg86GtvhIT7oGnPcFncR/yvXJnd+Jpa
bnpyaS08dTg/jro+fdHKxEtT1vCp561u2e8YBmaQBEscKGx8ZZ00J7MKX4XIu3M2zArdeWsy/u/l
f1/Vogs1zj+9StS9mbz6oE9MeEo0dXTToestt6GrBIP+RCfcN47ds6NNJJnFxtUoGVsVy5beRCVb
pTMWG9OiB5bVY/IWJKRDw/xIWhdJqGgi+nBIIHo7Ka7mVBrUr51BTUrf+0EWYJ1+0HWiQHJfe6Kn
c8A6pTNo+5D92K9R2oqDOV/2ob0nu3u65/KReCH3Mbc5hXA+HD+yQT6x9ZXMZpX9bBnmu0KMhoMv
/ItCv0IQCpasiesCSTLUk3qhlrUSDkXDrLAf3fIzFhK+idm/27bhHbOIoXmm8mqj3Lan+C20C+3z
HZCH+uYkBN43+TYkwe0aVy4EKmdqqCk4GKJHRbduAf7Ui1C/uIKJupaHyUvEMkUgj7cFMSpWqiHM
i3EI101SipUD5eumZdx3yxtbdBEiWVInVg4W2XVY1OriakSX0GH6QjiAntj9pSXB3/99omnqq7Ir
67z8S6Mu3nOhitOyfjWor7D9puIipRXiuMczRbBGC5ugHH6hU2YVvkuwjmuU2AC8vJp1Palf6lK+
cFAnwnd+aXBplVW2iddk/qJqyg4eDTbS5auJ5/0mSSHdliEyVTkTEDOB2GLQffc8wSR5Jc1rs7xu
z4s8JGv/5zIM7XdB24DOc0eGJILT5bu8ySo2BaBM2pptta1jm1jn3voIgaz+ySaO/fq8AZPcVec2
cg3M3fvYyezvopPfSabLTybW9A6HOlqnyWgdVFKjHwl9XOhdf00N3gomQ1uL3HlcbQDUfdX5Xz15
pYnlPksv8r77wd9kmpsjhQONHBhJ99fXgGAkrf1BkkNJYBiCVtoaFMRDuGsdLcHK2A3nGf4ELYrB
dYo2AXRQRdwHvBuQaYAWeXDXQGRDzpFB+TK8G7FJ4831mkdf69DC15ZHx7FoLkUJbiPSK48EWtfY
zkS5FBRlJHX9xXeGTzLk9ctIIsjLCPFgxZk92Au33E7c29B8cVs5ittTNsp5E1LjGG4lz4HEYJRN
Er29bXG8tU3il5ZvIYf8yogzRNPYGMe0UtEzbmNKUGe8LVdgR/CveHQze7Jqlpesyo+eLfVPOH+T
J8X01EwGguj/OZ7yK4Bu1XXgv/NpdUL+vC1tFMWpLMmlMh2KrCJwftNAZSoxM/6E6zkbrXZwOM6X
Y4UeyIOFKrNcfkZu8dKRAxE+hMBpKPD+8YvwA3/IeQp8dc5kIV/V0mFJjaam3uocPPxAfX8+WGnv
XVRFoByrcPDRdF9R3OnvlIIcvPkT+7KKv9pOe+yzvH0NDFPsq7J7GXoHR12Vo1mcUvGYZ5FYtcpc
yza1nyEE2PxF+HFCoTROMZmxmsi/e8I7BfGf2w4cy9YLWxxhYBZ+O9V3UnEIAAimb0u2PBzqMn6z
omGltfplonJHJUisDcJ/8+KZzCYI0iW/CFkCrLVoRiqQYTIReRb3YY5oOYShJcJ432eIwuGEukTp
lOoSFGRetV3pb1OluddS8+jlGMZrWTvYACzWes2dNU9Z3T3hfkJw6IaMf3H2Mw9A6SQrY0fdq540
avUn5fdyr3JSe0RpWpsg9Cg27K5ne9f2ON9mkt/Ut2Kvpv67dBwO0uFkgIxe/k/kyW2sICTVIm6D
aG9yu4GLwiuvgojgaDMvPuCfFL2JULpptxlLAbeoXVz1djCZGLfPQi/bAxQwe+sViXOkM2Qhjmua
Wy9mxoU920CnZ3ytzQYKmQaDxm7uPw8A3zHVGuCABquqt0WytmJiJ/o2bu/Lg0pLAiRlO+2iPP0K
ZVbfQ5lCXTLLv2Cifp7Mr4QSYulkxAFy+mLcckgs9gIn6Xsx7AvP5/zlwecIS4YTes0zxT1VVO1j
U7vFYy+zFgpXIL4Gfo89WamEqiXheQHPEqABXcwxJggHXXwFHXIhry+ak/ZoSGm8VSC9a/0xRl7m
9IF2/emetqVI13Bc0EL00Mg4t0bDFrXcjkioGWxtNvQVVYFHYwgPP38KvM/jJg5hj7SS0sXL9DP3
bXoYqEagHlL9ht0TvYLx1mR5cZ9/M5wX4SCc7/lJ4Y3udygH+mmQClXXvziOmPuPrbUzS9d/i8zx
IJr8Tz8l5pOut9mu8SEBpU3mrX5omVrI/uPm5WPVoGRYoJ1m6UMNy+xT9I24Ul1RAqL0n/3iP7dP
LtJLFWsaqQLltYt0Sc5nJ09QgP1THOIyXNJoygCcY5f60QlyPDqOHP2NHHqAIHpBlqaqJSGbwTg+
ib9pRUXAuIp82kro++U2GEdgCgiMog0iG/oedEaWBx3uDVpunF1mDk+Y+c42NJW8m3PtHoQ1PuGW
vc2wDQKkxnU4QzONrPZ2MVSlbUroyQVUH9JstN1+WkX8f3lrFKIUpiC3SNrB33b4B2NW9CfXkGGV
DTKsnwyRBN1ujSM4W3cyKfakHt2Uzlf/++HMjOY9Aa8/ywDkQCFWQ0zPSTZ9cwIxybnejuMvTz+Z
Gsq8WsIBbUV8x4Or35mRr317yK6ep166rO9fIjPuXyTRQ/CXnwPfrI9FwWmIEIqUCtQ0mpdasPPp
DgaVOOrQSM4fI8blOhMx4E1WMwvDrWNfKKIAK4wGXZOxVAjkvaHXievPL2Z2ZrTD3eii9vLVrkLm
skt9BH+JxLRRpI63s+bSnW5IRQJ4Zl1aAnyQ2xWOvIhhX7tQUUH+2XsjtbX3TmGa4uhyGKuZftyl
gGD+zxdl4f82J+FdF4xsTflxqVAML4DLdKCLiiLp7PZtvSrAeoFEStFyjiIljyA0npa/dAKCtRUy
YuhWG+MpKqrhqCccTlU8/F0+ObnJjClJ8kMTev6lshIPAo0nEWR1H21WaHsit/CaB9pTBxrgM2VR
wlUb+U94sIydpZlPZRdNa3M+5leCqE8/YAxszATtiqbrApWniIW8sixdkExJNHD9Y6PRMfaVjRcq
76bqQHs8b7qZyUDHoh9mnAivhPIWZS53LMbyteZa40mFIc5Dieuchvz026NT9dBNqNY1L8V43Bra
yWrLaeP5RvUE1JI/IX6LGEsOQOKi0FkPPfn3vydyEwUGk0ZZfiSBDDelNWEc98UflcfjJkEmcKB/
X7HEZd2eFlFzX07vyRyqNBkNBKKOPhpES+RaQNYfUgwaX0YYb31zsP7hHjv6TlrsHCB5G9vPxgu+
q/Ch0VPvN8U2kTf4jk6RV1p7KoqCabTPiJEdT7fQZfptt/tZf0ABEmyQ2d2bS7JnIuT0K3CIRLCU
pKsaqIChvcCPb9kmTUCfuIjcwOBk+s9tjXlimBsJ9F871JTjoZybIyRkrOsKDISsJ8CTBvexG2e3
ZbGv4vBWNLp9JbRrtgTX2Xei/gohmt8lOvI1XOhVr4IRYiGV1KBz/5bEw4BIatbLZwsgWXsfUlJS
dTfuEN6gw5tBxxw3jHU6JBN5hxrBkQShW3ZMN2EUEcN1+FiurW+XlcKd17JhmjC4I7/9CYuZlPpH
sC7eLKG+qxT2N1DAYRVE4w7MP/WOVqTvnf/WZ960h5cB+dMI1LEwsLW1+WhcAB7gPtSG18yZ9HfE
Rvra8sLqCmGzg2ZVXTo0S/hGwOfhWK9q4FdhsFKDM2FvK14cEPH/1PoX/Tp7C8+02CgQuBea6mt7
Tl1S5ZhdzB6N6UBq0fLQjK5/ovNLpq+9AlEQPzZ29v3zLkeVcVnqgcZEvzq0ACLoAP2hLtdWRadm
Fnmvn0cnJT0vJHAELvoxNtiD5hqzZ+5+aZDFCwFApiw18dSTp3CUvXVyxp7udVHGwzMcfBulalZf
MuylD0TojE+uAAWYEbhduKn7x4tMxFmlgoyeBRAswvI5IOUQdxRIyREtFYoumLx63a9wX4dE7kC6
MbDV7FSOyXUaUoINcxzCHob5bmzFsY0UjF5QTVjtFCtm1e6WVTUJIYUZ9nTx40YHj+Mi/g5NODve
5D9PBK6gSR+eNcePd8tdVFudOkp3QA7JBPj6s68WrJQXJRlCAJbyr5NW/vGpyymWB3CReUP7PrOP
LgFaz7IwnpfsH7vA65j68lb76S0xGdZEbuM//fyDdUx3JIzrrU406Tp26J7R3DA3tlPTlG0TBjjl
ryQOT16od4fctcILnSsTlS7FCiaxB+kkzWPnOeqh7QJMQuQBuY+eP000S9/KriKRYCocdw3Cgzna
XEx5A+sXFQypgE4GlCSISp0urostuKreo74gwCaOxzWoE/HJWfU7sZilFimkKKx+dy9ofA5tkIjT
Lj4q3R4Qe+G1K6q4w7vGs8Ts/30W/e+zCbGJEoX1+v//3gEUPd4xXFo1C5KaCmgBc7gBUyQNazD9
5iXUgFYyTETvucnNneoy44CXv9galpCfMSFi+Hj7r7wzENf3lnapPJP8kQYEG30ZM9DlrzaVh0Rx
MkU3fsvNNPxwXPS8Ef7AC3l4wZZG4SXAuH5APMfsNOumq91CH5dN0r5YUTELQcBZjRpRpzQQtvms
lVrq/uUB8CLjErqj0Fi+g6rgL5uS9GMnsB8sDeQwuhUOtw1+l9ESpHrNOpxIpMOGnmq9kWQHEQbN
QzWVw8GpTK/aRYldAXeG057NZ8ysgw/V1hOu+6yEBxvTYBkNmkTMgY2HiLMkkFRcQzrI2mOa5Ti6
sKK89SPqZ6wr4W65hAGFkIm/e8zplRCtAGK0y9hYmGP8JUPKX0/78xNbgAmq3ruFMdD2x0M4YlQ6
2YMXnMpgHvqjUV/4ZsIzi8vybHkIaJISbk5mWFRZ8cYwgeKZkyWOBpbY5VdcHsbsjbFZ8ZHo08md
9y0TQXMOx/jLAiM1hoActrkxWGvRm+ygQXoQBJfhrQ+NUz8/LK832b8pcnlkOlsiiicargxuuYMU
hw9uqyWgbSnfg7L7UA3BzzYcDVta6RPuLRuccYd7TYY4EAy4ERFTtCLw0ecUTrHPaRafVYWOXGpY
DcBskbswbzTLYqEi/+3nJzVrYp7ICfQgNiDO7erkNNoZ+6WiC16nBoQuHnDX6aemLMUmBaMPdFfa
Nw0LHvN17S0KCQcF3g2BfL7ESxmsGWfbGxUYCgNXbGKLm1Cm7X+mPkDyDzG6cgArDSwgd5lZEVwV
E5ecAUxqYX0WdAf+U3BYbAn8oL8WIYIBPhtDCdCsSJXZTVkSGcVI2Ul2diLd7EXz7GgdjSkK9ZaE
t9i3mnXeeDdtSNX3/30SUjpNWhScLTItGPhivFyaU4aB+2BWdF9dh0lAKLJTXzuzgl+HZWYLnCXa
MlfvoibemWE9ftR4C04/i2RlpD+3lStM9F+J4P7Ig0j93HX5NKhVW2PPUll6UlWZvea8UZx4LZfo
Au9GhMfcv2Ba7VZVsg9LLBNRZHH4ICr0IcaDuc09VT4uPUqtiPWrXjC0k83BQtOxWYQlFHkbs/a0
t4Aj9CEB7L4CnVdAqtJps9MPDA7glThHVbmzTlz3XZ+o6Zcpjkkx/hQ3Dqw3f1Abe76UkTiKprCP
6WQ2G+87d6EJm3P55PqacU+Iw6ty8zBpvDxGev3MuHCvktJ895t8PEZ0FlFPfRNaEpyMZg7oI+uI
p/gNwTHHdDVIkqSDlBZkSnSo/RalRzWbJfh4E0vvgSTKhRdunTxuL0FJn7qhnxTOdRLow+6gVYwS
OYQAKTFmtKoR4foHqXVk+ldcRYx/gwnvQDs3NojB1cYtPUYa9Lm30QZGtJhOaZX95J+ZMcugxjyn
nHLz0cCTRL01ryPz3PnnXB6VmYt7I8lfwk6qbdsJjkCVmRGxk4dr1PX8jdqGsf4ozGivHP9sVw31
CKGQ5ZyUYnNvXVg0TnmTFBCazTjAfwy/xgTfBZGiH7eE3hqvy2UducYmBWMQ1FUZrAB7nHPm8nuU
hdUubxpxoTv47zNu8n+f5RdlQqP0NclcV6A6wSrxadkavsX5IfcrCFPpLNGKq/xMrEn5mFbyRQg5
o9naEfd7FAybYd4xseWCjROk4/68QxXftHJ19BFAV7S15UfROR9Ci9NIEdf8nIm8WHORt2z3aUTv
vSyx93YAUqSld884gItZuZXwsbjburejxybnd+fnLcoj62z1w6kv048xGbXH1NOaN2kflnEP6rHu
apymoPmjd3GAbQAhERP8Ql/hVV2TZAnhQysEjIks/u1l8tnpt26pR192zeEf8Xh2GpQ0bziSd+jH
mUZRtAvTupZgezl+xJNJc0vKF81gumZnLf63zu2Lnaub1oE87QBvZuys2vmkUHW5t2+CDM/lUvEx
7r9Aoah2rW1QXPSJ9tqV7Qq7Jd3dqWbg5Du80+yLjoqsI8oI5GKKzgpssqHCjSrF10y2isJN6Bri
K+nyz0XF0ZqD+Uy0gmdrl5/DYOEPNOSDXDv72GJ9nLINpCO/j8y77zvtnlo82XOuy2n8MADqNYIt
g06t9Xy1TK1Jdsyelmc5hDxP37STQ70t2VfKmiM27T/7GsblK456+80QFviizEKf5dMVB2nQsYxv
e7KmXkNP/4tO9RCa7AVp/QRRlB6emXN3LafazovbY5gmzaal6jhgjKmwG8rdIhXR6bqu6GPvqC/S
u07kwCp20vEzmeS9dUN6wclITSG7DaN3/4CKQe6UgRE38Zlx+sN8HqDJs10+J8vHZrn0PJrro5Vv
bZVrj/g2o8duiJCiQC2CUko7cj7a1fPI2yuCdPczH69HzIKh9RjklbFfWu+Dq6wtJia5WS69qHKP
LRAO4s3ZG7rxD/lNRGTPujk/SVB0h7H1mARGcxPC/yxThLpZrf1mBzgNNUPN+ck4eeMTIQtyNQkr
mGfghJvMh/7lQa5B4u4TdNhfYe29Ovmov6naMTbk9zknaZbDpc0nA+spZHSzZFSl6a6/1gwtvgT2
kJ+BOd0zgTtc0oV+0UgGpKmRkx0clAfVRHN3HRVEjeaHsIkajddAI1NKl2SzpG9uhtEj1DBoVoLv
ogPLv7IDEZwd29a6LZuwLFDqNGarc0DFjpkXRQ9Enw90ozUntNnpo8WIDfq27a+NOTc8Js7lihIT
fv1URRs+mfnBimokXoKPrYBv/ag35JEJJdr3MaejaYhz1WvewbYKlxTEWXaK/oOmkOhIlbKik2dW
0XXZJ6cMaRRmlfdGQWVdPlB2BeGxwd7wFromKUNYXaMJmKZcPp7zB7We2yk/CyDt//huG52+4zip
VsvfwFOGv85nSd8EFHBDNGCOyMgxXhGx22cK8ke9Ja1Zecq8DDYlMrYF8cZI0+cO8y3E2fPlxNk3
1BFe8WvFBDm33ZpMuYnOoUuXej61Gyz7u9rscHrPfbbWMt9HYUWHdNb46XWdHT2za9bSYMmsXG16
JI01fUwE99/y4Vm+AFQbJugIQdJgeHJpNWgRk+XT8uFm6IfEfW01Nowsgy/i1fywbmjR7Z81GATE
nfQOomHkdRj3XWR05myxKBErdhgsLx1lMcOx7OCTS/rg6XVF3DYDA2R/45PdwaCZ3JRkCwOMHVID
vjqrZIKJhzFnRF50n6EvBWTwQXtqXXvWcCBeVdqbrhX35T3IC8d+7gDMJ0FSHUYngA6Ox/UQCMs/
hy7K2jbRm3tX0h6J6al+NIn9TnjCrNPqXDDhDs1ka6y8C7Iep65AkcyLaq0wF1Cmpk+YA819H4/m
Xuh1dFVRsRmSTjzYESWSSfzebu4HQlMqw3fT9Js123Z8EElvrcmQSTY1OdZXLcQ35nvD4adihWeJ
SSyVf8bObLGD47g19SF6/O/BL5loj1r357+XMFltq7ivzl4KOnUp1YqBMaZIoaCGlDPr3Iv7Xbx4
eedn4fJszJmkJAleNm6PoahBSnQN5Lyhu5V0pDFMW/2LTjvd1w333niNPMS9V681Bx/v4CGfJgD8
4trQhecrMsgI8Ogx23X1BXDe9LuxMWW7oOaOuazJns+1d5t43EuAtWhlD27Jb6qMNXIKLAs4LU9D
R0GEd11/sQbfgyxQE2OmeQ8lp9+VIsjx4ad+cWn8Q9P650dnNQ56vJH6/8TADobyDr3Z7M15upRT
+O+BWxfw7LnUbSaHFW0fDlLlyKmJh/F/n03WxMrfiX3S+iiMXP2DCpBsHqJCwLaaSbJLkEB/jKmD
zUJEXw3dFRR63tps/e5dd/S3Fj7eX8RYK5WO5JjqOXptj9mYiT/6Qo+mfPdoPk40v14dl8a6bfsV
9ght9yPiaUPjFtbhPuNuvaQta8+srqvmh2A0HXJR+t2ydEnbEGsjICgniWrkGzWGEc+f2wMhnmeG
e2i/0Dkye7Gu/XwVE3D5lBogH8jfYpQzXy5fCBP/gbzfYRNJYseWH8NjVL1dLvW5izwTPeiSJo9Z
PUMy5tMQ5Kr0krXGr+XKZn3lAI1+Kad9vdXCqX/875mWzH11snHXZZNACCzdAM/U9FHQD7yHffQ+
tm2y4nNXIcXjGb1ntvH5WTy/pg3q36/GPb9aPpQ/37u8vnzH8r15DKVaKvdvQ+tib3uT3Oh+ar2b
iUUPMYUyOxTO06JsSAYb8ef4Nphg6XWiv7dL4VQR8boVTCNS6U1zRhSg3LnBGfjjY6cR+Oi6cXFY
vrVtuoqmeSf5TBFYGBh9dIrHUp5cA/xFqnEaGjkAvPZtoa0zvMJXIB7sexlcmUg0X3bcNO/KZAGe
9fpjPweFl5Y8ECAakwo8PfstwMusj9KnqB77s1flxPkIN3urC/2ooTu2RVvdSytp3hhRuamvvaax
GT57tEOWV8MeFK83dq+ObtRv6SCnM5KX/mEkC/x1sq4hLYhtMc3qbKd377rHCkqcnPcF8+G1SeL0
FXiNtoPqpO2WS9Umr8s3tP4sqbJdl0we/vPlHxqqYUJkP8PYeu9LefjNQq8Ot74XIRfU9eCsqRJZ
Cnkrv2Pff1JT3L7kUdEcVYuMsgRe+httAQCXMPrwsSDuXQ23JZl+1Zsd0Y1K0Cy1w6cJ3f5AbClj
4flSk+0LUSrtPW9Vd+3IlIR4yetR0IzQGqrsPNJffdUzmmRId2m8hpdqnv52k6EdjrhuqYhLpl4G
ao1Dl8fdvgZIdracbJcWBu8NSrz1sjyqjnqw1khMtJAXcbZr72NqAxnShfzTExFiiPYv7+1MAujb
FydWpA1FRbtSiQBV1dLfSDs/2PpHhJ+MVbqwbp8BEopznlGq/VxrIZ6HAI542alXrSpp5VP9P4lo
dDlpaPU5l4F24Je19yQBOJdxohirVHhaaou0qJOnkMbLcoWDDPdX27sn8kvRjVCkDwZeBacY63vj
1vqeO9/bDRMrWMm5cUc55u4ar/cOhmXlV1XAvEoHTX/LTfXdQeT4JyHShcP73xFNywMMkigdotfB
6hHZV2w+Bn/nU+0qojLylETmgr1osjrx1/9Uwpo2vay0M1UAtWwn6lvHcnzOSc9a16ZZ/850/TAQ
AfIWY0Db00eFEQ3lAklqyOGe20InLXgWCMWejSzHKNlE2zT6ZDhPMhaPZxEnjMpscsQaDCCIGZMX
fIxzKJUV/YHLCm89bkgjMV9Dm4anXWEpAW+qHqyWCV/MXKNFL9bBiTkx2W9gj3BJK0CtA0RuB5K6
WrQbBNt2AXw3TD1q78y1lm7T46ocZDtL2bG8Vo1vng/RISrsdKsLL7kPSkwHC+8p0cMMkZfX6qr6
VcYpOr8cP3zPICXaQN/QGXpxDWd0lrTNmv0uLz8WV1FntNHBG7S9Ful4n+psloMZc2IORUwHyK1Y
tWV6qipnvBJEpDGd8qsj2B4Md132VvYCEnpSmVsXkvynCTSoaEr1WCT+LFqmOJOVZ+0WRTAcuA3Y
muDVcebsBZfpbgi4vmjyW+ZK7eZURndGWnKvZyjO8tBZNd7xNLgqsFNv3ECXnOHwV+5xZI3DtMRm
a7mnyNZAkeR+dtaykciXofAfDIRRcxapuJtRUuCyhJ1XSf3OEFm/S4nqCFEvHjy/+iWflwqV+pnM
6kt6n8pw2hqZNN9zExJjID1BQlbb7loVMfvAqjnuCIeMdGQ4pXcmoxgFUJYTnZzEs2JwTzpideZW
Yh7S1lpzRKz9Sg2CXHEsx6tsqflC5bl7Cy/FUyIN0IchW+tQGOmRrPriGpbmR9THwUNvSvdt+Q/Q
H7pvnMSCB0Zw3oNZKusxmilCYZJ9m/SwVm5vto+ebOmxNtG2nkLnDKRZbJibZSvH9187N1EXop37
l1Z7rqFVviZUfscizvtzGlo3s/TqEz8ODhgYSf26RlWxzpbobiajK6rR4VYZvzMzgHelQu241D8W
sI7WRpkcG2xIkvyztZtGFvwNb2cMJtpQVzQ7PQzucU11bngkJSYFgqGpn7O4zQEEJQrHta7i6rMr
ASkEvZE9pvNOGkr9UmbILG5VnM76k7QfcHOhrbSH8reMHfNsN+R9EMQY7fvBgbpZuK+SWnpfNKSS
Lc9ieiC4Gdxq1+Nq20W4Xn4haCm6YeVPVgR9U/z7pU5jtagR+FElLusbwDwJ6cvsnvoijI6aoRvg
wkb5AhEukkc7v2fGND6mWpqjqlBgmyfxy0VPfLGQSO4n374TnJntPfTDD8ho9NfCqf6Glez+2gYT
Krsxv6ac8SXB7OVNwmfcu1QjDZFaOz7T5U0UKK4F6dt/jGldFKbzR2nI2oxw9BDYokeXELYKeMwb
Ab70d/0XSFT5m0jBcGtMw3Awuhm93Af5MTbhYrpllv/uLCjK80CgSKwtasxfDJnHe2b1RK2BoyEM
xh8/IlSSRTNoL4aNmNIZpzf0tc05aXSE93MLoaypndmquosPKY00L5uzoIvm0sU2uI0HcMYrImde
PX3Y02cTV2H43qUcQTZgQIq/qhT1aiFurdGZz3nVxRvsfta+m0dTRt9eLRavu+WhBM8y58a2Ga2w
PhbH5fSeavQqMZNJi4K3N/ETSXuQ2EJoZM7urAwJBi4AWFg5YdPAcac3LRxCMgZr8ZaHKAu14jfv
OVphZyKdxEQF3ut4rEvfTu66PXe1jJszpSyrZh0cU0WjoIopJHOPFmtqrOiLz9xCJ/3gHBeeZFC+
+SK1zwgDqIfnOWHeELScIKYgRSR8reiyXeqAJGugD2tLuOelI+BDPKPZWF9LVbf3cmJZcyZjWFOt
U9Mrn9WX7gP4CHukmVNOYp9nAVJXpfvzVhr8vF81H3UNMeDdD53yppfmc6H54pYM8u4YDasvoRHb
uItxMqTuX6Gy8Kn2cvseBMEFH+RnmM1VcYWJi+PHp6z+H2NntiM3lmXZXwnouZl1OV2SjYoC2uZ5
8Fn+QrgkF+d55tf3Ij2ysqJQaDSQaTCauUIuM5L33HP2Xpu2QBSZ+q1hzr8oNMQkCdIinHxsO/OA
tBKIvA5s3WlTCkcCV3aqHKv43nSlfq0bG+0R3+ozkjow97Zh/Ghii3Zlmb7PnUKwlXfVr8jeIOXp
6pauvm2DxD8mMbLrboirbeMO/s3QAO73LclEBRC1jRb2yRN1BY1JDw/kfEhLjV9VhxojAfnNOzlN
52f/dSimQ6OsEig7hrNtxloBNO8SFYvJbz2fTAFdYtqrDjisWt1/feiqRr03ZoOynY061YhvzSPy
cfbulKwluZdBoZ9SvfIpx8VqBdHRitngLJleFLjiGSXkZEhOh5oiwyut4XOp5+5fnSIonmSra4d5
K2bkXXSqSHDLCUu4KUX4zAervJB+ox1al1y8wsRX5DUkTtpx+4NuFzaRUZSPdV6JSz3GJ4MqNF+2
GplklRTpgTZw+ehRSx20EjqkIFleQzl9KegTWBCnggTWejTsvo7JCEMYQ1TVMjeJ9Qkb5OgaMA9j
U6bwdoCU6AeXRdbAfYWUI4/XSqYYj1puKxePEC0HqOi8Afx6iBS2glbyXSrWNNhiYzjvH+2sdzeJ
g9Nx7OEoELoUbwJsYUFTwxprHMdCcUVzL7IIlNWDwP7OYHBnBQEU/klFqFlc1U5rYXxs137KFJ87
KJ0DiyjQKq7k3o9FuZpvIV5GlyH2g/xYTXcUtRXcf8P0AYknvV63QNMUymZnG5W7mpv1vcVQrSOJ
et86Vn+zav1X5g/LRlbmKxNbexei4N58dUJYOfzCt49uNaYoFtAUkwFk7GbJe5A8DZzSK4gs5kth
kBaSSkfdz4cVkxgwflNnRwvkS+mb61I0x9zsg4NKmX7WuCn2iFDXecl6ENQEURkBtwqbExwlrWJk
2DPKND7M/S9nQL0CLfQ4H6lTN8yGb7xycakCUzQOc/kzPwC1PbR5Xl7mI4Lj6sPIrggMfVyzelIq
haqe0agV4polbk8mfFnsi0pV9mWpPxpiGnhO8r0urbi6bPc1cqsEoUABoGqazRShAvGZ+fBdQlk7
MJnAdzYdzg/IswziAAHGGQOBwY7GnG++lOJqOIfkf1++LrPO4W+WMv16c/6JhoG+xWzkMh95EZuL
oSFRIRiZyQotxVrX+8RudGyKSmaTzRqJ3dHtGVNoxV8n33wGZticmMeOKQqMf3YvyMLFSEJwRyQw
uZlJ6iz92vYeYrJFTlYOfBKB7sP8ktdWzZbxFF/99BPzG4aSChROY7adX5sfUEfcDIyzUG7zGPin
Vju7BBheX2hMMIGTrUa8mTpRaol7IRMsPXL6HRSMU2zZbOJDWtJmOgY8z4DGMcoBd3tOBVaUeYDW
DsZ57nVPCjNtCMujCU8Yx2DxYToacNvJQoL6Kl4FZege2t5vXlPWj6YgLyFI7YdZ+J+k3dEtGR5w
KbVPTmlSRup6vYap+Gi1AIepeZEEQqfJoM2gvAbPfEhcOe4KWSKZp40NrXJ6CNvmr2cV0LQ9QH6M
k+62dLUOuTgr8WyWdojsOIxm9xJUSbGzSRdZFFnXn7+mp5NZfn6mFcmD8JhSmRSEXy8FMSGzI5u1
dW0U2mX6raDiurd0JhGZtXsTebuuNSe4zK/PD4qiBuxAqWBz1QUIEjCCEGrg0NzXXvwoU/YMKsUP
JevbLeHpyAzDPv4+PyOuIvl69vWaxp2XRs1CpGV1NwO63BXF3gbnVvCGFXlf6Gq5Y8Qj0Dq2W2VI
m+9j4LiTFHo4pVrZnnXLblaRUYmVGRUoF9zxXU9xWMw39DZEAwO7mz1dfA9yJJyddUhU1z50jamf
m+lhfoaJJznLfPt10IfGGTwQQUQBEjdtds8GRu4QxoHLcu7mlUP0bpVddjbtrN7C5m7XpAEynhlV
c0XjL2der4uXQTrWws1q8xj2tnJK8lKltUCIxBA3L2PY6Xs9qLhDTE0lPzXp7+io7DMa/S6qxF0r
mW75le/iIvhRtjaNfCw0+Gk8Z28EV27M+auJ4N1hevJl05exvI9j7D10ZbMhDk89dpRqxUYbWBUq
8cFOgKgQhw1SBD1godYW4uHpwWADfZwPgZlylvUWzItpXtun0bsXGtHGcQpU6xr2ULCzhBZP/3HB
tPDYtE23b5nw/Osl3SGUcd4Ii0JisJvKPmTm+r4L6AjOhd/8WhfZZKQCrkCMQ94YhqHGy/R9EuTh
pY2JTKVzJAD7SePgmpjle9K0F18DuvmYGxedWsFXlfq+uVMdfTyZlhfSzGWmYcWsOcnQVQcji7uL
CSm7XFduHS09E/VhUXc3GGDxGaHzzR5i/Wy0xvK/FLhMGcPNeCt7ktb8wIGhMs2g5gbv/Cy19QGb
BKobbXoYSK5emcKZtF/5pP5JCo9NjBtYj3hotWfbmtyJpvNopkJ/HvO/jrJppGSItj/J7BeTK8gL
luVdVG9MARNxSJVyTQbVehDTFi7JzCNuAPdRzwrvEKUIC1N3AkYWob1Fl1Iuo7LT1m48YiFptSkA
TQTmRo0VjBQyUyn0EjxpRiP/OrapWzZmbrZLtYnsm52w4UsUt1n19DRv82vwPru9oJVCLNj0Wub1
1PTAI0WYoVlnyeQjfTDGAkuzIbxdpDh/Pes65dNmQLFjGlStaAk6332G0WpKgAGFQ3v1wvyYd0b2
MSSWzXoZjI+BPcKHGZp2oyCVpQ/RiiuCV6QChYZ61YD3HDvyFiURaky03oQoydAkNKhAld2EG+SD
8G3anDQk5CVHZ3qYD+eHMaig44/uDahtd3Jqt4UrzTNSMyE35Xp/dFPsqrzsi747Ka6FqGRmZyiE
YEQVQdqiQNOfuRWZKP/5UEe6cg4Ao51qpk2ESUKLnPB3ad4DnkfODPBbXX3deaWfnUZ6bV8FF9Yg
1liBTWwuuWryc3fDJCikvleXKMjkYZbQFCoFgcpuziDY716RTze/HLUpuzV2GU4zfAwF+xLFytR7
zvm1zGwbE6HZi/v8hpxIeUZRW/t/vdbL8WbYXkOnkiA3BEbaMuut8qpDplsEoeoeUEBUyygjUpF8
Of3Vd5kwR0n3xGJU32RCmu30ckkaMi4fHOEIqzc6q+krBN69BiLgR23SMBp027tRQ1nIfVJrhfon
+lFVqIdYQv0QBVQPF8ae4CI2u9ttkTX2oZTTbd6eGpSkvz4qesHdVA72h1F7ROriCpMMK+2EaCS/
6xlumwaj54jg8L5gC+gZuMD1Irqp1jQI0lMFDA+VfYUD9lcWPfl1rX0yYETjmfgl6uBcrmVNExpy
Tn4q2KKtSfjqnpluTh5CR/sc2+/AU7xfmmpjW8mrNzdh1x0zycTmFI13ndDitW+wne2Zrmy5ipyT
O0ptV0NiPDCd7Q/AWZQdYaI9ImVZbEOXoAe2YjbDjz6+Wy27O78aptVMvTO9BvDpV+J7qWtMtaP6
0wnJzgSR4y8MQPHo6bTPJC5eiAOwv4vApSPGJPgpsGttlbqOf6N7hkqC4vVkQdA7YLjWdlZ7TjPF
PSohksBhyI3T/IwyXD95hAZt52f/ei34+2teZMoDzUxycPt039LB2pmh7C9DbxFnM6rJs8+EGzGA
G/0Evs6gpIcCOQKX8aJe/cGmt19oSp9dC11eQ/x4KzRl7VUPGYjrFm4WLhrnQL/c24EXscmQBhI/
+I5/LTAcDyaOeLuq+wOtLgDDFnVqh7iF81/gFsJpVOeO9yAKTl3oDMnX3I9dT6cEyv3bH//2H//+
s//f3md2y+KBXeYfaZPc6NHV1Z/fTP3bH/nXy/tfHJpwJLEJ25ZhGhpBKIbB+z8/HgLoz39+U/+X
CSC5lC0+LMOqwQIocX+H4El0ATHj77o0zg6t+d+aRj5Qo1U/pU3QhmN6+ZPZsTmxc8Kn/KKrV0mb
chhY6VNb+pCIzKT6yVBg1fRFvPIbLz9LBtCEWTV0OWJhXTNlnGDcdfVRFVg3q6xggTUwQ9GR6pb6
tMGD2FN/ZJkGTdVzP5El3vogDBkNe9WI8AzMto1//stCHiLfQ6v9z0MA9fqxR6Lz9a5pVZg3Z8dy
knVw6CeF1izTagOQ/SjtFvPn+m9/+2Cr+YP+SfwJanFaFX8//I/V4/95+uN3Vv5xftw8/fv0R//z
R//bT24/s8tH8ln9P3/oKUv433//kb/9Z/kN/voNVx/1x98OCLwN6uHefJbDw2fVxPU/T5LpJ/9/
3/zjc/6vPA3555/fPn4lAZlIVV0GP+tvf701nVQqcklOs/88Dae/4a+3p3/ln98OZFdWP7P/4c98
gjX885uiCvUfZH7ZhqD1i8BLON/+6D7/esv8h3R0oenSVqUhJH9TCkXe//Obpv3DYn9vC6EaQreF
Lb/9UWXN9JZq/8MxTR1/n6qZDmZK+e2f//6/LpKvL+9/vmg0XeUX+K+XjWpKVcr5V5S2rkpN/P2y
ARVVFo2atnuZE9yg1uLFN93o6AskQbUZ6WtkKZsgICSJP66tMjdoXz17iUuO8DN/MJeeGgV3u0rF
TgNDtGjI1dyMuiDtOgf1RWivvgVQMPEcT4RHOoC5olNeGdGllqmxwqhobYCfpDvVJTEoBaW2zmMJ
vT3ronVuIo0bXdJSUTCTYaIa6jLMRDpB5Htn5choUcT+TUlVijizYbEv2OECJXWXDDDNQ2KWxiGg
B4nLZrBG971rPUYRkbHw4rJfauzzt4rj2w+pD52R8BDgbfZgHsFndJRxqnse9LI4dolFHZZwswYG
bwCc25uh/hl2SbC0Eil+xKW+JLkVByw1FkJ+RYMbPWhbYlbeROO0K10x0WmGrbwWgEDgTzJKjGuE
NCWZfZZVbwzd6bAnZv1NjM4TAPRoA0b5FjdxcfCVqFgKp38SupdjUZ5MlnTdhYGqVPifmYL8NnK0
mpRb0ov7tNR2XpYwjU9JtlfG5BWYPPORxmoobeNkK8aiPLIDYcxyA9OBaHSMLoxjs3VphTH/7DG/
Ii0bNr6HHlf6enbEuUZ0ZhN0+zjV5LExYEv5vXl2pEw2mWhH2miJCpKilAe/cNVzSMY1q2I2/KDU
eMlS740IRH036olz6I0KmojV3LGLPwJiv4qSppBL5XCCZ2kvVTTIX9hwvP7ZwQRstcyU3iA7eeFD
OLybPekk4JKyvT7A+MKz4i8740GhP1YNYbsTZVPuqzw41bL83aUM0BnnQF7BoIvN2kO7CLV4o3ND
P3F+FScnFZPjHvpIWYKE7dB8LsgtFkszE+ETKdz1zfeK7XykiWui9iBTQ+xiuVrvSXFXCBZxCS3h
c9znkdevkK7zf/Ey7RRWphTN2vLSN1mVcjXQKlnWsTKsjBocUT/tGeY3itH/6YROeWMP8JjbrKTS
kd+hNZlrnQaZikLiqTJWkOdgNYJSWIYOtDE9oKRImJ8vAk3+EHXrbceY2tapsgvXOs3K/OZDgOJ8
LD79erSZFwtw/BXtUKKLLsKMkk1fWFsnScc17hhyrBTf2oikIEKPU2mRdHDwY5lMPsSqWdmN7x4n
rHzTZMa+qpTnIe1hJGPVY7BPvhPNlq0ui19NU7Y7yxgbaMQ9Op8E3bxDkswCqRJDRGzIQMoH0pIA
zJYmpa7WhP4aVFS5G4f+HEkTRxmpvz07mmXOWXjIOm3ld65+xn9tCvdmmb130j3zJSMw4yJ73Vtz
n7Kw4nI5cu/pMKko3/mU2seccdPCA8WpUggcSnxSWjOGN51c0LU9xpLoeWiBZRjHW66mN2xLoKka
MgOLylnr8TTqUbxFSo7tBmsa8raBdBnM7wfu0JesjQZa+/Zy0FT6FFjBEfRJde9kn4WU3aph17tU
yrxf6DojJ+73G+BWNbRDxSZ7MLs6rh+tqmmTBSf/k6kqtIL8t5qfAqR/G6lUmJN8xsuKWiXLLIM9
DLgRWlLLdIJAEi/sznZDOKbltK/ClfnC73u5Et5nnMbjwhogv3G6iSReDElkrBjYf2iWeSxq2GZd
fxyJOCanPXuiKK3XaWWuyqgmpSYjR9X3qk/T93dBNQZ7vY9/hSa72CGrYrT1eb8TDol/nVasg+6j
CEGZ1EOvcN0E99TE09zGpGTjtVvG2VtpEWbmMspaYGfHKkbWCaF49aspwnLZFyou/0w8645/Kgfl
VcrqMg5uskXdzli8Dg7IHpauBzNB7+2tePVG9ebGuiTFFidTTXKGRTtnyJbaKE+q1q/IHmuWIzIJ
GmvFihXwo1UI9wP3rgR37jE30Hp4vsv6Oa3la5Q6j22OYDbH8JPQQaascqOwIk35N1GdaM10a5v3
b3bkXuni1mRZIcAIlT3qoeFsRs8opfwFpjZ0vNNyQGPkR4YOb2173isTon0hjbtQamIyNMTUhNet
x8IOV13Gt2upRzXvP8BAVgvLAE89lm8oip+6WIplWUzFC2oGPQofsOy+VjIfdlw6Q0eyvZ2PP8gD
8IFVrIwo++4Bel8nmji78H1Dz3sHHng1f3kEgU1bMmXddmDvSxXd5DiyicKYuSw1xPBjCOlL8Uye
DPM9mLkZMdOcuoJTOFPfy8A/9gP3e6w9+SKjmeBrAbGwSMoXVR1TKR0t4uwJEXgZf1SEWS8atPxm
+Owq0R0Z5Ye8eILNeoBoJHDVB/gkN3bNiChq+U7n8BzAlHJG5Vyq4VOdAPAr02uaTbsXa0jwbgYI
4TpHu+BpXBCLid9VNZ5KXFg07sIMvZNffhCzwqPXoJ2eCFaFUZYPA6LPpVm49UPlKs9aPHAdOMK+
CuPQWuh/XFN6RxSuJ681vMeGmzsR0u86GbXkypBGO4b5eyJSxOVqqlyED4fRD5CFtp4ut12K7Fk3
vRN3qOJiDalA7VHV0NFBUrtSngno649RrnYrWoH6xkhRmHQKA1a41/ULtOBhN4q2W8XjWL/IKMDX
pnv7ivJlN1Rt8xbQUxFUl+9ZWMs1wUflPur4jDs5bOfXpczdlQRadKgyJ1grhWxWnmOCQVUU52og
ydoSgfKkp0Zxa00VdhB+gZj7NCVL5N8VBb4jlQXUfJHs62woVi54nz0eGno76RQNUXTlUXGQRtE2
Oc0PqMk1kFXxRclDgxW63fhhisrIbcg88/sae3TBQKkS+a4PmP57iuyePbVHB9pV9aNVtCMRPNwD
idct11afuo8ksBjwR1grwZWnB8cof5Kw0SKYwK2D+CnZ6AO5XWz8TYcuNeFi9cvQ4r4w4fLmJsht
gDX1vSfqi9aUe9AqY1hDJNYXRTL+RKYS3onf1hak/X0WKA8ugrUXbRDhro2vf9fsSjureA7WIBnq
Zaw2/tXyjiGwx/datx5Mxlzk1H/2Ow34jRnW/VPfke0LIWenspZsyB3Jllj6jAcNiz5imNz+gThn
CV0z+p059mMUYJrK0mUUu95DqxnhHkJvibrGWlqi3DAdY4EM6OiwRej33ObHdY0IilkHuYtaoj56
bbvtCPhsYvR6KOWjFzO18RHROo0rWBfcT7St2arptYyV93CIvC3tJ2UT1biA0qBzPtiiLJUUmFta
J79NkcV7ePDhMvZS5VCYo77N7CTeelkLBshRn+reJWEVCFeZvDGrDBeSe5LZcjmDEwkwJ4jhAOV4
E5cMHIBtqUTYFeixLZ/+rpBPRjPuAzhIC1dpg7upVgyJEgX7XUx4LMun99C0SAiFuFSEdaGwNwlA
7rNlYbXPgR7XW631+gPy3Xjjuj5XeIf8KUzvStp0a72Lor3QXzAc6hcIjsXabvptwkXyw4R1syB8
RWzQLEWUzql9LQVJtIneqCs9Gv0Dyjb0sN2JeTH3zZS00SrWMGXp7ksPbgU9X+af/BrpPG6+tzKc
lp24IN8qCnMUxSRgj5mSAxoZ+9NklVHi0X5w0l3ObOk+hhH+WyguY1KFJy/iKq/jczTBABXCm96q
7OQmfnHo/EhHb1EP2zj3H7Sy9KKlNaKrdvLhjLKLf7HXdSvEiMPVGv13w4DzUodFsRhJ9mFwgYvT
sgwHsVb/4Gd9dqjUxN6NJkDWGN1WBtQJ+UL0EA0InDF5sxkdT23q4EnqnD1JbeklaYOzr/jIUYV5
dMbmR+ir+xj0yGZsOufugg68R+Tw2r4sj/NRHajOKeQe1ZXY4aVpPXVjDPO8Z6uCGGcxjiMXWRx+
r0eiXUFwFWu1LbKlpQXVFlypvcsdfVtHjgDrIY/BVBAHk/ugHJMrcNY0dou7n+mrMQDIY2k6nXdX
3Wly0IFV2uiNG65pTHp70w5yOHHsE93RZoUV+qHpDXWv64I4yOlB2DU1H5bkbZ3pPagimnP5uyyN
DgdSfgn58kOzHV5VxCe2UWuH+cHCCf31bD6k2pYJ7XDe7qP26MnIho4XuztDT1+tpKm3see016H3
tXWjt+WWXSsChnDqF2KOPtrBz6EQxo0bx1KGRQcWqr+3RpgehEcGm6xC5amAa3EOnfzHfJQOTXMX
arupfWRJgas1m4St1Yp8xBVNYud1DFTzgKEioYKyFLZc1L5mi0qT0tda2TBB8Soj1FKioD0TDhmy
WLkSIPVPpq31KZJ9faLUpnjC/7vKVAU6gE/Np2lqv2Namt4y8rw/RedWV5e0gFsNsZFbVP+sl5F1
MHTwFCBqb7HVw5B3Q+PUjnX6Evf2q0H6yjpQ/ScbddSpQky4lozu2FBhrbWMziadQivAmRqTT0p6
29AZbomGutfri/FS+A5zmiE5C8UyT8P0QPphccrGbQKg86qg2KAhf50f2DeQdO/I4eRqFsP63EfM
yaTopSkmF7rmb4u499eKbetTZg5tYpHSMcDycO+9bt3KsZmGlg8G5OkXRRlRgATOilaqdvPz2FlK
Tb8IVbHuVkNCOMucd/Q1BIGh9LSlLJCR48qEPzY05qHFo3JimatPaoUJv5YMDsNK1IcSuvYqCNrf
fUPlL/sAF28WKj82XRI6bz2QTyfJdDQgvf9BVwjUEjDvBcxGt6OjN6jJ1SBb6T6W4YOSVlj5PP2t
aexqmUd5spZGaO5yBZCO1nmPPQ1Hb3Q/ksLy3gocrJy2sC+8xniWY/Zj9OmBG4jOH02NmQqc031R
eL9zTwJUSukE2/rWzk2bz88u1l6nKSsnKPxtkvsYFrxrpQTx2o1y5zq6h6bVJNkq5bAxcvoZYx0m
19rAcO0gvC+NyF0odfk7rXTOz5CMn4gcY1LOg/pkOu5vFoIYEZJpHGHDL6JURD/gZOBDWGpxnr8G
ZmviPVbilUMBsSwthb7UEr+me9Rd/7UwDa515hBUUenTGDfi2tTcFqXWHUhE/G0bioqLJXt0SRLd
WoKXcySbV4Xo8T2M1LcwhC6p9dR4jA+oQzSTbMxBGulK+pDwlUra61zUAIMM5cEnmXlZGRMs1wI7
q9kWJ1eWVu9DCCs+60q4EDX6774EUMYGpmFeERI451uYxkck+kPZWSfZmQ2trWrYGlVtv5QG347B
9vVYxp794qfDtc7EB6TndTsMJNQ5Pag+T0F/BTfuoOOmGXoo7WjSDsiH+h0KxIJYXUxqDKxQKZNq
z7RIo2Dww03nZvGaxl99rLQeMPuSTfgOHUt1Icbg0Hpj8FoRNtCJ/px0tn5EpRdcEhPGl27Y94rb
eO1SvDHSTDbzw9DABMxTNdvBAnk3oKOtkzHx1nrC7lO04cbLiDR0mwFqT9zYy7ym9IWTkaXhS+rE
26KoxNFS2l1V2A+T9c+kTk8DQsoyz/tFJGNLzMKhJDWy4QvZe3wET1Zjc4FhiTzOh9COGWBkSzmu
u4x6OtHq4paK6uo3Uu6YNASHuo62DafkHuAS4rneGe8h8vNNEgLdSlAWPlgtOw7Fq5WDJeLxofXr
+FJq6RFbJFZDtUEuSetdW0jaYU5afUARD59ws+yZLeSYvTx0eqYXnBvFeUf66wEii8N9bXZId/Ap
luaEAvS1GpwpD76fJhufTQ26C3xw3pDoqObzYBeaqJgBCWEby7L+lFbOMg9d9UJMiq4t5qfBIOOV
2pXqauwol6IgvitqGz/WnfmhVPgjhmrv2cwq12Kgnoq4CLbSU21jYVVhenXCTiwL9rnoQjV1leik
v3skk120QQM+NQErtfJSxpV56UqxTxIYWnBhopMzPWT9WgWdyDA9+t1ninoIhaE82VpNxyLy2pVW
xW+9Sh81ZXkAMoA3gk2ywmg7hNRmB8q6l8V3ODG0D0S+FtYqUQyUyIVDrKZpJERxqsWzMXFtjGQc
7v5of+ZAfN9RhdRLj2gkVNSI9eNEZTWgnumKipG09AYCmzNx9jr2jxmy49Y7eUSIn1VEuktWkXY9
ztwCviQ+R70gRNkIlHM+DYcbpsFs6bLT/FJtUeCaqDadKDviO8iOGsmTpG1Mx19P51fn43ro+kWJ
jm7vtr0AVN155yne716Tc7kYWMN2ZZylq8RS0os+uWvbeHwq4yTezy/ND5ynCR3H5jMasepnwjvr
KkGTml+G16LL5KrwwnTZ1h1X6PQwJKY4RARVQfKFSWaqzsLujpmaZdvUUZ3nsqXBbvR+sNFwO7Mj
aq1Fs2lht66amPJZTzl3lZq7g1NW1sLmejoGdUs7f4AXW/sK67dRPIaW0tP6Qxs8H+bVYLP8GUtQ
QcXj/NIwEFwphF7vyAQg96kiWkFDArNzEP/sGLoFd71SUuLlQ/Gjod2TV1rxaaT671GT5bPpuh4b
REWQ2uI85F2LtLmUxr6IcH71PgZwAyUB2he32NUhSD/kNSp5UtF4Rtd7pmTq16RGFQjdK++xaBjX
636t/KRS3Ixx1r0ktb60WBPeSBVjKyC3oIppVbZVfmspWA7tmLwrtZ/f5oe8bvD0dwPqOHMoT0Zi
/9JzIzpUuao8FG2rbdTWWXvOWO26QY4sH/gNyVV9ROguDl4J3s+l4gW1hJfGAjr4qkm0reCiH/rQ
fWdWp+2dykguBBFNgRoQwbUgvcRK4kDptdsNsNldUUY9PMq1E1knSkhrR9+YoDeDmM1eDos+jNxd
l0wOivCWcY8gBzJlbadeBNK7iIOsf7BE+NmWAzbbMt2bsqo2JUPmRiV2HlOognhvANZb5EidFeI/
nZZdP6mhihs6O42oYHASXTPmjzbJ20of7Iy8uNQW4M5+bPdwUp6VIT+grTTJkyH8e5guQvM8IKlN
Ydcs1JZ0CLe9wjFFOd23p7ovsM3b9ltNtd/LhLVkaxhKvJ7+WONPwKEImJSmyYutOJyz9dHvS5IV
6u3YuOThwQIlWThhDzDY4Vtlgq9B7rYvOQtjeNwqGDysS9HB77It1UcMooFASqv1qHjx16B6ho9U
WMvQUg9uB+TEjcxsgcuRpVV2sAECnW+obs9KpF6jstEffCqskKSOI2nk3amt6/7UIvZaYCAFd5eM
Oqt2zjmloCmUaED2eqTVK3TtzdaoSWGQSf/EonamLZk/2/he9mj31rhwCH2yO/+uWsMu7r1xLzUy
jtzBiE7zMxrhxj4qhrX1lXZE5BH+00WRm5shMLq1TQd1AU9kA4/dETXJ5QNRsNDhH4gjo5rM36tC
jItYFwHXWvVWpJBSPLX+qBjPbbsBjYeXe1uRx8D886xdBBguFi0ulH3+2JhsVBQQTUfX1/I1QZY9
pTMterQaFdt2TRRiofRtviYqeQvYsr/bhD0DMns2FaSv4HaTrZ6ANs7Ldafik+LmnCJ2boB68Xvg
sgJqI1ipi7Zm4vIsY+YFSaVuG2jky7ZE2ai7JM8rdD+tCLFt/p72lly5XTiFr/sslsGDYGGBaoQ3
1mp/QUN8LPQmOU1mKtLY1iPfyLKps3KhRtlKVtLaDozyyVRYxYwKmhhBVOjW+VKU2VEnDSHk0rVj
NMWaBwDd0Okh5rn6kaI8KRptZeRS3egUclKqjz3BbK3mXoWMicRq+r0+KlBKxRvjhaVrhSYU3ww/
Kndn1atXMoJY0was20o1HoOof8H84K7HLWblZj9mCIM5V0Udvo05l7bQaGroxrCFyzBlmYmWM1Ni
vgi8Vys+BJZ89EO/Xin0QRfJYBu04ysIUHl3xOz4WivOrylzZOfyYa7SNkCwpDx2AWAsTW3WNLyR
A/uE6NCFC1Xyl1O9XZCqCjraO+qV/0I37wwk5IllJGE7UnZLu+9/oTDB7p+9hKYKnSzTf9L0Qr53
b49cdhCZJMGbkiSE1r6ozNEOqpHfunSjRuD5SqfLTlOXRic5uUSOqOX9bzt8RttGk9kNH3H4Yx3b
DwbZqlqdbvEYkqg8AFb0Yusx7X6IofzJFvjuV4T3MkG4mh6Nm1yhLTlUZ01Bh1Gpk3xYT/hG24dc
pyrNftcm0zMlKH77g9fjulgwFWZgCfbdC6zhmRNlX6rRBwtIjcyn2BlucRyMYcqCBfAfhe8xFjH4
FvGvvuTvY0O2oqeOeQuFu8K2c6FSFTIUjLeOcJpTHOn7qsBa/n+JO4/sxpFuz2+lN4B34M2UnqJI
uVRKqQlOZioL3nvs5g17HW9j/YugSlSqqqv6G/UEB2EAGRKIuPf+TdUCb1HwwFRKBRvyLMg2uYdA
jRMmfGQZCOJiBjGoYXAepm251UbvbjZGvC3M6Wdmmd21pdwOfv8Vzt13SjA2KgvoWXsV7GmRIZzN
aVNhbbtq/RTq8uyphGAYUg1BsjFKTGeaZgzZXlMu8ALcPHS7XYIqN1DACreebzfXqa18MadwuBkC
lI2Qn0al1avhhOgtNJW6OYqis6w3K2lZgYNp7ozeiFcOH8fI+lDyVqR0kXsLJCNRD6gr9Mo1azvr
003NppbanLtHOiqlKkw+ynaRwA1QqzXa8dYDorVNkvGQK3qGD2iKjkodfk0yJ98XphJv+NTTNUui
vjd5FjaWUZVrr1ebdY6o2SppRu/o9UNPeiQSWtndrRVV9sGOwfhB4TgWMI3NplwleuhD9hiTa4c0
ERvK+KsbGMo+aXhuwWUnPhK6aNVPc7Hx+/l+NrNuoVXacMxmdraKOtyB8PreYslkl1WCHoeOwQP6
SqyX6dbPYv2LpxqvSQUlbbT9qyjQu2dLZ++DUVqArjwM4A6lVaIfyO786G+F6eyQGHdf9bZ5pixe
3CLAhHPUaO8MjSoRWKpFOrnJtinMkjxLsEbctuP7RnHR8mG7w5VwVqJYAMtiSLcaPvM+kG5yDfaP
NLKIgL2W3Iz3RbWb8rURgFw+XPfW6MevBnnghtr/jNLRPvDXzTwXT/WM1wiheOgH0F6TYlq7sYXU
V2wsqJoSO+pgGDxkVljUAmM5awiTZzcRacolSn6vZmUplGO9I8nyYRNppKR9ElyA9TDR7jH36Asw
inptrXXTMdCSL/cB2o5DesRip36uA2BuSu8G1GqMtRGYM4DQfudrBV68yIcs1Tn62rjU/2xlujMh
KywCvCzUEaeFfOpv9MqlYm7487pzISoHyTyATGBhQWFyZzWd+mp9C6Nx35ikgBqD95QSV/6Xbjea
OoAWvoNLr6miRa/y4i4oZ69ZzdckVZNtQSZ3qYz1DzYKVB4VzG4DVzqkotSPdxElOtSp9qW2czzb
2U/kD5dTG9/FdQukrMDmcISYMw/OKrKaNXwBgIQGNshq65RrX0sh2RsRFXVf/+ZRAVo1kQLZx1QP
Q+UidJ22mLqKWeiJmrsGsOqy7if7Wt042bCtTQyEHM8/JK0Gs56UMntT/VS6HrTtqdrrM2jwJFDM
jWUTsbroGTUQQ1ZtZvAv4LFdEy7aC0sLoWpi8CTcZIG1jr9sFSbjiGBojnst/DwnXSSN9d3phpsq
BJCqNwa+D27/Ux0Udk8jHwzfmHI9Iz641LCjW3qhvqoz7Bk0HbvTObFPOtLwGFwHKxxlMS2MnpGk
svXvfhRSdVPGajkZN1UfLeAI3yPZ/MsfvlNV2dWUiFBQA38SiFi+aa6cPsPJNu1HpLbDK2ond06c
fQuHHpcSM6f2KxyPstdJd5Guu7YNYLne2Nd7ntkdRfxF0UPaiBLsNOtXf/IEJxI3ldC6USx114+n
0I1BwMC8o5CHhBgKgnBInvpm54Xqo2546DXkv0CKXZd5+uAN7R8V5RuwSCiYGJq6hm9br0CmeaJ6
ikFUtWlb72QasbtAADPr7h3Tfew1HJCq2fjK6irEiVa8n74G4rfRsTNclLiSADQkUC3HVZG3t7GW
7I0u+tVM1wGwolAtt35Z/GhMvhSqaWECZGyRI33xXH1Y5rn9pQwVH/oYT5Qz7LMKjbnMse6mJL1L
54bC7lQg/UZCWzNC/ms1Kp7mSawp6TCwZWfZCayjXfjPBrWzRV8035FByRadRajQhUO+qFr4RWLP
P5k1zJLOA6LBv3gKHpM4vdPt8TErpmBZu9Vd7VvdKnzNbN1fd7pSgZHI2p2pieA/BDwz5mznqoEN
YV3+sDSr3sWp/wXoL2+9GUIm0lJ14HcLnEhvYhSZ8ZpA5wAf7aWiDb/cMSzx8RS54QqPQXZGtj+Y
d2WTmnfoWWIXHZOR9vAlH4uheogat3pAwXeZ+w5uM5na7KUaiz+01FmgNlNUmjcBSbf7NECHKkNn
Y2l3zg7GYbmuC0zuS7QygrasttiZrG0ln0nUOdoXZK5RDElRvtf1H3hE84s2arjSi14/aEGmH1h0
+y1P1h9Si8wcFBLHDvbifuhd9fwij7ND4D560zYwvPGAVuYSOFVDGmq4UzI73I6jk1xrQbGdfaf6
EVP9nZ1jEo1XAVz7K5wyGtK4vxA17nFGGjF5GFHBkRGLG2Tx0gqCHkkPJVhDL0HEIx43ZN7W9QiD
HTuoNJ3wX50XSP32C9ND7UhbW4HGloLC0gLC+sGAIA9zo+y25BBSFB30TQjpajvjlGCD31vbnkr8
03QQ/TvSskUQnYI8XyOK8JTG+qrEwGIxlKWzDoNwD1Il3eGIhMGk6cKpD5CIDbJ0bUWhtUCKLrHn
K0tJrjI7QTrS/Ybvha5m3Zosjr6qlPqgo3BZZfVSyzF8Glx4akoTXYVBth4M5T4xClAJnbHRFPeR
FY2A9tWusxv+E/u4K9NFVw8nyCU3oxISygYiTx4Sz5JXBW1p7MrOtZYJcLplV1rzzq36YQ3svCLZ
HwXHsE7tE4vrMiqq/jS31T4entRmWdR99mKgRGj2pxow1x1V2a/UX7pNGlE1iZs73Z2ecpbLtRdZ
3SGO0IzMDG1DXFB+tcJfHUna5X+OzP2/4W3//4FpMfvJWwHNDaIi/wiMBV39T1Dah7KIf+X/87//
V9P+z3+301+ufAPU2vZ/eeQePNjOeCS5jvUnnlZz9P9CxE2sxpbu6Z4N0PUNTuto/2VY7D9sQ3dB
zf6GpTVE2kxIcGGKpDv/CZbW0ATC/IJAN22Xu6uerRm6A7DX1d3fobSpFte5NiTWr8qAjCaIRUDG
eTzC2WMrB+togNi3QnASQrkYVV1FO4/qdY5SlBhN0+Rt9O+ulbeSk//uWs37Ttk5XF0INm4KNXNx
aUv+jWTifOqLAzgqbxOV5tpGJmfHdq2Gt/HnIS29j82IN85BaD1WnvEUlGl2bdge2XPRrIDBrIch
dLa6XZlPutO+JqRMb4IRCV/kPgunjjds5qYXq6xIpmreE5V+9HHitmVL78zmChMW/0De0Rc2cf7B
LtkN5T6FKuFW+dZOfM24QutykUxqsIa4PQG7MCg1uYIPN0qynSZYcbId2t2NVC8vE7RuptjMr+MZ
9g/krOI6xJEYchZZz08DsikPNjYQ10mZKJDmxGm589hIXsuxdByVdRCOKM4GU78Zjdk9xU3dbyi/
u6dQnM0jKMjaswqYmtuiMdCeUivU99IC9SAFKt1Y9mSNxQHAFAcHMVirJLHekmzuULnN7GxVVoG3
NdoWSlo7o50CMZ34vCEbS4q1HlF7DAOkKIOyecTOATYH5qw9GjBxczUCPxEGPZ2atvf8Hf0uj8ga
yD558HhWFh6aXHvZRJwhuP+ni+SNUqvfGfhj7OH8gM+1om46DG7y8SD7St1Boe59QPb1Zvn49pm7
xkkgd01tSG9qIwofsHS3tuzrEaekUP0wksFY9AMWRrE+tNuKrPhB0/TuqnSGHs2RKjphfGyvc3cu
7vXRNdh6YolM+R3LKnyUDmWOWD1EeXAQQxN/lWfp+xnqH9G573LmGLrOjiW0QfciCaPhPLT1Qh/h
Ydke8t7a4jsT7HqNsnw/U3BSmiF8cMYk3811X+2CUXXvywYxzl4oSLF0r1t8VdDMnrRVaKIMarU6
sDMDUKbfohtPCc1aZFiCoZasqtaCL32xKQUw5SyZjCLBaRIHAEzI0njYkcoBMOso9KhiBP9fFCGr
8qfTwSv205czxbD0KiA+NM/Wr4UzI2nTFS88nvxB703ptdfMe82YMyF+LrzpEAc+xHkKZrZNihbc
zVyfO8/jcaP9sBGu2TmZFa0LRPCXXa/Af7SUn0oLuTlBUOGUCZJ67KTz1z6lzgtMPyAuwaErZVNa
kru0UK6U/Gt5gBjAFdHHHlSEBJhk3kqRyzEdlwR5IGecILrDFhmhGKEYHA0BItfd+GQ19QncwFbq
W8uDlLe2xHtENjP5Mrm0+QBv/Bl7O4e823XbaxmbAeS/WW7m58BXr+1Gt19DOJHmbEVPmQvFXgX6
ADKhzo4IybxN7fP5Ojaz4unDYvjG3PhIb2KD/ml1IcWkm+D2TED1LFjqJ36To2VRF9qh+yuxoxTl
GvbjC8jg5ZVS2sUVVDPa8vRz+/PUD+2/nH6+tkElDY+00SScndXHDnfuSrimZlGEoh3WJRmQZB+r
PmpHfMzygOOOyTssEzaf7bk/0zFGQweAKa64YlRqn/I08y6XvV9x6bf0GRVRecW//4wqryHSD/nD
5GLD0/QoOEVgqq59EoKA8Fu0gpL+KgAm/jVDw2OPXkW2CWq3/N4fWswtvzdZ0Wxatts7vEMa8CAZ
JiPJYpjbB1L4+a1it9Z9FnbHYHK658mywt1s2yaBYds9532VLbK6CW8yqwnI7TjYP9cayiP1FL70
QlMvU1XKC7k7PWRJdeuI/oYoZw3c2N+j5pw/zdDmZH/nEdyQbsANLkvCF629GWD0PfsT/NK+q/GC
E93gVYGDldFj4FFLaU00ALG3jF4M8D7/8u1z9c/fPscxeOOZhmuww+Gr+PveBvcsF60VO3olYjWE
cJ5yGwsXHxP3luUw6ewZSt+472aXpbyYXlRowZTSW1zzmolCS6A8TTywG23ACw4jgOQaIkIiWPhv
Z7IPb4XbJJ+R8Py9X84dO3tE8V1cexmO7eq2NhD9/LvbyT61ibdl2N058MTXY4dVpNpmFiZTuOll
xRw8twjWOOLhtnzrFpi2+iSn6qH5NrWf9Q9TpekMMkO3cZlpT7aPFatIFaEwD86S2oWJUhqW1PDw
eSQ3Q4wjzUKcYXCdAA7vwrez30c/z6MgtxlxVjxfexklGNSQuQFr4eaeeq1M88eDV2r72LDr/af+
y1zUm9Rr2QThQMku83dRMk3d4jLlcq3ss4r8Rh9SAR/hUjko+z9flnnqvZIg6DQWyYYC6fSFxTNG
yYpEoD21iOa07vAjKNvjjEMJJJykXUSR0kVAw0rkBb36XkOVe6lY+aMWj6IuruqP7y2Q6gY6IdWj
TproRkqrijHZ0oUr3PvM/6frUG78cJfLzwv4CbL1+0+QLTH2+0+XMy2wcfsEIWQcCKPw6OJitBwt
vQAMgNeO7JNnl0MiBwIKCLY2vs37u8nhiGnhPz/JjvP7g0zsZADhIT6xwfiLoOf3Bxm0AA4ymIK8
RrH60M61e+cC7T02iQ8WVzzRbAl+knN079j6RMfqvd+lH8ect/5+jjA/FyIAYv7oRN6H+bLfCJyf
qf89oizutSlMsrNxyvu31pdn0gtxbqo1kpwm2bpGZaL4UstheZDfNnmG7WS1ZnVEOcwwuaPsPN/c
1fx8CYcKmzWh1lRhqbTIey8/SN0rAHaADxCQXsmmig7dHcD4c0u6Hhh+UC6iMUMbwHoBrrt0fXiA
VHqam0FHp66NkuxnRQY+JhX6krFNXl9m2Narb101vWvvYezAetZsJOEubUw3/vlThOX5W6gpPkUR
7Oq6paIlZ3z+FFGYLhzeQe6rEoBcUkj1VvpaBoaFtk3Jxn2RjSTZDVapfCkju3iIpu995qDkFAdH
264Rnnhvlr7KLxxjyidHvcip72CGrFTWG2tGSsIw02DXlKp+bYkzQ/TJM9l3GS1KH8nb93nybIgA
6+RzdI2EGTGIqWPOUdUYUczB20EOFJ03EhT+2SenzCyyWIkxUFrpSKVRXKeJTnkbOVtO9BJSrP/8
P7b/+qSQsSU+1D0T43Vi+t+flMCitqqOofFq5W2wpJj4Rn6QDAi7QbJoIU9R4Gd3iP6Z0UYNBgzM
k11VzgeTRr0B7d0yTxTTScWSX8PAqzmaU2cCxeIg+yPsdKlKaiapwd8G5CjieES2erRuO09p9wWG
telJLfp4FenZczVG2l76tzVjB8hbmHyI/oKqyO48N0E05sbEvbM3e+Ty9cK7RY/5UFMOeTTApNyK
sUoYmL+PNaJlmsOXokindUF+d98MZXyQZ/EwvZ2h7fJ2dhm9nAVo6h8Svam3//zZQMv7ywPg4kls
2parUoTzzE+05dAJfSym1fo1wXahMdeImm+g6yvH1K1uAVj3e9k6dzka9Pk6F0ahBvnE9NwWs+V4
nETT1eDU+wmxhaORhVa/nbziw23kgJwb2Tpl2QJEno8HPGTkWflm6fl9Udbwp0iQTNhjLOrAuB31
vHoZfLhHaZurD2o4j2sh9XCsSjXeU/6s9i6kIXgBib7WgAI+APGJIb6GwYu4Y5g40FLBJ/lBcu8a
Yb01FQhr7VBlP01V3VYjsjpRn4E0UBxsMVPbv5Uz0toeTmkMX4PSJt9Z8fXE001FdUJ8Z4cK+pZl
UE25jFwmFnqXAjvt82U+GM2dB41XinZLz2l9ACoReS5Qa2GW8j4D5E+CqKl/XwmvdgufgY3u+9Gq
EU3ZF6EBtqk89n6OjDip+7+1Ec6s7+RE2afg17HCm7OBQMjA5V5Z3guZTVQjtUZpr0zo6VXr5qcu
GImHxZmjZ8WptHLroFWo7/7eL2fIQXGlnHq5iCpocarFle+3lTNkv5yGBdj5trLr0+W/37YBm/HP
33b3L192S7dN17Jc6P688o1Pa3ZrRyp0ntz/mQBa0zQHpEM3V0ToKmG6rbnZQTYry9cWVh2D6Adp
AkVFDH+aGLuh4yzP0+UklJXfbnSZLm8pm/KWQMJvUt3INrhY4uplGqUOPDjtTuVB9syDAVBNdjtA
VzcYF48YiTaVjmoNV8hxsrbdwnHSZDvDZT6dh9/uopFFWtSoIK+LYE09G3nsXunqawzZkTSSp/JA
Xd4/ADqWDXXA7ezD5Mu0SYyEqusdAJ9FZcntZNf51MfwdNM6hr/xm7Q4Nnk+4Qk+lwuH3NtR9skD
2lXRuJCnLvDtEozK3g7hZp37LhNDr327g+zzSsu7+ucvAHWIz687y1NNwi/if95QUIQ/rUXIxlte
2So/kiZZI6pMWKxQg1tp+Gyu5BpxWUvc3htP7ovsiPJS+nCwpoA9rlbJPL/Nl+uMvHKO5vHU/+RN
Iu4qVqnzvX6///mHRrHzh8NHKt0bsxELx965D5EiuD3vGcTGgRD80hMgC3Zbogrf4erA53InDdw9
BdAeiHpzK63c89mOD3YFHkGOjkL1WFxg+rwHZBcZVy4YgLw1Tb6Vextwud2KZ6bYyWaQVejDpQDU
VZFMD/0/R2Xm/TIqM+9yVBWTP12rJSr61ZjO7WcwTL4wYwqFd4o8KEH/OpeJRpmWLjnYUa/ex3r9
R6Y1+W0KvwqpLt3gL8mKvNtAk1r1YucY900CP3yybqoJGUwExMu11fjBS+Moy9oPjWeAUqsgqIqt
P3Yhoul1+NBXRvigYfPlBa1yI7uEaSsb2TJcQdxjjeuQF8NlN9+ESoTOJN6ycF4998YRZ+ibBrhG
z+n+MjAmnnmslBm8ENMu/fImXZsjAvg+QK5wXkCjYrMR+eaM315FdiNhNxeXxa2q2D/byRmfcWDI
oTBb2HSV5fTsd8WN3bnDfQJv/J+fA+d3sRLTISummiaFbw0fXUKYTzmwbvDdWq3m8QcSwgT3C6QH
8oVtokTBPu2usDIfbfAW/8c+9A6IXfcPpG2bHaYbA7xmmvLQl1/sfK7uZUOP+N6YDrprsgnH1zoG
sQWJj+mdn/cPiJP/kaRVd9B7pTyRW33LWk0T6tkIfhxkDuucq0pdL9yElF+Xl3nAD3mwvM5fV56F
rveV3IRlHjvlpEzVldx3oQP4selNHnAOp9xQ9rKORlo8yOS+PJQJDmE4nJ5ky+cjWKeGI6h+ohoQ
1/ZlfqFNBoDy1ryiKgyOXJxl9uh+qQA+S2tZ2W9OiXmFzpr7pXXLz/3GoLIdiqN6OWhq4P/bTs4S
VTG2jMg5CYkd8ZnaDtg01fZc0zDJb/7+anMrvWmnxgb0MA0uQll+vW+z7hSPUwIOOg/HY1DU41Ge
FUne7O26ORHPNYipi8mieVZu94z7VE2do1dE2a70vPAKi6Xs6MSzvXbQ2XxgZQG9AYrzu5NByu5K
XLdqYCROn+ivzjTFC5igJ52cIA69eU6Gy52oK7EjqaS2nZ1O+S0A84XnzNsu83FK7fUk+qXjgLjK
pxCxX7H0XA52GDXXrjhc+vq8XKjaiJCy7mlrj+1de1/09j73a9RTRwPTlbBYTaVp7a1UMZ5a24Xe
5pX3XToN93HrH3gFJl9L58YB5n3NrwIA7v3gzjXWBnHfHooG4J0cqD383RG+gh8iw2YKT1/SsvER
8fwz0Jax+aUpA2sZd7/PlV1yhq2AcLL6FomVYDpcDnOPHVCGbmSGt83OQKymWlxGz20n5Ctq+4hX
xoN5Mwt1DKQZj4Zoya6WVeegtuNRtnjHvPX3hRptplgdlpc+OYUazovWTc12IMdb/4gNrD0HEHd7
I7cJv8op+JYZubEkdzkdiinLn7Q6PvcXvl/sJ8hpazJz4TejAJOR2Rqk+Sy37zSzfcRROfyGMSTV
Sm/0t7ni5BSRpnAe0FUWQoQ9fn4PuVFEj60Q6SBhZTaabMiMkRm6oRiRjVRMC/oP07BZr2IvXP/z
W9JQKWl/eqR4Nzq67aAVo1q2LR65D1JoGA2ANMxn40cW8rw4pupey4PiQlSvphTtkfc+E5pADyq6
fpuTp6l6zZNnvc+Qcz815XxLnfCky/iTnKp9CJV5uop7j8SoOEzo55iQ2E6XLjtCu2yq9HxX6YV5
nhYaAgaiNvCKRB+sbtRr0Pjd4AY/LssRiLQ2Vt6XylZAlBgl6BXRLNFB2CUtSDDZjDG8BqhctgvZ
BOKh3fQq0EsxNwnn4gumb7IhD5kNCDGOndvAi37GapYf0MYPdp054lAmYpZJBCCf+qQWMeCVj/Mu
fQoCvYtzre3TdZ3hTgdrABc2K8G3DqlMSMg9mkF6yJIyBf7RntV+lWIy+U2dA/z9Ovv196mJw+oD
btk/WlXfr9DTGbYu1opUXvrw5IpDpZLOVcGYIE0RnmwANCpAHQZke3DHE2GguVdqXeDfxByvt8JT
jQvQ0ginfP3hukrRna2w97yuwjC9Meb2BQiT+jW22aaZiCEvZbMuB3PrJCFoQzHa6Gm0NtzB354n
p34Il7OvD7IZKNWzg77kjR3UGsrEzdI1rF+djxgJhAvrYbKq6AgI/1muYrKL2tyB+Da6cQoPAcnE
vDengjqnDMg0pCIWgCLHzSVSu4RlclSvyBt9itdQHi/2SDC6+IT7vH3aboqvqsjchyNwwFh3Kbkj
vmuIQ5CVzUE25yIpeNt5q0uXPJPT5AzZlAcAoM3B97UGCDRA9Djo8AbxHWNdFFH0bBcFCurzNB+T
IfC/Yo4VOn30DNnBxzw1z5eyqXuZuXJs9DhkE6+vQ4+M1X1cx9/8xv6eaJOzCmx/vPLCIntswxQS
KWZbsj8S/ToqH3/X7/CKuooUY17Icuhoe8laNmVNVFZD5cClbHrpw1Bghy3DXmlU4+irCDKw+MEU
Ec3LwXtv+qqVLbA3R2JN9AXkPqbz7BqjhSOCQn5ZGbDeY7jGo5mvjdlwjyNh+ALZg+obiYN5GYW2
f+jJTD6Wnc/DHlXfzEQxt1Aq2k0zq+W3SjePESv7g2uG3vnyWUz7dHmGKa7sZ6tkAkaLryNUUz/A
H6DwxIs4c4wrCX9gJ6DdNLPG5wBoAtvEdmnN7BIhdSQ3TvcYjT4iuUTlBAcUG1djhKBxH1PAkn3I
7lHBcB69rvhtWm49JwORzyIsFe/OnO7fTBi8XAHQjneFZWD2oXqVLwalVLyPbNw/rxCaJTIGHzdd
OiE8EClb1QzLtogqf18hnEzJqz5HC6HEphAsZWMf1D7K64URaRzP57ZvWYfeKdWlHqJQbMmh8wQ5
dD7UVrmNhyhdUPzEXCbLwfaLCKwUTZfv5lqGXCjBl9tCQThKBmR2X7yNxj24YQjNG4lfkHgGedY1
3WPtdHg+ClyD7L9AIYY/B2W/xERcpnnoxMZzc18g5jznSQR0dVyDLp6fdS3lmYoyhRQXBuHeMKMB
So73lHjDeZoyo8iajQrwbFGfYHehbnwLkfVLFeKyE/pU0bhM/rSd+tS83Jl1KjpXMS43hZV+3YIq
vvHG9iTrkqhA32lKMjyZNeQDM05bSLqJd40ZGuIGSpw9N0Z9ihoS/J1MEOdBG9z7rKULrWyrG9Ni
7zvo6hWr9vRsNFa2a6aaeoFoymk6UKbrUsNitvCnirT2mN1evsvQlh/7clSvzl9mw0b4ywCWu5BT
5KEVX/zQLh67oYC9KlrycJkr73l+aBSrON8vRmJs2cwwWKQMOZlodIvxvVxLQXJ5gJ/wMmfmdJAt
f9BcZLmeZUNeEzqwLY3WA1sthM3/7j5jnqj/ssWC1fGXB8jQPdXyABkZIi33KWpJxqTJ0KQpX9pQ
z67Iy4XHVPjYjg1aVQnBx8pqrLxZyc6/G5YDbWl9a9CKPchAs8Xkww76e9lI6hqRbnjsOMQQhCpj
pyGOPt6fg1y0d5CRdYLrvnYxNNWsaOmPozWsYq8LVhBqitVQTzaWJ91TROizLoDjr9p59m4sc9Dg
Cc/Gk5ub8ZXss0W6AFNv7Vr1q61szZOJGaMPS2s19CVvwKJoBN3bM+/cEEKG+KUwe8g3amJD8xLR
MpK44R2l6iUs4eEcO9dmSgEnT4u9vKBybPdqEIke2dQMNOCqJBq2qTmDuzfHVctu6WSXE1nDqiXP
qIUqhJxOaZeY4eb2Sg41ivrila65m7xgXgZBEO6KCbPBYBy1+9Bp+tVMcuc+QPdmhfGKdh+LvsJ3
9eNZP9xJNI81MqKUjnwofEjKJuLQVNSXZD9B361sYVW6po7tHVw7cW5npf8mXx1NgXFaXyrZFtcb
4SEINTzM/bs2HbG+EZC1Vs+TfejVPsVKXunyoGT+HZ7OzVG2LjMk5E1e9X4POSMKYE4aPPGLy3tR
vux0rQkhoL9+6pZNp9fDI6kq2bi8MuX7UY753evlZSnPKvPYN26NliGLVemiX2RQq7sibgQME1so
PGiQBQMccsn3hRH/VCv+2oUAyiGbF9+rrL31UtP/w25/9Plkg4LQynUBgvC1abUXXGHyb0FiQzuh
4HFV6gTUumI4x0mPnWPstFgSW02xzzE/c7Egm1eh6JMDuftgh+wBexUVl4U94ieQ47qyvaTmxjzd
FB4c3CC8c4PQ/Pl+kgbxuQfjuMtQqzk3StgnB1tN3aMSNrhYDzWpxc5SakIROj0NBOeqan0YCIMT
3UWxZV2VSP7D1BT2PQ0eCStFTbyN3Bzw9qnvIBljVrdFG8q6vrz/HP4bG/Z72fL86uub+xa3ozVk
NQSUoiT9wnx008zuRxehMtTjA3eP1DVsGBWqUlVTQ3KyZiFnFJ0Wrdq6To5Z16F46ZvlMqkcxGah
Hq+R4MaNgMj1AD/HPsjm5VBXKupcabi/dHV2MmwNFKHnr1qN4wsJ7zXJtxCXmNi8Halk37pKbBNS
zQ5+csJyunCF1FuFKqEcNsVEdGtiIo+AQmYVb90I50yohLBp0nq+0rI8hzfZash6QEjoke2G7+s7
T5Vj/RxnK/9VJvAmPWB8WEtMO2i9449EAUuhd9gVTSTFF66wdyoUNN+gjt+lDUSPIsZETe2SZCMH
jah1bnw45XJQdgUanvEtCcm9bCpqOhwsrCbQM02gBSNQ9ZjGRnqcqzJflRZ43A0KJdk6QtXkEKYU
V1TTpoYiT2WnPCRi+Hym6pDLy5ziy2WObPK6tbeuOSpXCQRrZzHCpLkKo/h5LEbvxq8y76YXZxU2
Mks1Kae1HBiSYsQ+TljNZbOzTPyI1wq2s8+6TuVsdJ5KOMmHYCybZU6Kp8rMGKe6XEVyGa+le3kI
lEf0Yf1b9NaS+xaTzYM21S+XcaM2XThw2EbLPl1tvrvFiMgCcrrTuE1hAU1DUH5vrcxGXVkvrqNB
dU5INSJkLvCVfzOjDFRtMyDRbBCe3QfkPw2RB5GtGHO+S0uMsdOg5CxmFpqyvrTEGCL8ya+MJO4B
x8L4tgMzd37eqpSkP9o21nm7LoHHedMffBPAnl9mp6nVlK8Wmkh1PfdffKXp71Ut36cQvr+aGCxc
V0aK2o2YFZeDs42rsFzL0RRJf0T+S9DFJRACeWu9SNNbre0+BAfQUQsopVhbyCc+Doxs2+LQtEDP
zLgeZ/2+yxx04PIJhSR0pZBPEa7e8kC99DRikQV3srmxZAaubqiQhRHqs57YZZ4708kqtr1OKdXH
zHI12wqxmZB3L40+BwqrDDdxuJc9l+7L1FCzsls5gGjKKKaqjuJt+xJuxC4qVB1WlgFh2LbTXw3g
MsQOfzmZCyvMbttHK/WA7KNkeD1iOYxSz2LslmwSldUZzJNGV549949q4NToB7kf+s3RiI8F8lLw
oA2UDXFxTA3vi8y0YHq89PCQuJet2HewJ8OJT7Z0kqDLvquKK9nsg9ZbUYiD9iqyNpFht1t8C/Ez
EnezpxqlbF1xFpbrN5teK2JSmh61Yr+2rlWTykrtaPZi8NvwB8/eXa8lwaNpsICVemZsVAg9x0lU
uIimt02tRK9OCvONV3D34M94iKO7Ne1AIfWwFLFClVPihGwLKJAXDAj5RFALOs561v9LDtz8m82k
ozoORhUmXx9U2H+PxgxwnYHmlekL6k4Lu6+6W81Qmvuk1ZOrskkq5DXqFoUA+kqn0Xjpp91WNuXA
bDifrxoVbYcKBOanlt0vctw8Ri9LFvhtvZ+ArcjusBbR12SjgAQ4Rtsc5MHPrGoDz/b7rCjNIQ8c
BFd0R28OqjjIKbJp5i3XydPLxR+ukfcZp/rbv0SvEtxRfCgZ6A7rEOwfcNAmSLbP/6+mVptwyIzh
m96jr5QFCCUYYj+hiYM8Q7CMZT1S2/s6cuK97IvEpmLAjGpeUAdoto5ixAvZ2SWRe8x0FA8SJHRA
kwcEo7Z28+kMyRH93De+n/3n8wa93rRWMG9lndICELwIEaA7yLBYNgMzTg4yhpbNxByhq4uQ+jJ6
mXy5ti36/0PaeS03jmzp+okQAW9u6UWKIuWlukGUhfcmATz9+ZCsLmqrp/vMjrlBIB1AUUQic63f
uFCM/6PztRg0NTdKYY+qg+bcukVRYHGe7LIZySEPxOuNZeYZxpYAbPiYTl5+sh1jaSII8q1ORgWN
9Ly9h6eh78qETWTomgn7AsNAUL23f0Azb/hv/7CTTllk6RDvS40p2S4bzPeGNH8LRqZ8JUQHQRbR
/HhSCie/z3WScaDz7gzPyN4ilJV3odJBNZDFGO6iLfzxKOJ+fDHyn3E25W8izWc9CHf+ZXNpmAbR
qnDVZi9bRzQLvDCvAYyqA9sJPoG8mJpFwUZ+gkvR9J4K3DfuOy+vHpreussCvEAsK45uOoB1qxqS
PymN0j9H8YyRTaroGw/He+QWxiNC6saNjdThprHi+ovrfFNaJ/z2aaDfaa///vvX7Tnb//H3bzi2
jUK3rVu6qpuuBEd9iO9PBrOm4tnZC2qC2fRiIvq1acLYHtGLWWEBhp3MrJQX9ghpBoG5lSVZT2bN
qRfXMmwaIu/AwHZCmNkN5k3s8UKzyJDr7LSF40/NjdFbw0NV2eW5sLtlUKfjg6zKMZXb9ErermRR
Npi692jXHYDBeZADOee2CadnWZIHpDxLyF1EVXogv+tYh7fkTI0D6Raav3RRYpEZLmu1TW8twAiv
QwQqwc3GZ5B0wU0VO/Ey7HurneFQyImYjruSD/HlkZePctQWW9OsD0GHkpvFawmRyak5mSS9Lgf8
WDAcT9EGvDYg09ac5AhnHiE756X9TcMDellirl4uEFIkOeUl1aH9c1bLFlkm0evOnrnO96HErUx2
VAY8S1X7/CkOIIvXumhENrUxb2UNrvXB8RoyaPGQJcuGEnXo5uEeBsgsLup/MZn7T7LUtafULNzn
TPeze9UJT6SdlBe9CyEbz2ao9axHCkkp2iI/um4E6NQHCDj5A3N1fN/wDwlR83xUYg4V4koLr4yr
g6zLSm9btNmIhUfZHxRf6Q44W/QHL9VdpFf+lOXZtY8795ZFtn13SHpCUNOG3WUTFxK8wBywfJYw
CgmckGcmUiILDPFAmo8lm72AUPK1n1XAAMNpa2J5oJknLbKspV2zgkJXxTzJg9oG1ik3y/sZ0bsf
ayvCggmT8WPd+4tP3eKqRYpHsuPUyTcPSVOHJ3nIhzq5c8ezLBANJOxMZPkFu5/pJp8EPiGyxYnm
5JOpEbadh3r8mA5uGx+ZceKHAbk1hMnSsyyVdpKRv4jm2Sh+kIcsJcU1wa9iefFXnVmGrOVLd5mh
i3bM6/FH4/fGc2KXriyVUWw8x8r0oUTO7VJqMl1/ThL/Q1sPKQqTMzVbBeVMuQ5jxMvms1YM0+VM
1sHDNNCagscczW4jqJqUe6PQfNJtTpeni8s5WtwYTWCbi8hNr9+41Yg1Q9alqGH68PGU0b/rRDat
FVKdD0VWYrqSh0jrWxU2YSgFvw999DNmP/ndyjV+zgMGF3EUL8w+YtPR1PXCgSWO3E/a3WaV4n5D
h/OXb7fuW+6hZmWWWvZcwBJb+S5kpH+fUP/G3HUNEFVsHplUmUxp/gSvStD2yhGxcp5DZC/RK+Bd
K8quQjUhTvcyfD0oMFWRqk738tUrW7Oo+d2qaunv1utY2apbmF7rRXn/P42Xl5MDQh2EsVXX+njI
KySv8jbMF58YAXYH5J7NcI/OlMw9u7GHXbEeYS4RdeK5rJF0DzxbPJts2jvAroqin0wzKl8nN5r2
gwNxXhaJFKqI+xiw2edWO8AZxq/a6ji1WvGKEcyyGqt021ktMnhtiHiN22B/gt7rczdZD3IjOLYT
gmQAnh9jYVm7JsBYPmhj51npjYcIqtQusEJzZwzVHkex/B1JD3WFSoh2RDVZP4Sebq29wu5fsgYi
/cy++dM1w0vo0tXpfe3S1fWG10KUCvonunPEJM+cVloKdyouukOL5CrhmzFwjzop2CNKOO43PZse
bB7Kb6pR/XTCwX43SvR/ZsHjV1hraBSimf88OJAwMgRwHtM4H1dVR5BCVVpczarQPOW50m8ABod3
fl2qWACbLYJwprPDMs3b41yU7Q2sVW8cIdSDW1XFbkSK4OjNfnOoFDp3ZYwggO2O01kHFkwKUHQP
eVyk6OG47RNqPezl9Vy8MHEZiy4btLfIQRe3KYXyxZmmN/6S+jsLgKMzVc5PS2QbsyvCfUDSZlcJ
/pzezNPTiGj/fV5W35D10d61wFRXTaBV+6SBCKmlAqka6rOhdbY12LbNgL/JexhYuzB1wyfRnQYe
7pvJG+NdCVUaphRq8iS1ku9m1S3CKul+jhVKt53dlc+RnwYb3VKMQ1vlwdENrGydqlXwmgj7RaAg
/lNJYjwCLXNjF7G+G9nT4AeJzFFW+MbG6NT+4IBmZUIMyg3CUOVjk6EpiGxb9s2qpo1W1u0hKaJ0
6SSleyDx71wOsmiTjWMNYoUr2aA5msCRee6jokQ7zyKMuZx686nRTvkhiT5cRnZ2o1Ygu48Cvq54
zWoQan3nq5G+7+xcRyfVzbCg8DG2UMz8pxG+iymcvuPaEiCFlav3iLnkOyRd3Z2pBPpZCV0evQrx
jiaol3JM7rq/Ol0tnssM/6yOn97BwtLjqGgYLmpaiPyLj3GB3sf47JbDYyRXH/PBmFcpsr7upsdZ
hvJSda0nK/koS8LXIUVgUXa5xj/WyYvIOwx9+oYULKrjkYtjCr4PT11fNXdt5p51JQ6fZJVttfuG
ZPJJnatcr84gUEYqSpj0jy03A05GMkAWPX0kHmfjuqfGDaZSPRJI2Z2RTu3JbpX2sQ2jA+4fhLEQ
r91VWK6t+zmqBXU6XvS612A9aHSPehd86NaNIC0z79VIEFAsCdNlngDFix5UfStFO+VBFnEe5f9n
WfmK8JFxRlsqOMfRHmou8UpZpQjri6F67e+6yeZBBwZQrWUrq4zy8O/vE+IM/7lAdyGMuKA8Sa3y
cGqa+gmAU+G8PhVxjs9sG5KM2TDXlnsxuVubuNt9Nb/IJ8/bQtv8XZrbrqW5TfZs59f68B89/z5O
9mzma/65w59xUaLUW1HnE3JdPukUvxOkV7xbtenBTLr2eCdr5GEELLVV4hQpgv9sQE+NXYAMFLtu
pq68Ot+HiQWTYU658YAXd1bt72RJHswmsrZMFGi4WKFIQCCiedV77rgNc205gVuCA9h5J2eMkFUz
4vtoNriXVfJMiUjXdMGk8Br4q4HoVo2NLwLAsdcgdzPp52BetY5ZVSLBqFTATnLrMdRi9cD6Ad3L
TP9WE+d9QpDtJ2LH4XOt9WIz5r62x2vOusNOARmfNGhuygKjHqJRsLda68Eps/IxKfNtktnFq40o
HaK9xAZlcQCvyKxltZt69gMeJ1SwkEe2i7K7U9I8WxGTwiUPkWwec2EVd0G9nrQGyGijKDcsJdp1
n0GC3Y7T9NXSC7EYk75dE5l2n7tSfzBItn7PelIoQwElBGiQvUsNMun/Qw+imwUSgZq+hcijYXbR
ktTQswz3talcZ6WavfAu+wFRxP+p6+9d2zXnFGaxufOdWS3ZLC2iN6l1FmmBwjORkjWkC+tNLZUN
7m7Zd01Jf/fg06v7mXS2dmzSV01pNsswS1iCz5BfQurdMq3ZK+slIBcwp5GCUvEFIoduUXAbjcPt
oAYV9phkUVqlgQ/aIKSZIPrzK9BMbEzwoK3h9iJK5fmv2HHmGA+lydPYR9rK5485p5HXorOI3KoV
ZuNuaIGyjFEfHvzBKnYFdhdHwo3pJq6RBOA/hiiDQUJ5DDIMoFmDT0cD3y7we7haB6oyviU43Dvl
4BEz9+vjAP9gIetNHxlRIxzoNk9cQzV86KYmlbVo5xkMC3Su1lq/u2Hizcrd+8WrPXk1+QoRUajf
A+QOkDlzw1uMO+q7FDsYhBI7/ZuG8kig2t+jWSh1wg4DZJSn72eTSj6sXr0meHGjkWR/z1IMWxSB
HnqFUOK/T1WG9YlZwFTlaYapa4TTVMuE7vafscd2SDQn7YrxGbSO91CbL67RMfEil7HHUQLGQJpU
71kUY1OntN2pF5VxP+ga0hrUJ1OCWr1YhfAwlkY5JDdyIyKLUWN9LMpWu2gPVVTee5Ob3vpaJDZh
PZQPaY0M3EC0493IpvtI4nI996a0nOpXY5dfjTF1XxUonstMaBkyT9GvtkVPXlEbkjddiWG7kz80
KAY91nN9CBh/FeCW8gUbt9gvTkIl9C539EUyqRsxYcUh9/ty+0+Ca8B9qrRubOSu2y1GfwihWUa8
ddKelSXEcXKVbl7/DqY7QltJV2onzgMWSLM39dW8OhisjqwEMoKfGmQXG8sLVtu4w9y2Xj2sM3d4
bk37LJGEEnsIyz3FuNo+K5AG7sPSSZGYcMUKUqV6dJ22WjvqvBlSVTQIvWj40UYwV/XA+uW41UPs
u8obggJoXMW1dp6c1GH+14jF/RmO6P7v4Xxzl+HY0pq/6qh/mIwxOOFzJHZONOSnBloBAv12/lbX
UbtxHTvbKnWTv4WO/Y51qDhHKP49YmBxkNWjl7s7xBOQ+JkH5SO7P1PHM8EM1fY1Knam4WdvXlHa
GG4B+5DFQRkf4d9g6YEgUF77dyjsVk+BaDHK0mYXs7k+yIMToLrqyWjHFWKr2kJFK9psW5bgrORv
AY9/PFzrVKcVa7OosZGZu1wbZBGkqFjDWXIQBMckb9Cz9N6rcm/NckPlRYmachRn1W1QjcVNwrJw
n4FcOBg8oDsj7jo0QjJtowY9XIp4wukhi4eHNPX8ZenmzXPSYgIzaFr3huV6ssji0UBwb84Bl8XP
umyQB8fZaDFZW5ysvWhh4FvWJUGEynFBEsZ32u9dED0a/ZTHv5ANZ7k658+GhryA3yX36lwqXNwz
md/uZRsZnUubMZPi/7TJLNzfx3lJHa56kesX9oBnRjagUi/cSQQm3FhsF8sQctYsLdQGjrLB+qsE
6sovsnv01OCGZXzwC6biTegX0TuxEI2JYsBQ1EuNvYq0zQYhVefRrcliR0iz/IztJU+/86PWKnUx
6RiBu9pUbFsWA/shQC4pqFhvIl03vhdIFkde2h4bNTG2DpG8BYHP4BeQ0yw3jV9K2b4XJJdfnS4p
VwhrTie8MjFUM/TyxvA7c5MoaXhAKSXapGGjHYxai45qW6VrQF/JqyHSF3QAup+gXDZdYoZfxwTd
DlSawzPECGaaKg93Qd0b90j7hmyLdeubI76wZEbnOs0NcYwkTcEeUGee85Ni5ivIBhBBv89MbRzQ
NyimhTpa9rkX7XtdesMb4rPjxslNYo0zEKvVTJypFe9pTAXGpC5q52prRm8dZjErHOa8nSx6U33s
GvwPar9t7/E6eNTnXl5hoLqHTQHLb4oE74h8KuH33BLdHfkEvooSMtIVJDVFo0OmOSKWP6/i5AEL
ypWC5NRJlpzciXZ1GmIkVRiHNBkgXASOtzXLhplBRb670bruCTMhe4Eos/jSBuV9zK8Df0plnSRJ
ES7yuDyMRh98aycNYn8Qmc/qdHdZGCjJdybqF781jdey1aZdh67oWhY9r++WisKTdmnlzxJ5YN/9
+8tvdlj+GEd3oZ0YBIh1EPyap/6N4a2JCYq0XSlPwsPeL/cNNF6rqT+pIsMOQNT+Brpk8eTjns40
ljk/SnCBQctDfO07wmu8GZM7lgV0j8r8qazCFPdMw752z1QUqeSlUwiu+0vf+dLWzCZpfNRgL0Tt
fOqA1KfpoSXi+7Nutf3QFcmXtunNZdTG+dlMkPgt2Hfg8avF5wDWKOK5RfAFPcwDbvCXQb1wEqKg
4DQmcBP6PBOUVhY9OUG80OfsPL5S0VMyS4LOM4hs+1Mak+lz2zwOlIvz/5GVATL39/+AaaBhoNp4
1CKt8glGR/jGN4ETOk8Gqd1V0o1J+Zpa2BaFE9LzUIMOrirgZsrTuiMd2c6HS0tuomwpKwW2OuVi
wrgyyCyQpPZ0lDgXCYeRZ58wMZ+KQlgj6hEtut9QpNAG6lBeHsinPTqazqLT7buDplTObZvY/bpB
WuMZqZJgMe+CfmblLWIM1g85CH87Bjlxt1EN9vxyUJNgNqWGrvHspCVL/fSk62X4oxMI/esYzS2q
AFebETAM7L6vTmtPb57WNku4LNaDOibQYpHzPbaxiRhzmag3iZqERwu4wMacEOr1QvMlREh4nQKy
uSVE5x3Ah8YbJZvEUw4njnelGH/6wJtbLAxr8HjgPfr4WSSetY68+vcgAuHRZRDb1urPoFEiBWqk
uupUjy6D4vlO87bpcidfV8STtJ7tAQBte9PLMJKdwuhlaoOvmuVqtwL70v2sTc1ilyhj47OWbYYB
O+45BlkZarGwKpSmZSvyUot5v/lcprhOqOA3FUWz38r+VzPj3NuuxauZeMrOtWJnrq6MuDgHZvKW
OZmPPBpc3abRX5Ex9O9klTzIopelGwLv8e2nerPR9WWXiRol0oekM8ZDOGsfkgGBTDyfXQ+yDhuc
2SDplhnK7dm3qY95MgOOU9+61eYIsmODp9Xd3L7Ve1t/lq1jp1q3tfcY4Ft6o2eJ8ZpMHkbbgf2o
Dk54X4fiMZ1JYIXZeDstS2wcvHVjrXToARVlne8E8feVfGo1d8x33uh2l6JszezyxtfGrVW2v6x5
azYA1N8QxrGpoqjE2rEC//ngFz+M0VFuG+wVj3KBG2qbyFGr42XNq7t2OxGdR8KY4DTLmQR1N6HG
qKc1IehqlmTsMoMVcgXhbRmH2aM1xR/rJ3Z9Q25lj3N/q8u8d1O/TUcQ/lkLxzbpMHuWn2i2lmfp
766E0as7e7L4B2ThtMja1j22SVg8K22wlvvMMe9KnIqafCkSvXsckQjelq4Rb2Si0E8yY4HBsXeb
8JW95vG5VLXxBfTZ0wUEA9YLV0FDUTesjZ195nfK0e1btpc4erxZbXIO5lhnH5d7O8utd4GdBUBx
LzpVfuTfeErTbKPAMx/wVdYXLliVH0jlmknzK4fr8J4XDwSDsTn5c6Ion2s+NuWgF+LFxz551Trv
WNRh7Kkaz2Bf5hyRQ7h1/jnhEVVt9EgLNrIV4Wugl+M3FzuWkb26z79z6aVFe5dGyAl3OIigvdY4
711Wr5u01b5nRacuPC2Z7lMWSQABbRf1WuE9Z23/JHvUWcSGNUqf2zKttp2bRzda2lUP3Rx8kz0c
hCdKHBOP+JzDnpn1Rur5IFTINGqYaStXC0f29XZMpYMlQdo58XM2RHeGnlZn+fIpKDGgPMuf8dx2
LbVG8KH0Z5zv80P897e/pzp/f//PcBsyPxqJur9rIRmW0iiBOoxPk7evFU10N1EGJsnzzB5l+9g+
SGKEPAs6nw2QCccJVz9fAUvW+5sO9yvA7gIePrGJQ2WiUZiH6lPiJN7aZqrajmYbb2yMopYSTCxB
xvGscdMW6BNVENYiRI0ONjPri2N6L7mb6CdZUgP8wvP4KYmI2mh27u+Zt+tVkDvWO4zrHw5AufvS
a5S7ZEIyPYNhdjd6qHBnyXAftn0D+a/7YaFU+14TWQO7gNh5jNb4MqrTczIG4q6IYaHjL1zc1Z7j
72K8eW9qdqcZe8g1hm/946Cr020adV+0Se8fxyrXl/jnBBvbI6uA7HP0w7ObhcF3t0u0WNlhsvxt
rNGBy8ys5PsIjJXQvPorbrrrXC+dV3M0/S104HxrV2V3H9rlMQXK+55ijCbzSrjZhstRFOHZiat7
gYbzzTBE9gEjP+ty4PUJQrGokFubeUIzr6r/JXTet2Roosp7Cws8HFpDrQ+uM7YnUmK8SrtoXBvW
gLp94punmtlpKfzK3bgCRMEC1jaqTV3iPLi+ejKAwX3VAMwsihIVd98pSzY846ZQ3dfQyvtvrhsV
C3xUmnU8dfHWrlVtyQwgXj3bjpBdD/vvAXT4Oqgws+mMpz43vV9Wr9yzKd61ZOdXowNjYUz0Zdtq
aGdnobtNzNY7FAPS+LaL+P5U5GtthMWeNv1CBV39OuUdyt7g4jaF37EDz9uTXoLfawAdfusScXZJ
tv4k5UTMxvGW+Ke5G+SC2n0KLEay/ejwFy0wH6ce2kJ6OwRhfC8PVaVqByUBwjdXJYpSL6PMtdaY
K2tH4YzwD0T5NrjlubLz8glU7pNWeyn2lJr6jEfcC0rpDnYAZXMcrfoMEQBIfxbHbOF+xmqX36pR
8ODB674JnCwyIWIX5q1CABor8tDO3oVN1LjE5n0ji8pon9yS7aGt9+Kus9thESh5/m7iDrSq1S48
6F6HuUbngn/OtItgWOhxVqHZlJRhsM1G8bte0msSgpiEa+Yusoza2BecfLCo98dnMiP5qUrjZ1Yn
zd04xDxJk9D2QjT9i+oyUwMNz7YESX7w3hX3mdsbR5Tbd1ZqhtESQS0CeiYQ9LlRHX3MRQbH2ZdT
8o0cIz0ECgk3XoQu2aUcoYiLuw3WQD5O1OuSyPILy5huDfSe19pctA3bw75Y625y9Jk3kVeOS9Hi
5kUqzsgPl1PH7NgmseJyl2KuTQJeUK6O/5e4K0Xo7fNmPFdjbJ3crN2y+1ybnvGjEBorvLj9Jkyr
P09tVi71wsWGOnqfaoC+MTudsYubX8J8FK4jnpsk9G4rnIwXTpVCq0g6SCQxUzoSfv5OFVG2KHmc
z5nSled8PnNMDfH+tDrIKtmI4UC2FcIIlrIIuCm7U7T6W0JKuGgc66lO1P5GNHa9lEUnCiYib1j4
KHgfoC0sHrKuwHtndkIoYGxGQd+tB3VQbqf5AJrs9xlePf22D+2v16prt2tfD0YxqQ3u/mekYzcH
ULy/Kr909wNW8Ddu53tQQodsF5lacMRrCSPj2kjuSCVi+InL4Glya2ftZUh7CBGcPd7MuyIrsgN6
xLhA8vjvuqhwb1GQ9zf6qE6noWqLtQ/446GbEqSnTaE+lel9XVugDtwpu0fXOt71Zl3fxIHXnsao
i4h7pfW77udHteJJT7Ab6zRsSOO6M7AcMLKzQdp1B5AKv4ty9jwodOh2RFFvNJurCUuZXxmiWrqO
oX212Vjoam3/dMvsUWMNgWm9qp6FoawRFyl/mZDKQubC96DnE2JWXZytHO+demzvXB6lbaK7YjtY
YGVUB48X/KH0V9Vqvul2Fv/K7SMoTQQWeJjPNrnndyc0SizBtOYBuZduU6VtcesO9cGLyQniT9Oc
YRh1y7whE1AVwzIscCpXQ7ZZXs6axHbNfAO9sDhMk2EddXAkq9AT2pspxiMxEJdEpacxZW8wMau+
4jaAT6irVnvClM5D3oifcCuYKMnasyNu7Pus6eIDrlso+WX9eJd5Nggvy/oWa2UALaMdd1rYdnhq
skRCsui+A6X73QMmt9DybHwYM1OAMK9VXIP77pXwBAkSekTzwhm7muxeFw1GdUOzU50gvXEmz77R
phirrKhLtqPa2ifPxEwwErNc1RB7O5w5x9u8BI4/RJ7/ZJlmc3bqYZ/ATBWGWBgV6V58AtNjhADf
lgxyu5bgroDvcmWLqLqR0K8OYXOQIm6LqBXQr6ZzFx2apk+q2ucYqxWETFvrYNW4ghtmL266TgvW
k6vl7xAxfpJ1Gc6VB7WjMMIf0TznWgm2nb1SLiOdOOzoqfZNH/XjduiT/CHQhUe8smu+216NmGen
/VRIWVRq5DxXqjmtNS15d8e6xPHE8M7ZfIBgLxZ6zA/VtxVdwZGlwee0xjsn9GvvLDt6nm1u3RjT
zmsdym7wWywmlvkqsltqDfbZvVz7crHU1rYBqIZeTK+jEoRrtyjzoxIQAIQfyPq5N9JbL/a+OInh
HSOD/XXYPE6GES31SUew1oPlXvt7x3O1YwlBZTmhrw30BFF8L230m7zHkb2cD9EuH7N8w+Y42pXs
FFam3emvyJ1+Neph+DX7LoJUZqHCbrtWUvy6W69YC2LfTJdpMO2VlInaVKz7gXlkp45KvEorW3u2
4wBvkgRTTX7yPK9a+gZmJl1NbsOCSy3H28kHPZIZlrOJbWNADygpNq46OrdF1c1OIW33aBVOtpN1
14PWuH91aVyduJoD/IvVCIqETfPqNqJZYPwZvfSIuq/6zDLOiReyRQULAZ57GxsTFAEICeB7EIIU
eoX1c9QeRW2wBSRC9ZiRZ1pAyh4wiKdOywx70U8tpGLFPcdG5PwkF4ULwrL1A/chMFglR7r6VVWU
cQ/ydNqbCkyThY92cjTOoYkKnxShJG+4gKTvQsW8sAcONAOXXQLg4R5Ueo/MGeZzyeDWuI0nCyuM
SEgGWXSrlkN+E00YFrmlqqwqZ9JJ7Xn+w+iIh8AOjnCjA0w1Y4UAS9Jtfa0u7omnQUlWqhweWwtt
3GbVBKW2fraLMT4OxDUIhbT1c1IW7p2XmE/8fuynaYTNAx38L4a4M6vFXKlgFbu4VdWTAJYEcdkQ
V41/15bfZcEOQ3VdOCLBha2ezgnSWAsD8zCYCcZ0vtSh9rHV09njd+4iG9gtoJGCAfhcU4o4WapW
zgJ4FlAbPKe67br091lqlJhE97OBYSSaljwsfS6nzET8rlK13yCZjy6iheSkokLtzjTPP8oDPwPv
BqvSk4G2yNGqbV4AWXzfVkrC48+0yArWudcmHGrwCC9urBr/QFnXusVeT5ppV8SujsAUzK4utcnC
D6jBqTmaKtV4R9bJOKvjaGEOGQb3IZ96OzpjusNUnXRAMMFGG+cQwgkEK5a4qslrGuSmV+pwcWLz
vYfUdwz7H6NRkGjtxnLjuQRuywjH+sZvWIvNZ1qCfM6lUpbloXXuyPKOm76LWpyLMQecSpiQQknf
/SRMvmAmMCuiKO0L8722bGM/eASLEq3NuPZPtsqPIkq+srkiAd/VgPc7i1fLXJQH4emgai2P6AC8
Npr0wbH3uVgpItXPRvMQmQ3ExtlvknCSc0ISAeVk1avTGx9Lc/gbmoLR50Q8wEysdBVNinEvD1UI
JZDVVrfRAvV3Xd12HQkbvboZ0tq89BOadkdCz75NCsvblPGME3c0c99GRFo8NKyftNBuHkQjFioi
uE+m02NNqyr380Ld7xrt1QCxekuAwL8UrTLLlvEo4k2ml3GN1i4OGCXy/1skmFJyscV3148LnAOE
2POsReyYzeHeQkljOXrptMUE3j0ktfISxkXyIGBIml3dPAWz8XcBGqk0Wu2uDJT6yTOEtcQTvWOG
pYgLi7/VekIzfuvfWQWgKqhb/l0e2z+0aYpfcQKqbyI1JCPkBcmrDVtmbYom2slWGBFod4ZmCXqF
VmwmULlNlEfVNdUH3h/AWKgenB7eYljYC5uN5sFRJgCDvWXsLKNJV6iI2DCmkgbBJtBj8MDt54xQ
Av4Vrroirk/rqGrbsuD1riSORYglRL8TmOhajtW9PtiWWon/mxzbATrjbU+cb+7MCq/ZFBPIeNma
9MT+zBHDMVkEpsULC2PUjeyci5T85mAiZzhfSg2SfF13BMYuY4fBXzkktLeys9G32LeFrn9pTfF0
Qt8iq/CqmsdGgsRbT0pI/gnJFCpLMqzJFjOeneV4/alH+n6TRVN56yYH0CfRE0Z5vaaKJ0Vz+qes
Hl5gUXnHwsyHXdVD3lSMQZy6Fgm6qPfgDin40sm6VvtaTeipXap6xAruTJLNuM6jcxuzYwZoHu5x
EBcn2T+voxTNkzzauvmwxEtSsMTDLRH4dHoIAojfsN6+5wSnvpZliB1EYVinzLfiXTS4+7adsnNn
Jc+dmgSv8JH1Pb4WKF57Q/BaJ227IdY+bmQr4IFmSY7Q28vWwqwfs6boz0HkGi/d16bKgp0eFuqq
FFgpxpldrxp4q9smJsmJpwUySF6JO8g6tpy/TtP51NSySl9+6PDh1My0cpOMhA8C68GHhPli8+c9
eiYw3sELXgx+bfd+WuxlSbGEeYqD8UGW4ilHAjUX32Wp5o+Gvh1VpFur8GWq0Q5yB3J08qpxOxkb
rGPrVWwrxmn01d8HU7lxFBGcrtUs+Mt96gfPstO1PjU7bR2OZIo/NRRBrM6ue+P22ll2IR7BXgcd
M/Hndn7PhtGqNe0ZPvwmEu347k62v5paQM2jlqtHVSfcBXZ65aL1Av+9DpfRGBZ38oCv0u+z1LBc
Hu+cd7iDTohs1f6cpUXmrYceQsmnBtlZtopOCT60QvbBfsUWDVEJYq+XqzaYz6fNBHCvg1RMgGWc
8j1yYb8PMUuFfTof5Nm14drv2vCp3/+iy/Xy2PCCbJPXv46TxWuf653+F10+Xeo69h8/5T/e7foJ
rl0+Xb4JZmDep+ZPd7pe5vphPl3m2uW/+z7+8TL/fic5TH5KrR+rTRdGD9c/QdZfi/94i3/scm34
9EX895e6/hmfLnX9wv6ru336BP/V2H//Xv7xUv/+SZF3qFkdGsUSgRCWdtH8GMrDv5Q/NJGKYlSe
ur9HXcqdmRSXq1zKlwEfhv2Pd5CV8lIfR/3zJ7re9dpHJe88ra8tH6/0f70/mxm23sKMWZ1f73i5
6uU+1/t+rP2/3vdyx49/ibx7CwfCqkS/ud71+qk+1V2Lnz/oPw6RDR8++vUSsuX/0XZmzXEbTdb+
RYjAvtz2SrK7ucqirBuEZdnY9x2/fh5k0wRNe2beifi+GwQqM6vQonqpyjx5Trr8l3+yieM/sP0H
If/3pcDUd7sJhR/kOqfmvhtDZ1+DiN/KMOwXygAzb0Du4AWjZW3VyvV3itsU+jFtEPVravS8xS2B
4xSAiQO8cqZJvb7TCzSbduJexEHN1LuA+aWDTkz97KWnymMXWOqlftQnw9mZFJW29P1tKTMAvVzk
2q5ibqLrJspt9OxB6Sm31jgnynbVc9Odt4mraZWC830jhuW4SREFbpRb0/esbZ5lyZGaFPkoNSue
QWXemFXe3kO2lD8rZF/Oltc+ik+iKj65B8+uxx1t4fmzhOkJUmIhyZY7CdF9lS1SztaUVSUgLQsw
XGasbdaF/sOn627/6Fi6TxL1X57sTTAv6f6PAG3mfZ27w2UGiTVtbLg/LjJGbDLcjqn35l4d5nuI
bSqEFCMhxfA2TebKReK891WsKgkP6IvXUHrR0WLUMVUAuZULWUJIStfxh6DEdS+gL6fjhzkgT/8K
/2CFXDF1t6OhDtD0weGP9Jt932uRcy93KdoVfZ93l092NkTRjv0p76FPE8Y2PPdJAFvDX2tIhFxK
jrewQNn9cbXJXZg6/Q1tkH98sssiZeOe6nK278QpJicdDpk6Dbcou1tgJqkTIuRk8Sdytrlde1e7
OMUud+sFeJ19kuEsBHhy61JM8ev4ba5Ma5AO3kVG3aJ5lo0HIAD9Nopn3dvAr9c8biqNJAmiRgrv
WiDUpO3s8RB7RYsGvNo+1lrp3Dm9+0VMqx36rS9W1rqcNQiVSwYc+WCbKBtPy0yxXZ8hK61GeY7r
BNP1OeJQy/lbVtTNUdp05Q4eqKe3ft1PrbuQ8Hnl5uq73kvPrnTvQgsL2qHdefByhtRw79TWMFJ4
zausuVMqxebeV9T6b/etZtTqVsL9tu7HU6vp9iZo+mzXxMZb73SidJ5LdoM26vVilA1knWTzxfQh
5HPntfiD2KUd+0OoofiDTJdGbOgLNhE8/winkbM2DRqlm9S1T+ECikAhUv2eFbADLUoaa0Roaxqk
wUO21W8/gX6SDPD5QYzOohZK/6tFAmRXvGOD4DQ65XZA5WjJAPJJeY6ookJc+RcRHoTsGbpybX8l
zSuFT3qJa6mGXeOAWgx7WE8aqOPK5mlhKDhEbR3vQqjekb5wkhw4SBbvBt+rn8phqp/Epi22jqZu
JIfI0R5kLO5P64xq/NB0fnDb281w7lWrP3sDFeKNjGNY6E+ufl90xZjvrg6ST+ABRqf7ESJuQ+Fe
7+FfDsrdukKXx29rfbKFy3q+fv/JbKuRclT08al7FwP98LvypiJa+/OWHIL24Rfm+rNDCfB0jZHx
h5nXH5nBj9RtAOhpS4cf/LgKFdMsjV4H+sKO+SIqJ5f0/W4SUbl1LO5+SK4zPtllyAm6P4L8/9YM
nTtvSHzSNeXRxJyZkXJZL7nfvA3NoN10wETO4hT7dW5PN842mOt5v04jq+7v+rLStle2W5OGQ9qg
BsgATSOKAAFr1V5xml+NqcuCuzZ3hnMe5xxMowa16jmtbhMjddXnwSJ3oI5uvpWYeglMpFVh8kBG
d1TdyEPei8kN9WLLZnSAHqTR1GyLvDV8xaMz3/Azpz3QzKo/yF2GDqg+R91ltetIt50z3YK7iFBP
BVS70cbSOjq8bFr8MK4X0nr8S0B97yLFWyoDizsyPagq358mtmZ55FgolGR42voCwjpvzn1jXp/2
wZ6nFegYdPGGWb+d06g6kqdWX7wug6hS8e2fOnIeYZcNP9w2H7Y1Tf2P/ntsZDjzp9jB+VbzmLSC
TznQKAF06L6Da29IJ+XBjQFf03B1V3ZERhKkw5utoLGqGCsUdpYZ18myzhAuSb0qdDfN4qnhMdN2
sqI9hjcS8nnKsjattRGs78wQb2FVu1R3nNF+ALOe790GomH+6+yfdkifiJZUv4V2DK+H1aQPVZ2g
/YuY4cGiz+WLxApdy99j1X62KNMAfVD0Wtk4Gj9J0jPQoHpAM0zCcIERqwa8auKVbgPxOi5AB/HK
3KKjDql6hunVW591tiZ18k296EmRrycDX4GfWofirRYlKvFmBaoytQmgqdFg+fW6jemnzQNEJXTw
LHerY7WFixcEh3a0Y7oVJE4uA2zMVwe9Gz9nKnzzMFBEXSfIIz6tJI+YYDuBEZqFJXh9drq8KNBX
zaUC1mQ4Zrm3J+B4kT3Gv9IHhRyM+mvAH4BiYQTV8NBpv1aWBsiqnF6mYqA/T0lSKuGB9quTqw7F
T9W/BOmsIoDIG3aZLqvmbV7fjuR7/7NV/VGHG0NR0Pdh83hrDa511PyezmzwWRv4w/pzpEfBa1jO
t0FFtr914/lLURXbcSFGo3+uuNc7ZKOCJYqmRfbONhoz4vUSveKfwpLilSXpyhvO4o1M9cOS+ZRT
KGYNty1+UlJIqTB4BQh6p3tWIRy/7dzQPiB2ZX9V5uhefofXiBTg520ZOdYhbCxIl03YqYZNPVvV
UfbJcxwZJ9PJt5/2yjRVsgOfVdU4WfGb980mnqipP3imkZ+fzXWrTsHnxiial2SRbzTSFBYds7lr
1UEZ7t+HFEWDi1zm3LmlObq82Ap6dixU3DSaGz3LxQPgUSZg8WQEt4V+qcz2ZPQmAjDZlI3HrBt6
vmSZMPP5f3aytN0u+lvHAio6RGJa9a5sO+ciIZPuD/e2Ox/XCbo9Jzd8g9JVLxN8tbC2LfTp15jr
c+fkoSyK8LqIAb3jQzhR+JRX4QDDR7bdtzYSKxdQ0+kObNNwMJflZ8UttyOqCC9KulNjuF2Lrhle
pqDWt9GA8K3YRhC3Z1BRP72F71VMVWFCFZSpF2cxDaDTD0lts4tchiWHvmfD+iY+CTdj+ki9jJad
VvXNuynzf4U7ZDh5QTCcJn8EhS63cuHrXVHQtXgP+BxVvXskRoZ+0QbVRsZQnUV73Zr765prTFbE
k79dZ8u6Vj29vY7rEjIuM+eLOtTB8VOI3aj8ogbeL6FVo6TSeead2ysR2MFZ5VYu61j8EiluB6qs
t0gZ22vk1SWhFCSmrRbAMyJBsobcrY9Em0Axtv/6NInkjBrCOggyUdWb8cGBYHAXj1qyl2Hvhdh6
Y3zo3dnZDHBQHD45/CH9GVJvuf1sL8a7sMy0U53XqY2cCouM7os+lcN9oAct4KTMOXicLJ8gta83
fj0PtzKUS9K5z6rZx2cZVXGsPXXWuMsREHoolpFnBsETjZnrlAoWjkvXWTf+1MzR1utaWAa87DeN
9u9oC8fLzEdEh+xPpi8PHs1wODRRBk6pqrfAe4an2lHDFxoBwFX6L3IxYrsFQWT5d+licxuAqvOs
IO6yDKnWdw95oN9Vpvc2Qe+BMFgICYqJVrRs78w9tLFLPNjb/NwXzp9rPK2BwLts1O2WgKqvpm3Q
h9ONDOe27ACj2dFWhoqbGs95+TVL0renwYpUkb60nVsjbRNQN4VB0sZddMvgEo35l8XBDor14iK2
qLAAEa9j89agUQ6ufgL8ZZJEyVAuRmTH4GiKYPfJsQ7RbjEPoWWDEfxqaC46OZMRIJXiUmwa02Jr
AXzctUMzH6jChy++G4VPauRu4qnM/uGVuSaSPBKbGm7wIvNp7v88XyJCyGmvEesT3p8vznUNQMFw
+QJC96D6P1ghHF5JjYTexqZ55+Iq7Z7OjAAiAWv4vW7j4C5eMNYbie7syNlOoTE+yqWFNfVS+g20
9u30mNs0eWSxnx3lNUExjSSDVZ+vI5cyWqNY4yaRP8e7V15d9i/elJTYh7ndMndY/nS5mlg31KoD
OpxSWm+Ssr4DLhg/jwBgn8dwm0ZLwX+xFGrs3dlj/qe4rkG13+3Tyo3265xgKNLN1Adv64gDMuP/
j+uszx7/99fT9bO6NSwYyqrUMs5Fox/7WLduW99gv5X2vXGeKpZh65Ua59Q24ruRFmBkIY2zmAbx
XmMkvKIpZ6+1Hr0kyxSJlLVlqIyoR+yqAMKnNqmmvRjFfX2ihI80Ie1pvqo3kRslb9/S5QTOZ1Oa
xnSDJsYe9bvI3JLUMO+iKrOAbvOd3wb85CExwdiT73fxk8uZ3H1Zte3N277GH6NbsnzKPR+Q4MHt
UvcwFi1yYe82dXGgf0dnTq1f7TnMO4glLyEomH/rdau8lflikgkab58d7xRoUZb54hj6zD3b+qQc
4mykn2Moz2AlqvOsWeX534bikJAJVmu7nmmt/d9jZaU0Cn5zbBjRavulVAxlK3cmoJXrXb7YylSx
XuTuP4hDD1YBFUwy0033n7ixZKgD41XyCMDsso8Tk1zqsA8+yHCnQAtS34C2LQsumhPQfEZ92TQz
MM6jaQBgjl+MxexnXXI3cZbeytCqaL2HI0kBwDwXr7pGEp4sEISjSzA7+usaM3uax9gJXwKalV65
JHxsTfYxKFzYGXpvx6J0nhvfRrlsHcI7f9sHEJoclca7egPIyp5i27TOUISPjzM0KdZkdCdI0KZH
3+TSRAos2FWk75y+5MtrjO3kPLtvE2SWXFwjvU6VkcwfrSTeO0BpdqVbpeQ6u+lYaJHxVNJote9K
8mSmZSGpt9h8xWy3ZWE31xBxTCywgZktvyv16Y8usLQ7UsPGE6Smd2ocqheta91oW7xO9Io9tYtr
6lrlotnjTWs4XoSQdjbdJYr+5zXSpFkLdLpZbOWZ64tJA7i+Y2AxJRj2k9jT1mu3FRIfx+tS64sR
t7zA2EmvL2RdrnjVvMS5zWM9gDCBg52xnCfdSOlvgPrTt6VwpN+sRm2awd3KeVHCwXwTCWn9NWZd
YnWstnUZ1H7izcznFK378SsptFcaKpUvbTFZx6Izy5s2q9MvMPn90AE+/v73gDFC8KIOSMsIFdCk
0idjQOQlZIBqaBs7u8o+Ds1lKMHileB1KN5PcwsbeHoLxno7dJZxyRLwQKPvfgPfqvl3gQZdOk08
sHzVpTKRponNC7ld4yLRzdjuktoYTkX7Z1pY5l0IxdOJTlL+qyoFnUo6Q4saEjGs6JiPJ1JC4p2W
ELmTS93QJHX1fB7bUWvc2f3vSJrZ9EUvcbKcjEkidbRCV3fxFEDXHiR9Rhs0F2PWQuVmrEjYz/yO
bHuryt0/09TMTqCBS1KfUZadGhBR28Txta1MatzU20ddF7G3yh3FvKDVTNf6MNEBuCikL0NYo6YH
L/Q7RMi9N6+l9vXTjDTAhQa8V06dxbcui+eNVkT+a9cBR9L6Ynr1q8jaeG2Tv/oOsoNFEXioKDTK
RrHo2e0MOpooG3h3Guq01z5tM47961ATqgfYaj4MV6/01f2nc9M0iLbOwJG8Xbo/jQ54jFFHGnsF
z7nYC9sJ5TNQ7BM1w9MQVHuxjUAu593VvUzJ+kLb18sKJg1de0/T671bK+UN9CnuPqFt91c9ib82
tBg8qX2lPwxZlW7Enme9uctUYOTeAuql/ZmtmfbNn6sWfUogdcC1kl/pbms2TeD592AB5+dSaZ/E
HuhZdUh90yIxxkOipj10JnCiFp7N1+i7Ecbjz2EOkCvga+2pL9v5BvWT6kY1s+CZ4yAYeju3f0bf
9Rb+E4mE3mx6smNoYd521vBN0vmEpuMOCouUHqh3+Xkx0mqQ7qfJSS+g8ZyHvFKUrRJY/Jq93wU5
qVKxRe93q/d6F4/Fpcshx4oC+ylk93rLe9G4lwtN7Oa9FfuoNqIcuPnkkOEU+09lmbm3ErtGwPNO
JswCc9qnwTPkfvmLVqfx3leB/RcNjWOxUpZbq3fS39sx3s7mNH4PUBfbz3XyMaJZSiT/Y4TwRKVx
tM2icPpuBgoNHzlUm0fYbTI+RYoaPviisxx6zs5S4QS7iiiHcjhxVs3lgP4GJbJOHpyh3c5bHOL1
UpcPTVpfJqWsaQpZzjQfpi1rUwMeT019aRepXb0n4WtUXvk8AUy8HVxFP4xzqXwlg3WNMGj62WQT
xEN2TEtUTn1YW7jVUQH/jdKzdoJZt32GR3G6h/v8xsh52Vu1mIqDNenDTmLlYqjpb1DYaScZVV00
01PZ38Dn3jxyuNz2c01Z0kfMTYRy24Y8XGGQHZmbdvrF0fOdtEBDj8pxGDmVnXQ5u7qjbVzbVi80
KG7TUOuVl8ifpj2s+4VNpwy0uHIJbVW9U6zlAtY841uEW7C1pk5LQfcj47uRSsHikfClp/2/u80D
RCBr2mHpe62m8Slavq8h+7Ko4aQWx3oaF/I/Zr/ND6uk5wzuFnW/Cq3AybkR+2fVTwnJY2M8pVNo
bmZYOHYSKI51KbkLkuYYvy/1KSxxHxRPy5roCOWKHu/azNq1rZ0/WmXKQdNM4mOtt+mu0SNOmmpK
43ynojNq1j+GMvMOeq/OSBGgTy3a1WJrvX7ejsrYPInjv7Wpy1w6/GhNXWNkSlo3w7abRm0nhceV
IPpatvxQxwxRLzr4w/CLVC2v7it39D/vr+VN00CS7so53RWdfeiL7hc32kF+ubH0Mb0MU9+H+0Sh
1dPJ/zFMli7jfCBDl/btUUbvoS3bzYd6ubzbZUUZiV0i3uPFbi4CSe/x8kgJ9b7bFQRM5cJaLZei
9O1909fzZrXJ3cKfedELDxpbibFceAnp13+b17oDTUESOSQVUlpD4uyLKvkYs67YQrx2pBr1E70E
+66qrPvr30OGsF7RFs0fYP0XUWW7honJzR2qAO9Tr0PxfLKR8f3ND+pqo+mDum9avtmEXaBsjJ8A
6vuHAGgxGFZtIxwETVBlZ9OEJ1SiZJIT9LAvLFTm/5zUNsnlrVSiRRpK32ZOu1uZTGhIBUhFJqU9
XmQcII9z6CdKiWJTlpiPgXRd7/m2cq6zxU1OWKOySP4N7LUB8VD8h0nl7VbJJ+NRLnPbOztnaIL9
aqtpr6OEqAabLFdNjsVItQ+LcJhcyFbDt1qT885HHwbHRTgstBMDMervEvDB3PXaATrbbCu2dQ1y
cuCeGse5riEOO9e8ix6w1Vwe1b0/DxRQephnc/jsYM/xO6XX/nZdvPL4GJRmx5vP029gUIISZhFy
hdSwfjL0gj5rx3xocgReEYesn5YAMUmAXGLno0lCl4mAla3rxL+vtS7/97Wmov3mRbF25+rhxrGt
5lkusVageK/53ZuuTVtAiqTPnnnbqWn73PeZ99hn4ZKjQktmCNBX9VWir2MSV9Tic+0t2qEd57Hg
KPM5en2ezFCX9cU2maP3OLK+jLpSe42y8HVMIudpHNjuVYkR3spQWne82TnRhdZcpIcni73gKdZO
MpCgEGZ6ehnNL9HS9yN2ov1j0oOaqi2awbYd0nk7reGTIzMkhg7kt0etSy2PckjiIrvNi9HaInzy
a/r8ljVUOq/OA4/JvKWypfr5IVBDQBbg9B/DrL+v53Q6iUkuJaxOR/SwdcgcCSPzCJd8TJxqAR5I
FKe6q0YzdlASRnb7Ro4SifzEya1c4HD0d62maRs5pohNjiVyt9rWGZ9ssoBJ1W+jukW3D2kABTIE
X9gH0jCaRZ3bWk1PVzox2l3fCMOKqd5blg5FZo+44EGhf/JQLwXSOSmzA20GyaFaqqmrdwr030cN
BA0lvWhLn5Kz/wSTl6F4S0qOV+8Kkxc4PVXa8Dr3k+O61OJNZt7JaBuS3aKLCE2jr3MJU5evwejv
9pr11e/07wgy5Q/i7Fp9A0me/qXKau950sOjmMMMIT5joA931CP761iozW2ulslOvFbQKPvAi6mj
LQ/w0T6+PuC65Oh8egDFxA8PiNzGPUBlCuqVNpf2bIXJliFpFxlmFoC+SdO3adLfQeDpnjt/inaN
FUU/Kho5Zh3+U4TgzMOgFzakFkXyy6jUTxIAgNKB7CIwHtaZyAOGPyqNQ7Dnm9/SObMOiLvwtrJg
rU/HDH6YBbPSL2CX9SK2HOEV6G3z42r3ono4VAAlyXMhDvZpqgwVAVMuc+nTRS/qfeHpOY54M1ld
UJebbtGnkItddCSq5LaOgWC1y2V1i22ag3A3DySCxPF5ies6ZU2hmCz0ztBreBTfL0PXN3d9CXTp
3RSARjobI0R7u79uaTns5+ZDTNFG4zFpvR99MBb3cCXrl1o5yABqaGSebbbjV3uVHcUuFrlrlzlD
0ugX9jarOUBQEk47iqx/W/TDeqv9b4sGCGL1eRO5zlanc2o5U8gBxPJd+ziOyXcxrZdP5w8ahb8h
+gWedpkJvkw/RPFItngZrrHOsloVRt+vJyDxXs8zfTXsADS5p9jIKlI6ef3SpDTwqcpMM0pWOfAI
V86XyaYzHcKaP5Gwc3/R+P4kh6f55zmu65NuAIREv8h44W8+bEKlVX8q7YPofC1zrEp/m+Nrin9u
gghp7qSY9towbaes4FRMRvt7y/fzpofE5aFueug81IDTV5jN3xsH7gf4Iqdt2sDl6AxTsaOiEj8A
PR5vbXdSjrrTFE+u5lWcfOjDMjzolhfysCkaHse+0b99mqS1tQLbqlk8tTW8B+6kO7fm4E0ZqhNs
IOkPqp1DYuXG16Qe79PJTX9PjIROSnZvz/Br1vSYEhEqqvG1Hvp7yZ/9W8T7Gv9tBE1s7janC3jn
dskv8FJkjwJ06PYq1a2v1tTUNICFXwRQUYSqfTfCsXWFOWSlAdQTNYyDMcJe1cG3eyyNvN8WhYna
9oKEiPPouqjMb3ey6ARaUhYVDAWNnc510U6bun2MaAnQYrYpqjM8BmqVn9E24ASCONl1KCL1whur
YSJ3AsPKst0R+2KqYzU/yxLv64gJQc+tEysaf2bo+21AjzReQfIRnGdbTx6aRUivC8P89y4EMdV6
3vdpVv1dykHrGmG1ar8JAel4IO0OdhPTQPWeT4UOoHkoylTDgYzcJPnT1WjBg43MpcLRRWZTtKk2
OpwPyw9yYO+KcSa9NmXZQ1bCJSq65l0VjwCq/umobYWzxOIIyKhdZyS9x7t4cQRxaZ51Ax7iy0iq
KisatXl5y+8MhpMdRgrUone38/tJ/a1NXlEKzX4n06duI2+a7zXwTWca2KEIewvI+2hfpwp4PiV2
j1PbHSy1dU725FvOjnRJcsghUgRlhMa8uCNFd04R/x7oh9CrTGm9u011mtjlXwbMem+A/n/tRpg+
VjvcOHszTcLXf4m3F7seeQXIxgYusgJ6jzSp+ZQuOUkZq25QbygbWwjakbvwSm3cmHbWIhlbGa8N
lZe6JQlJcuA+rLtyIyyb8KxAaaXAdyhD0zb/50mVZgLOy6cLSaoC+tvlosBTCbwQ/Yx2/su2OGJk
ylCEGYA9qfZ+gt241NzqHDfT9BQul3y09k1ZwO6+jOQC4N+MGjadi8XLOvWho1YsIygd4eMA2Yck
cnBaTfFYZ6ehV38Vk1zszituXVVvrzObqA5v89r6A4me7gT3JzJG3Zj0iIMW3RYidIsa01CSb1+M
4pFIubuGy9gMsj/yVFXByyTjmSOTtq/mftgI1lIb6L5hX45HxhIjd3KBJQ3eguS8mqHvBcBZdt3b
hLpBYrua1YdEd5AyUlrP4TtZ0fnLdbW/n6rA3cWJMX1p+pA8quU96SpYrnAsYQ+1NeUkznlQVRoq
EVoXrwv90w2i1f5WvC4/NRd7cn6js3j6YsEF/YIcQFHXdbctauWhGuAWk8jCoju7mnL1VtbRaz46
jTVMe/HqTTfcafS7wobJKwLHET/Genkny0oESEgI+5TqWUZRDhElR87qLKuRs+ogsa8maLRs9EZN
9PAsrecYNof6Lz7NrBQ8ImiiUCK9GXgj3xrQ6F7oyuaruQ7KLxXkGBt1QJmt4I/mk/AJkAtqdmoQ
jzddkAO4WHKqHKe1bRSFFax4DDO9CI0NaIbkwo8SfC2lSbONYjq7uI21bepnfwsMHUQA/Co7qHmF
CvBSglOWEpy/lOZSckBeP7b3YhKn3UBgo3rmcJAIcdgdRE4yX2zrIprVgdHNunuxq40yIEmDZhb9
+tq57qr8pgz9J39WTKi/hNIqyHSIrDQ4Umc//j3jtxxylcUTNh63aMEkBxvt4I0Y4W4mXG6voVBX
5vuuoyyFPPXO817Dop0e1hTApJi0BfiRciOJA3FEjTkihN3UO75gjUdxpHpDzbvQXiHISO+cosj5
4vP0o5l13n3ZomuQWRGCCv48b9XaiV/bwS02zpz5v1VudT8MJOQ34/y95MDHX7Vo6SDpqz8SM/tq
DUn+vVP4r6V/efqF80C2C/O0eer6goSAaWkXNxznmylwurtK9QZUefV/PLkYzY9PtpYnK2F5X04F
eZYi/U7R/uOT+y75GpeZuo1zs3+Yo/wAiRls3LOpHM1iUn4zBt7nXpfokGHX7h6Kf+9Mz39/Rx1d
OxpDrD4mEJptnaYqv1lN97qAtpn/J9RGVDrn5DdFU9TXoHeSnc6H/jFIfeVI/3Z8FyVxcxnbeN5b
3lx8cUIfwujQ1H4gpPH2MjRehuIHwY/OIAn46WVMs/ePlxGZbvG3l1GzsbkY7JO33cjnuRqQr6AI
kX2BCrZ4Mlq+VpaR6alcwPLlzpTfi4ndVrPzGqM7ylCmhzNYJRm2xnidTl+302yXqTQG0GMOKbIz
m9GuN0ILgXgte+KoBTChtV7QE7Be+mBJwiCCdBJbHQQL6nfhuoLk+AWEUfZk+2/TkQSjnhhZZBPM
Tj13rfl2aZa7BPi7rfSgS5eRHfUzuZXUIHG6eCDnQbVHU29VWCp3outgamQXKIHMZ9hg0dRTfxcz
6qJIxSxRolMjUfk8TeeyUp/Yt/jbqCzhw5wGsz73C4OKXPS279kfQwYdQf94uzqQRiBafY+exnpf
tP4Ncp3d1iB/divFuzSB+wqGCRcyVHDW4oXz2ruVwl+mz8jxutDL2r6/vwIH5iEMN74/uMci0mpj
J3rv2mJEU8E9irC7iMXLnXh1WNw27eKtWrAz3dCiug5J2MMcGl90YaldRpOtfhEKW/Eto9W3RKrv
kX+fh8DwNbI0aoNGMmBh/mBN+6SFQ0m2gNfdoBjHqEQnZNksSqlcLtdoszXo8qU0v168SZn2U8nu
dwjtm9hUDEAK0fQdYNeuTL3kdYrqklY/7MJNm0QeTBZVerW708Iw5vrT98W+xmu6+Qfbt4HvMHIv
48LYLpc20ekWGbqIdBu21RsscZnTzoAd5LSYp1l4H2j8cLXtQKfF5IzfPM8PdqOR6XdS3XGKx3me
mtdPUYMTL7XFu5QT/JPCf1pn2BQu3Mgxd24eUuBchFkHoxmfqon/Uilr9DpnNimvjYbiPKWmarzA
srNX+L1BM8XqzkrKeU2UavRUYzunhzQRLTo2yL7kQNPD5iTeNrXuJmgrnoMgNGUNMfdIi57DjDVk
SYM8GHikJNtkYZGgYNWFL+VUVdDvAFSqjCh8KSDuh6zF3c4j7LPbyujRNPR951CZ9ps34VgtU8X0
b/OXCHE6NNjtLTRp6B2onbZc/inNlcDcKczqzD+luXKWq1ZYn8U7L5Vx8VIdJziE33z1yqdJhqGj
f5z7b8HyWeNbLTkPpzxyxm1ue8oXJZj+cTeN+ptteL/7FKfEaLmPTT0emzwxTuHoQrqzvGnBQTxP
5Ti9WH1rnMpuSlE15M1ZQ/dtcHr5YJc3s/9X/BDDBTr3xWCr+9J2SBBBYnKam1A/TXpr75CENzZi
Wx3/NiSXoFcbmbe6jXy2d22IQvYnh7asn/KLu2tdA4kvRQsf5JIV6Rf6Vx0Qj3+Z5A5eN28Lp3y6
L0QvU4xl3ECbYrtQoP09OgoBu6f2j9VsTEG0PiFzircnOBbYrYU1ztvqQZjuZcYabCvZSzBkt4oC
yybdS/Gmysb40KLyiZacq9+2s1rdq0ulVwkz76R2QAyWSi+/tM1zQ84JmYUK3dYlQhxZY95q9JBd
J9Fe3O0axM0mbfbvkSNtN0rqlb+2JeVIS8/CU+b35St6ZFd7PaFShCCRua+Suvq1ZK+qaUXxbOQ+
bEXZBNJ4sffLdDqggnV6heTqS2B3XxG5KHZo7yUvg0q6Re7ENiy2abHJ3f+bOKUgvZCrcE2PY6ht
PWOGbn/5RrOOcz+130w9nE6TCmZZrEmaadtx4BulDA30K/bdDAm2hwiPAkHeoW5i7ShCF7Nj3Fta
oT4n2Zg8Ro3+U8wS5UauesxNc/q2RKmeczQy8DCFYr6w18xPmsWXAPV460VsRRjuRpocnwzLsF5i
hJp3Dqjro0TIBHMi3bkIwL6IbZnQ27C3XvMArh5EgPiSPazd4Stw6frW72t9Hy6pLwe71Vof7QXH
ou9L/L/ZhzlFfbbyN+EYdvdJPriHRO+LfZGH2S/QGBo36FJ629Bvs1+GsKZp2QmcjeIxjGefpEQJ
PaYEawZ8Pn023IszKeP5OYGELGDrNKCztcuCQv+id0P0NDjtcNMntquShrPbu5Ify3QzaIF/axpH
zWqa/qc4lAK6q1Omj+3dNRzZPvRmEKECPVXBwjKX470ZFd1ru7NHc3hVlaZFcGpMNzIMym5hmFSQ
gV28qJKWiCvQyiLDbETBLLCGFyrT3pPb2Rcx89eFoSgA5F4mNUu6qKBlCMHciNfRpu++ObWHJOV8
t/7ckh1Jp01EhgQtgA8/w/Jru/74+uN+aer9ECC+UBRYcM7IvFx/q2WiTg46ggzpbMLuzhlSGw79
UmXLurF9jmb/0HZh8CCmTnXROw7rn+IT0zpptf19UjvO1Unrhp8S/3+dFHWgxWB74KV1jUue1Bkf
vDgA6lE2g1H9mOrgpMTsNl9yvy2+5In/p7bsuiqnjjYum8kLdILGdWj/fSjeNZiMVXNZh0NCx5mW
BtXOU259c+ksHg13fmQUSJ9x/68jw8nzzZDa1TOQEH1rZaH+5OradEBWuj5DBNffDQ1iOZ7jNg/k
l42dAmDil7lCSGMqqvqHW4W3jQbedlMA54afAKHQzPiB8k74zdYdfZtQbrsu2SsL7aOTvy05zACW
usF6W5KW8nPAezf6L9a+bElSXVn2izBjFrzmPGdlzdUvWI/MM0KCrz+uoLqo1av33nbN7osMhUIi
qzsTpAgP964Vr1pp9qBmxNWAGrwFdA7Ea9HinnQllO2vfqU1gibWB2HpUnZ5tCFtsABhlbPLQHFR
gzh5Td2GNxAKhyInKYWRZliVm+z8YSdpMRcBDLyM0wR7wbNXQDZ4gQs7wPtnAamO6eLz0H/x0QH4
OfRjbG1CbvFVNLJgH/v+8MogZ81FWT23RpmcMzBELyR0PV7JLY5TbQ+OYOhs2mxRmb2/S1Iz2EYo
VlyhMNlex6LC/3WVjXxllRl0P6g/dDYHrYhtryVEhaAL6o5rS2dbYJl+BM4Q7om3HqCr7kpXH/bZ
RPbRMSZ/orgnk6MAIxJ2vFXDPdnJRIP/0/7H+viOf/o8/1yfPqdPiI6PtYXpbHxUtW0MzbXxhfzd
9CCyHUx+5UUK3vdaeEhdFMm3xmJBuga2HfGfhoNkRE2YfKwxgdBLwqAKk+Ap/e+lZsvHctP0BJS+
rsyhEK7UEOzSUd+itlr6hpdtyEbaCRzMpxeR6QurN8GLjVepZYfGHqlRfcKNCS+zF07r8TMDy/xT
XFvvL+CkenebYGTKze9KfgZriPuU/nYbO/mv1f7pRtPLIMR/sYtvvzXiYAwFpmtXOdCkt2p2i9vY
vgHtKVA/jC96qZ+yDswW5NnaVrdzXcsDV6KJQ4nyb8YYVIdRA65b8hk0x100LdB0JnIsk4+6A9iX
nU930FeTeyaC8QTaiDvypmWlj+eWNSWH9FYeJANqxQ60fJdBB/NZr5CSCFgQnqkLqr9tk3fxgwZF
uod8sFaDqnFNM8tE1VNbLqg7joa1AxmzPo1mMgIQRhbFjkZpyQiCG2fqqiWHDJx8tGQBep2Mh93Z
CQPQomg+ghXR0qS4iWraJgdMHHJwJ4ql8LAaoYkXhxvqGmkkjqYOzaK+jorHEHmjBzubQink0NSg
fJ6nt22tL33G10ZnQaUwTPybrFGqZiq10Er0oJ1gHYDGvAf7w789hNcdG4lX/R8eQE4hLK5SHn9Z
g+H8vpKxBX147Flycw0kDkIqrmWjHRXtfp9oGyLSn2zTOEj1QbJfN2CBdQrN2Dq1jayECVZT5MHq
E6MuUiZTlxA2hKmJhDOZZkzNxyRC65DXh4l65Pox0UQ5wikKUUqdmOWVZ+kR8oPsAdBg9sBM8xll
XM0ZJLEMkuW1t0Z8W65psGOafx4QsurUIJmKIruULDPBSovZaewka5TUNxua7umtgZNo822arSZB
SmMLeH98Rybd67GpAvHzlj6B7D1+jKAHvKBRWsNEDq7Qzf5GJlFpqCASLN3RR4C6dn1wTFcHAOT3
JwLpD1S/tHuydHoO1afxW5DE/Z4CcC0IcrdjzaspgCdiq7vgRXujQfqSIRsL0fckutEXLEo7lH38
c3qbV9Uqck3QNxept4/xHgB219t3fp0/OmZSPObYJ1kyldewtvAdd0x76ZhRu6NBIKTHnQWihCVN
+JiO51UOEteBrT23TC6W9UCgCRMvoRUgvSPYd8B3n9ZIKjdCxt9Ag/vV5dD3AdGIv88jqDGyLDO+
YCKN08Sh0ryVkwA0U6w0PTH3joLgG1o97JAWNxT0or0hL+wsgqrJNh5YCwRkkF55GltgO82QwciU
kpSSclF2IGvNT/Z/+iNneDb9JuJ7lC5LQFhTIBVU5O+PGGDF4mppxUhozAOfgoUNRQKZAKtmEeMZ
3vcluDREcIOKV3BzDWRZsD32tz1kbG/gCEDM30Xpl/D8E3mYQWLcSf51HBwnWWZ+5Cr68J8BE26y
dBQ7cKOWJF9ag5Z06gaafeoOdW8ieMuh3h30KHpTJzs8l1zI+IXdnrqNqa8isMJCe2i0sW35txu9
KnoHCtp+3v3VrVarEZD5w02dY6bVyE431bjdzjel1XgPRuU+FQBOQJhs241peoQuWHbMDc3eDkAh
XCNRAsZeGt4DDxC6rk2nfDPj6C2ORPWzTqB3lzIZLSwJCHQTlT+5X78NWlS85XWRQBonZQ+DiR9z
pUXZFQIV73epDfn5Lq4dJ2vkwRrQH3+pLf2dNQZK0+IIzBZxxHwyQxtyopX5m40mKQoOLzQgseF7
6wyxtweIxJQHBykbCPM49gPZwva1E3Z/Lwy8DnwHssPNCC6s2R/SV4A0tjp2qY3R3Kbmpe9GiJaW
9p0zSPdgqc2qC+zGxkiHBGnssb0i2S6Bdv2ncRKPJ6OlPJO1fZCt5/0oU/2kg+VkvmCuMVn83xf/
8CkTf3iOu/oL7ZFpt0wb5aGH2Hwb6HuyC9+7RpYH7EM2vvEQsgNzeJfCwMpumxA7t91wQ5UHg3iu
QihVQCrCWMXIM0JyLhkvVtDqS3Jw/Oe0q+1lVKBYvWnDbNmOergZY8e+aEDcTo3hm9HJb+11nwcI
b9EAuQjILS0L/Mg2ZOtR/7fSnTiEMB1vr70AXUjnpHJTFi3+/epSQwCyHQ7YNA6vYM9lkKh0tANX
XdPc1L5kLxXIa46OB/W+SGlHG/nIlrwFhf/ItAJMWNXParC0L+rCS6v3CwP8uGkLQRDHQHaxMDLj
ufa6bhXx1r4KA9oCaRPnByQMwOgQjP66MqGKkBhBscwqkO+ESp6uUFfcA9obQB70dQNJv0Tqxvo/
+5AjNUkCtpNIec+L0VWUfy2KzsdxyzrRkbMvo/HO1MYTyZCliTncqTE6YdJYY+Lbog6nH2P/bR74
UMByL+0vDWQZFiA+ih4iK/A2gweMjQCN4dlM/HjN69Z4LjX+NS8l1Mxj8OBhV/cddM/WQqpJmvl7
EsC38oyCngTMmpr+PEo5TYKs6jSpKRHQAtxEC/r0GNeOtsxGkSwRc0qPYSBB0k4jXZAM75c0NKY6
AihOPh4siQRaocoqSw2F4LEB4XVogcUnPwCDhpa3zb1mJ9WyrNroy5CLK3NQ67Xoxde+9bqfKJn6
FXmO98wyCzzMnrSvKdNT6D610QH/stU5HSxz3doeezCT9iUOwu2o8kfUiHLwga2JUDdO/cxCujh1
5MGgDNQnn4/hyIuGA/U6HYrz3eCPW4IElRI65X2DiN6EEFLwIVCy/N3WumCgIFFqciY/+TGXUEe0
Hvn9x/WcBnt0L+1O4N9AeYrOtNUcYelt/REs6cDcqCBNYQMUWDouqMoUOlo1NCmAttN6to2JfzG0
LzWO3YfY8yucknVN4t8wXE1dKXL3Oog8QeVu7CNcAOKkWDU0ACa7YGE5RbT95I3d8qoZsv48OztM
EXun1cMnNwi5x2vp5A24wF9AEOOf27JyrEWHeMDet4KXyjSDy9Di3LIC/H7jWmAgm1xQczUukjjQ
8HQZ8hXwRBA1mJ9P0swqkFmv6cHUkd0euH0psi5fCeVMI0GGDNxCbwEQTNrJ+Y+HH62em5YBskWU
pSu2Q1fRI4ZmgbpMutSJ+HAeIqMwEhuoPmAz1BTSwPvkF/VGGa3I0YkNlAdZFbP2pi0m27SCNVS7
BjJtdrTIqxxyE4Zh38XpWO+cuMv2heUM1xFCkNCIS+o3CblHpoXaT0/UO7c02ZeO5XJJk3I3qXci
M8A84vPhamHJaVKuu2d6IthFt0OMyJ0mBcC13fnJsDah0LfIVaWCqyoVqKlkvUTQyj9btjCAq1FH
e3BtRKC/QukBCBnf/XBqAnNJW9XAmyPks/iYrJex2EIfDfLGSOdcgRmW1zwV9dl0oVDfmrkL8R1Q
oOhxMxxKX79Rz1UmugJvSbbjripPUFNpERootDDd6BXgdyxoivdV/CzrViZHJDU2vCBeFzYOmjI1
QUg43wq5JXwaIGh2tJockl2QJO2lBanC2vNEvKZfVKl+VnpcPEDJzTxRrwn87lzUHLx/GKPGr3Wx
doG4WCel/25D5eotKDVv+i2iqrY4V6N1JX/6KYI8vl2HkajX80IiaO8syBafaR0Eh0G/MbAEQSZQ
qlSK/8pI41+tSNid00O8uw3AWk/21nXY0mgM89iEhXwyk2jbDZ7xlgkDStZFM2zJLUUKPTNwsG/G
3jz8p2VHU6sWrgANFy2bB6I4WAQLbDRu7VA1GKxzZ+w2xEJG3QSx9U/dSHWJskxv6mA9jwYCQQm9
+BXitfDUQ1Po0Kb4K6lrR4iWl66HQgQ1mjiKIzKqgEtUXT0B9rBVNP3URcogPqdVl07dcBD6Oay0
n9NKyHhckrD4Sr2wdZxL3+nPbBzHp65ou6sGHTEaiwwrumsy/0JjEsjFu2awwBmAO4JRo75hg7UL
QLDyFGujBkzRsKGxvDeNexeEgTSPO7x5GLp4SWPVGMaPbv6rwjdvKxJg3XlQ9A8iL1LQcmX90VXk
ToANW7vEtCto6YAvanJBNU1tOc6NekmRmcAAxsaGur0BDHeR+hfq0aQCG/QFAgT9kbq0JPP4jaXJ
46BoT7K+Se81FbUtqsjeYoPRQ+4mqvYStfsXckFSJrpAg2I/T+jyVt+iEAAICrUINTyP22mRMK/7
vQXo8gIMEz5S2ZW7SGofaObKtrWFqTkRRLZaf2XzMbirsjK4Q7Vktoshb7TQyac2UWZXVPxCo9SQ
83Ao/NC9m5zSBg+XBt+Bad3UB1OS7qThbp4036tQtzESUNj6aeGsUHAFDIkf6ubRwT/Ox14gFzHQ
2tT/9PaX8ZCtOUMQvOr0bcKzfueiWughjJwfUTLm3wvdR+aAlU856NL+5pA27MkfympywIu331UD
Dl1qhQyHpXsGHplF7ELTvjDC6swyzXox280Y5PFLVcv6IuMQOG1l5oWItimA4xsko6yXedJ7F7v1
BJGscSyP05tRmj5+I3FUorwP8kifGh4A8Bb1A1R+MdCodytdQeadXXDgiS3pr8jimyb2OWlZboOs
gBqeY/uQdc3atdOayVObYysYd2H3o0SsSjNt+1eLNFbFhuTN6RDUyIDPxkmb43iI7ffBqBoU26np
AcRupumjpzdPSHn06yTDbr9RWAhX4SPaxsbrkvEL9ZgONoWxS9ulMRjAd6hR7on30TBEuXztlEBM
qakf831PFhvdB4NpDAprxAJQCN+rGpXMAq0KfiAPyNt74IrCWaBnpv6Fi0caD8DttjItfzzSxExN
7Ki4ZZSPdRYPB6bKKurOKy6OuqJu6Ab4nQb9yRihtQ0WDvAz1qU4kRt5jFpYbjsOstg9wEd86Tl5
jYznoE21AUGWlIvY0MWd0XvVBdgXDWhWpE5dUZX4flZKnPT3DCtM/RsIAcFhntnfWeu1R3o58Sb2
L5BB23YR3vTLxgz7DZj0mtW81VMTXJF1RzIJ0PRtdM8CSBrh0TZx5Zcgq/Yg3tF+Go5xgnDp+NaC
WWDJUO9/BW+WtnO43u9QXgrUpprEHNQtJnq9H2VUXsfALhbpUETnTFWlpjHg0QKSQFPvw+60TtGu
cpEfCgtcijPJDGCh0PXROAO7ql4caCDD12tdZjZy/GYAJVeuD+caDGkv/FclDP4SmjIERy5Y0fza
t15a8H9tEkPIDTmBtfV9junW9ovx3Q6znaiL+MZrK3owcwvA+EwHfVWTxA9ZWzYnPHHeaHCMouoM
iupzId3sZA1ptoIyLgQWVdfneAMu6JKaQEvwCFMjg0wxwiDcqYR63DUZe+cbIHHZzR5YfcmAH110
va+/Ro3UVmVtFnvqpshYQB1TPKWGOoIBZ7uIwAzzGiS1BLZC9/Ys8pIjqk7dJbZDC5627fOYh9FZ
1wYfBLqAAUBItltppRceStVVbq1y08M6OiNeCU20sEEyDCisFahsogN1P9wMtRrAYuBGI1DB2HxD
ZQcYtqryq+8ipq4i5oneCCCtuHeRflGeUBHnrj48kJJACUAixNJVHkEHSnnygCZR+TWs39cgDw2K
c+AiAkcyHkj6fYdk2nqsUQMiy9q4Rym9cZ+1/qZBlPJKHnmcWEAc+HKB6BR4dlnijgs8bYY9OdsW
arLboQHmClNpRqPWRDiyWdulGPNl5Wob2TtvJjS19inomBadYoZxxqA6UhciNdaTw9v3biiHeBOj
VHkl69bdVQUEw+is7uKv3rWliFd0kKdR6tJpfXa2OxEcEdRJFpTV6uwOVMFJ0W/ixtMAUs75obUt
76gDtTVlx9IAlFwSGVaaQHZKnTWDjLcDMEDTSvOEP9dEpAiqhKs0wrbHzAB0i/I+vfNTvNHkyG51
UMAEDMFRmt6X2dQnLiQR7Fwswy7jyZJFebtKtC7dTP0qHBVneWztp74R4OVbl8WFlihzN70bJMf5
UE0G3m5aP0OJLUjq5CGLj3ko0hN2O+/N6CUA+/zZj8qqP+bNkew0owt8CzSqOlHNWBemwOZjH0Aw
mKGW0go0c0E2Rw3gv79cFgBFrWcaELpCGB1pVCDtojh/GJ3BeZQtYDJDfOWt5jySxdLGPegj+F2r
TL2l14uk4uxIHgUyEqumhRJaozUudlQolWxrcEjR1AhSsgcUY/kL6qIk1rj8jzsxq+Z3MSAuDbLw
Ps8cVEqPdX7sVBNLC30+RDkwQ2N+pCsaLm0uQU5sSfA2fswJyZ3GybMaK/D5/HlJ41rT12tIacVb
OwvTFemG73NVHVbhe7IyG12cOQD4ZyfL0lWmm9ZRuuXPNkj5yRD8vQkTm5/I5nrg13Ps7EiDo/Lg
YGtAHO3DhUYkKuhA6QxetVy7zWmqsWfRUR/qt/ajstxGmoFMlKaiRutAUam8qEeuNHGMumnilNH6
vda8/D/XIvvHHee1zN93pJXNorCOqMXG4xMPozpF5S0heL2PLo475lPS4bEyj2I78blLo0iIR5nZ
nG1HE2dptsEer7ZDZyZA7JBtuvQAUNknhnEgGzWFW6GeWTUoMwBJ6UvU4QQB3q6WDU8a4Pdeor1U
XV1+KyzvxcMX4RuooKcL4Emni38M6YFkz5DKOKjhQs38H0v8f/eBBBiqvMDfvXa445xq6doLInrI
oyzaNNCpndghLAZll6rSnUuHP/nZ9B7j0bRe/jYp8MxmYof49ySZVNZLaNnxSRQovuS5Ju+o6WKW
QStzOVtGBOLu3FhtyNNIib7qis2yqIytEeOM6gpj+DQ140stqMtgWrI3wNWhSxWUUHdQMb27OoiM
bRqACJZsNjKUi6ZjBahBi2rdo6Z+H7A2ex60cVvUJkCtyq5bqT/bRVi+2xkY2/Y18HXPTokz5Id9
9v+nvaxRv0bZqynxpbJXoLyEJvMwJctq0NaeuN88zvmzrDfrbe94cjnnzwRSmIjCxt5mTopxO3zL
QlseyTTZo2UZoKKMcm6jFqSnyKoe51tzPHC2dR0Ny3mZJug/L00Dg5FNS9NCOqic77hrLkcDFYKt
OyIwmAGScskq111qTZujDkAGl2kET6hhj7qWp1zZyK8xAygoAkGypRWmubTAxyoC7D4oaFKLfjTY
nk4rzaZ5zTpOt3jfsCMNAgd2nzgZP/Uo41/JnGHHrTYy084DL75qsJGaVSYPPNO7MhtA1aW6tF1x
ihC5NhGkR7K5HggOAAq/0uDkptZ1kQrfzLbC/DUvqw3e52Vpkq8hmJWINsU5CtsgWrYHozUNUtN9
LBu0OCoMFXZVstOcfdVhZ0f7GS8EDoK6tJ+hruv1AoVISE3MXRpFLRt+L+nJC3Hq6VFBvA3k+NXv
cCQKmd6fQCiOPR71mTLSFTVxUEAiNm22NDUAyzpeG2oK9ecVghIE/1bf3P9hn1b+dJMh8+MF8wqx
QYij30sWPph2r39hEGL1Ayf+nvOkXzYy8S4Q/O1OoPFAOeFQ+l+N+kwODlSJlyUDp3wtq+pcQEdk
RQPu1oLG1DcoO9crtxbx2Y/C/BKNwB4gtRV/d83HvjLGrxaK0lfQsS3UtjnYIkWM2EML4U68c4cv
uW63izi1wruicO0LDeAIgNoKNaChxG4aqDTwLwcm6ihkfWBGBGpFR0GgZCvuySY6Byi7oR/ua0QG
N1aoiWuQRebVaPRbqza1CVJJ1BOdFm00MOZDERgijyFj5gFRlT0VtcyFLtSFurNzAPn5NEj+ZKdm
QGrp4MTu7k+7Whbs0NqhNLrdJ39lpxukoxYdUZAzDf4xHdW7yB/rYvp4c70NuQESWRzHKtvOy5rA
1J8TTyxrrZVn10VCRwKTf+0DvK5RaBbft6kP2G8JxQbZ+MXSsI3qhbUNyvhEk33xPKAAhCi++ynI
kwqX/+J2sUrTnEE/9B7JoASnlKxdVr4V/ELqDDDuLP0m4x+o0aufbM6HdYRH46nWi/JoILu6GT0b
m0qQDyzC3Ou+W2a41MYs/wUO7mfuDPaLr0kE9xF5v7iaru9LG6X7DGeyW1J4/VJ0uvFlsPu9cI3s
l87GAx/8+gtAmxDoAvsh4+0iEv34oJtFsg3sOj3UrE2vtheFK8PvxRcg6bdDlWY/9SF65VkyPPdC
Djh9GsXJN7h9wi+7XLOelS+MIxyoXK1u3MfMi451EzvLKkw4KLCd9hh7xvjQtcYDeDqcL9BohppT
YHcn6IdV96Bp+0Z2/DGIyvS1OBegrbs1bQQgdeytNB/FdSDADC9aXsTn2ohw2Les/lvjrN0kLr4D
XAOZLOVgtu6wRQ1ltE7MtLhD8UtxVwYo8ELAoUK83snvDGiveYsqxycesyuZUMOlITMtfCtaSK3c
hVqXbIQCfeC/WruZXhYvEDYWB0u996aBANUCY1DeUS9yg/Kcm9F5npSVeOsPUQwSz4+FCiSMV/gx
JRuNICLYUL8vTD4sMtpF7jXfiextVHycVcqHY5cvCkdRvk3Eb1NLPtR86lcyHI8tsK7c8A6QsFk4
Llg8ysy6TJiFEdIYCA4kG8I4hIXZnlGg8UyDZHIj42xa/bt/C4Q70mShc9Qaz1kSHYVdNq9lbBv3
JoJmp7/Y+7r4bE/M7tXJ2nf/GgCgJbFX4Hvz6geJeS9DVFNNkawi6Nt3flckQU7MBTcoYRKoVC0H
/0LXdOCeCOw7/MOUTz0kmXYdSrg33WAZryMevCFn0Te8wkCf0qbaaeDOeIVKtQeiDBQkq5nI6ZZP
Us1sSwSGQreaZpKDE6AIjGZaQFRceQLRcfZ7Jt1TZ4Ao0kwn8vTXFuAjcsBOD7UX4ToPG/seCPFk
g/8M/yTSGHzDEK/eWa1VIS8QWVAL5zr0qC3Qq1pm+h3SRZuhYmOImsRoDY4u43tio7IQiNnk2Rl1
sfJNYV5LEWrbfuy7g1t3wwl5doiPs7K+r/GYR3leX7xhG/EYpAD3LqL7kTdgDKtYpVRF7LdW04vl
3z7byK1/fbaw0j99tljTILKrar+odCuSbb5srag7TMVZqgvUfHegsq/W1O5RR9LuK5GmYoHIKijk
KFznNaxeWzEYAyaji7Tt2pORtkAau8CptWMbCTGzZSQD/KuTsS1jvKND5zQqFS+pmoLrbNOGEDtn
ldxakhUHDZCQs3C5PNMVNTwpwVAWuO5qHqjr4Fvc6sEib5jcWElo7T1WRffeoEraBlD9AnlyQoln
9UIeg22ZyG9aT6j+EUvosYcHiUeJNaf1P8X4p0tyGuFEKQCWxM5GyAjHfrDRDQjuOsxDDUqQrWsF
K26ttlsYHZCBPWBBj64DiLSdjq/kFuigOXWqChG4HmeNOO66S6fc+hC1fGr639wkfvnbAlBEyFgx
/tTk+Ral3Mjr4Ze3MZ1o3OaqK7JqmUA35CUtav2Qmi5kx7VRf9Md+XNIfO8OiWZ5BZs2KtaVv2X4
7rLlDJkrtWzOiy35Dwl7X7ZE3Hg35qhsB7U2GHY3HjBjS2QX4z0dbalb6Umynw6+ahQVG/GnLmKZ
8T6pdWSia1SXegRcDWOnXxhG76z9wtdPDqFd8ZLo3Q3KM+7e7wh1mmPYIU6TjWZ3QpEJ6CVyEFWf
INAZmJuwQlF5yaTY0Dg1Gou/Jm5lbmVhctSwoImLsD+XbV2ilD9zwCDjuXJBxrhs330sl/Nl1bbI
/ipvGuAslOC/hNJCWiF5C611fuYiAJgQ+lLLroREo0iB5kfqHpfYeXUbML51Cw+hSbkgY6NG6MoD
UmZf1uw62yvDBPXHNMqtlVEBaCixM3DwGj+29EPDTyg6d6mN3xxdRt5DZWUJFM4QN6cGOapMIKT7
u9+BX6gArz9ZPs2k/pjGBjTLl7TWPAdCQgjFq8bMmbW2ZeZmF9CDdRsdXOCXygiss86fDAX3oobM
dDVGwlq6yVCsY+xUGM4ggXcaw3xJLinZBr9ooN8T2et5hSbWn3A6iUDT5/FioUGV7OCrhq7C1OkK
MCm4MOI856/J2o2NDfiu8nKYDaXzdtiRD5lsp/w9m5ac++RD3bLMHXs5j7gGK1eGC0HJRiBhJIr4
vUkQjWxQL49+Jr0ahEPhz8mW0Qi5Ow0rN32u/aII5KcgZRrHUPmJQJ7eAc1+wtnxczTzj+AmTfac
8EmLtWegoK2zqYEfUFjRAKX4ITnXQ1aAe4lrNxShmcu6i0zEeLJwAcbI4ocM0zVAigWwHzGEa5wg
+smT+lsZut1rMyBvr7mRfo8NjwfuyVbH/2OZ7vHS6sGC06Can6VrFy9X/B6cAv8WiRhO06Vmce1g
NNhTFWmNSiI1Qo0rgMwaQIsncRrsYhNFe6DDeAPw8gaxzubBGyv/hGLBZkl2jYN8sWyi+poG1njn
OxL7FzUhAlcAMkalc7RRX/zolZDTFXrxFJZjs5Bg5DtRMwgtP+mqmW3U5YK3SyczN+UIQLgo2nPr
huWTDxTsfesFS91sIuBaVo1bZE+O7MonRF4Bb6z4PTmGZXYBSsq7Uq9Jmh+yqIdpEejVgVY1i/A7
VGuW6kCLB5HYUzcbnXEFLJC9pW7nVUgPIsC9oe4QBy1OY423stRNwRUa75HdsJY0iky8dqhL0FvQ
qOf28bnrsEOlUV2azRUhgxsNYusaLypn0He5plkj2JbTBgUZzaHD5gChpDwNzvhuBWe60kT1Cr5s
sTON0hkXZh30CMAPYII3chwMcygzqytqQqgCHIIYzdz9m988jWaQC02bu//vS823/GOpPz7BfI8/
/GiAtYLve+MhiCCyrEElpFzQ5dyA+MNZlVYlFxBKyI7zAItBSV+X+e8p1J+HPbXi3KWrP2+QdchI
Ggwsh/99maj++GB0F/okk3G+KxndprbLhWsbt5HHOLupDzFPoe7kQpc0paqSFyhv1nvNisu7DtKQ
DlJBp0IxdlJTDQ5QIFpQLQfTercJukrSjQZRo/OgfgHARvN20/AUtRIfc2lGmQAtJ5l5nu2jjtrt
McOTiO46Dwyg1xGuSC+FF2FnzqPeXadV7C+nO34sjCgVCrfB4S3o3hkvcEqujWQ1LUWTI/6WMRFd
p6UyblTrKNbqycXX/IsFEqItGCb4weU6P0xXLOvfr/5iIxfp2SzDDxvzqCk+rmabq5aZV6WB2VaD
JXSZ2PjFg97Nv696Bm6qCEzq1A2c1L/nJiS0RWpeI+VRQ15tF3VOv6TB2vb8+xLxlrwW+nmaJDiU
AlHEg8gXIKIFb4urZ1kX0KTUP6rRuWiuXv2wObtEDBcFLF6QtCcWZ+Bm8vVgzxr5RIB0gqGHCouO
SMBkn03kQfa8Hq+oMl/oAw4EmZPcgUDPviVxwi54IK2pR402gs05s7of/RCmyPR1QORVft0uPTcA
iwHLw2OT2eo8X7tv3cdVmhjvNrrqM9t9i6IhW+hlzt6m0XCrG/5Dynl6cxwnvYH32j213XgkE8Qh
0lsHIP41wLMMqnkyXJJb398ikDHdkRc1XdPuUqsUZ+rJOElvTVG+lKwAk4ZamUyyBWeFq5nhfrb1
pdUsvURPt+RCAxnPUXRRooiHbLRmVENONOzsdDXfNWTc2qYSDNTzeqGVmXtmSOC1DA8fOClH72i7
3Y2m0Z8EXEQNpdLq0+pGDRreZPoI85+Q4kQpwP51mU1F0NxJn0Wn+ZNxFsQLAzSJqEnFPxj5tm4T
LDTNZZ/+qtoMACM1QVdFLtT4IzhAWqM1pr+KFmW9D9G9POfL+bZ6V3g7rQZuff5L+6bXDronXud/
OARIwfvPs/386WTh+NcyfKO1pv9DX1Yq6jpcp+5Y2QcwbAhVTCP2zIRIglbm8mvSdo9mlqePCSQb
D0zXgdBVdujZWVrZXUbswwH+9NpNByqjvZdX9hMH0R056a5pLDtXb86x5WgrzSnzBYcA30MvjWfR
DcVZqJ5b+eMGWBEwJ9e+8dC4srnzQHrVeanxQKbeALVXmIfxkWyyD6tdHpf6cprgmOGDNDYB5waY
OAHRw766T/a0ODhx0wOiIsaCujTBx5dFcw15I1M/IpSYyb7Z0uKoNslPiVX8pEH6uFpsHJHCDa/T
3TtLAG0Wu2tazGOpuOh2dSF/avwk+VqmzDhRT2J7uA2Y2YNOBH/QqMnwBqTKigbJVEIic2E3gTxQ
Nx0ra8diBOvIhT6CQGWcPj6QQWPQePHrUd/RBwCth34IucRREmcqEb/osdXfRpvxu2oUPwLh+6+Q
dh/WUAQcdqFEN+LaCqRbwGgmvn+qmhwKfKigfgVPoQ1K3Lw7Vn0M6Jp5m8w9FPh4XYMvBDGa/yPs
u5okRbIu/8rYPC+2DjjgrO23D6F16szKesGyFMpxtPz1e/yS3ZElpqetDQuXUGSE49x7xPL9jRsS
arsZp3fF5qdIfRw7VSw+APXspIaZuGnfG7jsIgxeKH8dMvWlrdv8sUCSbdfWsPhBlNZ/1B0otY09
4BdefzYQ5PySOABApj3/kdryppGj9domzQg/UEvduXbcbUVpDYegdFPEKVIG1UA+PKYjnHEVDDq/
6uHwKOU/Ygz3MgSD8RUNNoEt8dWQDJQEzSOPhQFlCzMF+UxGwzM8KqDljPprt16zz6XvIY2IgNrc
zQX3nrqBHfE+26i7XWeLk68BCR3A8niEzDfoHcYiG79lXgR0qW+9wHa4BCjRzHb10KTPZcdPXmFG
X8DnkcsC8OhL61nsnJsjUmv2GH/5e2QvYUZBI3M3BGzbttnKSBIkiEIln+mTCt10/tT/oe5P/UJm
MqybhfyQZzNcezxCGWz3Ias359ic8cFwJndP6bW51UOWbO0YJWgmf+foqDPNIst6R/VDIhdqQmL3
UnRFsXUhP/BiZcWsZ+VKYa5TW1R7oJBgzivzWc8Ke2nUJw0EtC3feNb9BeJkYKkBpuCMOXSUraK3
1ho7v4xcHzrYZZT+h3K/TNpFELfB0U9hOwKoTJpfsslBwsXsV9SAPGF+ieEhaK+SaVgBQxUcr92C
0Yk2Yyi95cDB5uwB1Di2Wdc9Rr2l1lApGzZzcYIQG3crXJLldY9tb04QcJUnaqRD70EwDKSuOyrR
bENqvs/Gzf59ttA2wk3XqgYRL2GlC9LMgv3QqRdmdaFSzWS9S/ysWlKRDgjyQpgzrC+89AHY1D1q
CIgtubYSobo/zDH30AN+nuNPZ7FLeL8WHbQno5EXD0ZqHkmbIYA76S4F12o96B8FPPpiHYvub0qY
dj/wfjoymL+usTh6x6gOo2UjJn6q09x+ZpBLn2XrWpUfoEJZrEKg5j5Rt0CW/GSycCusvAOp3v1C
v5i6hnFFiZjFXcNYc2zCTqxYmMZf2uycl7b/uUshuzo1U3xgmVQPeiC1V2kODx0LcCE7Tt19KjGP
W1vutxABnyhq+i/IlvbLjvvRbSpME2auE1RG7XyCiXL63teBI0sLO0a1MpE87aDQC+0PzlYDfbLx
qtqrViBcgE9zq/5kR29OM8DFXYAmpA8QxWzDbQ1A79ZpOJKyLVaiBtsI6Pt709bHOnNXekita720
+Y8RNeOqdhF0pb+ljLrkDs5y2oPr1vGZ81lCaxdmiv1naxrYsk2THl56Yb9r3M7YMWQ6b3pQwpfI
y02v5TCcSEPbV1DvjPP+Mysl7CDBvzD6JHtUoN6Duo1PYVXANhRL8qORtO9111b6pBir172qoAzE
sVCCopEd6JIDV8qTW1Zv8xXrf4pbQOyLemRRu4NjQfLkZ8Upzw3/MYHg0wEriv4V9uNnXS8ZnhZW
FPGD60Eq5ef6CYmMRW7W5Q7L33DGhn84T47bwx+a59vUKuJFyYZkXFCLF8XToimdaJv3I3zNDPgg
CF8HtXTxWuelctwB21bddfpQQ1gf2QvUUZEarnV57dWbMrC6JaHcCO+Gd+A7j7vBnvBt13rDS6Yt
A3Z4IUmm9eps5dvVHXJr9Vq1WD1Cw7RuVOoY61h/Ct3x/RPV/akVwFLI5wAruU3w7TkIpA429eQV
T1WlvtmIMn6Ly3qDQFz/2cyCdAX81HhphUBkz8zrjZKeu7TUZCwCkZknQYoIFCimsoOIHPY54YGq
6ODpKDJ9QpoCXq7FBCNagFc3ideCrawJdwTiojoIAMD/xnbPCOTkF18vv6q1Xq2pYbuEO1iSC2NI
95wZeEqUKTzQuzrkMNMxk28BfhXCcp23wo+Slek42cVPmThGU16vh1a14HqDLw43z2+8zn6Medc8
iihutkGQZ/swc+CUpiejHpMNx/W4dt4Q2k9WgTeplcfEuIOEIGHU6eArVa4Dz7HWVOxB3rt33ztw
29m6WQa4+Ng8TCoAtT+Nsz1yGiAYwuHhDs4g73WldzaCZK8id/0nz4rAxqNWN046Fe+piK0AWeyN
B0TXcBf6OCxWxP1PkbraIddr4REGlycIKVZ3EYIxcx0VqQHo9mZnLw0PAggd76wn0MC7A7cKrU0t
ED6sYA1xLboQUMR9tc+JHQIhLVx/mWqFcVi1Prt1FT54TiNP3ZgGS1L0dv+qb3NbnnJb2zMhAr+G
lq+EKWGxwM/W/AK9jRaYf0veeq07QusFfwjpxN0DExUEh/RSO0bvfbsIisa21Ub3kQnx6jZAIgvv
htNnzuDMM7TjC+xi3usJiAGNzLme+k8qCdahMYFj0DTpjvdxtEGSA3k9MWFdRK4c6jYghaRS7sw0
az5Rj6iJ+TaBOd8Cm61sOUvPNwYbtn8sk/A88mVgyTjC31kupOEit4b7Gd3StvpYpFZE/Ps93f8y
7n9r/WXstXOnpyqF0W6ncDr0I5KusEIvjwMiABtVmfaDAiQMNsdq+pYHN8XQB9/tqfxhO0I8tdLE
m2U4BCegwKt5TJsVxlqNYCrR742NvNomRpQj9qT3QK3e8PT6IP3JXjL2duVMX3nVBcQk9lkJcx8O
5nXvZjUMisf2nYl97QdPBuzNu+yJs5rhe9pX0KbJ7I10AC6O07I4gwSv1oA9lc+VZ34laqPhfsWy
lX67jmHxFK2MwHltXfwxibUGhHG5uRb9eig3sEeONtILw5MzgnrlDC+Efs/zDtZ0UTBeBBf9yWrx
IhOXgflWp3MHe3hgg7lAtqAEQgQ/iRw7TISFeXEiG5pMFx1dpFa7A7eTWvGuaD1R65/Gpm6EzEWm
IKBqqAu2CdhXwoDWKgdxLFuGraau7ysXggFj81q2Ird/tKkn7uFHu4LCbZjdRaEmMLTxCUrdDv+q
wCFeQVaD3xgFXP9Gw0ufQplXazhJTWdQvuTBLVJ3OxW5fWsnhbPsHDd67Sx1n8mc/wCxH/hGv/0W
lX8N96IW8I0utSDkj2cF9BF8hGL87OQ0XQD0wPBMP3+qt7hyt15Rze5D/mhlt+B2H5WCMdLVkCgr
ombrtBHEcCcYEl0bzILD8MO4hYINlKgKoPYRXFmUTtwfqdiM+XuRqId4OnxsHX8uUmvCQA/7j2Pz
CRidUmUrSNuenNpTe19vsIBGhCObKLPoTGU66C5BPql9knrxycTmk/QMkrb/Hjh5dOv2A79nU3oh
MQRb9fYWsNFkQ73GbPoOll54i73t3IuqrdFGr0Gil965/j0X9CvmXqou3E0ranuNCCUAwkPFXmIb
2nD4XQd3Kqqhx43F/wyODHJQQRch6NLb5wlQcZgj1vZ9k9fNMjfV8Cnx7bfO99LvVtlguM5DObLE
qxJLv7k+jFaH0GEwZAvxmw5raKP0I9IknRmfA9N4k0bA5w1ll5rZKU+iN9qm0QuCAMt1IewuPdBm
zef4DoIMX6xJzYt0vdohkGejwqNCK39RfTO0oHboet6L5bUr1cOmU+LB4JcLCPZOW5BmshcP9uLK
FNGXLAAN2oMW2yWRUX8RIFADatBEXxJYAzgM2huWFwfbn0emZjzdqsx+UdjZnCHBpM7Y9aoz3kCS
nTMYz8KO46OdxJvQysoHKZPu1k09AFp6OIMOiLksq4CxHbUandOcwlB8nlvZ6H6rQf44YnOEtxaX
G7C8RISM+tIBwnUbp1fGDZXi0ndX//7X//5///fr8H/C7/ktYKRhrv6l2uw2j1VT/8+/XfbvfxVz
9f7b//yb+8IWjsOhYeH4UB9xXYH2r2/3SIKjt/m/ogZ6Y3Ajsh54ndcPjbWCAUH2LVFBCG5aWCJ0
6/Od7WtVBTDp75t0BA23bb1vSJ0jfa6+dsZqfo8N+yg9grGyTWmH1TtOtwPUzJEXd4qyrSBdOdil
8kU0lvF2dhlM4+anMnjElwhAmOs2I0mdZIVsTAaDECgT0SFMg4911LnM5IrhO36APTHQs/rgqGw4
2/owJE21ybHoQZHpr1ZZtZ8gpp/tnI5hx+5kbgU8kujmLjSWOtMEcFNgi3++9dz6/da7LnfxzXIc
5KBd/vOthzxebvS15z40fTzukAQOgZoyp3XGjfK1SpE00duJfgIPuhS8uqUeLjhPoGozwMT+3KtS
gXHIIvFhnp5pmQ17aGFWbBwcp45eZVxZq8RO+7MHS8xjWUAnY0Ru6nmC6DNur/tNd4X+NDDeuisL
4DQSyvFEPzOzGm/aKLEPnFtYc0Fp8P7L99K3f705nCHqi7vDAQ1xHdf5+eb0Ii0FoPPqYd6ku4UD
Xn7On5GhyO/gKNvdgar/RMthXCtjQ0seFXUvwLXU3VjAq9iK/DfEgNu162QKqmlYmCJVw6zBcZpP
VludPb1HxEPxXiUsf3GMApZBRY+uY86PtXcbGXl1C6D9Bgl75yHXavoltG0hd5AGR6qDZFi6bQro
P1IrDajiYeNoXX5EzeBaW8UcvD07WyI4lewnT0G1P1CgPA4BNDPsPq2WdQAWYdQ8wLveefilLzdv
a9faCzh3/LK1J4c5q3X8g24k+7mpC8FO6hH0wPaXnUwef696P3ts9AGRwqJyEgiAoZDFbrfoQD08
ZH6hHq3WrDaGOeVraqXRfS/n0TnEe2/meCMvLLa2eJN+EJfvGk+vymazoYbSYtF/+UZw/6dvhMOY
MPG/A8dsDzRkz9Y/pw8rFVYWa4SUTPjg4BEF+zg2XHoT8srEM4zLZ9OvrTfahHGjG06hEwwXI/Kx
RTMqWEEm6ZlcZWeXWDKPne1h6WPlF0WxaLTbWwwQILx3ygTmMml5pEHUQMX/WDdPFrI02Na1AMpm
tIXcef1kHhkX5pE+8SG1y4WKR6CtkChiOy6S/bX5tz5zBa/a7X9Ze35e9vXNhACUy5krfAtCdL77
881Mo4qZMmPBvTfUI1Kxmb8wwV+4tWLDB+g7M9ed9NVrzpw17XWpR1VFYOn1vIfCLYRnkUYsBLjH
XbGrkWfQ62ylV9cPB5CMzl0L8zZ0oGp4fCDoZEYIp4WTWlapCXlXi2V3pp/GCwq2UAPLjPcGZGdi
RAkg627wVi2TooCWTeDLOxc4l3++K77321fM5h5zPNOC5C7j9i93BTsqHqpGuvcMdrlnWxtmQNok
BYRNu9ySJmroJslqKO5id5KrD9LLOQwNSC6Z6qCfB2KsgJQ8SSsH3ggc3OA2q7pKDGhxZ/WSoIC5
A3kOWCGHR0cjBpNw67WF93LtVbtAp3kM1o29Dg0VQQJRjNgId1RsdV0vwFCKRvu3OupX6FDT3Fn3
o7qxFthqc+O10vLeCy+c+AOWYfiKWGECpS633FNLXMJjK6hgw0WtH3r7vK5hkMv9U9Ra+iswfsbX
qdgkVj3tlAOgiq5n+eBijUBQEaopeOOHYL8AGN8Ri672hwdLE0gKEJGRusWbki7ptn6Eg5JsEJaD
RVgUKsg792awh7l3cWmbGDLzUxMcReZ9kqpt7qkqx6NrJZHD2FCRGkwJChUz3/75O2I5v/10fPht
+CbMBXyH4y1ct39Yh0af4XE32uV9FJk66qxekrqKv6geoMNgcNktMj8x4HkAAENfL/pSQBED+f3g
tUBaaQPfVKhkeG78+PNIv+oYXmDGk58ZMTiu0GJx+6RCTApytVQU8bSOinZ66CIPqiKh2sTaEa/I
jfwMmVhATXURbxjNTnha5UYXswrio6Vwhh0VQTR6n5KKsEJex4CarYWNbzkxguLAqtfx5DYfqNdg
i2NnVFUzcQiBqmkvOahuM/XaySAkAScwc6Zew20uvwls5wP1ugiHet32WTufgs4zgpgD3LeVeq+W
5bV3ruWHN2kH/usAEs+r3VpwCmcsOwGh4D2aYbkPosJ8hapIs8GaGmypW5JA/7xArqtvBPBOHd4g
qN7lzdt1WjucEAHWw2naos1DhOKLU93yCbhRWDeOZRc9QnOdA5+DaF3l1fuxRkYAtAJvCfWL+Bu2
T2qRTWXwlHaTtQqMQd4oYEN3bd5Ze5rJaZABvM7Usyy894sB5GT4ZHXBsLRgGofgNLjJQh+o3qma
cV07drs03em9jhqo34BRNmP2PIeItzCxqm9EiAiK4m32GQLwB3KGbJLm6AyT/woQo7tMvDECfwL2
qV5TmbshRsDetGwbVyCyzyKuD3WgnkBmSG8YlsO7ES9G8LyAwbWTd4/Ic4WwswvzxzybatgEFN2W
im4p233dAThORZgw27d1zTZJa+d3iLCbq5xJ794qc3nDSm9rjoN3T1VDHDSrwAqmja3rLF7WcO6Y
uwe9VBerUHsK1sI0COqG0t1TwCiiDJmuawYP2OiOgRCOzZKAdNurocy7uHIQ1MvrvR1U5Y/OSt/s
ZBLgvNbBEq/p/LY07XrLZW0ADzRBrgEszk0Rt/n9n+aR6X7IinKLgEW3LjtY4qm4uC80GwUwSLgk
ayKKMnKYNtZS4SeFOjo4MA6gvu6EVUrEJXLyw/hJ5PlqGvPxKUlB0BClayLXgjd27G45CBo5HqRa
3NCRxQrEouHQV02FDFzf9em5TvJyWZvMv4M+abS1RRHDcSYfT6mF6Dwgid6DayFR4OaR+AJO1Vpm
If8Rtv6xa5CRoeGAA/h3PIziLQBN0+afV0L716cldg2c2QwPBtc0TawpPy+ECEOVjTUYHQzjTYRY
+wDpJaIMQG7q1o9acwepMEREqK6Dd1TUdI9T45YwvIFKvusV5l3SKewH+jL7muNbCXAZf7n2AIY/
RKI6iHeellghnZUWIqt4/+n8NYmqtNrAlj7BwhHGuMuwrrN5H2EDfbxs+Zhe2qixbqmBIQNy+8+3
wfx1X6pvg8Owb9D/uS69YX94HnjDAJy3YO3lHdPu+ZpJip88g/MxRLwQBrCtCXqZ1x+9DO0VH+zy
18WARhQSIH/69UcF9OyQKUuW/3zJ3Pxln+OZwhQCfzmBxYP/9uYJpqkJo8E4ucwb+inwKiihh/Fn
xISlDspDbSfdln7Atn9V0zO+MgGl+r06hG7jXM3sNv4Mq41r7zppvJUTlwoaTWsKc2aeHz9ZDrRc
crkeoxrCwUh5rFRqRvdGWL5/ghECX/UtaB4qNPlq1J+u/RQs8v7L6zi9P1wjIQ6e6XgN5nixsF2f
M5R//jr34zTE1eSkuzEA1ctZ2jBl6SZYbXvYaCKA5N33Uw9DXU046dv0FqC36vnaIzD4hPyQNSz6
MIBrowUqQzwMsHKKIDAt8cwBCzSPHhyWlYdet1KRDiESwaM7hKeIM3hV/T1e9U4KnrBpfmH98Z+/
A5aOLvz8z8WPV3hQCeGW54GT9fM/F1SLbEQmK9zNHC67WM4RGcT2/bMVKiQuoaFS6UM6hTV0wFHf
jQqcNghUL1IXKo5h20GYj3kIW4eWvR2h5RzhfQHU3Q/laztxwkT1X77N+CPZOhrw4R/jMAv/Et+3
LUR4uBC/RrEYXH1zL47qrWxTfmhhF74EUggItt4JP8WZDwk8AM+FV4EpyYd4QfVAAHkbaDEiAR2r
6JPPcgmzI8e9mMg5PGXIi1I3lTvqGEYIu1AxdyBLXSc9g6hjjN3y0BQHZMy+AGyV/MiKCzaNeCKp
0EZGKhCvWmp4ichge88D2WwyVpanRnbeAUnkfttUfLoFNztcYSm3XvQ8XRPEP6bpfR7LgNKji2Ri
UVzMMMIDBAqS3QVA+7MI0/xg4ddt6vBQCwWqsD1PxlMF3Y0L9aJqKo5tOe3Afn6jeqqiRjqMXRms
TGz7l/MZqLLWU9bm0C1apcIt1X04mfCabTsm9fFDXdap7NSwcuX0JfwmaQidygH5a2vJKvtYR30M
p8q1B1qHgMXvVw0rarwTCuZvsdMq9yGDCqIEcwwujib4mUKqFdh+lnNKCgvh+tQMIJPXGt2RyrnI
w2UTmjF2t+NaBrULV7UpHZcQUMYTxW2yB6+NvPPEgxuXRyjpqlYG5qJumAOvECdD/ibkR4NnP649
eof9gAi2h6Wdp9gvYiQScd6+8WCzTHP4eiIIp0O0oHXO1IPLMt0hNo4AtG6kOjvla4Suotv5TJk/
brJxnFbzHDF2vMmU3HjVNq5TKMXpcVYt1Nr0TW89z5AH5Z0Nf8vrpJ45xSsQPYstzcqnIrjEMjwI
hzn5EnRAOFIUwbiTbD5PEwb8BOuWF+pO8wxI6y8aCGkeqBhEgmvWDnCd+hLoUIbQ05CudaJRoQiN
XVXgb0JXRXW2BToCct0X6h/zGOIcgRmt6N6MQ/DZzuv4JKANhzWm21gR5/cQeuT39gQpLPhJ+OvG
dSK1HIx0AceW7I66AGNgg8IGN9LYsvK1lfBm63dQE67lm+yl3AwTj/fcsIpnOQXYgHjyDQjIeuU2
uXWE6+hwb3TdF7MM0jfgorCVUI15EaGf3mB36i6oQbnDj670jLs4yNPTVDdyRSdAZPwoNJwx78YL
pPogYz/gT0EnkcFjXvg21FcHuZVF729rbhSfYL29HFkVbCxZg1rqI41jNMc+KZF7aBEMXGJ1SfZm
6jFwrHHLEHlki2KIWbkMsIgFZqjuqNV0427l4s1/S8XI8IFngvHqPFWF73CJGM1F+C17gCFGvAks
BPKoWKqK3YDSuJv7NgP42bAKyDdBbX+l2bzCM7Yw2XWWeAs3Hyxj4PeZfaS2uUaBCZEB8TZfqjAa
dcA7C6xW9JXbEu9XEBEBbajGQxPx2Pdr1jHRBMm6LV1HmzN+srl6v+beFTeAE6v5mvXXYQNtg3xN
Z5UOEOyT5yGTrk+gD3TdiDf383X90zXToKE2frvmMK0g2I+8202jhk1vpM62rfx9gdwcOGhtAWCH
0WFrQR9H2VaArSInUsSes/OpRRg52IpKwtZt7tmA1JE4IoRrm8aF6Dl6IKo3QSxeUjuCkTTVMciL
Rif6ONcWncUWgNoFykhXUYwHgJ0+JHUJPkcFlTdsQeQDeJfyoczgSNn7d9QBoAF7zUClWlOxYKl1
j8HUkYbAAUys+qhXG6qrBZLFbbyEFeq4zzu5fB+GeeuoAS6nLaG7bXXygYVOczOa7vbaIyvHFv/M
Nt/RXO3U+GfcEdUty6I4Uj8aWoUD7NjYUO+pTg2sP408eZ3Kqd0Lu5QrRHaTLW8G58BSlZ3DocJO
fVgFqtiLNIe9FVPZQkbF+D2aNlJ59Y9RTl/xBm09ixzJhaQKFDDhEL6bao4XS6sJ74YAOjKqs7LP
limQK8YgAGbxptNYb4ljQ4i/mbJ7OvMw5s4hSQZ3D2nAbSFcyAtZk3dskui73Vsl0qQGxC1d4Zxj
PDU2vAhNsOlgmT2mpb9kATAPRr0uOYQ5JFAWbyJkF0ho6/QnojZiwE1OABSIYiv/ZrTh1xLOrp/c
gaVL3o/BQw19yhVsGBhoH9P7ucHiLw6/nDduQ3EHPgRoc1HUPwMlDIKzCUTBT+eDRTf4fHldbPyx
gII51M83FTRAVoGEhY7qTGy4x858AzFvEXRW/erXoNpHUI3bMcQynn3uHspMz1r55lJMMDqyh868
UXGKXA6NRCwyiMrxIfDN4uDBTHpNAzK1naxEfAa1RMIgp6/3gOmLx8l3b6l9chPEdM2yv0QFwvNg
N8LvXJ8p80MIfXHvET+7Zj+wKN2UVhV8DqrNPNAW3dpqp/xgMkS4YPL3ab4QoGYXhsKNS/FCcLaQ
v1nmekIAlw553KrnSUTjzgIVfJM1bfuaFuOCOhg2+Hnw7suOEF8q730B8yk6Ve2AvF1j13AbAgNx
cqGAuaIGw6k3PlbNl1bYfCsgVbqN0sF4yTn+8vqckLgrV1MkJFK4QPzAI7mcb1cOY/UF8C7hvWvA
oSbQJsI0okqA+EEg6bWZ3HA7TEW1gwvJ+Dzl8FnRNzrNoKsAAczs7E6GDwheYi0mPJKekKx6Kkc4
eMTAE+zyMIVt2Jz4RvbbgXYC4lkuUpdaCIYazNB7MAaYc+qnaWUkzn2hD0Jib1faibGmx2fsd2gQ
XyN3qOcHapHF0zaH7s+SBlGvDujdEdvJM5XcofXhutHjMZzn1hbbXPMABtXCAyrmSXLDuEvD4mgG
XfgyeDluDsiecyyyqkzAnFg2rKnVzUK5MpC621PwEUjSH7IQ7EIlPaMFFMWT0jNCng7C6ohfOiXO
+xdZXEbwmwQp5ATsqTi1TofdaVcO1q732htLN4DrBhLZh2ZjKHZY9N39VCTwsAMuS5wCx/rr4xi5
cNmZhm+h+bnnIcS+2y5DEMy302XkRc1S4Bm5LW3G0yXsGLdWJ+xLDb7J/VSx6Gxn7Oa9szKQ8Bva
bDWXLcQLwdAsGzjd6MlqBR9SltzJ2Jf3SI0j4B/531tXos1qRba2mhpfMzpRzfOvbdGYayDR2Rp4
ZxtKXG7yIkPDXWeGn8PYBsWyhyR7EKXFiYqDbe2AQcMuKg+cBzUV63xU6UsYVchkaFMvbKTTF7gl
iG3FgvfWRA7pCopN455aO+a98TyqbmioEa4nm4GxIMviFsGXJzpPpnh5oIvK9PygjP/5oqg1Q/SR
LsqAwic2C2m5DcaJnQjlOeM9dVEhAb4I8CYziwVQl1lG4AMyNDQCBNh1J4/EBK4TzZ1ozlh3crJs
WpVNuMYr/RKwpOQBOJDpyQbaPW3ADqYS63Ns0aDGTiVh2nt7YulcksV4ssO8v6W2oPFvoNclbqhk
heyhhLTkXAKq8qUdPPNCbSrMvpiRE8+q4QwO88iN8P48n4JVcoHfRnAibXAIrFYL5Y8AhOiLC9oc
mgWmFEdqVXjOL8yMI09DrfB/x29KAmnbhuzJ9Xy5zNi5cat0j9RY/ji5XrJNDWauqBhK1pxFFXzy
mBvjWwyf0nCE2hg1sganyu3aP6jayB+HtMs3KkGInlr7wM5O9YgVbR7bQCdFyEfqmilIlSNQj427
PmnU9t0ajg8S2XdM5EOB4QD0v6z6+iJtWAvINDNXyK/XF6eEzy9AOfiYRMBYjHBs2MyVZeSjqazN
2yTr+B6hhxGWcHoOBiBIZmefqj7aDxMw6hBHVA+m32eXMo4uzDCNHGDRCS9spg07Id3qxHVzDEYg
zoKszB+oDkZXn53MAhBLV8V+D9N4/SI00gSjCdaClddYfTF+MAGdCiKYO1KRRljFJko7dk81ZoS9
3ujIdENt0Zj2twiDzN2pRz/A8LotEEmiokDYE8L93f3kDZ8hldOcqLoxAGvEF7Q7UDGsSw6mEegC
VKRDX1mPdiPlmc7kT6BXxHh6gbKEC6UDc1bw3ljhiyJvez6wtc3abo2VptyoJvdWNLDLTeO+/z7/
a+vSn1YjyOaA5WGWKbGtm1QmWysa1QN1dxQSsxabrPfLFyHHO5Dz4qfwm1qCLwo+friEsxOUvT3b
vk09jcw2xOFaRZ/SwdsAyTecqTRXwXADacNh2IJQ+z4cOv82oONjt4TSwT4qBm8tOXgOI1Cwt10i
svkQ1EIbLgQHv80hM5PVkLsbBvXez/bbftN6MPbzoyJe9WlonpHPbs5AAmardJDR12BPYeZrO+Pd
P7bTeDyaM7z8yXyDLJe3KpEiOrYNuPnkjn4tkojOtQjqEORndGfQFNEZ2++nayuNrQHLXFU+G/YC
Gayb2jZ/UErYFREk2qrK3VJKGLu28wgjgvsGu1DqFSTe09hDrzjMen8zeyhZ5lPXxs2dz/3yTtry
mZAwRRKKjVcU/qbFoxMp2cXoglYJknG+vepsSaPKThFeW9I0jgqggP7qQhpb6RCVK0jhDOuxz9Nx
4fnqFrqHyZ4AUnMdwaTcoalXs7kbPL8BECkGKKC7TOCmQUg5mjgguwrEGej+2U/UCosxGBzD10Gm
fbgZQsTpCqOHmqZp5ewcpf7aRHbs1taHEeoXt2FWfBmtKj1QiepFa70PpTo6MNcYViNe2m4cG1rH
McSpj6NXd49O2tbrpozqTa+L3DC9vZuE8ZJac574N2XFD9RIVUXXrXybmXdUgl8O5HnHLD/Cg/3j
bMzcxGHl3sEpu7k30nNrqf7O1PbnfYYUuh80bEFtVOeGBmys4h4BId2f6vz03FStdeqS7HId6I4D
W1Dxl4G2cpAWxyDwwXqEKab3M9GAJFPBLreEkBeFfQJEF0yEsEJvZxjKOqqgd3/7hB3+xvQCoL8a
RI8QSUOUQrMQAA/oy845UakdDOcIY4w3KtEBkP9xmcDpfGtnPYS6OxHed4in6sE0TRA3hv51x6uu
TqG6rWdsIsc59b0R3bsRQFJSwQNyerbon5RA1nrFI1dAAhW3jw5JVR2lbRtnKo09eLRDbz5TqfL6
7lTlYtpKZM5OcRjBUVIf0r8/ObHfbpu0fKUe0izfe1BxlHLp8CKBLSFvIEELEtAEy9qFD7XsS19K
/4bphkw35BxgVgjCgqaf9/4NyMbvI8B2/TEVFug6jtx3GqJgmxO/41C/nKz6PtMwBQ9L+64uEEah
DlTXazEgA1jYeVCdG/zO8zfKO7vOsHRTKwZYWvELHXp/gA0bPHQ3HQyV8EKPhkhooPOoWzj4i4ON
kBr1o1aACx87uLLtSFlL+S4sUVxxJGEt34TG/oIaqKxbjSD8+v8pO6/dyI1oXT8RAeZwy87dUrfy
SHNDzHjGLOZQzE+/P5a8LcMwNs65IViJHcmqWusPYD7h3wu8hMpgNJ+/zmJtFtt6rdNiWu0s+Gfr
V7+pcu4wu/kpxrH5IDhLOoSf/0re1XxqyEaq+hYPesJmsj7qU9J8CLZJxVS7b0PPggcJTrbca/3X
8BKXmksLNPuhM1GsWfBx+sZGAgH09axd69SZqlOtqt84tOLfrX4w/jW2aqN2E4zCPGiLBUmuE4gk
ocR/BoCyU1Vf9eqscrv4vvdteQicbHmx8+hew6Tj13oCZHJUJ5jCf9Z4LU6+n1bkEb9En/birLXG
Qx6xh0jUL6dOZbBg1uPPIwESflN3PagGazHFOfjfET6f9PpJBfIwbgHjYS1bs5q6w+g3xgs/pXYY
87jcqmIuQRo7hG1CVZRTxjaNlULcJma/sTRzP45pCnaIoQEIx7DhzrtonWW8qAu3aUNgdS0KlwsH
JbH2iAgvOsGz/4DA2K4W5nQNVnJQNmERqjvxdoD1RCo76mzrG4phSBpmRb0xgtz+prkl0VqtbOC5
Nda3tpYfs2PlDzHxz5f/GKQZs74tK9O9L7HV1rQ0Y620jWNQl9wx20SdjMuWGcs9upbr7AvNLA8z
GG/i40y+qmhJm53VOvmqYoef6mYpRPM4z7l9NvNA2yADNb/riCZtht4p7gi5DN/ApJU2ngmql6ht
DbpZML0HPqK9CD4Vd9agqV5q8H/1sjS4IKXhCqIh2fDN1u7VFequ/+tlVfFfL0svmY/VvtFGY0v+
sLh+HVILPbhav/+qKQzm8RBM1qZtnfpONeAuUl4hv/d3OsK+72XBvcw884pLmHss5sbZZ2Q+34dW
bvMVs5R6mBjEdeffpSjB3qYBy/NPMBMjozbNXvOm+2ukERWfI1WH/O+RjVlYnyMV2gmLyce56o4J
XhU/ZHmYEKz6s8WJMmzqwX11UOnYVcOY3LeNll1abTL3geNWz0RayG15g/1Hv/ShGpVV80cvluRb
RzB+C6pMXIVNatVwiN9Bgs2eUhmJTVzkzc9k9FF5IHOWRcyoWi3flyRo0GyR4oZc5HDy2+qDRX+x
bSabWBTGS+g9zf53Fpxgavvkz9XoJIP19lEWhreJKid5MLrIPPp+5h4ryyBJBP4em95x+rDdChsb
5lZDiz56JoTecIJr1BjVywCFYFPjEXI0gqp60UlVQfcMlk1ti/plnEf91uGWyH1XvagezuQf42XO
H1SV2wZyk/q+OKn+Szw4h6Yw8q1qJYjfXZFHe1Qvpap8MW2x2ukfVakTVgDfCB8Tde0kabW9i6cy
0rC8GTe2KkCw9XfVd6qK9lokDozvRLMw00mKF0JX1yEvq+9WAkbaRtLn3Po+2NoFUoc0qu9zNKPm
2dv8KfDyeK/1n6q7ZoBNmnwW9qqILoNXdeNHZfXNEWc9uVfV+JhuOzst4FIU5qkyRbNTFx0051xx
M764ZQclz7JPYMiyp6yy8e2xAXdLb8CfqhoipsKGuZpo8lPdgTIS8wDJqxyzjRu3/REVL40E6Vr+
fxz8ean11f7zAkaMC2jaVaivrIoNHcx+9CxeUwMxst6onVDVl8a0bOt4tD67teX0j26dn/+zm8ti
6aSzTr6fE2UJThLxV5J1QSg9A7+EbrG/6TjvluhBv+l6IG6u24hwWR+irA+GQwA3Y6eKbuOQhydQ
cKeKkfU6xG73JqzWvk5FnJHG5GKD60Am7pE4TIfQJef/B2z2rW6WBCcANl1SIwi+2xZuclgn6k+I
tQz7Keu0SxQ0/QVyt7+3klp7TGcE3wQc7+/O0F9NNX7JkIEak/ZXXWJRMXndiEIr3sN1FJRXr577
EzLW8zGNZHcrZg1VYaxI3kgQ/S7SQfwZ60fHtHgfjWG++rk/4UbDvaetJLM0bYwDzID+3IkFt9ah
dHYJ2p8v+vqgYPc+/dRciZY1MTH8IodjZunRcdbaeNtJ03otk84/1g1BCFWcgZQdMy1LP4uYnFpH
M5DZZ3GMuUsLrM+2epXar7k+kS23ypL5lWLnpBNFt/rs7JGuPjYYKX62um3cHT0iQp9jReWxzssF
VoPr2NoleyJnA/vH9V1B7ymwjdOGz9bCgUja+zoqlGtrENTJMTa0+bM1DyLtEA+G/tm65Gl0IMUO
GWO9cuuRCMES3PpsdQycnh0TwXF1KZHo1kHv0FFVReY247D0EtmCdWw5jcvBdCJMU9bXNQZzOmDf
BlVrlifp190xmstXvIemKYRlKe/VgZ/3r7PUunlyme7+3UN1E1BeQxJ5+UEVZY3JcCkcTJNW+8jC
Nv37YOnAGdXRjcnX8hBHcZN9EyN+qipVP3WIq/Snl4AsVSXV6GroT/bFuE/X8V9d05xYVJ6SC/uq
U2edqb+YJZamX9eWOLNefOGcZRIx46luUQrntkErZ6subBQ8fMIE9ngBy/ry9WJRhf1Io1UPGRvy
f7w+FA6JyFGZ7lTfrxfzzOzk+LK++6rvY604o139pl7569pJafobAmPG5zW858gzoIqudivqoCU4
rYgAl+x5ZZX9b3WeC6cLVdnEKuPvU4dUGvotSA5YWrHVAVjcfZ6qrl2da6Ho8ONTLf/H5bo8OZhR
TGphfcl5vY4b9+yKVNmeNR+JkcDcGanP2gwd3GA0glMT8y9XRdfJPPZNorrXnSB+a/FwU/XG5Fun
ptVZxgK+ejckVDBXAncG5Wy/FkQDVH1WBNNpERPkQHVxbHnIkYArJAbCgtYgFaAOdZcGd+16UMWu
c5q9HkEUV3Vj05CkJsdfh7qp20SmUu8+9TrvPsvltg+s5cIkbBMbWxvcyBt2BL6YV7KSdbbqqFqM
BNvGtbdYx37Vq7MgMv4apoqfY9vYOdsVmqs/m1we5tnU7oA05L5d3KvDbCcIVq0HdabqEhJGW3DQ
7eZfDUiNQ0Bcx6rOqTYcZr2uzv+qVz3UUNLk0b5lufz5iv/1Ymqs0QY/CSCukTlCv/kYzXt9tUec
1wO4rr8OtTJQzKGVnNxY37Wq+NVntGJ9owfaeDCll4aO4SQYSrfxyauL/DCKOH9LouxRUUoWGaX8
Lbp/9ggAo//fPSKt6bbz0iEPG6AgGvQdwasuLu9M3dvZFl67X1VeniKO8FX+GtGaWX+0quYeekxx
p+o/O3uz7m2HAkc7p++7B7TmYbbYOHZMxE4C0n2td8SWqgqb2ekePivrUh4A9K1CrtRV60G2ebJj
j61v1WU+GwwP/5gMNe1FX22cVm+nSZv1TZ5H/earLvWF532WK+Xd9NVkGMiphmqkqvxHuypLiRbG
vy73nx2n9R2oFnVQV3QN/6+6ryJ3HRO76uOXDY4w+wwC2jYg4zKFdTzX9xNujGR2qka/NHBTdEtQ
VC19JM1+G3ct3Ep+5b2qdFt3NQWZrXSbtWifWqN8ahKdZ4mZeCc/yAiXjG32aPrvqk3VgDhNjx6R
x81Xnevg45GUsOmMzGmfBFiBp+pJdVeH3ApYtuu+9/kaqs4WeopoiJBHs/LHo1HoYGCKIr8nGJff
S2IfR4EKRBNVxsh/1+eoWlQfsJwdeOwBHee1t2qAO2nsq8FCMqzIzXPlZIN8iQoMf50GK7zAj58L
J5k+jALMeusUHXnoBlO6PAYgUcr5PDeQ6lk4xg8IaWLQqMHAzNg6h2Nhz78g2m8goYxxmPcjWCMr
ALNkIyiQJ/2LFpHEG6wW6Q4P6W09z9KTtq674C5VO2uap5daAiZPXJT1DT87fV4Jo1OCKxGCjz23
X16U12gpEFHt6ovlmORxvTmvyQ79b1mdqYNMZHW0pYXYUxzfu38fCK3BfZ94rBWJbx50X36oxq/6
f/Vdpkas2Lb/vMbXUJH5wxlPvp269le9OvuqW2o/uUuQzV7fwb9e6atOvZlsQXrZx4Xw765+aSeH
xi0R2oodeY8wLEb1XmztJ7+QuzZdwO8Xj4EHkVOrOv+lLs2HGvulm04i9UX2xhIuXpdfhrEIXpao
l1viLh7fAa22HN29xfJ/Z67FYPXSXTQgOOpK6dAa+MaIH6rRQSroKeJ2Yc1912ZOjQ1bzK2O9zrH
aJWzJQMFlkGV1Sky6eMZROvK+5iC1yLC5zufxqsqQeV8Lkp9vH2WhE1gy58ePkuudyyWSn9UpSAj
QuKiG1Ba3jfw59CGx265qYMJEHZXRpYORIG6srH/amhBVGK54vu7Tnd6F4b/2oKoShjzhDp+XaFB
J+CWxuJQ5glm9H9fGXJ8sCst0JcBJpzQnQp7h/aY+9ABunmwKy89zrYHs2yogZasB4uoyH2B9bwZ
sRthVUpdb8UHq10mlqeUVN80sc2wdRPo6tj7PPSYJqXadKcn87gtiGz9RIWnMdyfLUp7Wz0rzDtL
q73rPJBWUw0NbHN8O/WPYXTgcC7dbwhZ/mGWXXUuMGtABPDrNAWefSatK5dNGpvVuTNcvLsmLTph
6UDMGUKl67T1ixiAgTPDtyeCe/VLwQLn0GKFvVWtBeTC+3Ys3ghG592mH5fQ7xP5VK9JVVRmltDx
cHEc4gBTABhS2Ir0pX6WRrR8HrJy/Gfxp7a4BUK/WnwhKgQvZT2Llkr8o6ga/lWXr/1qv8SCVg0x
lm7Hs8U5tsCBJiHIeMyF2HlCb2HFJumj4bQwYRrZ/JSD+xJMuvWS9ZN9zDw72uf1EH3ToBFMQGl+
NguSo+Uwd9dUL6z7iWznpmmn8jYlQpeHOIaJVoLyQg9jjE6GzPCKlGb0YK4Hdk3NdVyJbCnh/h0Y
WBbpcsQ1hkbVjSn6N+Hr9KyuoQ7CTQCBx3toqeDShL3gbY6UoW3N3626RmmTRDquUH16SAYQ4dHg
iGuKjsO1agSarzJyiURQ/GoQa7GwO6BPFiZMXw2a6zT3GsBNrylRzi2l927FEVrLovUuLsTib2P/
012rIzygTv0aHCRL0IQgmOOjAdcVBaxRwx3V1e4gD9u7MS5I/KwNqk61OgbbXMTa6QMcttmgQRhq
xeLdgg6EuO/ZyU99zp9k02gvNdCuo1xsc583pfZeOtpGdZhx2N72TWbfqZFRCVRHWa9gM/JUGDr5
3b+sIDonZ7bLrFvqOuaNiOS4jwsNB5G/69RZm4pms4Yz9nMwD3AI2RkN8+Tzx2SsOjhtbl6D6kUV
rIoHRFgA+jtNlffLa+c+27Huznc2DL7t16hmHR9b9RDKOfIOqkG9lQjsAxY+MSLzqyu2BxVf66V4
m/F8vw21EYck9Ak4t8t88Brp7VQ3PyJF4NoB8+7a+v89yhmS5rXHfEmzzOEBcaLhATYCUh8WPslk
ku6+6vukJFG8LD7bQbqphizX9TtCrCc1SNXzeRF96MY1xOVZN7LdRNhH3/2mO/q7EtVJgwO6A95v
LZbI9xt+/eZJzd0OAfg6KxbdSeIYdQSZZd2cWv41mm/0HfTwn1bc/+Zy8f2nzp9SAPRWaRrh4OKU
RBh6fkkDqoZumG5lnulbMzcAA0v/fjZQVVOKVOlgHmI98e9VSdWvVapXsIjo8Jn4NcsKwJ/tiud6
NqNHrXgCJAzlZT0sWDJt02ZK9qoIXHS1UW7mQ5MuCFv6/Z00uvnmLAVClmTdN1CqlpNqTLxp3uPC
XO5UK36306Uo8eFRrW2BotcMjks1qiqYFkBt7fmmSk5EjCGSdxHbm9Lcrn7T+WqnMQAo3eYA0jeq
+OVX/Wl0o8rT2kc2WrdRnta6509wo4352feR7TQ1jExZ8i7PGqweNhPT67yWVJVumm/IxOb3qr/k
L3vAJp5ZZ+3hAyN6HIRNAJ+LBZApENkAKWZio2MmV+yxWAJOPH3q/HHWXVaPdnJPXkrf8obGR2Tt
TBa2Ic/Nx6kdasCVZraZixm/PW3AJaB/jzsneMjOLg+bRw9udz7PZFvzwjvYRNf3vhe4e7vK3+u0
1gDpu9pGkJ48ko49IQScPAYRD3cDjuJ3n0C33aHQbJi2hcaFPV3VmeYAN2pqBBxNl5811cYC+/Z6
FT0ONsSfmKUJxRI5Y0oe9Qi3YxnZW78yieJmK5L86E2Pc7CuiAKkfWNeHwmMuTpbZrtsXs0Eljfy
GWfu/ykExvZHhcTeU61b8Sn2i49giH+INA4OUWIExyzSiG2xHWaWTPgXLa9OMucHd0Uz+HI6pW3N
Z0U/x0+wKbadcEZO6qGGibgXyB5kEejzxnjpLeN7YJh+qIMI29p9RLRT88LWIkGkzwB/xrjfDCN3
D1GCEs+pDtsuNEP0hyDQkT8nTxiai4AARCJiB+jZg3haT3JLpmM3jj3zsp6nlwnYYiiq7r4nHB8T
sf+VOSUSs43V7eLKaPZ1pxXhaAMwNfNhg64kQKfkw3D75UfX9Af8C09ycW5W3eqXQIJtZXIadkHS
lqGRzH9G/Y+2RH2Zve9vpLD5LuQHKoOHNCi/DQVgErPuoeJWTyZotXBsMZc3tW9xmW2ctmFaaTrs
x4T9Iy/f0f3aW3wzZYBp3uTJ3zrLhK1jv8EGaM5AjtmdYPYS2ulAyEDTxo25lDkAK+e7mZgLgG/W
lEFSiQ0dPiCT7uqSCXYuMJtq6uyauCCrl5i8nZPhUTBV/QG06A9tLMuXPvqzQUL3AAntVSM6yjph
udYTAaQiWQWnppzJY/G2umFewWPySZYGVSbCC0Akx995GrdXY7YwQ8tf+mEwXi3vPICg3GiReDHg
hWwrlA22E88AIp72CXvxq71M50roOHFlxXXs8HwyoMjslowfg0TvcEjAk56T+BQ03c4zMU+MqhaL
HHt87I2kZfHZNYfERXRwGPoHoB9bu51HUMj22ah8LdSTpABp1z97S0XCcq6WbR+V7Vmk46ntweYi
tURqFvi61uvHcYRjVtklwFdwXcjWk+1PPCxUatJEXY9b3IArQxK5V98D5oxrjugb99D1CdqZib5x
QUAKpBeOywKPwcYCKDSi0jizLfc3Y6+xdI/aEzHs0G66GRSHfk4DAT+8aRJz18yNPPcZwuk3ddrA
e8vDf7Qtpk5FWbnDQer9qaoJdIGOZJS6iqGaPy8Q4xGURmZYTMt4gOxRwna22xCr9wkdjUWeRZCY
e6fXb7pZN2eA5At3WOJjl8L+eCtnQCa9Of9mrnKhySzBoxSrmjwrg5DZLz67JuIKZbyJag8Pqtz/
9YSf00fqs4GbvSYJS/On6XrPIupDk5zeKYaruvPS4Y9a8vOIYHmobRcB3xrtZjLwVbmKZA/Brc2z
BP1gjFdd8VImS7PLe4DIbf+78NAsAajrIZta17tFS/zb0EanYvG15wiB32hOLobVv5ZOV+1RLvno
ylzbeZHkx0PYEfWf4V53xUAKn0S1IatnmQzf49buUDJM3EPmklCpx34fDW254f1ml6KYDkHCF1LU
aLaYhTPcNxVflpGLl2Ikr282bF0iccjSYr8QUD66Qt4VRYW0T1a9jrW+Eas3DD6V2EThmUZGM9t3
VXTX1qhKZNyMujE81JHxnpgeoRrZXnT2G5t+GYYdzEXnrJmaIGaf2adcIHLRds2fwqiqEE9qS2//
RKUnDSc7xZpc5himxo9daRlHFHrbuHe2KCBXnnzWc/HW2HoSBtbE1tcvronnxvvWGtEXjsGmtkFx
Mg0WCZmfvXdtsIR95s8bT97VXR767uyGIigxfC9qf1+R7rn2QBbbWHbX0umJ5iJHgpgaPKxO6GhS
yv6VmH4aisF5t6oYRhYhp5vQg+OYo3niy3Olzb8DD/0rJ/hwxgL7T2s8lWSewkSQLmZynjazA5yv
MgN/Qxh6OrLzysmuoWaTF80lHTuewf5k7zHPMMN+dfq0cuMNQvcEdrW9s2c/2Kb1gHdGBjlVjOlF
HQbhpBeyo5e8aF2ow24BjHd49jMIFkSWwsLVwr5r/0wt580Z5z9asyMHlth3gLEvNSxEbyaOaLt+
s0UH4ZvEbHTnlfkLsuLOdWK6D7s2b491LIuHYgaHpyX9o+iX0O6LfFewqNuaELMQxUpx+DJGsLSF
u+kNnJUbU1gIAvnZsS38+A5bmgi1Hyu5LEHhnCJWameRZMY5HS0Ymkm5XKo0G48lIsh3QMOtgyHE
fD8kRcxiFlor8JhmP4wYI5JrMnZ1mnkPRRcnu7i9b3poPbZwSaZiAIl2BkvissHnMEH8d7OiIDdd
ppM3t4HEO0I4L64VYBe4iOZVyuOgufgNlKn/2pG037Se06O2n6Ax3AMDsmYsmZDI178tDTsnoxmq
d60hJxpk3XSqHdvZQnmVYcfj8n1yYPok8FreoRV3gJPBPoBTxfWvF9Y7ExjOilC13ie37/HwFTre
mg7+GcRF3mMEUUIe6+M78XQ2bFkzvBtBNIQFKKn3wEEKyVn89j2ueESgY9i8QyGbENVG4i3WrDOG
g+YV/cmAgIQXbVUxFYt5LTVYRFPyvnRZvYGXZIPpjrt9Y09MsrZ9Tlz2xFFsD9cOEder5LNeJr/d
Azhjr8wEtK2DAqpl7jn3rLWJKAUP2tJqL13GVzbam8HlXSIxlCHlPY1oJCMK08fWGgVFzQdoFLDf
GAc9d7KNjQtkfK/rmsQ4Rf7wh5wUM9ogcPyrZ3I6835AT2QLUsjd4IZlhYNh5bfGGb1wFpm1ywgB
h5YzHMwqC/AkT8f9Ul+HrJmPvUyj68Jn0VL3Dszia55E4oFAah+iScWU1Wr6DSl0FP3K5cG1Zybs
qp03BBJA16HcTWKKnaw+pP0GMkO3t1YT1L5MNzDis5s79tUpWHBaRdoRD5Z6+V71FT4j1XJocOXb
zXXwBjh427djCvGF+z9aQPzOjS/4KC7YEAyHuwW0tufuoiyJwygn0CpbdHAEp/s0hTIkIjS+jDF/
cLXsaq6P7jgncOUWfbvt0Q7V0GFj4hYQHwgIoMUaOZs+KLxQLyoSkUwPXRq5T2MdEFR3ir3srToc
K4IaVRD72wwDuFCSWd7JpHa3s98OZ4Q63PtUGCl/ugXcgiRcZtg8UEuW0DevSu9KqwGka93NSNPt
BmdOL3A7mgMLf4d3dkM3rTkaKGYITUaXjlsVcaj6D9tbeozYhHMckKJJkpQQ8uwZu66LqkMVi3xj
p6/SNZqHeJ7MkIjad57eZJhHMZ9LJxzmoQ4TGWs3t5b9dXInLSxJ199LMYoNms18cD04J1hvlBVh
nqxrH4h2A27oAf5ULQqUpYOBtmcYKNOjeRkiSuvrRnaF3rjnLzFdO0m2ERvF4BxHPo6phX+PkPth
iLU8HHz9ZhPQ2VnuPIdGp527oHoVwvXuyk773U78UJNjWPd23ZQ7OWe/pAV+p0VUHOech6pv07t8
GKdQS2cvnHAZ6Jj3UYVgWtHd4oyRd7SbI9yDxABTuo8iTNeQ7hCe9tue7PFiR8C3pjrZJP3kbKTg
f9LXZnHWxAAF1CIwOk/VyZ8HnEH8qrlDc+yqt2ypLKAiFpaIJpYbgGVZkYnCvbRTgKPLxOLJaAd5
gGS7SyYNylojlmPh5BJoZf3SyepR0wG8IbAtD56UH4bIzY3VGjZ3WM7NF9i3pZ9gyS3xyY9xLVpj
ov2QZDvkoFnBx8a81dl91EEiznCUdLJXy3cpLbByLAu23BRwKPBZ3yzThPtQH3zkUWmHnTcQ60Cm
acrRhpbujVTpdJ0AGaJZJPe5H795iNXspsDEzVTku2WKXTbDA1/QMIi9G0f6Tnj5G4ZA07YhZLZD
clXf5QlowkqLEVox67tyQg9LRkxRhWtboYck3F5LB2/TFWm3EVFyIAaXnzOkd13ddC+s8e8wu+yQ
MU8fLMPQDjU3UhjNDzkAjrFIxaNkPxs7JJotn7yJgFfSNZIdq96arPTZ2dVWPB2K2jW2KQCbUPjI
yaa3WEwOyxs5bAoQklvHyx6TQFxcx293HRK55K0LfT9Axzsunh7A+EXkhGc4VJohK/Y9wu9L71bI
eaV4MaCnvo9mfSc9vw2hK+f7KHB4kkQi3qHy9GGgu7Nrejk+GwVhoQL2TWOaWH0FAZ6lFsJfTZRO
W8wfn/mpfGIs/g/Cn/leaDhdzNbWy8HIxATlQOt7LY4mLYJ2ZlQA85nEW0J8Bp7rRgMbCKi9azcD
S4p946Bg3qAEATq86p6aHAqXRSIwIOffTiDo88meQ52VtN1jDcbz5ycyC+NFpPmjFjXLZtCN6F5I
68O1ycMvQ31O+0ycypnHta0B56rIZtTexWOXCfX0gvfu1sCFbtM0BopIVQR1LgKnlMlzZ5aAvKYc
Tce4CSMEVg+6xp5laJz28+AsoCDsqsAayXUeoyBb9nA0McPIIKT2i8ZOfSpSgABBc8Lysj9PoxjO
6uzrELt2fy5SoFNwapipPcLt4NsPc5n7B37c+mzlen12iXftu6W6zoj9npFEWs5pwaYtgJe0UVfz
O5IBfT4dGhKMyNBciF74IaH+qzCC9pw15VvrFwRQSntsj0tSsEUOYDX7+YwscT+fR6tHy9yTeOG6
RlGEjoM6i1nap0FbDfHqwzQv5ZlZpGQTNEU7p6/e3ARUQDfEFdcn1CLx2S3saqMlVcJeyo/O6sDy
lXVokl0dwu77SNPb89K36GWNzqHlcXhu9QzsYsKyNGza6iXNuj9kV/af35U6U19Tsjhon8/R4qP8
0otDtLpRqn2GOvPX4mrNx++9bety4k1zcKdoPLvxK6SmmgfdzkDqn90FWdnAS9+sMi6NjdSb7NR1
Cwn3ZWuM2aOhBSlu9nwwkm8OMpQoQbCClzKKNjyk1jfQ3IZKXjONxwUSupskm6MiTPQoOix5cxxl
g7BCiStimpzGDl6ixmINGOxkndU7QMyDvLC3vJK2q/GrsPxlo06lkdRsfyMrTDpAlEiFQP9+qcqA
rdVoE6/BkOoM0ME8Czjmm9qDx9b89Jf8J3EXn282QkNuMB2f3TFlPLCwQU3ESf1WtTlV53Y9qKI6
2Ih58Ddff8r/ao4wov9H79EL5H4eBcHF8mDU4waz5Q82J/1G2qjC7VzNRmCkzI5DUwQkdegQ1/h/
V36KWPoctkELPlN4DZA7DgOIv/38S+ApQQZwMrTuLsr75JRrBXLutx6bwH2fDI9lVN9lPAfOqGTj
kFYXP5CTiwmUS2haPR6zi3mTaMMTDtf8nZe1WggwmnRCnC5PUVOUPLuXYm+M8aNHViwqnvFdf211
3zoMa5hAd5ziPMXIRLateZkNrG0OEBG8577lHg4GH7xkUb0EigaJ/UAZQ6QcxpNWuRm3jj9fxYwg
m+NpklUTccYA8YZmyM+RLtDl7jSWVZCxLnw1J7RgNCdcyDqH2gRIy7fMMAti+xnFo7Kus3NQLb/4
sfGnAbR6sscSb00z7bYJKTJz7ILrKBbrQFC5hjW2SdlCbJ1WVje9gNQ4sI3aiLxOwz6Pq5uTknFG
yArR/vIA0X7ZkoUJ6IXgszWhbIvHjekv2Tuo//YSlam9wRK53Eptae4yhDMso9Leah6ze29q/VOO
L9Ej3pnkpJ2l+2PKxMFbOrznO/vZ80R14BYojxFx9LeqjFBMSLUffWTXG+RpBxCjIr9qOvseGQy7
Ok/Ej7hOXokkbXDgtj+GWDwiiOr9LgTxNOYFs9TcWx6xfCnjtAlbHds2W7o/icz7xAJ4Rnl61x8J
ljyRGoTj0jcQrYiWbKtYZicTxfmtV9jLERXT5bCQOtiC0rS2i9bJHcvHbVWP6UFv1nhHQESqJNLa
id69AvTHrlAMTyV8Eiutko9Iq12Y4CQTzOes1quVvJLsdMtdnuSof3TSeC/HrkGdHMIk2X7yMHi1
pH4aoAM0lls0l7NHkWYF5NZs5iG16+YivzRFPV6cNXo3A/UdrbY5BkOrvWJ9vROBRUgVxt426vPd
FKfxK0jBnwKjqXu7NbUXS3c07DP0cef3BchGp0r2eTv5Hy3x6zbwwdbLaL4Q+Iy3uY2c0kAG+Ygi
/9ZHyf2HDEZr42WecWMHYJ3aOpEHCffsObE7WO9kwn+3yAc7QfqrxZCY9bRhPQZVXq/eI/YxsAbx
aDURoQ1NlH/k9W9kBRJypEkdLq0bPIM2jvZx4kEYbhY8tpZsuRFi+DWb3WmZRfc8ys5/7BG2SErw
zBhNtweUwHkcqfx3zps9q5x3Ri4tD7/Kn82qp6pUZXVQ3b9Gf9X95yVUs7tE6jmPWJl2iol8wv5Y
TY0/T6sRu2NVVmdqvhkSnU6q/I/Tr/av7qpOHf5Vp66j6majK7eWXk//w9h5LUmKLGH6iTBDi9vU
maVV90zfYC1m0Frz9PvhzBnaas9Z25swIgioLEQQ4f6LHWu7FO23PC/5qC6bqsMUhnDqf1qN3mRC
sOxPFSC7R/zY/qmvh65lOJEGVCzlFCRhdZOiXD6zg1kgPiZ1s5n+U0e9mllkH98Xkx68WprK6+Bm
xh4QUfAqbWVmM7rH5nCWNilUuOlqNPj3a1NmJ88Bw9h2UItz49VEzX9tkx15M9fkdxat4+Xka1us
NDtN69Xr1saKc4+YvfFUmKl2jNwyOFslUuOFUlmPammqj37mRXz6xvZ77WpfMoDIb7qqjLfZD7Oj
jQHRSzHNLJ+CaYfEW/FnBOLiHGMAeSExAmsZdiImewdN9/pDX6fEUvz8wS765t6M07PLN/YOJ0+m
SHOSXmGOnROW/Hc5kq1nxF0+8jp1HqEfqkeFZRfDSmA/DO0YM8NXH5KxvSGGkt3h3htiqQOQGxTV
fDQ8zcb0JEM/rpi/hw6yk1xo742A/kPe1uqf6K3lh3Cw86M6a8+kmzuWmB0yjUUy7hvUDc9mXZDp
URFk0nSIcky9D0nfqx+VMwAYbZOFTUEkKcUfCguqwPgjLn8ZTdewUgbQ2AXWl3kwy0MGd+41jRAp
KMfiB7H86U6a6kDvHr00u0pNCojCwamB+n2Q/tLWdvqHZ/X1vdT6qJjJMI0PbTt54NTa8FBkyfCa
h34ODTYajkowDK/SFhVMdgFHPUrNw5XzLqqyv5Ch+afDPCJVTVQSDMpyDiky/e9osMIXOY1XztFV
xbpwt3XoO+weTKVOr9JW8d7et4r/6DXk8KfigF5i8KzNmYqJZzKdHDdYwhMM29IWWNFLlpNBlSar
6EHdpsVPGdelKRrmaa+Wmn6Wajw1xetEVHw9Q44Ftg5QSTCvAnIFDvocl7FziRvGVyRb/gO6Xbs0
M/Nzzf+6tX/uR4g/Bw5p6Cc539ax16K3kWwcK5ts2KPgVDwgGWhejXHRz6micSdtUvSFWjy0SxHE
CnBOfZoXzSeoOf/u2DpryexcSl193ppka0r94mFrc+PsL9Wrmf3Ukbdz6yZ+KHRSxiFmvevW1mYr
LSCC2rtJD4UM09otD6r0ouiAYVod1fG4NDFDUbP2IyAQdPSZM5ykqoVFhhtCB+/asZqP0PcXkM8S
K1w6R0OYXeIwBFS9VIewK3EMBmeCVBNrr9D+MLwUfFthEmFeqiZJ9YvegNxvh87+GPN6uIQKMzbZ
m45NcmnrcjoEJlz5vrWdm18zKbETonOqooWIpKX2u9PnLMG88IvUrExL3pY8gdQi17ffDdNCJanN
XqSp6AJmE1k530sVxJS5x8Pxzwqdh4M+Vt67FfUKkmCRcrQ8z33XmBpd1JxJnVQLpF7QX2OSI50N
hotnGAx3stMH0fH+Veex7vfDZPBeleWzupw0aZnutp6X30tHbImZ000dzkgYF+6kbeDLcwwbVKg8
1vdeVPaQaPjkjfJhk2+Tqzs+4c4ljdP20EX2hq3PFydtTqHTp2A/g+icoxbyHgwvZVlnJ0/BGDod
Ft3LwX4jSGCR/NW6YwEq60NJeqJTqfq1CxK+7lOefVjaODHPZ5TDNCZlLm44d3ME3Rkd0fSjV0aS
LZ7/BTloLDhGxJ+9zjxLrSqH+t0xroyO0dHGy9IBFXRzdN2DvpUgRZ374UczEslKK1JS0Gj0i5YH
zj4kJ7BE+Zx9D9LlGKVmdyKMtcTGXKbz2dvUGfne1LPg4ukHxEfdZ3vxg5FCTy+GqTwZef210xWs
eNxqeuJHI8NRjMSrU9YuigEtMiZ5vA/sEqqhjoYgqlnF9zbvn32/Ut9xMhTEza42Pf8tI66VVMzV
VaXi+kwa6KKlkK1wmWPYhfkQ5EG6NmmjH90Uo3+Nm/RnabvGpcHG4jG00IebmOLeZVX2B3Pv5qdr
ho/9mGl/YbNxSrzGYrH01Ezzjgl5Tg67bYFLWMnOQ1z5a7Dgr8O83gV4Y3yYcXONAPL+1DKE4ZTn
FBuTV90u7lDmzU+FRpw2V+L86A5xSdI7+sqkrzr3LkSGsPVC9OmT9tnsi5pAgB39rMPvajDbZ6/R
FnR+7h4mlRhhHocFxtkuQVsVZKw96y9zPOTvQxcv7MI0vEk1rdAbBTRxD/Pefva7iTxUN1RwNYzx
OarNhV8WNydQwfGlqdAIsZT8gt0TJg6pXV8I+tVHc6GVszI3Xpn68+dncpAkKA6AoI6xQqKfpFa6
i/U2Inhj70z9BdfB12BmBDIYak+Brxe4feegvhSt/NCdFs3aLH+xWK199LOrvbSNfpJ9SJ96dx0e
2rvR/tUxOH+YoeO9ZSXy/FhkfPSWMeGijQnzsm9ECI5YM66mS01Fb/G16oncL7WeZPFrjhOv1NAD
Ll8bLzmFfml9tEWF2W6enWVf51nqi+PXl7VWmtVLO8xXU01UZC30S1Kl82O2FK063M1xqxOuoVZ2
TX/qXcVGy0i3H0ddc1jzTtmOiA6aAdJoLHtii2/MNGV3mV7bj+qgsdef2vloRlGPYO1Sl11SkMDE
5ql/lMp6qqxqLJKqBWHUbAgvQ58RlmxCDNNcqw4hDKEcJtVi+QMkAWyOXmDPZC2AE1EdW53es6vO
1y6c3teq7NHqsr9FVvKYpf0fZhEX14yI12PfV/8UKGA6R3zlqv2nHYPqjQ86P2Xr2xqOZuyaUat2
AMiRFlnOErUEg0Y9RjDA9IMnI3HHU9hDptRSNXjiTYIkYPfzdL94GEmb9HOxBnqSqluZzzDuiDIs
x2/tc9UgX1TbCrqMQc1UztcO4eSHME4p8rjNARhDsRzSkiTy0haZjJ4IAQXAOez2PbPyj9Kvwkep
ed7kL9BKHMmXnUMbK2dlsGMW0nn3rtq5/mDj+wFipAX0Qo8KWCqL4zephDU5JvTq53upai1QDsh4
6Vmq5ZTHV3/wQA4vRyLjmT3NQ7T+YWmyrWkf1WnwKjUrGwixDmiiSDXC+/1om0sgejk8tK3yBhfD
3kk11R3ruYaCKzX5fW2gX1I7q5/lt2cLzmu0YgU/zeV3L8CiSdfKo1RLzOV5NHPcbuS32RkySDFC
UEtNzhb5/XNaEuIlsUxqzdJyda9UTX2zSRYQSJ4qxmqzaC6qTWYowPzzwxmLaRcHgfMdAPFdzRae
dLxPjTX/Tdziy0Qk9M+ygy5CUj58w+ebTz1Twx0eneUjCI70Uha2f2uNObzzfSW6kIfMLwUink96
Fn9JkWf71U7Oqznh1+645a88K2wsl5PxppWYGrsx6BtiP9GvK4n4hgg+CwMtcOPHdMxjkDhBcEeK
9ByP87s958YOOU7gG2VqP7RzV8y7rNJ4vHlT+zR7kkKx7fSJaCgS2f53B4XHfZ/AQHeHinxaUPUA
roCew6FT0djsYLF47XgHWH6+1k31A9tM5Wpp2fRudRWP3fis4Qf/Bd+1n/ns7knQo9xd+qfQDv+q
uix5iuII3drUUU7Q9NUvpRVrTFrbk+bq9kdon0mJpV+NeR5OhhLFR1dJ7wLF+8l0Xb2ZdfSXGRU/
ujE0Se9UzkUDMUqWzcU4C6GxsY5TFJggP3ihkXwbSBKlk+UCRapIVjq82Ek1egc9JL1UAQR4LYoz
EfmYlB+m520eY/6COjFZAu1rNQfexfLIfAJ8T49ViDym6QBWGsDCN03v31vfXFjfj0OuvRpqc4OI
Xu3IQgUntSAiZiF3SeBlJN6rMjevHeNpHL/pOJ4YL0Vru5cp65A/HAEo13vijMpFU8irwWmqTnDn
deRBfOP2E6iH+pgSATugr2QfcjtffGTnK59HJDbt4M8qc+u3WeejTZP+5JC4B9zthERMKRRzDO9H
L/455ZgujgPauVgt/j1Dgylb3cMNMGj2Vh+2LyRvtbNVWeEtsHKi8lHpHoJcNb6A/PwxWHH5t4kK
Jrmgv6KuqyB/hwTrixJxiKHtdioidVec+4ZXtdCi5wqUitSkqKxWO0GcJzi29JDCL3WQLqN350NW
eUVGRQP2F1/ARhxjvBiees1U3yZSq0dPJ9ctVQshxccsRgt+2dmDLnwbDMjYo93fS5MB++DsRHZ1
aNxEe/N6owXlCYBoqUmTZlgIvrVpcpMDlq/P1eDLzNwluhSav6h9lt3b5ANpNaPyRWp4UgXH1PWx
0Fl2jqxsyFe3N6l5uta9RUoKQsBBkl7adDxCrr2X27BoOEAKJiUnXg3sRZcDAleZjkmVqKAR6MGs
On7udLIPy05lKcaBwJ8CaeAqPQh1Dze/QAVqO2XgpjfEV5P1N2fRUOwjb3qbYsIdk6Xpb42PNVpe
h7c0C/nSFW38t93a6Eozd3p1Qvs1HX6VeOK+E9PcT4Y1Yk2SG+/lWP4ME4QmZB8hWnWPOKV3ATFq
vtsafoZK7w1H6ZsbenCrsKnZy95BJdOD/bp19s1nvvclYJh6ym5eyAwCKlr0KgXiKMWxSvzimPzb
pk9RtgsqD/FuW49ep2AE5eV7aH+b5zSMjDe36Iy3ZFYY9MG0XKUaK1531WbgIdJFG2zjjQ/Y5GTR
2j9vSCOPqLRe7OXwKqhPwN19BNHhtlVK57xKkcQNo10zjFcniJ3XFm30xzFWoJnrANAKM4AdjSPN
WToTEQxf0JJjTeO3+R7Ub3PkAo1HgM3/nK/u/i4yxT/C7AcYhW3KK1w6HYu7plur0taa9aHW+J5J
DRPT4jxXAOzWqu5z1JydfYAbT9I0GjPpvC5WsfWogjdpm2b/puW8GFKrW6W/tFZd0IM/KkVvT08l
4JCHtQkWJI5Wg7cznDx6dlxe8xbtLHvSzR25XTLFxhC8SuGp4VktjPlRaqPvNo9R7Z4LPY2S/dws
UeC6cnayt4j4yqeWTuisSeLT1mZ4yV+eqvLR68vmRYtglf3l4C06NuqrFDxHKHj0ZKu3Nt8cPupI
He9R9FFf+8CP72vN/mPrkLBOQXmjac5bm4tdWTuuJ236AcEKZIT21mhP93oUP7ejlz3yDcweSaHf
ekgQN6lhlGmrO9n00vBVa832+lubHGY1xY+69YODVlYZIJ/ceZHCrYkSOhACYKjTVqoKIF1yMfVw
SOCovtWxX775SUl4zYujs7RlUU6sMgZiHuZFuZ8qX93x7PtX6WwaeLQWqBQbJvCfUsUOK2WYPQZd
VL/Vc/naEih8QO+1fisSRG7NUPH3KnRQvB6GO6czey4AO0PgUwcSqSClNLt+U6c6fmpi9yo7pQmf
MY3gfeNdtWkoHydzvLPrsOd+DsZHYw7lzRvrDlTQFGQPdVAe8/KoqEN5aBqnPmhWMAM88puTqRjO
Q59A0Yh7P1nsx474uH1tDL+AD9/f+2X/YPUBiu0hOSl4CT/8Lj5ZIYIHicVKp2AG4JVadRkj+9fs
5iDY6qvaBzAnlBBMt9rrh5Y5yL5h9pF7+Avp2W4GJbwfIwUiqc/XXLJ94GNg15tg0FVluIGY+NBq
JzoHfBAIcKtA0gEp971+p85ozbWaYpBcgJ3kKud01L+w7mKwAb1wKA31MevSK2bUyn3VldBj+8G9
Zj0EOMP4iJshZvnnsk4G7Zn1ofs2Z5Z2m8hoE+9oCSYaxS7LpxbO1E4dcdJFnZj07YQbgFf2ya6d
+UayGH5Q+xctbLznRYRvgsRgT5UJ7zEw7s0mVk8Kxii7Ivoyz/M7GaFD1GrlqbBb967PcIMhEMDm
VkwDCvC2Ud0hWvYVhMWIC13bn0onxMdV1/3HPv/FacIbcivGDt3nYe+YBpnbQtHuM+aqmTWqL0bK
mYcqm+8sBGeDEJBIpmC5mOhw8qbk0mhDfas7vz5iHzkcGscJ7lO3ng9qq38NRvwDQEx1x2CGoqHO
5YsF/OOl0s0PJY6qS4Za4z0yieBK+KYc08Zp78uiIEqiD/C3Zn8fVFN/D5Dg0tUIMrZ1ss/r8uxl
o3fNjak6pMwbWFqZ4c7ATWtf993FqhZEYNBpR3OwkxMA4R9INX1fzEQvJlnyPVer3wOH6/aosxHB
47mxGwW4XtK2dxolOgnAtdCSYMXeGXztDRu2jfqjSvQJXp1Z3w0ADa7KEvAwmheZUWvLtJopCo9R
Rx4kDRFmyRMkI6KhVT/07HtvK49pCs8XcZR9Gr+AXv57do3qRv5N5UuY1GiuqbepqLRXE4aHyWNP
uteuhwT8jVPtjTyM7ru8Cm7ByAwj03h/pxBfnrQrkdsblqe3zAhZOT2aFE70gVEvE8yEGKpd1fU5
tKcfrqm696ObtHtCgW1IKHQFO+CtRm7Jdq5BH+IIEUCm0XJMy4p6iZR8hQiQ74c4+tVkJS7ZkXnh
W94nIFaQt6pPXNC/6xSLmJEwPNkHTDnaynomMKLvYtBlBz9u3jy3gWPmNri/qUZxDWvGwVgx9/PQ
N/uyIyZQ589omqr3fRRp9+1SOCaGlQ4kzDTfhXrgH80OpF6o6axQFKdj7LWaY5Ak7h5Q1ikqgl8K
mQeUGCIUhQhl/OytofzSImvOR/vS5djYOS6cJj0gB6KO0FM9pscPQQOQZ35hRdLuyXtWpfmIrXm2
ww3gI43VkD/vWAuE+jBBLn4aPQLstd5NZIWDV4RV+Hy2FQglX+3A4Zvx/QjycodtFrMKFoVdosLh
MVuC13ManGxvUZ+t+l+B62cIlBnAG109BcRg5gAP/XM4Y9WoQ5jfdRpUpvavAdJgBOz32HjA+Wrb
Iers7My8VfcITRdHtehAKHcKBiyaqiAfiV5MEPgkFkr3baqm1zG0m3tCjdl+7iZE0bL2CfbyK5Hm
ZmehJ3/1Jh0UqO5bV8d2b4rfezcl8d2bteB0qrj73rjefRkxzJqNwjCWVtVlRmEJC9VvA0DUc9V1
3/A+MOAE28FRKZPpYcCr6N4heFwsBOIg1d9Sx70D/zAxyx59ruDwbWTVTnQjAL4Ux0fd6PxdU0Ci
yOKKQEUbmGTdSutSuVWxsxK7PQNdLwDFeRagGz4GJ8jMNycnKaUXaG4hHftWWp1LlKfQDkkcn8up
Nc99XXl/pN47XKZObf2fs10f4LzzLfUWiIzyMzL6fW5lwU0fA/wRK7U5sFL3Lj3As7MFDhTcCSkp
xWfx1kG4d6yCoIdqHpgzPnijNTynAxpFDjXEZJJjawbveabYd1tRDYWzVm1m/le7hiKGzdej5TN3
9AYLHKObAfSsPO/kB763Dz3U1zSGvj1L5p2uBryKvmnczXVM2pTZx6801495kEw3dUa+CaGoFy0O
/rIWhyioOvfoFsvDyOqMD/FSLOI5Zj5q96pZty9D306PbbyM3NS8Mmhf6oipblWn5zJw1HCfOtxG
MGFXpWX90fUpMw8r+pKkOjqHZvFsGaN9GvOI9fdS+O7D7HXw0FotPjbdS+o0yS1keXBLfSc6GAUE
ANjY0Z1lmy96YMDe8EaeKOweBxBXxPfi46DULzMGlQT2WJx1i8CZll0EA2YvGWmowsASTWvxugKB
+W+hdOSLerRNCw+7DCNEUssvQWqMmdcSZsGvwUH2fEkEKLN+1H1sXTHcgiOBGagHxzroQWNNwTCx
4vQ5ltDIPYLSVx7U4q4xp2c1nEeoHb59GFGl2U9LFZmCad+b3CwzdQGaOWEKr6RDenLWQBd5ZnEH
IuMyTDBSgCs9dmb3orT4P+VmnBx0TDTnvWDmwoXAb4E/OzrDlMMpmN3HMdU0poJd9uSRmrvFTfVl
Bm70gdcGaMPiezhE6Yea4xLjtb/cwufhliiBs4QK6llnpZPyQDmeqz1IMfEJA2DlKQdfeqMBjr1a
KaUC2NMHKTDVuXmT0+Ba+R7VQX7N4pIhe+ycA4bdwENIKQCCK+Z9gWJa5BQ274W9NxnyHgYNSm8N
UAD/teGUNPw9JEf8h5gA6yWZwy8hUnCIj54mrOUOjjNCcF/wRgC0D4nG3UX/N1X2aV//zbqmvWuH
7FyPNZ9JUIGJg6W1mkASauFx1vXVCf8s8tL4ioQ8ipzjq54E1iUdlNeZIMBCb1XPlbkYD8Tf1M64
xN4Ykq0/ePHsXcPIeoxJpe1THVmlVs0R/jNAjNt3rqlP91oav48qq9SwCpBRDKEMLyZNlY+uTdLw
94ACfVkVIIKs7k42CW+wXKW9Ckek09/d4GhvwHZdpLGViYWAyTitLbj6PO2bQ5Ha3jMsAOdJnd5n
EHzPBmAEOw+aUxUnX0smBshXRkArS5KpUp1TPWPOV2YANBXlnHRuyPzJSIG/WIc86Ix9VRb9BXZE
8d6ZdXMZYYvspaonTgPeuLbwC1WaB6bL/D9tZx/0Mvg12cp0LuJ0vkP447mfAXubrp08BUi5PAWN
VpMZRgrT6Z30aNV2dS6hgRsB7AwlQWIu4+ctTA13QCrYCUkyFsHOmcfsyCr6ySDOwSh+yLKnLgQs
9j233zEta6/ZgpkpF1xdCMLiajpP0YIbrY1JvQKMCBckqRSTHn1RFMM/xv82Sbt0z5bXrr6VAdfV
a6HT7bIipRSgZ6ODnNbqKjj4pwlHyIsVvscNSAH/bWyC9BRA57VbA27RML4hVI66IZ53q66GYIQE
N5SZLBjc2EHJexHckB2dn0KSHH9MbhPcwGVZ85HJKr9ENuWNtiq4ZBfZTGYiSLCw+PeGugDt67Y6
CkKlcp4WSCFz2exW9MCtgwavB3+XKNoSR6A1AIt1JKvyp6Pkh0QNcMj9ZfYDKOblwjXLGWVrwyfa
WqLOR4EqSuM4Z1N2kZ6R03JlkEUM/jm+XU4ivbRQnXa2k6UH+ZUJWtMkYBE+W1z9zkGjnkVhxPH2
kNyHKxjOn91y/0Yzci45atSSA5YikesvmzFLZFJaGN9JNcuqc1gqOv4zy2/KwX0GeGdc5E/Kz8B5
OYyqAXGSvjp6ZflLjkvHAI75chvXOyyNgpfKfbIu1kIa3drGUu/OSK3gyQToY8X+ytMA7ZYM9Til
41HV6++CB5ZiAEbd1fDriKciOZJVg40ZUeWkjPFuc5Sk94rzCtXgWw9z8eg1IXfURkL01CbNm9x7
O3GfBuI+p7k2GNatIUJvj6k76a3iljos/9oQzbbtpoEd1oFQN8FBbpfcDdkq8fhMdrIpT4EV6j55
5W7nFX1+w9fRA30mm0sBEYFnQzlXeL0ztgzJDBABmDNWwxiB/rYpRzs4UoBEdo38tm7OaQ8ayo4u
8vfGpiFG3RziNvk6j/pNrtx6laCW7gornQ5yreWqJG3B+r/VEF9ZMAByT+QI2ZK29XGQuhRGimNI
04VANBF9HLpXufHroymXZnsaZE9N5HNXgWE/yKWQH6n3NdenDQp9TwSdWa5V/WgX2xDkLtfra+ZO
PwO8Mk4ZswGeujetyluYtuEpnyE6t/r0qi9Dh3y2s9h2znMwgwTGjm+nQudECbdBT8hK8uL/+sO/
/QbZxPYKsrse6mvP9e6hJoNDaW/oBxkC5PveITd+sQFkja8pXN714q5wit/emt9AFZ+voEEar4hg
Tc7NyQhzbT7GbvhN6TL1uF1hBsGb7rhQurfBRe2fM0wsT/Jber96Su1ZPaHR2M/7Jgvv20FXgHks
49DyWsuRsvU/27yunBEOCJODPAl9nJ6YwrB0WR4EfUTayYRjvT0+Swe7mulg6vsBCbaLPMFjZw2X
KbdYllTH3BkwPnIXcOX//Lt2kV79EKywlxvAFRZAyvbszfGDqy8ARqOw60XehuFtGZblSZLq1lYQ
/VlGJEufnaPvVAOYlfTZCRTGSOkvxfa2/vaIrpuyf6684eI15l6ehPUQbAXOype2IUEgYyEL9uaM
Qvd1e8O3Z1napBosT6Ha96cGkN45dKKT7DPlYZce2/GfH0Gpy12TrfUYqa+bn/ZL9VPb+tiWlW3/
M/RgK0eCPzWvAVy5XQo8pkgBufU2COflw6F7EE0DnYXqpJ/woSBPz7xA7vhg6xiDOk/53L44zA1Y
H97rRCxmtcBjO3nJAaUMdXdnLVjVeSxf8sHtTqY5M5VodPWgBgWxmx6BmR0J3pPwDqZ8sYs056E+
BFH55GBevN14+atSXV+nrS6N22Py6ZBiSNtLj/2gPIxS1MtwLVt6An3JjOE8ydWXkxTgGScwKzx2
vQ+tfi9vCax2WmXzt9bBNf7ILUSUZN0y4Rp8hFT3py1cipAL1sVKeiUODjUkXvANY6J/RD1wd2RM
jnKNpZDbHi/TE4RyWSNP6Y980m9ebGQndR7vErNEoMzrLjLIaIzaLZzdEvXcQ1gE6xfAaH9Bys+u
ckK587LFSN8ubBg7Gn7Ng/eMWZy7Ypb9xH7z8Tw75fJEbIOBqqnOleO236e3o3boJ4j321UsM4eR
NFk+M5mbWQffgi4kpBJ4AX+ASzaYiXvIj0oXcmtQTgx0UUbNOq46ZjLZAq9bnSfXuU4Ac8jnnqFH
olEc2fsMx7B1drWuoiItKMi56do6CMOlfqyNxDjJ+eV3+XY0Xlv9aTby9qSaxovc1e3WylbedT9j
Y4p2Y1Gg9A+F/J8F2jZwKPLtl/o6sWN5WuJIw/IBjP9Ry+wcdn6bDw8IspsXoGnVTVg7Q9RVN56F
v8swy9b7K3diG2O2G8MH+q8UeqY5efXBgiCNLIZj4HBS8BK4jOAHFAKPJZdM7ow81oFK7NECHuwX
+Ib8O5hLh21E3+7k+kAv4/12Eba9siVd/t+nYq42wl562IZ6+TFSXefiW1221sY5wvaDCS3CDDLR
VTr7ouKxKF3kz65TLtnEYZNXbd0kr/0PrH79UMrv/G2WsR5b5u4eWMA9CUHsMfjQy/yV5Aiha3lN
5gI5mH0wmd/QWiGeHPbJpWjCUD1K93XTX76gEWCQLkjXeZw8qTKj24qtbZozUg4aSpEaMLFlEib/
zlasKEmp/zaXXX99OY8wcR7GAl23nu0GePrJJks179HrLUhC/XDlh5j1TXd19SrTMpnUyZYU66mX
aaFUSQSheR1AANk6S5etKltbsd3GrW37G5+OjfKPDqEOxjDGTBk4O4AA+UXq8uZxxROW8cv+9cfP
pVbsImVQf5tGyi1cn7z5ewDR/iqPa4SSLqDp5R6EXYfkhjwp/31Tjl6HKkA5zcUt08NnKkgAU2Rb
wn3ihAjBQ/ZuO7Y1oOyQYusn1cH/OWh1fl1//fIkr2SP7Z1Z5zPrwyytnp535E/+fe9ka+0lm5/r
ctB61t96ff4Dn49SNBIbrf2uzUjNyriyzR7k2P/WtnWRves8Wza3Qu7HVpUtOe5/nvW35Yz0lo6f
/tR/a/t01k9/KVgGfIzm6i6E0be84ng4k6uo5nWtKi+8FIRSIGdCI2LxvoTZtmJrmzM8QaHf0adq
DTbXTjLcysm3rr/tkU3fDEAIkYJfn2h5WeQ92V6W7aX6n23bYfLeSb//1vb/eyp/zhdyfxGD9hsP
Lg5tTGuXubB8uLZiXclu9d9iFf+t+6e2dT2xnHb9C3KeT33WvzAk3r2mDH+rnRfuZWiQNahsbd9o
GUO2qmxtE7Kt86e2T1Xp5/cIBvQ/tRpJhKSwIfLxcpJ7Z3orj/C6Ka1Snwlls6zOquyke8XbNrwD
poI2vtWVeaGRS11GfuZCARElK7PcNXTkB1Y772V4IPqPJGuDMvA/dLV10LBVYggyuhTlDAkT8bfD
fxtut0fBkUX/1md7DLa2T4+LVGXvGDQpIQsXptegzuahc/R03sv6NwFgQLgoGd+DdohO6xsvF2Ur
1mF1q8vl+p9V2bG9ulINCKT8M3xL/dMZpG3OErATWsJrtA3268R63S/3ZzuywauExVt2tQiMGEuE
5LeV49ZNjpVCJgZbVbY+9ZNBdGv77R+XPZ8OGbxKOc7GA6jA5xoqBa4B0oNIuaGB5Fg+XCWOeO2b
DF1+lmTZRa5MmfR5dplVZ9dkjnWRl327o+u7/1sw87epwtZVtuT2RkVPRG/ttAa5cgfREyOOkEnR
0coeZq8kHYOaizY9yiu6xinlCRhnPW7+kBf5n6hWrQZHrLNJnTQkB/M8uyZIBMMSh7QmRd2Qrdxt
dd8KFPTPQmtXLrrDzmxhQMaAvEU+LF0Lzqbu3wln2yIBEKlo18hVlftSZ1CZ9Kp4L2N4JsIn15cb
PLeI7rRrPPPT5ZeL+tstWpeu61WXNYtsrq95RHJy9szpKFdZ/uxWyA/YqnJhP7WtqzrZ85nMufWU
3du/pIehvrex1tthY4hVXJD7X7oiHs8GQoBHHcYsVahnCJAWV3wm2Wvp5M4MB5meZa/nAfPUkwTv
pjp4i7TsrC3nUJM6eyiDut1Jr7nLxosyl+ZB7TNAesNQ7JqIV10KL3PNve0B8NTAFN2niXtSo9DK
j0gGYbjMyv5IVBLU8ORcGz1onuBkkWtGNBbieebgXhSr96k/vi+I9tcAGdhX+Df1AdW4EVUOqtKW
IXiUJaQn6hEViNiu0tfYc1AWNLuHKUYLwQG2cNLJ7Z89y5+f06r5Cd/x0pta+WXMTVy1Uv9bXjIl
r/GBv/mBClI8a957b7a+e0Tryez6AQkHrUUdZxh2QVPXX+sZTC9L8vJDV1N7j6IO8KoI2S61WGwB
TELJc25V6Dep6qFCIhhlqBIcN0aM1eO47CGUhJnAgKNAmGjnprDLx3lKqkfZkiIrCgfdszxHWJgg
vFXEwaGskB/yp+FPk+TZuVUXKb9MrQzsSFDiOCwB4J3rs3KLixjVaxXCp+FjJKqiYHhoswJMkNcO
rIebwr2B1CC95hFsb1H9mvopeh6WAqJL9OyryTdkNZWrNJUZJt3oLqLKVSB8Zlhka5zguUEN+1kl
E/qcKpq2n8YxYAXBjtj2gFalNtcyx1IUD9ndNAzdo5Z03tO8FHUGbM/m2YJdTY9tR6hn6V4rHVzR
BrIz5oTZ3Djq6ML4f01JND+uNdAcKP86PHPb8VVkeU+ozET7Kmx36J4aR0ezzMM0NTkab4DpC0Mz
b7YD1BlYq3bQbT1pd1jBI4OBA3jpheV9BdXuvlmKrcrzeU4KYqgD0kY23LTy/zB2XsuRKl0afSIi
8Oa2ivJGKnnphuhWd+M9JObpZ5E6/6jnxEzE3BCQJFQJUZC59/7Wpx+L2cyMtWYa2lEuyin8T2Mp
amU9eajcvSgj2AzU4EkEFIy69ije06F4M0ilUxeO3J/flomemcpEqhXKGkqMmH+T7nyNilR/n9qU
agWAOE/hmFN2DQfrbtbIJVtTap1qtxBHXSTdPsuS8sq/QEPy36kP7ahwc+WZeVEN8dRADbq4cXo3
2HWL9FVpHhJB4sgB9riRm3IHqdBn8OvFphlXAuOO1bR0T7QMU76EWq7lODLYNDkKslueGf5fB1vF
h5PN5kmeqmlN7ep40R5xGE6dOVi0LS+c2v/+Bl2Y/omiOf06b2PM3V3bd5tCBWuzDrBYFmH+iFHh
TNC+bJkr2+YJoUX7gPZcXAkdH+QWRrvdA6Z1iKHyEVjT0kO2OUb174NS90l14XHhGkihNrIfIhbL
qoKC7gw/TZybgbBylUE7kTscSBYHMJgp1WxcCt1Uuh2wTW0tN+XlyTN1eVU51IQt18ceRwpd6mWg
l+zs8c/Xn5OlRbCzywbN2XL9oE5TkZdPHv703DPjYEJOkatyUYczCvfvbXm3jR0Iyb8a5W65p0fc
4Q93FM5QgRcOK+q6sFSoah5KevPWNGG0F/YQwniP6o+q2sr9yRA120yH2lTPikPAWnFxCyceeGjD
ODz3y2JI4Z64RrD7a4cQGXYyL2FgJxskDMmpGnM8DJeFXJNtJrNsLBtsiGqJFrf4Df4fHeUhX72/
j+5HzAH/P4dk7kB9hart/n2ari+B3N7Ga6USDVz/69vJ3vJDprLS23PWLToK0o6m1aGAhUh5iZdF
AWDiIjenIIBYGAcD4nU1Ibi+7K5UyOWr705yDQe9Ey++njwyBycuUZWoqj08MSZFOTovFqX4kKXk
3n8dKjflB3dQR/cOIPCvQ+Wn/XVErpubvqJA4987lm81VQlix9tc2m8Z9qRULs1uduqmOju5Y0zB
iQZ5s8/JM6pkKzZpGWmPahUNZ1dvfhaRpj4Odqk+6lFz7XnAXslNo3QBOsjbTxjwv5ym0082pSUv
bs6pSOZUlwyawUtcK6/okcM7udOswktQJva93Eel8CZDUPdQLD3H5iUdNPNJC+LyWUsPsgvvnPxR
bVvkl9eoyaazCLXsMi4L4H76sDLThlW7nVc8s6nGWzZlH4SmJHIC97eaDriXusQuUS5lL7nXwNHW
jG4tNw3RDnsD11S/Mi2I+Cvb6sUDNlagi6xR38QIKl9agS2Cil5vt+grXygFq3w7D8z9iGXmfWWP
T5TQ9O9W9WN2W/fVUtzumFcx6CRb79/bmUIK1bGKeyA6sHQj8Sd07O6dki3dnxNcxO02eNIoPoNh
2w3Ue7KWRN1mxhoWvfB/mpBF/rPzX2265VAVm8/navCaDX5tFYQ5p3zKFcs+tlk/wdwW5ZOOYvoB
6/eV3KlQxvZEBcYrSl71IpvsoCW/4A7VTm6O0CQOmjela7nZJK55P5Olk1vyjP2gXlRYbzqK6FM4
zdQllFZknBpYMciimwAKm11cCLonvU8tHlhP0LKbOhico9wjusDbmNpgcd/hdjIHPHkAxsQvQq3F
Go1PfJSbTqzalCnE4iQ3bYyI8IHUg7PcnJXph8s7/yq3JpHf87wu7o2E+p5gDPdRPCi3LO/USxwg
I44C7KqGor6n0GcDdkLcKq97TpNOPVGsMNx0veOnkkCVr1P3LDvIdriI20pp8qtskgsTylFsI2Bo
eh3D1RL32NwOb7J7ghztvjBvbVtu3d6tMSxsNmDMq5M9OeUp7hHLLbDg6qSoLNq+dsHMqpOfeALo
uB23d5HmYAU+WU8QwrJ31aq9DdzMai830ehQUq+XL5U5gqQ0BLUESzdNTMEKph9VNcWIu7LaUShe
Z+9UUec75PjOVif38W5bxqlwFevRjHLnUqUWBRZLt25Sf09USx54tWkXhnUabkSsucti1rJgTQSv
pX73P23fXeSapXS/a6Fru//teL2jAKa3k7tmnNvrqNSUS5cu6DuqukzeRL8LNXg2x8F+aZ0RPlCh
l+c8MmzIxnVGRdwwv4ravcmuo5Gdm9jw3pq2UH23SaxLVnkYsDQNtBS4sM/IkT4V4FebpFy7lA2d
1YoflTsmP3qNAjHLcNs7z+zDo2I76S7OIvURqkqzkqd35je18trPnrwRZURmAodxMvbEbCuou5V1
82yY4/zcHcCWWrFK86aEjAuj6lzxTD3bVeSLQE+ODXDyf3Z89ZG7q+9WdCQUP4Px99U5VBNf7o+o
ezzLsyWOS6NdIyesHfPwtSl3656Wjlt+2vFXz1DTb5aZWjvVHtBuf5/CcsyTTXn50YksZZNppY4t
1eDsLep9D3jdtGfNMJ2tnebT/YSPiy86tX3m16hS+uM6H4ydb7B5lD+t9+QOKUPSsbS2t0e7K81P
NInAIk2e89x9/Gjz1EGkEs6bpq6ba6J3zd406uEYu52Fu29QYUvQO/CxKFblwYcyU6/AYgUieE/C
8TmNTeW3QqXl1wflhQYqrrR+TdnwI1IU502z2xzasTY/RjZscIYo4R0SaneXL1BxVQmyk8gSa0c4
ILtzkQJR49xaxM94kNnBHL3zAP5AfKj80kN8kKlOYoTNIDwNXfN3DhlZ78VTiDVH2z2InpplOMXt
k9cxJ+xFrd1Rt9FTnoPDErorxye4FgR7XTfwoBqdBWmgZrjFaX1+kmuO05ACBIFw6VOwLvjXPGjO
4D0VmfemTYlyMYXncQ3A9zZR1hzlZm9AniucpD/oiQBMpTEuO/QVpW5l63rPIYL0VT1E6kXUVfAc
N/O7boX6VW7NSwW4o1t3squnOadYs4J7uRWJcNdlVfZglnrwHMzkEkurfawMx3kOdmOQO+8Jr8pd
N6rdzumG8KPUd83Q2B8VFVlY5tTNfgiH8g2bu7WwYveBeeQZk4fy2gQK8PwQ8UYvIm311bbsiEsy
zjjrLkqWcQfsaOJHBHjNiI3f0u7QAqYWOWH//N2hNRrDr+3e2g5YCl77ZcGNMfkt3si+3JQ7SNiW
13bGbQvL6hPFTnxy2NdUN2A4uiJ2V16NZWGD4j25inEpnHp+IArw1lfx9DHFS6FHh54DDhTIvUx/
S+Zh+hib2FqPS3u8tP/P/i7Ipe/+gRtwHsrT1m3oAnz7z/m/2/+v8//P/vJz9XpAue2ZG7OwkvXA
hP1WDVNz0x1T39lLG7iM5iZ3FEx+v9pkF0CR7a1a2v51LG9OcFaKt0t03olyYS1qS69u1S13Rv5P
m4p9tFeY2+9ucueYeN6qadAbhNWdkncWgkk0X6PWDOHG4bfuCzg2fj5q5Z1cjCb/r1K86CutrTd6
lKrnsEaIx0NKbkBoV8/dspCbtqEguv/azmtfMF2D9fifvbL9e1MeIdtg252KmIK276avM31vZzz0
5tG9q7hcPwT2HxDJvPcUPRM3VVUcvAAtqT46D5MtvB8GADqihd5wZ7kuhqMpvJUyU2Oyr6iJER4f
2krZGro3v0JkGHY9Z5XA0xdkWQf5GVFOOZ+oO+uCE7Z3DXqNRNdybswr7nSu2jN1IxauA4ax1dtu
POpNBLN7MdyRjjpf5jpWVCLOZfIld8iFgNW9cSmyQokunIOZmRVwnS645U6q3ABE976+97ARS+cZ
posBOwYIuWOuGIKgi0nGZqfUudgx+QOLb/ypze4DxMjwGic4wad9J+7iVmh7NenyQzBm5jUKdTwx
lGp+yaLsD0WH+R8OjrCDPyqmCR0L698bfjI7Y+zDa1227a1cFobK8DAqwSUuHQx9kSK1lGxYXXXV
MnTxIJPVzeCV/VX2l90weNpgGjlhgAacJl082SmZx0tWpLcQWAe+am12D3QIgwgLYzSjV8ctPmjN
1Qr7dFcjrbmkOaIKYzTns+NSWYw63j45+RAfSlDGJ8+MrQNhj/LoTfNwzOtxPChqXJ1yo8TYJxDx
OW0DEE+D457TasLrtSFIEvdpsE26TsWBQW22rleOCF2BLgOAEvfkJ6pNljj9LYD2BDeY2kGeOFQD
1UI8zj1WP5g7j0+xBR65N1eijwhKhaX63JKDXkejaryMrgvLG+7pK94zYlXH03gJ8KECQV1kfj1F
MSQs+HG8mxB8BNn8M23dTYAf2RvZ6xauTbxo7ef4kVrSP7Gtzj+V1PhJ4Bd5uRUSKA9dfZt3vJyD
wdyJ5Qxugn8HdWAVFg8jEyp7AtJJicnPkrpEvTd/eNQaMAXMhxNs1PG+wUh9ofHPQNeai2dNPShk
fgHMjKp93mqAZID3jdcEWguD8nFfmEr8FCiec3U01LTSCD4yBZI7Kxj2IhumN9Nm7qRp4ZNb8kvR
pqIEG6CObzEFgJuwGsReHqUn6aExBu1YONrgE0ssjyiCEqaqS2Ww5WHIEXSrryZzAogou8i1vxrt
ZY9s/Pee7+5jLvmEfMD3eWRbXbvo0EjgrXMcA69W1WHl2Cn9S4+B5XEM1Bx8BZckh7dN3HJA6bFs
QrTzNlNX4nO5bOrmhGjJtMqD3AyyRluhTkxWmDwgkrMdJgXLQi8i/J4qc6pOo5fWOFiwJhfffeSa
bMNpnN6tTonSUFCN9f84bgYYVSFQ/x/nlpt/fbSDj8CBkdDqr7bvQ+Tnj3E1H/PsrZ2i6IlnbrAq
E8c66AHaClEYj6rnBDtjiJT1XPBvdrwyubfrci+35EGm4T12fe5dLEvZgy6ar17fIinsiu5VjE69
MgYn/NGFyhOCIu+XqWnbwuVxAAd8HWqFHtMBKG+fJ38IZtxBB0l+1nGT8Nppu7fF7n6dWn11Ic59
UoG4XxAK1JdCq6MtONN5lZpqffneIfcywPqnn4klT9k5a7V/oUQG5+blDPIQ2fF7U9ijs3KGhpzl
f3/Iv06tjCl6IT14yahRBZi5fMj3CeRmNqh7kl/J0XcHxTn3Y4gBEdahOL4oIkJCojv3JiTH+8xe
nr5aSYWBGblfbSh9sVTK3L1DqODiqBiXJCqo/6/NpQ2n7uESLwvZRgmmtsEXjSzIsvd7h+wn2+pG
zbfmgCuA3Oxso9jEYGH8PpkI79fNzxjhgleqzbsWTsjfRDW9OBWT9mZqg8diLoRPqZi46X0CDdMZ
8zvXAKqSAHG7TJYY9iVVtRAcY2r2sa06WJkHE2R5ig+OGl+LTK23OXPdexXWLhEDoteZ1SgE1sv8
mW8XrYl5u6+pDQHFmk3zA0/Rt6DN7M/KCo4qgcwQEg66prRJGUo/l1Vng+8jyEBCo/8zTt45KIry
02iTH4pJlJqnJQX0VA1ZlsANywS1YIH0zOd8eA6aoYVpzgRC7h2dqDpFOVJAubfAwvMciLldyb1J
FuV4XsKUk3unzs6ujWJ+pMuZyHgUd1lTP8p9iekScwK0xJg8vqs6VbkmOAmxHlpzfCfX5ELNw/dZ
V+vDd5Ncww018hN8fL6O+t6rOrmzS0hErWSb00bgJt0W3Slw0PV3v+/PUYf80pqlfQxmnb5zgisV
SqTHMfUqUkQByRMt006e22snFR0VmvVY22UzqBi5Qy5GF2rQWln6NIoy1dvvY7RA+azmCrLdf5/m
ry6Wk6Ahkyf/PpvApmMtnKnyv84rdwdZwkf81XO2FWWNHZbpG7aHEGw5vTI0SARRsP51oNzx9ZHy
C0a5Gmw903z5ajPkN/j+8MlLuQUDp1cPbdT5/+vf9N37n/Nqv/IQbsPXd1iuglz768suX+7rO8k9
Xx/aV/ldAtgVqfjO6lz1VC7dZIfAbAjzyFW5Ry4mefnlqun2oBuGnx4ZoYvSD1tGG9ipje2lTeN6
3WBgEcZIzcK2+GGV7QRDj5pGoR7sKJh3jtf/pix38jPAimr8KfQU60jTxo/Cgw/mDf0hyrpfTR54
W8ZMJxeEaVzrsa/Z04Ky9T5tBYvspF8pDQ9yQLMmOHzXI8bY4m7lNukL88w9IrxnsxXeSvCzg+sx
PTVBTXFx/6yFIydD5gcRO70KtT07CfrLmqonAjqbjOhWaeo/onI4K2Q9pxJLxAkEQ7Uk/EqFpEOK
3nePjphpqpeeYkW7NV2q3KsJU94KP6P7OjiZjEWwl1uahlEgk8rSy1ebhonLai6H/PB9VEgkz88b
kEv4pir3cgcatB/djOKq7gRSzvmxrR/bzBzuBwZCndPAQi+Ykg8zJSPAyxK+SPisVJis4JCD7UHd
O5AdunE1IjU1PeoNrewqtBEHsGUxZcGtGdDx5+XJCQeLqn8WJdHiNRqzcauXsMZkWwGBYTfjskbA
9D9t/cxAAqSpvqtx0StdK7jLlwU4Cq9y6vvOBteUdXBxRsYw9/OyiDOj2ruTM63kJk8Q4z6BRoFg
qP1q+m5vbfM1tjrjKJtcpdbhko0zdqFtuZFtcmHogU6aCGaj7PLXDoh5xtR+fbBstvSS/O5UFgf5
wbItiIaV7XWG300NGevlS8qdcaoWJ8sGQLg0WYTVr46j+EMYJbey2pQIgu87TYtv5Mz/jHEdHAbN
uAAiz84jZlX3cuHOsP7BWlnb77ZsEgUmbpD5U1VJFCSNgYHndX9MrdS6J9hvfR3bx/ZmLgPcj6Ku
xUXLZdIWZHgMzVbl7r62cUiqt02ZmWvqfNkfVZZ+WgbPSevezR6jAzHX5Irq3rz3vFS5s+JTuGwY
cfLPYrSa956o5XEys2VaiN4H9z8KM777jSmUo2zm0StP5KiljXdFfI/hXX+tysn/uqPmKg6pNe5W
UJHbu7LJw5tJkOymJ+VjFYTjSXaTC4Zk+gpboGovN2VfDcq6b9VUjsujZBuKigxJQnphDjeuPTX0
7rPC8O7hcs9Hw+g/wqCBErK0604ucJJKVkHiovyX3SBgHsjcRxfZg5HfvRprximeuf/KKe72SujZ
94hFnXscxOqNFrl4GYyzcy93aB1wT7UiOSM35Q6AKea1zhgw4ryhQI6NOlLJhrEWMc/fVFjn774R
sVPMzFpnl+l1snUnKibAWUa3CjWEjz1LujEcyGhrp6uDreEZkMPht9xAPcc3s2vRhhop8YOReKhr
ZJgKLV4mcsHYZcYtCzdPfR4ZbVQhdngKZiHBQuoLAA//s7Zswtd7LTq8/PDW8Ki/W6xVAsyhj3IN
u+ac/PWxW1RC/VLCKNfkYpCFksuCSS2Fk7IRdG2/83Qy3mMC8KWcnqKvwqulzltl2N28qfpMmKVj
FrsIH74XjJGROsjtXKoehJm/movwqF+UNM3yFfAmQnlkS/2RVQN2gwZJUADu7lEu9LobZwyOmoW/
8d+reuZ9xqkOA6MtwD7K3ULMKETlagJ2BuR/mpDmAJxP0g7K3tcVcycsSFI4I4lrk0KUV/FrN7CX
0xKV2cE+we4AhRnyBXOjTIaCxK7/PfXmrwBaRFbWuxH7L9/SHkN8HY9lL94cLuspxg5s22nmRzSZ
3mZcqmpTTlN6J544+Ub+vd9XW67J/wA5rGhjhlwrBZe0k9rrfpOG5r7DqO1oG2V1sJkkpHXSrBS1
3w2m/ZzxV1vWiEIfUYfKf5hbQGsYk7sA6WfF8pMGEfMiSiuWimtn+WfJtRxow6YGC8J7V2jHFrJF
WNskuowKEl+ajee/LgwSZa6b7bUgFB1trSh5QLyfgFsdWZ9mHikbwzqXQzMe28gevhaGGY/HQF+u
XD595JpeH5H81kevqIGOy9XC9YS2kavSelWuyUXqBDXVTh40jKV2vlzsWCqjRqDDoON/vbEqzykO
cQ4IYNGILn+mXMg/+Huzzw3IMhq+mcGiYZqXGkV5OUqpOZWr3UzAq8idyf/+z8j79HtTrnnagL0V
Al4e3iWcQBbGUvb3vbB6M9r1pnVKl9p7eR/IRbxsDqQ4tnPcnmVTFViYO4QuoxFpayCko4GtCP6/
oiwfMq1tcB81CjRgi2rsa9Xp9eGQAvlCJM81XfgQtYmNgVzIzSSGQqzFyp+GIeVwwhiyW82tI3BF
UZLx5Lilb2DT1ZXjtApzrHUj/Kl91a2ZxehqsCP288vLxietWsC6jEfwjS0xnENKP5E63+i5QDea
XvKyjlYwykiUzlV0tqmFuYRBvybf3q6GKb/mGq+Iwqst34OyelLrbs0joyKFTmSxqvsDuIFlajur
N9T3+n4ecBCyXTxpndeu6YqtSRKGKvZe4MXShtu4w4jSLFaKyMmPUCbo88LloZHcmbpmrydtUjaB
0mELI/Qt7H/wdPOzYWaHoqqI32FJFLfmez3UeBZO2Rb8UryxEPqVXX+OwkZd8XJEmRyVpd8iyIj6
M+BX6kkSUrqKSuo1TAiqoKVaA2WLt0O9eER3BlW4hChITq/nSh/wN3ZbvwJR0brEGsX4p3W4MK7w
sErh+Fl453BKk3WMwVZQJCpcUyxKY41wtVAB3xoJdHxMM2vxJwlQZKtUUq3H2XJ3Aawbper2nR5x
EeDQxabNlTYjtOLtYFIXM7x47hK6xAiS8Vj7y+HVvTxbNA12jGMfinRnKBNCYIV6/35Qdowo5jX5
xw8Gz9HGndDvV4qdwiaiTMedGXuaaHNc8GiUb/KHh4U37VP3NoJA2pPxVM8U0+Ke4eLAoBb8oytU
umjm+xBgsBu6Kl5bvQlzCtVTpPzpArxlmvGy3EF6YneXLJp/W+xcFy0vyppJtuIE11LvP+scOpLO
T3StDQKzpmkg3xg5OOaoiekTED2XaYsDro1ODAW3nxFOMExE4XOqZmu7W5AisJZXo969BrwvfCiv
K3yZ8QfNSeG4fJZdezFMiFmsqcqZIHpZl75WtnnYBrcJ4vpcuz+rDFe9UA1/TELZdi4TwUET/jIA
FLYRnaiV21pe9EuBw7oqR7yJtXF+82oCFgQgNeW3g0UiXCMjPhgakTwvUW8QF9y1MWV+EImnSXO3
GOFSPhJRiqWYKtlWZkhK+pnWWr+d67H3pyirtor7EilFsbKSPNg0WUF8RhRby1bK8xxxwqEjMhhr
2l04Jh1oyunQqz+Y+Udrb3LEpm8e2xSr1ga/LuL5G9ur3rVOgGcBkOQamB534oWKXAPYURKtcfHM
V4wGtfUMf3XlYZi66qYxXyVOtLdMRV0JkF12Yr4AEqtNiiTBfGWMj2rVLxLcV1yIoarW7zUjtNg3
vYae+BGEdQPUqfyVzG+zngJfy6JPinNzv9WfsVB8FtRLknWBljqcPJCpS26jG3vXJ9Y2Tr1DyIwi
YDvQ/xC+AWFivyeDdS1HkvaZdzZ1uuXacDFURv8805ONwHW4q9pzMPcYyBbTDnteG3fZItpPP3HO
Jl79lBb9h9ZjKK92072ZMPLv5wXXWxIIxBqdRJ/JE7oAMtlTMwzYMOSeWDdlDxAs+SG4SKumwhRY
MZRDNTLIikytXnc7rr3qZw4BfywFTka1bXIruOFt2G1I7STrsXae7TH3jaLnQaCAoc2yNzzuM1/z
SHi3TRev2jZ/pV4UkWPHHHpMY/ySqN60G4yEF59YKqPHTatkL8D8b6DT3FX7KmwIdHWcorsfDm6s
/yqV9Fce659tbWAW2EDmV5lDEeHeFUM/bd2cZEGsUcvuZtQRRVP4phEFHXNgf8NUPqpJfa2XQFUx
LYnY30brYL0w8IUjSmVbYa7g3jWbUbEXuXN1J6JkFZc20ZKlULcOx0Op8VLIqRGygffBeuGpaYfr
RDs0eXznUIixqrLymqfln9xwDnVt/2hjJl6jeR+5We6baranUIV4UNDh1zIE6Ord4djhZhaCqvZr
KtA3vZFA5BlE6tsKbvS60k0rxSpGPzCUTxeyURQICtFjY2NiKqV3jr2bxuYJmzfS0Lm5Iwqws2Yi
mVHxXIzq1sTVe+tGNvXD1KzEFreZUr55apkcxTqM3IUh9iCMCNp49jLNXebDn3mKmvmzHO1XvZxu
wl7ruV1v7XC8zKA5UxvyXIv/pGbblxKMtVu2cAZLnYya2R7SIKBM294NseK7MV7371NcfXhh9mRX
/Xm0qWlUh5eoy/YtNTjpyD2RdO0WJBtoGnGOAAdS0AYYrcksP62YgSuNbzT8PqHKW9m+bsuBIO4E
Mw4+NNAAvCtC62Pqxg+8qfOVkynPrQvIpov19zZPPwdwekY9vqMv+03ZLnWxxm4W8aE386cJGfk6
U8uHqgdeHsNhEikV1VyPRxMTsV1JGoCaP4PYUTvvSEACU2sPYd/f8DTCQ9AlPj50zu/WbEFT8IbF
Yxur98IE+QtAeaWYA5aXagG2KTvrXXFLQfOstHmwNqbn7UbbO7znLYA+aEOHcrQ6ePspxfIT5RER
Ppq4sZ8wxSiv6IYp4XPApuv8IquAyA5R4c76VPPunKrDW8+XYur3GlOEAekze/Ea5cST75HismrV
9w6XPrxqONOXlr7rkmE/lsG23bdDsW25LDwkmPmTOxxX5PZixv8DKGCnusZEqfYdfmpqi7HY6J3T
EtZnb6TkU4rtEPPrHdzgd5ZhoZxSn1aMzavdd2fd6+57N1vj53CruvDDypk3IiHDumHI3h009fBJ
S7EmNYPLg4n158y9QUYAbHzBsKHRBkY048Y1VAqM+53JPOPgMVsu8yvWow3jgFglVsXPpX+1O4LK
c+aOKzg8d1kytqvagQiomhQcGXn4VNrZ76obm1XeZYNfez2OkYgOm0g9CNV7cAwGkVMEObsIxclo
GWVXffDRd/zu5l7f2sC8nVZcDKJ3kFNSH8SdrWRkQ+sAlCi1UyB3X2EQUugUEkIziB02wuAiO1xG
LE9mHuha7ve64yH4d92VSIbczx/bHEaUSBV1qxswG9omfsAAvgtg2/OCYyR5836pY9+fNUBkzMas
vRt0T4o5gd30+g+zgzQ+KTF1L/1H03rbUIAUbWM8ir3U8zNCBA0JjozCeL9QFX48DMJqM1nXIRGB
XlVzItbpPp+Fe8Bk8tWJgffwBu9F9UvrGBtPAz/PEr5OEp9NpcRhboChmHC71PGDxuPHR51EVRP+
PXNcn8O4/IPJaLQytZ60kvEctC5GJcVPDXKdOzeoJDQcwYLYxZ+zuPRhfbIZLIZdcRUeSUP8RUBd
XRAQvTDWfnFJWqytcPGK0MfPyWIGkLpivLoerxp78lO3XxwGeZvbGEglLRzV+jXVa34dw9puZvXO
EvnIYDxLV6bLGMzOqNsI4z+CeHZ3ssqFkGWN8N7G4dkqh42mWyMDK0wzYge2g93fK8NYHWIlvTdC
BuR40ha6VewMIlN1PQ8MaCOxQ6RttHbuExB6tqPwJ3wr2KkpNXuRVvML4KZR/hD0+xGX6SGwjRFn
4I5s5TWvwJiBuDdXGdW2+9kKG7+FiOkNyTqZrUvTe9Sm9r8t5YjV8jnGmLUgCA3wkdq7tNogZbxP
hGlu1aJ+B7Jw7IsZ4nO5IJo/ahPj6tHTEOuX0XNlOoyEqIFyCRKsajVk3FnGYCYpQS/cHUVLFtaQ
zrBObMQ99oQqxPqR9CAgxTDh2W7rW9OYnnTVPtcJv8CIK5yamEqQlfxtOYHwsw7icL6JNHsX2+PH
PB6pnHnOqEhd4QtSb3KN64SV+BUlBmUjM/N1G61SNy0heOtVgcy31LatoYe86e1J0bY2hkcrz1Ie
zdLcCgC3y0OqXMFBRQo1UUC9W+hyuH+kPNgU4wQ68F1Exk/dVqZtoAtgyUhIIRoyPc0y8HaMCC2P
u79U0A4wMME2MUK/whi/iyMYSanxx7C7YmWPhPstqEk8NwkhWuAFdfUWu6oOVc7xU1xOV4rHXeJY
+g8CLr/xUK5OIiVrrZO4n7AqSnXtAWBf7lMqg4DS0Hw1La3lgE1MjNjXdRL7brozLbi02jjuHU24
jAOSag1qroWe0r0lWg2OujspMXdb2ZirNquek6xAjmQfAWP6c8n4eeg8XH0JUqzsLNoNOI5D7Zyv
NiXslflr0rzPKp8Tn0K2itu0vznF8O60wyck0f08TWtb1z7KMbagJQ8gehFfBGNjwScZijV5ELUy
H0Xq3PrWRZaR5Bfh9iRQapVEtveeWB2O9rnxFHQPvamC6oYhioMYjjuqE/hjVFwyyzybms1PN+zw
cyKP0ajOXcWsQ5TF4Eexeo/hyLMucMX0+mIbRtNDFFiCWkDnRkIFA5ckgNk8v7neg2srFInoC4sv
78Z11yUMsBlggq8L/UQv/QmKLTbnK9H05BuinVIVlyJ7BpvnkewM9tyT66aKjM2YaMzEhEZXPS42
im4ba/fYhgA7CfpRu4A3uNdTc1I4m6FW35QsI9XS67tghLk3BpjhZWDQaqdfh6L7jGpK7y3jwPii
LTIGGIOzshhVMvsa7tT0wEjagjqc4VIVe2utFDYfgx9C5inrgNrcoja0tesmvyYneovIU05Tn68V
ARsw8fTp4EyvpRlnm0DfZSYJ6QIdKhrUcGPjA1Oa/VtahEuEmpl/kPBf8+xmzQuBXEmjEWnFr07Z
/Rdd57Ukp7Kt6yciAsjE3ZavLtdOXZJuiG51C594+/TnA829tPbccW6IAhLKQZI5fhcjIh3t5Nsw
8PS2SPXeFT1Djs5ugAlr4OGQkGjP8fBQ/ix8MjKSsLg2QbgTBInsvHE4FYn5kWoIdsMY5/fZb6hs
fsFI+gYgnu80OCqrkjt+62kOc0OPW6nv66sadx4uwONIuR0+V7nxkwB3thxZYIkSIQXVimu0f6lP
LSSKPnM/PeuOhql5XJAs5FtAT1F9CDHYWEFaclZVbn72Atup9JthO2of5MZPx9AOzjRQP/Fg84ji
M8+xOsWv+xO/mXdG1P2uNMPrhOUwzr5JsiYNFheC6VaFRLg+DjxNuRURHKp3KDFQv7vf5FtefY+I
5Yg+yiDoPOucN88YTmOFGQk+c2TJi+rWVfJd8WdhifIUJZ651+bI5bAYz6ml4/oeqXYXRczTdMb+
RdG/cY9CA4FUP3eH9rYKxj3HgYK3Aca34ZFYoW+JYWobErD2bwhJ/VVf+rCHPr3hXrriTm371cla
RpsQU60JxhnR1UgnTmniMU2li/IFA17uTUi21HrLCnrND902f5YGXKoMzgQF2+ecH2+levGkpQkl
Qym+d+CWRtB3G9J/Zj8VLziHlnwNJvtgpAzQZUAoH70TIwCc9pjDuiberWUrIBrjJEzB6tELg6fi
i47XB/npUVYOYfeUSmZqdoWeJu6JRZH697AiqGE0c/Kg+lcMSNMdHK7H2OnOwAoI/bT0KtOg2TAJ
PPezc+soXoz3QLnvTlu/1ToXZmK9kX3xYtpqIwNyCokAxgWcINnxoa64W5B1wRA/1EL/3jbWh+Z0
1JVhutWC7LpYpxgT8/x3pkigmOiOZXtNSnzA6QCgwc3mzcYPf568ulpwnnAqxFL7nJj2ROGu/lWU
w650tLeUSOKVE4p+3ecMvHULNoPP1cIoplW5h1Rc6itLpg+533woiYQibCdMKaE/Ve2Lk8qTyOx6
bWotYyoF/V7HoHqINW0j53ze1jO2SMGJoo/zX2EWHjCueKiicKcn1mfoVtSpKlBAklSJUoz25lhc
E5tA0apMj0VHZGqrF1tY4e+JUUMXNUnotqJtnAA8xw38N19hHGxt+QinNrw5kYIk3J+VZuDvZBvh
CtGj34tnv0FC4fu/J6W9mkQJDXYevmrJTzwTlTWZay3QYWP15nXEe2wjGuOX0zZH04te8h5kHQXg
Z+PPP3aY/hyN7p4odNWkLeB+lfOdo/46Jv0lj6Hn+cE7Q4h3glXDlZN3O6sYf7bFrMvTeZBrmQcj
cMrxHjdh2zE2nyuVwx4UL9yIkdKsHpkEwJtUE8KfnkUiRVKrc5YSp5Rbz5nbSxB07ccU9Ge9xELa
UxeTLlw67r7Jc3ed9ZjcqWYb9dH3KK3k+ndpFb8skX74RQHX0syfMtwaGyejc7Er0pasBnu806T6
rU9+PCwntNpGcUJn9GJqHeR0lL+oLA5jjy1hSDZoHOsU9VrVcTXCOZ+k2OhgqnhwBWhBVL/W1800
xCQlRsluCpwTCsp3W5Y/02m6dfh8AavZF+6Qu53g1qa1G0/lcDDdYG9W8drpWwjHGmlR8XRFvPSA
a+20Ly2xtbA34PljkEeZrl2Tu6ub9O5ApgMu+tDAB7fFZJ0vVQjveXAo3jjUU1aCER1XsbqI9K2V
yYYA1ccqbL6HHRD4fAlOIxFTEEv0XWBzoaCfuE6pv6ci/t13miuV25uPUT6zBHRoaWlsSSE6pTJ7
aULzRzbYkoleyLAWPZXr4fIkGx6MKnpZqAKBTlGG4nFxYDb2Qqj296KJfzH7fUUF2hyxzSdTefI3
6F6+W8W5KvwfDA/gY4QMUXwK9WcNIKcyCFtpRyvZupl5gGVEWS8eBUOGMiAfUjvnTqFdmWveh4za
7tQ6O/Ky1Sa37J45/eDtsgkrmkmmyUFVF5VrAAScYOsm2i/mvasRLYSMfPcwTBq6yQzLSkKygsEN
HrqoZ9KIcwLYvrYuYovY4tHaj3VmPGgpCFaJEgEkwmGi5oY68gxjP45eeUQeF62qkQymwRDZszbW
mMY7Sb1fVv9sw4Y+5r6sU3/jIOHAiL8weVY1hI07WU6WwZz+NHx3ZYQZNwEWtjOM69Ibj7mDJB2R
00+bOrIh4Z86otUOfJ/dZDBQbaVPpQ8Te6Y2b1Na1fuOEXrV8wzrKgqQUfNCvvB726Szsounz6T1
R2l03t7xfztkdq7H1HiHR8azpobuFusyIOc4/aG1GKrmgqG93RtfvnK5aRhhZ77/IWLZrikRuRts
A6QnMHHWFd/Jpltyy4eon4dsoXYKHTh8vvMr9MxfXQ19e6QT9lv/iBMzBulUrBrPvHsJpt/Wrhi1
Szm/XTQjMMKGPtXjfO+5b/jnYXuoSJaY1Lob4/Ok289ZcSti2a3itH9RAehz6rrHqpCUNJ1bYqIm
d9zParAw8Q/Kx9FKn+IZOvC0jLLhUJ2kHvTruhLcER4p8KjKHsjHUJsyKAcw/GbD4LrnthZH1UkC
dSxmbwcRhBKzCZgduo0jgeEUeKImwsGhMai2sVXcqrj7PmRz0OIQd3tfZL/7aKovDU4bAeVt3WKm
LAKPB+wowAeE2Hqh/j0anYsX/DZrASZbkYfmMuEsIlfRPcYvWf/miwh3IZc5WhiIYIXEejU0eDkM
+bB2vZi5s2P1KzDVfRzpxj3x6K3xjmV2S4llyMiHMqKTbKm+2J28Msd+tfXsXmduutUqGUG0CL7j
MYKE3TX3qJn0NUQPusGZdOgQO0TlkCJVu57LntvORKxu8h+bM9o6aQRDWkmyJ8iUo8yTAAvb6a79
PqHkz3pKlX4HuIKFChJ3EPe+GZjDaeQuuSp114ltGyiaulcjxRBQF1i+dHkBrYqClVV8JnGJ94vq
D+lIndlILe9oymOTNe1qDACm6onik+Mk7y1FPp42ubZSkB7qNA+PQdzNA2jzh4XEZUW1MsDuZKge
9SwDWDGtj3yGnvyfJRWWtZFojF2bc03NEpps9RAgDWwZjDz5Nlelyil2tjq6k+7aoa9bw1Eptp6y
cEkfgT3sObGmLan4RVPbg5dxweCMkOyrEJcKhneroUrap5LM9E1NvNFsyH+iLn8JrHKdttRtBhw1
jJ6yJmOp4hh3JY4fPBHCUvrrso30S9Pru4wx5Wp0UE5HE4nlUr95hRR7qbflDofI41TGzspO1DY0
CWyZAh4OQSDrU0+9PXEhuMfJ8GYrSKZ68w3UjP9fTVB/qMj6UR0/pDlldeat+NTGNtEr3Q4vBlwk
ShWdGwf8tKwo2hdi0BDF4geZetl2agQP477+jkXPVlnz+DNHGjd1RyuhJ02j/E3Zkzg4Zg6bWebj
g6xnTKiCTkP8Bhw+J6kY16bkiaPd2MqQy0LrJQLsmkIgNxrTLNt6y9IqWzuG8tdYrii4nKhei3hN
ZJvCAGq+JW/pwFskI7ewSCtrLaWc8xTKsyXje2Pz2/pGYx/iKIHAxG2PzOetsvnGpcVboieiEhPY
dGtAMrbb3S3PglicZGesPodTkD/plFC4otTK51/ZhkmN3XddMd3jvY1i3BE00oE6M8pywHq2tlvk
6zjoDpKJO/HCGRGrrVR7wGKBR8zO6y55SHgLWtl33ZbNc2b62y4e76JHddk53bfaR+sJDajaK4Jo
6KKb2xBNNNJ+S1KCKOsEH4Ww243jtg8BGCqFQ8/EGCUYKZvbxSf+zfxEY/zY6a1G+LSLAqZzid1Q
CBPKAj6tSYXOJGykJWFTcSVbPnZr3Eio/ouLHBu6m0GZR4xK8olhhcU1Jwvjcwisd9383Q3TJ9Yz
hFtgFG6Vj1Nt6zjj+NSh/XfMtzhamvZOT1FQABniXlMjMqHuofXdtQdjtknxicNuW4faD6+S7rY1
KgLXoiS/gPw523RySceTYDrAXmvdYKTDPAdxLyNW5rV7jH3kGk+MZMNj+xgLf3ywfR1sg6mPVFBy
nCAfdhpe8PCQXxot1XeV+4jHBQNDfXzrBuMw1TpV4aH61nQgInbfrM1A1euh9wwGiunEpw8uYd38
SG0gMvHb7KJHl9k+k2Ceil03QDViOtAOANChpzFmP1Toxm8BeSRaTpg14U6bvtY+q7z7IQJyvVL/
krRwK2X72bsU9IuYEjzsyteGogB5bx6+v8qm+CG+dT7Twxj3hi0CnXdtVq+FzngaHKILsjh+0mSB
e741cslNRb7KoaJsjI45nzN74teF+tJF/9F0OiMWuz8Y9D372XS7z9MPuBukV+J+Ct7LzNh0qme+
UcxVFcaUX6x0H2KBC9lwk2jxIdMJdK588VjWXvyQ11zbotwE/MirsfCgBwKCG6VnbcOm76+FuxWw
ZzfuIEnbaN/HMb/xhI0ZBYuVLJDPVbmCB1LsxngW7DbMOwhtgyA/FZ8xIiumCvGLqXv+OiwpvYa5
FfGKwkka5O1N2ShztV/U2vufWnAAfdWxdpLXrgZmmwb1y3FmbxbJ1KiqIdZ1/CuGPu0Db6pv0byw
qL5lMGkflk12WhJlROWhSGy+bT1H0PjDIYP+CCfXpC8lWN3VPFz8q27cFCX9sF8Yr3EbxVwH+r3G
XmJjmKazDsTBtW1rIyfvHkShROVGTTuvs35b+Uxksh4dRLyqhrw8lkP92jnFtDdjEW27Kr0OUMbA
jkHnRJWWe24ego3dNsFHeACrBYljCEcfi0ofmwqqw1tR1e21K9znVPGDqildZYVRXRuvKcjw3rk8
9N0CT5YGeAPXsVvljxT5KTM24fDRtwYu4g6wfNwab8KGWVjUP4sSJxcUXQyFsq1XObcMRGxTTLJe
M2jd+kgHOyBWPHPmoI3+K67GjW93DfGFD0nVDjuMv2Eu+ldvCi6BzVyFadkuMYtw3WsJ9RijfzDI
H2CQM3zR5WIe5biPhqieyjahDGMHb+kI/il5LgU4SFfa+HsgPzj2hXGNLNFtGpUFOy0lGaE03N+O
BUcza96GpvNXEhvktTPqa6ce6Z/F9CkH91AJYrLj347NBTpl6a9yQFurOw1jP40QIzUGp14U36oE
MkXDxWXWr+g4Tl4Fwyfww60fVbh4tObK8eSvWXHCQBx3ktozxdo3nbMJ8zoFf9l2gX30oPw8IFT8
Zswx40Ghgbbn/ACO/KxTxJboiHKKr7vBdzG1idNXzwanNh0yivACebDz8dYJ0ANL+j/CRxgo9Cpr
v5+2rQl1v6suY5uke2gZx7Hzb8SFIH2hFpEYA1Qdh3MG43jPlPVVTcNFyvbGKBXb4vCU+LTg6tQg
BNW7RLZc3fPoDBzlZsehZDhbZ1ROxKG0mqMxkIOeDS/aOBmXFi6QCQ94l0eHrGKI23jiy0xEu1J2
fdfyZqLOlfAw4HczUWaWkJ4qNzw1YGnU3N5N2TRng7DYOHTHndY03qae8rUnQ66W6CnFmWEd0Nfn
1R5bpSOcSR7liW6i7y9+pjZxYv4gSJzWvgKrfU9k8tFU4cTVb+77kv9FRoQXkre+s6f6ZyAoQsbx
LKePQdAEGU9m7gZriUUZFQYQW4ufuau6HcQnetiHuIm/8f8/Ox9VUXmbgHoBZVqK/rWnr7SeaZUV
fA318FybzleRNnd3rF9AIfy1GWv45DsEZ3k4SpU+0wFpzOwdcFSN1GBbQskm8sBdtdlUMuXXQZ0d
X5wwSvsw/N5dlwqe2IxmqQZ5PjO1dEPszrEbbMwfHkYx7h3uIBXk+4yO27e176KNfmNupqg8l8M+
16G1IX8Pqy/l1HdypqhGq/xWyp3h8+SkT8dd2TtkssP9WH2YiQs3fdi2bgSlTpcFuQzoTos5fkYb
Idj5xqdjfgFouttw8i4DlLSNMrBGgHodlTqcXi98GKzJWMVReClyjdRKkZ1t1GqJKrN9M1r6Ftqc
xeiiX7fK3hv9EOA2VpREsJTPJifGYY3bP5EPFZPSAEUn6Y4hwmuvbOjh92MRf4V5OZtONUehNL43
qZzSporD8JZJ2JyBNvZvxhR6Jyob66Eme9y1ImM7OOo1LKpH0RIEgU01HyPa9BlcV5dqOXpv62In
TIVK4PJ1NOoEV4nkjKfeE/RvTP+GAsRqAMQYCHeCObUvG63Y9sWtmXTjpLJu1yst2JQJg7KiPuTK
YNxKTThSEf/eoLZuOF2ijA7ID0u11YvmIXAJbg90YhdgHBmeVm+9VEOu3H1Ph2pbdTVDgCZ41AwG
/b3KPwMAvTImjNILtGijjea73ZQ3qTeHzEvHbWMw3k2bxKYeJBALpTiy+P1jE4iPQp4CQa9JTqAD
HPbbg+OQSwuZe+d9kZHyTvFLlu4bCMp+IAYOTctJMCkNA4YRQ2DeEKzcwl6/RX0L28M4FkGa7QzK
A3ZmPw6mN1N5GI4WJUGKI1zXojLv9RC9wrBkOIoPldV0CDWUfVWTePFF/CzpU3au0+6Tatp7hfHg
8yRHLLpucwAyoim3cUw1ksTOOKpWZjmIDTRK1tyAwU4BL6bOqJqj5Y7ycD92xs5pGkYlFBs9MgtW
hZae5VB9+nH3mdRgFfG0MsrntGxbbhokf37+3Qztz2iwvtoux6/f3Ag9LfaY34OXjRgrlMza7fCD
kiyAfaEqimfaTeTTa2g5b7EzHHRTHMuQoarWmGfsd5B7SDg6LQ9Eq3bb1fm3IbVtqRc8MLCG6Dy5
s0qesHr/USlsA5MPKSQ5bMmRou6T7VCJS5v8PvnephonuQ8b45tHDmtZej/CdmbER+FZ6yFSQLQj
BSIbzlZG7mluUuDO3G86Lm6tn98wPOpgXnUvZUctpgkQw+aOfUE4RqCdXzxnCBlW3jSeVettoski
RYkmICZngU8KMKu7s9zqWVjZe1WTVabpDl77ENL07tWTlJeFh6zAcl/6xmDAZm3ockGg8UiAhiu/
JQR0IjfBXswS1bvS240GS7UkNXSIzJttOGSG4hsYU3NvC/8wP/LABe6TSqyVDBXadKQ+fmk9laK+
WtXgrsEamXYTWrfSSvGYtna9VXB6ehfm49CczBY0OABOqbRfODkQ9UhtddVXOEjCSzUd/toevDxN
DealzpESPH1jZBQ816Z9a7RvmU4JDFekWZG+1xB2157NoISBYo9aZYYB8ZOKsJ3Qg5HiAKNfv/5Z
usaureS5dRz8UAqSIRP6bAwtnJyCZttc+kI2FyOP2gsFiAlYr9cO0Ef6Va0VwzGrZfEcSy15Zlo9
v1425DX6R3yKeGzaPl6QfhgY68rS6/0/u2moDd2WWMPytmyCDgAOYckff08S90FMP+4OW2uqi2fq
MOUzdLGXQse8Y9kkiHe9lp5++NNgbpUSYLrj04abvyeikI5Kvze149IOsvXwNJTE189nXRZoSw4h
gkpgaz7Zsq2262YNw87CxuV/tqWRuzYw9bktLfDuGmG7xBS0raS/yaH7Z8Hc7smVqn/413bJ2AAr
nR5A63/aG6WNi4U8g5Oa17+bU6LVrgEMo+Wky/Y0H4meCq1H5iK7wiz9x5hMz9fShziVF33zsKza
Xp7MGXDTNhri9tWrgvRkltQSVdC3PDka94kMhHWK/KZZK2e49Dqd73LoWHn1OoCsd1xW49SL9wgb
5ObPiQO/P5NVSNFsftsqxXUuMf40Xd7K9Yo7qIu8LO/UR0Q2Tr4bUJCged+W2YHptLZeViOUp5fe
M79lpcbn0PWbKI36ZTmPwZGUMqryvJzIUpD6SuX5u2VvE1vrEU4vqpo0f1oWVlpWu6Ti1sIqKwzX
rZ3jddFn9XrZDaM5f+INo0NFBjO9+Nwmi6YQ1hWg1t/zJPU4MB9Qe4oU5q5pRHSjxB7u8n5IH4Hg
Z+ZAUTxhUeds8iDqnhMsNTc1rgovY1Xaax/1zStjr2od9Hb61lB9476z+ns44WfnpJbzXQ2WWqVa
m/+UVfFFqCxyyUrd3S7Ofg2FQjYYi081QWRP3fx3MzCiyMBUQDjydacXdByT/ugPjGhW1ZlqFZTc
DBcaacfQD4gmZrjT0XrK9yFYyBdAxEk0U/mZVs6TA8P/I+rjH64Kq3edOQGjt9r7YYLdrpI4HXdR
ERCN4hnlE2Hy+GqmDl3QHLi8bAuSAknlpDH46cryadlhBIZDJ+EX22V12VFFFIfiINUY7nCqP+2K
YNjaUMw2y2oznyB3THfbDS6Oev95D7Kec+jT4GhWX+bheqocfacJAxfiuc1yfg9McD+UVvfnoy47
VO23e1WDaS1NlvMPmg7PvwvB+/MSPhuK9MPUJcRFAoHeSAvKDm1pxUSCFuGF20zbNtoQv2BiEK0r
w2p+Zql2Na2iD8CInybXD3+XmfUOwdu797bpEoHcIJvtnZSqileeNJWLk2P27o7Ja8f9n5ng4qL7
3vvddyvHyiW0tqgH+IOmZHpSTmH/GGwzXwdBPz17RpTvPDvDbieruwfY/e6e1Gb/RqxpvRFlor/B
KIwxTAofSz15VpNpXkWRYbQg7B5oAiywTcLyyoUDUBTkyTVh6rQXeC1ckkSm+7bEJSVVAFxZ0o+X
xBLNXihYBUoC/rfSyC5GO5p7nG2Ci+GZ9p4bxTknCUKAnA6Xu+xBQTrZF0j7D8KKwydGIwzpDMf+
FaQP+ErYnw3z8FXdBOPz0jSyJo2qzP80Hbr6X00FMudnnYzvfddY9L5t8gJ7Kj6TfbbvfbxNcVum
nLFso+C578qiD7c9caGbotJB/fz+KTNrkpVjf9qa0dQ/LQviZZ21wE5it6waczujQ4kbiMLaF3Rt
BHfH1LJx9QmOZlQOf44LY4rKrulXD4DgnxNpfhhVUemH6//YFB62N+iUmA26h5wUFTiWPWJgdAlP
AlfhDaSdYbts63PXf2J0D0cfx00wIdot25xebPoRe6ZlrQ/97IpF2WFZW06EPs07xKTnQWfmHMvC
kpZPcDP30N9t8DkroFzbPLb/aQf+sTGxtrstmwrPVVi6VYe8IkJ9SNNmo5s97AoKKM1OiyX/HXGQ
4RY1InpMbUqoZZn1zeGxABFg3khtMln/Wa/LCgM+6rh/Wi6rGOdTapoXf0+x7MitoLnZQOp4TrvY
wPT1zfBH/bAU7pWW8iG4MP8/GwPL1g+aQYl/OXBpuCyWHehQgYPng6epgD6eePYxmCegZViJa0f9
5xZkJbQWXAN/UjWsAXms/NEsMKqwJvQ4eQvgKBz1pczce4oChDdeST192Z453gt2H/qLNw93yxJZ
jBa2tFf5KS9whbJG0qb9UZXbZXsbMiPq2+IOiuNgTjQQrxoDXWYWkbNG2Gun2uFqWi0vm5HkUjV0
WJlb2mnZVMUJe5f1Py+XrX/3dx7CtTTTfv9r+7L6r22W6RrHrEy2vUsNldyr8RSa4z8LXa+fopbv
Okn44lnoWN+NGPGBXiTFT0C7T0sW9rvmqLfGMJqjtIXcu0Ycbr1M4PqBB/ybzA3gMxQeynTpTwMD
X6Yqje4kXhJqTIcJK0Pb1mI8ubhs+WMsNrDC6f/UcB3LMvsaC0w929r8Hli1DoM0d5mx99pDfz+Y
RoetqA50v9J7ERz8TDG1bpB2uWb2XnjGD/LJtWcMs/OTMrEZjJwJQsLQ7sqsSO+dDog2aqmx05Bw
/bT9NSfItu29q4LiwSirdKcjEDvmbZC9ueN4pBip3o1e5KiefP+UhV387Mvg9/J2k+nyD5ZDfnPy
rLv6ASjDMB8wfw4YlGBaMdxAZQdyj53kR4wl6WVZCDW0l1K20GstF4sDjVl6CUHyIsxIDqulDVrO
+SU0bTRw8vTP6n9OsTTPiuKeZWl++HvqVEALllrXbNsSacAwTEd8W7zrsqYSBGhOh+39shpXsFig
px57t746AILNsaYCAjtMj9Z5qVX3sQNXjZUsfzgTuHU0pPV7nmZ3aB79LyKaLy3j0a+6s5FkqYAE
+3xa5S4ygZXGRH4uR3sB+pZsgCHjBnKW22foxBt0yrO5XO6UOMyZRrGKiJbeL6t/dySplpGDDM+y
o9x9i960jhhxgSH12bXD0tvVBRTffrDrYyjah2VtWSxNrLndslrO6iLZB9TLGucpGnTtqFx0XRkq
dWbpHSYKJuKrTTTvXtpUmq+v05SaaGVZtOGx+ospvfbw5xDTSNeVGVi3P435n64GyRJWZTlPCIY4
yX/e48/xvZ9VXFm8Rw2l4DQUTb9bN/Cwn4MkU8/+POWI9Aquzn+2uXXbbBJKYFB3sIRDuWI+Vrrr
nkszrs5oWe7Mia1XHVkVfmP2Y1E7WMrG8MkdLsTzstPC1X4DD6Q46AU8waYTxV458F3TRgTfIj93
tkWHOYIZD+iokHcSntMhdRsy+3VKYdl4eaB97cDX/C/VMSQVVWO9ZpxrC0E2OQ+WCDdFnCIgginw
QjVzO3CuR2EJ62WqfAqnjskME5Edc3NM3YVs4tWy1xEgnWPj+GfgeQxGoyi9FrVdXR0Ya0DoVfRR
OtlDpWLrrRKFg6YiwA5kyqJ7oVFAmBs4//tIsNSaorobfsAX+XOkTY+1LsbafARbouLulOlrn6JQ
wsAzeop9H98oo8mBSFJn34+2eYp5RkCHyVoQ7Tg/0781+zHTnavk99k6SSKe8pT4u0jXnNdhtizC
j3dVltLd160/jatszmBondG4AHWmFC5x3Zo3KRj8l2Je/GnXVDIn20L754hlTzOOJCT30ieCEHE7
GPcWRmL7bIs2fClsPCsijN62y+qyoIF07PaZkf2sAsJ46G+DZRsNDEk5kApIf/S9VpJM2wUnW6XV
pQ/7bJtkafNmRvGv5a82xO/I6sPPmGuVYvpI0MV8jItV0UnOx6QONYUqlvXbJGb4oPe/pPpzjPJS
Y2W62T/HlDa8lCRVJyRV3sloRu8E5Am+1ZsAEmWsgl3Cs6EiDZtdatn175cMgsVGa6NdOpRZS0iB
RMdHqu6q5tvj8kyO+hhgwrCydJelmjf8XTRpRAAwrNfXCSHtth1IXK+jQZxzZSbbyIq1OyL5W89V
+GlF3aOse3FHt6CAxev/09TP2tsydJXh8Fh40T9N/3VWOelkrOdlQhnx3ayU+Kb7VfEadP+1EnXv
Rmebf/YY3n/t+fcxhVf0+7ryIaFMZUeyeK0PPGNR/AOI6nK7vEwMDAGieVF4MQ6T7k3Ht+tUJfN8
bXmp8KDVyFT931uXdZzhq4dJULL2Ru1BWcEJyYjcp0DFD6Dy2sOyHeE7xdNlo5ENLr7Ic2tAP0+t
llatbbTWYWlQL1uXl8uidC2wMqeNVwXOGf+0X/aMRvCz9arwNNLPPwbcGod0oDBnZKV69JWhHpdX
jELfGsDUh7/bBz8wDq4AuF8O/d9tYZv+07bBu3eFx0GL7bAbXJaFhdEn11Emt06Z4V3StGi/l5d/
29QjcMe/2yy7bd3CrKUjWCaCZhi8api/n5RqdOrT80tTg/G1vFoWdcCzC3pSuPq7rTPdsbz8XU/s
KdnFGT5my8FIHHFq+td5KFcC0tS1TXflgpH91zkYODlrNQ46/JoCrRZ2fZ0XPWJkoB4DPVSPZTo6
aMR9sfFGM/vvHYemw8Dv79ZCCGcD0io2y4HLAmtl9VgfqrnlsqHu4YfZDDn26DQykmbuE3DjhTCE
crWsImXK97XAaWlZNSWSUQ2t5nlZjexowwPSfC0803xMMvm6bO4jvFsbSYZcPKrxXhtAvUwhnOOy
V7P0G0ma0xNB2fKlVtOfU3upbE993Bb4KXEQiMe4xVeI+ej8sYwUN8Hc0sS1J1fpbvokk/zfTyvn
T8swLNyBJA33v592OWXCp81qDJpLVPr7xQk943Gxa/IAXvRslv7HHX32U/+7WtYhSjQPCs2yd9kx
DSk9+7Ke6upHaqTqsKyNWXmiq0TikxpbL2asiywwih7xdhs2NfXs7VA7I1SmMFv7GBVcc4ZCRCf5
FvBDhX3W0vrPgY4I4U6X7pzrET1aWh09wjcLmFr0Twn5F2cM5E+tNrh33eTtR29AdeR5j2WXfKvn
zcpDZ1MlwOlNm7j3oRHxmkJ8dF72NnZMJsaYvAUG7OlGErEz9Jp7rxCN7VQVD7vlKNPsKUe2cXz1
tNR7m+Lz8pau1ulnnF5BAOe38uMYILdS2n5ZHZPxx0TuLB5WdfFaB/52eUuvARszJpKv2y413ySq
sSRyL00qQDx0HXExQVYXkrKdS19aYC+xYfvwQuXLOKYSu6H/7B40OAx/D5mmaaQTxWLf4tEqLFQn
YfcShG33QtASpcMUcqgfsIrlDQEy/fj+t4XR+t/6WKSXpT2pJ/VedAgtl9VqPuGM4s7nWo7pq8xa
4yni7T1h7Zv2/zF2nkuRa1uef5Ub5/PotryZ6NMRQ1pIAyQFFPVFUYYj773eaZ5iXmx+eydFUtWn
b/cXhbYTkKSktdf6m6m+HXP49gQAQO1rhbtVRSSzM+zgR3jfhX3xAw+nDJxgILwGTNi2c+tC9B/i
R8tuvnmGkv9IfB34i119NnSrWrUoE+7JRtqHctYqPJA850usVEs5tXKp8+mD6p7mFG+4SY14k1j1
cJpLr7+SP8+GpJj2dvXVL4EqKtVIMKYk1q6BVLkqItt9BjhwkFPbWH/pXRUOom5r/FJkdOTfUPhD
tXDYR/38GxL2UOe/ociIqeTfUMMaeozy6hvw3X7tV4m5TtVk3gIOyJY6wh6PstnXSb7UQ1V/NNvm
bXT2AuNDU030akvRKFvDdqZOYijxk4pP+lKd1PoIGH64rrSk2SKbjI6oEqVLB928z9PUPwOBNv9y
m12TKvNrW/GYQIQ8hlDO6tnz62NDPrPoEFwYjPzrkFXhBr2sDPm7dCj3ZOawjBJnvzU7RJ6xGTbb
BfsAZlfVMMGOwAbabzP7mGrGyh+VaE/ZyF2k5F1Xsr9ydbBAEJ3zvWEVq6IdsIwIOlYYXoTxize6
5wsM14Zj4qqlCXs9x1H3pgkWVLSqOADFU9TTebCvQ21V1z2KBGJATpGjXq8XOwoIqOjHFKhQAlun
dWAdTPKbB1scZDNMB3s3Yy4pW7JfztAy6kcUfRyUqfMY6rtYOxR4HIVWtg5xvVlIAXaYro8lQv8P
UQBgstHAWUghdGduHm3PTR4op4fn/jJ1Fp2mN19Q24Bt3v9AbZx3GPCX+6A0/W2AdNDGDdP8IRko
crSK2v8wBnWBAHT3VUW1aYmMo3ZEOhUHtC6N1mOlNE+1qj0GdTIgqYNR1pR7z1aMh0qsOcm+K6sB
DxBjQrV/Cu7YY0DGzoN7aOXD3tBb+94SB1MHt2gV91Mc2UJRrDsAwdzB/wNrWZtJfa3PhBWX+V3T
RGu1Zcsm++SyPgSFP0VdtpFNOaBG9Suy9dbNZZoDksppiuwW8qZ9n1Z+c+v2yuIyAWUZQrN4+n65
TGM41aadIfXJRXKg66JxmaShD+WCC8k+rc1HzK6j7Fo2+8K313lUgoZQ8cbxAuvZZUu3GzxAALLZ
TFO4QqlG3cqmkxSPLeWuO8hU/gMM9XXTdtZzOQUQ2LyTNsbmgdIFEvyB+hcwLHUT1yVbGtknD1GU
N3s4V9CWmavOhbH257q8bvv8BSww1HPP15ea6sanYcqtO1P/1pFbgDiDXcU1MmZQXsVgURfJSTUj
dalSHVrJvvOAX74Yk67tZAspRevOy7/J6bInsjT1mqD143XitFBBRbTKqnb6HiJp27wEcKjO12Bz
AVy7ml8gv7iL2qMyHVP618QDKELv9eHS8v1zSz6rRlQuLmP9L633dfIh9z5TrqPmNDzoA7Vq8QB8
n3n+eWJMCO78zTpvDEA/BsN1MEzJAWZjcrAS/9RlU79FjiU5XPrl2bmvGimYDSAbmH7pzmue9Fey
3cz99zQAmI8/w8HPrOIgz+ShqSY0VfS0w0Ds54CvqdH4oW060bZQg+wmHvChPF/mcoW+UaaVFgvt
PnF9eZDXIijor/74x7/9x79/H/938FrcFekUFPk/YCveFehpNX/+YWt//KM8d1//+PMPB3SjZ3um
qxuqConU0mzGv389RXnAbO1/5Wob+vFYet/VWLfsL6M/wlcQW69+WVet+miB636cIKBxLjdr5MW8
8Va3E5jiQC9efBEyhyKMzkRADc3sk0fq7yaRsXau9z0vGOC1coo8uFnlLvIavG91pUSDR6CCSUC6
DuLEPNazZZwP2awdTR6tN9SG+axRSzKPoPLLjaIF3dVlnhyg5oaBZhEhmVxGJEWtfFvl7nCw8mw8
yDPj/UzMQDklJ4wDdxqyNTn4unbdRl1xX0ZAaX1z+tDycvXaCr1p/a8/ecv7/ZN3TMO2TdezDNfR
Ddf99ZOPrAkcXxA5P2psXA+2nhXHoVPTI+4W4hz2dkN9Q/RUK2vCmQzYxoh0iDi8dce1h2xg1fgH
heLmMjNVC8Gbsbn3IqdGQoG+0bct4KRqH8Lq+9kuu/p7ldYd7jPhUwVc/zaiGv6k6k9p0naPBqSp
UwKWW/a6XRsfNB+KoWymGkWV0VAQzxdrLLgHqyBtasj7nfUE1iJdzE6e7uRoXiQfrj+WH66vGOr1
0NUQLX0N11PfbxHraPoD2ed//UF7xn/6oG1N5XvumK4G5cs0f/2gOzd3CViD/JWMyIBeDJ+f/ISD
zONDtZCygNiHWp78jC/DQ4EsapPnN+d5YdPBFEZH9CY053pPWgc+bMIXLrOnDtNM0dm7Aj8sT33f
FKeO/jartOzXviLuqoLSu0azylj1bjt/bdurqSEfPmMQs1YzvbvuMtP9ZPnanRzP2OWQMddLmJy+
fayRN140vTt/9Zvk00iO+RPPgN8umAI/OKmeAdBwMabols7WeNc7TrjvhvIgW4gETndv/f0dPs8o
8PVl7l/1BsqPwFyMpW9eprC0NfPzUl0x6+VMfLItYlAeIdIhSNhH40n1q0/TqGkYvPXkktxW/C2B
8tlxVlNnqS8q6v9bwEL2uWlP0TGHw/pguJgERYWVYZjK6r+7qlheG2ghyK/Gv/3y+Gvk4/B7UU51
FITtb83/2LwWx6/Za/PvYtX7rP/4tcmit4suv7Zff2ms8jZqp/vutZ5Or02Xtj+fvmLm/3TwH6/y
Kp+m8vXPP74XNKiZtX+8dYsntW5YLs/u92e7uPrbsPj1//zj4bV/rfP/93//8X+y1zpKvv7N4tev
TfvnH9ie/tN0NMPydEv3dDbZPHmG1/OQo/3T1QxHVx3VQB3lj3/kSJeFf/7hGv+06Tc0w0U2zTHE
TdTAsmHI+Se8cp3XiONZtmXqnvPHz4/g7QV0/sj//oVkqPovt6vJr6OB1rewaiJTxHNRPDc/vJF4
vtS5NiTWa1+CYdoGJByec835ERhK+LXkRCFbJE9M3Ox2rZp1a09/clPABGVeqqi8AYRQ+qF6GUq3
gMdsdLfq7On3gW08q0glv0Sa3sMueSSkzM9ZKZlsqoqe3a7ZO6iailSVbMs805CZ2g7WgWNu7bwd
t4G42y8H4b/2oRlBudkVydarPOM5KFMce20PGSjRrKYcI5ghdDa6XZnPutP+SPJ2gFoKGDEM0XXG
xS2ZMWMizUXUpXnPPJIoHcVt61+pzmyiqzD7u2lC4Fue2aVHgg16PmZFYkS2E18zblDagOSEibjp
oGjU1gb6v+4wo8Seak611nhe7mQ7tLtb9BvUbzE0oK1rWWUGeC77Hg65t+5bvcqWAGKCLoJbm7FB
6KxkD4f77WCbY3WtTcPm0uXFikfdBFUMadxkqXG6j01EkinZwBwSzdJ9aWHybRIFvtJIoAM1gYMv
nK18pyITVObDFVnNoCuvzAw9nrIKvI3RtkctwDWD/bD5ADitWemQzNe1qK4ATh0OQdk8VlnmI5mJ
q8ppLPToZspwKITYcJy1uLnPEWa6F10U+YGfihYwvQ9diQkXIqjdezap3VYBSgs0Y7QeQMm3pwrV
sDpJa0KY+Nqoi+J6GElnX1kRZSvwhx8Psq/UnfHDgOzrzfLx7X/qGscphvqFw+Et5IPwAUCXBbTd
BuUnahayzOFEmX49N7rxXA4/wqio1zYeIqiGruR3BRH2aGP2hrFhW+++1PoqjObgFnwhBBz84BDp
amI06TlL388aPCnOfZczx9D1LU4O9kpL6wgSR25tPFy1QyiVtAdKXBveh8EWXkG9VDCuAz5qTffA
F8Mb35jLdTvo9rMSxjfhlBxVww0/F9r4pU8851GDz76OdOr/god1TPKkQRahjjfgY6kS826FzILm
whXf6GJdooJ/DGGzHVWnLo5oHBbHyhksRJAgqcuB2kXki5uCESVsUQqsyu9OR8Dnp1/0GLM4dmyV
ciOaed4TAhXOjPYSmDHuPf6m92Yt/v3NfK0ZMx527DEqBJm45bEMYgPdJkW7MgZAIrLzPB432je7
RMIB6YBoVYQYK3a9ErsbS/mutESdZNWNY4YbkhvjBP2EvAwiOlUUUBtwA3QtSJJMV5f3sHwZIxvI
iuj8Zj73wDm/KsCnbeT7WLzOR1OfNgDKovvCR8Zcn+oM0ZZgC0hxfObLfHTyapOIR4E8jOJJQZnz
rZnJJ8Wl3c/hrZ2iK+rE+ojYkVO++LS4UctnDbXBHYjdeCn7ldEE9NpN/rHBBOmEr9QnqlVHu9XT
E67tChiX0N6ETTrefXiT/c0uhUrwby8Fj3cO3z3VccgpsE8RMd6Hl8IcG25jq3b0I9YSgxCoUu5i
smJfTHW2F8MEsNgmf3/CEoDHZTF9UVPPJuBtm/3cTMYpDJTnic9tnRJost+wIkBu57iOAv+hqev0
Rp3VBP3KKD3UVpS+RX2tV2yR+Lh3LLNYIdyGzESbWfukduNVVpAtI+OLVqRu/7B8666yTfVZTtVD
821qP+sfphZO6qB8iekAeLNnW5h0algMApduA1A6iqnMYBcRSL5O9Hg9xGaMbA9namomUHSBUJ7P
fh39fZ4ykuZJClb8Oq9wG1D1pQK2Cy1MI1s6YqdhjWqwTucRpST5EeguUu3mqBEM2nlJqcOGyF4J
VUi2/TPCc1jLNsg+P5Zo+PH6xFG7waPgUY4GifU22kTt26jcVCkt5j3c+fIuhzqaINTxcrnHz/2t
ayYHp0SukNv+fHfLU9nPfNm4LJJ3/s9ryQeE7JGzSGdp66SMOhLekE/cMjAXo4WkVOaYwUH2ybPL
AdYVAwFmBrY2vs37u8nhiPHlf/MF/20fTjxGEGXauqN6mmGcQ6+PX3C3QklpauziWzMN7jL3/Rry
eneMeVCSIs3D8RAUSBTLsyLJm2u7bo6FoTbWjZwsmtkgtKI841T3Oq+tWLUehspBpVS1jYVsZsDi
TyOfydAE9kNXVeNSTQwLvc7aLQ8jjnTcVu5EwBDHAFTBUqBCNuV3qJ5ceQ7I+MxHMw27lOhVRxB3
CdkYf/fBrPeXA3Jdzd4Vh0tfj1+XiuPHlYN368oz/aA9oZl1nfv1FkVl49mIyQxPpWlhiKQYcLDd
va975alLp+EUt/6uQVb/qXRuHWdO9vwqyV6eyQNKhBPYtL7dFZSItrKv9noIxCNaJ7n4t+r+aF13
qAXJ1uVQakhO92EBPk+EdJdDnAVAm4Z6c+lCbaDeowq9Qs2svW7KYNpdDrMoHWdptiULrm8NQ9Bk
LqPnthOaD/BiM0isarlQJjW7jsci+4TKk72ZgyhZyqaDksSRKOEWfz4HuIb7qCkBkTCQ0mYzWHZb
f4sNFWmv1MxvAaXFVpjVi1ABvG4Ug3/N9htoCd4w/OOBe3hBdYIaUD0NqiqsF5MvWYiz++BM2V2e
5/p2MD1zi0ZGfId4lLVAHSylvG9mKGo3KFyhvLtIMvgw8Km4/VG7zdaz3gq5p9iBl56KmpIoL0Fp
0PZ+NWrTrkNs4huACgWKcNzdR5GjbdFBzreJliUnNNLNK0s8+1CYd8lqkzxSsYthl5FTohE1Wu6T
fNPMsOhtn0zvv77bdE9s+S9ZL3G3eQabFkNzLFs1df23PcZoDHnpwTv61sZBGf8VZS50v7qa7kJl
2NmUq/Zdpox3sguCOmDtggKj7JvFNMWoip0d6Sc9jV9ChUJZ3Hs81MUBThuCAh7GgO9deFpTLa+o
KFZ6YZ6n4e4MBVFtoPWJPtI92hILL5t7D3olHMtylVNZLniL4bwTzyeCTAAsvw0GBOpmimxDNd+r
XaLd6kXxXe4sgkEggU1zXFVObzwrsx5RY6iwTA6EWoea5bvMngnkcNG+kvHPJGLj3/pU0Uf9/eO8
S59isSc5B1q/resMd9pZg55AQg5euiRLnpoeSKOmh91OnwLK4WgVLVMrIS+ApJSqdfaPX6cmTtXt
TDHVqvp+GY0jhNjMLBfytpL32+UG+60vj41xN3uqjillitDi+70aDzYGzb0rsNYE9FWeNqtJ7Xj/
AWp/qANzOKB48hiLlqi63qSu0uyrMExvjbn9Mjse4HHbjncmyrMkumjW5WBuHASaIRLRbPQ0Whnu
4G/Ok1P80fW0r3eyGSjVZwea+y3bC+0phIbmGrDNfBKkpkCETVYVHUpb+yy3N7KLUG2HeyGS1IUH
hlzznuSOJXO15NZDJ3/qQkJZJ8deQzQzGehOCON9aLZ+8GmcI7ikwla31roa+XZUOkYtcm88EksD
joJTfANF5Ro6N4LqaBISnzY7QxygizWEkJyBMSh49EF8fe+SZ3KanCGb8qC2TrNDPrrZuDPYjU51
+k0OnnVtl+X0OW7Nb6XSNndRZNSnuA7vujbfqSnRmkIl5rpWAwNFcUBEdYKe0GBOxg2lCOMZn1jw
7Nr0ABUe5zubej7wjcD2xxsvxCSvxfK4Tvvpi+xHywjDWZP/6d/0O9RPbyIFhRAZJI+2B+hJNGXg
LGNkOXAJpi993QwOwE62v33zZDPJrZein+b1331Lz+8CX2enETSYhjrBHn5TQCxmjV/sInpM5lBd
zXOi7bMMRCRwPqxly2PWZgipiJflWEXhxsVLbI3Xt/GcaiHyGIWy6tjiHCEn92BHq7bD6T2K9xHm
WKiAWc1JHoyixH0zc4wb2cxVS7ttZm0pWxPMHIgWjr92O74/DrLKo++4V5MIDMKmx8cb+W6UR9zs
TvZZNjYXuvPodcUv03LrczI0QvW6VLx7czrBk00LpFBzyOe6Ea0tAddTPWQQGazENtfv7dt//Zi3
nN8f87ptEE+Q4zJNEkkWmalfdg0ZMWDm89l9aQbN7k+mU3ro82baSqZioEshzJ/W+V4261RFwpoy
h9aQMLIzH8lJGJsNjLUdpjCgHrxb1FD7k2wkZO2XOh4bG9lUxg40oz+eSGP65QI++mtV8J/ta9fa
ThpEVh8HrmEZexCADRyflkM92Vu9nQm+pi7+UQ2l8WjF9YAYfBGsZDP0ID3oqr7zm9DzEAOZJ/Rh
+7I5TbgIm/CvPfMeEvFK/grkjnN0BO1wBUqkf/CLLrxnY7Cwi2B4kDNqM2XPCwv4WjYr9lo3Q0UV
RjYR+RGiVdGAIumc70tzXLY8xY92OU3HuWpLnK1DFV+uDo2B0IWtvZRDjaJ+8UrX3E5eMC8CWCAL
XySc5SHxX2eAPLdYzJBcbokq0O2tw01gGeh5AwL/oabWrov07oiMZPjQ2FG1DSE6L5SwCp8RGDgZ
qRctDLHJrYBrwMtxX5CubuA7RfWuH8ARmegVBHO9UCctKxZIf+yjyEPMQ3ytijKtt+fRIeUrOCIo
EojRyB/vHZ6mPBygnuppeCfZF5KHIYkXsp84GLMA6BozApppGHs7106cu1kRAi319LkB5rTugWZs
tHoIdpRK7Osw9+/bFCtCmb5p9Ty5Dr2aSEZ85+UB16L7JHGag2xdZsj0j1z1fg05IwrQMzdMDIDl
1kZucuR2B3WtkLL7j9+6ZdPpMR4L+vPYb3smOeZ3Py7bJXlWmYe+cWv7KO5mKLfJ3nBg8BNKu1s7
toaDqhXZOnDT8b53wmg5qlb81IVQIrFaLr5WWXtHUOr/Zbff+nyy2c/CqC3sWf/RtNqX3PbylwBC
/iK3Q+Om1Nlj6AJ9JANJGUJGVlNc51py78pYMxRhpRzI3Qc75B3Yq4rYk4xBvMh7Pdhcqo9jnq4L
hJKCILx3g9D8/n6SBvG5J/55IoZazblVwj5BsTx1DwrlHbT/6wGWrYW2n+xEG5aAt2r9cg0lJbqP
Ysu6KckgX4Vdi51LgwzqUlETD/w5z9cWgsl9PN2mirupSN7s5XNSHsDd2etoRjHs/EDtG2jnhkqI
VNnKVW/2+iPv83CdVBhyVKqrPxa/Ni+jsZ4oW7Cn5SZtK2ubGaRKAxvXccRQmntk/i1Qcx0C9rXZ
rQet1pc8PT5pbVve9uQPkXAPP7mxiQSd+DGi5bfWvOUGi+YnDYmYjeWQMeZmPIJ5Nu9GxzDuXCVG
4Bhjuk3vmCiVFG7cr8PKVhdy2BQTozGM96oaHJWoikUeBW223vA2cVpjFZflOUKaQLqQbeLbAwFt
0Vi+81w51vdxtvLXMkGmxiOthRrZtFWqevyWKOxU9a7xl5NqYtzTF/VDgZY/uEhQIEgIPmDBGa2I
e5HcEYNG1Dogmby1HJRdWCbjkkfEcS2bipoOOysQsq5D0pbsXdPHVODU5qrMib8bo1lnU2I/wGD+
ZERecHKD2rjtbSTnE2QMXqDVBavaSlrcGebwJS6+ihfu89yFYER6IMByltGYnpB4qg6RpVifrL5H
IQmxwK4D0l+LwrRRAnbUJmSTyPhUgF1EO0kgPU3oiGMSQrppHsixX7nmCMbYD+Gvj2Yd3YRR/BnA
rHfrIxJ324szAFqAl5NyWsmBISnGrV9jwqllMzZtfsSTyR2nz7q+rpDhfi573d8FI2YfkBavqsyM
yU/WscI3R0PVaW71x9C18MUtYMXqAg0AWyYDycnomMc9lpKaeddTi1Dj+rvflj2Wc/WnYqqy605k
8T2RxTfwNiVxCGbBwl1jQpo4geTjs0D+xbLJP+a7rNGDpSHq0pL5yS3GmD/bGbCjTyc07Yeg/Npa
iAR6UDwRVYBpoFFuOL8T/mZGGaja2nNbbVnjdWEprfUgD86QvqLIgMqb6GqRQyOZ5mtLAnt/pWiI
jpqoGZI0am5isLe7snYp7Hr6cJfxUke2tYvvkIEA7ilu/ipt8s1I0HYOrqjTt6e86Xe+2ax5YmTH
qdWUJ8tFnxylRlTNmv6kavk1LyHlycytcV8ZsAEGMSsuB1yLK7Z8cjSN4amGTaldkVTwCJy5tF6k
6Z3Wdh9CuX7oi03tw+KWj58YPY9NG+D6jOcAOs2zDs7FQUwxnxAa75FqX2mQmE7ygED4cSwLC2+K
5tYyzBlEBch5XEpaHbVCDxyq7IReyM+AX4A4d3fGqLUTIDINF60tNhvcwHirSeya7HdD/Mw6+Q45
l++iAmWeMUTs38Pq6hUIGKQm/9XJXFwu7BYWYOpRENO6eT+WmrbDbWPsFlONXHZR6dMXI41uPHvu
H9XAqW/6wP3Qb44GuVvffuxEQIrhQ7ZtQW3BCSZcPWevkJs7mUrgbJSovrPEvsOsnb8sqwDxWHre
CbMbUhgG25HUtjd+hu5yJZr9aP7Vqr4LmR6FlzzsDjwlEPfRinhFOiGGj19baJNO1m3taNT40Qb6
xo1632tJ8Ii3gbst9czA2KCoDo1RGFdGab+OTtvcYMtQ36sR5CoIe3ypmwp7cNUEtlyNCgj27u0s
fe+To3KeWqBuks88BsVcOcMR6wGgjf8NMgh0z29JEsOxSUiCUSVboRvG79HzbPT4jsGjfrLHKJuf
TM01100YI5kQpMuu7/ydYhv+Luyr+xDxyI1syX4yl6KGKkZlO4bKjYCT1l1XXaWu8LMR5MYu+2Ra
AA/qhuygbLYDkhQYxWhuR+KLf9BOm51dh2rAdWDF1G9Q2CyuPrTLJkcidcS0/Dwu26loGwYgqlin
Mgim0qHCBKd5jEvjmVcXRmIqaHsLRNHziFy44mbTY9QbwXUVO8C5e6TWN6YCNFFHSBp+JFFIKfNc
ElodtcUGl8KbwMfgDCqlAW5WqY1lQWEkC0v3ujRjbzGIAQ+woXbVYQi/LBEVoFgHodXqmnKn65Q9
NcO3CYJLWBp90FU71UuqXft+VssR2Tb02XUxFHDQNvAoB4iJyqgeMRu7SzEyOiRTHh7k2eUg+zCP
mUGH72V34aOzdpna6ji2jKGJiSYpnkUGXuCEEqmIm2XcOQ9lt3IgJq1ks0cR+YQg53scO6OUstKK
eTOdX1We2wd7NJMwJZwAFK9jSSwRJBK0Xlc+evtb/tdjsXFQWUDrStRn2TRdKTAyD6nq6M/XqO+y
wTU6Ey4K1aZUNKup0dYl5LK1oaGaUs5Nc8hQ8fXc9Flt/fYAugmHWowzPuukVlc12Lpt6PTRZ0w6
P0VTnd5bKMKd8iHby+55JsGg5wjrm56f7IbCn3ZIOvYLfWyTYxv1zREE5htTzquLGx8UwlMDV2Zj
JZa26XGKWnuNnexMQ88h1uJ6PIkvV4LhyYgV1Ke4ntBjq/MvtviSocKACCQ+Z3gVk9R0tqOpxKep
dtJ9kLDh1/0OEdfUq9ZopFZCJjA+yYNZ8odViZtet0HQHlyQWLIfwgM80iElecLU0kZ6VFzosvC/
vFhXgqyWQAaQ2/V6skpjnVfoMCKii2qal76dyT45Ooi+fBqMtaJgVQcgkJxjac83iD+qN/KsHcb5
fCb7KEmjwT+koMa7tLpxLBfrvULz1ZXtdGinns81k+o/nvZIF/l5tjMUFKqxao/I+SN7mzq+/iXQ
M3AUQNEb5F7dadC+mVVmUDnNk6OihA8DMSy1EnbB0/uZYmLMJ/suZ/+TeZHbrf51/kFT9V/RlTwc
TE13yeDBUMaKHZLprwkI1atHzcj96HmKDD6VKwVYCoqjmIpE0RlOqdcfGj9HJACTRmJoIRJOUOTq
6W0amnmrxgmRMOvQbacWuWz0iF1vDXJDQLbiDWzrEJ6pnctR2bIqj52wVnyckTT9eYYclNMGRMyW
ma1H52vIn1DweeObJP8LcUwFHuQXsANEsT2XzL6qIMOnDrV+AzzH3+PebSCEi7Sm26JqZHpG/30o
7AWCcOZfYjk+Mf5LHrqoz4rlTkyFRS4fG9NZgu7nYYpcAN4JlJ/JYHsbMqIQmvGrf44CeNdaYFGb
FaNpY51GfbDuFDPrHk3K6rI7BghwmC27xKtkLp4VA+l6w03qlRxNxDV8qlY3LdjYxzY6zqjYr7KS
uAPDvvFwDlUviNHMH8RwjLeJCNsvA+pQEKbL1XGpsPp9WMazF7ipvIKcguumtjB7hOvKwlhoUUKE
LosElWnelVqv7S7lAdIlzsJVgMWe5/VErluVoOYKhX3WTegB4H2OgN97lUEudkz9LuBVu6vUlo2a
vIxBvLqu8ENAFaVuwn1Yh9+c0gw2Wtffym2jU2vgH5qg2av1eCtbddGAlHH0WnbJHabsN7yy2Rss
/K3rfaGpt8a+midwOlSy0Petsj0KH/FhMjUh5YiMAdy1gy2K5omtUN0bs+fL1EpMzdPBW4boMX0O
DOSrRdG85t2kG372TK3m7aq/Tf3lqqm4qpyK/k9wVSNMuwj0ytiUqfpU4JGOIldrqvsuirTzgVtS
25d1fJ4i++WM0ai1fZpniDfFyM54epstcy/SdwRF6kMWTSeJRJD9lWZpO4WM2EOq9B/6f50vA1s/
sIZFSc1f1UPjoHuquuNLYq8CzDyeyqB5lkxaK4tuag8oWxApuCH/F1PNbNAQqoGhPjvBg1tq1iOZ
9XpTZKm1HahgPPRKHcJjCvPvfIYnrmqfZzToAKznerjFblNfqaJymJI9OlaDdS9rxLKL7M19TQkC
Ox1qyiq8wVUbwf+QTSzSwyO7yvswYRD5rPlmsP2j20Qqmwp0FRH41G/OH7n8VOUH6kS92HMwnGWG
fnNuymEtNTp7/T4i+87D52sMud9s8dAKvmlFu0TpWvtiedSS+lZrD57qzXv0q7xl0mnDS6lBtIQ+
9kPxhwxu4dg9xKnlbyI1nLfkjroTcvA9pqZM+fVqaqO0hyZQZ16siQ/byOpfGq/cJFUPOcYISb/0
zZasYPhN8WJA8a7lH1TOjrgflBgrjNG3GFXTvgvHp6iscQDOLDa0ilM+t2a5lRMCZJLOK+vBGo82
KnCLptbSU5qUtyFfpp082C5EpVKp4uUEqfHcJwcSq85B1r9PlGcUNu0Pc5RMRfQyCP/TYnktcubf
9ZCcrwxykw48ZJwDDNFEXk5SA8+Br2wfgLK8UQnl0GWSXOgnE5aIgnx4XiMvaeX5rqna58myrhCL
Kr/FFhafZWq7t8i3W9fDFKF+QH7nIUIjkExWbv+AZneei/TSx7mRrTUoM1W3eYiJucBEXIARZ6DE
ZIzBjRi9gCXAyo2HUMIoemRGbqYBDRaxNpqyFGUBiZmQI/5YnkesqL6pen24kTDxrHLeAOOwJ670
TJv2v/VLzDi2Klck0ab9GVZ0mSJWaWJATotz6rCQsYK1PnXIUOeeeR0U9skUrRZwFtsRwXToyEeh
w4N0jGz66RwaV++z5Vo5INdZ1ZIkQ7aQyg5OPSJT1BXPUWejCEt5d2Oq3oS5kn8jJwhSBUmJYDwG
LdpxnmKOZzUJX+m31ftKS6y0f66MsnozYLVqG1mXfY+f/QpAGTWAeDzoVrgK1cJODhCbln/LzkYx
AniqBNWGSgMeitQhcpNgbC8sb3l2nhjJ6XY11dQiqu9xiBIWbhLJ1lVVygh5ouE+4QjjCQwEfV69
QFR6nOUE9GQlZ1OP+jl77jM8vLTAQdovxA3KuLWOkcAX8Utg7Mc7dCmbuUQmVQJ12KnD28i5cxYI
QxzDPo7IiR8WXq6GfDVARjldLix77ePPOV+HqueVN4zetd8gVds76XdViZDUG6f5rq816ybLFYM6
MilHIyejNFTZeYbvWBnAvmKPnkh7KvsS2CPKwkAXleakWq1yH2oLI7dIUfHQ67bobvGFE4N/t2AS
C2KNp46i8viSlAGUN3UwcOqdDUURHyl1vJMHnNvClVFQlm0FOKIXhxJm6R4A26Gs8RIjMareue+r
5LTLKnkR1xGeZNBiyH5Qiu5QbS8N785syub+Z08zRf6dbMhuhEQvPb3vUcCOl3KVbMiJ9LD/8u5a
MfzLdWSPnMh1ZoSE+E2vK22wKKprBep4vmXtZBspzAydDNE+n1JI/aFpSbvuhMmFnHM5qB4ZgfOF
+BOt3WBWP0JnFJYm4jJyIr7EPJ/lKUWmn6fnXmrV5/mXSxqG3W/jat4BlbGFb7i9d4wv+BaZu7DT
3nouY2OQVSS7Un2AqBl2Czly7gxnE+T2UP5/zr5rOW6da/aJWEUwgbydHJVly75hOTLnzKf/Gwtj
YTz23vt854ZFrERKGnEIoFf356IerpNHc+yqFQWC1+xeK814a3UjyCAiI9hDPXEZRFUkJN+bOMNu
KGDHl3PQLwwHCv3TJy0yk+Kk4R+iyazKDYKrg2x0UEMV8kc5cl3fHaXaUK3YQxFjOTjeIFj9Cuxm
cchidGn8ea5ADjZhQ+ce2xjOPZreICMgHDrIl5c2pGrOoE/RnwbmvVZQOvg8VU6/SuyeHzJM/h9K
QCuATk332CX9yhp8reNt6TKEAAJY3mqxTYjeCRliYU4tuGsFq5s1/7MtmYPmvhWpSQpicq2OgI/g
Q7NOCpDM0b/MJBBHlZHqJz2MDi4kirGTKv75mhK6gdCcuPofpVT0NV9SKd/X8J474ouRkoqqtaE3
38/LwgNmIHaddlsKXMUM8RE8Ii33zvW78kPXvBHcwtUy8xSZEHMmMIZKoqFhgCf3tyTkGV7FcJ9g
koP6UyAWt+hYNFhtwjZEdQxYV0BzIAAH6IKsdOhs7Gk7HkSaKUg5bgOvx5YnVDIy0KtD5RsdauDB
CFmbPrdY62knPr55laFthz5x15AJxRaICDN5p9+7kB9/HtMYyGEsCxeOdwmj4U0YNn1lmKpGxSls
cEvovg0xplhgCSRIbRd47NAE7h7r71gZJEfq4DUY85o9cHoBdicwrck1eajQGX4ZAsFRJHgnuDK9
h5kaVEl71sYrlUpnFGwneO/J3OConOBZgHIKjaMSy8qisPKq1G+znzWQEAt2EZbZAAUX6M1YA5PR
BtxXoEf1AXj0wIsmGJqzFdm6Hh9Sr9HQpEINFFh9ajwgRcWAuiwYe1GWRgDsYYEaVfHACXyPEXoH
C5nxWw0tKH8ERhujvZ+DvaPEXon8KBo/fT0BxxkYtu85FKblRxJLP+PWAp++aFU2P7K/JwVVPOwB
hfhRj0AoRE3Qv7DJss54QfoY1Xb/MvKmf+HmogPeXQ7qofnaZdgcJBfeFgtwr0Aji4ZogUcHqagl
vT2WLEUtGlFB1EoB4MZvAdfKkv5r7wr2QgOsGbQBxnDbOhhHDy5PAMCCYm/dlKdsiEAtraCzRldM
uyRszmQqzaTOIOcJxK1Of4uwdsXXrru2nfDnbZso6BaiHSvcH+odVvU3klNk0asqHchJXabZGEQ7
4WQAwhwgyHcopsJdgTASfGjixUMXbxSTgV2yMvPOZOogpX5iAUgm6FVEHCjJjUCiRjZ8GpunsLaO
UeK656kbPJAYdmgBxtIN5GvrLlpCGyd8a8fU2vUsTDeDAPPjMS3to83MXRQXF7uIT/ooeusA97yx
OxFP/2NHBISfNzsirsV17hho2DWAi3Ktm+W80W9Zh53H9sNlOS8CBGRt2T0U6LrurbYivHnnY72h
CX6JiSXHk+bN15xhZ4M5Eds8aFlwEA/I3iVe2X+Pr0QdamVAC9RtPNV/vy7V9yzzEv8/1M/EDttf
4t/r0/3Tz0X3+f5zqfunnxfAj1WdF8AXLDUIPEDBC20FgPhqRSafh+rJaEsXFy6ydqIfl87oAD1P
4aIwKqNS/7VgBB5Tea2b1H8tCF5p8J/U1s/JazmInyL+YCWAaTkDlH5B+cAfyFGZmHsUvgUyfhES
ZjbHa64fnI263SsTxQbYIW6TjN3RiEKnrkgXvCza/c1lyt5p18qmLhN5KUR9A38Mz1Ff7akKNpdB
6SnKo32D3am7o/LDMLR7mcZ5N6FzsL6DMOmjA0VP+6xaFWPgPIALzx+1JIjaJ3J0YRLtdL18LEwN
eMLm9yF5RYYqgp1mvvr3xXKDi373a0y2iwZXA8BsxpnroQX05p+rAQUnpiqm85o22IsAsxm6LPSh
67AvrH8aCjT+08hx/ApbEZHVncIYhyELHVCwAaM+Ow46roUNvKIxSLfFKeW0UD5em43vLlpMWS9B
5Whhx4MKvV/hKlGeptBmpepU7CpFFkLLHbAyZeRhuwN3ehVE44GFvbp9mWICcpaZZQrgdQSR+goE
MBAE8ssC3Zw4lHj+XY/xrlNAHGzc+JguX3JkTCY85JaVpFWeU6krH42NbpJVarrGdTyFUtA41rtu
DGqxQDW0p7HHjAkLyVB7SSHK0o+NuSNbiM0f9G0KN7d6UL7R6VWSDKiSUiYlaHC9xAcd1IRPwZCl
R0qig9Ma0CaNsU+m14O+ZjaUorCMJ2aIOJDNTUYo0KExLVy6+JqQMQRopkCVZ4vJJDmU7W+1KITq
m51xqefkp86urHtCLxaplx/7xHzCHAWz29lrji40fk4utcqjHXNc4eELtXnRKk8ZgF7KjAjy6DKj
70Dv4hH+kTL6FHwHkCGYHrDoXe48DVKEVj+BXbl3tfBUTRx97j3+9VfgFYPsallGpw6tOeOmZsA9
ooVmgiqqsGK3JdnjxRPUpRgZVEPG5BX492Q9eYp30fNssXwnhzJqhN7PuKHkyTUu16ObuCpIp1d3
FqZxuu/TaCevdxt5ZaWkYdbOSdrl+E7AbcvryiuKe5Y/d1iV6Dyc+/NsAqkBDMaP1BogE3UDDqxH
4wNvzXl3Yyf4IDBPMlWBCelM9qeIVCvX5h3ZbvLfr0pIQ5Wv0IfvV77qdqE4uurseZjJ/0Iq3lzh
X69M6VGGjkDVRaPy/+er0v3TnbxfVf4i1d29X1HFqp/aC+dk4ecdEEz//nDHI/x3thPshMLkmuDy
Z6C7xuHm6Z7VDA23+E2/Qh4IHaQv04z/99xJm27VFHpxbusK0/W+f+38qQRlORpvt2RLwGsJcjHv
G2SHq0uwn8Qh+HTM8VUr63JHBUIeuhsrRttV3/g2Xr2xd7pMLSbIeAwAM5LGvyvFWckitMRhAQBi
5SUCyUhuDrRbP3vTmUa3ZShOpnj2mO7aEOHMGpNDVXj38eCbZ7/RzTPTc1Afaua3BA0IpysThbjz
3G8jLB8sKsien8mmcskWNBCOASTMXSuHLErjLP9euOF0kqaig8rfYnScS9Uxz8sldGJKiMY63tbV
/WnvWU14P2hWCX2JdH5D++ID0dKyodqUlTVBkAdrIIbfYmUNkpzbuTamvQNqWJmURPP8Bqj7Q2uy
b0lqJntTLE0BzAdeo+IUiKUpsgS06gRAer4C7wdWIUUYuYdYg7KuGv9WgAYDrUypWjyx8lVvLkZA
vqG9vlRcDGrF+HqxWPl1vYaS7ojGxD9WlGnFucpzdJg3+PXS2vnEh3Xb9vFJrsfTCnwQRtraNFGC
jFdr8zqiaxHdUyC5/Wk3+lO79Zv4B+15qM2Rkv6vNW59gIqRvhsqQcCoYnrx0BJplEF2iTASTxOy
iVRsUUHQNwk2YOsd5y9TXGVnOWUcOgtLLPiCxNu3gNVEU5XvwiioqmCd9cFeNr17bVuvpzrhKzkO
xhxMb47vrAzqkVfjgSU1PjJglA/68XM8pvVTpHXGSW8MkBGInpqhbT4DK1A/9UCUoxkJf2WdB9Pn
3O+u4u2AX8WDcxDajVpYt6sKq/LZ5GeHHkpEV/uAtMnn0I4hnf4eQybai9UMhk1FOlVxMdpllOm2
FHliSF4eDH9a93zo9nUskISYdtBUV818B33+gj5csWb+a8tHTZeFE4J43U7F0xnVCKPxyjnU7mow
oFRlmUHw6JRL6pijHjuy5B103bEeQgcbANAHWOTfwo3R2Y4RZVBDHvlRAwsR9d7ONbZOu9Jell05
ffYa8w0/h/7kZ2aPRbrEhuiQKe2a7s5PQQ67iueIDxnsFN/hPxV74oeqtJq7XHP8D784S+ZkwEcs
QkMM9Q5mTg/ChSiIt9RZWPYZpNDAUP+eRFFO4FySchAo7NDNFK8jLM08uJUFCkM+RZtk6LF9A3gz
VAGd5FseO3irci3AlpvCPFOwysAvJNoAyooNHlMvw0OPDAatHyzxVmxn+OFXME65+2wS/aIu1Hv3
sQ49CzkmojFtTGSM6hKguGr0wys+MvJ2af7V6oAqo0yZblo5WNsRqwmKX1lY1AT1hrvv2wdIyBf3
N6FEgka297Jx6HMIJInGBe29JHnryu2WbZnl64RneKKKQ8CcFGf7ehouFsspSgFqjbF03/ilvtSc
tlypjLx04Vfjf6pAFSHRADzM4GHzExuNEdYjF11j+vhAAt1ieyAMnVh9oJElGNM8WpvicAzC4Qgb
gBZfTcgKIhctUjustPTnQWcnQrURBg2483wbhtBFlnA1AXerNNAIWqBy3imYWoz232zEdqc0/Sqk
kv6x0Fhim6uNzR9YkdLBw52Aft7Hdg42493P6JdZU0ep17Q/824IXk3stW0gXspkaAimChWqxZDb
EaGNHV+HglOO3zXYXFt1YDf+vSqF+thv3tANgJy/3rmWpbV8Gzm1s9D8Ga/Igg/RxpR9RUPNhTKH
WWYj9hvwM/vFfB5FFyodprb90AFzc05E72nmOvFmNqdyTc4sd8w7O2RX8XNcf/DKqDlDMVIIaXxt
ICi2NWqQ39RO99jlcYkel+7DlA7TGyjCnE2HrYMNGiYEBvoShbIQK9eGDxWr/H3D/BoIcmPLTWDu
oAuMSZ0+fgGuI1h6UWo9NWhq3BhZiz5SgOMhuwLRED0vtCetafzF3HH7S41071e6H8bTbbrpzhBa
6jxQXjfuUxIM/oGxCqIzeeMWOzQ1dhK/LY3vMQTxllwEIq6pOxA7QGEeOpzil5zjI3M3coa9B4wy
3ZzvhtJ6MwVBLvnESEZmIA96H5kG1iwDI7xPHQMan9gVpu3ZxhXEMmPgZifhUHu5KsTo0/zk4vtP
bQRTGEWQU9dN6OWaoPS87Ku2eN42mHyYEBcdLIZm6E/u2GOrBe9VjhCQSOtvEICNv6cFHr3l2NfP
vQnSEvwSwmOHprdz6qENfZ7dq5yy/Yq5XvIdq6L6ArKVza6sOh3/3UMUzg81xDPAtxDmssF5cNDG
gcfnRzexrWfqebb9GftKrXdHDdFRLuTo8+IS3/qpjAfE1cd8fDbWpj5MD1qVvBC8TneN4ACsgr8k
eJ1ngPnNnkBvSV7bdSCQkVjambzd8N2ucuP1vQRZ7aYLDljv8peUw2qO6fHYYEUqL54haqaBJtA2
MUHowaGaG85qSOJ52Y0e3nvJSG7iTm0AXwLmjO/IrqhXKSJjvgtYB9vc2FVsZEB+B91481JdUV6H
xqK6LaqDt1QHH/NUvYj2/QRC1UBx4QyEusXtmabrF1uIl2Xp1SGB9NINHaSTjObIxAFSaM2R5y3k
2WksT8k69BqsdKqV6HYsdLanER1Uib+nUJCuac0Rao7oLauyCpRqA7TNxQHMnN628BJIOgoZqL7l
zT2dKQfFUYZy9OBKlhmqVN6AvZscKvjmGipYlaKLq+uaLEfHEcQzjhNbG+K/N+14/DpcD/p+TVSv
bRSRh1hgM9CpvyJnFv//hRggR3lEThaPEFPPQ+Bwp3YwD9SklM42+MacjO2ndnpQzUtkpwgsT33P
m7LfJ0QGFXgdO9IBhOYgVLN8S19DawbKL4IxSrmvYuTp7+6pq5+gdgMgm7XQefLZHsoK3ZEZHmt5
4d0VoHx8KoLghewMGOd17vjDjoswt+8XOqvzj8ZYRkfgq6MV2UtT0N38ma4nCRRdg75eBZC8SL/E
RgSAu9EsQvEhsMSfPhZnRQzZWKiamlAXw5Bs5FWOghTHyMih8iSjx2HABrgylr5l7mhIB6oD1qYH
nYGBCbN6AHIdrO+03sTPtTiYgZXtfWd+dCA2dyY7qDQxV6IxJIySBdS1qi0FX7kbr5d5ZCvbn7ab
D58Z+r9stHC9ZYB5rHu9M8W+qPEANmwHOrlA0riOsQHm172KsCNI4PxrBNUwU3BeQiE4+1ajJRGN
y0Eaffe1H1zPIU8OlDPrk0NT8+CLNvSQQJqi6snRIf7kdVlzzLidn2ZByR6nWfucB0DFueDT/Io2
K5XOvCb40gGSINNrp0Cn2tQ3Ry3zoHE4php6FMHDR3x7pm4u5pjpBxopOxih0dtHxu6dr4/cNjKG
qtEPyt7YGSBK+KPjuSq47P5GY6dszjxEG61yfwaaGWvL0C+x6qLclzEV6t758NyCfdA8lkEWhNdO
faAdYaLd87PpZLOEn8hEO8EtUJxd2/ETjcguopo/TZRI+80UKqJU4nt5aYpLvvf6wjoA9QgxutGY
N7JHfIZeeQJ2aclSgF3nYTUV3ixZCvCuaCyncOSbJg33elfyk6JG5Q4rQSFsDmuyEZ1b0+v2QS/S
D0TgdhU7RTLdpcVglUpxaMKBsKSZJeub57oa0hl9PdBTn4aT79bbSp8f6BlPJjpcfWuorwjyqNyb
UuSNNMCU8qFB68LSBAPokiAkdHAAHwYgqTzRKCDoHbCEj0YGpQAJS8ljaOZlAGGsgGfGVE80uJ48
pHAaAn6Unpoxr5aQPYeopHjwqC8FaMO2a+WYwi7a2ha+/YYFJtN2co4dbCE0RGPJBY0l1t5A1Een
t2NDcFtmPEMvWVWmaxVzG3hVQ1ZOG6jdUNKV6zaLxrq4xk3lFpIGC3+Mry+JVYN2DxFSc6fHLdr+
SjdwDl2hFRD6Diz7AO07+zA7Plx0Cvq70lq2aY9PkUoglxzngB+jcyf7SDYoISJTem5LSR9Z1eHq
UnR9eSt0VxR0dVG6ibquE7ywOqDSdCuhiu6DuTNZGcGUfQP/SAwF5ILfTzF2R1SEFaYro/CzL2H/
JQFzLPh7QmtLrcVeHTurQAyptZi8XuqYV8PZ/wid0XzZOmgmX4R2OxxrOtXRrXGkcYkdpWPWt/BP
wqg8oCAwttmk312ltJHG/KWKuc2WhVIv/IHvjHRDbrqMdKgxWIvrAqwsuKK67PsVr+60mrC2UTQA
ySiGGD2t8LwkUhiB0K0WdFpnvFp7GSRhiLaIwkHVkWiS6UjyxZD16jQPwBaGRQus9LUNel+0Ge0d
9EJvgMQP7XH+x9R1wVJqQotj5KF2R84GjJZrPe6LDc0A8t6XsfTyP2tes521BGQfQokYLW6Cx2OG
kuU5mrEwSJtg4J3+1Md+B9ogOOUjDh2Y67EGBlM+2eqsyAVmZhvSJpjI4EMbrYYyBe53rSeQ7HHa
OEOvQ2ldQV2INI7o4ypqvabTWWBd0PiWraGQaQGv/Ts8htys7UG2LdNFJCgogSQTIKY/Cgkj5cji
upfKu0B3lAlxoaDXnqOiNYUmFmbcWBq74+JAw3DgGweLdkfdmS8mshsG2vi7AX2lKpYcFNeUzgYz
HusIevsfnjv7eKjhJSeMPH6mM8epGB4KY7FRDnAwig2wqhwORhzusTCCl6FGvCrJU8qZGnwUyVgJ
z+hmuwqE+tpzM8bxuWbxjhrJZt1hj1Ce3BGXfz/G7NGosDgh+sp8gGAfLYyoyyyIMRI+lfce+Z7n
ZvYRjCdb0ICEoOb1cwOMMVkNMU28skEEHGDIzVQm4QIUa/WpCW2gyIggeSB/l2jDxk5zCGEKP+Qq
i1OfN5HLl3VrPVkx2MnQ8uW9REybMPXN5oNVW97daLoaHoqm9hmrgXJ1R8WmdTZvIHAwyVjwR5vg
4GlbdJJZbT/vHUtrFhYEU88T2lgWQIwZ4IOymnMIqilsGBkgs0ySi3fySvMnNgjM6usQl+ki9jTj
6AYRVkNFHg2DotQlb0eXluatF/1W18G1GBLJBwWTVw2pci3ofxwdeCqVm3yfvczY0CdJfZwAkmzw
lZHJj+TNJ9SOwn4RQfd0e/MRbaKwPeDl4i52xxjEHntH4HCCLP5qJhC0ktynYpjxtt2FjpfqW3tC
i43wykVwQjKKkEqAZm5slCbhZ0PWj1BQ19oNNWFMvA03pj8zKCwDFnfowAuDPeeBQRYZnRlxGq9G
t/GesdDhrooxcXa0msy4/uIBRPLQxHHwEoMlicx1HIZHc66mJQ3/KWkEYeIaM2x6gcifOZbcaC5Y
GXH+3ATT1ajDiCaa5EN3uxzhxUPm0VQzBKrpL3k02Wx+1Yw7IPMDwLqDvgTQNU0rtLXPLlCwcRbf
2dydtxAbAuQV+/Y4/tM5ZXMBk5VxSZDeuRObt1c2BmLeRTpE1SYdapB108PMpKcgpGi2cxH2e/X0
HIrJYxv11As1axsNmNFePR2vYtiEnfTQ7vYSbFhPMQBRetGAoaKxVqYTO1tMaMAJYo8WGE1cW35x
k5eGmJmar2pI3/Iq+H/KTfPIOXhtWRj2RwZ4zYm2x90+X+azE5zkvjnZaBsbsrr5uh2NaklDyVhJ
p5qJ7WaRgvU3fsU4ZAGiDXxNtMrTMMQXnsnw9itoVFO81J8H0SiEzvoRHYlwG+JjnCo3eSiwQuTF
LfLIForPN53RQVXIdGxNh2brrKhz4KrvQPUC0JnqTSibKdxXrNtetRTchMgy4ThCt2OMN8UUYNfB
ABOTIMegQyvOWvAFgovSK/ZkIxq3OLWcm1iyUyw/M2BxdwqHpwB2PZu+YSOwkE5C8qFBH80vUc2k
4wbCR6kiq/GaAuguu1v1EBndDl5V7VOwMG94GWqftRhfJhDH8NtpXmsC9T7mHr7WWPdaC+2L2TE1
EBjn4f0ENoQ77nX1khxlON4nRR+/gqqg2kNpLN1AS9IXBcnP6mZeD2kVAdOF70nbG15BWAqRd65/
8d2MnYj6JPEhQgdC61ca9Tmb4juyuY35ygU5CsiZUjDXZ597Mb+lA75dLmc0LATp+42Nhmw0vtmz
BVjUP6UGNJ9WblW+9qPqP7hQGbP+QLWC5wOTTdB9mIbpoTf49yZ10LfHwxzVzYcsGqp1JGjYXGAQ
7rCneJYUpNxz8yVvwmlHXhBNJXe8x8N7hALJsgePP1G+Se97LsUyK4ieVb6PRrEjJpcOppcTxEli
986v+E/MCUVbJLYNM/DtrWiI96lmhR7+ao92j+KjmwzYfQbDKUtc+wMUhMjqGK17B2krWSHRgQ/m
HI8lclIFd87w0SoB/m6wMSa/dHrfxl40WBCX8juJxhmDTCh1BnYGFv+HLjDXtYMm1UasGMVResxM
bfhoRlW3ccOO7804hox1O1wiMpYdQ4iTP5piaUX0Z1jTbO6NsvpplHHcrEsoDpQBYO2aL7rW7Ck0
lraHZzhRyo6iy6PMa3Nfxu1thpENm8tvrQa16CmD9gDY60vvnutWfUwMsDIGVeN96vViZYqJ2Vj1
MaqDwUZF5JnvfhrGEm0laASmGn+LEDVUhKMNa8MvgGcVErSupnPsTMTdVinK4okKRVcnPN0ozZK2
bGBW3ZYJudoUS0vLKrQdbNYbaDNtDODGQc93yltwp6YgbH+rgWHtQQzwfUIr32Ka2+hlNvp520Ih
dddHsfc4gjVtQSGJh4Zu32mgoINqRtZ4Z8eY0lMqquWiWolqCbolvpuNB2HLIoxeUlvDdzIHDi5s
kmk/gviMUyOyYXtYo6MW8HfPFZIAdKqP/gS6ROq2N6BDChY496x678uoFzSZtbmV7flov8Pikg3h
CNm+Dxaw4jRl/umq61+U8UB7cJY2P60h/Anq+60qW+cQmQZFHPb10uYx8EEbnViJ/iVK8g3XIDw+
h/EjcLMgIhzialX1bXDfeua8b/0EzGvOcJuUFaP/wwnTx9aa+L6sHRBkQ8f1Z1MCXZB1kLcIeqN/
1AQwH2+i6G3Afu3YiP9ywUJFB+A9dXRl/EqAcNHw6M5n8KtC890zkwT6meUfCTla0LELjiL/c0JZ
BEunt6u72rLRleZjJcXzo/ih0kzIt3r4Ukd31BH4pYuJ7JGD7TcrAZDnypEYwcMA8QDkKaubV+66
g0jorcM3+4Nr+WBB1Fr8bdAhr+9CKwWMNQptvGeIu5mcxMKsCwXplt7vBhxjSCGbupNAixsXOnBB
8NCsKUndCt1F6bjrgQO6mdWhBY3AEJ2Y8cBw6vreFxALatve0AvvUL9hu2c4h1poQKQcUTKhM2O0
lpv8zYKCqHeYS/wrG3YfrShQRWNtwpDJoi4I9MDZX0X5e91eD8J6a9cA1wEj90ZXUDkh3ZEqPtIt
vVeSQx/flLhDSu0TP51WVE7cnAxQ+ZCxiNBdLO7Jq/mX0IPmgu9Wm6ZCWxwdCjto74MAaj6N5Ue4
VzgUXSf62gpQCZjoWBH9duQlHk9yqIx/dFCwzcF62oKDWGPtsoJKwiseItXZFq1vRBGWQdl3pYNy
ZU9EYiARXWqucQkbRh/MTqKTbH6zHqDXUR3KqvwUJ1r7EHvF5aDb80Puli3WAn7Zx95MNhPkL5Yy
TDhSTzPvM/SCisQh0NuHSRz8ssmwEa9hF//dQVcq7PqTuggliCt1wYwrvV888LxkM4grUTVyhDU3
Ngy/XbB1sW1ZJewp6Cy0QdpZsR5myEWTrRaOhOlrl3nTPUVwTaxq1h7mcSKBDr4Nsr+IMzxZREJb
j8G9qEtOqlHqzaWuyoIcwtp5rxvZeruf+w+94RVYTABDsBdF2mPnQJfM6ONunXQG+FWFg/d5u0C7
zrRXthQkeviKjO4pi+dFc8daa6sK6WCO2A8Q6lioJCMzIemJjgpZnBwF1g8WrB2nfenMYAXDt98a
aq7tMg2cSsoNZTZWPaLB0taBECOCGvB0TmrnxQKrZA2eW+fOZvZwR9JEFMvTCXqaQqmIYotgB64I
iMUe6+KbzZ8dI46OvuiKx7q5XS9qoUdFY8dNfQRhWCfg8V5lxQsznfAIiA366mU0BXaot5Or5Tab
oRJtA/nXlw8hyTaPoPNycuyJ0RC0ejrISiNIFjjgCxbqzvg2GsFKZpcHGnoht/dp61gLDT0OwLFl
fM3KpHyA7HL/rE/4a6SdYUO7HrlUzi2THTnpClSu6y83hLYOZ0v9rgEkSNFkmAZb6nzNqX82ejcO
U9+HaxagUZKCZH8tlFArKOEQtoH1ACOhB8a1QqnvwHM0VrZ6u2vCPkArJSQf6JAI7Q81pDBw/kGH
4Dd7+p5AsZVhoRowTyoMNBXYF6AxXSLpsHhHexMm9GsX4DWPD/SXLWJ93llO2S9pCKow9uRNT/QJ
IQsWyaBmWenxAV1z9nMMMYvb+Ch/olA6RGhTwfIg6v8t3q8GBjXPJ0uwx8v6ISib6H5cB4yspgRq
DR5zV8TSPrjjWOJRNV2Tu+uA/IJ1SZC6F8zzwIcOEC0NKSdMIOcp3cTqTh463NRRQ5lSQ4ZOFlMM
8fIGqM7VvWixuATlX53SNbL3OyK3uvjVXV+d5pYvBIuxqD47Iz82Q8GPTJxF+FLZVlX+EqT8YldO
irW9EEz8zaTjKM+F/tiia7GMTyVUvEmh1wnkK3U/OurZPZWjFBkiw2VlVYlStEDvVoyFEd7X1eWB
+QP7N4WqWhRPd48Fw0Prm9NO5qgQmXf9I9CP7Rv1C2Vfe+T57ZX82GsXUGbEzoX41ckgOlU3Tvcg
E+nU0hn92CpC3ZFKVTYLKIrVNDfuJmLh1m5d4PJFW6kXWdXRYOX3qx5SowfusZ2GjbKBuX2bBLn2
t6SiyrSlZsdgyHNKLNyIg2Vrw7loazSVWvWBRkAigrpkmK1hZVrNbjDm19ip2zf+iYDOWZ0W25ZV
4zZvWfG5+Zr2ef4Bz9xVZTh4EnigNVu3nT4vMvHsoIP0qLFlds4a9NiQF5BPj/fIv8UoG52RQlEt
nmY8NuNNjp2bxQCs1LqZ9fJT3qBLtsFqPaTE+vuhbvBmJOytbdQrzmsIkgC4+HE0XsicQl50NzsZ
2BpH6B92mv/xb9lGV/NlO98PRcpB65L5+yDrte2kpd1Di572ZdPOxltVGc/gqbV+9sWPAnLZ30FO
k4PqIOxeHc6ydZpw56yL7JKh997jTiuz0yw0KTs2g/SRc+wug1x5GZSV+UWrmLnELkJ/n1ZVckCr
kr+ZwO754ggRkSDBZdhgyFggjc0l8MSXWI3bNaYn/hMtNPpo8F/NUcLRoIRFyhQo51URNHxHe4/k
VcOpAYu5Cv5/zaUFThU8dglIqPsVfT65Ns+7dgQjXAuCy3Tpox99kWH1ZUdu7GTlT+YDndMnPsua
P+OxExBsNV57BwXrpTPC8I4gLD1q0IdWzisMsDwdWwjxaq7lSKBwJKDFEkis6viBEIHBogiZZF6h
dc2y6rm7Zi2oxIseNN5p3rVPHWRQn2bd8hfQ7GE7GpKjXLqMV9JPOX1Tgvw6yOmH16EiFiTGztMr
aNvF3Fi1Xmjsmz7EQrv4AxVoKt53YkgLw2pIfy+T6SsmVpzxySzsaNWAerYFQ9kTmNMs6OXGApZl
1U9zaZSLNkqyb0PJzl7suB+asbAAVkVEUUXJfeMnWyPtwVbRATkPOs18afaReZ4SI3m03h21cGDG
dHFQRigw9brNs6U+NRcHx5aVLFXkyR8Z6hqU4QZY+khKvL3yrVZnS9m9ETGAVczuRY4Uf+Av+0hE
4MpOlILkrPgLmcmCf2t0LJO9uNjJSTSEE7EU/qpIdj31oOpitieiyckNE8rbTZKsFAUP2QB5S1Yt
c8C6q2Iky26B6ZzMuRprtRZfx/81/7YePuLz2vamZI2eEohWNXgzS8DhTiNsDhur1JntjVbg9Ro8
mtguLM3v5CRTZkGDJY/4vSnefmxnMlal1XsrnfV7omYbwHAPZSLo9tjeWityFwy/+fA8p/5n8k/6
3CxsAE8etXTQIU7XW3gcgNMNiZ5bz5/1JAA3+G+JhsO1hVkXyV06Q3eryKbinnW5B1YTEOfPlWt+
tgHrMoRixf9fBBM1QCp6VaMdH9tqaiWvW/I32jeic7OC+ZPLbXuD6QZwPDd0cWoYZzY4imjsY4fl
v9aUSVL7qpfb1R3IrjjAu+ugTLCxZvX7kvKkcWg9JFP6fJFr7PN4mbkDe4iDCaxdMbRla39GZ17j
v0VObq81yDQBpPdfEZWWs6OLl/+lLShNk8rCuuTIDmhJCp/pUFlVD+ZoG31GwuZZkQE2+llGUBLP
+n6pmSOWqQJvBJ8K1IzUez69/3cMiJoxy6eNctBbvxEX4DZW7preBShnmINsPQd4t/9nQud+sh8s
k6GT/Z3oWXI80/iveTe80Ffh7mQ+hNy9FKM4WYGKqbyrsvKUbjIYtOHB87q1MYQAnofdE3SDi7fR
Yu3K7gfrLgOwFVIcpbUN43p+LHtsoPVd6X2BFIBMavxaJkXj0K50zbHuir8ktSJJXMlLR/QAuqOO
mXQP0WDJo4I9LvTruyAiFTQptZnmy7Qoxj3xqLhWpW88aHityTs7IMdqC15hgwmMLQAcJCDGbyWb
i0xgHBQkU39Po2YI86UFcOqe0lU18l5VE5eO51FWIycdxL1NVfAfYo/AC/5OdeACgGpiw8V0Of5H
gIa72XEZ4jYM286tX2u/h1QTd/MTHbQqK04A+WA5Zm6KeqczIXkLryccdGaTl8bylKztVETYsaga
wDJ/Rd7GBCb+8LJuzUG+IeoaTn+pq1stIBJqLKMdHSTOVJfCqTjVleH1xO1dZwNnla0rDioED8hr
gf+vVy4B/jD9M095Nu/llgdtdLRR/Zr2sXeQNkph2QhNebEDQtsgRTiYp4zpe6XCR2dG1cpUZVfp
U5OdpNQuiNlBNBvm2bKrzPAZCq/Rs56Xd1WkaWcymfXAdjXYzZbkJNvvEclYsF2f48s6ylc+60+V
Z6OHSRy60B42Kf8/0q5ruXEc2H4Rq5gBvionZ0/aF9bMBuac+fX3oCELstaevXXvCwvoBEq2GBrd
5wAIScnSFj98J7b8HRCfEmkXoeqgAILKA5nhtbo7xTx+UU4UqHFS8LBenFQgsiPFbwPVGt/FzAL7
9tT027HROrxEg7wLUBug5hKHKkj5EQUR29xrQgHQCK2VC+TgCggmF7PIr5KHvAZT2xzb9U4pyAFQ
UkDUsEu2YsK/n5PeXqglgd0VaStm4L1arJTSShQii+xlKlaiME0NnCS8XL6tok6Vwha46MpVyFda
uzZapnvxwcgGDdTxYda7YjsUBcsWeCR0s0XumkDXEodWNzGnIQmv5lnQvekrXTMPI5/zPYB+FqQg
65q8b6ORnlyuQqglTO40eHsR0cnzai7PUanISU1ppAIrBQAb5KlRQJJfhbpxUzZX38DtZ1Arp47V
sDXF8Jo6Wnidi4136r6t0X6RGeDt61qAxqHDQnT1dYBJvkw1m00CuDde5GDBOTZCQVo6kDG53djd
hHJp1035gYLmal0V6lM7TgFoOXnmauXLuclTuDobiktn/LkNmZPhZ9+FXFp98EssdQq353WJ9/vv
TH3uS0z1veV6wo/5WG5SF5XDjt7XT3QI+tTcgKvLXhKzCI9AL0Iyt68npJT+4b4tkOEnWaxJFZup
nqPnfHb3qd+f5ZmDPUUQa9lLWcSZ+TZIOoUrVatTgIwnf7sNd/cUhIrd46I+u6l60DiJNXIlkV0x
UJmGOl+jACHegJLPAeCp4XxFXmVE32nbHUow0Xy1W/3XrI3aPSltM10mVte+ln2eog0OfPDCaAyY
d2d76AehKSCVJySoebAiJ2xgxhszbR1pjNG4RHtpdyCt5Yy/RrEAF6tfFkBP/dUCCRuuF6iRlZYL
0HrqE8zVmBz/AyXDvgHJAP6RazumgRIMVGkw8EC/f2y2Srvspz6YXibm59hHxbtKs6IGc9FS3nvI
xt1CvAlFNWvukQr6qHFdmsS1JxVUqXfldgmlU6mO6nW/KM61gR6qIMhZhKpLE2tQDSB5XNaVhYCi
mvD3kSgougRkpFuQ5A/CSZP3iqpCWaEJjPst9ypA4Jn6QylgZOmAV7X61DqTFBHgj9fpKEHlwwOh
/LwXKZSg97HIVBOOH8QSIgpDK17Cq1gk6mFFYcjqfSwypRVFLKcu7NO5LSaK80cdBSJ7P43cBXiQ
QevQ1+mrpbEQkONg/yWtp6Uu0E148CJlY/4KluzwLhSFOyVa5/ZkQUp5gMVNDFqBHCiQ/hbjZhU2
A5/MNAB2DmZmd+u1urapBQwE+IDx1Gv9IPEwtNqmvBYHq2EVoLQBgKaxbdn/ARVmOAIs5vr10gCj
J0PqBwTOhsMZv6FvBn4MQLJmPr8Ak9E+8aTPn1Ogxq8i1KKBmspFhk0cwqB/sJIivqPZ6Fj5vR53
e+aYfrJszD7Ygg8HrDrCn0xqv5wXKEWr9rqeFc+k6MZtmNsTGAlhJZpwDybH26Fycvl4Xlk5Bd4g
VyZRMbRyZVqEPP+fq8uPoFZOgLQCXqHS2tHeZW1XP1OwrhwjsVdKIuzwB3NUygleWwW+5/RsD+gz
Xxq9DoidIuuwuYytVrLHzp+27P3W3KitU7xa/HRZWh3JQsb+V9gUYdWy3GTn0MpHhSYZxRdnnA/o
Y0w816jijRbbHh72/d6P1m3o2CioGuwDGmeQBachCZ2qeDfvRnzkaRi3tXC5MqFhUc++tVTR5IiH
zjm4bkYILuZcDfGi6lnA6L9IyUvFV+HOJ/N2CjlvNTiK0yZvddbkcnXqckjSKycZ+HJ2t07SPG2M
7X/dhG44a7gh8JmYzkzQcYBRz7u5Cc1TgTZmtImKa0l3QrUdegMsXFRavz/5QTEACNfFnhjNWZxj
WIAGbR3a6NxXRjQCdPhwkjZceEp3y93hItLsaabkylcuQFFbP+4Wt6tSWGVOo8t5AjfJ2oHgMQaF
If+HFb73murGhIxYNR90zeP3FohXVnky+380abV2BA9JDFNbH9F0UPFp4wTR2VTXimCVWYn/h5HV
6wG5xL/AIxI5mS42r9iKgEEI7QPMT/Gjt5ZoIAIuhEa5E9vSkqYEDpL288WyJ1QQZQXuyvvztnIP
7KC1BhSHpbqSO2Z4V6Cg8Z5ErjP3u9l0C2lBl/NK0043FoXmF0t5N/lASyugJCApAErxr+jkW9gA
DQj5ADCr0ARJnoH+vVK8CONxIHluEqtfDu04bpUMrcaHshC4sMLM8rTyPpz1HdmT6H8RiOxsQJN/
EEh3wiFZAt3C3TKtrpbpfyQwLbQD3t5iHM9wdNNzwHPIkMq8wSsbUlQJJJlXvtjAzz34TmGjdXgy
wD/c5thfSMwHOnRgPzvlANcIQfvxIM2MUvNBvTK3CwuNVsl6BMsRypzx6kwuvt+dndHagD09BsAh
FZC0YiHgvfxroSDhG4Bzn93JiRbTUc+6oGnt/oq7GqCTomadGiy6MgRM5GCuSEQHyXxBQyO3c9KS
LYkkkwbNL9orD2uO5xU6nngFzFeDDcfS0pNTLQ5zls7HIt5lZZ2AMSdAbp3kZOFWLfqR1Ry9vPPR
YluSkMfUdD8DoFbs1COlHGn9FimcTD7iyidZ+awJBfhu0yOZXT1SulC0woOendGGiD3eFpgWQ97P
awYkzS1VGFtp3S2GsWnuaJpxVPkgRQyQaq94sor40eI6ypKHcTxkA+BmZFmyiAEQSF3GiJvkOgZo
25dJa3mvJdPuzqBX1lgDeODyLU0pKgrLNKzXKCIUfQbie6IvQH5FpB87dzx/WwE4BNZTVYOrRHyv
KtDV10o+Sk0usYiuFDK4+mOpOHVtr1mKutrSRYkmfchy8n9EfWo9BI5mfsWFjr4JdMc590HdBAsy
mnXf2OmNDQoyUb4dGaCuex/CT5n1AKpF86sWrKUPB2puGv0cPXRoZUWHJ3PTiQ+OEWubsejz19gH
Vm6vYbvXinVw0afOlS3Lo0Ta6iw624JXcR8FqCqn6tUsDrCFVKNeS9av9llrL/CLiGXpqcMq/tQh
/SzqUMkh6vtm1+boYiUZHXLm/pkAyBgdxyMrtn0xgbYvM80voc2jXeUBz6eMYrSMme31NDdrtjG9
KNv2/tC8+mX+k3Yk/Zx/x36R/eoUlb81sKu3e28wlD+A9WIdFa83jRwUh99Z8a8bMZF7T3oe3znx
r4mBlCQj5hIln6ZfNInNEoWjFiiN6dcMujKvAcqivAYoWhyavymvWXHevIA5dfYiCdnTAUVh9n4A
4RPwQL3+G3hzipOLhtwK1ViHMbbzUzSHxSkRhzAMROVkmI2rfK4AbVCEAfCMhBH50ejiTC5aWg9A
AAMNeTnnOZpMqmpNrAMjs/Ola4GDCzQ0FgCL/WXn4ofrOREKe6f4DyI0+NRpAD/sMambakPQg2aN
lwGnP2MYXtAMB6LXIIs6xN5mbVQOWD3DM6ShNk5A3SK1Qi38JJREOKR4QFMGKXJa352RSCqW/jMB
BTPaVECRPdIhQQl2e6Ihci/oebe0MD1q2CuQepq2U/gA+kE0/5Nf2KJ048qapGFStODq9fOjHoKF
nkpKjGrma3BL4HJyKUcBTQlKWtS8RXHn2pjx36NkqiiFRlSZQnYFWvYXFFpWudCQbLrKAblmjqJw
0c1G7WvU3Cb72tSchMpG9syRUGpq66AZZgT2H1YdlZxGJEN9f4YdadF2R4e0wn+EqQXBarZdf6ez
9A9FlqS4k0Ag/7fRTAPYxADHJcmXEjvSlIOCfyQTk+FWyup9OPTZVv0Mru6OPOjBZ9mGZzX9XiLx
U1PWZIL09dmEtDe/KxVltvJ8gxaaSCIGek7SPfr8XoIFamI25g9nmMd/zy6W5DfnD3WOYhqjTaoF
lQrGqJa9t6PikaoHqUSxC7MXI65d/H9iQz4aDHcNdNBJVq0WzCzu67B6JFNyutiTKEWT0doH7QZQ
8bEjT/YivksVscBOeZm04Bw7ucSWtYumqAz2bbf6ZWoxEDeMqV+CQn3cqg2TAc+Vc4sEHYkGYL/e
u7WFKzKeMmmnBDv17hYoSdVSOX0WqBIPqOR1CaS3gbuyOn9cd36wM8bRAUlBCLxpMfXb3LnLcpSm
0rSsPPs8jXVty4VWEltcfAmRxJqqdcsGO0G9aMGASNuypwhUuKvAHAO0kzvsaUoi9gQmpWahT6Au
pikpOLphgeMZ3pNXOmb1ox8mC5qR1Tx13XFyUf0twpJcA2/zNs8GFCoLGSm8rDmvR16koPUmsZ4K
B8JruR6Z6R2rHgUk8Aie3aGw77247I8s6dZVlwN2p5h6dLmaHFWbfeGhE9zXuqMV+wADo6GUkhPN
hec4ArBHKq6czlEMvtdRj3ykKn78D6L80U/5drD7IVyruW4OKB+mYv7E8OoFWlrYVgpDpzsBbmM+
odSvQ178Uf5Q3s/ceOdyZj4S/GYSxM097uNrg2+pBx6ct9orcq/UAo/qZppQr3yYer7Q9DavVkDh
QpOi2wynphvunAmIYFbghv4dybCN1Wx4ryeLFlfWk2NSFamOm4wJ5EHQaMMnaV19Vxj1kK/ISA4n
u202vvCMgFfRg1t90IcfNjqY11bK4iPPveyRMUMDJwSauKIhWaNy5drCLfx2N09VeNJncGlbJvCl
y+DFj/3mTyuxciC1xdYjKpSyvRVkNpAyOHuuY2cAmKPlXkyrhuWo0Nq0SNgD6DFswZbcOBuACrW/
xoo1K5BhBHeABYzuvbLgS+o6e2cAsNLgznSNh3PRdtwzEz/uZP6Oksj6FNThXwU2FDdIZQAiIBNo
ACDSQjdzGSZ/lV7ENmQn1QWBBRCCgHBUavJLMo0b0px8RIQsZdOmLteUg6WcLbbjs0NazQAYuCDE
W12cSxnZUdbWF3YgrQwWN74kU+lf8nUBL7nAQwMuCyoWhclmz1xViW6vQGZsYcNdA0BEmoDRVcBH
kIwOhjm6x8Ifr+TgowIRIHkMeFjCbjMCSGMJPRGu3TDBI/3KTApjqeXsDoBOQCVmNkhfbaDkLsOh
6jcZcE+AwjPObOs5ubuQc5TthPeo2cebqTAfsRPx2IS4qooQNKODCiPDArfjHKazNFyYmtZZ6AJu
DTsW4B9GZz0BLLbvZhyb4K7opScoxgTt9WRJs/+D32WFSHTkX2bvV2/FuXxyZuRnAaD2y+XMAAHR
v5QhQKFjd50iVfBADOi6DcCxbEYCyLW68KW2ovDFKfnatVv+QCJloSjTLzGURT605xgkExYU46NV
yOK3q5QdKg3MYigXZacX96wLf6AU0tzRrEchpbGohQIb9lKBl3QABnYm3xRzpy9dILWuQuLDpGcS
+fDStKm+bH3HWElCTCfuUdHrrkJnTE6miYKHAC3uz75l1Uvbr/UfWc2fGhbgXVCzkISamn9yk/1h
h5H/rQuZtxREno+Ae2q2BeBDAdnzSZwEcTqKkwygOXLqX0nUbt2xRm8orkZJg+4JVy++AQkFtUrA
7j6V3IjwYtb4q3xy2+8X074HT4MwrYETv0YSxNwHYbsNTZS+gpfHRnViBigWnunDSx11gWDrRJ9s
bbyUuJ5+QedMux1919z1TTC+FHn9uYUvYpS/i1GneC0FxJ6zAmk64Aa79onq0WzgS298KFY0pYI0
YcH86Gwx232zqVF6a3rePiyyHyEAsJIlsM61dYcXXbTyibk/h90i0Ed97/dR8kyHlv8JWGTnkSYo
SjaPH/mTds665HkM0m4B8gV97w6tu9Y8xndJEz5mGjNesS8bHVyOknFcifOfsTEumOEHP6ZR77fI
iM7bzrfs7w3I6MhAB7DeGhu+uJoWXffqeNmTEwP/CTBXMyj4yvJOC4zxUZs7VFwKxaT1AEDiuv0Y
eYCrAZG4uazmJv/5/hRQjIAHDiH/7BQsjmZqETGszNtTsNsOUAgeR2leyvXT5KbGyep7A5tGlbvX
4mpLIiT6gCtOQzrowo5GZJeBS9kdNGD1eQlaYnG5LHqg93S6jksoZupgOgHIdvAabEexLeUsBOGt
OeNmZF5kPDGtrVGnXF58SUEhQwAeyKstxRTh6iI6hyOzGA/vJXpgcf9lqUSmJchZBUPbotl/DZKV
VALaKvJSsiOtM2tnrcKspQC6pRtrihyZXrKwShOwplpaLeSDbznlzV7LAPcnH3VBvPrJ3Lb/NIux
X3Fg3y5TLypNAD1Z030Ut9O9xoMvuIXUe5qRfDai6R4NiyPAlaKtktOIDn0/R2sKR7ZKQf43IUU0
5pfV3vHNH/Jchy7Esz1YIORHEVMeWNfTGy1NlS9IcCxQHWp4FFXMeDUBVTn9GC4No7YlNR7x49lo
9TU2HnIM2IFcg4BwxBaKayET5q+J1cxn9riehJy9kwcc8vf2eQWeLuZOI3ZZmnHP81bGIflH9lM4
HFNnqraR6P60rXLfOK4BBmJ0kZJo9JtqXQDDfRWJhlOSDWFV3Y9Bt0R9ruktSBaVk4FiZ3DWyakw
ZtmAp/8pShZgcTNAuyuiijXCZDROyq5BDzJefXKsIc6CDl6tV/e60y1p5gTz/DBFDxn2eu613Hpp
Gs15HfLReOnYU2XgL7XEDvl+8rvxsRO6ZLDKRVVF4B4W0xI8IauoGJLd7EzOq6kZLhgLUU5OgbwM
jM6DwwDsKLS0ih0ZL7WGJs02SI2XFFu6Ig7pP1tJKvGqDMyWKl8kyD0GK0OA/3GBQqgOn8qacfxr
MNJqQ7afmpHWSdxu27rdn02WjaBiyoulMRkoBSiq+i5qWXJPzwik7XHKyIO9PZ2MEQjQkzFBn7wb
vvwv/K+ih1P5eXRa4hIdOBMnOy/Skzd0LdJEKNlTUDI0ivIfrR+ED100Zo8Tsm2PVQ9CNWVKVkE6
BetOgM+32F4ZVoQ3308aeOVb9MwoDHqDmhgE6vyUePUW3S/GqdGHBWv67OgLPBY64NXoPKKpNs36
iWzzAvcuYUsiUoIk5Mdb/2aWWrt6diyUPP9pt2LfBMVU9yTxKTEU8QgoNNxdkizMSzybkw0cUPc5
3JHcmsDgbTC0VQL1D9hhYZwDfS8tgagsDmhQarBBNC8TtO7dkSjw5uaBJ+F6NtpsDSz3dOO3tvUt
EldL38qDO5ra7p1lBMihV8l8byKdviBx55X59lMnY7jTDLtd+1rib9DZHL/yESAYIm1NszkMFw1a
mORM6KJWS17H8J+LsVIL49+5UnKc/OooWrhN3qBEIMJ3MIeTvmo4igosDSX/okYkxMvwssrc4G7O
LZ/kSe+d5SgtDT+V86mW9hTHsbXbOCQ3Aq9fAKxuq9nRA3UYOVMXP4ZO9EANRqhejB/f6wIveKCW
LrIUM+WXGMkDdSKZkxMDbCJ4SEcUJ58h3YMn/PnxjInakkcdtRPY0jDdb407/RwnvfinmQ7oMMMz
cpp0T7PTWcBBdKolA6jl89zX/QZVDtkJGO0+nrSs6ziOHbNvXj5c4higXgsWVdw8GawzN3PUzruw
w//C3DL2IxiGdDGKUSxkwVjyH0qrRr+3u9F+Go/s0NSFBsjerUHgwYE6XXjpqRIodoFvXE+VllD3
6to5a2mqtFo1mcCK5z7oDUELsce2RX2o6nRVSlJCD8DyceAudB2XdwUrHQqg6qSxopVSDC1rJKp1
XqOkpOVNsr7CrSYhWQP+cu12uHuluuW/lL8SNMIhw4ODadXJIu9d7egNuSiwMoy1lc/emrR67s1H
R68KtIFCS971r9bqslcSlHaHm2M8ase+7MKjlyXI4V8SDZodv0sWUJKBMhJ5OZ0TDyFewMLlUI3z
aohQmGP1QOR/nwSgaWMU8RJbCvGGC5hKVxxI0VGbF7wyE+AVC5KRSTolMZD2UWNTtv3KdWewUkZF
A/RFsY9AB5s2HQzalVDSAPwdR1vsRORAHD001kLpSBxrBmgCaag0cyBAe2l+q0eXSY2n2LZ/dMNq
RXkq/GtHi7gOxtdoYM7G6+PqENg8f+jNBLnTeWx/hhqSb+LVMGudCJ2L8/BaJNGwwnb5EvS+CUiJ
WJGg5RPDVKBkVzlqWn27dqWaZKRtBSw2jYBcht1WNQ8j45ADOxIIO8b3vAImO40CqzyPIjEaitH4
TiOlnYTsxk5FAdXjYej5X4ynuFRgR3EpE1dXuS87AKNwN2jmkhJZXCbEtLhYoGtV3zIDXGNTCxSj
IkORviOmJLNL2wWLyheSVLYH3Ceh06va22RzGi5vFF6KvG3ItXMM8hhBmiti0CTCZiwKGcZX7Ym4
KYYUhLogNQ++RJXmrvsRqM5Z3GpodjfCTRrY02uZA9aw9wzjb+2pHAf/b+VTjylbAzKqOeTDvKDy
lbLu5wWLXLan6cxRIDTz6rssVanfa3mByq2EpbL40sr614iHxlHm3boW/y9iSr8kOuT6fCWilF0D
K0O39SP91C5WVdtfi97HYg3SdVVoGKu0A2ymwDWc06B6rJBAoxmewOWM0sU8r+WMkFbfW15mpLtY
YmOLr2KzCO6bunzU5y56Za1TH0Mwcq+wrTX/IeRtEUWvXh59xTeobSIBHauQ8qd6LE92AmIxIUeN
IZBjSUvzvpy7JVIMqKNTcPtkg8Zs6XeG2m/Th0Lj+QGw2T52hQZnl5t4DDUB5o99QMjydhRt+t4y
xCvqSYnkyDSaJYAHnTVNW/RtWoBcRRQ/aP68ktHwEiVwgnIxlt64I/5MbFfgoTfS2gVNcUk6E2um
QHTpgVdCEmLPnCxcIZsJSTplik71cYdOFFC8CoLNK4V1bwUJoI8lFUvZpl+IlUAyFzCjvC8cwB/R
3WQmNgMHspqDMuTqznGRuXXGgdNm/OGYGqCygETNXKd5pkPreWztDT06ZS4yyy6+8jQvTrgst8/v
nUhkokFcOjX4mx+b3LWR3C2w845X/Mg+RVODg6kJeFcxZLEGBDvxfjQWpn3KS7QnSk1AlpeDNidP
Zpo3O7L7MJZh9No+KD0UYPw21M2aH8cSJ9vo2ZOHN0XA/jojAJ8DnXM0YDpIhlmut7GRnn0twIZy
KNMGtBFiahpO8pyABWgscoYG9Kb+3mled2fEA4qXndlZTWy+dp18oMOQa9J182PSNX/1Nmq2Jzzo
o6MancDJmGZbmnZ6jyJGG8zJNLUAQnjfhuYTzeig5z99zY9eUIzVv1p4VgRc71uwvEIbMgWLRZvg
R8GQ0EeSXdMYW84oPZoNB/wT+MeofP18mMFcPmPjbsTeA/eNrWdXZ40yLDRP20wVru1KpiKQjIFh
O2KBd2zDpNVXpK0TC5jiZdnLKdnpXYjlpjQIj1rEN2o18lDhh1kPFu5kGVtSyLOkIZ2MF+EmcSVU
juJEYqtEunjMLdDw5LgfmmUtiBxATUkHw9PPI5b91aVBd6xmF2ak7MlDFx7kFtgAtB0BRg1o4DfZ
R6FIhgfEYaVjp3hJxlcBr1aIc6AUG7XzoE7rSnu1/tvZKTuKCobRFOBp4mxQ/hIugroAq4j4dFdh
OjY/p2bq7LGJph08y7wjfCNCNaLRRX4FdASAIO0Qjfadjdsp/okFZhnJLv48Z+BTuchUuFoAn72X
S/AkWkfD+sOEMhgbJX9VLhgGh1ogYdlLxaNRvomIVYPkJOpwh1U8GiQCN/ZSJstcgFSrOGR2Ed3E
EaspkQ+qmQcRmk6H5JfVaO33sa5Wm7zzWZMZxfngg4jQzjC91lmgo8U83cSgff1Cr29GfTWxzhN6
BXybkNmbD70Avk1Kp/9e9t7zILK7TlHfMTZlJ5rRweAgiXJ5gz07kdMlWVhGzha9x2yhZF2BYgUn
7wDqh0BKriMFoEKSXIUkW0vEBS6xsy01YJD3Gho56etjRRGckpg90Yy+1vci+r4yYwxOXuI90YxM
HeEIBI4n9afgKXd2E5ga9KQ1FuCuC3+ZtfMao+HytUu8bO9aWbfp26r/MVnhkgwaDbvf6RQ3YAXV
i0fyBBpq+Et/5xnX7dnTCMJlBRxCZO28p74K81ekXk+M4z/Z9vTsNcpsdzlGRrEjZTYBBXZqgQcS
j0X2ak9h+Ghl2V7OhMPFneytdnaXHnjGdyH2L/Yx1e35ktnQ1tpkpZmxi4dnvA7QIbuMlGzmgitH
qnvTX4UWXK6E9M5ArwcdUEQXb3D1Y/mN8ZjvCpagMFiA1JqB2626qkn3kZjOuf+znZvuoSy84Fv+
VXOb4lvQhxEezuO/yQPgT+wqQF5q4DgWAUg76UwGCGxwuPq4pCxnAR0Qax1gxcFgk25njz11QVcd
G3EgLR1uZNKDNLgj4DldWUqhiFWHwbOSSxcQ8R7Q3cu3odW37pL3YYbX3mkMj46FTbS5HI21FFYF
t4JNOvVAyCSDaw85JrG04CPw63SbmVunso5nmQpO6mupjI5CT7xPi9XlnImhOpumBZYg2Vz5k5rm
pJGOJCRvnxaVH6Fz9cZdZnP1PYxRaNMLFF9iu+ET2t8mf7yXRDYk853gYQQU5hEwk2czoHR7qwgY
udhrhIz8L67kpGyF+5A39pGsSD5qjGNv1mXA39XPIT2O5j4A1d6XdQBGkYuXJNihBW88Bt/Ew5PR
oEA56Y8osi2P7IsWtLiXt2bbo7xmnvPN2AB3sBMWZEYjaURzq7KEG1m5lQZfZDVR2ROV8bRKczBU
E6kZHbQShR1X83GKQEoZmBtl8qHdlZ8cRngDJcesA51W3IMShbLHlC4eg2h88F28HbwllUnMPL9b
oeI3WdO0FRjnszDl7k6mmVEexBfKrJzxOLqYANOOO9qeopEdraTMSFba4GuJwRa5KmJk3TK91VaN
SPMAGzu5S0O0kIhZLFJGFVhYnLIanrnICblxDVIPwxgPpFTuYCpFlgh1IMqdHEZsLXi1fbRyjvyj
YL4bsNdeoFbvhSgIhqxaGsjbvBCRgedXS0vMiIIASAo3ut/5FTpHTLHCv/3er0BRLuspv8uZXXRu
gH1zx3EBylg1rgPyASTSFz6Ag0GK/nYwOgeM6Qboy1CilSRgvoYGsAh8F/Dy0c+cs3EIuFdk7Mv+
PAck8dmPPPjc/VkOTrBFQS52RgWEhQ7yljIE4D02D8vTlfwyvZG5WYuH5iE1sG3XRO2C/DpDw1AG
vDh6jdkebEsHda1YSMilHQ1JSLHpQDLNG3G6HZjnbxRyKWVIztgot0GM3P5FvtJDnRLN1SJkc/mw
N3JlexVKfEX0YX0egKv78rE+Naag9KHZiG9H+CvbElD4QEUVwlkcnKAv1gxY0Atf7LYQXj7h6Ksp
yUJfR3KmC/c0k2bCQdnysNG7BS/nKzu05gB+XbnIubBJRjPc8zaFGi3jxdoZGNhyBJEmE0SaaG5r
jmpKsllwYNKIV/q0cQdwxQozsiW5ciCZS2ycV0My6rG9WC5UHMe3vmeBZawCXJ/RMMm76SBYtVD2
Mv5B/8Lyv5n+c9W/dGUP32tz1ORv4PbXQgEyBJBeUZhvq0T7GU+BWwALDztZV0O/75xikaY29sJo
SAbt6ILwxXr0ogykJMKlqXSXocMT806fEOh2iO04SP0YtjJQ4kXNajbSkx2giLsXRMIRAI9WERJB
h6gDkbBZfWu0Iv0Wh3V38tIaRQVCnJvG2YqlfnfKOtRDG37SLt0W2+deWPsTqpdmELhii966s9t8
XQ28OGqNbt3RIUDn2YQyJxRnjxn7SrJ8DEwwKQubZAraZZ2kEQDUMZ0Km9dbrwEKzSVMNPjWXVHo
5jFCEn4OhwW6JNxDACgqFInjUKO39GiBtkmOsrGxdm4aoowcSh/8ydKMpp1ftfjmP3Aj2UcuKnys
2YBnJJvRSKydU0ZykZt4ahpPycbX+mmnt7p3wG3QO9BoElMa1fiFiroizOXwRk8+rPKuvXUkN1Co
X1mrGwUZm5aPiGpBsrmZyqU+N7/Ss7EowdkZ5OuSWe46wIYfniCC6ti7AZ4+RzpqHSr2SRr2byOp
/3Cei0htZQULaZQQj05gdFiKHCieV4A4b3B3qcaQQmX6uO+a0ty7jZODf8Gfg7uWD2h3uGikIWnM
wovANhjP0odkdADmOhRpDhDBKJriRQxgaEDgCWhwPJfwraEV+6pFL13r9Rb6Qm3/X2pWpc9A4NY3
RWcDpB0Ao6+T5vzC60v2p1e138CBEnxpiwmXDmGQuX7yOhXaLwKS+0+DQqu+tZN1HcHz60XYDel+
FL/czF/FI1jh+FDxY8p0oGaJn2pv5u5y6qfoGHkewMuB94H8vrRqw6YFRwechw6PxdJKOCEWWZVZ
yI9o4mrlxWG6WAEwEj+fZsrR/68/+C1QuAmiD3+Efj0kQLknED87yPDjtbwXQvMj0cW+EP0HTgOw
MWWPzCpg6yf2QsEu9izy63uakb3XBJ6MX7DRpPjKnqEzP3amBglAME5bU8tX9vieRhJAbqDhQip4
2WqZu1QMj1eGH7NQKifihrR6zwH/wwQ4hM6x7rjR4/rVg/BmYadeuSUhkVG3gtuapii8d09++eIn
Bq5/yoJGfjiGmynmoG8V8RSPtfKn6KmgypURlA1F9rxnN523WeJoizABBzsebvpjJw6teBWgUU4P
+jR00RONtwahklIweFarG09GrwcUSQ7JVS/ncTlFVjLjymuabImSQf/olJ6PlGQMDHMaGuEjS0Ct
Qko71SBXdjRC65Av1W8OZYNvsM2TbIMk4lhsCdUy0UsUdtXNXsJhInmBnsmpXQ+WBYYR0213WtFd
j6I26qQsuIxu7Kb3voPRIbeT9z8rIO2utMzy10iVYhPC6/pypQ/eu3ntxqCeAEIqsh/CPuqtJdrg
PAGVXrLo4NfYzaKZVo3RJo1DELULJeBskVGa21UMlMVyqUWBv/CKtEM1K0DXczA+HDoXSG40JY+p
Tg6pNaQPvoBlj7TqHI4sBr2T4VKB8l7MY4hkFL6dCvjA+6rX8BgC2K5FmMfeQ+fVHpJolb6ekg6b
h+JAihEwfOhVd0/IcZ1FF38yUHIVgxTtnKDyry8G7AN4IKU5qC5V6k2lNlS0eH8NB6eWzcCqZ5WU
yuzGVXhNetBsSX7VR6taW29Ceaz6atZTvb2R30zNwB9XWTP67zja0tRcd/kU7FWfGfWsSR431Yw2
0K1N0r/JsdLJ7jQEykHcub+2oW64FE2gkoPy96AOAEe7aWe3Hc5NyzSRUGGm57o3iCkVkGJnYGWY
X3iLIrZyU+qJAxzsAXgXuvNqVa37jDrRLVAena9IR+p3U81yPH9Vzlce6tW+miZUYghtNLveWi8N
bUNaAGK2S/zuTKDfc30XDOAl7UwjWzKgGuwH7KW8xC7up06faAuQouCaLg66vejR+oScnZMti8J1
Xj5yQtuMhq4UaOt0Bm1zXZvTEWXb0fyVo4575dX5IUwcX/aDTVGEsvfal/1g1ABmN0ig/g9pV9bd
JrNl/0s/N2sxUzz0C0KjJVu249jJCysjMxQz1K/vXQfHKIq/3Hu7X1jUmZAcBaiqs/eOoayz0ogy
oG9Zt4J80AROF20lbIedhPyRg0w6OMRGcg8gpHtHJjpTYgCn0JWq4J33l0MDdeqmyMPpFoq3azMX
+jlMVetxyivu26lSbQW++2OkJSrgmiz1plz/WmOu+SHW2A/R6tFTrfXDZioC7YC3YuvWNEFZrWdh
swdjtNU/aK2A3qFd8u5WyYrc191E90tRYl0IguaQbazRMdaYt1mjKHtsJ7frPkeP3HYS4osFaIBn
aszchLqu4K4doU+oal/PTEhTeOhR0ndVX+VeFRnTC9p5xdrtODoBOORLWvTe5A1UNFoo/W7Rqwbl
QN6mEnyfn5Jc8HXO1fyjqrQg4sUev65/6tqugWZJ4pi7wMEsSDc5uGudzDoPWakdkjp21liHtl5U
rmzQK5V/05TsNQLfAWpZU+mAHcwBEJ+bzSrC82llyw8zpG23ymrHutF5HL9MxipW2ADU76jhh2Ap
WG6ULK8BWIBGxSxvTeDqH8M07ndg3ryDvnTuixa9YLTaYUPYFr3NVYI1U6BWmBwyOVT0sfX0NuzO
jgV9P6nirgTJPXiiy091HYK6WdXZ2VAqfetOIT80TtudwBqOvvSma/wJL7fNZgRGK/AcFlb2bWKp
OyWfsvuu14ZtzePhkMZNfgIDp1hrdap+SPIWsmFK4nxrQzBvWLhkHos7fJqP2cTUD5hPoc3bSMoz
9hzH26oASSG1ydlx/erIdVtdOWGZ+UMxZOuateNTage5p5lx8N1Uv9IX0bFgPhqF+lKgZ3+VQ3ft
XDqNsf77DcbQ7T9uMC6IYzS0lquupTvq1Q0Grwiak3Xl9ATid/ehNj8yo3OfjaJSD1bvVn6apdWn
PE64Zyttd9cPlXE/6toz2VOB1btp8CNeA0jGx3Q/w+3lMIby98WQvHYJXZuhfYnHcdhCoKd8NPEH
xRuNZInH9CDtNPdrovfNimdTs9G7Md4VmuVTyxna6Y2HWDchudB2t0kX/2zbRr1R1KbwueQGj5zi
oTFd/bGW9kiDPTTBAA4OULAT3A2ykdOULZ1gyVE3AxBCwKmikzORB2CtxhPvQpBFdOj8LC0IFclD
YAVfUtEe+4ZBFwYtsetWhcokmvqGCLoqtrXDu8LkYQGtvh+1okPnmGGZO6wlrQkOSXBHOpjoFQ2T
yjoupoD1waEBnrZ/yNn41Jr2GfDE5p4QjmCSyI7SpCR9cx9xJzuWgg0+B3vaiTlttXZULX8qVTQ8
jW48fm9j7sV6aP10WPWQBEx5yUVgrVKsaJ6FkznbAdLChyU9DsrXdPz15nR0DJk/67h/EMYU3nVm
MEBnDUhl8I+CNR3YoJe6jtuNBOSBEL0pXiLH/tQF5nCOKxE/ujnWAqR5cgu2ywAIWVNSMYH03tTr
4GhGavsclzvTCPIXt+RYnLcjQJPkcFSmR0Xwu0QM0+eiDm6dxKo+hEOb3Qya0ftkD4vwLtCa6oPR
Tj6aw1TPyYa9MSkNZooxlqJI/Y0OpAqndkLGiWZVAmB6ExbflSHowq3RlWKtxgD6FNNgYWZtFecw
DwzIO5ruUcXywn6Iw+iA+R7YG1vcDiBlEd3VjXw3TWL1AUJxYMIIBvER7KqgOK3a8As01KQEo/UD
0NZVr+hFjF7dj/U4oX0AyJ2jmjndPd7uRiwG1bX4YPSiSH72tZntCRI3NumBB116TyC4kuFtk9vo
A5G3vRwj8hEI7s1HgLw/89y0jvx+KPRZ4gh02vYqKN1oR5htE+8ch5Kj9YTQ4m3oKBtzyHiLjns2
dI+uirelNAx/OjiJoPL1qa1GkKwkanUYtHB8wu9qT7c1iOWGa7Jjl2m2430aAltJZDwofekVVdfF
3ntn1Kg3OP0ty1pjg5d5SdNfRx+vztzRjD4Kzja63n8i4IQosOBhQR7kbJqtuga6tjhbo/HA64Dd
gxzXOUdm9ynKUjwUC33aNBr3mMW7R4i06PlLJSCMtGvxNzgu++ZNVqNhMShPtO86TlYom9uFp06W
fe6H9lONVqeXnk3TxinMfGuGNaprpg+iKftnUT4o5ViCWvXXiaJcW6RLASiAJRlU7kVvD34XM+D/
BvEIQRYDW/1Dd2uihX2TciP0iUeJmJdELPem8xixEjBPhwmyFQovhjsaOYUDloUqtIc1RISU28pV
T6RdW1qmts+q/IjufD75rByTIfWU9Bvujh+pG523mth1eRHhCYsWdtcFdFlRwDwxe6dhPRShffv3
xw4zrrRLAS9RwSStgrTMcBzQZ149dhRmVbkGKfuHaWK+XgOEQg+UqN+WBf7QdcWLgzoo0/z8AXVV
6uGFLbhrsMp5j/eELxTeDUO+/i1bBNBUHIzwMpvrVYofeqTchfiftmQnlZ6vwZHG97WDF63ADYcD
2qk0T0ShuyWttVmSrQ2LvTIxrB5JPMziwPvp3u0K7bjYS8MEPqd1G3/Rb1NqUd8yKc+hQRFpLjJf
x+0g9ihr0iFDD9U+F5gkLypz5CjUZs8sgCQWeyWvw3Oz8ReZOeyAV3QdsKLhOvQ5R3QBeVNfvF6n
rR77JgEUUbF9rBYYT22TGVsaUg84gPD6dkL7p78MFy8FkxcUbQ+pFI2bNdaM7ocVoG9vphzEFs8p
dKfbmaSQQTtti65osIm8kRSaeQhpoEIpNwvjYKvoP5NJMQ6p5D4k+6+ys8Xow1MSj7dLGbwavJZe
uA6X0kud30uTHUvIiZYlx5kTeGYrnmmHs7yNjm28v6AfviYzxjpGdByqPdH+cgscXo2JdTmBTUcv
iEr7aZyc4YC/W7aKFNV+AqY/Pihj0a7Imw2Jusc6P7De0mvI23/tmmwedslo7kwd+Cjy1uCc2Rm2
0fo5i5wnN2mDLdYXdJ9KKWk4bdF5Fq7JC6XWbDsAD7amXHDR2xsARtXZi3tAt2nMKZi9jQVW3xa7
IhslwMcAeYe1rrmpbih3mBzgdl1wbdKF7DFI10YMWDB5J7dx0EzSQGRAfoVAyyc/6ZR0R0Pdrrk/
6ugNpaHocDtz2SdTzb6qRvU9kKwyruSEsXQeuSsaX5yyGjNdjwLsVqoXhRpaxiDLiUeYTL3wX2Rd
nFIUyLygmqRIngmsptODo09z5mOddzhkTlE8Gb1yIERfPoXMt4JynO054slO8WURvtp/j0d7+ngo
wef0JOMNLBze5Nhs8N2mEf5k5O5NGQX2uUn1HkrEY/w1HMWLKrjzCF5ZdQ/sd7IRfZd/dnsgemQA
ZYrGxdKszFQmq4eQYhx/rZPxhWUxmzMjrA1uYp3NmRRAmbxLug3aUL7ltWk85K3z3EjcDgCE+Lvp
QX0cy9R8MELrwg4cJbRZpP33+MX+TrwZ9cZ90WhxbP5ghum+UpATdzb9lyjDlJW+GUSHPGv5nhwL
PTcNr0IiYNPXmW1AxFDu7RnyUNmcrSboCqCT9pcNYJvmhg4D7ectY1VuEy5DqkB5ZFsKCqcHkIe2
CMmz1C5DZ8TWxz/VmXMoPE3ES4o785HzRO5kEuhYwpTRI5Ac8txdQ2pJPZLdGCbAlwnDLA/q21mn
JekBTIXoDBm9ONqwzAlvONapbsY0jeYzstnSQWc6ZGkhYvu7+72UK5tjD8AhcItVQBZr2orcVJFq
CUdNfNACDz46g6JHDepn22TAJnIl4YhkqwoBkfABkCoZIWREnupQc5FDOqDHe47gVQs8uAs9iTDL
Rm+IJ/vBBo5km4g0Az9vYJxNBsxHUg79t1E5a2CD/E6hLVqnLkIdh5tzaJpF16F62nhmEuANXDcy
D0u6EJdVtOgO05b4js44RBTX2GNWVo6VFSYm7XBjim7u7cr5sMSRnQ66+zzabnBaLHQ2mvblFRYv
XSHv0JCw2OiMrpKhoXOxL9fDVXRVvF5lMV99D6zkhKug6MxmU3EIzbYKO4HmNjoQQdwVsxzo+mbn
5IBVjpxLGHQmZueVnWJ/L0tJPANXFJ29OWs2gZ3inZKLic4oVWaJKQgPPdBWB7Qc5EfLtNCThCYl
Hz1N0+fBdO7stkk/NE6Mu7kJThqyF7p7x8d2PE2R7a5IDQdrO9h5lAcaXtkuZHNmfR0KZ4GjrjHj
SwBw/pX4h5YOVSI/5dDwooZpGNibpEpYu0y8iystSVj9+4qmwDGNV22MledFBSDUlFXWAIw0v1Jc
3ftm3QPmunPM/AqyyBLQ/TEFC/HW6DnzzD7CIlXCjecCaGsPDb3VKRa68Syww6aJ5DlmDf7B0Ovs
URSLebh9L4m8YAl4LymQSbq8kjDx7tqxYQAcxHzVR2z0RD3YQbkOQeTR+Kl0zJxx5LEA8VvI45Y0
shHf3DthGikyUfCbl0ZUfSlCZ1TpLexCrpGqvxOy5F8Ek9FWrPhQQLo1TyWlgDxgl+v1rDb0s8L1
/NA3AVAw5B1A5ezrxZT7F0YrHbKbES8MFBKY+gSm/V/JS72lgMWN3IcI3eD6Qwbm07dcChmbQ6yX
2odouE8Hd/qgyQn/lN4LBS3SvwaLB2HkoeVQNX0nhzrPUAAMUNMHWkT9LQeDRhjZKhxjgV8vpvqt
3xvfJ1NJHuhQm7rY4+UL3BpvNqAvhF+MXbhZbMIMPwnQ8d5kfZ0+GEDpnP+9OqBpDzcg2AEjyl9q
qIzLvZwUnCXjGJ2VaDoEoRkfO+GE53bKo3OplOU+ZwWonN5sdMYVxfDGESzmrCtS5jGFV7dRp3pU
KRrHBOoxImvXRYtXbUqZAwch5otQfXLQRVrIHnvllFTFOjUSPE8qkK/bS201BoGP/EjLB8kNq5nr
Ww0QsvNHlPXDCF8izBQ0yzFW3QE5d4fZrfbJwj4JJM6U/L5tR5Dn5tl4AGw2O6GrBgvQ4DP9kDg2
2q2KwvoW8moVyeU+XSvm9MoFTdN76QYzX9PVMrhIp/Vrvavv9Kqu105ltHX7xIxTVGkWbruG22zo
FBzhfg99oP2Fgt0iSkcheKRZNxduMlZaPeeN+M13e7JZasIOf19OMLQ/hLlc29CZqwJtzSzVsaT/
2xfoJ4fN//yX9t/GlKA5aRyrB9PGrLY/AJ/xw5S4flU3z05TR4eFPZLsbZmP24xNFXqFA9ACzDSR
MgN6GWedxdFhdlBegLWtrS3Ae1M6neX4b6W78iPw8m6Sn5q+9+xk5KPAGo5nC6U5abExur49WoHH
wJG8oftCU3LcWZzEVba9G+Zyi/315kN3Ajq48eemz+wTDeq3AKqE/cBus4TSWSWgEkDV5kuS0VY/
LUVMs3xSteDDjCSWeGQnuquGkZ2cKcAXArc5GphLyXeFrifHJzzy1FyGTAwtF4kMUQcNnTPw1qB6
uCwAqA0INiTRmaMq6KapjbkAgZhnajSqUqJjbeZWI8+MdEa9KMJ6M8RNU5D1sdBZLepaacG+5l0P
dIxcAXPDjt/n2jwgC2j6wkMyYtpIQzpwkFFgr0Do63kP8f0aalP16YryoTDNvTl2yaXPgN1Q7dC2
1TNhe6GkjhkbtM9B8Ikutmchx30HUAk3lNF4XvwUHmZh3KJ9o3hNIiPR4pnaBPJJCqf00EAvP2uN
z/QKUESrHHr0s0jTe3Moet+gd4va8pZQMi+vE/NMK3c9I/sRiUTD/X4sW/WITmYwE2I3hNgsYrkH
IiALd0zQnEcmci72JkvmeKDIQeOoA+l0lDZ0rQPzRHFvNt1IhMcjZbh3uBauLW3o5628BKCSNQA3
GEoqN/JWPe+39JBrFDtcL8P3chcvNmS2FlAch0wr7gGqNnfOW+OxW1hVhwUTJdoaoM2a+5ld6aaY
iz5lbObcl0ph7S5s1LxJh6XCdafnPMaKxr0WhwDcuvGX2NJfCsn0TYcB2zeNR6e5EwHNLnnEaSjQ
5qGqubq/stOQIpbYJeQtaykJiln8OwSFuiJF2KZu8m2XoakrIKKCpAKOsp6wMEVukollZQC0iLT1
gVvfkyN6i1tsS632LW6x/WM9CqbrNvJzLPWUtNA3uvMJe+P4qRLt9TKHsVusQUUxWAlnzzKL6d36
1bPYljlHEZhc7raDzVDOexYHBVPVxSuC+Mvfnzpow7jaO5VSqbbGdBss6pZr6VdaA+OoqVZr6ckD
s6stmIFBd1yOxqHJApCk0ylTRs2BxjRcQu/U304p4A8rqB0hlhuiGYHi/+MqhWpCs/j6ilRGT42j
GLpqiy42lnvX16/tzs29IY+0rTqNaVWc7epjnyTprWoW1SGOHL6NeVM/pPWEDfOas69odQUpSqj8
yMLgY1Px7tlkjel3dZveQmIIHBAyqYgh9ExJxVA7XwX44XNskP0o/kwK1Sb1G3AnbVkoJujG/Dok
lvM6NMrq9WyxLXG2zAD6Dk0SYABmkHdo7xYv5b6Xttj+sXxORZdaSwrZ/l7aGcFG4V2lUB7Zlosu
tuVK75W+KkUh73zhpdx7l5j/TvQnW662pCy29z7BEjd/uWW85P1/Sudq9NNMa3uTsPFjzIGEpx2t
eJxAed/1FTbhu1y98BRDAFtGx7ecSeppDPJA2bN3+C1vts3ZsmIhQK6xpFAFSibbW2UyXZcHOOn0
9qnmzMQCpQx25TxqdG2L9ocFzq4jdc4mXeVs0ISi+Yak3Z4EWppKBdoEsoeWDnlf/Ugn5494chYj
mvre4mul/Jf7dLQPJ1+/sNP0/X/+C3ugqoquM9XFHh2DEsq1nAoW3ochtLPuQYxhujFTU7sRTaTf
gBLP3Rl4hw4riSEjG3nnEDzcK49Or/2siYMdcwG2l2WuQ+boucabn4Zc7SFYD6JREODohVtvsMGt
4elegx2KTzegsJluTANzIo/GdSp+nS5+OluGWmSr29rs5woXGXkLSasjlVxSLLXUtp3T3sUu3upx
89S9WexjaUKcpTpoPLv6as9yY7yp0RSV+kvge42Ob7HyRQFLWJ+tLs7veifXQADilmCpxo7z2NUH
XpfqI5gHy7s+AsKY7BRWv4WhG+KAbgfxWP8eZujpysSu7EnQS1tqAovlViATke+B1AZDDTHKoGzI
rlRas1veMEr8jg8QRw69WQ+expMZhN78xrGM6Q2BHv+azl9zlrcBssWRFXqLdv1VLjmqvF1H04BW
tanfWLJFLK678j4VIAozbFDrRQPIFCz0+m2IlTWVXi0f0B0dw4tOIxWKN8gNoTyNyQH/mLQZeutZ
H3+is9J040+RtCXSVurlX7z/dlwlNrqGXWAR7tHAlb4AeJtt9GQsDm4d1/dtLgT+1ab8278XkYGe
fDeh3e5YhNVt2kz5S6Lk0VoH0P0YJaw5DtgjXAPe3aOzRr03JXE4y8o5NNbQhFOM2WVoXplzKFH1
ytCuh6q60T3XiqFtbLtGb1NcTCa4pX4fR2MJviUG7nI5h+yt/gsklkEpvXBVdQyM6orWfZsnljTh
TIv2iz4o9m6eXFJIU4/f5omkrDKCr8VVQJGzcGqNgQpMX6+gD0e+gpKDbKHap3sa0sGszNe4Dn1U
0WrJ+8daxPJNcXh0pfs2ZOwUOx3WXda9parbdgiw4p+BVwcsssYjtBH2uvzfFyZOtSsVtF3WshvE
0tLcG4f4IozaQiDnehkGKZUcElSYVYUx90HV4p5xht/H72eliY6uK9v/NQ5UxDdtoI74QjXoNFaJ
bOHPfj/EhlFseFRF3pXjKrjRBAj9lxjKwyJx5E2yw78jty3hATReAtGF13ikdUY8UUYxbHrd0u5o
1Adlt62Gzl2lI/g6VtLbvnlH6dU07l4opJVxv4F2q36Rb8iImXbqrTrpYjbp8Jq/VKdrk9aaaUav
16aPQra36kt+7qSX1XMwfN04U2nfhBBlOWeTqm+UgfOVO+n5mWx0GKZ8G6aTcqQROQc8IyHlk/HV
EkZnWpVdxLaDgr7ueTkpt8R2mQbSnK9sEuwxOHqyWhztVGCWSWOlb0GfRpGjXr5GLvPHZdpIZ0uJ
sLIglZd1xmqqzU+ELUKH6rhJ8qDY0pCx7qHsJIejNVhnGUWQQjdUL6Miu5mjpohZZ0gxzbUoiiUG
akmc0lvUW60Z5CSvSFE0/DOKkgsW3Y0TVl3lr235odHv7j1bn0e9b9TgzVuC6dc9/2jJeP3zZq7T
+UEHdr6Ln3ecGRkAPKntDaozPUL56wGoDMAUsST+CBbgcRNFue2TsxWOde4L4UcdbyC4F2LNOXbx
ECTvEKGXB8sw4WoeynIGmKGzPGP3VM5KHe4LoGG2FFGllnXM7eGTZRfikUzy8g1PzROZ/uny2Ltt
q1WHZeqLyzsFg37jpCjzF6Fy8vKpPbB7Kvfe5UFFBn5K+W3evjkbeHzbFvF55HG2hRB54hPZLB0S
N14DN5KeaRSAZgOL8FBimvlwpRcvRK/eXuaDhAecWUyAnAhkknZ9r6XO+BlrBuamhaLUTovQhNyH
97RNSOZUraOdIc2IVlg8bOocf/Mpb0qsgDM0krpFCo5Ixu/QsAjYgKgFukiBfx2hjbtrsZN+y+ze
XndZmz80Vg7AV2s6HxlHD0CghclXMbrHGjImoeeGuyKx7QhyKZg7D+j95n37o8TU8uXqekVWVHdG
a43/zvW6vHY+JiO6d//D65VBKR7jPE7XbVzVvmhsbQcqya3mgOYtDkTz0DeivummCJ3+dfugGUrz
kOfgX1Qco9/QkBwJkiZeBLdk+g+ShCjbTcFL3SucDCCk3gL5b9q1zqpjRQkEl6p8GibN2c/u0lCD
I/RSQK5VFPIZ+yt6HmML6jNFE1aDDvUQzBlpiN+oF9RQH4vclvvzZI1mViyDHiDvzO80LwttA1TE
dBq5mtii1fb7Mmt7nRvK6RmlSa87Ddw6uGiPoiqhFtfW4S139r5d48pLH8BJ277Ebx8FlnpvGfPF
c4nveLvkhY3SgD//riemhscfluQKKZVi0Jpwi/8VYH50hJ/ZU9d6mXSxUoC9rkshgkyujlRVdPem
c1xxR5rtoPcaViNa2TezGLxusXY/KhrIfeMRLCQ6etDAAtndkiw8CcEvKVSBHA5WCOe0CxF5Fx2M
kLXub+crdXWzc6KqR1cj2PzC+DNuyuo2gkjVlvh8IW+CPpH4MxOGulXUX+bfoitNfY3+zWyrebql
9mKYgSQRx86qbbzMGIYyrAmlSNDG0dGhawSszi+oIxru7NRy9rNtwUjO4wtQ5DVIckZK/kqn0XKZ
OY/GS0mK6Z0g32mjCqFakMTFpr1ekMczWBnN66Znlfo0ewoJY75ALKemG56WmBnGTMZIA/rE+2f/
ciE6oxrG23UWrybAZm/WibmCDF/qcXDLPepmHe2B8Em2RgJIkOOycxIm+be/RkyKyOaIiddPymCU
fp01zfOoOpu6Z+JLoozgdG+d5jj1SXCu074GSq0VX6oE4IG0UUFqxXEX7lJDoMMADhD6+WKwhhdX
i+ot8M3BNreC+rlHSQroQiPzDRAQHNHq6p5ZO72WtFJ2WVIM7LWkHf9REjiz+rlyGGR62uFfCM5q
mlRV/m2BRNd0SweJuG1rGlZLrtaA7d6IDbMbw/vXtQnsKVp+2+npHdYKvpP8Jp8cd9fjNuEnklyK
O90AoDmkLcmL3W1Iv0bYfWFq+pzNxtiu07uKi++Ugd77YIfmWeFTRlamg6/bIpk1P2WBBv8ScwH1
QClBHGX0CfDwW7tG7dNkiGZSY59z3wonBVs3bxMraXOkbSY5hs4T9029hnQJTaqGOnrNWSZVi+2q
DrqslVm9KSvxXO3tHPKPRT6eqhJ9PZ0TVD5xxF8cymE80ZBCIt2qZlZ5slGuIC75ttVeK7gO3lku
6lDiIGsTHf2c2EuoTi2LB40SrhRXy5t4Wwy2thnwfmvpm5Hlwp87YwZsnvcMPaEWyOOfA2fY5LXi
PtZDF5zLEWgs2YNTZqWzQ3e1c52UypYcmZRodfCPScBQFv+il15n6h8/QcNyDFDZWMzSbTCOwn+x
+S37w9IBfLb3r5vfugW5IE0HT05dTedOElqhi3I6KzpII4VAZwfZ6BBkGeA8AiJCi801WHEr8ylr
KeLK/MYNXvNB9AzenhTvTFHcHG154C9xlOZHNSkrAPhAE30cysnVNq92re371pv0UHiv0mIhGA89
tVQFOpYwOS5AjQ+5h6C95by7bwY3/2Ak+NNXTF23oxLe08jO1AyTFaPbdzIC6wZi64iCo6MdQ0WU
3e1QNvdUjBIcS3Y/gEQDHOsTOBSwdKGCHPA2T3xanyALHWjzWot44Q8lU+c96nlxQwGViExYwjoj
UHRQS4jCxw1AnTe+l1K/EqjkYqYLVml3eYWlpo4dJQ+aAY6XOHW0SiXnFAAKzb2Gl9tYjsgEuuHH
EV2UtzSy+6Lzy7RptjScQkXfT+BFWxGxuZlpczqNKKI1h8c8LkYwERD3aZqynckrTPPrsseUXq8h
omihMUqOyLQc3rPNuW9pgTCDG5tlwY0Rq6DNsBV8nUx3n+KyX5kSHqqPzNirkHL3W2hOvsQTNrBL
q6tPFMYjMDhIe5Srxh7UYviJ5ONh2e6mzfDXDmIHe0W6MnwhrzUOrb2BJlMKvAZ/LmP9u2OraFbu
gIHVzLLDRn85fZZ2Q6nN9+x5G75rDxzwPWtQ+10tTHCqEYNZO0zvZnI50GOgrbUHVpZVATClU1q7
OxGx0pvHxBen5NiONiFOMNucKCpXQ1THfs/b+CHsumnXagkWizqgcVTbalcW8EszGgf9CWtdC+oP
nDnjuRb2xzaojOcliYZOEbwmYU/BhDxtpeGKQGcI6Md5VtTEu/mtbrRTE2+u4OanNzo62PlQnd3v
81tgj7mBxxqmehAniXcQTy+hOieznJpZmLNiDmhm7WruEZI9Q3TG3cKezxZHW4yoUmJ/f7HRGbUR
UfPQMlxC5oaiXiZXrv/KStFohbvTnJA/gyf6W4qJ350hR9/jLMifQUzO71w3/0Y2HUj2fRM3ow+5
4/LZSBnQgK2h7MjLkA8Shfw1f7LN4tlCE89dUKaY5J3+vmFs6NcvCyYmIWiIZyZEe1TTta9eFnBf
hE4qH9F+rCuOn3ZTyp8ztAcFbs+2JHTFoYWCjnLqEn/TvDJC88BTu7FvIcU8blRbnNAMZd3wHH9o
OsPf4PXsvSG6oSaQWUjYG8OC31GbvgVqFn0rtKpepYXWnrmDdQER9RME29XsMezAxI2Jgf1dvIZ2
VQ4sfgWoNYVO0Ci/CC2BLv0+JXPVJdRyNWBICBTPmHMDRpHpc6C4FWYoXXdyk6K/TxL352LPQV9x
Alxq01eqs02FUd4qA5ZDlBwtUW6N27z8TDwdvtgqcKCFY32LmGFg+uSMz9yVbTiBGX0fux78UgwN
NxVA2iLl5Y90LL9gpUS82NGE9VA8Sx+0JjDXNSi/Tk0ShvuRp+o+YlPvVRkzVrr8ReWgTJ2EUX0Y
uGrdl019GuWvKIu14JBWQMqZMgoAILbGVIRvG/CLrXtog6yLRkTxRwFMqGYx7TgYaXIQPHFXotXK
5yaoOHTVx3BnmjF/xmJc6VnV5J7Im0OLRXIlPPHMwpoS4DsK9JHAa/uTAB0tqO43tWXwHbMSR5or
iTfHSk/sZS1kKzQ9RbeP5AnM6jC+AZbR9QhCSt7JdkYvwyUnaL0Y0w21I5GQAZ0tB7KlYL7YpcUR
aEDWAzyiPhYp0JciC6wjMe86ePp4Oivso97b+hN5p061jrX7GLJB3VUq05/QXcSxMg9YXvP7MDPL
AsTvcbwZLB3NB4q2U4D63pS8LnYDaFV86gzS2FTs3Il185C8uc33gTZtLd7+JAYErOhHG1VJbJjw
kFES7VQNmvMQlN+FmuV3OW6kt1aIfle5gEsHPBuLsyZCtiqyzgFMyljnAcR58WdPwF7TRE8EOgZ9
Qoju3Sg6ctC9PFoiubSLLjyOhZU/yniry91Ppg4JC4Od8hbwoLSL1vTUU+Kc7zGZYP5g9OoORPv1
usgj4eVty05tGpVPShuuiUBhKjq+z/OmWA2p3j2CLZVvOQNga345TbGfnGNyCIl2vHYWyZmr2vQx
S9sPM/w8kPQcRLFQtnXiKWhyvaFhhEfNjS6Mn7YJcluozfQuVgyyTKnvHQ1vENYAWocQ9CenPu30
9Qh5ww9N34GaYpqmbwb0nVuFfw7xn/roWKNbedoUHLgWKD8zq8gOfdpUK2rtqjlkWHWt/w7aAOvR
DFuB92498UHtaz0ybif3DqYc5OR9jXcxoqHo3RyPHOGk9UM8YjMcKvFrlVS0Ri0rcA8DkU0C1GLL
QFKJTaMb0jrqoLzmQT/5sWkD5zZzI3AuQHUKFA3ZatTK4EfP+AtL0/wZRJ247xpZcLIDyCtMLQCy
uxY0ET4IaIELikAMEOtpcY7AFnJ2rTA5scJEX19fnJVUDdZjZXKfEc13Y6JzE7+a5Ckf41u07lVn
6rQuMRpUm5/plyt9y6g1wovRW14Q6L3/94cNo57X32amBmC3DpqvdRPgMwBtf58WuGBgFlaf9PdR
HFZAaVc2pEGB1/6a6ZpPFCDgl/jQ5o77LKp08mOuDbcQQwoP6AietoHVufesrJMVJYEa0HdLtPq8
JUGCFotyeNNf53iz8EhWo8nZJlP08AG7gvqTptjz6M1ngmzxAQqCX0fN+gqsrn5oeBmv6O5kprF+
KAr0Jy5Do27iFd3KKPjK+/fcdhh2xRhh3+cZm63DCkQo5W0fjuVtKw90FgIb7dma6LdXDgomb49l
4i1lXBWI4iL38iQeti0DyjrWxW3bmupxNGrtSAQENJzPem57qauW68W2cBTQGR3GbBx3AMz6bjuo
/0vYlXU3qjPbX8RazMMrnh3biZ25X1gnPUgMAiRmfv3dFOk4na/PuS8sVCrJEwapatfeYQAG8aOT
adbzgIwndC6eNFS8n1w7yUNhAmmK+qJkk4mgWA/glXlmbqUDmDleB+m96z/ZadLMg7xCsIWFPdeq
K8A/YnZu+23UGyg7IGXcFtr3wePqEeXmat0ajb/39HQ49Xny7hq77ZpSxpMrZEYn4F2PJbBMWnDo
G9oqV1b70iXBhtLbfYlbOuBx/PxvHulomCCzaT97RDzrXnrHm+f44gHsmIJSjendozgwWySJ5p1M
yLwchZWakLJO4ze/zzY8i81nZCjUpiqE2AZ9nj0VajyQw9gygTo4/fNIYxoZYSSUP7p1HOjxhmQ1
/TRq15DCNoDkjBgqwyegIUlvXnuuAp5XTU7qbTLUkscDfx9BZ63OCsBoaxRzhLG0GyiuO8kWKMPy
yTPZQY91/haM4N8bE2WdoCXiHNPU1BfUMSA3beha99y0EB1r6+HrSL1qMDJm9ikG+QYILKBApexN
iyy6v7EFMCiGkdjLOTUPBSZoEmqbOQvP8wbIOxBgLHV3OL3LrYAPGmzlCehHiJEk1bVN5wCYPnyQ
lHyYZsF2r4xmjyuNSfx70NX0MYjmIfvHQHoheskPEzmQ68dAF18dB76Uben90KA/5/nyfppx9KDM
C2qwCkGanVG2xoLuSok5djvXQKAZhEwQQWtUtzODEQy60x2Meq3JmTTms8mZxkJRXFtyvXDTYwL+
fBcAnFUxqX0ijAHsesqeoLvO9n/as9jSHntZ8b/ZKzfhe6vk+cpQ7HslwaDF8TEXmh9h1kh7KWqv
vwRV3B+SyT6vmqv4FawBw9/sfGj7S8Wqd/8mSc8GMh4bZurcZguB/fZv8ZMA/7cdjzN+qj0TYkuD
tqVW0Dr8RGdR0fITmC6R4fFSc+kCYKmH1x4lfHNjAAUSkuOn7pE54tj6p9mkKTN7HzfEkO+cXsmx
ArvbAEvhLepS/svcDRhewRWKu837pdkBpYflt9FtXa/Zx9PmU077TjpLhSMUQl2RM7fJSIerjcZm
dbe/mv7mNpYbZ2zqBybnNTT4PupHR8wN0Y3VR4N64EaPK17ObgmywMd3wUonTXhoOW4LgekaREPg
wVWL7ImJoL8HFYZ9L6MiW5hNJXbAnjggy4RrP5ZsQc3O6J377CmB5tl9nyQHvY747suHomZTtyAo
g+ogtYyPb4E+6PzV/G0Y2UwGmkLd/zVP5IOiuULdS+hEjjOBH3gI6FGKCAuaEpxmN9RBZ9fDFxs5
f5ngX50rwaGlGTibifT2rHv2L0oFZxlTYIfR6iOlgJtcFcvOS1Cuwn11O/TeN+k02hNQKfHer8B5
Ss261qKVh4qOjQXFtKfG8mOQ4NjdDfU6Y3bbBrk4D2McPNrxrTM50YQ5c75RiyZ0dFCtUtNMnPcJ
qVl9TEjNacKi97Nz37fBY26f6FX/fIddUMZ7mvDLO6Smclny6R3qVnJrl6OYJ8STX8qSPf/5DmM+
Ros0Fqg+miJuSV5/79JsXFMQjsJ2ZKez/8fWy69Dr+PdHvIwMe5M4KEzAagoYpB30Y6vMZC5RCjo
XiZChpFItOXCztvytfNceydxu13KVMkJQPBLH7v+zouH4S4po58ayFRfSzwll1heWTtqbnEHfB/a
Rok/D80w1Gmy/g5cDN1OcGfY4QIsxZK2qCZItUBXW9XLWXSPdrCzPh91saJjkA0QT+NYQoBlTLed
W/zWPUCJLa6iryoH1oRzJaMf5PMYapH98+jJzy1dAP3mR3qtqmiVSIHfDZIARK5UTljeJg1eDFnz
I5kQcpPr3JLJTM70L/6lDWxamZrnLC/lc4ekEW3/Y9dwV4kOzhAIVHyyJ6AUWmWT3Z3sI0JeiJEN
37LJTv6NG8u96XTT7ijmx9oosWjVrB0kyNiRTPlU2TsgA4/M4x8u1GGldX14/6BZz0GtvexGrCW1
IjKR+ItSUB7hjH2cgXzp3fYfvfkPhdXMylSIvFAIcs5c836PLaRzOwcdwTihhaot6s2nUKXizVaB
wzWkPDZ1UNyyKvaIbrlzRhxgCexv3SBdIyKHPFSPBNIAoW8wk/WRXGlm90eb+ltDa/mqV2BrGsw3
2rHGYhgWNiIDW2pCFb7ce6h8DamZT1SXzP/mek59+eLfTlSaeuu9+3Ns+hZZm0kkotykYBviySWK
XKLNvXLnki0yubasnc4Krx1mJTwVomwRAfv5nPqA/IhuwO62LnvXDA0XRJkMebxDxR3PAFoDCIIZ
MdA6Hi75PHnvJ2xBR1gCNTC1qbOaz8Bcf6VMVZxnsO9744rirbbUS1BfOlTbpmRwn7KK5MY3ZLD7
TiysIMiB0ubfK+FqZ38Q7OiCan9BWIEPe+n42oE7xWf7pELcV91nf8m1N5rn6j/DBWAv++Z9frDd
gTbGXhLXruVFyV0t6zW1iGFXCssMlZTRzNDrZl0GwpJ+hIDXROBbZc0mqStcRxO7r7RRSFg3Sb8i
sl7XG+fpohLgroXj4yunqciZpspsfQx536JeGFfjTVtbby1j4I8Cy9mlaYAZnBjKDCBcNqBLkGum
a8OLdPS3evJy6khdoj6+Q6jj3atsc3hNg6a5yAtquOoCSi9EszA4Cux286dXn0KiVXdRJJ1Oaa8U
7KMa+DP3c4syYVSvqeXlpqjiJqwpq4UQs30iH93Q5xGghYAebVPozv9TvWvbX0luTccOLNdFUByM
hb7/tciA13aSGKNs71K9NjdUcVs2UbWOChmEQaOn/qbJ4y2vLdBdywZ0qtfuKBvxtuq4Mg7WaCyd
pPPXsio75Gf19p53bnYZjFfeNviVatdooEufttsmytt7iLyAn7QKUDs+NV3oSN3XTnSXSY5I7DQ8
RYRsjSB2t6RmkQtxMZ0XatD8A9giP83I8cdeJobjtSBm7rx9EP1k2rNjqOxsSS5vh9EGfHrwjdfG
QyZJOZV2YwY6NC0rsS1bZrymoLVZlxnoUqhpWjYuq6x6Rk6y2VdCH5Axw3CmDd+/TGt3jfGa9Kg8
o2khWpk9plb+aVodOhybqH18z/rZKPacNTItu0dcz+nHWZ/5KsN87fgkpmnW0L+9egPdx29GDxSI
Q9a/0kZ6KECSKpXQ7jTVODcFww9DHb54Y2NRfTPjiq+t3LF2gZ1Y938ZWBkWFpdDjUhVaXXfgu57
EAeIkY/xiQBicuKzHrQoQJDYi8Mrcow6RIYkA0TS6vWXjj8noU43aKKvkyjLSW8KP/1mYeXXa5nx
3Iytto1Aeruih/Bkbyd7N9n9P+xXf5THffI3O1t/LkfknjQv01bZJJ7+l/ldYXO8bdEt5zUOs/MN
LXlquo9T4fC80Jl6uN0Nu3nFU7ehxhvrNbMYaDb98rnq+bDuM8vc5bzkF6idVGE8sfh+eEBJtp89
ImwKL7kxvntUVXwozeY/5iisZMlAUJpEgbcjWe/rZQNtyacBkfddRw/SqZlNbj0JtJLzFxtpun4M
my82H0v7VVRqMZacjsPT5SwABQW/Ev8xT64YCURlmhS30r60k4AUaUGRNFQ0ufHJLat75xj42A/5
PAmgFwcY0Wkoglq7bzTbPDoqYWcHRBNRqfh9Ky1+D+Yt8KwqD8voyQZhdHbuxiCkzk5Lm7As0mDr
aY5asKTpHnXd+J+z4KP3b34IToXd0LrHPtlGlpGe1OhYpyQvJzKCgCFIY6p0SUY6NERTgLp7B0wb
JwaayHkEct24pU8DMqsFyiiWcxL/uuA3BstBWQsPsFyYz2kfIBxNQF6881b/vUEYSlAoqRZVNdzA
swc0QKpZAtPnItUdSyAmp7bUWkjMmZEWDq6zB38zysrNrrqtlPYjwM5sS6arPUnin1zLV9HoGqCI
/UPjzyBRv6t039xO4mo1gG53R96z7ZMkIOhil8qsY9T7BPkyHXi9oZK6cRh73OOdLIQuY6pATIXU
ejq4d1RAZ4w2uIMtLCupCS4AOOP/G3JINlxA93qllqGzrslA0+x1+pqa/0pVc/WrCwOLNNPysVj2
xvqGasBYZf8A1bq+/lsd2FxEVk5VYNfuacRY1ToyEbDPLtQLurgQ29PqQNXPAI6ANQG/ClR3fzNB
JWaJwCX1oHDKWZLjXGhNfE2ob34f88lITteeKyfUtdL6y4yNY/TInyBZCfpG4zZFNHMnRcxCruHZ
DymK0ry166pYmUU6Mc3DZz5UunkLQgEj7C2z3lw7II5t3uYg6zHi0Qcm5fcAS28ixNzsecqr/fqK
9FquPtpu6E6vOBbAnpMj9dDEXk6x2fb9FW0VyfC/EzDgH/mCy7KAxjMByHIngtNpafNnAgac3jzv
ZOVBEA5FGu2kIN21XXnSYjC1N319IZPb6PHaKF1jiRVSdTHjQW4HtxGLqrFW72ViQxBqeKrfRXas
7XsPpLeBjRyDWZTnHrw2i1LXsz0FLLuyeW9SdJODHX3RJlDChQNZrg4yS7tjUBYSCR4Q0JQ+wiYR
xNz/UUYK7B8yAlaG3GGGWpwHB/HRXAKFkdccuYdpm3hlfHKbEVBVv23NEJIYIHj3k6A72HjIQwQD
N8dSRbg5Bm73aEOec07xudgS9Lqj7RUwCMiTghvbzrXqCTSW3yH7E/2sGOJXlWI/Ij/H5ZuBqHke
6UO35g5JS3xMYG3ORgvUaJ/0/c7z+/hW2WAe7KPOeHGZjjIMaIWMWQEUUfBQDKCrCFl/PWGpofOw
y97KaN5b1yB+2SA+YW70PohebdxUp6d0bBnvZq7JB9tgwTbQkMkD10wyx2FRtRKysrgr4lL8wzr/
O2NDcqtDc0T0ojqbfdsDa+uLxVxbR+0UpDWhljTRd9ZFuyGJjJ8adAHypplPNLs2USMf7Ojkjy6Q
L+5BFmK8gkf1lNqpeInVMO1oUebHElQEtlNFoIuKsnXse6D8aieKDj1Vz3Smab16RnTYCdlkozOy
zX6tn91yGbyYltAWaZBrp7Yw+/3gBOMaehLeQ8sVm5D/3g9di1fCKPk/wai0hQ5u0a++nV/jHhBn
45ZFdruVnWig0Z1nt0MxSACC5VsP6V+sG219WTEDO5Oq6Z8NfJ9kF33tbVQhunXPPP2Vg2uDZz5/
cLz92PrlHapMTrUwIbqI//a1ZaPe/i5w45O0jccg0vwn6DE+YXPZPY9jYqG+phWn0hLFPk46QI8t
sDPHUQv61soDZU+RmNshjtNFYaXNBYBEa201OrDmEPg6ILhfrhsAYu8rqPKGGbfEGxam+A+r+gb7
EGOV+7idBUFpHHVZ94+5VqL2F2pMtma2uwoU9aEBMiV7m2oe31MoNM/i7dCgpNoTZpQeyQasULvw
o3LYQTABZIzQX7zDVlrfALuj9n5cVEfPr1sEOPGTiKqrwqw1kh9Z44aWPtZ7mUVsI0T5ayza+sH3
XeADIcGJRVk9nLuK2VCiEckP3erCwHSdf2TAk6XpOOIUpbp/E2OhvgLsFFJciZeB5dzvAUGUbXLB
F8MX2Af2b6qbEN82/q1CPtq5bz6XYkDNbWenO9UBOXxxkEEOC+XbG9q4pqOHAgyIljTAGt/qMf8F
qthyi0W0Whq6n1xGOYLMHj9eoYr0Ai1wfgBV1xP10QE4i2KNGv96qbwWzD3Imqx0QNNDXJTZhnL3
dKiCRB0CkezTKZ0/mxhHvWxZLVtIQFz6AWw/VSch4iWCY+RJ7yngJhRJ4mzpVUa9+4sXikQRtXEZ
VD5m2Qx79LDRaDxk1qFQ8kJn0FjxFrMUCHONYa219n4IkuYni8z5ZLJ0kyWGhU4mS+za0f1/P4MM
9+szyHaxqXN1zzJ1EOZ6/pdnkMLm0ilH333QEk0PS1nUlxi77EtramesPr0DmVqnkEeNZbfUEpgO
bPcAjbd+8cJA53wGCMU6F4Z9D56d4UVFDbQ44tFYacRQmfvdwiggFJQkXN7RGQDp8g7KJ6Bnn2y+
YsYKD+SVNOtsmQq7AQeOjNjddFsDwcAdcEPOd+gYzicas7+cXH1qdSvdEFuunSZQZoS1Y7Bq28gC
GmqsX22xhE46+1aCRWoLMct6TV7RGK9NwbMnI7NsCPNheU92xytewG8sLgqSX0fIN6AubxpuBkhM
c6vQT3EzFufAQUV1ZXd73KTT8alPfLUzut6F2JBuHD27SG+AFWjWzPXqBy5VHib99IM3tyoY0x8C
wO0wc1h9sRJglScBmZ3W5vVtldrRIk9V/i0t3W37NgCBBxkQxjdI34IWbODvB8uE+NEYeU34pYOa
+a/Eas1TPo3JE+8XVudQb9E6fxkNOgoXrYLfp4FpnyP1YphZu3G1Ptm3kVktAVfyIOwYIZtaZT40
UXLmrSIXwh8o9RuXfuezYzH4+RZ/0wdPCn5MrIEdyd50JkLwMrU2KGm3Qo6q2yNYHexHF5sDAvBW
bq7vktp+U0zhppfW/sFADO7AbFOuHKa1zzIDBrBv3R+BVZ28MhDLqigg1+ppechZ3oHxH7XYzuCl
R8IvDcD3YfGka6GN+9U92ZpCnmVstbMHYOLxDiEbeIjaPRrA6xmO3e2KzjfXWRdoT/mgjvg+oWYD
nDqUE8ftf//rbPcrMZDtuUEQgDADSz/LMa0vdHQc5QJWVwb8IVFJfvCx91q0TdNummlziS2XfpvX
5tqPbblOsPNE/sR+mvSQfhrmuKjBIvyWlnYUum4jLwLAok0hEG/u2yE9JUO0rRl0Y2KvxYML1CCv
dhRvRkMXj51tdQfmN2rhdCUqI10Lmj7CLo+WaMVDVYLD7Nlv2vEnSIJOkE+KXysfS2NcntVt5gBO
Z9uZ2CoL1TueC8ElEPQAu6xM6xas42fcniHRwlZ6A0LiMNa0O2XmxTc8SNiiAIDo3sqbYdUBwXoE
L3+6E9Aj2XXQNwXMvDXAyBoZ2F0D2l6g0PMfgTte4zHsygegtNxCb3+0iZeGSZ7IJ4tZAOzKoLkV
KS+30szsTdY09mNZvFKW3cbKbd2pUmyjtuKvdfqNzIVX4+EXdPsuGoqtV3cueIoMdWYuq8CLkLzb
hmoSb+mlKrYDqifDT20a01dWEmLlmiKn1b8qBOJfgqYpFzIv4vsRW7AVREuQK5/+tAmqnXcZQIcH
bzRRSoEPdy5QFbEwdL147vI4CQM/qL77dzlLDwgJiPsAki3ArnpIpk6ijKPi/mpEwnhbWMDizUBf
LekiRDn14mQisZXpnB3mViphmg4x1CpOWVt97bR5GkMMCR0VU+xw9aUzOpQgR9NGCF55EAhcao3y
VnNlEuIeCzCu+3MNkdckpy619XOlsv5haL2F7HOEhLhKj5oWdCENgsMuLqILimq8vcL6Cc+4stsB
8AexTd7kIdIJOFL3gFLP1cBld1PltjrrVrozbXDzkOjGhwn05biRTBATUdviPG7SMmAL7Gr15bVs
/VrP/sVmWz3yYIRvFZ477NMemtQJaDA2fZO12lKOajeAEwMXGm7TkQXMWZa5l8BR/kGp7IFa+N0h
rKYQ3IXQFN+SrQCI8w4afUvqJBNoy5NVk9TOipq1Y8ebTC/iFdRGJtKiZv6FQWyR7qFAopY14F8P
kdRB7Qw5Bx2So2tXNr/8qUUmOmiTxHLVD2qnCnt3NX34a74wDuR1HfRljlrvvPWY9r+uHmbiu+vU
4/XCjCMgMUFDvQYqEosoHstLVDYD6izBZlZ3uXVr6IB6TC0N66ALG2tvGyWBDUwaPzHP1N+wbt6V
ckhDt+3TI+k+DWX73kyMici0tZFrtcQQYnMhIAL2+ywXKMsim2Y/26o5p4CT33Hd7+eDyhtokQXN
6WpXI+sXBitQaT+5icQel5pEfocSTVAtOgPmzQ8MQhN8MTXTAuIEsYwvRVYhXz2YalGxaLwde98+
W1omb1HTsKQWHcxcz28KZX6b/WNuuqjbLcSCequ0cM5NbIICEVJSq9nHVXqM7Z/g0E+xD7O8nelZ
3ooVLXsQUJCjBLkKYvYA8bM8CLQ7Pt2JdPyXbk3EpEg1ig7OyF6UjpiEKwP1oPn9cy7a9i1nTRG6
EE46d2CE3fcm4iuBOfTfKmjZkocJosKlV5baYTQhQI8MQb6gDgQ8t1E/sik81J16u2y2HYpY1jyH
KICWrFDKm/8z1FGyHtoCZYe1ip+cQNtBk0b80zmoaip9fKMFtIsujtJ/9ZM/4nV2KAKhbj05Vqck
limqxNChsvgVuMX4vhnFpfaEXNtlVawzrHWesL29FW7qfoeyy1sAFa8Hy0duDbXoCBEFFRZfGTQS
yKOq/JVfCeeVRxHwVa5C+hKaQCeodUNgVPbFmxM86bFjITOpJTfgV0WcJPaiWydq3b3Ux2DVG8p/
duMaFSi+8V2mPAt1LM7ugUGst2VqBRvu2clDXHg/8aQ0v2sBv6084CriBll5J2+L/WAaxh0vUOxC
Hq3BgD3BJlc2kHZw8jg6VFp5ljVqFLBHr9dJVGYX18MTMw1G/uor/zF3of8ZgtgkMgf8Bixuzhk+
0ytUHLJF7lvBhMxia93h8dHy8bUnRq22eOvpLVaHznKMefuIv1ONuGUQvEWNu47YiPq7oe6XY9MG
342iFeGIj3ybsf4WqoXaBrrG/oqYMuwGvC4IBZm3TZuk92NVHYhYIxaIljBseFaz3rdCqpfcIMPa
bv57GYRCWPuPCBjKYl3ThPyfBaUf27aCr+Jydo9rsrCVd5cbFoLW/TJvHfEDuzq28B2GVZuZOVuM
S7d95BQXRNHMsNUgBlcDUCCk+DGMLURC7CM93Vk93bFVo98J9IHpgGMbOmHugLzKwwIqVHNHpmXv
HXioYhlpRt0dEiNjVeKJlaLIo2eVvEmxXQLmD2WpA5WWkhotHVgGktuqy4sl1DdBHKdA/tHnA7K8
k9oBCiDjMOjARTvrHuQZv3HAoQkWlpgjTQzJhGZyiRqIoZGLhI76TQwp9nCGstMMrP3d7QjrHsxA
GYoqjHWqGf49Y1y7CxR/yCaQbwuFvm2nSbD0Ts1E4+MCAPRoT83/HQTQZh3mmf/9StOZASDspc5d
BtarQ+G1L6CeFncVOCSgzNXJV+kY5lLaACB2o/ReUrlA0at8HQzZ7lAnGK/0PpavViS/x2YQ3BWR
ENi5FQDjTXYajXyPGdq6ZS9VIIdj4WhqhXq15NGSo8SfW6t+dGMTohDd/uWr4OzWafI6Gho4poRh
30GACThVKcS+8dn7cIRo34cDdntJUnEESLV81gEvMPSAnfvYQ+Y0hTLBZI7rdjgi4aZCKsppLCiI
yjFvV9SrPGaDTtdUe+qto/psTXO0v+eARFUYxV1ggebDxTIU8Z5la7RAmE2wcQfQNyMU0itOnSyx
DrElW2L172xm2VfNyMHhAgriqUQT63dUCwOyFvaDVR8qq0EZK6pUV7gX5WtyyZBKvhFDXkPqCc4i
z+p709pRg/xRuASWNVPpuyhhrXZf2X63BvogRWQSX7nXNlsjqAA8lZl3MLU8X8x2B4tp6Khoh27s
xgd8Emw08QMrVHRsskSmG96hOQ239dY+Yaeyv6LhVTKl1tgAsu8/YfL0HVCvJVESRU06XP1QJvE+
tlO9BgLsqt1pTtof6YBVXr6Xo9g1bvNuIns3NVMe4wt3a7A42Cg7RzHCuKFvwsCDbFcjrrOg70Qp
jZ9RaruiFnnYUY99SV+fqEXDRRwM83DRNu0OaoTQEvLb1egHe9EU7T14LOrbVHrJLKNaghRlhcq0
bEtVQxbnN3npN/eFxWuEQSOs3+10fBGu8e9uTPI0pOFqmi3jy7jCxtXcBQor11rJ4ng9VIX+uVlk
v2pA1Q8OoD59SG7zaQ7ZcRDT61iSTxPQsAgQ0j50GNJrOcChtQZOQo48L2iABz29qQ1Q8Rmtdcg8
IxpDxQftSAfQpvgo/WyjlYVcMgIABsgTaSDCgr6+TLEx2UN6o99Ekfhx5d2WMYjjmeqjpZyIt6mj
a/Q8lJWZ7slGhwrhbYGt/NyIouTm3+Zp2I96BCGDZ474Q2q6cZP6pXqqQAXhTZvWaujYNg16saY9
LGJbt3aNdQXEiPMT9AwNZE2x570O93unuoc6wIY1+U+ResO6aZz0UE5JRTEI7LlsE0nfa5vOyGca
ARGXcU1+ZE8NFykKB1p5HVagi1SLons6q0ulzWfq46zkKd+NEeh3Upbm20RVcoN6OdTtdmxTTZJO
EOoyF26k9GOPKNwJKPRshvI7EivGpkoBWfXFPBKcjNYzTx/6HjQd07un94h/GJJH1490/Rxkq3qm
NoFsnq4fgex66vaLd6i06usfRAhC7CPYbZahmfTV+koSQjQjX5oNT+4Q51gLzdXXUH0ojnSopmvx
2mzMqth5Q3v8Yv/iC3mnIuTY967r6eq/jvdVZW8d2dZ3XTUUixRIt4Mj0ujBqqIN3brqJhIbXzXR
mu5wQW4C4Og2D0qvk6OAzMt857sOj70ueohMbcOjf3Lf6C9yErrz+GpEOc1j9blBurLoSU0ze/zt
Ztn1S1/6K+BTwDNg+0+ZN4gzUST5WTnsGkOHTNXEqUSHUhsUdolZNOWQ38mWMKh3tW6XJdBVZB2C
fKC5gqZpwp8KveOQei/SQ0x2zzQWQQZ5N83u+SGYDmlVcFy1v89mW8TKJTMZdOU/OsCJklXhdZxd
ZX+0hfkciSK+uY749+k/XjJDkSLy50EaInqrbfWJXJUOn/hRqW1eyVapfaVLBWFRto7d8ecX+zxD
EBVYsoMuBtv8hcgbxKJr8OMPHmpgg8Qp9tQEV3ZxZ8fFglp0SAddbr6MstzqG8T4CpUvPfxYV5oF
OutjCM/pk27BtcOXJTQeDM8/Yt1/Nc8kDzwd10C55ceG6/0dFfr7/nCOtbKCYJ2O0kTptSnYH3Ud
zBFTjT/vZX7oK3EgZ6rwp7EuhnmZqpYReHyQ6FHegpDrQd9MOzsH6om6BKtN7i3GAWUBrq6B2EQ3
4xcPqlXcap/rxBDHjHtmSOZqzLoVwNJii4R5/OKMwcV3m+YMFfv24qb1kbxar/W3ulNrS2rW+VTt
qnEgP9+ntrHOf0bl3vvU3pBn960JGYcaKLME+i7TnrYPwIUuQ7CE8qXS7WgVRU2zIIzODOFxJUQE
nQoVlATmucJ/FAf++doxorAfqyZL22D9tGGMufe43cVnybt7qmsLDB+5VCMCYMFAAdtUF7sooUWx
p/K2krN5EATL4nPemqtce0mMNtsgGvdCd0IAwt/v9dSkAwKVf9zwGf7d1xHkYhmGgeVg4CCshMqR
T/Uin+ojqJ7EAccBoKtsS450+FvBiMoMd12M6pU8qirK1Vx+4QTZKYhsbZM56retqZMSS4TplS1s
M/iyERYUrsCP9tv5y0tQDccX29/eysf4aykMubGYXZifIIDgWdad34O10m8CYI+npglkzB1UbAts
jGts5ycbHYxkyI9BEG8RydVA/DB1MN/cmabwD72HqygMJlJLmopmQY5yuEkq594RfFgaVj6s1bQh
SgMjPpumE7rTDooOkef1yyxBfoya2SDjc4lYLLXsyY2B5GIp6+bd42MOmvE6RzV5/NurpJ6/K+2k
XBXQnwmHPof+Ul6DJq/CEhVriNOY52BzxlPEwI0U/LMCYvAn8qAzYQCTMk642NlRy8piy8BPPwFb
UNn/DOGJ5H5EvnOVxJyDWiKN18mYOMgka5mzDoK+W6BiyNYQR/fqvTWkb5KaReFHp6IFmSc1xy6O
kPKq1jG0OI+zLXAZ6J2zttvN7S712XJ0IB/B3BqcRLkV3DlO5axlA2Kr+VVFXjwHk7xVANkCLACN
fmWVZnYEzYc4+nWVHb2kNLuQ2nGShXVV+jed58M295A7CsJAddjmP2fb3D+Q13Xi65w0ZnYaK/bL
dSu1JnVFAd7PtrIt0G1AwvH/UVi8KjUak/dXkcayhbxFwewt+dEBBWFiz0077G2hdkDfJiHdfa+3
77HE5iErhtPVrquuRfC/Gtdko3t2GjX/Mx6/bI+FcZ2DydNwDxxYsWBdDClbdwYuJjYg3Alol3IB
dfl96JmQbZhIY9cjBbWjDho9e8/tVuZbVndvlJfTxgBinSB8mJJ0REVbKfACmKgtWJGt6kv7kmWz
A1nyZgTds6npK/K3ERW4yCIk5tpSRwYkY4gbFdNljnBPuo17SBfbusq0zQgmNnB6j8dsus7pICY/
BMX5Iuq0ck021HxBpAhXaIqLHYMbatueHYde6kMjGPs4kHpRtAQRPrVvh3Lb9z7ggbONIiqRMIel
1wCdWek5HvUtQrORXSEN5oEoByvgqYRTQ+21g692cc0B1B82SglQB9lqtU6yYqti71iZg5uHBp4v
e6AzdLB3TqdWn3p5GFsy2n/tkoP/bqQe8iHbp+HD2KjNNPvXeeY2DaQDK4pqwZgzLAl+WQ45+BWF
PKoJw2lNKlJ0liNEt0prxwJINMVmm8Cd1DONGFknj4COiY35f5xdR3fkOJP8L3tevkcLkoe9lLeS
Wq7Nha/NND3o7a/fQKJaKNWnmZ23FzaQyARZrSoSTGREDHj3lbCbNvLuQHPh7Vg6QXuXoDkEvnkb
SAUwh0zqUJsMkB2WMRlLAxDyNlBfCXFRVgpqJyr6FNpzSxSX1SuqD6WDZG9S/dhOqn7Daz8DYdqw
6Lll7NrRn+88b9BWtaGXLxbKQhZu5xc/Tate+16Bbbw+ybdzOY0/NPE1wE6S8Txge31tdHZy53eg
voCbt5s0rsuZJp+XLx7UC0G1XTgrp49BF21y+1S24+VgQxVtHTfutCAbjbo+iL1W1Md92j614DmA
8BputjpgJEKEy7VPSOV6kCBGIu6IUlTZowGaYmzKGI7vJ5dGDQWOu7AasH+0CAaGRwOKG86MIT3n
aHjJ1CAr4Byo32Er+ro/iD6Rz3le6W5A1h4t1K1Kf9OVvRKSVXe8bKyhD2J5w5rufXS7VMFXYrdq
HhUc5UG+6Gz8Y+77DD+GBErg5+z9IRm9XxNqhLfKnutFfeXWpNG0hiIEhPHeD1AE2ZzE9o8pSno+
mqRBhd24qGPrVwlajst5hvJLn2L9bK+xNOXnSJuhfL0HHgtFTYsiKPVTyNtNU7fhQe1U3exl0U4X
7Xm5UKgkX6tDfWmDKn2LwFBE5UyEzXbh6vGKmlWM7dQ58YKlIoemAdWtEgfQKDcDK524/waQ/q49
VCJQb+6iejezob5iIXds7dhYU74cAmj7ERQoLMFWqk1VJYFGWVTOjxO+dzlDrklAhyCDOy9jGxAP
6gbYfDuh1OUX9QiJ5JfV04AX/bPsoV5VTkhdC3Sux0m3XmPdZSsjBxJOorUIuEUQL0kSe0F34Z1h
ZQkvGirGMoQuH5BIgohAKrmGfcA3KB9g10aq7DU0kMKrkZu6XzV6M0DVxjezmnH8bQSrypb4MFCb
Geyw4y6JMT6ivlDcGXinkr7KRAGKOoOmpO6br5oyDaL+kE1BgFQu6xJUfsTNM/IXQNHPXrTyw8A/
jnZQPrlu+Sx1wd/shTGVT8LfNZ3xGxujeMWZDoXnuQA43d7WjdseMVV7pBYUkbtjUmpmuVB9akkj
jasY6s4TpFFCTS/XNwNsHK3LPKU4DQ1Lo+qTkeZJrdHYeZopr0nZby+HrlZOA8IeCFz7YCgD7VcI
bVm1hdxk6bmuLLZTpr/9EXI/O+fj+PnymghZDqLx6RwHEvZIJW0JAYm3Wv9QDBH2IgQ6kmxenS4D
fJ8/UY8Cmknzty0DbnRmfDpMmX+oNd35ZvSgsmCZAJXOvb8xwEaP0vwCHJNYl0HQAxTYPqj6UGhV
TD9wJWuQotq/Rbg55843bLvxpaUV3l0G5ilVtZ5EoPrxJu/40TdYDBbc8470W6Ggqzr6P5Ejh6B6
3WCDKHjM4oHvCXhJEEw702bsUwogJh0GD28DKHGSLi1JJSisJrVGVAzMHAqf3axNixRJlTVPsW8Y
G2FQb1EFYuHpY34dOBY+AdQGQQfiW9PKSyL9GJfxijyqubDP1CIXavVTfpmKunTg5afYfI1jHZv8
fXNXRlN2HoXAa9mY0T1wMmsao0NlQ3KJY/d3qWzN1KGyK4qirbK9n8jAQgR1dGxrFvxRG1LsOvRI
TA+9nx5Zj6z7kppkxL7ljGWrGHcCZP8WV0PCKMexBYum6PO6fMxnX9soP0fsiy2x2wk6Sfm9ZjXv
z63bdkjkxEAgpQEDIhVCtnEyg+G4SY+J5gyf84J3GxbokCoPDOyBmlxbWPkQHeIm7J/TADfIEFp6
67h20C1Ao4aVPXTaxag+IO/i+8l6BEfBMx1QBLtHqjh5IH+AgXCPNqHWTYNOZ19ma1K/3Yfiac1I
gd4VcvazWBlQCzwtk9ijxD6ZFcbxmoymeBfS6YVIeFOXBsimujdzURfl4dGi0MDQXtcWwC/iXZy2
JMsgOIax36A+Gia8g1S7UnjQYCwI+l0jPqagOT9ngqKaDt0IzdKsDA9kLwSVtRqMuGejHNI3luAp
vgs7N/rRAIazjMKG33vZWJ0BOHaXflrFPzKLgSCvz750nONJxwDIZB63XiKwDZGDG+PVgCKDEpVY
vl6d6fda9H2/a4bsu/pB0w/UtYppf9mJCzMDK4va6bDrjvq0esEEWUXUG8izUJMOVmwgGxNwq9k7
lre+Ggbh3oCtVXNBOFRSeu2BEV2jBBZcOAJtNceODRAHWnRw8q+B0+vnG3NiF8CQV6O3LPMG60Q7
OMRui3cLzXKhNoMW9sKto+unK2XHE9Y9l1HWzUhPZDkyw2G3JiOFyREsr/W5HxcWiP7ue+bo90Yy
DKDUxVa412rGokEp5n0rBiA1dBkA8dllINBTQ0a4RXPvV1W0D6v3Il63/ah2sz1WvlcCYDZJgSmd
L+rbfmlumN6We3q15jOoW+sg1naSIDXOHH/TVCZg9YKPmHzAThjfe362kC5kA4nBJa4ux+SYQpd8
gefVsMaffYJ4jt/LFtmG0RgfblrkVzSzswBD/zNq3uq11UFPVa1a1ZKWWh2f5yMzgcwXi+a/Xf5m
vfUdRef2NrfxlfzI7V+cywZvywq0HZDtFG9nNpQ914pwgngm/p5s4ma4EjOYYgYa0Er6O+L1ToNy
XhOeOQccCJv+UJMbCncx9zaT3DKT5bq7CtwDS6KVcZgePen1jmhoyMLBuwJexxCozRnUlYUoe1yU
XswXTRlOqJRC1S3mE7sDGQjel9TM3JghXRbdkQ8dajtLL6M8gRSaDMzqIlgBYJttKrN7rTOUJFWR
6QOzW+WnqOUankjNK2H6+3z80P6BP81TvM2TWSj1q8Duhq/buCJuvmzQHOw3AM/tQ2H9rSeZ+qZZ
jhF/YS567+OwsX0zi4oTY9R7m1Od722M5hRn/7s4ly/L1ppBR6gnzQL1LRzPKNy96NAWCZOtj2z9
2yj5lUmJ8qOZ5XICFVu61gik5lisvHZozoXVd5t0CtsF0msNMoSwUWts2KXVgBTiqNUBNrkwyMSB
Wm6VTaMM06v5aBWNAeEFYVOzUKtGVR7SP0Di3Qyoc9BluLmPfVpxGWqAIuicb5dR+y2+eSWooJpo
ZPUp7HlyjMLYiDbUtLohOZYgavV2dR/Ex7y2vrGpzTc0AHnrplhQk0YpBMUubYF8V7q6rCJAMnlh
RQaytwX2CG9wRDBChzGpy7sO5UNEN6Ls8xyBcrYc8SzC7/KBaEkovkHhmHQ22PTUM6OWGNnSQ+6i
nWNjx7UMosoEkE0dLEjAE6zv+tZt7hVyVg60lbFr+E7TLfeezoDXy2LPDewa31wOd3ygDgzjLgv6
6YEuCVmddpnNeOmlLgVwER+aOmowcnCgmlDQwAPUTM16PRBg2wAXxRKcl+VaEqPkQfG+P5nJohyz
YIUagXWP9M8RlV/41VMzDEooMUpr3OHOAZXoI3WVbaxR6/oWfBVWx86jOeTNxO5RIAJ21mmYf1ph
wJejNRQbPbXwvwYOBvw3vRmjwTg3peMsB7uvpLBmkRf6QzzPa4L50sEDDhW5Cm4epW0AfS8q0Sow
Y9bOk0YyTaZ7qDwNTPaWXp9jPpuoSh6ilSmwA+mTbrvBDzVelpa5bKCmiZerWQNyLq4y+7M3JljW
oLIfCLNVHQT9DxS+R0u7MaJHh1eg63Ab3F7NsrkLdK6vXGeyP/Mqeqn1qH0xHVYszOHZh8LCT8DW
3YWXD/zRws1r2+rRtG/CcrrnU+8ts3ZqvwUx39n+3P415flThxzJ53kCb3Zhz8PZLobiWE+83oBx
UH9mo5kthnTu/ir9Z8C6/J99idp8mj+dHXPb+NjrNmeQYVcN6mhooRjObDpFg/mZ1olk0rUWJDih
62AdJTZthEfj2Z9lqdtHoxVGyZcOykOdQcTfnAEoULYwNTYsdbHzjm39+cHy8eyjTXqgacdtq/FZ
joJyqX3kA5DX6WiGh/cRRRMNqymZpn2re2H02ZyC6NVP9E+RoEbQI2BEkR7JnhKnBy+EBk3tNw+7
67MlEuD+RiZgZO6lBLHOJdUCGg3NrjTJuzOwvJEDyq8roMb3z2WWtvUe4+VA8IGBCs4yHR9yPrZ7
W2WZIFGsT/OU3/W8AdxzmYVWtFI1Q9QC7LJb+KNbbK7qjJQPZ3iDMu3pQCZlV11qGfPYLVwxy80A
UlrmOvJ8UCSIyrHarVD6buXBJsx9FM6pWjEaYXMbbMhR1tVRBdrQcbz2DHqwuTI6rHUPeJRtnQ5K
75Y46ED9o/4INNaHqm68A7VoWNn+jY+Ko2mpe4kT02Yo00gB7t7cTK3CRm38cyG4ffkQ2BHXpC5U
dal1c7FX0SpEnSvXkyfI8Jl4aOEzk11e3IcXq06l3D+yIYPv2Ut1lg8vQnxypD6tjZrhKk6GoKjY
3rZ+jS30RaXVfGP4fDEJquXGwxLZ8OdXqKoma8cukT0fZ/cA8KC7KVxUclU5ahpGJGl+ovAc6BDA
R43S+D6KIOYNf4ImG/+j5dhv2tI9A46NnAj23fjSBbX6jrZ/NQ4sQjoAt0cM0ZMYLbr0Mpqj5IZG
1X4xPtV1PHnEiAcErMJPGlu3I7f9k2ta2bLoLZRNxqCKRdG9f4qNznzuOmtHRWpAosZbkOvEEoBl
ckibjobxTOGT50K7S9SyqXAfn5nCkUGBbl1Qs2WDZ78BILDuryIkspaKRlZSzdKIZ5ibyoW8R28X
2Re96e+IAT+Ph0+Glg4ATzjVeuB2e6os7p1yy4rWeWNmX3zURL65Vkmjn7GB9ELFL37jJmcbd20m
SmGoBMYxZ9COsMnQl+EMljTyU8UxaYHsoImIG/vM8f8JBqp5DTi+vdHEMpIhAX+OY989U6v1p0tr
YM5pyiBgRnbLYwAIkV9vJfamA6JXxlJELcLex0LwZ93bWgTKG5CaSX4/agKuDlUZwwnXTRsnB7IR
S44cKN1Z2ztmWbnd0Y4DW/JWfkRASUSVUEHuN27e/rxhsaSAG5tNSQQ11VhARyfPAVVQW3O0gyf3
58g4usOMak2drW828lCwqe3DTt/Ky6ZPEHvVMmVsPvTgeL7QHcpPLqjNaIQ+biTI3Eg1aaJNWNq0
mnLTOuQlWEZoC4ujlF2KKFG/zbLXGRW14CUBMthKz14utsqnXtDPoMbbn63hYMxlsJ4MkOlHFopq
Q2iEkQcKu4MH0+suHnoCVmYr8ftF09fxxjaM4BixrDoNucfW4HOOXjSx3CAudv8riEv1v0xsTCw6
nk3PnYgB4iI46lWPGBt8hRXzopdKB0QmNLDMQREL1t8EkhLQqA5icIBVe7+USbYELAqgX/2kun47
I2FoO9LXSDnQMlXZL0l35FZohPpKjCS3vWxX285J+d2E0QA4H5FLUj4J0k/Dig1asgQIvri8cNtD
u6/cNpIv3JLRddM4gf5EbUdPUulO7+A1SB+u3MOmb1BHKoptHM0H11zX979m1B+ixAMyrfTGGmMJ
sKYuvV5ajZ2vWzFK77o0amL7fEsvphOSkOtcM/8hVjmrWDWzOpE6b1UCQ/rPqxvDfq9uhdWNozPU
VqOYRtcdSKbc0NibrRd2kW93Z3tuPIh5cP5AhygB4fjAEufKRgP5hMrX3EruIuKHIj9jLK798EzN
H5BLWrpBk9x1Xoy9RJGsNOKGbXjh27uRu/kL0n6fXJGwnNveQ2US8mZu4fun0cQCSyYqUaJUeKH1
hSLtFHAWc+jyl+rfR+b+dDnnWyRNPb4/J9Oxd0Vp1ZRNILebzS/p+8jejz+RA11tO/UfXq2KfH+1
qIwCARaRbSUgnQvK8FeRV8HZ7Jn5InpzGAZnkvx4GwPgXo6Rp/7H830csDpXs9DYW5xW68GZejxM
5BkA+J0WYdh7R3GavwvO4P7+NO8vj3pvl/7+8mavWY68i0595jrgf6nM0j1ip0i7R71xvuKVUz6F
WFGsYt6WT1xnF5saVS3y0/rGOv3z194XCPEim8KC73/9z385pgkeRIt5ruuhqMoCnOU9d1A2l2Gc
jj60FN2Ap+musA1rXoYp0M6LItWBfATr6QjwGinazTGH7vvctxvdAs5vjoPpSzWD3kIk1qKobLGM
HLtdWIOEpIGdWG3Irvyxb31lf+9P84Ag/tfg4QFKBTkgZXS2duADbUmFPKrvUn96G7/tq6IeFVMJ
OPDNvNSN2xDrORNYTs3VHgi0ZhhgMnHrGOR+Aj7d5MZ3s+ihcVfa+eN7r8ZxUVEndKedefpuCy8I
1PHH2PMfgnACS6np7QGgLKAP+Ofgln1xrlJIvSUeeFLVQOrN0MsFgVaOUjoyQ2EZaAxq+u+jfO4A
Y33l5AC9iDI8stAZvA75h3/+0hi2x26+NsCs4ePrhuVhCYpvze3NMjDauMJe+8OEqjMHjOpdxhOg
t9L2aJdTIw/UDdMUe00GMkzHuTbR5P30uys6bU2OwPs2Rxq9ifvbrpyKwmg+fPV++/pfl5cEx1oF
1taOUbEhxEqOWAUZRw6mpWqh+mS86dpjiv3yP7HkceN2NYvjg/xJ1DuDHQa0KNCEgRKdLw4x0d+p
PoQIg4U9lMaKbGpAdW9srd2DdTceQRRYTg9eBHwbMwr/ng7tPPv3aZ9sXZBsnpTdTMwYxXHJl144
KHs8tEiK45mzvhmwzHRrBkDwKHvbp5AISqf72kuaB5SMN8uIZ8EP1EIivwHqjNoo20VT9cVT1YTj
NvdZtydfnYGC6803qWP7V7DqrTl+djKj3mEDEX8SI05ewKf72goqnLxuft44dJljnzsPumP05VUH
+TVOw/g8fr2xqi61Oi3TlkMGYh2PfjEUGRUOgPmejJe/JOiatND7bQy2rfgQsXUds2hlpJAkop96
zx9ZBC7srLerk67j5YPM5OXZ3u82xy6u0xeocgB8uDvKpp+U/THyEsBegmLqj15miqZwqPAz3aAg
6Qf1yPEq3Kwz1GSTtbJAREcQQGJd5uBE26Rm/5cD0eOjZGKmptziJ0rnK2bmsI6l+5UNnNuoKfc0
cDaZC1SDFisnWkWQIfliJz07crPtllZYT1+wineWWdyh1El08TTyWRF90a3IPU5F2QFMUYISomag
oor79NAMdbBJvKh4Rpo2XYSMs1+2KEFsJ+s7Mov2kjkg1lC+VdldfLHfYIDewdiXgY5aTWgFJeBF
g263H7v1J9yE48PoIGeMGmLNyLOFNo6LsHuRnIZDW6SguQoutIV5WV9aZOvZnB89/npjvulmfNzy
Brie0QWvd7XQPD/5FAVusvIFEQ0dWApiKtSW6+UGkmTQA26mNtyWVRrsI7zBAcNdY2sI4H0X1XCG
6T8RSgdZ3faxgqbmGuRFxrrTI8BFADw7d1AjPpNL6A/TSQRI4I9yplGUqWwGXhsHhZUa0go74Cl2
YhNkPqTA8w2Iyix8UOOVSTEuwJy1yWoP9RN2jEdt6YXFkQ5pUBZHE5CxEhzfaKoRyJ6+86QRGY7K
jeOADOX2dgrVp9bVFFGs5yDAAVk0b2Pg1Ar7NyQntxpYY37begK5vUI2ohGWNx8xNLjM+JxrfehW
G6+3PQltmPv6N/JAQPkraAPBDW7QBx8CFxAb6kGxoQDCN1zNomtsMTZzfdejIu84N1B1FQKWkYOD
KGl96JvqMFdINfuOBlROH8XdiqXgiyU/ctE18BKzqXiG3AC4Q023OICtYz6FVozy1KivUJiGqpl6
PgfVkLEVMH/THYOcHXKWtbOoPD7dFeJALToge8EhhWELzTk4W0jKmIuATTb2G85kUr7UAn7uejqy
zVb/pwarg/iWROHRVwn15g0IZDTA8+TXRlRYqK8bfbVmFK6DFxs+NEBxNCDlxj/ykZORJ8Vw/zNw
0d0BRbvVkQ76gOoc9yXqy4uBrFqHrrJRlwb+rQ3U+mJaNZmKVpPVlt+tR+icLm4ggymUa9Zt77q3
Awo8SJhDPzHWEHC0DjfxGkFlYzFLBVSunEXFotin3oFHMY7tv/J6dBZ1DmZCIJm8TzX4q/ah73cb
M6r6zya4JIgn7sbDGFJoQwmPrK/xrHGzn8qj4z7bBx7m8DuAuUy3vJqj5tawu/ycDI5CtTekjQLf
/Au0Dbko4E5PiByaCuKTF9AOwXJCgHacwHNPAUjFNQnaiSY3XNo2ICVQEgBoFtkKZw1EvPWiuqTD
xlETKUctVHtcjZLOTTWE/jrBKhMCc5bXTbKMn8h7fJRNgd2mKlZqxV8y/WKj1T0dyNajvm1FbwHk
PPRduCEbudB8sel9u7yh+l4IMsY5Sx8Lwxh3E8qQoA/7B6AMuh1/qbmBuyEbHdho36PoMzhRL47y
6h5vfCsVdDMRDaRFGlxNNHgREtqo0RqgPZhx/D9ypDAFvSAKVnxvobPgfuiTGitc0U0qHmw78KRI
n9rsPenj+KAwvHySuu8/EzfkAD1P4C+y56LWnTsQ9wARIDgjAftu1tqEnPcgutMft8gtnbuoG7+N
DeuPihtK0kLliXXIRmdPdskIFab+56ZJsmPHeHqqsHSVvAmJA1IYcM20G2JG0IUETeo6JirNoG1a
J9AgcV370R/T6okb+Za8+gY1zPME8mHq0hxRDCoU0ke1fDDugCwoOohd6avcJSUrmdEMW153rwEI
LtsF2SS3OTWN0pyxjhiXUQbtP7qV0wGgq/l+bB9ungS2U7ULDSWduytXPGDxrgFhQfU4MJFNvrdt
+fggs+PgZaT2hzu3nLsTOK5WWjy1B9Aldicy4U/SnQrP604J1HbbBfXx2jRv9Za/Uu/GT9logKZK
QaC05KCGguon5rPDkUFbV5xENlWMDwU2uoT/8FGnodNrSfZKc8vroktU00TuM0/8KgqAASq5vjFi
8F/qVXomzuE2maLz5NgPRD5MhwBAlHUR182aukRDnEflg2OHlyATperniJkyqE6gcsD83kcdOvb6
6eCIrX1qYRd5PBrQ5bMGzdySPdQsVAhJFzx0KxkXUWEAxcjmW5CaMfCQ75iGAKsrMe1VCPkox4Hm
pVOkKbtr3NzaXtlkk9xRF46LUZGdD2GxsAkW6Zy2e7rlJVZqLQ2nuXSnprTA84RRuuVRV42S8/8z
1syxpT8XBZKGgbWW2FqC2cYMe9lkvBJeyBpUkfSATa8HvGbfK+gtDZB3JEjX/3mg5KhLbeYw0OJ2
CVw9/hoADa5JYDA/A0jkfc8q1qxr6J1i45FD9XdAFWnvxPGPEHSBi9b300cUtGCvs4b6zyVwzAz3
ewyoowwswBPyUKf2CRq+q8lLeaEv+YwbYO7F49oHDSO2e8wh7LAHkAynXnf6Uw5yh2gCXEEON2JA
jUpvs+Xmyi7jbEkht1Nc9VEJLWeTtqHSQH0Der2g0cSiXzuHoGQ4OEGCtx2YNL0GYwY1pYs1P0BL
pN2T75WLYdbgxSx9b2kWlj8v1PhYTvMB6q97OZccfpssBJXwfphQ3ZTZG4vA81QgR1VxBgr015Ah
BipMlNTdltjJormrejpqkquKJJuc2NKCFlRC4CWm7Iknki3jBIJ2i2XOUvypwHRFQwWlYJBpMo7k
JfuRHiCHnkQOdL5EioaG4r7odp3Zh8gUd06UrEE/oJ9Z/pUQbXRQ0DdjQLK+E3WzNwMU5NtflCs4
QjUso6NmGUOo5tBHLYh3Enuv9tWkeJwohLuxfdQFYnOFjK4l4ztRFqfcqJWWTreCflm+Nxv3LO4E
z74fhce2gDi8LjSzktyX9sKrwmPgAcdYi1SqsPPGHkHuBjv5k13HPGQ32Pyhv5q/4tUyzEH8wQLs
lvJ67O40Pk7P0NOS+UxokaNwDbRoa2LsUm6D7U/PzuzKhCa5BQnP15QDYQa4hGg2SI3L2ShcufVi
+YDXZCy043jpFFoMStSplkpNIGd/7d0Q2BYi0BPdybKQL2zK5hO5ofRGegTIT0TLty4NTrlm3ZXF
hOe2/5V74neFPf8HOkQNtFIMsBDjG/fH5sZtus2hLbWsWHDxa0usOZDV+ERuZK/Kwn0IrV0zG9mD
soiTMFS8HGic7GkK8noB3tmQjaagk5go0kUZAeYhG50EN7ZVhsQSZWwkCGOqguNVAqdWSA05Drza
GpsVM0h+kPAh200gdU2rnbZT5UxfcSc0QH4KwjJOuNd+Ki79i3Sp6I9guF14euKB+0vwtUhVi7YD
fQ3JX5DURerhJ5tk+C3eDKjubRyFmBrEvWVBEIuAL6lzaNKNGcAZbnaexYFaqguFU9SGTCgeVn56
kuVn2dUmQMRLLdj1lRnslYuagFqo9IfATZfeUyiZyLexQIm7oP7Nia5GyDOJTdRh1MHBpBqBRpQC
jM1g78Kmw5Yceo6oMRgcHRyQXQ6GS4aFhpv1KJpXw15hywjpXKcTwlZW17SPjVOVIO4QQji6c+6q
zHvlkWNv9Kjr9uRRht2FG/zNw+aTvXEL89qD3vnwLD4nie3ezqGDnnLhjFv6eWauyVZurTd76paQ
UDWwn/lShYlzZmmng24WexlBCU7pdPKaPf149Qy6Se/d6Ffs2/Xfu9liNgqn2d6fdBjDVp5UG6rL
SdW10eTipORWa6G3tDwACNImwzaHUUyfksmIDpNW4nfmVO5n1/H3bZzmP1sPGa4x88crD5Z12qLK
Q281CohRbfJ4U7N5XCns0GgOPYDqENVVtsACrRzH05eiphEaXYOefFEOOf6r/o+JUGwAHpHWAZeb
6c37XNeR7BfC8xKoBsLT3m2eyAIGAb7UtCHeE0xN+ZNuH7kYhfTvWwN1xlAyQNVkewL/nbVq8Am+
98V3yg9Alxs4zzIy7/7GAVWh0zKy6/9wCNm3mxk8c262tmXIq9KSYmsncfZAF4Ud6WmVoBYXW9VA
1mUWxGBLC3RzdLVkEwE9VqYPZFIBgO5nixKUxWvm1aVzNo16FUVacZDdDsXFxxaaiEN/4noBlVvX
/O2PTb270Yvzcy3Z52z4QnYpDUdNqK3+xhMVmwtCQU6KyYUlhCyFs5mBEdfpwKBAd8urvPltv6gj
fkziO8qky1sr4Xxvb8yDGZw7Z/APpWEt3SIENy22BR78ycwf2JRGoDNwLfDqaFh50ojwA5tgeCdt
dQExTVPK89iOAzWmCSwFeKR+BwQnx+lFz8KKWPUM73uVlfldCvpNlLJ6r56DjJ6RMtAKgfThscv5
EzFV6UUAKliza3eR4NzTsauelFn82Y2T/AhFwHBF9rrWL+EgOu2BKMyuwo3GbHcxEKg6N5HTxu7J
GkXKYBcE+SUqUStzj7U5B7o1aLaQAIQgp+giyZLdZUX51OHVvVmaE0SVk7b+RKFDisd/yCJzX1st
f56zrN0CEXQJddN62iRTHR9RJQ5+aVAxg2zSydes1mpr5WtpcRcW4PvH3nkOMrn5O3Kkv8FjHyF7
lns1crFQ1wSpeq3vZG2us6/aqXikmlw7AMI0qYA8pZpcOpC/w2d9h4pmJOWrY2nkBYB+eKX/5/1R
19ZvS2WxI4ptUd1ipm+bnktKhD+/P8Y8bP7nv4z/tqMWhIljG0JCoAE8FGArXzfxzp8Pe+pFfe+0
W1Cc6YsKGrEbHamleUUALHLEGnpPaC09h4q4B0bSsdhpZldtTS3SjrRlWBV9IFtyy1CPtXQBFjVt
Lfvk5BAngwqCHsPG1iEMd2d70TnUUTLveXP+9aZlWz3/GkFtY8FZxG9Hm4o/jTHPNmpegEDrfkOX
RMZSK9nBTEO5NarsatvTNsb7psrNB3OCbGw6fwMPO3gNWmZtUXrkfXXtNTJIDlLozbBK7BI8IaJi
nsrmI/44gHLtkSwWQ5kVCgFn4IzgkHsexDii3FpYjuU8DXgIHwcj/Y16rwHfapb9iCyP72W36Iof
6azzvW4OqPDX8MqyBn1hswSPbLaKKr0ARSVQ7RI6Fwj4a7SnP5OEyNEfk/oUwFqnWMkRLODM5Qhu
LcxnNvcQhKsWRqEFkIhGl2wNSnWvBrBP2eJ/BLabAeza4RagxYP2lAdWt7FY/hgJeU6r1AuoPDAw
dgrxTiglfcNP3X4AeZj2SXiR2eXhPa/aWAqG+8OYbfwmwB9PJGFZANJZOlBXjVKKlrpDnfKVbweM
fRuLrl2WJgpbZsEOOrJSW/A5bM/WpEfPeGc+NrNefm2cxtr0AWu3hnBDYeFmalj10s9le4IYS7sk
ewF5wkU6Ve3ZDq2/5Bn8ClTYox44d2ZVfKZrCkB/r3o0VkJ4OLeKDYjJqkOu+UDOg9YNYFKPn1g9
Xw5BlRdXXRogG9i/7L2lu2vbggQq2LH/RCgX3WFBs6AJnQr3RdtkSEEoYylOxbFTusPNkd/7QwfB
zXjIzyBVcV6NsdqPxVA+2qCwfqkgjpx4zqtvufZ9mTiv5DMxQA5bM+FLGpyhI7idw9xY06iWuA0Y
pGptJ0PF/GXlZUC3YiYxfwh+xUfcCMe7ruqxVBgAbZuqrQeWlFezzl1Q56BmN2ss9gWkYVgvNDtD
D/MDeGBN/cD8wsKOrtetIARUnVui1KAmHRK8aQms0EOCVJd3Z+itDL7yk02aZ0rjU2ZVzWK6Z2aL
XQyB3KOswRUUTyUc+hFMWRvldB2lrJoe6KvL5kXlvrZhVyGLWpaCWSCtjtSfIAuzjMFNtezFsBqg
FtnIj7rKVqpplI9tWQVA0cFkL0MPqVTDPg4cCIQqND5bdeoe6GD2LjsAVH3pks14G1V+5ELOf2tz
+NBy6OA2DVh93s9IgXKcwmdLLzZcnz5/5HdjU2d29OGhHvqXWtCzQtcRLFPpAJKSLkIGauLehbO1
z7ThoOOBc+F2zbX7sU/GvWRwxXf2EkfTUJic4S2ObNIb7IT34BrEI4voXilEzSB9KA61JpcTNIO5
mvCefvhQnnEmjr0wftYGD7z5goXvSo1RdDm039as7AzAUEvIQm0NoOPwuotM56Eo5z/N0u4YlmR4
9wSRU4/34SYf7AN5Dbw6BN1sbGk0huIUfhpilPrkQi05MTXlbLfnuJr4P04Hle/LhDRBgILEwoF6
Gl+BGM25j21WgQIB2RhZM6qxaF+DRxkv7ChErWYdC0utSb5NOQeM6604NQimaN8KP9Z5+UrXnHlD
SzOnDRMUVzaiNgKrr4HhKQsKA3CKiYVbxTooHOP9akGjbe7YT70FIYUYy7ihSS6haTv7u9DS5pXP
41dtrqKnASoqpyw2g2XZldO3N7sbVtkpQoXy0o/yWdnJv3OCzYXEA6QIGuq92oNWeiOey0IAXXTT
AYx+M8EAKa3sBd3BFy6UplaZZmEnX2UCnVgAgvAR7NXI4IMvT/Ad0qH0OZMtZbsprKbuGIODu27N
PblRXbZyS3Inrxeqr6ai6eMUu0igrJexH7nd2G6mf3/uG1/qqjpxOvWNy1s82Q3Hgnqx63Yr943E
wSYKiI/oHa5GyN2pkHaPWh0SWoIrAhJN2B2kwCtPVHM1R+d/Sfuu5saRpdlfhAh480ovkpLG7tmd
F8RZB+89fv3NTmjYEJf6zkbcl47ucl2kNCOguyrTwbutAzgRPqp4ag0IKifVT3y4kc8wjxR89BkA
WrB4LM9hNHQCXzvxKWjEs9pmRnkEzoSTwsR7nBMLXN4Q8Nq8OhbLSSxZKE6tooJWrlNxwxSYON+3
p+Ea6VHwn7Yenhq0qXyxa2P6Vkfldmw15ZdUQf/Y2GbxhstuSrKnPM3rHZdTgauqwIvtI5dJDbQD
huQys8clZJG2w2swl/EpN+dNoU/VWXEy84IjAAyc3QYXuDErmS+WDqC+arxzmYbodrN3dKGhR82d
z70aJVP2oTLBBHGL/dBv2YY7yhB3GYs8GYZmUacENYrm3qVsjwnIhJ1w/BF40bUw1K2SdSVOvbUZ
iBViGgIgH880YVpuAH/8c6omaXlJcI2O0zBhsEy1Sjc2zYzDXOrv7bm+D03LZRN3UF2wMtTjU+7N
KD68bSwTkdYMVnb25G45BfjQrjNssBZ1PvD1fcUBEcY7sI0+0rxnM18wOCIC6hGio2xiHOgKBwnM
sWB3CId4Amu4YFamiMAecgcpo+vPHdx0Cnd5ilICzQGXbiTgs3ByULyoNTppxvpCCbu2loYtdAWP
z0N0kY1c0lENnE0Poo1LPgNiFYzjLuh3foJGSgzJBSUyK4fkMgOMQpqgmncNM7ngSAqZDmjCbYRj
iFU8Gq8AJ5UiB/hOG9/HW5nQRea2aOSmoxK+bf8+t6hRm8MbFFJ85elt2Udqu1uOgrV2DxYU41z2
Ns5+5ZExT5/D0C1ObpZ8XzykljO7B+wa2PTs3Urd8Qw5RVi0Qxnn5XBZAYtpnAYXe+zi4KzoWxTO
Z9cJLJ/4E45HniuHDHRP3QbUF/k2UUFsV3BdCf0M9G3zMAW9+jRa85Hmhp2MiyMOQIH+apZueHTc
2jzmeTtfgZ27albL+7gHXos4lFacfNr2aeDv2LwmO9jY6Yayre6KpwJcoeIUmw6UyyUam9CaZKkB
gJg8Z9UBx6UK6uJrCCw36dAY1ve477wjr0PlbWlvN8NV9dznGsU9JylXW0D6H7hucyAbRC3+tOBt
e8x3MgJvXpdL2NzwlxC5M30HB0J5XGEls3ZvQTDmlGV8+lSkRzfSvsuyv8XE0fV+C1rPZmeLXjR2
oakNqo6SeAZUrWhSQ4+fPSyQi9QYRW9vQOAw4vhT+Og38wWH8c6dMVDPDBIjvzv52uicdU/BeUed
44leri2rwOW1GO5kXFLhzhN42gz1gMsK+FLWzxpeCRYXShlc+izbGLfgqKiCK43kjku8VUZlUOw8
FF/gOTsBd3HXmurVjnpgQJnK/B1cnNZxNDv1+rGaLrRpowi00CICl04TqaIPe1zCUEETkDg7KMsS
hhTedkJdYLjvnbbd1uLAoxUDmk1AJ+L2OylK5mAld8FGY6F84qdsFD9D4UkRBy9uVzFKC7VJG8bt
YUuLO9mylDFV8bYjduAg87r5t60OgJJoP4OUbp8DFwwI9OH0SxVUaLUdNfNJH/Pxl7Rp641mWtEz
teYI2AVcdn+iUpy8Nm31PWm05KvfGHtKHTsMXhXL/eEA9/+XAViRFwAqg1hRxAt0QESiktDAfTJ2
k5tTKzenFjdONdiWUN6s9ZX9tdTB2CsKfvsCEEzV1Oy54lCy8pdTUHGBJysJ5uIi9ZlYgtuzdgHM
EYVP1lDv70zulqXnteOVEZQiTZPDR36rrVe74PgPZRsOYFWcalN6zu/4+b713i8d4Rbej1a9+KvO
8kfd71Lm6GDF1uvW2P6vONyB/e0P2/sfunvGgGINnpGhagm4w39X2tdYq8Fm7UVvA1ohxvOHssTr
E8C1Nerahc5qALKaTIvUjYzFGY0XP66BX5tmi5HchrtSnTYh1Fwv00UqslqtpVDGoEym9nGq0oYu
HFZZrTKgSu4gs7yT8cN3nQOSx9u3SWPdq4aDmRXZMUk9/eK4s36JxIxLAUUMMJhWAJ8JTW67WFOv
1l/QJuKcpZte9fhlkxEWY65lhLAExGjkJ59W1jKE3DnlTlLDME7rxruksIvtshQp0YR+lEmP1QYy
B9s1/rAivzlIkQy18mCY+xx+fmT5ae6i6HHy37zACQlw4lsAxU22jj+fuJSxt4PjpZgBm+8OjQ8P
jwmwoJXJRglmlO06QCrgCldA+aHmE90IdNIHdCJ0IkaTACNfNXEvM05AlguKGk+3OUg5C2W0DzYa
mFcyKjhohTY+G0AZW0ykggGiW5RyqsGHWB9QHv8JtdLzc1aNIFFzAwWQCQEAwHEejq8fWgXED886
AFiebKcvtp7dhKDGK3c8UeBxA6vbEk0Pn1Wl2C2nEu9lNCsz0KVrqt7tgtHUL7UVGhczrl20TIp1
PJv4tao6909ATaFbRKipWGy4XmxKoVrpw9q4gNYJ4CDx5zvxKvKdFw2lbHC7fD+YORjDRTiZ4ZLC
TSYVq9QZ61HmNzfFzkD5FTr2KRDV/A4uUC+eGOSSMykDYEcJrht0AN4p6EtZilfpEm/CP8PQWS5p
M5rzEUTR6ckWB3wlQGuWwXYa43wnoxZUTu/shBuNV75CppYl8DIplGGkoZQtUZ2wBlyAvrmXv99N
hpORpOzjLRm11S0ADQW1CpB0LcNNnKq94gqg/zwMIGMWwB8oD6v3MSggn/rJKX/z2xd3irNf8fTR
ncdsApyHEEtvqx4X73xExbk6+TVZ65b39uW1nC/NYGjZetM8gvr851t9GYZaAlLP2/s7DTO+1Usr
CpdX+SKeQLGGd3z6LO/iQZbh+F4cB1BIv+Ud/x/HA9JKJOOIZFaBZBpeWreHNld/AwdMdhnFwBmA
BIFpxSmHbq6yi6252SUc8ei88ZzaxIV9XgMd8WYpje585JIzuQ2IJQNcXOfhAfH+HnKtPCtx33zG
aW/9OcmcRcQV5TerB6K3Cq7AXznd4jh4Kd3pg2luZs2uv8bGPF3GII425tjVX5U2qr8CmPa7HhgA
XREiNcqVYwJuty2V9OrBcZ5aivGZFihGivdgs40PtNB933uNFPVAJe2tSTyAGkn+RJnclFp6Rb2+
bGrXU3AO1DFtrV/9oi6PVdeNVyU0x6sB0FZAVZjxXsp04G1c5ZJ2njBOYq/ASTzYNsWKFrS10hxX
/xRKX7DhbICvr5wpkh53ZlwyC9OcYvDQIzJlS1A6u6W/U8soepp0PbjkmhJcUjFwRhmuf8OLq+Ge
ywHSGk5939mVbh4Xm0d+j2SM9W9c5H4gzP5aT7yrAWX1JHiroyp+siz8gVTF6iaabEW89+I3kAPI
nBYrrmiK2+qnDP8bPOsxwIgBIfcWRy5ljJsDd3ofA5eoxq7UQpDP4fXgSzZVyitOY7e914ZfWjHg
J6Q/lUYOzgVhwQGoBChzjNNmD77xBFDdKvBb0YASnulCGwWXcb3WtZ8oqoYeAP5O83lxmKIUcCNJ
ry3bLpFdMBgOXTQALwr7UlbH3kuMI75nrkZcNzC7xV6k0wWx8ZQ/yE7N0Hfdo5hkBw5X5e1On7f9
owCeTN3qytUdpK5rWGD8LnMUJAjk3S6J3AWDVxpPYKemv3SVtnOovvlLh7sgt/3vKxDk3tJ3KV4Q
Lqk2VddVLQOg3sK9atRvmdJlqCzUNjIbkSVd7osd6MdPeL8/Q9y2iq/qXAeviV8lrygJT14dY4p3
aQJqjyAP0tdWs0YTNK2+ctAKnJj2woaGdCnm0EbRvAqmVcgXY07NdGcBHvdFBqa40dovLUrNz2aT
IC63wE18sEXlWneQcakIarvdg08e3Ra39BgFdDLWacyyvyinLWfJiL6UwFK3DERTGXJookNoK+WV
8iVVpe8AQ2SP6QmMPxN4g27fgGtqyo7LJVN+A6WeG5vFk/vx05uG/rzs/j5JfAMixXnquyOwc7Jn
HMtmz47SoatCLDmrk87bzuK5XMqosISdDRicYdMADwkEs9P5LsBqCeiwYzDP/6Ur5Y/CoYRpRh9t
5O9lFqsgIqncdbyroW2kwaOQdV/M+0FPbZCgIE2aSA8Z0i7K/4B3PDo9CkKzxM7iM3i4gOAmPuqj
cPIrwrEzbB7F6tFM3Q/zdH70sekwpbuhts6BaUw/WjXFI1fbFJchifNvUzq9urmf/hoIVFi/iUxg
10WZhY6+yvPOcsiNLlH2cs3ZENaxsi+KzD+jJsY/L/5cT/6ooCoPv920XMXUchWbUEonzujD2b25
FNKm14Fyt8Rc7aYYvyplEKzyXe2ycmEIQyawsloydBz/L7VFSUWk5uiRwbvgQSuL38doTK8UcYgN
X2s292v8DTN3auX5m8iuf+oTTum/ntZ5gpYQkGrJIIHYUS45u9u3M8K/E7MfDyv5w63obIXZk9fg
RIyrVc6aQCZYhbhtXP2hBJFykUk8MpJ5TgDvA6tAc3yU62o/qukW9sryhT7aYvX9SDW/VKO2wLn3
/mdwt6THsmdy+3L5QSNz0A/mDG4tMDvo+0wDakkOltNnVO3pz34WGM9yaeRei7dREKJRQRMPz8ii
TR7WNv72aC5+TvcKRwNPi5vZX+hW2p41bQYcGkwbQfe9C1EptOUui1BuqHrNb5UgtKBocUxFdmUB
RAU/uzz0GgDeduxiK1l9EhrKrHMlQHdNYKbg0EA4xuSMqXPWuNp5csV/QuKzUbSkB4ZM5xz25uHO
dUmPX+MI3NJl8/WHlV/f6gtaYr7/6hhYJmvqoMTpK/fL6usxWiXc49qr2to4bH1W9NQ9xlXxgysO
QTKi1J5TdJyDcgylq5Ht+09W4eVvisVG8yxtZ3mo1V05LqrQi0MQZ8UbO0hsICeIvRb/okdFfjuH
qOETQm6xGNWu7jAXtS8UdO9YffVMG5FBXKMnhMaK+F/ZDKZa6f6yce93LlMg4tRiQJOxcS3iHkc3
ZqDiNhK0ohsKl6k06lX7jyQdkqN0plIu6UaZOaG3PUQ9zW2LR6ahp0enKTa//h+7MrUKoC9bGX2Z
qYNW7oo0xH9yqoajfgx8qOcjuFUG454y+YY5VdmbjM/lNL6T0ReYO292y0umjKVb6I2MSsc/8LxO
nvRxFptpsIs0kNA3PN6TNtJQ2khtfCPzkDKG4SBlPC5cTg7J83Fng9NMsIUCimgzeq3zydD68EU3
geMgVvhL+jYYg3nwik57liJzRLF80eTqScqqJgUDApjXdlqXuIv/mNbeqYgNIC6JcFTEhRNwm9gT
rSWUiS2moso2RRbWBzBlueYfgVVtGnQroaFUkDmIYTbGT6rmeycp4gxNDvViUaRjv/ML0HVLWW4K
lgfhTxl+qfNzBrpuGUTaStmDvToNYD9zVePA/MV29f4iCR4koYOUAeHxb8+ck4MUcTbYqEnfSK6I
ZZ1VDSBkgQ8H8rsCLI+HDNSPqNLJvkmGOM7ILLewz3F9RyW3Ipkj/RzNqxgcvFOQfFv8KJPkdP1w
1RUQSc54qn01+wyl8snk7JJgUNHXLIRNBbhEs5suiywyUNpgTfqrJpSpg07UDf3sqcGPXwgjNK+/
0jefnWsvfNGsBrubrxXnaHvUb9vRg77v3UC67Jy7zLu2lWpcIhBtXjjjYIsjU8pATS5uDBtwoQo7
qZDGtKPiQ1nRgV5ynJqT3Ec6/N8yxnTfZ2EU6Qxa8gDHi96knCvHUVBQXSrn2EeJV4Nr4S2XVLQ2
2LHQYgA110o9gtmYa3rro+5aW07BZQ9TTqlfmTLyrJhvkWnDIRUZeHV7DBJ9fsK1gJacwU8B1nMD
t7JdO+nX2IztboMaaP1qox6x3CmN+acJypXjogFBj34Np6FyACXi44yhTs+LZuU+iEiT6QwXV/3b
rEEQ9EJRatvJSUvtL1wpbTamL2PWtftJ6Qw0DndNiUYEkUAXGxgtE6eHtsht5QBQ2j/rIQiPlAVt
hRKyKfoqOSACQSOxEEE8nt6ZJqW3A+OmgoN2OHKghSHoJzgbyCrho9jiskwpRQ8FuCY+NmUkD/Qo
YIRQFgaLx1nR8D663J3qlafMUAQvInfaDl4KQnX0UiyI60RkbwPU31W5Xu9SoVFnNQEkcevUuyHH
X+7Q9lIV6GzQ05M+9pziBpxCGi1CPUOrEOHfpTuB4LPKQRWVMgcabgIReJUC9dbU/wK05uboGp4A
AQsGd5+FKH711ElVtt5gzBdtBKHZ1TcC9WLTalTty4j+1pPeN6CxpabrwXPyuUBjxD4MUFEIAvcJ
NKRBUh+rov0ldYC5jGNwrzpOqpECShf12EstNGrrEzRkvK0SsGdtcgNgcItWuiwhJhMFE1buocYr
VMLL+H7QgyK6l0k7dcj+8OpR2dPrzlYuu0h/Cyxlch8po12fT0WxeaTWnPiPRDeUPe2k2yNbyh7Z
PXKTHyhDQQtIK8SHvu0mw0s7FHMcyjrzTzYB+xQfeHy+gOpzxWAQe49re1KKk5fl58WQsohwfoqA
85OOiw/dP3S01Kj0t4v6bl8GYkg/UPXDULhm57z4V6ssoh26u7ytROxeAXoT1Xso2n/YEPmbWukn
7aRiIf5NHRN0TWKQNve7SJ+yThNQm6KrKbRq8+zPKmrmOfQKKJo4pVCqvc4zz3LJmZS5/9ZPhpbx
ZRgpK5JDauso4BdZyW3v3OXy3sSdt7jEap9wYodbITxZZ5cMpKnFxo+yDJxTXybbaM6LNktNXB+h
IfNSF6jDP3C6WlNPv16dEKLpPtNb2oEBCXKuaScjckkFc7h3WSWgWEvUlUg6m7MOYo4WxZ+VFehn
nN5q5+Y2o+xuaRmakW1oCDTgNxfp92GYxe8+YtC/xAPA8//vUIvvnc3dkml+uLv8EEw1w+vP24fo
5zwAEmKHYuU/iwRFGwN6G1FZN0/2GZdm9nlZq6KRJzDRpfi/1jTiIH1q/B5EbbYEYFTGp5VipNXb
fsuUUqmnuZTd2/yvtXT/mYT8aIzK4eOcqF7l+KHPv4kjkxn6C1peAe1sZN7u7n2Cy0cy+YohTcqh
/ObnfXaUIum6vIncr2WYqMpXzlK++H28ZsTbzve7PMqEMkuQE8psbrublXs1c0BW7t2o8P5IUard
bow2+aVFx/Ah82c8mQUoxtICxX1y/ToGtquQccrBAaafvb1Xab4ag8M0hOnKIVWi+ELTUc82qPvw
njy6eyke7mvAgG6SKrPOHKLbrJ7UBGfF2iC4uKrf8yqN0Ux3U3fxrLl7RfxvvkyBQGOduWYg8MeZ
6olCrqWGsiW69OE+cV78bjsK9gGPz3zOfrUD0zpnPerU94ARRWedWM+2n+ebUEfnx1ZKqeLQFAo0
nN6puVTjVribjXtsg+zJFCGlM5D/yzdnCiday2CLdxWp3lOp/laKO2y8Tr8NeEEYr/48fg2CwT/i
qS7tNtT64kaZWrmcLHPaFSH4ZGSAh/GEbzZG6Tmdm/0S9C4eA0hfkUE7FgBlvWVGi9SZylNbZq+u
eHT1xWAp+gxItAz8o2YJyhsuw6qbLz0fWjmlpYGXLrzbtf5On3MfT7bCvfO1vviszXn71JbR3qyc
SdmCGLXYtHVf7X304FyiMY5ATu0EIUBWQT8GHmZ9tLc4oA0vZVHiIY1TRcNBgzmE//WEgqLFfLFZ
WXp1iigMS7PZ9vZZl7v2j2RKo+dSbdHw5Qwo6J4d61nJJ+MTB/TUuZtkyPRjlBk+TlBToNLlWjVu
a7p0QVBdQ2++Rr335kK/W6gqa7InICslp3kAnZ0egZpOG7Vpy2WjKNqLG9bay6K18buleukF18pv
Iipz03aOrg3YYppJB/orZQI+wS6Kly1owgCALfHOeaKdpRcduCyjrNtGmTbupYyBPbUbXrRPd6lR
hTci/Dbdsr/LQ0f23qym6LlD9loLpoBNUjuAwkYvrx6AVgmMqLi/BoXPIAYupUzJQf7e9na5pQx0
T90AljcYOnaBaaaX88ZwFHe/0nPq09S3m4vSg7CaMjnIDcfCzK9O95k6ipfInFJoJ0l0Smttlepi
Il1kmsytShOAfhlKr+59QJHtOsW0o0Mb1OnFC/GTTIALgcZiLMsC7eUbTs1M1QvUOfr2qYicPW04
9K5qRYc7R2oABgUXTmvUZvonBurNvtuEroLX+SGYne3KVOvSCZzFIoclKnWLmaVbZ1c3f5gJoH0S
0A9eA721ekHh7V854OXVv85Dae09DV87ZYqQUXFnF5Rj+ZToI75+WEh/c8rMfiPd5ualDeN0sZBm
d16Zbn33wQt3krv8I7vOzrdMXvrSugSUydvHsPXe2k8A6Fl9KrknuIXNs6JFu0HAQL5hM5qA9wvw
92RDIQe0qk8LNuSj5Z2MOI+UlVbxFmpsTeOE+/kTX4DkWxBn8jUrG5Mf3dBox0dmUibMjCxdm92F
5DIMoyWafHvjVnL53kwNzb+6EYjWeZsWFzlU4MgAu8JNWNv1z3XSd6jix0n/m74HUs7eCpJqswjx
BxiUjdJ+mYa2Xe6nykYv3wP4Tfl1Fmg/2xctGhk/tKOiu0X50I6hSj1Zh5IbSbcPZXIPmZX8tfCb
PtsBvWcE8W2rp5c8DtNDnoXathdEPXIAIsgusnr7OSK1j67Z6GMAl8Fi10Xjm7Gwqz3A+dCVclPY
MuYkurTfx3RdgJbZGf7KPk15heqOGyI7nlwK4L39hGW3nBFP0ejIuIdqp90KbP3Oj8uHwO/UFIV6
RiPENhr8favZwNfTerV6EcvR6XwkVOw9KwquWjgoF7NFr3bj6H694ZRCX9eOY9GDpnsuFfS4CMN/
TGmeaJl2RoHl4oz/s5RLJ4Ot4i7uU9sohyxPfluMmAZQgbH5XUaLuZGM6a7F9Q2qy0WGK3vuzv1k
2lSjVhMPIw2O4alYpb3EuM9RfNZefFaarzL+h/nY9dpZx2edbCBcZkU5XFS3RxsOgSDnPoKKU3NF
5eY5QI5L3NOiXuwJQal7YGZfcCWrn0aSEm4VYuXD6Epn6ttZ1TSgSaOf12ET8V3fLzWyDVgJAK48
oEljR7vFRdpwtjT+SiH7gtWhSY6xPX3/H/FFIh+aKMh36E3vSXnfMb1Kg77ccWlKZhqeyDo2g3lp
maZNUAOyVfMcY+MWjjd/4tmKOWshjs6zKj1YVfI7j1XGJK3cvzW1/8sLI3vfVUFwAW2pck4tX9xn
iGnZGLgIEbNZ0wSruw1sJWlDNZhBlHyDP+viUuROlwv/RUVbrpf4dp+XxwiXfPhfSEsT7RmgGeOn
haTeCwccquXNqRcyKlKz6I7tFCobmlCG6jzn1bUXq5VYuOt5qG7iyGxwoN26gBcck/7SiWFsQE3I
2SOZXSmwpo0eqRcQhkSnJcJK0yVmfs7RqjFGLYitxGBquOPnQJlt58Mhrbq/pLzp9bUZFVI2Wl2K
BrUo/DR54JlYIlEmwydzmDUbGbHuu+GAXse/GKZVox4BTCCssfHkjsoAT5w/HNT9HikPtVIwZbyn
POgj5cc0jG8mVMohF7ZcBqP7wxKR7tylLbeYFWsxK/JxPNVO+7r6Bpcpfwq1B+i2rfypgJVQ3/ZF
OG5bvX37cRXNgHNk2iyewDhGRwruv4JhrM9tnX5hp+LSGxk7xSJbtUr6PeyyMv5iCuAp2dtIeQ9/
2UKpNIMGjphR3eqoQ912LcDXrSgx/xO1NkoSsuF7YHrja62HfyazbvwHENvu0U4y3CCK5SMn/Lsz
3FFVsn2gZF8D/1M2183zcttjTctquevBSlPD5nlZwXK1+mn5yO8flg/8lpjG235206RAMwTXaN2B
CR5t8fG5qBLti+Iq+oviuycFHatfODiAmMenAxa2lE2KuWuN1n2lyBzM7AlAkEAPE14MlMT2W9xF
1lQGGvsdFIZU7SVUuuaENqnxueureNq0jv8CtLESjwSQpeBsWIbhtux/WkiRNAtFCxRAWJcYUk5b
GfJmsZIPPranh9ghC7xiyUFus2RYGcErM5TROZOhRHSt9+rD0IIshVi9np1U16ryX7nqfa/+TJHd
2a/mDe4XN7UonG3cVxq0wooi4RgQI7gTFrc4aARD2YwPsK+iGNR6143lOQfWx9PoR8rVQWVvvwGT
lH+1Jx/T3kc5ZKyDHaVtev+6MuKUQnXuna09hsmOSwWVBShNEuZLDG9ok4OmgUJgCU/PZfdKn6In
p8SLsthSC/NKOXBaWbiHBv8LF6t8GPYtS2TuVMBZopoKmZPL7Ntb9qsPpgIBca+aXYGdAhz1oJ4M
76zmCacIqKq2q+xVKSxgQOIPZGpEzksjrGhKC9uwL1HSJBcp4qweUYOfqkmwBJLazI7MrQ6k2r2U
cZY7tb0vQ7vbMrDUenrdn2ZfCfHxsbdMzMhqNGm2KLEWuVLJ7BYLEEGJfKV5V9TewcEx1D5z8Iqm
lWO7iZsivPrmGF45c2+zCoDfzUauaQNG2FMWotfBaFJoKZMmMpaUcSdD7JQUcxPv5FaGB6j/sR/M
xnuuU6O8ao3yo52c8Vcta7uDqeB61y5BYTv6zWenCZIvVhCrn9D1+APUWtpXQxvS1+YykmE6mb12
X1jWtLfIZu9O7pfmQmZ6Ch7pw2eqKiMCY7jwt/voJZ3AMxBu/ASYymbdtidvKsHVJFpR2GIim1SU
pivsLdeDZf1sVZH6qLA1+3TX7VJqaXvKHFxcv292ScYZaNtOlho7uyl79OAASfmbPc3aOUDF5Vjj
HxAKICmovcDGL4plVieQ7B2C2I7t13+YvrmtPDj14qKmG1c5qFEe+CrGULoXWsxj7o6nVZSpA0Zf
AcysKsRZVOk/C8pxoGjEiodDLayDaE42Vdo3R8qkgrO+TkpQQqI+hsaUgbXMQ0tqBcgfpfJ2fdWN
F9UCb+bKpgrBoxzgSnE3USNje3EH+HOQrUgRZzK+zIg7SQX+yM7btM+rHWE0VVs1L9HfK4jPZUrl
ggG6CLSxNnHCtWBxLqJFHUi2QjoRp/OdtRRLrM87WcQg9Ar+pk4O5ETkcrFaNhwqMKC3xTFts1kH
l3OmvoBTSz2WgveqwXMYeIc5Fv2cAfAhNo5B46gv1uyO+gbv4QpebfBPh0vNG9QXqpsORR7BmHS7
Sgtr+ziAGF4DWPKVO9CExtyrCFGHL2U0obZHvUrgo2S19OYjmbRw7Twu7FxFVxnPo/uiVm2pb+ZU
NIAmTdAfQhykoJy1z+wdXZSpz/H8rc9AaRemFFYGeAyMH/10cvvAu4Sp4a4Gygq7ddFH687geX6v
HmsjwJ8zOz+MmTHhfZdGmVv+NKX/osvwh3OvJxFIb94HebSvkrxLY0Kf0AUp3ieRcKd7KeMztTYG
7DZ+fLLki7OHdWOrOjFpTsuHtWS08eze35pWC44bUSZ2X1S22icECfM2HvveA5V43GXbHKC4Fw5Z
2QOXg9NmKJxLkAGAVxnQCVWJpaO6zZt6tkdn8aH13ZLOuhqg0qfTz7RYfBmGWgof+eaRqh6SPvhd
WtDhPoNHoZgvHkmjvXSWqU0N0FDRGhS9lk7pHrtxBvPW7UnrQ1k6GcF2OQ0aA8c5+oKxSz600S8W
NnxEWxTjqG5a0/T2ITCBTr4Sg00eZ7McTHEMK5f/VmaNePAWke7875b/IlwzZKuc7vzbW54yxXDO
P5dG3wNOKEIhWAsG3kuHwqBL2AELz1E73KpSQ+FqSksO1qD+9Fz0SZacw9BqT1Q7VOdpics4Cmqx
B2eLcLWTnw3VpkP79cVMk+Koxrpl/9DqOnkytXnaZcY87FrxYAVIXTzZiaEdPPcQdEBL5pIKmji2
bz0ZY//9zqFpClTiB4Da7TW4i2gc6I7+uq0xgrhBijgzlOqXyIiMpzv7IUYXLr5W+3DnAGKXdb7U
Lhve8pUeTPqWb1D7w24G89wuUDMdBW9mVoIZAz3QJLclay3JcBtP/9Y1UX+mPBvRwzy7VnF19OSJ
oof+0rjW1W9xXL/5M+7UxCX9Vc9GfTFjrvYvzCLbS7c6TTc+euQ2oYNGGtOLvTPZyytX8zeG3Xhn
8oNTa4kl+ctjYXynlctHvq6heedssuuNjqr4i9m16n6IJm0fTpP6tXMi98WPiyv4N9SvFLVz9xe4
NtOrMsKgweH3MQ2aZEcL4F/5qFgEIp/wpqgDL9ZmxinBEx2iIVefFMd2VyYD+scbUw++0MsIk3jX
dspw5DIds/g6BdHfXHHIQa9uJpH/wtW/S9lIlOQKKJ11yr7hWbsYL8vbSsB3GQKjyxKDUeLOyA6T
9CAVnFG7yIRJ34sDwF7F+25VDHDmlN5FUNVbQLW9GKJQAAzkFnC8ShwtV+6JK8pjURfBJShowMl3
P+WaRjQ3iuyn0f+nu1VUO72fXMDZP8iA2+Lh9S23aFR3daVX9thsEsuLT1aiOYduyusnI22mLzge
KzZGMGV/NMr8Au4Y4xdatPjtOQyAyJK45IXt5XvFQ/uHlBHds7opJM4nQTuBK5ADuikBRLsZg/ip
NdRdgoa9JlesP20TR6Wz1ztf26ZNj+KS/MlwAXyL0rV564Lq/Hcr8zea1tl/Ak4Sj2bTAGifAXfY
buoElzKfggtnYwK+Vbm0hVaaOPaAVxu5Rmu58tR6f96ZfRhJ93x8RVQ/cqFsKHGj2cdoetf1eRpP
IHfGq44yqPbeVULtLP6X17elkHLNWafgnf03KXSLontyPYASAfgczSB3MQB+2lff6G6Kt6p8qlw8
kETocA5Q0Vfk3XNceu0zOne+lUY0nIx8fBNRTotKmNVu5+JmLlP30osKuazn0tkVWdFt7xRyGQRo
rHeS8S9GzzTdBBuxSIBRUPninAfN2UsRZ9KfSxMHx5M/RdcPzazQ+oZj0OFEC36myuyMEegA+Cil
+Cit0qirfbgFrcHVu6nyvr5aqptva7zn7PVwtJ5NMShe9jbMYJR49sd96KOrjWIa0JTLAV0MeDef
nc2H7mCa+NZajnW682ckUD5MT1oGvi2xJ7fjTC418H1vJw0FNH1TpvP9Pj+To6uRBNYV1KXnUbwW
TamSfdKyKl+G0OperLpAmboQUVmiiuuIg34wneXam9lrg79kXr2NtXmHDt/ZxOsVDmDAVpG+1uaw
rXFaAUTRRDM3lI1+/V99itMn8Le9mRlilpdoxuhNx99TQRkdWnPU9mUaTlsZmIpJNNS7XfcXVxzo
NViadm3RiiNjUEn3QGBT5iCSlPbcD/0X/+3tXt95ODfbjvU8bzUtVqMtYKvBYmbkQPYYDfVzEcfa
Z9B9gH+hnrwDZRxA2D1uiqyOnlayIPhPqhigkmSoLkF9nm7WLwxCM+OYOebwWQ0aFVHz+QWnlMtG
iyiKccE199/psYhsMEr4+PeOtzTk44ihseLoyJxXMjfIV3nTt3ZxJSbzXmQi70rkXesZ/o+NA2Bd
h47ZbytRNCcHz0A9qyX+jv0/zr5ryXUd2fJXOvp5GEMStDfmzoNEuZIpv029IM42hyRoQO++fhaS
tYva6nP6dswLAkgDslQSCSQy17qRLUM29BLZqcpm7pIK/Ncgw3PcPY1oGp2y8G4Nr3zIVKobmE0X
V+otDdnQcDak6Rf1MqSLfdzKIifbqytPlLN3o6fh1U3fqK/caTq61pXPjTnZOGGDNSjWAWR8dfNx
H+GngufECgEy49iGOOfJQdmF3bt+RFBDB7cM5H2OHdmWhJpVedp60cfyhelIrSTjRXxlNndpHjLy
Gv+Fa47YjT6fsElRVyFHo60xpm6B4kK8eEkVAtg3L+IyWCypd3UJS90uOYKNDHPQOOrKetM4ZrW6
El5PrJwWT5qTPgCc0R6u7u32Oki8xyewODL32QS12vwJ0J9pxb2rralbh7l2aEdjndIZBRbPCMj2
Tbedzx0yo0dd6IcwBxtUH5CKTkOsFum2aaK/m5MiJtS52UY5it/VdFAiUVOyKm0734U9sM2RSu8F
WZYXaxrqissOmDnpmYbUY2qYhsknpPSle8NNpiZYtJ2tXosIEZItNYnMx2Yet0XkI3sEgOQ0yzIz
XSg2ANpi8wx/g6ezfRuOX8rGyy/4qFE3pXrUfChtVQblqobk1KvDhu3TVv+yyBd38kQJ1Ky0RhkZ
QCw1bWCZZMnKZNzMQa+k+3dASMamRfUqjsrvyZr0YFG4CspiMZn9aFxyXtlr6oJmErP9R6Z/dSGS
jYYr93h57RfwWdQQji1oVwBGSzi0Mq+KfaZnj4uIYGepWVBoaZgpW3dK/gfbCTl+v1KGXF4dl+AT
9UYUJ29EjWDfjYJqGUcqgqRQ1VU95NwlqQ28pPeCSvK/Ui3zUWgrlyLbWP14XX5JU5Cdn4ufQvZy
nSBO8zXcZiiy/8Ijs70zC6cE0x+koJnoV53uNZeIOd0zS6cTyR0WxjsP0ZctDSe/PaeTVTxXoZgu
vZsgBUm5j12D7y2LSwDlTdFXP6BrGFVzfY3C1vpVHqGCLuvYNrSm6kRNC9S6ZkVdn8i4qSu8cl1H
4NekUVr4FeB/PwxpTBpqdL26Ms6VMcnfp0aqw6bUO3MlucX2YDVGsFSRFzOevjekKIQZrkJFXjwS
18RiDbIbEECROQlzZRkrS5KZoa6fRtMBZAHwXrRpXUaRdTEQikM1b5E9msCCPGuoRF1zj49vk1Kg
ZP4cWe06UzdLnONdGU2HUqa7RSQ/lIuMbGcHf5gOSEjekVnmjG2zWuw6+rRI9TEzuS0mRZT8yG3L
PVqFBPF4FXdAh0uAf5nhcAtx5Oy7COohFt9J3xkJ30Z6Y25RN+SumNan29oDCNBqgZifNa6fbmMF
VU/NbEMaswGhFAlv8Olrb8CKWmlna7KhaclPV5rlKv86I3KN8wHpOl6XZvdcNUUee7sMJFQrGpJC
cxysaWNLu0Oxx4lGiwPId81L3G00JInfk44a8o58le7C3OMioh54mcIVUuOn/Y3DWA71ukxtf7N4
0KXaJgEUqd0jBV7dzNyoKy73e+Px+/3OSsNsdt4QAzZN4b3zaErX2Fu2m0pBuhMuOyPa0tgH53IU
yxkI3qxwRDR3O699d8G3BNAqC5Y7uQi4zNYE+X5zldmFhORHLjLNgwmnLWudIafJedD72AMgAH7k
y5duoK/kMi5yEwBJgEsFH+Uvw8HJ6vffw2JNahOUYIE7Df38m7mdjGzcvOY7e9IfZB2WR/CelUfq
UaO1ACONOjQ07JxQhbg+xotNOLEaJLS9tb5xHsiF5iENORdm1O+MqH2hHBqcIOZbEG3gcauQwgkk
nJJoFgXJSEuK1s/zraY8om4A7yFqZ3ZhZIAjAOer37v2yYtD50eO4MWq1kv3qTELa4cz6wxZlr75
QKYG05vvZvw0Vo9IXJx5ZbE40laVJ+SDxor4qIcxWH76vP2K4tQNtr0gTNVQK4HK9dNcQOEKfDeH
VALjV7frblOVQ4+l5JidZiF1AdDrgs1MSalJojhc1c7Qb129RmKLkaRIzafulX3iNO2xri8IA2Sn
VjWkpKE5uIV1EE7WbQp1RRKSer5sgXXIBuUCAEFLFGN6mY9b1gBdQnJQplNDCurVmmcAaGM2JYlB
BOlkEY3IQ85czrekmQbf1QNDa8Zt6Rfv8y1TOXoiVlmZgGvI+1To9vBEFIJ65PZrs+P9zCgIVJX8
DlVU5kqTmjUzEMI+sZvhiVtjdCrH5BvA4mIAF4C9zp/s4WFuIlfeh8N3GoR2Ms5ibcjLFee5s19M
tTSPd2lZX7sbhQVyOo/jukg02Q1s8B77wRBg8BrktzJhwWBI/rOV8YvZd/wz6M2HAOcbw0V4tXbw
P5y0ZgAkYx4W34bUDOLG4j+NOAQXjs8/m8qpBbz9pa4M7SAnnJoBQ9Z7HNWVcjOW3wphLVcqdJ5s
UfqYIPUGOYUZc9xiRflqczobSSlfLZbA+vWqvt4s6YZXNu/dvgp3tsX53jdVXq5lKWAl37347fje
hCMbQbe6WiSiZB2yPK1arN0Jgd1Fk+L4HxX1k37whumF5CSiHs3LDf8hLpHxxTUPVdd5jJksv3U2
MunL9Y3xfOlmRbbkbms7Z7SKW6RhQvcl0F5C950hfv9DROIFDxiH1jHqD4zdIvpLiOC/nf4vb+Pv
AI//B0TionAHAAP51qbgLjaDoJPd6S54aSpaEOCHJi+oxHvXJAUHzALpSQPMi3r2oWFG6gIEvpdl
tquJhsIYd1NboSCyWGt4xKgLEQvOsiSYdA6wV8Gz7a1CGTu246wm5NzPi4+rCdraCHKZI2SrNjK3
G5urXcpV99bqZutCMyUcACNVPu1ptOyIrnyNLMEWiFSzNO1D0G1m+tcuiiegGpm2d2fZ/XtTT7E/
D0nRfWgHsva5D0jlBODpi8ut4YfLMhcZL8N5Lpp77t7oabhMG4/8s+Y30dZwmi3tI292mm2KfJba
qLfL1nLZbhoFa47KkzalBmFxkB3AQ68UN/PGoV3hJIEBBrgKAy81pj/0Ots3w+R/skcr2/dZK3Zx
kWtfgMWwJoMwmmwQgGfF0ai94qlp3D+jCbTBvaW1eApV44PpTuaJZiTFxPK9WWT+Jy8N83nGTtZH
N0nqR4El6YoJfzzSUR4DLteqLLPpSEd5i5aO8rxCf9faU2O+Ltqp4sVzXzUV01emgXOIOmoqd820
KD2WmpUAUqJL5l6R9128LZBwuwvH9HHRkrGeIrywXYTUIw2S9mp3PUzmVkzAQwNWCTvzWmfnUlHV
lqx+HEo3OdzIaUgO4ZjvZTtp42qWffjHRaEHMnes9aKIlBalo7BOrfYxk1NyIFkFMscJaBqr3CmG
s4VN4Dn96MVFZe0tSz6TnJoY69H9e0y6rOU3lPC755kCuXAPugY401s8WqsHoXvnOahdUcC6M38y
H0HjW+czwu4MR0tguWRcxih0me1oMhhrbpyfZztgFvZBJxHttUMX2Jye96o5Ob9DulgTDOaofWUT
/4qMHf5YRV54qWvHx88V8ihKwAQFiAWwosb9o6an35Mx0b4Cg04dTuMLCM7J5rVNmn3ohuGbzqNo
26c2UmpMy/ya/EGzGEVd7LUaBPfkDArNbd513mtr9fwOvFV1QM6AH/kq1U00HzcRey5QivKyukNa
Epb6efTTZfYXPR2Gr5Zp+qupscYXqTlGIIwhfUhLS9tqvl+e7Lx0D2XmAbRShDj+b1m5HSsuHwuz
xN4Q3+3XfpBAJ5aR/9aV9qOtF+Ofo0AGrR05yObE9caGRT+dgn3BOcPwFfh579cr1fUyD19ToypQ
x9MjFUuLWlQsqiUyLYJpTUwK3st3xZKTviiW9TT5/u1UUQlwILrGksF+c43lustUdHG6bpuU+roD
E89GggJ0A5Alcx+38fjFsO1d5fLipRhM4xIKS53S+eMXMhvK8d1sghmSt9/NjApsD+ROU5JZl/bj
F95Z82wRcjH0IXV3jdC6bYK0uOewQ7Gsg6XQD625p9UcENT/TJrCe80EbzZc1PxUlX51zFBMsgXX
mPXccKyg26IFKbFRfZ4Dd4ry8Zj62fycnWVVZDsodgWlaJo39wnSod7wzGsD5vv5MRMyfwmT7h4V
+uMbzk7aYNQyOcuVPcl1JI0GcVxnK1HhJDdD3cyhAK4WCjIrVJyicaK4nnuLLEeK/7u2sN3FgWxL
nEc2K0+53fh2LAJBiOtvFvli1kQW6F/1PxBYKRFvB8NdrRoaYmWPXd4yJiHTGVAG8F5ak4IRu28l
2LsP2VDztzIseIY7PfmCr1i5D30dASw9yh84ft4P1EMi5nOYNaDpAF/XLAqb7Np2USCI9AxEMu9O
jIWicv19zmXiWOBB2TJ3r1U4H+aDgxdG2unJse/85Eg9r60SvKacJt7SOA2HSa6KDBiYnRPMCrJ2
uqR0UV4Fx1bjIzgPrOpQTqW/Lz6IsonhGqlyKE9rc2uzUGGTYrEzLJy7ruax44hDaEcHMiEPktNw
IjsSLmrdDuuVLyNrZuhugZR1sFmxdcwe4JMlG/Zp4TUH5JNE75xxsyYcS2ujGWa7msdEJzdbEYlc
I6bZc1ZngJW/a0pny9UOjHeZd7B9+8c8UqKMd+OD5blB1jj+eZEX1WSts2bItpHapC3ufcZ+4EU9
PnSITKyLPMnvtNjcd4mWfeGxJbY53pN3EZJ9H/0cP8gGOJvf245dWaDUuriTvpFfWag5TLy45jnI
IpVIcpp44h4bXgQcO/RHnMcaL9gOi5VXD/hBjdJ4CQ0LMZiE+zsaglm93WWRh2Wh0nKTs6OvsRIc
EZH50nciecQaaFvqidGuR7ecJybbnMUJYEF4ddLHrL6Xku2Jjo8+41AEXeaL0xVh39w1CxEHeAKg
ElYR/9F/4erfRmMBxjc9S05+72vNakixGQOJ0JbwshYQrQU+60bWaiaQBDjwplMTBWlkN3cJTevG
b8bqkoV713B9QJmRFN55NFmHQxcDKxLgQpa7bIxQ3vLR2CNIFkExrzDLWe8HXgI8efdtHpAZuQ6Z
We6McRrWuh+KOw9k4w9GeUGaU403Y1c9mik4uSyn95BgrOdHiyFWHiMbGHiYuvEouy6IK7t7Gdy6
e8Ei6M5yLO+eRrYI47VsuHug4WA51dZK2npDDmLAA9ovALNJWpqtGdqgtZq9NOz6c8FZHMRapJ91
ZjeKEh5Rs07E38Ntqb6Bte/FAViVI4Co6GF7wNFku77lMcYBZbqvLPu0sAoT03BiVyhWJaHZ5zIK
qCs9o9ppdv6aI6GWSHdN0dTPmp+rWjHzlUZxls86a/Q+Scv/hHC3v/NaLA1o4ZxO1fuQltXLkLRS
GXNlTMvqG1/SRkkS5B0zhb22eKPthjaU57oq5Zl6y9AExXsgkKizvlG0vxunfFNVpnVarKhnINhz
yAFzSeeFQ1b6KyOekG+nSrLmmqj5PFFiAzGrZikdP5ITNYt6KZVCnf4aAIDO0SYe9kbsywllb6K1
WLdzYo5AR9NX21KBBEb4YPQg7qJsJ0PkqyNnxOwAO5Br57ja+6BvOJNdjQKFvZu4f1IJul5jJSoq
lAktJej5ZGoXS3sLqaCdqtJ72WQBcOjazSz8ZUJK8qTZsJDJAjCJt5uCWMhBHlntDezLADvVglcr
BH2qFj4CrMd76MszKGqqI0MN3oue5Q99KMc3J/QqRV1THb0wil9EWtzKP+ztPO63cmRGUPi2eGpN
/7ntoupEIxG6YJc35JpG1MQpiw5OiNAcsCGTJ5KFup/jN923W92OekDB/zbJ1BgiQFoZ21Shf06Q
R323nPLQyRDP3LNIO5wgfJwd0VHS1NhXcs9Jflq65qYXFE26T27bHHwrmb5UPGv2rTUOG1sVA1kV
ls9jWsf3fibcZw1k1NLK7HusEZ9nNMwKVQqlndtHwbKSBUyO6absjB24H60nWQPIKMslQKz1amPm
jYFyZRY9W0oJdIC89t13QIEM+CC7rOb7pUrIalAsp7PJ3VFl0VQjNTzVkM6gao7G8Ks1pE76q4So
SEFopc676EOQluudSw0wPB9HYCTv/NQn+c2H00nT3/Vg5MZet01s4xhbevQ8jKjgSpupCGhoWGH8
HHVRYES8f9Dw9n+WffolRhIwCEBSZl00lPFebD/7sxV+vafRIs+6IQYJVPhVN2rrYqqGj1GPcLGb
fZJu+ynRehzgj3isR3W4kh57rVjifsGTYkKqXjw+mppEPhCQpo/Ad++PfpRr2wqej4YjjXU9SvYl
H+pPQxSVap6uGpyvnLJtjBI5P0YZbQtkLiHNDEd7SzMMyH4GkhbUiM68q71pZbeDdULyEPhn2glV
xwLPlXMGWodVXmUSVW3QzDLVmwzhrrlf23PGpYk6/ztbiAdKs6QkTLfTjBNeWadET16rtHK/qY4F
ZCTqyLpoDnh492vC/BZW/FjhRO+0UPYokYzq5LQgiIdWOFv9LtJ90Bh4VoRE48pPD25S9/vYiKad
Vsrq1Wyr1wb0x98LTfw0Est5ng2cTgdya/St15nYGX71nY+TfnKZBZZZN/f1k//RkObDjuS1YerB
O+t7Ca5SPFiF9cBUkxvjT2uKOFYSjD2QnLfSC4p40oJFNkrbOvgM/7y0iXHwoaNS9MHbkEHvWpBY
jXE1kWfnzmp4j9BM7qZRAbhexdCoV/3FcDEhu1rFFKl347bYuX31OWq8cvsf2NIVF9e/ugu6zo3d
4Jc4u+4qCT4kZEU3dQmAOHwttsRmTHTF1JCWZIsJ/mfIiq5UVvRiGI8KYk7NQC51M9UH/GNjKjva
j1oxHvTKts6V33Sb2tfzF2FJc8VYGn1zhblv3RC/QMtH7oFn2N9HPVdABC57xXLMDvAM0S6qlGhv
yHE8pJ2wAfGfo2YJSHMXgF9ke3qcOxxr0DiaXpcHvrTGYmtLXgVTXXbJ2u2R3e3bfX6YH/ZDxHBs
HcsHcmF1niwTGKDvRlFWatgaAACc5o5SwaN87M8AFf71i55/zDQOC/fNbFP3kmih8QRSJ3r2UlNg
IbGxhWVuRCXi56YSNc53/5B56oh1hsVK0HAsLubxaAM9YmCavGOgwxTrItNWY+Lwe5SKaI+ji4/e
a6ZjbZf8UbQmf/RQe7rPGeMrGpLCx0o+SGucN5OXVbni/r20XgtzFMX6bnoUwjwxadf39dC+NxLA
NRs/Q+FlK42TW2Kz0PnC+2PoH2u1WMTG1sQd5+0FicjgaTZx71nE8wAHTIC3Uj9Yr0nxA+5K985s
WXqgny4puJcZ71oau8ZwFJKJLc/tZycrAOFsWlIeEI19H056OA/n4D/F/UVq/Zn1cd8AMe1XXAFE
CGCV5G9G0yFzhOIAN/GGCkj4oIKQX1RKBtHvAAaYb5C0Fh3AIj1+VnIfOINPDg4M1z4oOAW2vZeF
UKEQEqeCTrS1hs5DTZ6snrNB+qsc7MwHGubdhMiLmSYrm3lNsbbj+EXrjfKc1l753E2WvWtDbq/J
mJrIfmNeHz5hX1LhBd9o+LCHfEs6hJuMe0sbdqQkEV3PbJL36+mj93490hoVjqS8Ae8LOjwExEty
QnHLaTk2pN7ExOPgAcx4kdexFm90hEBRwPzr2LH+zb2wcnWOHO1dwv1w9MEvVsib6455UZ0yrIt2
V7JGnfXN42v7uT+4YBqIMt6umVfZpx7Pg3Uspux7mby6o2f+YU5Yxco4H04oFRouqW3p6xIn01uA
LWoBvQaXd2HXWPeAbrFQdvzb65GGY9GAvXOKPNQ8G1OJyCvoZhc6CeqRzB+RAx7WqRcQr8SiQL7w
Y9Q10d7wxIhT7tZOTumI7Wo7AmjdLmN3lskQHzYpqDeRNXWxPBWgJcHJMe9ihC/KXByW0jjE9ppZ
tpTekSyqO3GYy+wWG6qmk16mXew8/JwkfHhOTW3cFj3YabokEWet9ICzmGnxJ9RN/6yGnv/UzJfO
0uofhVp1pGU5PgvlYw55fkxAfLXyWf9qan19HhHwXW4tjfJZtNwZiQrHO/iFxy///Mf//r//5/vw
X+FP+SDTMZT5P7Dde8B/rqn/+5+m7/zzH8giUvLDj//+J4DpXN31cADs+p7h2LbuQ//9jyekbcPc
+F8o3HXNtLf0g9DsoZie26i/UCyeYvjUo9C/bMGFAhIMN7hRkEmkgz7eMH4u9tTriazOkwrAuXSQ
Sa4OEch/IcyLC6QGwnUR91lRbns/4qCNADyXh/y49Vh7CDqmY/5AsjzU0otXANpfiUA3ns1ysmUG
WM5ubKuhXJMnyccsdVEpZKUrzzkiRjkhfuMc09KdO+JX50P10Zlt8Mb6kHx09FiPAOA5dusmsl1j
a3buERg/+JGo9DHKAHNbO7XPrc3fFZQrRhkzDkpavMOHy5w1RhpfTgiSdYl/dPB/2nu2XWQBpefM
qWbdWEbgB2jwSnOHb7ainO38KME6yasPrhoib3wsDXUcUANERc+NoB9BOSvw/EF1dSEeDNsPH0E6
c+Xt2Xjekdkv797U/8W7qHk8eye4dmXY5VNuAyyWgRSwECUoZJGdm6gRiZYmt6VxTmSX7+IOwbPc
0N9NSLHYRW0IdrxkQkjhw4S0i50/4cXduB0KlpTJoqhbPgHdw0s3A2LC4Aj912tU6h41BxnE6h7J
tSlLeNE4Lc33+1tu6OYadH9F0iZXM9xcaLm/ZZaSbo3GhZ+hOhBw5cuNLxNYwNte7o/sm8itt7ri
IqTjEilwDOtVg7e+OZIhhYrJzQlQM9jQYn0FPrQIl5MemQnn0g/dC2KOzo/M63cAdRFvdg16jUyw
4qLlIc5GhzTbGpM0X53G+IOZmfujAs0YmQ6GCdMu/hfTIbT+4AA+vW/Dul8jeuufrVomyD0DO99o
lMhrRkLVQxo1/hnPx2Qt22J8E3gBXynIY1EMpfQfojri81Q3Cn0S3qkpWneNfOLxW2oHpkqqjO0a
9Ituop2xhFA4qmkV/DsDPMWBZaOsTJN5JYox0gqpXgOiE7bvAs8cm5QnHYc5T3ajicApNGtLQ1KI
ut/0Q9bck4i8RpujOl053HgtM9146Vhm/PsXgGezmxeAYzLb1BGEBKOrbpikv3oBxAND+sA0dNj/
Ao8MFahHF4hV90mT2s+11sebJORgUzIG+9kHYNpp0suvNAoBxPas7DMbNUokmmQVbzJl3yn7Nouw
Zf5lTzM6+vj/Zz+hpnDTZ7q3L0vkg6XS+hPJBc8DFodfCpu7aysthweHO4hexlN4FxW6dY5lKTc9
8A1fM2Ako6xoZD8GOwalqTW763337m6UxvAw9Ahv1pVoNkbIjwzUfiyoKvkm+n7czwBVfzEsC2vc
z4GizOFrbUQAMsoKYDD6pr6aC5SpmNlpkKNQp0CcaPFjyTbZKsTa6362qD3weLaI383FzLODIf17
8pq8dto1etFfQF1koU6Mse9u3GHJr+qawb1t5EEDbKuTafuds21Vvj2NFzXJjBQweVsNX4UWtSPt
tOZdnwdSA65U4NUxpLOX55bHYtCGr3XW+WsT2/IzqrUF0hXyKujiafjWAp9ThRdaZaArgyyz+MEQ
oXeknRmevy4Kuxyk0FDsZdm+zXu6ibnbkPn5VaTmyjD6UFMlMTnr4H5FFoSV8iA1BEAj1Is1DKPP
WoQzFsm0gX1OKzEPQfak4F1691Tz5Nl17PqJjai+14UbHmiYaLn2WLI1Dahp67TdN9UYryOUbqfr
G4e89LD589Z23g2ooo46lOfn3sm3ijfKSaTUw7xz7xyRFffMZvh9eJYW1BKBTrKIhsk99UX9JofK
nrMUlb3M4zaohNfihBi4OBq2Moj+AesnvgNXZ79CiiQgyj1ZvzUalyfSAgMrvsOXHMSpypiihxXu
hCwIgIj8x8ToV6Qksw+LRiBQ23dJQB+vFlvDYWzj94CZCjRc/bvUvtuqwpEsqGobeYjNlmFhhiBO
JvaN2SF9phCi3ijY8a4oHjReSr7iwBpbgWOHITk+Au/kYt2oE+QNsIHrQS8eDOHoZ3MoN4Vp8ovk
ZnVoR/Y5S2ocCqmG5NQbcYKug8HnRKOu5jZbVUAYWGt5U21QIqPNHrPaaquDy+3Psx3JPmbJ2+59
FjvZFkCGUp+jjtKAdQca1Hno2p5/AY3vgZSWstBK59rCqXJ+CZP2UFkO/me/W5Ds9zkqhQ1VmMUP
OwO3stsm2LzyE8UC9IShviFz01lGQQK3GxhIghvFjTZ6MtBUtK5n5gaYUumdpjb3Pm39ZzVXsQCl
zgbUN4NI5g/dzc5G3bXRJsnM+MhEei7sdMB1Ki0YRe2celWEITkye3uwFOwsFVKnhhTCFNYqCr14
N1E5RqSCzYtQUk2GmY/4/mrNnSFAwBd0WludqOl1/pnVY7UrKKeAZJYA7tQWed0VYo3e53iwq92V
n9DApLQd4Wgox9kaC5kMgJY8WgNRC7TliVj3ZZS/tKpxS+NzJExADfh69tJYmRVoeo+wMWvyl8pI
szvdwPeQHJq0jZ5KQNSQkhx+d9dihMfjEMErs0833Ar9fesN4xctsbZpO+gvvNXrCx64DdaWkBvK
zFNmvRrWlb2N/QSAFWW5zljan6xsBMiPro1fHL9MNx2T/j5Kk3lGcKDoL4XD32ckOV2YzLTM/DKm
vb6LDBxZihgHfXlbfDY0OwQOMLDrLDcsPpt44e5c5AdvaOgi8xbcDZN7R0Mv8c9gnjcfaQ6ZhQGJ
R1sgzq3mMD/miGUBcHkN+Eip1BAUB5tf3gz80spmK12AupGocSb85IyYsbXBsxIh8l921MPRawMq
+/TzlXGhZslFvRUSqdg0J2mpAcsbW+txhEprE2l1mdvc0bdPqC9alg1T4FYmTs/p20eavxeWDCC5
ZBMx+2EYU3lH1/C5Zu6cHmUotYnio9X731AdDWyeL/OIDCMROqvCRHUN3fOsQVa6uWssBF/Ihu5/
nsfR5xmEgqKvEOcEgKmNUpzQjZID8uJfuqKTF64l8jIrfNEV6w5FqYjgIHahmrFVUBAoX13ztpBA
JviQZZjlVDL9lw2pyPHDmkZmXR4rD4kr/oaNaTH/eOnjox/ru5QEA32K/obLvrgPY9AqrOhX7gR5
H59FHNuvITKGg6pxQhRN9skIotMaBVJlOrC9Z8TtGWfsm07XkCEDANL8gYm2w/Fi1CBLTqXN5EY9
22Qq44aPZvZghcm0s12O5JQPTNc+Ab3vAsoqvf7ooXjvsIio1xClqePfiWb8ROt63XaztT7W7Dwm
ZvKIUpMY52/YO1RhmK99vWs2pl9UlxzMopm9qfISNEtN/ofj16it8xPjsR3j8K4GgvnWZpx9RhHC
XaRCYVNb9CuO8vbHsdDDgwzB6d6vZIwgUqHFE1B/Zd5dUhMv1GTqx7dEN/Gfxo/9vnG16R6Av3CX
zHsVbHhdihol8KMl0l5bPJiBznAC1YBandkD3o1bzSjZztZ8wJ9w60FPovyTkIZASLaKDuVoa9hM
YOcjQpF9T7iDT1vPPoXSe7coxjR8Lhtsmv5DC3UVjijQsTbtfNNP4E41wzbcZV7o3/chU9ya4UOC
4vULiajB2bPcl6JF1YYyo4bZlX+vjeO1PylKZoK483oOrJYMZDl07haAfGD7K7WHyOmngxkOOEw1
lMwusX9TsqoZrXWeW+OmZFU9DoHLarbufA9Ujiqfw4vd6nH0bEDSTUa3v5Ext+n2JdcBmk42pbIB
WKsMwg4AiZrs3lwDT+8iFuxVjfSyvBolkVZf6sw0Xy17mHU179irtOq/8vvQNREIVGKBamjbbZ/r
pv8mfGBc0AgUhOHe4xlb0xA41N1zNW5ypLM+jULvnrsay1TBq2JHutEeCxzZaC9+gtSadRVN35I6
q06NchRh+j4Z2dKMvbUBPAkmK/QetSBOunNQRXpMnHHGq24+kKu9WpxjrYhPC3A1kmdZoEs92iwI
1VOXgnnC6R/IbJF/uKccJObI4u633tAnKwvZxl/7yXzvLbKbHkpSw7dpBJIjeXhVfW+y2k7O79vp
GOcAm0blflCTJeU9Q6XXoZa6PPNEAF+BFDRu2gy7h24AUavysDlwQJDajCTsoKyyexdBscPsM5sr
I1ReRUGH54XnrvXKrDcEethjP4bctTDdEHrijIFImIhzl4yuQBgNC0lJZH8lJKPRb16wTSuDyY6+
gG/JOba2KZ4S154eHDde0Ujr4uQJWCz9Qcf3FGd1Lk7IiqYcQM9tAJ0vSTD+mwlm48UZpOEoELWc
LEDuub2iWI3+zYzE8GMcEr6STjU8cg9neDbQN/eV4OFThYfibBm9LZY50FLWeDmXO8okWtKNqDew
st9o2q+Uo3HiNjbxKgVpTkSa05bIdBZ4rO83Fp6wK7LNp4ht/33cwnS927gF8z1XR129b3iGbzo3
gWvX8yOrL8b4rFcgQe/0tHnKej4Ai6zNtzSkppHe3in1/pK1Q/M0Tj2If3UAPCr7f+sUSRtgaVpX
r2JsNwKe4hSVckCpwQ6YX9zo+/+j7Lq648aZ5S/COWACydfJmqQwSvYLj2V7SYI5h19/C01ZHGu9
u999oYlGAyNLQwLorqqeLZP5w9VrR9tZkJsbfLerfCkthDIHPbj1a9t/zB2rgXBFlm1dIw0eZQP5
GF8MA7S90TuarncZlrbqIgNU3HtQnCpzT+4QQYzxvpD47yr3Mqzdc1GLE7VoFGvk6U+fRp1AEWr7
PGvfPw0VqrxLvaKZP31aiY22jpzEZSgDf8Wr0dtprdCf5iYvU+OqqX80kbIH0CXl173zWBRk9nbk
HEtnUTUMi7qafR4//N789NnzePpR6MP+fWwB2HwbtdmupAUiavnF7wrr4KolBaGO6l6ZrCSwDpHC
D5I95/pkcutqleYox1LptlokVWXqzteXoSPN01xwGizf5Ebrnb8+FaLG0aBd6hmIUdQxTfIxfnYO
Km6v+5E3q1gF4CyndI5RJ79K1SITnoQ9q8rs1oks8xJVg7+uYqsGhOeXP2P+V2qBQqfdG3W1mIAF
BCIgZAEBBrxW48sYxHFsrVVchZyAXnI3LaJlyyYLklurybUFAcSq0MP2KWqGWwCRlRJhqC1SsBch
r4xvJnXQiFDE1yNCzxxuvSwR66ELkGl2fXwdUFKqiNxHQ4ES6/Sq8auH3Aq2I7dfY/oqfOC6Cblp
FIgaB6szXjQ5ZPsiqlbTIRE7zmw3rSly5K+0vE5rZOVumODeLbVSFBNd04Wa1IGE6IaWWFpYU9C4
EVTgwX5ar9Ud0A7aYlqUlTONok8og/Z9OnIOLQbQgId3h4WnuZAQcGSFp70qDUIC7HuW22xwIqt2
HY5ls12ro/bKnnBgfxUhgPyx6FQ7WxuyjVe7OJ+6I+QRXJEd/CA4dp6O8/zvNl95GHFe3ZIdEOWc
fGcTQ+X07b+/lTV6616nE4UtbA3VdDRgfJBaFNrv6UQjl7mGA3J5hLKFsTOY5i/zvkgvSIixdY5S
PSih62R7R9PZNky5A9mrCgHF3BDPIsqDRQtJnJ8e+MEeol3Ad3niWKK+0VeaSYz6f82UmXp+U/QF
UMV+Jk5tXr0YXtY+Jo3WPkIz04vacGoEif7WaFV0oi4zb/NV2ffmlppOp2c7u688VBrBwI+5qEUT
Yi5NQQ1s1PN4zIQ5zSX00N62UI7e6SJ7lIrFW2TIq1tu/palOWjBQLfdW4M/bOsi8VExK+7OkY/o
iQHxlpcW4YtB8YXVoHyoijcZxXIpOXfvEQg8m4kwizezlSeC3zauxFouxmLivPWQIYPGiXPdnHtr
HcFPahIF7tPY6mOqLijyO4SsLp6X3Dd90r/EfVesu2asjwU0CI965oeQRE+iV+S2z6QGiHDJvQW0
3ouHDfUawsn1EXgh+yjCWFsZCKcOXdltdRJAi3hyZxgpgsTacGwNgSNjrxTTIL0mFkYedVtqkvOH
nzSKZsuZFy7iQfZrlpr2Rrdq44maJmBLGwI8z72jetM4vGwXNgujIy0NgcmWhp8HF2o1jnfVQknB
VW4hQOZE3ESqGDnFUeDMZfqQRdA851w5XXoE/lys+j5Jv3Htf/aQuQOxNGSB/zSH5KN5/PenUBfW
572Ra7i6blqaCzaZjfXo96cQO8u4ZQUmLo3OvrkChhB4BKSFaC0d2UxYkkoBSiaUCHVPEBIapEHQ
AGLWCjtCbRqJUzCyBDPYxI29cPnOFNRjDUSQj5x8WUEKtUPkbzfn3ntI1exFOzxS1n5O0zehAcXs
MEJZApX176fLuy+Z5jnId573fQB8gU58pBZNHpoO6rN2eb/qveEvyaMRLCrI4+maX594HPf3POom
+xD27/YROlX3yj9Tq5tWa9d25a/X7CskLLR1a49fqtjQG33pc608+Ww4mLpMH3vRjitoR8YIa3Zo
QmLoRoIZDMS+kTwaXmHc14DHC+VLA2zOn5IA76t5eFQ4MTbj8B/igN1AHvt9OHC5w9px2uSmKVso
nTeWceps8GXipjrwCsUkV3qPPQloCjXOvuYLubW9C0ooizRvWBhIf2JrWUVrGkyXKyfpiGkystFc
sx/N6hT6C9k1blcQVCvPpl6KY48STu2CbnPbyNZlFOPZNvqmWE1d/jCA7tHbAsu32++DRhPHyUa3
NPLTcBR+EUeyTY7M844DqgHsqtwfDkNcSNQ6VbcGHuwCpRvHdpOm+TeyXXXQbQmx5nd3ao9tPgDA
ZkPqoY6CDuqqyXkY9a1La4/Do2U4Vu0Pe7CiRcPb/NnXrX6l6WF7GxZutjNKz72xoUILeocOsHob
6RcDG7iFOVbVt0g39p6FvMlCzaSlbvPD586fZxqxb9wOYbDzBXbyrjAY8uEZ+8qHdD0qvdUs9/5y
dc95TEqQhVJs+3BagGtnKMm6QnhfxzFb08vYQdH32pH7ssuNpyRnw5mXziuoiUjTRxx6Ua3xOvf1
rvVacEd/YigHOnv+YZzyRIbLvRtzdydKrby3LW6spHCadSD86h5RaVTVUDZP6A14anApsuraRi5R
bpbbDgF6vBTdvd/H1U9mensmtepnyu1PN6orVD5QDP/URc5Z0D7FTrP3TB1YMS9m46KofVR11u0u
+V5a4P8E0E1dQ2U3i5DwKJb//ra11UHzestjI+KIXJ7uuq6BrY/16WWrAxegAaqeHN9h0QhoQeKK
eBiOj7986ibeRgM43cFpGIE/4B5BJ+FY9+jlh5ArlCrsfWneClXHyXMC1PzEG24RjyjY5OtRtBny
KgPvBL2Va6DIGTbtZ1TiGp//PigBqGzZBT102FShHk+HxkPHAOjMuwF1e5TNqqAIQTaryqt76vCN
3/wa5TfbUB6hBJIWzJl01ZoORAbs/sV2/eTBdHX/nBa9s/A1YX9BbUCICRuOg1RMXTx0xfhM9iYB
6iJAQHhvVUn24jb5sms88UWDyPkWzMB4S03OR5w7rPDFDXixDxsJaXE1rfo4nmjxQxsFwfRx5F/G
yDHSxyWesP4jxKAZn5dRmwsLKymgcQDGaZrzKcQQtYUwbSCqjm6JHKxrLmPwv4Mlk3p426M5g/bd
fzCBgLjUZdIFS/JQcxC2lUbqhi+hrfw+T1cUuxJ/58MQ8WzPvCba6NC/fZXAvQoZpt8NLhB4cvzi
XvYlPLIK7IUyfRUBvx+Dorrv8rC9hHqwoy+Om+t8n2tgTQ4yN14gMK2tkMOKbqgJEPLVIM2XO6TP
2aIamnojvdE7xL9fKm3EUk7Gqh+TnVV3pz/5zbaCp6cKUXDxNWB1tyApMSkg/Fak4yu1PomPBaoT
i+/rJ+kQcqORIzo1G0IioWfc93HHFk5zpm2aMzbG0mpZecZ+2Tjy3OhXhcz9tzGaHCqGdFUgivIM
/NS/OwivyG/AxlyNpWwezLxcYOeXPlZGkzwKpO65WyQnGdnJYzb63irKkBikJkBoLdDXwNhTk4bX
TrnIpC6qpQ/yzeA5EDoy3DvBmHWfZdmFyOjdGMbY3RZ8Q2R0WZqvXia9O0d5xfL5P15Yf/taC1c4
qCGl4qqmY35G/IgiMMWYj9UeqtUonq3COQ0dDujooOI3UILEWeGjWdPhQDUpnDM7V6X55nLNgVi0
ma5rzuMNoYJcoBROlRm9EOaHoEEW4lHQ9AROX8UpuPTe/akzcrP8JOvwhVof/qlpivM0YQHGTOYM
y8zLRKMtS9MLdwSA02MGrEBvfP2EfzPKtCI7eXVWnJ9d29vUXMql1jnVA124dE0kQNzghppG1bn3
SbUqiqyeHCC5h/IQH4PADagQtscgmwHtSYPCwHHvJbD4H4Nyv6t3Vc8g7mp15X9Adg3L/LTg4HCM
hcZFSQluma7jKkTXFWIrYBK7IEeUBxGgqINQeqJQ/nqQaYcK8Ep6tFUXstNdabQPnebctZGt33Bf
ti+e9zLYgfsqNM1ExQrfWMV6677GHjTFOCBC5yTumotj50eyVw5YtjpHpfYg4NhKeO2D4ebpg524
4raw+nBBszWyztcR/rQ7cvOFtYSchnwWbT4eMzw+oDfjQ0vPQfFC8HKhhYafpa9eP/0snfJqcnDZ
6WcZoH57bpsUWvWLVmfa2uut+xZxuuMcphtH+97sCwYsUXQo7UQ7F4aFXZ0q/QV9X6Czq0bfmTnY
fjE0a/IwLh5F5fCz9CHvTvZ8iAqgV3R9R6OUW8fN/JFm8zIf5bLUbKlyo9k8GyxAFEEQ4is4s3IZ
JCEAkr8W1KwCOzHTo6+0vNJ6+rspjZCwzzyRQWWuXGYFH4PF73fSiHiw6DOobUUga173rsGbKvha
L7vqgXZ2qpXG+HJ+tKiP9nlpNq5N5Un7vI9xldr1qT4aR305Wv/buI9ZPsbRLAi/uDcuxOAR7mNZ
schTHi+QV9XXZTgMh46MvpMNh89t6fbYv1PXdJvFSO6YUAhfT/5D8aOyZbIy68Y8OohYb9PIfL/L
P+7m3vnuH/1QKbNbDplbs8sQJdnCRP4TYYXeuzdD1mDJlsUXXueXaRcPJm6XmcZfjR98kfaYvkKy
UACaE4f3TDMSwAu05OCCOnygeerG9e41jtJ7H/MMttI5ap1LqYjDjQaFdMBc+RrKMuxEtvniNTgN
cDP8IYiCTB2zX4W1D8Gi7Dib5qGW2bxPPNvoztebYTlmiHnXTQ9iqmXp+2q0zQsYP3JnarmFbxq3
LoPU7XuBskujDY4QXRK/aRfFGBr7AIfIfT4U2jJyDXvh2TWqYhoZ6t35Tnxq0vwSKFopilr5l9mD
bInyqOBB/nSxTfuPc6BK6hkH36cGMbY3w6hWtuyxKvq2temwpO3yUoueci+9J4dACnvRa4V+m4I/
dBxZHa5GwPHfCq1e8UKar0moi2VYmPZLv8qCQn5XiPFVUrnNyRjH8TQYqJNCKAAEC8Dh3U0lfUou
LgDydFvk5tqbQNblnURGd2n2hvOWmyDvIyn/A0p+0M5AVb9L2PfvvvkQWMe+TnZhXPZ48WEfZKJO
H8t89jM3TcB3vOJLDdGuVZ9aA8KgEUhb5lDsAF4w74Ay7pdgQ4qvEBXYQc2rfpiIwOZYQtW8sYD0
N1fEDeuk7i6BgvNAz8skIBV5ufrlkHRKZtL+HnV2+uyOOrIXSTC8RX19E0VRFoCGd6dFmfUXa82L
yJDHHVjNFpjMu4i8SCDXG4lzU0N8KxQCCowdD48Os0AYDgowPqWL5xEBy+eqHK/mzsWY0tw23onr
f9+9AJH8efnTEfByTcvhNgJctvlpV44fLu8zXZOH2m2NJF5o3SBfUSV+zUEDBKGRBWsn6J3vIvKi
RWlW+jOvOyBBtai/M9wg36LyZqWqAeCSGPm2TGV3F6P87SrMYu15SKMYOob4rak5a03DnAJzCjUn
6L9/ntNJdDxapvWD8HmEwhNEqaXbAWzYbZX1369sE14v7VN3o/WM2fayCdrr6vU1VvAttEjxpCt+
y3xBXnVv1Kh/NJuufK3GPBcx++InDOW3yxD8vqTWgw0KAXkLSxh8wO5pYKseSSdAWnpuHAq8pLNg
4BXAUorkLFzjwMIYT5SsAQ1RtrlD9ACbKJL0NMHMjW6bBlFCWd3w2EetRUXrT2zRbHVW9cuJCZqH
Qb4EBM3dzmxR5iW7vEjrM9FJsf5aCM39fYJ5ALecbInqHC4qfT5Cq94986hBRakO8ZZadMi3x0jQ
kS3F47Kykg7lgWdj03X7JBAMBy0MC1QiD1DIaexsInvhmSVyS7b+HzEDwV2VCLmOGri2Y9uGbusu
jpCO+zlEK9N4AMggyPdtdRkXjYo1k95z34nhNGlAY74VqlPL79nyUz9wyOk2z5m1KdUijlqez8Dz
sXOhQj6qlWiNN7eMRLonP08W2RDaa7/rUPD34w4w5r/Z5t75bvID5jnsstgCthEwsKxgbInNDwNk
t603vbobyxxoQS/1URs4fL/rP2x/6v1HvyDIxc4T8r7wA/5Qu95qSgyqVuGyqVU71dQ3pRNV66Pv
YxwkWMBr/m2WhrnDrTXYR+uh7OL0dgQ2NVjrd9QgCGE6JnyRNX12E3aOtegRmLkBNcO6mIZv7WRS
V8tSNVM79B5iAVVIAL7JQv5ebbk3ZJv9M9es9uXAB6ybQXvR61VneuyBGpDjjFdm15ZbajaoAXIy
C+2JWkHQtCgg5nwbw6A5MqzGF4CVvG2Hx31JHkki2kuvgGYDeyB3vYeEME1IfWz0cG4NxyfqDIT2
GnZFfwwqK14MdeAfhMIuOxYoR17chQtt0JJs2afj37qZHMMFyKjApJu5/t5NUOd59NStq+7M6p68
wOh2eYWE78jH9cQ/ixOoqELfeZO1RvFF+OKo2652QbRSPzn5YC+IvZZmNdZPD5S7LAuAxRqGq+FW
6Pcbmk0NZ01XL9lYII2qWDVRWdibhGMvQE26NBYW7bSGIBjw+PVDWKbdbQlJotkj7qS9Ccbhb6MY
Hx+Fm/gPuszunVwL3lLopC6aodRvZTw4RwconJXmR+FbJiqgqgbzNbS4tYEEi9jhHRxBgedfRoJQ
nm2MPgVfQOmHl2NkQPLY21KrUCad1MSpnSFIsOjrQm6oaZN8uKVkyPUa9Fs1jlpTB/nUKdD2k1KG
OyC8GLpFBj2sImNgyQ8+CtUonP9VUbYEeq+tX/+cmQDUORBaQMOOaVEGCsRB8a1Bq9a5AD9lakpI
obij153nGFnwy2RF2aIYhLM2WdvdJH0b3fNcg+AaUP0/Bv4WC7N8q5nrLPvYHM+OX/aHphvGdW0H
3ktRmvj+w9MJ2ZtnlM6jbyXRVqi5bCi+/D6X6Rflm26FoKgY9XgWaq4BvOssiETx5vlS7iiP2Gup
v3R4IvaUR6TmCHLQnvKIc5OElBxI60zO/6+x88yBabdLBxA21KftAcFEKLdZRF6u77ietmxhlq2/
7qvIXU3tAtGcHUTWABPuR/uuyDP7brQa79Q4xppzgT0bUgD2HagNmwQqRSfyIN/EhTRbafWYmvxo
as7AozbUVORjGex9+tGttG3YNGHnQv26bLb4kgAdmln1ncsDfTftEgB3hWBHjdxqr9kxlG86iIHt
O8t+SH2PPYdSsD2yk8XSNDr2XFmJtqkiVJuj3sjRodblsH5PvdBogARV5t9RJ8oe4Q+tPQOZ1d+p
Cc2s9F9Y1LO9qSaM1fw0YTnyYkO9Yzm8TyjDn6lWLnwW+HcoPCkhbBnGr2VhPUMl3/wLSyIwbO1P
OQ5yYXsGeyplz6C1OEAwOU+hjxo5+Y5GQ7PtfXSo2R+jkdppfg4I4C68wn/JGuPS57pxGOvc2mUD
Mw69uhuVje7IRr3/6JcVvbWbe+mObPMsdPfJ73/+tLC6d5JxR7unutKslW1Kaz3tzkZufIt1ZA2p
FzJ80T2rbqe+FomlG4vzYjG1/30slMf4Xm+bbz6IndoUkqLQU1EAXClTH5HNj5iU8Fl4AJ8jWBJh
onDtS6rV+j2KswY4dcavEwkibvVN37rhllgWbuhdKhnq96nQgnvM2abdAor9/L5MDH8vRAKd1I6Z
L52f70niz3chwSkgKHzlgbyv9WK16eQxQm3hswc4AtYLOC1XHo4uGyitL/0Rtdl9legK1cU3inFD
NptyYepCNgns/JJs5GwD/D758aGF7lDVDRvwfPyT2zn+ySmSYLrDm79eNwwH2bnDqxvs0anN88jY
tHWKarJ5puPloNjledWeKgdZkj5p2WtjJgdDkXAH0TxpNjeeO+VahMm1qxO4kyvBRVnYP5la+u5K
s1ZII5xkmV/NSq5DOU6uwH6BXxTpr3npiTMETreRylQloWbtm4Fpy14lHIY4MldW0/o31PRa+yEZ
nRiCJr12Afx5S2Y3qay9jcmuBpWBtwHi5rvP+Fc+8ohv26rv8WCiKXsXNTuMDArkVtSfJIJ+iLJp
O2pNF80CmK0RTX9qW/+qFy8ZVCHxnXzNoRG8jroovaDEJgBKZi++RpV5bLwOmCMNUrKgWIY/OxEF
CwjfiOc2APW3NhvnNvUGth1HfMmCOvSOtm+xdT906cX2oLL2h5kAA3ifqQWmRyLGZRdWtjdl+xoj
sehAWrNN71CpAbtzaGbspB6ld/hNJnfAPeV7wJRfyTRfQrNFrWPxYuUmJDpZjWh6Vlc7JxzGZZYJ
cA6NtniQw8/OCIAgVA7IhHDg5/1q/8mfmtogvZt3ioPtmMmCC9SMVTD4wNfYQ+2Fq0IB5vH7Yw+q
b24NaEGYFimbBipQeMkepQ5dI9qKU9O0IVI0N6lXalDjiOIhX8aARSIpG/bNX5EWQC5gYMFDWN/S
TpQuQ6z566zx/A3tL3vI9jy4xpWD7LBUdlEZbMifHH7NQEPmGcgB5U3z9Tta5T2AgC9ufWeVQbY2
Mge6EDyPH6DIIxetCj5FSqOxw5v/oWQR38dJgse0S+xvyUkpPrx1kH5bpx2Ed2pQzT4PDFGKdp06
lbakT6+dALWGOpnuiAZoh+aAA5M8THttwP3qqZcPrgWpBojaUOQYVSzWnd41Z8rfUkQ5x36ITFNL
JXf9Dltj5UVjmNeB1NMEJeRm6zbbxpX7FvDY2naJqsyGgkXPVjZCxBZl2ao88Q4haduRCHxk9ivs
v9wDIk+oWOaVfNGjsDPilRJsjZsEwJV11Lf+VvQ+At+KBtQSIwiqADf24PdQHVUEobTV330mbhDU
beyDM6DgWm0t7UoXP5CLguySD7CcgyJlmyrL4j3yS81taMaAYRmx/u13X69O8skXEskottiKRVYH
yY3BuPVgBjKZztKIV9wGetI8t57NNp88rCLrX8fBPJful1hBLG3ujhu3cKBpJXL/y1B+RdHe4St4
qOOm7st0VzObvXbv5k/etjV5fzJjEhT9vZ67i7NqYxh6hf9XWx/dEIq79Cj1qolUHQR+1XPW5dZ7
Lz2E1Ds7z2PbtKlXpt+X26TogwvOuKsQfJY7avmV9Ld626YraoJgAw9Icslaq+6g8O5vGoQXAf0F
C3MScFIB0w3EvrIriacmG1xtM0s7JYaqMqB8SADaLB+AbUtQris6j3o3fi9RJHjpG9y+q30zvGnc
yt5Wlm88OHExLOgvblko2vfLVQW+7vDm2koUOzghSNMsNJHmO6KNEYGMjaG3F437QN+y6WvE0hya
PomPQnJEOXOVj4Zjbw3gDJAev09DA6u+vJqGETifpkktJ1inUAqC/n2Jau4AzIKzCgKsuvOjvjoo
e6DQtFJdZnte1YfZRB6h8tfhX5XV3sBJtYJ6d+DZ8qk1wwLx3T7e6M7gfWUSaCFn/KaVFR7juAih
J++yi+V2Tw1kxr45AiTwoXGC21Bk8iyhIrqkjjzob6GbIp86t/g0IfV7tXovfEwIZMoTalB9wcOc
3TR1G+ILLp7yLgKxjfSWBqFn1aoETIR6yCZNF9w/1FNdFSzs2CUbG4hFQTNnQP10UYB4i0BJoAEK
tu9iVix7ngVrT0M4Oa86o3hjWfglzTzvC5N4uFkn2Jc0HP52R73/6BdKACy7qmLTLIO685Xt03yT
n125i6QpSxS3DLOjkbJ0SWrw+L76AJvFBsAkEI3v69sMlW5frryUueaDv6q05rkMWLGiGCCFD2Mr
Cw+ljO4oGDjboxL1eDoDyXzqyEPrPY7Y8vYYZC2fQov/OkeB6rlLi/2UuYc3fVNpZ0CksbSCcfq1
K1GARL0drdb4YSL1+VSaCK/NroOtVmHlmqbRphGGB1F8OrTFgcBWyh6wHQCrwVOXzHAgQpzyiSxH
jLnK7rST8pr5czlOaWSSg/MFpbt2pFcQsRzB0ioZQG8zoxLMvARExSx+IKmDGjjwJbdNkANVHIyc
bQFKMTXpogaMWfpmRLl4bbC5tUBd/csM9TvEZaovDkRJln7dsztDgObcs7hU4bHypEvRrot4tB/z
rqsWo4UDvxbZC2F05l+t5FfDXd15Hz68hDiZg6iZ2UCcBEW7pfKDMoG43FTpEGpAkKrTJetunKGb
uqmI4aQWMUIB0uRK0BBKfTeoL/rcaqwN1h9N3Ym6TVzZ3wvgqrY9b6ALq2Kuc7OtdOPJBU5k6qX4
rDBQCgsPMvaWObTzk8xC2dBoxIMn1UHAUQcBWx0EPndj3V9OkQqjD8ubqf5h2AADqUCt08+GqA47
tmW3IhXYjvi9wJdPNlKAZcjrTE9mG21MML1ACFGk4t5jb0Vum5uEKMcx1EQnOxGSB9Xu6ZasSP59
h4a3uZlsbWA+GARHl7aMt14ZFcu2DusHukD2AhKvSdfeIExcPwAFW9xXwWV2yGw/2NGg0EeOGBUZ
MSBrzPaGfGT9gj8agPOmK55Hw3m01OMgEu1ggQT3GtnMXBmBh+9JVnkHzUb2O2eFTa60yoBneHCg
MXmuLIDrFVLXzbrgILscAK7+V1MAFbAECCZb0i/PbNhrMULngn5tJChMd6kbfGkLKGQEFk5eevho
FShyLlOktS1VSKXREf/DNxu300V1I7Skr6ceCIu3KwYJhQPehJ7e4sX2NiAyFy3Snx39O7xN9n/p
h5DIKUgdCcwABHAgG4DD8liKk4Cg55KIJdg9Iq6R5MG91QbihLJq8ZIYJHgdyoVEofqp49OIKiru
OAvdtVas6P0/X64WCl2Av/x3DyuN4y3TgM4pbSCrx7JL74sRLFVoEoDiWFTRbWLG2arRHeMVgkl3
hVLHw7EUiMik+TYPcsP6fVDA9OjWhQblajTbcftO2DShqA859uqJa2EN6pDIbqC6VG2Gdhy+xLG7
oM045CWRKgZw75hBk++ukhYwI2oXH8TFE9QUqscoCfObrENmgkaGrTM5NNhS9O3FjEztQJd0FBCc
5MZ2NtHdiFQCICPKD0mcCHIK6nay0pi61LdXTvPwIPGRqIUKXoAwuIvcu2sn/v3UwnZf9Da7owSH
gBC9m3bXrd88qY9SGmoWGhdwgHJC/DRDX3SLPG6GLXH/J4r/bJz4/yQFQMbETd49yUZ5D+rgIvI3
gdZpZxIqdrlnbj3QLX/BGT+1dT+xpv6OO8VRBi3Y7DZShU2L8iwF14bnzroj6KFeNu6RoUjNgpqF
Ay3Sjmf5lmCLTDR4LDwUAaVBZXMnVXCh8VFdr7LLdlXoAjERykeCefUuzmx4Q7LFuffnnKycE5NT
ohLI988uV1PRuAzMtq2XaT+nEQO37vAsNEfPT/xT6WiPJKtDOjoMqOAFvvzNDWnrkEejjY/UOQJR
tggdQNSACRnues6hoMItsW0UF7svi+EuyF1I41uh/i6bo28z0TZ35EAXLXbeBzmcp96iMyN/h1KS
2iK30mCDg2N9O5ooVhlZeJ4ShLVMnr1Iqxcrlkv/XPscaiytnWxjh7UPThK4i6hOgu+iy5dNlXs/
zcF+0es0eykKkFpoUGruXGNAttECqJykYRMOfmAjWoZqn6p6nNHn+TorQaSmwL6Vmv3SyD22mWGt
trJpyjalAhID5RmoTd+kRoPYgR+5kJEGdVCse1cC+SRDCahFD8rVs+7XL3brNMsMMd7dlHDLpEQk
nkPpR2006FJH947L9AdqzP6IUZgXXfmHGoQ+qHc03Eul8+RkG9p6rCLvloR8rAxgAC0OghWdzSla
UGioIFC03hRh8GLAsyqZQA2dkmF/6C1U75TsUrNXSCMuQFgfIeq3xp4qQ2miyDwHaa7k06ENvuI4
o67IWEJH5dwkHnriZO2FAO1NftQ7Oyflaxdy/WCTPhcJSZC6xFxBOwz4uhJRsp9Nk+pE5eDUwsFP
oD8e40W6c+rgBxYJwAJq2R0A+PV2Az+kKsmvh1Kv9lFuFMeyPCBZhR0K5BnL1ZCXYonHE1kKo20h
1+klOR6U4lsOuaEGSQyHH6+6B3BAjzxo8i3T02+jqXtL8FIQ5hkQmctbvC6BXFn6dIL4aKL4DQpt
+Xm3TgsrP+QCgBgokhWHVN3lysZx0PgFlkDp+r+6seQ3hSNQWUClLukC2PGzVbbWkVrkYYOjs6C/
bovIB9LSgJdgqUIQFlqAcbECXS1GLCd1T03ZeEuKHodiCY1k/hZ5RbFCgeb4lEExZecy7bVFEcpV
YwzB19rTttOZlhXfZJ6ZT7Yfx5tMaPHBlVF6/t0VhXPtH2adfYtRGGPLwjBGlqXRWx//1INVf20s
FztprI9OgSr2mtl+SdkAyhpwm7cWMAE3utegYpna/oo+GJcCEeyvY8KmQRIihrYaJMKGLUsf2r2J
blXbSY3U8wZUPePfTL/iiNUG1nCjVXJL+jGkM2PRxnBu0x2Jz9AdjqHGFsfSh9leDxDiR/wSW0ky
+iYY8hFUyA3TwUatj7BOOt2oHVBdT/pQGUdJXNPQu/VV19UtudLls7FBdGOC6bnpDnU00htaJkF8
E0tq0lo4NyeUABfvvSgNgx36R/MfxwK0nN7EOdSTai+Otl0NWSyzjaFRHFT5pqOTwB/bZQ/B82ml
Zb2F/IdvorZtBBV1SA9CoUEf1SOOjNPZKXLznBo3iZeF50RHQnuyBzx6dxbKw6IRadbrpz7LF6MU
xamFKub/UfZdTY7qXNe/iCpyuHXO7jDdM9M31KQDCBFFEr/+W9p4Gk+fOU+93w2FtIPdbmzQ1tpr
XSdWQOybgCiF/6DRPJ+B4hcSsh3IbxVv4GyAgNyKcjg2dDDQDqMPe5EUUzz51hKAbS0wMpFsDVv/
Cc5zLBxjaWFfy+Q7adrZk1NmFlZWuIb9ftmBn/in6WPTNBjHf7maUWUtnB77vLeychU2LhLjsqB/
cJFIYNFoPJ1ahmhWLUcJfb4K6OyvManuJdGKTFlUgc4RohqqAqZjtbJPgsheoK8U2IU66l7auPRP
szXQU3tBw4KzLTq/oFFdPlHZTY/d4dPvQTM0w6fYeBKqIMfDuNs1aBk7uKWUF7tMcXeHpmFj+fJS
+rm80PyQ4J4eNDr4iPw2d1dkAZdmtOxDJSmqYieLYzP89WZ+Hiu01iwoTzYa2jYVVrIgR+jNGKfe
l/V5ejDr7GskY/NAT3Xzs5r9e37iYaPnN+w/XQExNFBlVVfwO52bmqccdw+B7/GpVY9rgJ7TbZr7
5oPQ9A2oSjxAXHTrqtlQXyL6NDc205VpMXdL1GlpbOTgJsYjBQ3jNrceamfctKWHUMBp70NNexHw
qD0OgQ8wc1KZE00lA2soOwxWbZwaBs7w2dImaJcS6gC2Sx04gNMEUdCa4gBCnx1RF86AhQmYIARI
v4C+AvUEZBamuTsEA8WWIbpQFNiBKBGIjhIFJvTHVNDYi5vwpXWj7ohLXDwS+7cwo9fRsNojEXU3
qjlKTZFX5DAsKavfQ/Int/cgyuNl3cWzbe9TVf40Oix9WCJtPDj09UmrXZSizViiHVmCkf3eQdZt
A8p2K93Tk4zveCBn6vnFVlgjCXgEGBMh/0tGs8mg+xL0T2T8059GDDzr695T8mdJtpgvDLqculyp
osggv/H8kXmenC85ugKHd+87ErFWtrcUc266Bs2h+FR1eGIG39a4SCrDOdKBE4mMofhkRnWYLXQ2
z2k1qrRzMBkobI6gOXQ2Fxs9IIbUgUH2SeGARuNlREfgIw3Asz3sUTIZVJEKTR7KAdzc1RKSJNqW
hmRwi78G1UlbPHCP62dRgcAocwo07vaQjVWjwoma6/u8w/AEnwXhuKKWF2DXw72TJRAzUdy4UxtM
fhSgpXiimUbPsDMgBfAAyiFDC8jejdAUP4XbVfVo9pmQ7jXX2QICadYz6jZbrbGtz01Xe4cEPSkg
LsWwAAshmCLtcNei2fhzPhTPERANj7Zb2M+h5Fua/hDk+Gh1j/DBAD3cf6kgN0ibILRrYXhat6ui
sPuSsOZunou+Q+kR/gxVutkfpCjdrkNn2lmYAg+NTfo1CdzkOO9fgWl5mjIBm4oVM/NXIxiSI3qC
8XV6D/gwpHja3mr9bIqn/S+aF3+forRzY4YftUtvgG7c9wjAD3wLOvnqx2YEtbJ/n5XQF34dsd//
VytFGO9W0J+CUN00oXqgNq0j6S4rLeenaahBBFjrUVObh2gd5ifacNMa6zI2AOf14DWzkyU90Gi2
aW3ssUefh3qC0So0mnk9Sl30QBMOwb3VV0OyUixZHeU8x1Iqh1X9YQDIpQYrfBK/dahx7zoL0mFa
FeBCsiO+RG+/fzTdyv7sQpSOQ9rshaVo9fF07xt5ZVV/HyRHHzTdaAw9khUqMUvbA68oRLDm/47T
okOzbwZjOf8v5rnp/2zro7OxDVSVP8QNMerE81zaQ1wPMEETDCnmhdYukuDMqQIm05gOYKkIdhlc
sJsR3c2Tcfb1lJvKVFNtQaiywn+50LzpOCeOYu2Jfi8s3XYWYaJpuyQc0R7W+tGTDZU99dNCh1S3
uh24sJNlq2MLdtm2gJOCZ1Q9uOM3iDsQI0FAaLPH6coEbyX2iV6ww8A/+wzEG0PR8KWr2pcUi8iq
T5g8UDuSVb5+8KJmprFkCzTMV6dBE+BbiyHxRaJ5QvGg0dl8sPRE8TQFV5oCHqs4B8S2NrtQFi0Y
bllmw5yPsiSVh8dOcQiNai3R7aCr1vXAYG9+14cvtQ7pYSfFks4VXXLRHN6sNKN0v767plk2ufZF
cXMFSCK5+BKKz++uGkPPxXvWD65/Zp3aM/xuZ4z5ijT56ECCfHTmpUF+8p1wQVMSPFrjYnYpRfAj
DN1oR1MOdeLQaRlm+jqTGVvOzlNwq7pyVEIyTHOU2+qt4ehWwSoGF+8iznm31bAUA5wait1BXIOY
gaWgRPGd7zRFxqiAKOxi8it7fw3YFPiUaTKhY1hW1rkBgd9dxrvI3xnvpujU5D2W9r3jrEn0jbc2
FAaNSk5D1/aDJ3sL2jZg+5JOqQ9+tCWyxAM2xQ1jeovjdhEiDpu0f9hIUu6Wk14uUg1CH/LqJo8v
WY8qdCdw8/OGbgNd0PqY1oDZhHHarrnsvBfcP/8hhhzbvri2MH7i0wS/dR45zyWwfZugycSxk3Zw
sqKqXeud772A1mtzW4docY9+BsVD3YgHovzO8R07MNcoF65rjBCqhyrrsvMDsW0VRRz5/FcEGSEE
blw01zww2mGMayhMCwMtlDUUt4I62tF8wGpjl9l9vaZhD53vBXabrEtpRwW5YdWigXFcPQFGrUDZ
OsqLxzQyy8Po62wzhDz/Ukpn9zcP7OKwTVvZ2eyRu+jf6ht5y/GnRyK85rvbNpCwDAJn+mGlX2Ws
lsYNKqfu3Y9t1gIFUSi/+e5Nc9gnfigLEA8GRtN/LbENxRXh0QDqRTQVj29WKEas5/LxQe9dCC76
HQyoBVwHO9Ow4+L1X6MhOBFL0nuQKYpxOeqoxrsKotusHjIm3fIiWL0XUD7fExlIm9dWfhBlra25
36FyTywjZKLDxDdiDWLfFNjPmYZBjH3MzEK/cISVJranxHA2VfdzHsn7IehEbkNnbMwX3dPvrXOs
VjPUpfCF54s0btk2KiWaU53G2bp1Yn3mJvsVCtFcszzHE2gBhjWvAy4O5dxTacXQ5FRe/xVkQOv9
0Y2c/aBHj6OU0X5SL4WY0nDmfciwvwaLkFW0nwprQ1h263w0ghXD4/cWYhPaBuQF1dcqa/dZmfWf
wLwToy07VpJsmM97hq+3Je1T2QBGzWK2o/kIO0p/C+9EnEzhYeIM+9utaqiMVQdu6YWX2uK15iPk
NVD/vOSDVu390h12jLs6GvMMkJdHzPoMrcKvEuyK/xTaGnvW2q80w+fdVbK5i/aBNtq779ERLmeg
+P8p9KMPQjsobWsSusPqlA66pt3OaGh5pkCvegOfquy2BnbqcIdTQ7IUkTeUiw8xdymnUyn14cBb
wN4Uf69mexKESQ0kFoQ6aC3Y3UZN6muam5xkycdj2mOdT1UVu9a7jcXiagk08u/ijSrNpAwY4iQf
wexACg/q4DUVv4z4FciG8N7Xsppbkg8GkN+xRQXo9Xbah/U8yJ8Lo+K3UpUWhOXybix09z/GKfaN
8IDBre6gY7m/R5fWcCidtFsPSWV9qyEpmFbJ9yFFR6Dr9eFB4tH+aYSqwyJqvfh7kuIfOLpsfLLs
YTjg7tdOkYJPDhQJPs1+3aIafcnyWoBEtcjMVRTJGt8BgzhJq49nTE/rz0M3OIvJL0UByhIDvnA1
uq93duRC8oUksYHr7xdtVYCVSXe6Eylkz1rZpYF9Segbq5+P3N9KIPmiLxSiAfy37lylk21IsbN4
k6IaO4JADvpesn4MBivdaC06c2jV8WGOhvTDKdPh5jcvUSg2bdGEM/9wVlpw80uTH7dfuN4eQIcy
WOiXdpJWonI6gqaoNL3heDfb+6k8NmP4A515qEaqEXlPLjSOwxL40rvTIR7e0BU7bGa6o6Ju8Trz
mM7mQ6W4lACx++yZg3sXNnv8ZyixKZE1l+iOcPqGbwC+FAvDBGuMaaOmr37/iiFfM9zkP8kOArNA
o7/Sz2KP+gdoanmypqE/ygY86f8dBL3e+FAkhoVSvg+BCXdbJ+kPqk1Q8SHVRbDWx7JbfqiCab68
Gch5JMDE7D3V17ws3k8VZ96NxyQak4fe0/ZMaYVLD1rhoPPCf7XvoAyJETZAADqBBtdxGgJptbYh
VbuZfC0eHSL83IAmAc6UDXC0/WRUKVU2hvvjlM027Fs2bYzHo52bMRom8MUqWxelNUNzP2ktgMqR
6j3uumQNfab4m1HiorFjG00Oqfr6Kl+jEN7k67kB+igckHRlHsOqKbeORBEKlC+goR5QojTsoeT5
wCG8LEDeVS9nZ1+RjWp2cO+sjcY/OY+T3WAbo+xXJmifLl7vf55uqljnrsPWKNcZFtYP4egMD6Zt
/rCDWtvTSFOyh20BfqO+zt1lDNz2A8110E89A2O9Jjc6UI4/w2m+8wK2gdTUMUWD2WFUhNqmVkCK
23GAH1BD4KvMJzCL06BVLNogjAVG3U3T3aAcsAGdncoi+lk4GX4xdd1/7jTencmXkvEgRF+d8m3j
1nwCNIhslJGSpQ10tvKuLSBJE/sHkQ/dueoB8nPRefUquvCbp6Hv24HOdFw07g/oX4EiCsopzyM6
aDYUVObeLQiEYuNr43vfAtApvAEmBM5H0yieRkgEXRN0o06FltiQ6OHHpX8lgyGwy0WIU3SEd+Cq
j+4NBHOdI0DacUuF9mb5RhFcpZoNVMyhCHMsgRhCTQAgJQucJgJ61q1SuGa8sc7oXL7GpH8dKCtg
xt6OKb1V3hViMX2JBPRO8KvrQLgRmC7sj0h2gdYehrIJ9UMwVE96EznXySW1UYquoQu5zGKhpWsU
Z5pFBl4sMFh3zMMetGFfVR7u5OwyzdU6OlBUnmmY+lm/45b4AoaW4pwVwMSlQP6s34e2x8sveC7B
9zYUKKc1DjDwc9OGpUWnMEGjs3qm7zyzX1lGCEQY76Hi0TP0MDvpa1nU2RmLbG9y04ehR79u5+8p
SrlZ1ec61ZPztHfUQ13a4ew6jdSyhXvJhxGo1ZcuKLsnpHcl0LLXQY0HF1xwY++a5+Y7Dc1lAxBK
dEeigwdRNDxL/J4jZ/Kz/dFfAiv+jxM6zlHiewkRYDddV0bvgJQTBzJ8GEJE52b94DKmwQBiW1BK
fjDQkMLU1yHwh+hAO96JxcZV3OP7aUn0qtPcfMC9PuN1ezdNu+HgkpYgqGYgaVW75nSglJ4Iv8i4
aZeyTQMIKOJxXhsLlPh8EeyJJXUekjVQVl05G4rqaLbSwz6lIuv/ITYDc/Wt2Nz59bgZcnwKjanZ
C13BqichG7QV1yeTJHI56E2hGw/SVpqkg1SereiHAwh/lrQ4pwP0cuRBDGw3T81lAVr1x2Wpr1om
7GUJBn50FKtSAHmTY2q3jx5j6X6qLczBlBmF6N08RVEUT3NzZjJYBT77G0eBFo31Fgx2+hM+31WH
zpkrjUroS+8FKmHgN4GRiVB/clzeLLSKJweac5IOa3bDhIqvClcHqCez9aD3UGhWAVwd8sZHD/Pv
vMAX3OedEr3npVDUBcJ97X3xh1z/BTrUnyIxy8+5VXEwfRjFw5ALawvteHkAX9d4qhI/29he4jxZ
BeeQlnDKN1EH0AspQdWYlV8pT96GPzWzuOWBKkz5gIZ9cxuDffPg8BB8aYR1jgLHeuhBsbxDebPY
MKULEnNrwfq0BGrjX/NgRSi/dOCY/eAP2sL21QTIAyxobxOw0yjApTAPoWR1P3y3OpFWbKKauetM
mKBB1LD2q71keIJYkb+A+hf7Edl8maileY52yLIbss+9mXsrPXHDswGmm4OvglqzHZ7MobkLyhMg
g1LfRUnjfc9m2mcRo1i3Q9VMhv/ej8mcrL7zoTRB6Yi1w/MGhXJs+kybQHngbss+UxrcVr4UMh/X
gZLNwXqyuPgpR1vhqCxlH2MPS6nqgKYlPcisTlZZLlYTM3caZeGi5XG7b0mKA90LByg8ikXUtUGJ
ZRg7uALqhmSNOOqRkDIGy4d6LCgKHT1MKfahVShxeVO6IbQbKPTCQ6h00gFJlqSHAeU3QBQF4teg
us9rt7sArgQILEp6R78c3moq9+peDQgqWIMnOUgSe2SOtuMqgEYVcFTH2GnfaGSAueNRd8+NQtMq
Tak0svOt33vDJlK6UTn3vhqZdB58X4SPGe+eaLpOtHw7ePqwSdwmfb3JyYGFYlGfm6wbXkj1xMTT
Pc5Ju+Q2L1SrF6C0so+wW+B+J2IewwMffojHIBolFdAnkcE1SO2gdvfuge2i9ozWDePqQcfUk6Hj
rYJya4uOX+6RDMBMrswCK6E7zAMBItJhi8Ufv7QWFJoWFJIV4815yjcBJ5LJb5rK3/NNY9s192gG
rdZRgD72Catl2ebBGmvjQkAgVmjpznawHKDGK5p795iQX27GdxQ/obn0yv4YXwNmC/IUyLxREhMe
6sKcXqFS8aXyoOR/voIoU3096kO84UBOQPPGVEQ/2NShoezaakfbNvNwtgKtBKvCjP4tdvwzVQng
ilUYYPMBx2dkMf+ZEAzvI0I6qBHuwv7z+4g8qdtI2aB2pJ+m3o+wLTcybP2tjl3OtRXV8ktmYe2R
gA/yqlmu9uRZ7Ezzs1th2ze3wS7c6+BDXjkP0w39EV3qWKuiR2PQPKwZ9yZtALKWfw7JSnteQFje
YunjASkl9DmVM314ZP0/xPoZcCHYWP1FWP2+zOqzV3QJailA8ht5X5/dTAJVoqhVfO7W57DCxh5q
piBLsAFBj71EXtGdeSTMQ61E5uQY7MM+8K40JTQ0zKRQb8ZjMuTpwG4vdo1v2DeQhAqHUs0UTqgK
iI3vtVF6V7RvGlcgYF9TR26LuAX3EMrIS2f0/Z+h5vwyy2r8PISQOx1zo3zEMtDdcE1Gp0QM6KM1
NFTfx9y5pgCarkYvcV8GEAVi0VH631k/bMGXipStny0Bow9+yhZ3TJUysiFrWWCDaUpp1n6EraMi
37gABEpbY08QyDDWepEHKxrSIbGMYtGXuMHzrk6faE5A1wlqDI806MwsPwKz9mOOmfOkWKaAYfnP
HCDZLQ9eEgAG0hfrKO510Gqb9YMXJ+IBqGa+tsAzv8r9un4gA3qa/Ispc3T9w232RTNjtjQU9S7N
UcAgW7CclPXz7EtnQQKOiBS7+LMrk8A7l1lnLeiV5wCtzdcQ6TGmt0Xz9LZcZ+xXs28VWt78tub5
+W3ROyJDqviOfLytMYDckUxBFCp8UPwuCmOwTy4WP0R6ygnDSad/Gj7wpTq1B1o8RH2YpyFFBiPu
2yjBXijZ7Paednp5spIfpQwgJPKRslUW9s5umjci2SQGTs9zLTTJVtdaISJKRylNvs/NAtMTKyek
JWffzjDAuxqaz1gnMm2nMYhix+nvA+OdOIAOFQ8PnW9guzXLsI1YFWwjXUscRIsbIfrfKWCozfB3
QbOFKNDWbyyop9vJBU2lyYXOmrC5nZXFKxNefP4wTa69Hn2tgkjuZmPZJOxC0Whx7ZdoB2brv6W1
8R/dxFYDeNf7S9EZJQjrPD90jjG9rXl+9sXbQqNRfP6Qm6IBJQFA499va/obTTksrBrY51HXoUXJ
QTDiarq9sfHRYfXegS3EG7v8mFn6p2kYZ8AViVUWjvYDNxLvAVJW3kNUBC+laJLjLcYDeyDl7JWV
XJqsveVF+Qqvo/VBRnn1MMeWYr2G4rSFTqyqOoW27pzAM6Qv26iQb4FeftOwjfrE0Ed4KqNMX5LO
jJqXcZXfzXugZJz9Kc+f/pTnw7yf5FP++XVJrua/Xlf5f3jd9/fj8iTc2nlQAx0JLtN2jaaGeGkA
UfMTZEwgoQi/4zHVXDI7ia++O/BjXEtvXTOn/hxoyVXUWvKzFvJrU3viBfqlEK9wpbcf3N54yAc3
XpLH71wQzr3PBZUYb913mfjMQc7S42bKeAoN7sSPN75Msh2458qveEhdckcYr0MQtEerdr0lV26q
hLgoY9ZeYp67Ty5jjzQPbN4tnLKp8HDU9CkcUDuQtdYaqK7FA7EMdhyseJVRow+X9WwPkGWCtVAP
7haONpu+gpx6nt88Ar0xl6aj5QvszZ3BvoiOPZAweaNT/WjrGF2kZZJ/AjWjsxZt550aKMAe+sIq
tkk8DI+NPQB0UpjJmwrPclBuQhH3LhxsI9ldeImWh94BhVe2yjOsVzp3sE6NLdJVykbnqOGh7xl9
ws9FCx15mrec0jnWadL/bf7dn0Ql8W9aaZ2f4ONEb3v3NU77Hg1WaGeIdhWKlUc6oKIx7tzM3Vha
zKcpmtfCLj1+mPswnOK1fAQn0pzvL2mg9jPuIACz+d9uc/rc6UDaji79pXCq8DFNuu9WnGdH1ppQ
saaDcexdi0FUMdEeUwdt+65mPKJG5kJdV3MgU87AcTb721YYr1KnGzcW+ZSt+O5GIT9CVsZjy7DG
fkWbPk4vF+lgAQjH6ZV6FwwIYHzQQhOdMUKGG8bFoRyD7M3IRwubwbwEe5Gv41ME51tUj/FDhJa/
ZZXpwVeTN8coRZ9LClZ4H5jBt1EFlbpbPBghM3ZWCYatvApvQYUKahzQEao+l7+8UlDqOm4ww3+/
0nuQrnlL6Ow9EgEX8WhNLFw0BpsOGLfQwdeCil2dkoPngw06GLtsFScBCLmItYvMNF4JPXRBspiZ
uHWhCdikR/teLIsmrZ7fR1ppl8/EL9Wj+RukoOWzQSsGeJKNmKmUjeLI1mL0v+IgRBFeo1xbTn2w
1B0L0QtxojOvcJa+q7cHGlFbLJ3RIQjRgryYxzoD920q2sOUiqTY5xDugkh+QWN08qL4CkdyuXvh
KVcR7vjQYhn3CaWlfGd45Vurm8kXP/ParaN6w0Aal3wBipvwiNll5CNXvzoLcgMpW3NMW0jQ0hDV
onbV55m5r/OUQVsL8p8VN54Lra8e/swty5BtRvwUfUnQS7KoWye7pKAveI3RpkDRbl81Rz8CUTn6
wrArCHIDvlSCodQvS02xd02ydHrXPzsINCsEKSqZ1Gs799RSNJANaMOlGBpXES92TleB9PZ3Gy7N
8zwaBapS9a039+5VVX4VMU1FY7pv/Wqne0Zf44krf2ja3kET4BhFCR4HWAcGUPGzxm06LWc7RLd8
9NpoHihIrNx+lVrZbQBK/+0o3BLlrdLZtimonVbkzqrUyM8fUypPeskxY3gHYVePK5t7qBgUucCf
2ljJCU93aFz3LX/Y8QwVD7LEXsRuFnKaDkXF8LSAmGGIUG7PugPL8SOzusszO/qBhBAollIbmvuY
8fayWGpM72gaay5eF4g/B0nfX21+b+pdkQtlA51vrXYz8K7uTt/foOa33YFGf82apcExQ3H4SD0Z
BAZIwShljhwSZe/QgMpgfD9qLfhmFSBg9rWAo1tabltsPhhGu4eQT4cm4PeAOUln/8CXA7gMlNXQ
8SrRpaEOoEoAsXoGmcIZqj6ailpO+RFynQw0V3RDvA6c/hX7uPkDSVwC2YnfTmjsLGgYAiQ2GSwu
Xgu97A8tcb+QH5rXb351BVpTvcftUPUjmFWsr+oqg+6ZGkYmpL4TdcC+/jgZpmb32VtokZx63Mn7
g+GjN+UWqo1HakG3LA10Zeh2X51J+ouGAxCuZ1KvnIdkdcsYAg3Oyg6CVYW17GstLfc6phB7c3vx
avdAzEhraFANgNGs4+Sgp0AtkdXMHHOrDzkK/cqKphJzbfmgwaGhrznxKoTsJ9pGYXWzzsb+U+sd
aQi97W8OWLgvNGLg24u0hD3RyPaAzXOtlySCaoR6Z/Rq7++MfMrct08GOgYW01t5f2dkpXdmlM3t
neXgg757ZzzEvd3qymKPwqz9iWO1B3xBXUDaQdVPoSiVn6CljWWlZbnNwWHDksxkyCAeAp3UMf7t
nqpTGvfQA1joIzSf7pymUwolJ3K3Y9kcRDBAdAnBZKT5lDXpoYbCFfVpTC0bSQnuRMgqWmvfS10Q
lahuDmoHIQsebr7bFdSn6BKlaxdkrvGD/UQTgRIlp9kqsc0VBCl8yMb+vo4LOcQPxnRN6+0mT6Lm
SNq2pGVLZ38bmsDbL0PsQSxrEf6Wyv2b44c5H8/qy7DSFBVs14O7ugyu6GdH3Tr3sHYGDTPEMaQx
nG1ojQHH2GXrugRtOPUZWLEpro46kKGtC/wTXeYeZQWmOJFDi6mthHmJeFLsXaDSd9hCG645ntjB
rVDIzxKazK6i5ODlCv0j6T/2oP/DRTe8UnDnmP8OTrJq1ZUmli693Jej3m9B5BkD3AVSWgds8c/2
1zvO2szylo6HOwjRzpadrp+cPIF4uouCfFEWn8sE3dUUQLkcEE2uaHjLRXGUvH/PRXYxuiBJL3nl
ovtVC7xTB3L0tYuaBBgN2XjmikHChAbh19QZUfcHgwSu6lcfkLtXcrW8wT6mviPPjQN1nM7ioGs3
3WhdZ3a+8TkkY0KFUQgUdiGtGu3sQyqDRlxhGuisTptfccbcPY3In8LjXlqgy4Lm6+LPUIOnzf7G
QGbkEy8JPQtNz0alUS0CkcZHmhMxaGEmn+kJzMWlZXQyOkZenqytPgAvD/rlG30JUqf+3LgNuqT0
n7VsQKxHI4v9IlMvOKpqoKXdJdggO+WA7E2kPoOCFMbUnIv+6/LkGVCdUHP4yIAN1I9OGYTHhhSA
pFGHa4hxcohXgZppBcR7eEz/PHyYKwUP10kCluHZoDmDsRv8MZRAuuRaCD55czlTfHdFF+zKBGA4
IgUnQyEFB5e/O2zmOVY6TzxK+xN5+HXsXv9/EoW28aXGX4quCwa5mDPQ2d4JuI2fg8LpdDUIPrtu
RwM6QDjgBS2wyaVTdnC8YH0C4tzJI69yuYWEEUi4RATrv3NV1uRJ9q4UL8NYAts+pKvbAyYWmv0K
Qq0RfgoAgk5y4PK0yHGeaS7vo3+dkTVSflJF5FIvF2agX/DWgiuYJ/zdAAaCXeAV4mFswLLo8bp+
wxdjPyiZUdeKTlZr218TDWiLpOLojFdBwmrkLkQzw0PmgM9xNHLxZhTfblQc+dB+KVQfPjH8MNwp
w0IEYPbAlKVh2dPXAF3S0I7j7hjnRrawxh6AohC8LUxawQPxBxVgF4Rg+j7skpcq8fhzaaLu3Fs9
4IhqsV4X0d386MujAE2+jxbjHZ7UQYypvpfz1453+8QW3nWeZmBTXiS1aLc0FymEESisBNj3/G4x
f7fJym7h5AXWuEvmNN6emeAmVAwUiakbW8u07DUN29IPFib3xImGLrglLey1vdho47/+GZRAVnbt
JFBvoyBQKABO09g5PokSJHloq+3XWW2nK+Eq+jIn+CfLAu8y35FQ1ujXQY3tM/yv5Lnn6X70e3QN
iEJbjVkTvDbQUqMdXtmaC9l7zQ9bQ1OKKEGK13Ieb71O0w+GCvL+CKLLoGMWukUK41QNILuvNiGW
+I+lwac/DUiqYI+fVw4IFHg9eQm9efpoEvWxDHZ3wtOneMpBk/r0P4OkvwlY1GnP+DPDU2D3zlpD
+8W5r8HgyrM033X9OFyhr4FvgW83+Ks0IFyNcPzpeeiUJ3bOzMyOoO8rvrU1KKMtw5fPlMlGr8LZ
8troEErw+OWslFee5feZsPfordNEAIAJjvSjwDMM9DCw9xk15W1IW6TJn8M8jn47h5115/whlrZU
sU3BNlEeQ4MY3wYjhvStDPRHGnmi8pdQQwi3dPUn2Go/FCWe1shKczZ6vz4EsIFD6ibMc1AvsHpB
GBZsveH6fyEAy+2c5j0gxpv+hZAs3iP50LzzWI+Vv76B1YuUo5Qwdp80ydCHrHp0Ei8DbY7RfvO1
1l3iob+8dljrHUyODaaszT/6xuiVftNdEGOWwRsKRtAWUupXta31AIMH+Ybm6NCMxs6pInmZpsD0
e/wzCOBacFm9B1lt3xyqCJsxijjDN37lwM6cAcayJyoNgv4MeOtrMNW7S7AwobmeJsmnzH4xEFuc
3VzHhjJN4UvLcOcAmT6Hbqho20/ouH1jEUPR0udfdTu2PjHDRolXOYDsqf0kAv+t4MA+a9pJdjng
uVnmb5NEZ090yMx65yVMXGhURb17Lgz3QKNBbZfVsd5tsVvWL+egXiWK9eY+kQPVv0AloiiO7cbz
kPsH/DCnZ3BrnngqwgvkPnHwY2PDGBS/6qJ0LCUCGV5sLLAubXmmAfmKVAftiSs54PFaZG/vJikD
uoXdxSjw4LCy+pqCRe055yhxgnzhtcz4xPH9Mt8CR7dXkQchM1XdFXFqLDQ58MeUt/WhMMJ4A/BG
9aXpxOTBzNxYRHnGH5lr/tVjzvEXD9ey+b420OyYcM3buFoKRtfOcF5Rhk1WOUAL+7IsnFfd4WDK
9RPnTFZTszboGo+eAzRBfEJ1Y0FeRpulV4HlFI2SMRzw/Ici0TT0hT+9AA3nF6CMnone6EATzpms
LHM2nGnaU5Fq+Ku06nPmFhJALRPcLUkpwDMCnuO0iNpvTvITyrrZD16mEtzWkX3nIMaiWNWomK9s
1ZbuhF6xSgwdPB1q5SIBpZcLl7rRsYdQKuYrmAD8O5P9zulDJGUjs6vyBtaInXv/arCiysDdoqBn
TID9DuCInSPNen8HSmu4661MiAEusd/HVmHeZhuvstGNy1F3W41ooN84NG7f7VVuo/ddHdD7ZS/a
Ej9mtWGtoWAMkiIG+d2D7npfAKWKxTqqhm1refwckLV1fbYib78KgdPBD3UH+RPny2SG5jnbaKb6
yVSYODu7djr0eemPwGIZfwSdAr6Gn8zfVnIltB0ZcXGCPKOsvPaYDz3bTAh5hZW/Q9J7BphpBls+
EVJ+QtIT5P4jnh6ygsDKz14RFucfAhPzs47eiHPLzcpa5SlUwSrb3tE+6TSXWemXjhXOjnZS73ZW
UxjCDEoikx/ttr4nKBqZQbgHLk7ZXKQMQddjQYAyibRum0Q6NJ6UAmWdxeXFcNsnMqZqyg/YOjPy
7JFGQW6w5TgOcj+H45IGm7XK9h5OyRr2iQ2Vv6kU8MHuBwFBJK/akaLcYJm3IVl5Je6HZIXyUbUj
K0oivzLArlH64wzLqneN9wDcXo452BdTScEPSvbdSAVoUvMKPNJqOKoDnUUR5N9wAa8NVzVNF9mw
DjzgPyMN+2MLUbXeScbaro314aFRvFp0llvFKxiZgYWgSw4yNMM6ispyRVY6oGnEn0MNATjobSXS
ZT80dJ7r2xEP+MsEXHJrtALX1qpxIeBOOnGZ0IxjHqjql2q0j0cn3Pj4F20a1Wj//yi7su22cWX7
RVyLBDiAr5plybJkO7GdF64knUNwnsevvxtFxbR10n36vnARhSpIcSQKqNq1twlZA+hmDtU9Dat8
JdmQvDR9l5zmoICh/jFW3ccgsGKh/x0paN2PtIVf+ub3uBXbOFFHc9BFB02pf29d9BBAJch+hP5A
vynQi6y0m5yDq9olR6GJxx6blYXGev4dmJI5XLNBNturcFs3x0UPdq4lqxKnXPRDcT3A0SkPbFTA
i0wHPoX7a8xcX9P5jhxpYj7u3di4YvhpUwgMxEMSHZ1RguvDh6irCJHsxo4FGi7qcjsmI/qjDzgl
Qn6xsX67OGnloIjiF4W/HhI0RQ68TNBjgW5N33Otp14RJfjCWwKjmF5o5OYyWHGesC3RJnBTvwbQ
bPs7QKJF9SK9djV6UAaNrAic4tqRqNlmDrYEMkogQy868ACqx1vNy3ILGKi/JMcROc3z71DNUx9L
iqUws3BakCD6oLuYmFknPFVVyCUKQumj5eD3LUrCBxpVNbQ2oaL8PCIz+wgCw/SxGEy+HnOkptq8
0aClBcIrvzahrKHCGaCy5w5c7dNk3g/GTh8iF114iKVVfJl3S+YKnEot5kVL0GH+6RWnBdAcx9eN
AKXtvMDnV4yZDI+e23Gf7ZwhSxZFy1FTuKlwYTOZ3IEa7u5DOWwuj0Vu3kPNzEOJQenZULVsdvRF
n9zliI2BnzqMiYMvPESSwgBfC2GEDyGljBjvcCjwze4QK8WjJC7Yzuaoo/lKIoki6gKbZRwoL9Oo
Qm4HROVsMy8nh/iBRhQU8/G6pKdyWLSkJati2QAUtKwgLriyFfy9zpBZozsXiVYUJpJdMlRXE9lv
3P5ka9UifsKPRZQlu3lJB3CMPXo9jiW6l5EUYc6TmQ71mo1JfILkqrcLXWyCCqTz73W8J6S8yvAp
xQ522aQDe/O97slgeHJg87JoSLYuz+uHYkQnLtP165Iou9RrdHtGJ9MFazAzvGZvO253LxMX5Xi1
JIhF4qWuGQaUoiN/7VShDi40lm6nom/N0y8e+MOPVDWus4ZfjDeqEVPd1zdc4+DYEYgKYpSRJZBo
G9nqFtBlqkY8pjZUCtRqFEJrdFo+rUgLoCDzviL5mOCdXygtYzQDhwKFCuSndl5f2sgduNEz2mxX
lhTaVykd995U28MCXWwvNhTidrxFTwbNgqwsWuetK3c0dF3QFEdRaB9pqJZ0Rs16DJ08piULq7ku
yQU+7Fy9Qj8iLUVLFr5T7A20J24KRf/UjdJb9l0sVm7j9ieyjTEYjhYi6HdNDhQc2WjWUjxQeADr
e8PuH8lOJrqjCy2Hk5ezmhaZZwDBmZajlTLd2Q7cOZr1mFxQW/9KnNdjgy0rjrraZuK8Fiitov55
iW3v6qWaWsoAylRxqV+9gkh+Ia95rXevea3AENNa6e+1UMo7xJoenWOAth4BK1qGlgEVA9DaHFkx
dA+UOCuhrLSMyxyd2Cpz5ujoKB8HI17T0Eva4ZCEMUCpqhnOC3hAK9EkXdRqRuh2D5Q6Q/cxoH0m
aOBCIJkUwZyumMXobr7c2GiIPNYuDjoTfc6I+rehZh+Byc4HEabnGNY6y6I3UccjpFxlBfZD3g7o
DzaNDI3GlnybjN6AjbiL7oWjHoEACOzup7FD43XSukAJu1b4SBcImW9sHOcm8UPbNet7YN+mdOak
h4jy/FZ3e7acFBT/5SJKVBE9rT2zkJcK0Zh2SOr4einsUuYArf8eJ9jlHiZPMs7u13B9PLellW3n
kA9L4OGeHSjkdgkjtE+Wnxkr/BVAPVh25Rb6pvW5HOtslRUoMRgajlph6bCfin/GcZV8Zxda2Jvm
8q9GuiGk03vwP0PIc5Uaun7u2wC6h1nZHmzNzQ+i5eU2q/Tq7LEhg9AB1vRdLZ7XZBHDmjVOaKYN
eqsoQUMN7S9oy0EX2qrMNnC1FIuojMw1zc4TN35zrOVXyRJgombh6sOvwM3qcySEAUL6FNQipmIT
V7YehKznQjrGOi1BChiQC0qB3ilBNr1Vs+RHl9QyBXbKXgsBtt8TUFcHyh0vEbmOVazB6H+sXNSj
aWFy66HFvjaLDqurVwwirT574LI4jUmyQHfIQoM81h26T9Diqy4tnW9obKrGY7qbLzc2Lcn9NXim
0C722flmOK8/DKW5xenw7IGT7Z4uIKHqArs6zha6c9DQMTngWw4qc9Hpy9k2O8+22AQuAQu5Kci4
V+SRJQJ9oP24rEvwdAf4ei84K8FD5OOTcb2deCJks00N093fTmsgcmwXN+G3TtNyJtawQyhCxi1I
vA0ebo0oEUdXt8TRFK040pDu3KQG9RPoFVaN1UJ3+U+O8ejJPU/d21hGS+UhWj2nBfPirkvdZn/z
GuRHNrp4dXZ9ydk2v+z81uhlkS8+iux/6PQ6zmeBU44thWnZIF91odPr2kLJ+H5QqY8jXheQNJR3
rM7yA/D1BkBMuWoJV6c+df6Lx8G+N8ZiRaPZrrPSWBYiiDc0MfsOLJ98Z7uhJ6igo2EBNZwceZ2T
VgMvInVwEHZDi47PeUzwZMIdEzSZJlgBaTKyCaq2NnXtL8k4RecW8LtFsY0tDtIYtd+kXWOepqtm
zJwzjbTai9YxPgLTBjPonfDB9UqQEGL3SkEozlQL9A7zO9pvplKv9vOSkw1LxqVrn2lESzZZj1yy
2tX6akm/KZAl//0WaEnXgeYtvQwt6TLNW9CQOThI/bPwMteVsPIHyVrOdAGhWpNb6oL/V/75f3RA
nsLBF5Bvr8XL2DbiTV+ZTf7q7ZE56O4M7DHOppZzBcZJfpq6jjIQWmZLs/LWRTZ+9BgCo3/N0eG7
SEsDzZiqcxMP8GaJriZ0bqrezFH1ddIs4TJodmzQuWmhsP3B2XXK8qFL5VlA+XtTBV2ApjXBLpkZ
swvYiNpV1Al3HRc9u4Tq0qObdxGOmvqRFFaA87/9IwKpyp2fN8jAZ7q2rSoenmgBChsrbHCWRlTD
iNkiq+xz0Ul2YFDzOtoFyqZem5SrLBwKQHWCHLsfTBjqjoYVVLZqNDjBkWaqyuH7cIw25EKmWlWG
F3MIGelCYej2vwQ4fW5pPWhNwXl+pdmP7vIAgIIe5fXl/JKz859eg0eFAPxnWFP8n3ybWhfbaw2B
Jb5xF7poIESBkYPS0EneBNTHQFacdgcOyPLXwcWZw6yTt7HErhXc0Ww9Krd6lC8i7/ilMQv9AT0n
yRReoFty5STl98ZAPlrHqf+IEjq0mWV5yV2juKRRqxCqyQk456vJG33rOJo2dkxwILsFWpz7TuuA
AXg32Xp2b4agBXVdFMv7/lvvNfJg92YO8GaRrvvMLb4GvP9J1FJ8+NnWRvhXnTdQTSvd4qmoOw4G
JsSAw+wa0yXdhxhb29ntvs1q8Vp2Wb5DgyBYN5T+k9X+ihrNmcwConMrG1qdW9lr7jExOt6C7zX3
jjSGIG+2aQ2U+DOaIWPHILUJ2vASLcLQLiNbD/FPD4yyCGQM5NVGby86yFrdBWatfwHEf0/gdZBA
yHWYBFd7AzuB4BUB13r2l7Ka/PXID278aR2yi8FKAdm1dQgIf/RHIviHZzc5epDS7z5ypK9NytKN
myCBOeLb++q01T0eKNqjGdnDQ4um5AXZa9mN0BHMqx0N0eEO9EWbPjdm2Z3qGm2VTWj3q0Hi8Ipu
aDTEMBuALmQu0dGk2lfymGUAYypeehR1o62rd6iP+f+Z+mdx9BJbFgz4Y9ZRkC2vWAlzgkw07Wgu
e9IwBu/hOuihBU7k/dhrQxO+hiKQPigBZFCLrRlw8DvgaroFwWy7gP8HdL36/fsoUyMC5EJZ92YO
AmL6PQF520y/mfunuNys7GMIFKSBdipfyq3uWfIqr8stbUPDNMWPHCoFwRa6YHLSakB/WrefhH4Z
r6wIb9OsF2VeQUoB7ck9ChmAxqdoQEPIs7I3eXC1h1V2/h+/G4Z5+7thICXlMpsJBrgQfjg+/25U
oaeppL22zSutgnYL/reilr+xCgqumi7KPVgms2cUTr/qfAh+OEY/LsAl0ZzBopwe+9asV0LJLatI
P3X5mwWupCkyFPYUyZDPQ5FDRmsqhlBZxOmBVOzC6JlKI7Od7ujiJIWxG135PJdR5kkqv7yvcRPe
4K0iuRmsGwir7SIDNapQHV4TbETuAcF7I3IXumhL4Qf1c6hQIVBR+VZlTnVPM+Cpi1a6StTSZKeW
AqNNsKLZPkBaxra7N5okE469bYOlJIi4TD39AqaWYBMb4I1LnAQlwlqdJtQddi/ZPUNh9MZOw9wz
cc4Kino3B9BEAdXLD8uRjS69ofbvBbip1OJ0cQpsvvHBWpUqkxe54N0FusJYxDpr5QEPph3U7vo7
iI/VIPxQ2PhApQorj6cbzzKMRa3iWMn4uEoz/DeAgu+bdeqgsn4m4TeSgLOGUUDC3GUrskkF0qOL
dcoVTG+2Jn4jVuiz4SsKbCcM6pm8KAKNMOkZZTqxwm6RryaHj2vVBZQkE+Z5S2wlwLGWciTaSuSf
NTM+0Ehm5dU+cbGpWajqIMH8HkB+n+M95TGbyIMCrHsTRAlIhaCs1C6dNkeKWbf4cLLcaEkoFMKl
EEwl1JGitKCYMMHMaKK0Qn2KpSFdKL5Kogm4Rosgi/fTGjWxk5V9ovaCKGLxWY3o+TWGZXxGHW0a
0dz7iOaUJz3b3kef4+jZ9nmVd8/PcZ47yCNKNEg2RWBLejL5vsGuliWJf6bcT8y4v4w8HKso74My
brEp9bBZ06wbh/FBR7V9QbO1Vw2XUJormqTUUI0abYjU15R28nD4h8xk4e1p8k+rVRYo1S22n5I4
lLCZUzeeSIxj2YO3OgD0BcyURWtvLG4i9UOeNAXEXL6ewm8iaTj7UIhbtvHebKt9mBnizos8cSfU
ZR7SHdlodp74t355LuqV7fbG4iZ2Xo8mHJm60+v+rZ+Gik46LXMTMq9181bTprX+x1HScEzj9ifE
NSzHFbYJmSjhcH5z9PAyJrNOgwJyzuTC4tGwJ/grIV/pLhzjNwGl6P1serfP/mQilm7N8N/IXtTJ
g6N2Zehg1jdoGBm+Fe4b6gPI5EV1spvNfYm93L5tkOUL4h8450dLGbQWOqYdfZvVtbuvWnc8ecDR
r8y6Q1+Jg+NiBt6nvNVWFOToZrQMVdAQ42w0Ojj4NCoIG6ZHkB+g3u56cpkrLA1d0IRgL0JXaDsa
Jl4E3r1kGdaFEUPs1213FDCNvUSzPji7fryNwwBop5CJbemWxmOOLyC4Z0Ab5jfHyI7Yz0EHsbBR
ju7ZKITck6vn+x9dDY4dtgZVULzJY1f59pMVySc2ds697qTWU1fX9pp7PcRn1WQaa+nJKtqzFuqY
/Bt/VvubqtcA56iObdtCkNayRzxcvcTYK1s6toB1sxDpGCvKoHHYbLXc8H4KzwuWVjyii1FG7i4c
IDWmC6N5BJeqPmGZDGMLaM9/uaK4FKKxAtpE5A+JjRt/R4bhtDRDcm7HJATJ/tsVWBPrmSeNt5aV
1DYQkPkVIDV8jNGGA07oAiIGYmjszd/N8savFswskm3VN9UDDirHDBJ4BxqhDDFYQLAAUpfUfOtY
HqTN0JRp9P13lFy0X8BMg2tEmj/TMuOLqmyCJzNEyb7RE+dOIlt6b9lBuMb/gf51RBDRjvVlvsj7
7hrU+a0Nsre2RzE1k0+g9Xr0cp5OPB9R4KYgDBrFNPnZA8nU6j7QivMAAPAxZi2aM9Xu8304gUck
JC2OSn5bZxIYAj1nWnsCU19+McO6NbZpbbR3aEoC90kDScnOq+WPxtDx9gf9qxfE7rbs+LgVfh+/
AImwSw0hf6DcCSiVqNQh4G+ieFz4S78X+UuW/PBzzQEZe/QTPf+4CY2r5X3q/QY+mWnpj73R1Ugc
g7gMSnTGquqdZoN9q3wSTBYXHoD8U3Ge0SW2Y2PlQvpoQwE+ZF0uHmrFswetIeOg3ZANf5L8MqCB
jkbgiDUvodm49ffWQ8EbdNnnBuqea90HmWra1R0YWuMce3YtZ/tpXKdQ5YzEeVDosrAxRyTdLVC4
Kt85lmaJjGGOJxuw2sMDAHXgq9KBMES+o8ts5EA6v3zE6ajY1lDvvBtHHmEXmZqrlLPmZSysr/QJ
AoRxqb8HoVBZPHppfg3qVZBIoNZsYatyP9HCNgpdDrIDvnKUhLRpOxZgK6B1KGqRnswBzExgeIC0
TgtJp1qE3q634uAStmO41J3C+WmFe0Im9mmso33Nah/TkWlbcrVxrJ1cMxBb/FQkS3UEmnPPmdhO
0jyFpm8umi1RmqTGINdJaDRb4juh2XmYaNUnZxXLRX4v8jFauoBx3Wuj1fhbUUCgE0Jwa7eoId1H
E+pCd2UR2KCJjMEAb8WgmkV6yhRAFxidTHaUvNJb/Cz05XCdBdwVLBa2TFdoRotWQ1r0K+If6dMk
2ml9+3HoqiHRkWRWfZ2dhxSbm3HzVDPjFcB6dxkytFIRkyVxYZaou6xxmnShYoBuq4niUrnkasJR
ETQxM2XOE/j3NPhaWMj2tFGGhAj0fpZtUqDHQ7V5p1nanDzT048R+GxXeWY43/XuQum/2QGQSmcf
m3GyDPIc6C3sL8ujri4fIF106+2kEOlkZgB+1vi5AoiNLp2LvitC4XRFbmysBmSnxA1QB45YaOgu
O7Fcz840MeUtYi4WotKuE3aSFAtKgOhqYo6gCdcCeBCFqFWDetOGBFMsfPXvQ8G/0shUmiuVnd7r
oJ48kamAfv1acnDEgvgJv3Z6+cHf5mW+QpkHv451+g1N7oBRuvYbsCbjcwOGwZ2WxQEq2Wb/HHn5
N/qbKQcuIIo9/UOlaw1HOpxWAVATQLPgoTAjBufDKk2LCOd8niH120r9BT3vQJcbZSS3QYWs5jSm
Ew/ScHtXybTTWYlMUVHKbZ3r8FOtfhp+zUQRfdWRLTmIQfdWZl6lP+SztNL2h5Q4+HVBIg6yL/Jz
2AtoFaoJHUDYOHZScLpKc9t0+MbiQWx/wZbugRxyJ8YXPw8h4KtWdr0GzKeB875y0AdQLsEecFq5
MwEy7EY2rdx7tn43PV9kF+sHMOyUR7q0Qun6dtzaS56Ee4+alWnGzcZE7GXq7Bkq3kuge517TRbO
coitej1GihVyHkMfC9RkIOg5Fk6s1Fu06thkdvgSlwHkhmL3MXUH/akq2BrPz/BFaySke1vZL2gI
CLW1RZ9NtU4BN3jhVYJMdFmwPc0yzr9B46N9oEnHWpjDwL4OYME5o/nuq+NV4YuBpDQaSTVzScM+
CMy1k4Nzj4b5mF/fFA0/v6mw5tOb6iA6cbx5U/glq6bZP7wpfGuzXeniy1G5LeBupoQaF+DN2BT3
JbJ4LXYj0xgZ0ezUkBMZizhLV6UyYndWH2sffQpp2qCpxMtXYVUGPyI3QfdlXL+h/gpO5dqN94Gl
9c9J2zzjCCR/eC1aFpLQS85o5MOuFEJ/fxvZMaghMZ4Db2qa3ZbxxNo3A8DqEO1EC0wMzghtLPYZ
0pG/cr+8mBW24VoIoaW8yax7pLsk2BlEt0n6uHge9DZbWEXZ/NLtg4l91F9V3puLGDxdj4Hv99P6
4F+9rp/7WfAtC6o9VzHv65sjv67PbOls7dLYDtIqgIOt8m0DEOFj1hTeQuSm+KG1wzLJeu9XyYKX
NpL1SyQQPThmeALAqrxjfwgqGFSgDWHg6ZZLZC9csCqmjrykhcNRyO3Y9Pfi8TeWxy1YMwIfylqm
tRegOXiqSvmN/icoEP/B10C9YGxF/wMI1FXgaAeLGiJwByLXMkX/lxZm4p5GUAT/MFJzXjaIe2Ll
eh99jiNOrs+rvHu+x1lIyyxr04yhimuDo9vzs+4I3ne/gUa1a0BFJO4WoHfrwahQe+3RSLk00ZoX
7Axr7PdkGyHtqk23FOOFFXqDlDetRnegYlzqQcLWht9jU2JiT4xOGOD81efdjyq2uhY2QPLiLogs
1UCvkVEl8oHoVN9NuuX4D7OEje5fvcg0goEF9UOn3QIvlj1lboX9ajWKvSvi/KkEeP3AWR8vaJYu
AFYAB2FB44ICgHjcsQbc1zSkqHpgK7yP9kymJHf8DWDJoMXldfaUyDB+NM3H2T3TgLJmaN6Y3kLC
QaZqBtbRkWj8R6Y4v76jaTUjSG7fURaWH95RGftIfTusXtrQpweF4qd30zgN+iNQ4MvG8JuvNduw
b9FlmVvfWZMZX7q0TdC86ISHvHDxjPAa8Ld+crVBc0yuoZVdXRM9zU8MtY3ZtVNH1s+rhuYQHsgV
vyFABTcy+lazemtF8S6B0tGrqdtII0vszLmLAkhaGdHGTozoNRTurg4iVZ78Gw+ciW49gr6E5pzW
4IceDaWvf/CIlIfn/dmjaHH8ofdBHoGTN3ccSLllGlhn1kk8EHi5AeKr/97Z0AtA301xSThoh7o4
GfbIB4BYyMKfBP9O/fVTkIYk7ocgIy687fAeFKo/TszG8TXGK0FR0vvV1vkGSbHhQ9D8SikElB6g
NotnsAp6fyVnCDbdqh7M+A2oTQMVkci9A0d8gyootlL09+x8d/3PHgM8AG/88xqeNOKfMvKmNaIe
rW22HyPt/EZ4cLoQbrzwgnSVRawGzh113oXZNvIBbuHYYB9IfgngjEugmwWax08WiFBXJgQOvmpx
EixSQBtBCnNHzEKWIV5qK/Ne8IBDg5sJdTVj0KqdoRXtnqKd92hXRSsUznu0K/iLNeDgh8fLCGCR
7Sw84Q3f0jwALejI47PhW+OJJqj2kvf6krUGPohKgFdrAJWWThcua2ofYJCbBNdHxDbSqiKoJ0E2
TYgvtJUte9fYAFMZ7erBid7sj+ZP3rS/Je+wQ7MQ0EDfRWZGiyKqxLm0ifLVC5eRKgXRRKYmNMmL
e6ip9FobP2pJyVY6c+JHmeKuVTYQybJVh9ax6e7f+uVt8WD1qbWlxoDRyH46eipP1FNgFuWHEcMo
alz/VCoaRuVJI1k2/U+huUPxo3Y6nC8bpHHlapR2s2lMdCLqTMe/po2TO7PN4sU0bitAMy3DqFYC
COULWNjEpatYhuQbdMpnW5aajyWDYDmZYnRhXoL9tAQ4X8KjEzbPs3cSQI8eH4JqSbYSaaKVETrx
Mo9d8Nuoi92AP4eGdGeDG2iyzRM3fjdD8iMbrRI2RosjUApUksEj6Cfi/NbWTvVAdzlHLytNEHnG
TIxBEx1+BaBHh3MeOdNFB6nsFDFPUOy8FE2QjeVpBclNbGctvwknhQDB3PCiA21HigAkGmAP0NEr
syQ/hKBSeNIT/JVuAnwLXcGEvbckJJAYyLkKAIKx09THow951ZOBX/slPQLq5KnjsfW917VxVdfF
eEyLqj3hu4KfVpm8ddbQ7YiGNkFfwaribr+hRBVzk/BSSXOBvloUbudZAQahtR3wamuAi2fjgBl5
2wBk+Fo03TNgTOWlT3TtIhzvDEhA/qqA5ttW0yxou8CLGRraGlqvP4FOOvwCUMKK7HZqaXvdEcWq
Um5RrAFt0WjagWadC3fa4BWnPSBACh1ZGuWUJnq3wnmc7esgLl6zzlzngMM+D4UpTsIckwW5WdlZ
gk4tlE62iAvhfzcsMHzzQvIHPmrlKdY6UO2ricizflZFrDD/MjladROsGlH7320QHQLIJkBNGiR3
XmplgPfD7qFBfYhG8yXzwnrXCui8kj0HILt1vpU2YMFoh0l3DFSJr0Vho0+kjldAA1X7JMA/A/R2
7RYS3fICTcjgEusO+p6GIV93SZH5oFgOrE0iQBU4jUcc5/dAe6Jjw4iCC106gY6eLi0eaAUyFUPV
PUCLYvKa7ZmVL9H+qJ3Ii+wBrx+9umSH2YQ+8GZhoRy3a7oAPWVpFQhn2SiK6ZSkhm/AwKmeoGAe
GF/IPrncoIFNAv2GpDRMXoWhyS12cF/I0ea9/I2DktuZVUTLe+3UGd+JXWTu4OZGnKy8REIg+51n
5JNrZ2IffOUiALSGr3vSw61N/ejz0VuBN08uSQ/XJhV4B4+iBo0+BgDI5FAXaEshB7MApqQSkb/r
MuFdyigSa2lZ4NtxU+2CPnzvUpeNizNE1E4ujfLTIb6JE79xT1FJDjLbAjhrmiMTEI94xkKiBWdd
+NPEvPj0WuoVrC5Bs7ZWXheniTaKpsX7MNsEUoaAADQbz2AxFKhSy10KJIu2nkq32r1gDy5mBc1G
anZI034Zhf1Jl1G/rDnrlHKi9QSFifQOgDVjAfZV0AskxQtYZbtHrjI1sy+1VpOvrXxptvTTv5xQ
M8CekYRasrQoJZl4KWrWg30nbRc/0C20pLdT406KrMDCiH0AajnfD06ZncDrnZ0IiEJ3LPUeRkfj
eCTAXuJzfwdOxDumsOk3n7/ps2bl7E6r3mhw8+m7sf3xE4rM7ByfJNB7tmsodaKik+0GNLKvNbvK
XlyVgwgjZEbw6cpf8tD5wmLkbATr/K9Z/xShnfWFgUvsVOn4+aThvAQNaQmplqChWgIcUO0mdSDX
FxTQ9TIbMGloEQRe1FYWrW0brg3t977iBViCxuzi9T4yQWUNeW7Gg4foPQgM41MQWHemIA7CsRQ7
WvVrMUnUgFuGuTK50IjHQPfVUG3a0g+QJUBkqpvodqYAsqWghJ8DBr88X3cOZvKl9sOfCSD538rI
A1M3q8N732ysCx7Lf+UFG745rgbhIa1O79vK1C+N5L/In9VGCUFrVEDG1G8vhQghFqAWkrqeL/Me
WnIGkpsXNGPKxRh45r1MhbshqC1d0t4/uU6DwtI7OpjsNKysrMPv/JDWALiC1ebGJwCws1h5nVPc
2YlYU1wSQQ8AaCNs5Ba9MH4MY/1Vh7Lea9PZKusUBufCQF4H0ps6ntyAzfmO9IFTDb0vCU5LCzGK
6letn0tF0Pk52ilNOUVL2/wY3dZ+uWiAZURCBUkfFhXZKTA9fNwHgy2hEKqt2gZqcAvKCRW1tNc1
N37WaFdZotHQeQjA+QIWSwctdXnanhsOKZ7QGNpvA2q3wIp6vyzk9GLpGm+lChrr0XmoHecaJJuh
PbshyhG9cLNDhu725QQNo+9h6YzY5mndftpPT19E2Bplm/bc+OtOQ5pErdLdg/y6W9vpGsoQztm2
y05im/hxBMwIlMHFOYJk4CVRF1gG3rwgvZQ/ZBoPH9pYR5OQokdvOSqhld3h1KyGjafvc2O0QEEI
Ny/j6F5X9OgolVhLv8iA6AHw1Urwd5V86I5ULOCfhzQrwhwNHVEKjn7eiDt84b8Oeh59QTmQby0A
jHdRGsrnPOU/69FOfib9+JUX7OrA0AG6HgO+1tCucCk8kZ+H+gm5qvIyW1r51KNpHmrmah4jmqqM
xkPv16AtWjvvs2gF3YQExDyjf2wBkdtrNpJatKGfh5VqIZ6HtPmnoXTgPA8pNrU3E06Nc3am+n3U
B9rBKZsdFeznkr50S+2Q+DWkEwKVBOuKU9OGcpeDxnEHNYv+2TWyb42U6c8sFm9p7SLTrhz0DjJV
bVEOzzhPTw6x4b0Vors60Ap/49BrhdzhyXZdwcFLkAjn+wqzA72HKim/ITUJ9k5C33WO/kXUUqKO
xFUx6fdF6rgrUNBeGODtWs8TN84NsIeovTN7+8/APMO+hegDA80M0xQumqFNzl01/wGiX/po5PeS
QKz9PgC9HWDzmR3d53ptL+pWK5a6jWwUba3jrilP+P0/TltrETl4sEfIDNFs4JjlCWcz5OJ/i0NQ
PNA+p4p7zziq56gP/Jb3IuEut/5PXHbJAzhvr+Jgrpmny2ho/S050IRda86OwslGF5IC+x0+m7Ev
TZdxB6Y9eiWaoPDY7fIFDUWWPwinfZW2peNfojNsGPDI9yP5LUuG+jFUdqns6OxTT3bvLfS9+lFo
KfLxHEjS3hMcNBijB2qHxn6QPW8WdJK+mWAh9mUJoS1VhPHiaLG1N10UKRzbqh7pAiRRt7Sr3Ng2
71KzIfA2HequZ/JgTSBuo/wMlfCRdR+jvChbKOKPMy1kqigweaGcrSr5DTJCG3A9hKuclaDKU6BZ
4iKY+d1pFtsRdN4oXG1KkFrihW9VnKepnhw1Q8HT9L9YsW6aclVMBFtNAqLRAr8MKOoZd3P71Ui9
4XM31dxwRTYVUf5txBzmmQwt5spbapr/+wNdDexAKCxCct1ivLQCHI7o5HXXjmrUm/BZ6m4OmQFh
szOtFWTp3T9/HbmtOmI+9le46K9wuMW4BZSe6wgFgvrwdfSZb7lWbctN2+YCPYNI0NTQoUCTgPla
gHVlZw9au6FPVQl7rOyZsgtlf/cvqsEE5jopd3GadJtWYXsDYK4Dm/FXxzau/m7iV3doa8GuVu1X
6yxLt57no6RKuSka+xrGEz2FVQOJCX7XCLwgNVrktBg08kZmNSu/cBjEjCs0Q4TIT/krUIgZhw/W
6baJe22Bdptm9cFrWosCaAG6my8teMbRyDWeayZRTAfJ5CNdxlr7PqTmcMApAIdBt2An/EN2NEem
rBqLzR+CwgaCiuQGmtXboNK1io1di+bDK+FB8COU6E+loPdXohch080r0YTtB///oCH6MbqPZRp2
x1pdGh06phZ26c1iHqNzG0ohObKo736iw44VRWGETLeNUjM1g4wtDJDwrj8Yacl5MXI0QD2/72pk
Xf/0oh+W5WZ5XXF+bRACaVt36r6KfN/cB0YVHpjp3xPGgEAFhEX4bB+7TjFbKt+0C+6nITmjgXGy
0ehDfAUdyaDMIyId3TCD/RCfxX+vmr4GC4rvKFdUh2QEJPnd0ZQQATx2JBs8uZKTQFbHXb67Giow
qsrTVQ3XHXt/UfVRe3DTcgl6XmvfV+CWQaGhPdBdoyb//7aqLf7Ncppfi3zxz8u/L+VXxQESZf2y
0EKxJTaynntsRcOJ2CyJ+DQsgxBUsu9Dmp2d/zYWfTdYGenXPqzTl9h0NugBrL96ucX3reXXa8p+
v9tH4/8Y+7LuOnVl61/EGPTNK6y+8XIXO8kL4yTem1YI0aNf/00V3sbx3ee790UDlUqCOAsQVbPm
TO3FXjZTeSxHFFAQUyuYhaZrEvS/hDTcPZlWBlcapG4GD0Dt3D0xu64zV98PDx2haQTI1Lo0+jFf
0/zPZ1in0mmquv10Dev09Rq0cVquYV2WeGjX7sc1fLGvp1Ie//YvJY+P66ArtbQg2ZkVhLkhr2w/
SOSuL9pY3njZFjm43bXsKG1QF9BoW3Awu9ki31U8bjaWpgPBqCmldr2YvN2ygloGrwuGvEecnJZ1
rL48ev7kX2mFqsyLh2bar/7eWDp02tUEidb82Ffgt6E5NOAXKFAEZ0uzoS4NWHjIRIiCeLvlVCa0
VEM+VOlpuTx1aj/1/StN+ePUy8L//IsnU5T/SymKYbnmlz2vraMQJcBL3cCbzjBc88tLNi7cQNid
h5hdETwIiVdy2DRIgvZW8SCLqro3DBEgi2QXU5h5eKn0uQ9aIjUCMkkeuoGFwA9gr40u3W0RNPOW
gK6NLTnBXmmQTC7PIYLKvGtaKCTsB0xW66CUMvBsONRI5EZlbTf7xMVnGemPki1XtkzZaGCEMkBE
NnJpeNs+OHkiIiBF3ueO0mHgDjb4EULFEkq44++lNqjtJv3EoMH0qavZ4reZM3zp0ShXCk2qysgv
NH0DOZNpp7VSyYL2zmOsF1DmQ3nVsegt516aHovY2E2/wfdeqGzv6uonYIXy7dh1QZ43PpVtcm0G
07ks39RT4F9alqBWL9aBGlWjnRr1vK6+WUW5ARC0P3kOh+4rCIxeLbeYNpUcm6NTatYrSonvYwim
PIimYk+8Z0fyWieRlw5A7SZzd9qoA3yhAJuZBMK7bboDgTkJr9mDmypCpRoQSspjdpuntub61vVt
wPtSJn9y3zrabj9/YwkX4LOR2FLa1vyz8NxjnWTvdvInu9E4x6GSf6fG5L34w38oktGX+ZvTG/yl
yqBlBZq46spEgvebNkH6IU26J57GMmy7mr3F73PKIXmL8UWAGyhHAb+OjxIvjWLLae4JAZ7rNjuB
YL8OaZBsszGa0YAa2/1qU7OCMi6vOTY01jaYEbYt7CC51iiZvAI0gkcxHVJjJa0XZkzvtjoPMrDh
9tmZpbEBrMqefsr0o+76BIybIIgCTBw/6CbpgkMJlhPUtqOLPHDxBP/199/p4OzWslF7Kswx+OZX
wRAmjItvcy7sjeznFpQ+ZnowTOhW2kJrLtbEZwhc2yYCLAAXItKafa+74ReSCuNfzdSGFvE5WFl1
TOeh/kVLprEuvukfS8b54G0Ta9RPJIywNjVyPxfqQknlscc7a8+UrgIpLrikx7D2yykFjVqlVJTU
NJr7MY1Mqy91p97F9a3qDWS0rWk5UQb6PTCSOk85KPv3U2rxPVefnvxFGnnzM4Z6/V4UMQfdA7SR
+EvSG+In+XJlJd/0+Ysvfbymz9BG0KNuZPik/V8Wfz/lwCrxU7janxdCp6QLKauy/ueUDZJYe+Z5
YGQEkfuhMothqw2j+NEw9xVodfMBlbz9bax9HiKDIH6Ad7rZGIYlTzZXaXX/G5kdwwu+zB4G/UWA
1PqE/F/xLc9sEOjq9WsrEEoFFVQb5io0DRIxe9/NfAQoF6NgB7WiqWTdiUZLnz1IfQRwGFjyb62F
3J+a1PIBD3hZPvsghkMwLhjujdKZkHhE+JBsyYzo45cj8rMrLdkwm0GTV6YHguT2rZCbVnVbUghM
SrlxfDc9zG3Hzl0Kmp8umRADleYhB//R6T2XIDx+5yr0s69ZhwY8peHybJR2Z0eaU0zX3LOnKx2Z
CkHpmsE5NrtyDsmmAWu/a3XwovkgB7CUTIyR5vFj2bANgatEZgXUI+AV9ZQngauS2NCj5Xz4RsKv
MbTxhjrT28wt5+qezdvOd0zoGuDVRs2QNtl2NiWgx/RenGIL1O7QEBOa6P0knMBcP24lc0UWpikY
cM752DmvcTM0oFJCenis3spSh95QPIkHrk32weHARE+zXz2KFrrlNbfct39c3dJOoqwz5yhGpc0l
M/UDFUwntSi3rZnnJ1H43rfkH3szFlBqrdp3u/InVXOXg08m6ct+CUZVPU8u0JL5tQaj+hhxFyA9
xYlscZadpsC08NXqqmi/Bp5J6K0ibk83SGAAJ+CaXF6xyx1uOQrvIEYgJMCiVvmMqgQwWmHz0O3K
IBF7ilDOIkVxuVcAGNq88/HTEUhqOPJT2VNA7BKrTflOxE/x51RmBtB5GMBmRrXNiErJY2sE90uR
86esk+XJUPLqF9B9EiEW5MKcYM7Ag4PniOpRozH9b61ziwtlvEodcSDyp3yY1BIXDNIlZF2/FV5s
3VGD4FCKwpIRkPAhmLWNJ2p7GXHUEX6c1rXk38hsQlvGCp03lNnWP+zcDAMwYf7qDLfbsK6pLpXm
9fembUpwJXrpLxNwYitN6mfmWyhj1AN8oSPTSTPJgWaimODmukgSVJbTg05FiC3T5PSaJ80DZFDc
Nw7i1alw8u+gfQUBfgMBMb8AcJRcOw4wEtIjyGyrO7LrQJcwDlYCfh106WZkH7clSDKCPdI3Cd5K
ASJHNEzNOmLgt3vEx2MFntc+far6FpRrVnmlHvCg4thohhdSlxoU/zz1YEq6kk5snrv10c5nL1xE
aT/mO2mRnwdfosJFcSPWihYxTf0+4loMsmIymtR+ciAvpqgVBz3+redBZHryiSl24LVBHlO7mxA7
dyqJsAVYDQLsrDotsrM83S59yMJ4IL+ZnpYuTUbW+NDlOeiZvPpOhzb0ya0BPp7cOPnBjGZHIe9R
YqMwOKm8Jw88Yh9BUPKQM/akJSx/0wb3WTOr6qUXZrfzkQU5zdqo3YwGbHrkEQCLPQS/J03vom5I
rJs9Snmy8MjceXM6vfyxFHgKqpe4AL1moHfGvkWIQjeV0EQOKR4J/vys+9vh/2GaV6WgHGkPEDsM
frFAAEdQ1fNLr7EcwPU4eTARFNtpfikuTTfwEx/y7sCqYr4benApoRLdfKotYCrqpNV/pMn0zQcI
828QQCND8r42LwKsPSPU6tu3eEIeOkWmdVXgoLu7GQHhoAEqMyTbOoAyp/cZZNOrNxDgBXdC4vO5
nbvL+iwORi/fx3qdRpyexTSi/Cbl57k26K8nlCHdTXgq3xLNPQymYN9Zjlo5JDWAdzTwULO1QIJ3
BumQoPEPM7QgF4+p8P8vHih6unqGkYI4HAWJIjGqu6ovT0u1YZOZ6Y5ZABGbzqyX4Ecdv4+jSC5/
Ok9WlaPgyPHPRmHLYyKGcdlKZyUKwY0WgoVTJY++8MZtrUj/P+yJN7z705b8w07+jXoVkb9V8x1E
YNku0HiA15eZnCtDS86j4+Q8XPsok38fWW0mT7a8mYPDaqKjWHLUsPv4DF8WoP7q829L/esU3xF+
GEy4+Uhhk6Q1XbfFXV44EO5VSps0kKDeZgfeRRmt6psTarZPidBfVhM2//p9/301kAannP2nqRYq
+NN5i3xnb0IwqhgalCEqZU+aECOcnMz9ne53zjMStW1YxnPy5qDoHCp29t8Zb+4HIbsf4EMwoiZx
kgcw6UhQz7ftqfcqFLYU+L+j6Sbz29Aus5Sm4+sk306N4R0ALeV3MR8fE2Gx5y4Q7HmQgF4FLnsg
Ezfwa+h0bcYPAR5x0w/7wvEbBJHR/ZjumHn1LOccvNUAuKAshfV7XiTlKTMbcRfrmbFxOt14ZY38
Rhp/pp9twAk6/0JUO40G0CU9Dh+TrCYVd9AryvR5vBcmt+85sEcA3uM3mRXgyx2lyu9og9jlQ2Dd
U9NwJP08JQD8yaaBKzapkdNQi5AdmEL73hJ8WY7shdJEBVtLsTFRNkGPTXwRZ9E4GzHiOI04VyJo
ty2iFz+aol88wBKXpIUWiaoZl4IxURRAQA/55+46OnCFj1ajlD+m7jpKc4PBYNsqHs+6OaKqNEua
4IoLDBeZoaE0gmuNh9nSxetb7pHSMS/cFvgYC9In8B6lT0gIjJET+NmBuolu2negsT9Bbkhe9Ulj
IOEcUb6cGKgKNoHORClVVKUZ0vdd6oUtfmJ3OarIH5MmfSY7YBF8G3dOC/pLL/2RgbWhiI0fbmmZ
h7LonS15qVXFgPIFAR7oT6vqfRNR3VfcjmCUwsW1rYtdiDRa+y4uM/vOQ02pkw/uZTWRvdDmcduq
GeuAr/ARNrDtNUg42p912zoHv5l5pOfAHk5uYx0Bup6/O90MqSJAcbUZABBNy50Q26T5O0cQaHET
YELfMl3vNoTBarPMuIBetAlFLDNUY6DbKTAXwbrWLh2Rre2cvywFf0ub7+B1vlKVduHXj37qNK+g
Ru+2FR71l5wjbqI7prZB6YT4Puru1ayC+nHu7DKcJJARQW5ORyoPNIB3j2JESvKs3OaWnh2SvrVv
mcE7VH6UxotrYCvfIC/1BoEGyAoh+x8CqnUxE037CZlYLZxwxz0FbRVsnTzLrgYKZ05fVpKo7HmZ
3QKZqpL5Eei1h41XlgnEF8CSq+WG8ZzwNAUNawZgEmRGnuvWK/aGbNwNdUvTb86+VQxhWsB5TA3j
Hspjh1qHIkXkIq0L1GT7SCuxJktC6SA8SVOh2PS+MI0aDbYfSQmwJJYqp8uyr6O9H5AKN1ReIExD
G8OP7SB109G6dWVgH9fNIdkFs11gQNPvM8sHQNawvZVe+QPFAwh/SNR1TVOf7WqB72nL+os2sb2j
65vZTryzhJDH/TqxFRzENY79xMS4q5w631DkqO1/GX4LOeeY8YPnMYl6CQSaquCT2SwTuaOX4B/e
ZCZv3v5eF8FtJaA6EQw3K4njExIfMiLlFpToexuEd7wDdfkEsnjHie+BVQie+koihQhBF5pU6LmM
al1254BZLZ78nvgW2MNs1GC67H9VrQ8pLAUvbv2q+VbjWazfgKDnoFUpsVMooCZvmHWxpy7rp+6x
sjTw/uoxNvfIfycdn06oMYRqY1qCymCdUcS6FeFU4oQYTqyo2IrL1NXpk0yyF/o+G7wGhN/TXF6C
dkqeMnxWkP2L/4ed/IHNKtd1msKcj1qBWoMEsRgQzGTpPlVvoB7klSc8TL2Quk0ntIfarCLqGflY
PQOj9VpWurwuJo2BSmb2kr2rXlmAp9jHUUaVa7fRACq4HwUHbiYwm+6aZl6GNxw0IJU9LTxrN0iA
HifVnSdrN+eD+Oa0qJ7rWdBGhVJvHitXCxGpaq9VObG9ZGC2FKGejhH9kwmmgBvs9+QB5T44eOfh
deL9bivLB0GCm10HR2ZQGzKMjdCbAriyxN5QsIJ+3+sHUQru8KjrgOX9MkAuX0ZpAVTvuuB5j2Mr
DWum1VsA8+LIAKz75pUgrLAnf8ALtB7vER4Eg3QZjz/7AiBiVYOC6k1UKJb6j3VSXOoaSh4GJ5wg
RrWECnodX06iN5wHX4j+0I3pcBB5ZT+A1tNbXGyTeW+a3aPyohFFBLgxQyljMu8tUNSdZtsb7rS5
hXLkWAWvwIw990oTGHXCAC3G9S/e1SCpxrvwYTScaV+Bf+Y0yxZkXlwi6BdKXcU8udPeOhtaCMBY
lEgI9u1toWpYjUvfUZ4816GagPKJ0BZpuWGAB90V47Sd8Wz44TlOuo9BHrlPx8r4MYl5E8xz/wI0
UHoeO41tyM3K/SysR8h2JT3P7udWliENdAGktHPw4pxRVJi+/P/WtQHM1KvpRkzD5lSzCzZH33Qn
BWWAjq3pjieu2MhWDAV+rLkeuhyqoEu/6/ywtY3yniYHWcIuXpV/M3uRPfAUZOOgoapiPE1nr/7h
VmawQ6C32lNXz729dHLt2fR786KnAcIpYy1+gMU+j8DRmV+11uueARo9kp2msxE5L7v2HlGU9R5x
oIAESI7MiKc2334ZYFnMQNLUh0vIYglhNFZ1F7DZDJpIJC34T+Kan6mpM//9iLpFgmAYHeHbpfEj
OgT3Y1qH61Dfg37EQv3ghin3daD2dTjSHGqauMMvDAQJYIkOoJ+gSRuCeTaePGGSxzMwN2kSzYgY
D7tPQ4IPMXAS6YRgoB5DGSrVzuQ+4O0ZObXASmSMa+BJHyA3Lzc0RGsMko9hn8n2MhrJQnQgHDvG
7zjZtyq9m/eF9tD02o5YD2hM9SxoG2ZAIWnFsa19JSyf3ohqupE6u3YAAtN/OZnmbk73wszciGzL
b0HXksif9OYTjfV/WUiM/kvS1NOODdl5fdbQ0fLeFf5wKjC4PnToiB4wqRrs/OTTIBtAmV8N5hxO
Q1rsWILYOIotrVd80xTgKZqMu3gwgXsMbhpY/V4BYI8vY11YoekK+/XLpNFGYAglyF2LIgw7D4du
YEBS6v7FU800QTwdzE/xe79NWb91vV6xQcEGqv33AfJe5+lTL88INYTkQb7LUnbagcaXvDtXvMW9
+fl063qLH50O1BVOqO/NQCvuPgWp6O+QivHty6N86frQJUhS+bb+nT+51eCnUIPr3/k9Wq3+tIXs
3tIW1TwssbRdTpKQpASZcDCfibnwkOxs8AdQXbLR6NqQizRx0astpWVoStrE7pYjq7gMf5KfpMVy
NczU8HLqL2dYz29w6KHSGYQ+x4dRLx4K32bXwc6qK0JN2qnExrxJJ28MacDmgTuGNDwiSQ59pTLZ
yGJs8z2NUwMWQui92A4yFx/ey6HXGel+NMtsWeLrktTv4rwIZdoEu2VdbH7Zei2flvw0u5Xd+7WQ
EcrmBiCMSMORjohskZdmaYV4opK3+WiMvABfu632Cf/Yy8IZwSSS1O8zGzHf03TNR6BZ9YadB05g
qFgBtOl1iHA3oFZ/rFVjTeOr3wz9hUzVFKNWw26ycMaz7JGVpfsoLN/ELTcPR7JZRdHcFWV7pgnk
EaRluUnnUduRDR+byeMUn9aTpIae7jKUa27ItniZ4CSYK+9GS6yXRichDzOYXw0wkFzIgy4NxDT4
ZlHXDZDCOdO87tJ7hX2YPQ5d8zTDG1Mzm/vKb5r7xJtPiZG1KH7+xw6a/nhbVbEXkRsNONDmuc+P
NGX1rICdjUrox+5Wz0Iv2MWf5/OyvDoRTcD+tQrNTAYH8qVmstr3q6LuunphDyffMtrL6gvmxHjb
eHM4+34dAQTVPkBEpXmIqxKxT2bg7UDpeurjeRxHJVEvrX1y1/KhfRiMuIVmX/c7h9riEpMP2vE4
CC9+MQfX2pdJ7+wB+vNfbNM90leLYaHknFdTfRfkdQVGevAwUzT/YyYzsU1/33/GUEDbzEwEYPLQ
9O16q9MNS3c62VAB9j9cvjw6wP772YVu7MKtxF43J3NbOgkwPZ3/4k6FcQm0HuwkCjzf60hzOUJC
kE1183/cwCrWR6mWPUvFLUMNGzPwOtFhV7T20Yn73b+OktEgypnZzj85otYTKm+qEWAxBYezOlyX
6EfdPvZOtwNPJP6qNVJdHFXEUMuB2nAA+onULgjgu/OTJv/eN/ilQLTDgNJThRB2Vkfk1iIbdh4n
BmCCKhs0XZ9ttKrPTjRrciVurL56Rtn117XTqu12iWmJTW044Nbp9OCkq2YYm/ej1UYDJmBhVUjD
y6Fme/VuKv3Xf5vyb7ZPK6yn8kTw+aQGKlSARPq4Etnb8x5KZt5Uny0QvYWVkqCA/hxUMemwIWEK
OgQ7CD9/6pORmmQwipOObOTXKTNpXRSkdaEaGjf0bdXp1sVX+gKaUiEIsuq70AeQ76jeal+73eSi
6Muyf5JpaZjzPj1DWH8K1SKoqUoOGb6CcQbkbYrexN7LG+dL4NQPQZZpD2QKEC3Z57jbokx5kA2K
G9kmFv28M0cfIjlydn51sVOcbepm3gUsytniCx68ZcnFtcvLUW21A3x1sUKHGto4b0qVvoO6qcrc
5eVwl3bhJxMddvOopNPgvPgNfQapiNnXsfMHvglF7lC4RxmH6vTZxO7pqJh7uUFIDyDcKUZtvZiZ
eyv6CELdwE2RS8VqubGGFsCZnsOFVoLLrNLKy9p5IbaN3RQoGUaYm4NaEbFQxc3/tQ868Rm7DlQ6
2qmJquW8wXfgZAaBiZq6VmwmXR8gKeI023Yaxoi6WQp2uawwNCO0ZYB4Wznw/TpidPV4t8zTgYgx
Z/NCvdWe+NAomFt2W0205rJGHDdbL23APafOs9joZKkcXvQiDucYhbELtAopJ+CiiwQk2/RwLqwM
6OmG/9NPtVIs/svDnPrkvzzM1z5Cv/MGmZ5yG0BB/Aa1TuM4BuInyCPMW+xwSHgWegqJEgfBEjI6
Qwyj0xlaCCUDb/fJ6NsAplVjefbIR2OOfYcEHq1MDfl+nMPKB15s7Ro1qOXgWJFrcfUV0R3TDPkJ
rXK6DVGe1YhpjyGxolGfGvJpIVmyKfF72epSz09lov0uVWSpMUHI7SXujFrswn4FoAGhemybLjRq
Z15Yumz81gMEdPuY5HLh73lQ7ZnhGjtwgYmj28zNDVr2gBz0evpDr1GNoT7q42Lej8ga/MepG6RY
IMZ3bzsV6EB0cAIhQNLcUPGK8qWM/zXUYkZkETAISqy54BDZ6Hlabhf0n+W0080H1FL9iJcE3Bgn
kd13O9xHUYCoVwpelx67LZ691aWG1xSwJa/T2FuRZgf+Qy1bvmu5nV5tzUMOP0+S44ivlKsfQ/ZY
er79mCETFLlsmr8Lo/tPnorqrwBwwCJv3xcfeit7czr1clOLpz706AezfWqM3DlIlegC23tyZiqx
VWpGBopOZZxUQ0dGwKddKrRvX+w0jWycclzrMuvIf52yLr+ck/oz4oOW43QPjZkLCNcGL6OVApOg
dRBB7hjY/Bv3zlM9P+F8WyI+vKNB23bqq224L3XtQE0uhX45VfIR/MEUeRKBFh7EiKpEYVYNHZHL
OkrOZPs6OtpQq/ezl6KrJL7yDEMGT43WFDhJ0b4wK502vJTjbUy86pDg7jnangutABbb26RO9afS
rH3ERRrxnyZIz709Ql9N5qAgtabpbV0pB6JuU0Ed7zYW9bbVLDz7jJ3PgM/VVdVCgY0aUPadFVKX
mp6Z0IOCSMFhtf0zSWaBfyecEXy3NrszdR4Fs8nuqXicSstbAKejBnW7S0E5jQJrV5EvuSHWlkVt
mdVAWQD7YHKnifSm77YplTZTPxX41lj6uho31Tj0Tv1z0o7nTFZjWPlVDwqt4v0oUbaMuR2oYZr/
MfrFj+b+2yrkN5pOGXpDI7eFh4oB9meTg4jmanABEeWuOK2D0yTdoxtAfN1uh1tiZcMztIGHZxfU
dwaC/I/UEwKKR2VnJxfqItAcbHhWog5K+Q5IBBxtwYFAUF0NJL03tRr1qHHKLgQIzACtbDdsgmJk
m3YYy1MFHNQigx6MQFz3XSaPpOxeJXjI6mXyGIDM6ZEB/kYx9il1/i+TEr1xH2U5/y+TKD6vzjQj
p4y/Gh/xE4gh9wxCXKBUB/vGFAN8qUjaW1dCJDr1i3NumemZbNR0mhffxe7Egc20TOwd4EwNzU3B
mHSSwr+RqRXdXVwMw6ExJIJRJPxpl+AS3fj4gkKdUvFzVQT9JB26HGYS+5B4bE5U2rNUAS2lPo6q
IKLDvOIGMh7i51r0s7iociI6WubREj5vjG1f6kU4u6VxkaWvX6pmAiIltxg4uId3G41Soyu/teuD
OgX6rD7brjZaheaSjbp0RM7AGFXb1dbaAOvEgERsIM/JEboCsygR+/ightYl179ZMeAlIFs9ezk+
oRFA5HcI3vC7UjrvR5aOGyfOhAvEwh8D5DyXCOt1weju/KIEKIl8QObwC1UgT46qb1irFKh+YGz0
t6kdoLSj5KLJtDbkO+jTG8jf4EHMkVQpQStRP+GnqdbGUIv1EsgMVF9TU9UB6rBVs9roaLEljb3M
IL9lQGr3qVvKY8y9ale3UFKy5x6YMdVoSr+duhqoN7gRQDnnT7uvZjVqFg2wEmqRwCShdtfl0EhJ
q/TcjgF7bt202UlAVLfUrdxBXvJp/It6Vo6kVo49qpGyJ7IYwBR+nc0QC2pdG+KBnoRM7UcTfByR
ze1EcclE8O7CxrgNA8jNbb8MyEBuHdN1T0Rh7TjaeEXisjoZMj1Sj6Nu+joYAypUqF9x69MoU6Nk
n8il9bTqVDpgQk0aGToegvBgRJuPDDW84UyKJbW0vpVW7S2gNGOEvDONrjC0XhiAMEnvQjC0dT55
YBcc7N1+gJ6u+k4mctVFFzxFJm8zgFotWvqjXYvDbLMM0enmkZiYxSSdkMW1f0vb2LwwF4GfWhE5
2h2+49I5+WEZo7ErwaJ6AE4peO6y/pFInmlm5+n+DWLz0WjVy19j+ffj+bLJXUDaPv0l1r8MpMtD
6ZvJozGJ4Flzxgj/3mHpMW1+7Vlb3NFYF3cx8i5Be6Ku9DjYrgtZ76nriBSQzdp2NtRNsqQ/6XmG
Emy1bqWJEgHk+hX0sMHzXI/jo56MEY1RM6NHZuph4/A6fpwYNS1bie2lTAu8GAIP74nesa59M1jX
VuuseQPxGgi08Pk4QIkZ6qNNjZY5RQFOU7wvlPe7jUZ4BaRJmlgJKBUwxMhIXrEz++fS0SPUBOk3
I+70m1QNEFnJTuSoD+aTOyIZgaA0NsqgPLcZol7kTQ15+47xNmk5Oy7OZAO9FK7drK7rom3mCvAe
55tlOjbNblgVqDOZMvv3lyVlwt8v4MtAZ/hT1AQcGAkEuWJ33hiV/mgNsf8jSwpU9fkuf8JW0Nry
tjSuIrebo5e2GSqOACCZg37cDtZoPvkxikjNrul+iqq+T+YO6o7W97KCvC8+RcxPK8ZOz5/03LQA
XvP0awD4KHMQtY4b7YQCF6WZ9BFkg2kCU9d1+WzrnOBkKg8qiSG3AaZ1kuPNqIKqayjR4pLBONv/
Hieu3zxkUG6OauqpSHeQvRkiGqCGs1i/Vdk0R0YwB9s0gbRMSCOVV/xVSORjqEcL0JFRTxuI6LHr
urBnj+114trXdf+8kE/r+OLzhdDaIgOi3KrjW94PbqjlibUU3FNdvV2K/GByoS8V84GjAR+GzZCO
r8h7nyRKRi4/T6PK+pE7n6etVfn5+1SyUGH+eta19J+m9ylSkJAfgYw2YBLzdXIRsSi8IarGSo++
BoOWPsWJvkaCvrpSTIiccsMcInxg6UvA6UuwiFy8MvvulXHx2Nvtxra88jfSKDLUILn8XAQ90Nmo
sgAKBxQc+ARl+xig+AfPrRA+TQL2M9aSa58lzt9mIDaJA8pnms46sz82ST3vIE8YEis5kjDFs0jR
A6PQtxTRsucWPUrWfYzZ4KKbQ1Rg3c1Kp92tg/jc014MpAXeZjYhD0HGMpYx8ploWhqmQ4e2apkF
yR2jAyZWA/eaZQ7mmcr4v3AAqEEfZfRnKgdfB4kGIM3eB1cWgClLXwfN5CcoaEybAlJZW/pPpv9V
odnsXAzB4/r/TvY25+csB9p//YVk2fR5Otey/GQ6mXU0NBe0TE6ng603Dm6uwd+bCYF+qBx2d6s9
0Q3zICwUOQ1SBrdONTRhXWQd8IF0rrkLngmjRkl6LofnHFvZe6G7R51ncRexvtjmIugeAIEfkOdu
phAc39mZfEWPp1FVGZA4U6MybtJTY6Aafl2pNyzwa2PQjbe+jjSTvQ1QPtAHt8HS/GPF5I+syoOb
oUxkh76gH+UJ1GFpQGROcKMjJ28hK5kHl9X+5xpOl1oXD6xAaW+4F1sJnlLjQCbH84v2TPYp17CL
ooFPfkkM8ltW8eiT7WOBL7YR4mrc8ZplPb1073hagqd14ODKBmU7NaAiS7qQDtuKVdvYi41QE4xf
gAXlF8dKMEyH5POpX/nT1vJG70jeNEp+a/fTCVDXXgC1s0FZqdwDO+M/2Eo4ALR19S9HosZZEQl1
Tf481Wb82godJS0B+PsGnWuo08OkCYDoh05aORIpZQb5ZURXUuQaAGEqIM505S4/G+nYHW0m4/Gu
SNszQgTdURtjaAGUqpKOq0q6jwEyUcOgWhaJuWk23jSLc4JY09IEqrvaAOqq6xClGRMkL2dAf6lP
7quTX4KsK/yva9BAXRpJtBTa9aJ7QbGtE9IdoAeuDgwm51PYJMzfr7cF/mbTza4juoMWt6riLfAv
gDautxXdQrkqhe3TyATzgzteJ6OpIVINCmMUMCWo0bySGX/jHGl5Ncjq0IUyVZmcSKZJglD+IUiQ
WyVlcH2cITYIASoarF0Iq2JPhIocr4Uy+ByzHerEp0XwKe9lcu65PYV/rkSCTyPXjNs8Nnthm/6B
ec55YUsgloN/ZT1IR7cKQZBU7sy0AI30SnlAR5YZ+wfJ7PNqX1Zk5QjN0brcp3k334EoozhClOaV
erORzXfL0QjprqrFy8VxwSZFttS2ajNcpplQvMk057w601HFtJyWo5VmtUje2u1JurhfqE4e2Iaz
cJPt+llH9vU7cACXJDzizeLx8R3oDDr+T2gUOLLNUiMfNGCB7tWm80MD/Qv53MI2l9lOG6JMBfFv
5bgYv/DYrd028dwt2Dqg9aae0/QTEgxYtdGbxGF9dvuFhXqH4mm10FE6ZtpuGvA7/jJgWv77GmOC
3SGQUuUu9lK+zxAqPMj/R9l3bbmNM90+EddiANMtqdRKHdwO7Ruu8djDnDOf/t8oqAVZ0/7OnBss
oBJlt0SCqKq9M0P5jPeLEyUxRydJ/a41Qtz/Y7xwIf/qOzZDS5K9bAYzdb5KzzZNwy/mVJ+UvvY6
C4BZyg7FkIc27OtDpo7qpjParzUYiyuPZAvSoQcamsS4zO5koK3Ck+kjmxL9dxuUrn+98530It3l
Svn17hidztJJFmRhuFYM5UJFkhpzeCJFXJdfhrLQz5rKv2tL/jfS5ChlT9TiSbOqBKAUaHhMx2Z4
u1oA+FQBp+a7Rd8sE5o5zeHNWnIRo85QrkgxdDR2mCyv13pSlu0KJcnhiYagydxDNf9odM6H2UYD
boL8rO7fFhW41Nu9naHoJXDifj1OaHf3KgbKAAbAe7/S7emA08b5YE4Lat/FlHOLC8soqJBQISkN
od0VKzyGwNLEjdBT/GtuwFgYgCXqgOcQuJGUQOkPN2sXtcW4G0kd0MxdDzk5UEpyLzIlJ6Wch4N0
jyvDXl3ybKnrAK52doK9pi6XoY6WWlnT2gVBOICTkxHsjPlg+iT8l578/yUtlPlNL8sFANq53/VN
hyMe1cBXOgc2nNJ+IjS4q45Ika8rKvy/rq5+lYVCi8s3GpmAdtPwP5HBa8kWcGbU9Gej81SN/rJX
zaQlXYhUJf6WpL4qhEszzr/qSM2RgymSA+vH5LD0ZnKQy8B1utIjzbyU6d6Nvi8uimq8D01urElP
wYagRogbFUVTDdTQo9oYRwOenlb7NoziZ7toEoG9FdQOCDDBBn8ycDL3HBZoDyM0pDsFGpITT+H4
3HcK8/dQldpapzA01kPOfgVLlnth3bOnESQmT1o0oIS5OdCitxkIt4EB9h3okP1eGMQJe+r4nhak
KfWaZDTE4IN+cPUyxy0RgWjQAfz/aMZoQ4GTVgMQMFeaJkCOVP1mjFP/UGb4blARNQ2aimd215nR
Tsp67Zlhk/hMEukk6qqjGOmqwA0BXccLs2n4/3GIcyQiTTXMV8kSp55i4333ZpevBSq+Dkvvy+18
qTQqyECAWQBQ3ica6LWvXLJbf6EFHFkM1GLAd7aPkbu0jzQzJ8DUzE05rEiGGttfydIYYfzdStLq
ZGnOcNC0QPeo7Rn42+OhbWPDow5ppJbGey0ZB0YyA2e9TLcBP3ad+MmsXU1oNQbqvh8PIYggrJLj
3tvjF6aF+FsBFzNz0y22juGPsEFyGwyQ6SfQYzWbKQT8IXrZlkMYo02p78blhTlz7AMbrvmLu4Pz
lP3jpCjxK9Nxh2rVbgUupWVbj2DJznlvDQ2zWm/R9zQ80mqIu2XbsMTyi15VPLUEQ4ncteGXfQqx
XzzIdxngkGUHZk7ibUfu3HrQNK3aMrVX9ECVimsMaxkbEJxFqU95tcrFEXrMrNGXiTSBrIn/FNMD
rSMrPBxaB6eRI7f8PSfsy5gt1q4jBCRbHw42qFVws1Un3IjFXOrikB/g1dG+1wGd1PKBZsJOrsmj
q1AioLRhsjUH5RG4c+Y/8RCjxAIEgMGCrEKX2MYrC/H46tHCczIb0CmMQzNvNbdInvUagAitkY9v
AMR9qhL8Gbm706XJW1ijSHxsku5VCwsbAHnt8N1NetxNJmT24nSrUG7XmEAuUYOMuM+6HpzSg/k5
z4N2hboVVJUVLNsqQckOJrpK92mRKttpcbLHYTKVVQn6zVc1S5BoAH7Kd/Qmy+DAJgDcaaE2Z6d3
FjDIoRIMxeL2lwmQrVMfWG8DmmC3Vte2W1paveMFuTF8RSlBvLcjFUQGSAS8oTcALN/x9DINuYEN
eINTcy5X3QalAbOZn00LFShh6X4je9RLqeJyAO2w6HIkd4Aeus2qDDt/8K951eJ+oc7UXnHTE0B7
V6I77KOl3UUrVXObTWLn2XNmxGfXGNk/Y2r7Dbz+zmMUyqgGq1/t1jTWydQGYHp0dd5eAWwbdL49
s9wZfB1v3G/plJ5t7r4ots8b8I9ZioyJ4tEWhLYWrasD1RDdcbTboH3HjHdiFHhedx9XE7E3ITdF
q4t2NQw9gBSNaUcy8qB9yaXKX2HVRsDc1bOyLpdwujkiCZwI5O8CL8DAa2FRulOJEn7AnidufnBR
EWDu485c2WGTHyJeGmunaDIGzAfz66w6IPdifQNvmbkqVbM59XmqHKo4Vtfon7O/LKP5Ss1erDWF
qdKWJmKDuTMcw8ALw/I0Nbb+k0+A86T/TFglJlfJf7GJbr3AlfF2wYVQarwUF5mtP8zm7K4IrgPN
s78M9KM+FcgqPVmG9g+JjVazVwyd+Sh4QztT7kXo+H0j3yrv3BUhg5ih8csqz0OG5xeHZXRXOEVr
V3jXXlayTb3S9eBczvq47+PxfNOHvrTAgUEn617IkORsV1OoYg/JpkfyargrRVKsbtw37nQm+aW3
/d2/xX3L8MR14qZdBQ0q8f/0AaYCBZCXWnDsDp3Voszoaa4AeqhVCXawC42EvMw4gLPdVIBC04wv
BNVMIhrIwgU77LE3B9SPNws+PivYnhT/ipVnRuZHdEG6gAwkLqiyCc0uabFRVW3953QcT9vJTJw9
M/ehMvSbdB7aWAwvwIn2+g5gM+NwAlJGJrWl6/jv5oiaEmGTbPIh5JmK1icyiaDW0Q+WTBnKD8cW
6QcMdwokXNtHJbJH0xPWipttyGYmEEAc2ld+MuGVXKwTez6zbApedTT6RxXAcOwKMFBZMjQnQ1n0
Y6Xozspis/pW68FmcJ3kZwoiSUBMDM2nceRYvylHl47Z/JKApwu3hw6VmGiASni0WMWhepxl+BkO
tbaKsvKlR9Vs5wX4jh7NyMA0m+1gpbHC9bTaaY7OtNT5iqYm2OQOQBhcD2at4DltAa4ebwfnUFke
KLPWGDEoQk0NOw1uQTLgtfmVncaCxw+MeGmrBkdlqWpzryrbYqmDI2CNGnNfMKEjWj/01KLVSMfZ
LSDWUeh8HZYlMA8aH0hWoQVr06nsK8nRmZg3eE7Dg9bSrXYL62DxVyi3MYwd451Ksa35sdaVp9RK
2seG9zX1NfjL0BoVN8WqzbH7yUGiwByVHWnbNPBtU8pMZKYrq0PjV8PwUyiRYqPbdTY7KHtR9aee
ml1Zrx5p1vEG2Om6JJmSjM1u0tDRTrZNhHZ3VHCVetnwR2f8FqZg0aEZyUAZG7/dzf6DXTiiJdb4
Gwj33QPoO9AIPiMPS5XKyOjifASfo3swoCGZMRR+qTtOBkrTqD4VSsYZeV0USXQgzqDvLH3ZScTm
FX2XaaCv+rslSX53Tm2995iFv9ZoqgwQQqwENFxe4IDUDsoNLcGtZJ/AGdMv+D83BiSdkgfdsbrF
A42NfSKbelReqs5Y8APBU4Q9NgOoJYp4+awFsXrqIn7glKXztygwDXzpo+kBvNig6IJZ1rLltRme
oswBH4BaFVunLtmnLgvQeWwV1k/0EXjphL64EHCKQAzJ3EdQzV5s0b06P1fWM/EqgiCiOVYa+zq2
TbvNrRmV0SQThIt6ZH+1QdyxRaXzztWC4Egsao2CYtxoqk60MtuqfcZuQIiIYY3kKCr/UJTAMapQ
eaBrOO+WX+27bzop6OsuTSy9Zx4LdWsljcVvhdaJHk4rFOFMfs7rYbD/BBvF3PaeBuYJdwWKreCs
LF6T6+p5IVFXO5wL1VJQi8BNyCXKqx6/WV6SU6PWT1Ey49HNjFfLDINfc9WuStZ2P7q5xma2CcMX
1JWNKIl2o30xdN25sFBLi2pM6yvoMF5B2Rz8SsAIoEwVONsivcJvEbAj2miylWD+5Cd9kgOUZheT
1MRxH+BSI8AzrozU2bS8naDmA8vS+KyiT2VuB22V1zhsTVDJqXfIT9JfhP4GXFSVlSbY73pU4T1b
2rtVb5mbdOoiH+lM/JhavJdugFuIlrjCGE9jroHPeyxBBDOOYGYQOyRau1UMKh3LAIpejYZp3ums
BdPKLKb6aw/Wsoc5AZn4VT4uwb/kI/5SpatFrwbABhfHmE5tzpA349BcodNh81WDe5iWpHV/X5KW
uuP/gy9FlsbkSxhgIPx5NWYk2nE+kb2WY/CN2E3z3M29pG3Tlw4YQHsAlhnrzgLAGwpKAYAOgtSy
w07fBG/Zqeh7+1zj0MonftMMvyLHCJSvWdKi9kdLwgeKHcXONzIYYguo+zG7xAYSh4W3z5yBRoBa
hcts0jynU4uzBQDwTyjpfxSdxhOwURStiXZkptgKmnSX7ksVBOqhiMJbdxYBxEOvE1DRxRavcO1A
lJTGzim2O/tURRnuS7Ma46g0ZZ9IZgCo8DTPGe5nk+JcXDQuJE1t2W+abWcPhOEPepd1rozWkd4x
JKz/VS5FZDEDj4zsSzMDYDAh6uRNeBPDsqp+haQBGo+pc4PaMhJjWo36UOypU4PaN2S7xn0jRwbj
pWLF/sPmDvITLSTXqCSr56x+uBxJVYVj+lGiK+uoSO1PacM0sAxXzg/A6q/pFMEFHADaDKfvSMMC
2ktL3GeTpfEWWOAxiniT+Vh2zsXd1VTNy4B5/wouRWBwbVU2Nw+BXWWeWrEJLSaogpVpWJqZbotS
SnQG47VEQFPR3gSQhIe2s4Yz7UPiPqzwvA1QdMyhrBQnDvZ42j1R53pdO9GmN4GWR33tDDAexyzX
APTG2+IZb25vp1VbB/onsjf1BUjhVtwfyEC6kzYBi1va5Z4ARSQoRImMSMCJUkbLynBdr1Zbc3Wn
MDS0rlUDIADLBNsXkFaKYeBLKVPaSVsPBToXyUQqpEc+t7cBUjfI/Tlo1MT0c3yN0O6Jk2gBTxwY
vLIyBT6FY4OUVqRVKN0iNZSCUbMIdzoSLjmeLaBxQVZSFuJJc8rMdIC09XOwH23Qza9vCuycRb5D
nudkzMy9alAWkTOhcxs8qMdzYiYitSLPc+6CkKKsGVAyo7YBEWZwGMMk/BwXVvHaLzta9FwCoKBN
gEKAZxLh8PAvK46ME60qI1OwVUf9FC1DJViwiQCjGy1TECJtWo1VAF7TlVcjGtsHJ9RQ58Ljolt1
PGozaIRoOY9p+sQ/Btn+9jEabQg/V6zFwzMen0k/lude2bZzNW1da/6sZjHKTpzFCauXPi1WUZ6V
+yEbUhSUkEqPA2Sey2XOVraBiuygLQBFxYVBPFVHmplzUR3DJp2BYcgDKwhscFnGUAK8IkMRYgRL
00OWWjjpsozUl63e1N99t7xv/yYbIaRG8TsfgA2E4Hr/d1jhAhzz3gf25GRYYNK21c3EqY/McB0w
ELzSQsW5A2qVbQW/X+jSLDEekPJxkW/F8t2+0KPyUxi45ieWA8Nmwq3yIeWMfPnVnrQks2/jJwMa
Qtscz5ymM8C2pLj9WjTn5lMXbBYVX0rq6BNdvPTQF+vGxktYB8yzizntqEUbIFeFk54Dm0ctNmYL
Zg4CdCdoeAC6NLsOzVWeRHof+buiEaQfK8hjdnEblLDwMhQpCGpeIs/fXYMUSICxvIiAclcJYmPV
qvsnJOsFlfF15aIReKUDJt23iIzYTgoA8ROV8Jzh+Wg0fXbDMSyMJOcwuhxGwT6cRtkpajp9d8Ns
/JGd2pcBkO0Iu4a1L6Any9YzU5KXDLUOL26apngLMXsgWrzLgu9qD1pLEuhuZO2dHPA9ZE4y23La
9R/joPCz8pUyTdYoj7DQDZsOOdJhfEC5YeklykNroSwxy1DJ48Z5fiALaSaXpCW7m1B1mRcJcDIR
UNVFKKB5WEjuUHgyTwrTtH26KBkmc3g1IAFZCQcESRZr2Qsb0tJ1c2xm0K2XquvUVIZ1tETLW6q4
q26s879bZwh9vL6nT4XRZgeywFHS8tYpILPgFoqzgDZvUZKnABx9/9Xi96tQjIFfZXScbgNq6WKt
2BsG4thTYw9gnHMmuzsrCYv2ZWGdh0lR2MoAVuG57HHyMbi2690YkqadytZnYTOu7Qbcbnj2j/1Z
+NTB52JCPwlFJfkMIFmUitsbtJ++X5Ns1WWI9nbsnDV+NSEKquno9Gg/Tka3QuUSgCepI4SWVp1f
liF2r3vAER9RwFaeQ5CZ4YYUBV69lOyUjIEhhjgrfw61aW1JVOO/csapILQV6BmPVo03ISmTbgay
pOu0NUOfjKWCZiQz7Pqn406XyI2juThEHkZPHar5QEPRRJniy3UNcJFthmpPKboxAbQL0slSBWSR
YYUDI2NblHqF0gIrAEEyZqiUup2FQOESMrSvY8ac+qnoC8f6jnOiZY3334KfISxvBSpDxGz+QCbt
wKq+Rq/i9uaMIGO9tZkMxvG1wfCKXr/CayYr3yy4Jx5YNV8GdUo7sUxAufcQpQM2vrAgs8waQWZB
UxJKt5afc3u0vokwLe0+REp0NpVXVUWLIZ2VimPTxhjStVJPDrL076etdHaKjAk7FPaylfKhxUmD
pyJKoeBDiWNYCjBs0Dw3+KxBNW01xGgL1ArU2dI6rYAd2hjLjlYkFybo/2v29RhsVOCJnXQboBSr
hbuRTVzgFFfvarwHcxnZqGRDa1DAvoRAGvNd0F74lWIiDwN6N/Zox+UeGEcoXSAZejX1YzayTV+k
MFHtzHyMWR9tUdkJ9kopTHF460dliVYsckRBIdps5lwEm5CTOmWt6TwC3f+vwemWv+JKx/4dGKeP
U9dXJ/Rwo2uPK5geoH8oz77kyaLt9FzTN7hfmm/NANA1bqAoUboeDYvtY5DPvnSLIiK6ywxwWhAX
PA7Ire1DayyRI27S5a0HJIlPBZqyXpNmDmvrNWkFWZN8XzAc1HQoS9T78kWCItBSaj8qEaWoI9D2
gOMBzGt+VmXQ4VTDp7QGLyuajqLyONEZF5KgOM+q6gRdMriksCYhWqXxlqYFKIoykFKtUY3DwChg
F85nZofV16a2TSAylPGKlsB/SACgNJU7WpZZnXn9FJdnWiJEmxvhF10fUBU+BZ+B7ZUdL6eYOE8x
vYFDZaDID8UIWQL+d0LOiNQJKI6Vshlm/JHBrD5hJwCsjHoM00fVQPsOF9FADuSvpo27I5nhhq9p
FWs7WXRJs84JLN8pgNMkFai362uxrrtkOaJEIR8BWLqRJjSzEsvyjXyOV+XSBcAhrFJx1mPxUjDG
BzrmUVErvAUdSAbmH2c8NfwkyKJyL1oPoOLlxDyZR34kk84kkxGkguzklZQex1sqUEjQLjm0+1wZ
QrveLJqubLJBTQ80jIPLuV31rWk6IOa7ypPrTJpJLc3uTD6yc/omPdAlSHu9jhSNY/jr8pdGP7a+
wV4dNVtASawPNES8/lIBZqRY/lGGM9L6kDh6vYoiwFbIAKQItR7HWySkNc3sSv0GkohlY1HmGwnY
HhcZqwDgTeijGZ3egAtf36hoKhz6K3mQDjx3gCESNkLJj96aAbUEOqeGzGcLVAbXZdck2j6cdbSg
Lh04FvnyTiuX5CuNpS+OIPRPY/C9wkb1kHKQLF1FgZ0n18zUI/T1oBOIZFIhDNEAdHGU6o7gs+Sa
4sqlmNXAXHLisBsKywdKng7GP77pw5MMO0++zcz5hpNmFiATk82dhpYK7SGlZd+Wr7YR25ubYB1t
a41JPdeupW2pgozqxmgmlrLsrIpcL9HyaH9vwivNqtaJFVF0JirT7oJdne8r1u7XFBxIOSiDkyFK
oByUGfZphumsxj5LT+kMrFEA1tfoiK/bHhjlEfD6tbZ4UgM0AFh5fCQRDcizZhulbl00X6FVkWPM
zdjP4h+8ADCQL03FWuFloP6SoPXvgOx1xtHwtDeAhyeofUyrJ9RaZE94sqUeKVpDS1aDpRaHrg7z
L32Yr5Fi0+7jjqGFfGodroslKsFN66XKMPj0e6OfB/3o2qKxdo7bb+7kkxXiZ/rH36X4vX3026WA
XQIUDP6bnpfJBOJpOCifFhMnOq4SafsFRbe5V5u1tqfBnBcN3RpMuwhpTRohpLUx5dBLFenvI30o
JB+6cBGZywYpxBd52Q89PhTefIr/hztgGao1SxQFqBTYCVhA3txFVth9Bkn942DG8Q9UdAQ4ySiG
R9cuk9NoRopPikKJ19iZ99/IU0Ox1i6YO+FZpcvLOKI/DQSX6pENs1MisQQ+RGC5O6ssVrGrAutD
75HQHDX7D3rFybUjCGywpyVXFUTxPjlZBnv3F/HtpHRWUt+yBGURrQ1EfH5nokHcVoIm/9wgaYnD
CI7XRxpxK5K3GavHOaRQ3dyL6FZF9g5ioMzT3MjgH7sIb+l4Y8VjdPxzyMtStBuTYkDNspVUITYs
jrlPlsXci1mdWWJGSylDVVoBVCBunekF3iLiERTpYZA0lxDcUZ3aivnSU7qnCtJUwn3kMT6yuQlO
H0j4JDzwjfuQp0Dz1BMdHNOoXAEAXoqKZjlFbWUFIPffVbRuOb5iq0fI96h6tpms2d5JBfm5wIFO
kVngQIz2AkOaimuQAa3JCcQ7IbDYcOQir3jjLoXkUgHXAYCzYRFv8Ev/6RJr3gAoQyS20lbw590/
cTtegvZnfj1hHszGJUbPH9VASi4Dn6ZECtjRmqagRFiAZ8/tx7YA4iqp6FlP9iIe8QmqgBtd64MN
goUCZS7zgJNLb6TRaFJ7T4NYCx0JWrxz+CZemHxaAtClKzyadkiEFdjnIZaY3hjc6Eh6fxkSDg0o
l/wQjx7QqKB7Nkqq/uCimWpdMbQ8J3w5B0p3mAvAqTyIKV+ToebYQPJn3WTsLRQSxErKjmRijE1+
sU5KVFh5k+n+nLG1xmuPgYoW8s5IQ/YlUBIr4OMgsOW4YYCs/ftHEKHIgfT0kYQRrUljtkm1w8v6
qWyxSR1n97hQ/wswMp2HztXfagCzPNJg8h6FOgcIXJSn+vpGxk2u/lI+LYm9u+wysSnrPZH0zYBO
dMqGnyLl23NkBcofNwy1G4AZiUHczJPD+VC0m7BVlIufhXKuk6P8zVDth+fU/KMsy+6YWdNlSK4z
kpEWLWbmgwswTSlKAaN640VmUgbetwJA0yGAMHi4doz0zutpFHMSI7G0+ODuSlbS89+mINX9gZN4
ZSM/KJlrba+hYEbGj0ugxC34LpBaWt+Y0DSsAMWNwtiNvKo0vpMhIflrdvktdzL0jZE5v0Surlia
WyA2ystJcLar8T1+m7QTYaYKbw16EPwihZqUqPahqUEpRYp4DUYKGYFmdAHhd7WTn0PmH29CD/ya
/F9yc41sbADfTI7kc411d7kP//FkfP1HkMcN8h2tRYY0LUYUE+RsiebCQx/6j35On5F+67dAQ30/
H1M0QBzKk7J/nZyhn/5yksa980nvt3cu5CxlOKx49yDNTcQREVIeQbrcfxKxpmj3qmKOxaeXn3a+
ng9K2c3178PwfwH6GksvU4EkkkzLd1VJog0zS3tPg6rZuD3SVL8Kabk0BW7C0jJITKx78AsUngsm
QOGvuYq1FyoypTXNyEaYp7Eurgu6mfeYN+HFNK10dTsmNnZzAKGqShBtcqBaBsKoQ+3ipJsQa0lm
csUNgm2vmN+1tBq3Emb2DsWWFBHwGNdd63JOkGsAgUcrLxUMCmrkwmXwyIfikNZSy8jrFRVd/uh+
3c9giD/QrLFtZU9DaBYodWqzN1oJZY7zQwAhvXvcaLhbdfWVoUhmzbVSeNIPXbqu6cur5EEsrmI5
A+q6teGp581dAOZ6VRQbMK28o4t6u4T82uD1v2Wo2MCLCznf+CHoiIS6CCrlQK6ftmPuPlJamwbX
BgUFMsHx6oZ4UHITNlbFj3w46SBZ5toQryTXYDh2ZSo8heXc5ijZBxsT6sc/YCCUnkINOIrL1S/u
aHU/iqC5q1ogFWdAY9DxZIzDJP8bnOBD0Lc/AqXucC7ClGNsJsm5dXneJp+DT6rCbjpc1TL5NRRF
tKFW17tW1jvZh+2udzYUgQedeFAZDwgE6a6x5ycGTqIXLUu052TeiAULyxezV4AfUfHW+bEtX0jR
q5XrGyMQamlJCnDIPehjlZ817qVkJahGhvxx4SsSJXhJ3USodEQ11XugMAJ4posv8p4ClaqhPjvs
z1c3YrSKozOsXslO/Qpf1r1boK28zQESXoBUs/lgTmaOPXnU/f8nWwoLmjwRkTr/E44EIIACBB7A
7fx303vQgBv8AGtUwLGU47iUzlLyCe8WzFih/RK82eLI5kbToP6b5w/RNZ3tqtx+6FNnOdCwOMWA
6n93XgDqmaoKKlBWWRUVlxUphA2ZDw0a1ZK6tP0WzVV+mhdzJaIZbqBUm6ECiAgahxl+GICTw22o
jA9huMzrKo9i9Jv3xUUo9FOkRAdeHVICMB1gWKi/nS2fpORKs4+9zMi8RBWhyD/JcFgDKhz0jJqt
5RHfIvpBigfbBiqb7obGZ5cvZ6AU+8TU2Nph8YD/RCw5jSNp5fIj37tQLo9Mvmo8XS4kl3QheV3p
24OpAvtW7U0NqnXBYvD91EBUObiZHR5sPtDsTlYmOU7n7tRzmkYH/P8DZpB8cjICfYa148HvrD+6
AFC6hg1j+je0duEUy8mCA816a9H9scFD9k4RcBj9/y0bBqb7tjpefKWx9P2jjK7bBg1Dr9r7hchY
08zAd5S88lEThN5OFOQG+0VOY1QGX6SjWaJ2nDPdsgnJHB9p799MhRdJhYGVzzj2yvWG2TG+OQV+
9vgv3Gt8cLL+MgBmEFlFuaaZyjcSUnZvQyEomLQhWW25Z63J0u2d/CPb/y2Tn1Laicum9kvdN2iE
i0y2t3Bui30Qnw75yPY0a/mSZjfqhfU/nQkYuncmtCTfAfxHN1Gk7I8md6FcVY8L9Cm/X/2/+tGV
okaPAfCj+spkRQcaUBSL+4hcB/MUHdRswh2FhPGUxMISyWT8/m+c4trgNya8Fq8jhh0nktsRivi5
MKnsMNpYKAxY98GUeE3fT0caLEAsHIOITUe0BCnItOxIQjoSyyXJqqsnkFTQCIti3A3JQKSU954M
Jy+R1MCSbdAR6VFAeVl5EQ19sL0XD438BCIeSDuLVYq+aNwMMyVPwennck4mXqmnOgOaEZZ4OTU5
WlB7XrN3o+5ms0APWV/UK8UBoCF6vcbPYYYCH54AtMwK6UUN6BcT+Ay/BnOCfoq6q9ekXfDy5OtM
T/ekLZTkUzcx44liNDrIF3iMpQTZSIJDx42utUOG2z9/BNluDeapdkAKkz+haGj4rEmYXXyRQtBe
rmr0pj+4uT6Wzz1/LI1Ium3nLjrfvLnR69XltUzTfg6NiyNGIwVNL2lu3r5oWsBm4jY3L4Q35nEw
C7V8hyS3GxPxTgo7upS8CAo20XHED6For0QDbakkoAjJHNW+BSYhmTmAgr0Ax4Evff9oLAMkArUE
h8gecvHOqnZCa08DaAVwkmmGIFSgtWtUF03QAQncMcrDnRwVGDjHlBHu1LSkeDIUycSVpB+p5YXv
wqh0lTubSlfQPZoWOPfCp6yCDL+cBI/+IFm26lyru7G3O6C1VFVziLu5OYR8oKUcSDZLQ2lDLnYK
jCTkDGtPKsiZlmQiY/3n6/FPaLezupOhZBSaDSNQe5Siev/8dDntATljcLotvq1b9u6O0hL9f+C+
JB5NGu7UH8kSq/7iLPa4+d+2H7lKmeDcpDWoRV9B4JE+1Bw6HKU3MSrVwK5MA5WC3ymoeJzoWA02
pquo0+O1oD4kFxLKMGRILndhJG8rKRyGAuEZSPZ7B2hXgJLMOvcoB61v0FQYZJyn7l2hhAqQ+2gd
F+qMmk3tyUDf5sUZtRPuUe2Ydln3yQ8NmPOHGxGZyIDDYEc4TgTiagx2tpur34SiD2KOKLK4c0YP
Y+9Vadat8b/SH6xpAvBiWM7dYbHQSMrr8bqNVoZ/MdLEZQ8IHmEl5kLe4KzxgKrJ5wjJqW1SKXrl
kYyigpTLcX2aCsMxdl1fWJnoMMMHd79LNV0+cNCnAXwB056+TvmQrYErMR4H1RxQcjbi6J/Wdh8A
aQ0p0sFqx6M7grDb4zzAR9LerLWlTZCf6hk46BCC1CLOjVFvGy562TNrFS1geTS6ck/vP/QKRS9Z
ckmzj2TcFf1ut65/tJWwbWQCDCk/awCadieX/vRJCmU5FSVoCFR+KEFDmDg4dqCpYo8APM/RGcC1
SJLUh4oOJWjd0BREGDXyFfyo4t6d1qSf8u68nQr8PWOjDvZ3ECcCx+QKe1Jl7nIBN+n1GUBK0rwM
DGx9KcadEy1pUOP0rIPqbiucyVj4yThG9KqVMdD4Q8VG+TkGmqEZ4jIjWQFUWKQ+mAb2sfQfaRYn
FfpApTHN7oXSXBpK2b012URu4eylNc3IxeQf4QlppwJlST16ucHoiIfHGKKxDnWGBmr43udI9pBO
MTJIzWW+rElo8KWUCRvSkFCsIyAzorqQ/KUuRAOmN5SjIy4tjCge2dw6AcGx37sOUtQNUnxOjxYZ
FuD8DPuZvUJHZzSt+XFbwQ/jaEmzjC/vZIHtqp6hl4A959rOyhGMnP+3n4wlA0q3Sbd7UDigxX5G
IWfg+rnD3H3Jh2EGr71/PwUrg7ufzAg8l3xGapoFamEUngZ00d0wdzuxFNaWhgOcO58bfV6DBlZc
SMScgIxxqX2yoo2CbtUXVw3NXTQbilfWqfZCssTF5iVAWntPsljNsnOZjwdS0hA4g7mqqikWQUiG
E0IfOOXDE/AqtJfMGdnORH2wN7TpkvtthNfAFFjFnjJ26Oa0LaABNs4/aVtGR4VN0dHlAyqEsxZ2
EN6vtSF5HMcm3kmXSlrLEKSmAZtbcA7hIsKOTGToSAfYWsPyB9lbKVstbWDW7uwuPFJT5Ye9yLJx
WTZiUii3A9sSEp77lIPr6SWISj2aVhxnL5zsclOBSNMD0j5AH0bUnZxIQwMZSps7RaRVCFb0n1Wj
atFlEdZVcGJD/jk3LXcXxVkE0uohOjt8oJnSt44fo0935YLt/ixNaAb6HLbVQQ3pkbHUUgC9CsAg
oB1JbJl1DixVHli4GuX9VUlOlwE7tuNHbqCuDNZ1vqlljT93DcNhl+toqKgudEDjpj8HfTS3BV+R
nAa5LEDGPduF0EkxWWkpsC/RVP5FyimqDIGuknYFnJLAlzKaSTv+EUbAw21JTkNqhtU2tQHtHeBx
0q+W2Tip5Vg8jIHTz/tomsHdEeL0SXLqOIONI4nR1E5Dy4qHaOjHeT+aOEMgQ5TuN+Z5hrrj6gyl
A+lWbwxQwtpJ4FMPsuZaWxegrA+0km3JNJucDL381JJMa7UAAKLeXowD/FA77yO/340nK2+P0qyo
6+YB5BDbMK+ArJmiUgvvBKjOprV5nZEsd+rPTV86G1LSQHJppjY6Aki1ymu55XJ2cDZlWkmx0gID
7YEDToKBr5KcNNS3gvtyRDU8rUO7T0/agH7fuAHfurShGdDjQMztJuPoaWH6FDPD3N0raN2n4XQ0
+x2FJ6+7SLR0wfa4BZLRtw8/BZlkC9qW57HV/JsA9AHkOsM+BGRVLZqE+T/JXXA2L/410iZEY8pc
F6gA5SY0iH8HTbs+jPdVnorPe6OVHz0oAxxhd+rk0YclG6mVsrv/O/r//D/Kvqw5bpzn+hepilop
3va+27Gz+kaVycxo33f9+vcQ6phKP8l89d2wSACE5Ha3RILAOfPnu7DBZxeA3WH+7Bb3MX++8rMb
jYOBldGYsy3qd5LvDvAWgETU+B96wMAeUldD0eholsAx8ZONFhja10oLn4w+8P5JjGYf/jrJ6q2X
xLO/z/FrGcR2ra7a6nwE1bccUvR6EeOOKRxOqnkOxbzncDdFrucgOOlmqeAFkH2FjmxqGRlf6Hlv
NcAjG9OZEVhRSAKbO1vjgGrazpUhqQAYBNFJKo3i0fZJrTRkSBOVTa0BdIE8lsgaP9ZAzz+6WmVf
EwT/ro7sdaN4tUEdfyARNUhhvVtEpdcdQfp9I1NSPkxPKqDzTU5Qb5X2wTiONkCzqefLPUxvcqBb
cpO5qz9Ob3CDSMnjB3Kr5lMv+HmDeZJtUGc/aOl2CrKvuQRRUE8X9bBSMnoA9QF42oupQxalRHpx
bRuZAtR9eD4pwwdfdCUl07tpW4cALg446y4AZ+0v1NPEhP1V7vbVRgc+15qEQNTvLq5sqDfbqLHg
r4wjX8AKnB51mtIhHlnYv5G1nZk7gACkJwXTtIBtSoF7cijM6JVwmajpCdRJjbUqqpVJRfCFpOXt
hLc6eWh58jp7Jc3CqAO1yqGHmi5PqFELLVm/3wOZzG5q7Xhf8QE4x9qofMGHrD9S4CQzBzR3OOw6
zf/6R9tFSiLZLMaUaTiPRWy4O7szPmOXaG7TUQB1GUlNObhmLHZ5wFEhmyQMgM8rtV2PrLmWc2tO
eaMUt8cUtDnlbU5Hi4GifRIAF6EUNbJcpMVRXpvSYEMP6i0Rm0DlAnQaKJOwP5v3Yv+9X1N7OC37
MU6AeH7YTNEGqx0S7OoePM3u1f7sj/ux3+3RlIymFWPKEEHKnxzhn4mdbias8yJDrMBpDBg+SX5H
TSCqGCUa8Rm1JID9a/TuipqQS9i59a0DDSOoc6puE/slSvXxC2xunWwqDWj32LVEeyWbbXSNnVGF
3J9C1NPeyA2ZjEAigkMQKkG8cBfnVXTyWHEjK+WNevmIdybKS0aE43E/i7lIqb7fGt0PWauLodIR
yHm8jvfzlcim5gC4ilkFlnIGhaRp66IuBZBE392iDFhxHmhuSNyOEdBXfH1Fw4hZONVGfG4/RMV9
UoKT5XXIJ7HyCIdVQqpST0isVS4b6v1RZpZTjdcbatWUscVCFFCoeTXOeI9V72wprDs0rATK2nvQ
mXr5r8NFeHiO/ZK+s7zp0E3N7Gdho8LFDyHkqtJ9sX0IHNOQpsy+F45oet6VYq+P8TGpplI/jJ4x
HXK9BQHRe6y75nqh/0M+qAkNwZ1v1O2DrFhMKugOtAJf1nKwIhTjpFbTHUFI9OznGT+ATwOr7alC
bdA4lBHYteQamwOz6epJusvWHJ7NpOMHn1bbboP6HrtvAOaN7Aj79kc/gjwAB3o1DcAhy/UKT3qF
kl0DgnkXN260WmhmiO3Y9K6lx8dD1uZDtiFsbjWxlTE9LM+m1f3PsZJPBEVFTVcDTFz4+hpnxsAP
czwjWNd5U7bxxfOS10jkzTPOnbZ+g53Q6LPmGeGW5jmugQCv4axsk7goGgXqWQTAcmQO0gTQN+D3
Loq4XBltYB5ISA0YfOqD7iK5U8mo12uoq+gG46rkeHGYG9a53qbv2/pcRNnFiwGhseFx4QKKW+Nz
k7sGyLPSaB6Jd+WDGU1AmlkP/sr3uWUMDvHAq92tkqVx6IF7Str8zgWSlLtDCbjwttURNZ13u1YX
r1WcqSjc6JAnHvAcVJiK1MpGxaIolDRbknAxngNcaubvA14/r4IAmGWyX6/8Myi2sAGuj7m+10Hh
u9ziBQh4OitNx5OByK3hRsCkI1nb2vGl8Pt78yCzWzGcBtT06BqPEGylwqoxBDOPkRXfzDhyB5BK
okzRQyyXO1lobLg1RDfDd6ObHbFNiY3JWYmsQGsZgAzSHxlw/A7dMHUMKXKYQU3r1vU684Nyu/Sl
D9MWBHHA+KDZZInlRHQTdjwehJV+Q3a6WNwIKR8vynE3VdXtKx4hwUeC6lKDIvN2M2ZGtV3IBJbw
oHP/qETUa9vmhJjBCFrZeFxMH8q+QlH3u0xOH8BDAs5RkLDMU+vyNJagoCUzmt8G4fLKpKh+Ti3C
oFx5sSj2MzZKmXlyU9oVW+Dq4hDFEXqM+ka92FZZARjNtsf5Ca+8blPEbrzOwzjeDi2ALuuqBOyl
7Klhl7bVeTTB/PqrnIYp6mgHFE35yexFiyOsi0hVgq+H+3qJqEwfPLkOgJZd3OeWhkHBgyfqDRli
GhHvQUEpZb6fptYKgLTj1YzK1YDMbkCISQ/UFEP54ltDeKLRbIz41dI1acgXql3tfQ7wwdnB7Ovd
9TxZ3YjV5gvXs7G668WN/Pcdk0OjazexhcDgXAisO4DXSB3jLyr3pbJgVf1bJ6IkZe2O2NMpE5qV
Y5aqNV64AyfVX6r++DfuyJGaWqSowq48ZPCBE+Y8hnktydg7VJEGcQ/Kynpck0Y1THfb4dnSguTs
aNkEsDpprid1G+5IyiLwBJn4ioM9m71MOALfTUmg4b+HTB5vYtZJsxukgYhWWCdEwK0TCZ0OlJlg
OoL+t0JXah7USqYU5Ha+AgmVjXKrZHRnwApGjtG7//+4vQk1FQc3KFAYnWoXABJZH4Ny4ifAtOkb
xv3xDemD18gPrI9l6t7lVdKNb9K+HZu73A0bHTB1kP9qT3Jw9fzW/t1/Lf2o6/7GP93Pu1zdD/n3
bJQA2hqwYbuT7f94YJywgPgNZoAWa4uhDLIVqZXNzD0xGy37ZKFmzQYPc9VQ+aPe7Cgcnf+5Jqnd
LsGbtG0/gGi5206R7e6R6dB9KUH3uTLsdrjRELyJY9p8icHyfZs0FG0l+Au/ZBOSVSw/bbZklBgG
eOOyyAMXMrTcDU+gCTHApweuUKvTj2QVgRj7jMzubi0StwWcZ9ZtXX0AooWcVNha9Mt1cdrQPvl9
9KRQYRNCYdRLnLJ1RftVAcISP2NLAVHF4UhqMg7d6utSS256Gfkka2reDelygJM456ED7lTkHK9r
O02ehib2L6g715AN5PK3LptWNSGsSItsAtdxkYbGsQFt4VGDZtvjFPgtmxp8UDLr5le5UdaP8hEB
iUNfCXdtYUEJ9HegKa8RyEC80wDmPI+BzThrMo5DEyyvgcMMmS0b6nU8c3bAtGMrkjnkhiajGP4H
kpimQxRmcE3WZgOAtKRpTv/j3rfxlLeacPvgn4Y1Dv/sYch27hDKOrCfyAiEekAYCZ5m12s9t+It
DZWCjLPISC5pDdZhiZ0QSthPZUG9ogaGG81/UJBxlkbJJQvFSjl/cOL7+GcAxWV5/bEEb02iiWhn
jUhVBSIe1uTCjl6o8XokNLhFWu7GcohnGbKMPllJk1zIwkFI7zlAMqyaBNS29KhLRyj2u0/yRwDy
mD3icIZWr0KkER3pKU/Pc+pNvoPnu3r00+P9wUbJSKGGyg3J7Hp5DWWrzNw4swBu0HQoozU1ZPTE
OFw2V4isH3leFmevHfktHTL3Rr3WZf4WcVGcP/iC3zTN5TfqtSlLr76pr7DUcdwNGUc9spQ1DaB8
wuxQ2u0AX+6QlOU/WhbiGsr1+9XIlSAtXSlvMw0HtIS60LMmucYoQHnOCvZjTPrxKzhTst1gt+M+
asPxaxHJal+ve3m3ioSQ5OLYqP/JyvWMHzSZfE3vvlJ/eAJZSfeimSgPl1d8sOrlDQDj8skeaxDF
Zw3YJkWrn01UWZ+pNwHk1AZ45OlBbksLreCSG8jJ0S77Aya1Wn2f9L965Z68KtfjFMwTZ29K62t5
v79/hhYQ1Q7gmRXANUfa/XoMR3Pd8lSbhnWWOuxgM8/7Vk7O9wYASZ/MdgRyZubH57QLEYvRjWIz
JXX0Vk3dPs9N52+sZGbT3K/vpgkgVG+g/yg2wA+M3pqfpr969XMzwkrdQr6L+xmkCvw5ALFApudI
A2IOuOSKMcnWTYUSfuQf8mdqeF5lO4T3+JpmkKzR/P7k1vxNiUJ9CJ4RcGJGhkKdssj5s+M2QDYB
99QAUHZtVVdBtvZxZL83wjTem6lrrxLTY9fUzvVrqjN2jbr2PLiZOJKIlKrxake/aNknslRiZYrj
y/LQGPHXovWmcfat7MBEooHYFNA1yoGaS3a9xtjKEn2yi+R9qbnUI2N1h/J+63Fk9wvR3ZX8Y5QZ
5ules+kIYRzVz75I+EukA2JIPWd+93RQsge7Qi5clUw9gB5kqPJ7vA7ZGo63x4GQ5AXUWsM+aum4
cjM+AHx58kGFojPzKmWNTHirZKPkMZ4qNCI5Wbzbk6ggsNQCCUDrqg4Bizl5AdD4ywBJQwy9ONMv
OV5Sjq/jaHqWSS3ZZbp4zs24PZIcq5T7LBragTOu2w6F7Y8+5XyRYtdXZjxdLS727niQl01xWXVB
7NC04x3NaAALL94/YXR2vere1MCoDHY0Jk0M7L4MGfItyR1pN/kZcw9kAsxMPdiBkeY+Ow+K6aQB
pBmYkSG4HV3jk2PmT0HrhM+d1RmfkIj5RLpa6izoxrZbWGYoearsLv2e6NVOeL3/jRehte3D3D5p
Xj09x2GAgkEqk0JaBhbQAnQZobfN7Lr6YLM02ntd1q3TrOvwcGLNL+PBBP1KX1lb2wMWUKe1dx5m
HoT1JSwKwGmTUDE0JxXINkYch6zIhrQsqxEZAC7Cqu1a76yhKObs2oBNB34r29JQKYw00GaTP8rU
3BzQF5vJ6rtD4PXxYRLBcKGeP1TDJZIy6uV1ce8prZL9tx1pB+k5Qh3FLrGxZFQ7z6H/kZR+eJ1F
aoMJ+RiX4XWxPZWQuLS/hA6gKO26qxlQt7BYPPkDcOO4Z/5ViRppPyTjpUA+kdSyht17pechvYiE
i66BVA/kckmrUTbKXslmx3QdVup//c757Ab5pO02Z2G4ypDHhWQuuRmNy9Q+YddknwajY+6Wxg4H
WOCaumREehoC991iB+payLgs41I7tMATu08k64X3Rdeuh86/IFG/P8VLeKMHTCMaZine5zYq/zY0
VI3CPvr/khFUC4G58CFZelYK5e+/ZR3hxpA1OaSeVxVLr0pBvsiEx6tc/u1hgeJ0XzZI3vAAa4ry
AKCv++iSKh5C3VxTF5C7WroC8JN5mruPBk4ftUgUG3BOLh3O6v+XV7ogmZJnNXz0TmOuIyGuwn95
I3Rt0NYALcfJBxcA7rHt0v3u9eaEnHWfnTVugcoQiC7npksz1GLYILtauVLP9OE+yZgyr9hxIylP
KdiWnTgzJ+RWpxGq+Zxmr7s4T9hXzhgePXd6mYcRb7APkTY9svwRIMMwkA31QEHMrzQj840XMxct
SlreHQKdF8jgWp1Ne83s3ooAJA+xzDgMKg2btNQt8EKJimZtGLoJJHKp6iPLO5GlMieZgQLEbJVJ
H3NXmS9UNCnpewtp29ITwOrkpciWdI9jz/WOptO3p7To9dvkJPqttYLPuguE77Dm7KbkNfA3YDu8
kBXJkSXCjBVWkB5wT5CjpozJRqsBiO+Eb4lA8RbKFXGF1jEF6EXw6yXvZDYESEoErZW78wDKfzYa
C5Q8rAI95TSWkvUIYGBhJEqkCm7Sqkpf4yA0X80Sayi3B4YP6x3zlWV9fTJzAHA2U+mWwP7nK7M0
jQ9kjKd/sOnDCEBtQB19bXjbn1Owsq1IS01Ss92UY4vBpYUZCh1nnA1wF+TFAmAmX1Cq9F3ZM7+9
ADlP3Mij59n1VmSat52ddZF2nRL3w6ADm3WKdgzAGZ/GxvZOLEw9kGr9HI6/DklL4GZkzP3SQ8Ys
sM7U3BQ8SpcszoxziGX4Cgnm1cwfqyWJv+uG0dwSYWwYt/hZtoBPpCFCPv4HswREq+SanUVlfAC9
/PAc1n738XfeRsMCiH8FuuMJub0EdWlOhnWZImSnjoF3S+Lau9UxA+nDUDU/aqCaHkbD7MQGiOv2
Fsig9Xoel6Vvq3mRbtjrAviYu9HMg9fe7sH5mJnPNAotsCf4A7iPorFIkW/u92sxBrdC7h91xwYi
JgGLgL345BvaMwgfgcFJ4CPUMCc/hSiGOjsCOQSbqjWSDUsB2DUOWQ9CC7NLTmKL3L0rgT0ROBM1
WPOzixqS1qgQGQlK67aAf1ogORHcU2tFs42a++BKB0vpOhFZulH5JnPOyGCgfjOvQGuvUk1s3gNq
fE444WFxKX9Qf84seUhLmTNS+rE08Hysmw1qUfEY8yyvvLrZbh5RNCRvkD8YohZ7g1gYuAzmcAzg
rVfCBs41nf2bvQ+qHq8/04gSBdpwSJ81MbqIO9vVnCdACiMyg4uN3BeywP8SsG1t0Ll4qwT1noRk
9+4TWAnIJ+idcVrhdvl2sU+Vu2fOzD0zSvfwIP/jtpfsFlveujL2wDIdfjL4pCO2QIKlH+vUtl7L
dk2DuWn8aBW1doSgXZB9tKx+3Ea+7u9IW+oJaPpGDQcWcnrh1dYrH8HUlKcfI3DEDsVgX2kb4tvt
Jc7DFFhxv2xWpDwpwIj2sFnhITBrpLwfsS7evg9p75J2yIcsOyxqy8bNbhWolne+17orW4IQc9no
2oQchJIDR6hz8C8hYWimJWi/pZDMEXECneMfffguPnutztu15or05otug1Qa61nLRnNueMpvbEq9
c9iJu6h1UnMdGFi2F6wB72fm6Nq+jz1zRdNmQ+kObFc4G+6NZiu92PnnhnNjnyMVtASNvARZqQt/
PE8Sp4R61MyaDDQTC6HFPk9Tz06PZo7wAISq+VeAWCMJYMxRdIytwA0LElBV9V39lpbGrtc8528/
rX64Yd58UqZYJX6wIzDVZRvQ1iISK1HkGehdQEIkxMaN8V1pyqB58lHkQkoSOV76vbIi64Kon/2K
wHm/Y0HJNybTeHIbBNI22t52t/1DoFkFkalHgeWRIeAvLM3dKm0Y8yvjlX5Ldad18k3ua2+lZyWH
VoSXqQ6Ms1/KsJElI0iLMXVJqBqSceAOH+wRB8hyBjWMlcY51oB6jFRJbTvTQ6D0NdhQN+j0PNgk
+EcDnUA7SugG7KXeWSd8gLNVK/BYtRt/ZmoFtn91mIGcU4FA/ii+KBo0JZfELjSiZiZFQ3rsUcoj
D1gkbOiOvt3syonly8vOd0BsF+o2Hugt3ucpuWWWNWD6dLyLJZs98dK3lDhfhZa+FgIJfqBlBDMi
6QGHhVQ6UoUWiOtHxwDnM6kWs5BBVc3ChT/lX023yTMZ/U5NivkSbai9Cd79G0jWmxVgAUDTaTVs
17vmiCTZcJqbnLlv+ND6Y5KFTbQtK22jlQwFANKCbBEvSm4F6AQMO6iBFCxADBhO1cuDo7EL2j0Y
qhAVIE8MoJGbZgqqjXIV98301NTO/VZmQxE68x2om2q4mwIKYfzeUDkUk9zQhSyXsly3PUZIV5gV
JCuCCZABZOMSX/RsTlIymKWBrMMiFQrMuoUTktldggwTvHSOSEDIT1XQg7YS1TJfJs+4Yjsw/kAt
HfAvcPzwWlZOeciswtvXwk0+Csf6mwl7/JF7zjNqO4fP+dCCagJVZqhvj+sPYFoFyLy0iM1qm6SR
9Y114CBAaFycQYhs3XA4rK/Jwq5kYVPyQwLlrnsEdcA2WjQXbIH5JrD9/s10bMBgwJeHiobVlPv2
syfK/GQMBnYfmpl+MUxrvmNHtPc7nvywOiS/3HEems5nMCDtKL1RG12QGdsgXcMv8E4s54QdyhtJ
TU0t8yCDCYZDO/3BcJ6jjGgiuaT0Sssbi03eteOGAjmKOIuGczSnkCEekNwCMXxN4pWyXZgtuuSG
xpMegfWsCuBgnmRM6Q0kD9s+CwZk9WPD4AEw28TP9UwjohSlnmqkxeiCfhs/7/skNZ1k7z6UnKaT
kmTvFsotXQqMuX8lmtfvZnAXwuIl2F0FuLuA5g1jHOm47hhvSE2GFZE/UHfhYwLPxOleLjci02ff
IhL8YlnecxQG/pU7dv2CJXpyrVv+RDoSgXq13ob6WGyDtmEJssHuE9za+lc0mniE4qTsWkrUnQFC
1ZjybO1k24/IPVogdi5ScR9Tc2msj761AUOosQoTzs/U2DnyC0Qlv2Rd7M4yUoDpFnlcyjB1Gvcc
u3YHBva6LcFeDiLp2EKyGNk8zCbZrPYyUPFweQWs/2BOlpE1iB34ibBZYImzFjHLP0bId5x7JONS
lkgZ9f7bjrRFAN60+zGYsGyxAidV2SG9k6HYhVuHeVgQbEtRAqqIYFIs6r4bkYxsqOeQdjGHQFYI
9QWgzMdY+iVDkrscOCqmM/FDlvU9sO+BqyYXnoZsHN188xiLr7T8FGDWxAYG6xtS9sUwnHKv1oHd
hsVpGLqL6Qng2Xf3hHsnM/U9JTkrBM8JdN0b1GEgUUiCdy+gOmn8W9BQZUk9ypgmP+mAPCNDmPra
9cGikxAXzvz7pO7UiWOYu0i5JsrgVvOOsRzOhvQj7JohOJQs+LxYJ2bjmrlmtlgV0mrwYflIC8fF
rEXXBbqOnWTnFhkJu4DpybqeWPENzyGUtSblR7tK0yur0nA9DWGJxFOQzIc40by4Rhh+KuJ+T/YD
uJX2AB4Hl+DP6SGyTD9O9ujsi8wa3yjIHrhmEB60IChWMbfFZxSchTJ/uAfVybXqS4bNERKGXXAl
7kCzDY7vMLa+JCjuWFUAMb39nERWvgH8jzED3UJdRqiMao0LHXvRqZbXpnwFRnpUI8kzMpL1jcG2
RaSVm/kcLUMA9xiMHmA25Skb2dgCOVwdaCRp2v1IDO6bPv7pXtpi/+jM7gWisdcBD5oCG/wXu2VI
VO8QcmCmVr8kjp8+p3mzJiWJutjJ9y53rbWR2XhijRNKUW1kXp14j/06cPn/JZL1Yaz8W5+CfQLx
a5IUiXHvxbbuy9TwBzENf+qIuH1y0r9bUwONt0yVJL7embpXMfvaRQkEFBH9eGDzVcM0HaIDMIKe
ig7s6bvRr7ahGenHMYw060Ms0cSo6bsSnCSSDgolfaBLW5CpIimZAQEAuPc5EWQTPxQJK8+GkOt2
vyFmKKUh88mdwLFGQqKXqpuEreNa0zeJAIqqhbWa2X1NG55cgGrNXmwN3DWabnx2u5G9RFKUAhth
bUwGPnUpoyY8Dqjnmfv4SrZ7H4WEa/JAc1jRfM2lU7KuB23hFJxQ6Q5f/GjLiyC6YLe6Gyne0kiI
19hnX+KAV8dEcoVSk0qCULOOkY1paAZyfWRwpnXN8OJ02a4iRlCyMZBJiEWRdS6H/gTsHJwM6aGb
Xe1wPPkgpAnW089h3o/Vh94uPmQRvuKlPHLEvzk5U0/zkAD3IHsY6pmPwoY8yzdkrOaS3YPxH/0p
u9lLl31yW6SaO0ji81qZISM/hPkvjDSv3IxhjYRV+otJNTpRe5qM4El9WjUFq7SBn7HxFKd5OGg+
6jJmQr6qaTvs5t3sQo1vytIF6tqmj65WYevq4cm7JqFWpvlFyEbNeZDRsB2e6gGPeTIlCdnjUSl9
vs8HK/JpiidRi2s4xmtv4EysQPLunRM9AKFLZZdbb0j+dqzOOZoWDphWUYx4z6jrHmIBUm1nf7Os
ip6AbtE8g3ahebaY7W8SrKMRS8SQFFxIHLQa9ZzkZHAs+9ZlSPOqenMz2Vm1ZrQxU+XMqthZ2SxK
pR+qonW8OGc/yoMqqSYZzXAKbm6cNqrWyk5dScmGHNixliX+1dw6XtFyZF7XPKxhFiugWe8w5wzo
qOpAq5syZuK++Fmsdqg7yk05eaehaugKiVpZOSnQT0fAEDruvybOSM50l2HuhCvTc/iOhnOpOHUz
WUSubKyq/5KgwnFd47/B9oYXAPoyzfOdPrGY7dn7OKbA0mTJR5shtkliooQQoNWfI8/ONxFqdY99
o2uf9Qp8qUjHrW+kNRNv1fHG/Fj5DeAoGXLQpRU26PXF0jITha8Yaq5r7MklDcnlyEV+RNWa/inr
wA3WJ+Btj3F+ifciGuZM1txDrf8JWXXh2Rk9m28mQFTNxniDBCZS1b2PU2S5e3rGpzJPnnrCB7Jf
mfmIt0qZUrT+MNQrRQRP6qmscqQf1p/LEgXcQRe/PaRTLlIuGRgUz0q90NgjirrfJys71KAj2FdZ
Hk4NEHTm1BBBAHVRrblLue4DJxNamxTUdWcSAkkyIG2qqrnbKDfUeximZ9MdmKy87MKjiZLoSOIl
qAZx4vuwJIAEVyIrKLU+IrtTD+J0p2TUU/OUQsmqAakw71cjOajogNagTGgaYsdrzwTAGEAAnEPs
+p9m3m+i/AYAIaLVgxf7q1FM+p6EihGcWMMTC6XJch6N2smtrr7RVNc8kKy9Dog1kcIOBG86sJvP
5UojmY44v7wZkrA3M3Nj2lAXwV8Efj3ebfsBuJFys0v7VzPNGLhGGnve9JKMCcRrDBwbreftsC1t
aDxvlWlMc2Kz2epZKc74ruU3Cs5S8LYW1Xfs7NqDNeZIOycFmbRQ1FJBZkpOPb1r51k0UvHhX5V2
gTgOi8COglrH7pU3YN6Lo2bY0TBK3eYWROLqFSGImCN8IIgLpuU5SZ3uNXJQKVXELXKlgrZ7pQbv
KoCnRNMHGpG7oE0Byi4nMGFmNwFoU9fbI8jjXKjxW/3ee5ANfYiUpTKyt6TotcC5PBjTkKEc7OgN
IIz7k8/MNo5xmzqnhmH7YDnBqy0pfnuvMYFj2Zp7Gtag5X7Ska5BI2Vhl4YJCsUweG2lheeFswU5
Ih9WPKBINOjbVZBF4okaawTvVG1WeAj2jM8KD7DGOAHFOc8sHONWPNmJ+TeyWOvjw9zAKTepGLTt
vfYr8oHeI7E/Gnv8wC1/PGhDqden/5T5vj0cChDN9ise5uyUBOCcky9dPIrFpsTp5QZJ3M1zKWUh
z6ar4U9bLEPxks6RfLzyedUdlIkWd+yAOBOivFqGQjGa14FQwHGr+kqeyZjcm/1og/Za2pHrzhu2
dhUa1zpsNnXO8msjq1hUE+oyZyNCTb2SUU8ZC+S8XBFkVhIyaKU3JSNHFl8nqI6cl85qZa1W0qhS
8jdRWOazCSnIjtbZNHR6cNN2XMvmpblSKONJejG8ON8o7cPVyItegGetCrV9YpWrVhLa9SlYZpF7
IE5VlNsvpV78qDp3+g6EE5x/9Sx6jgwUlZZB5KxpQuSFoL/w6s8M+VYHtzCcnVUXw7dfPSJhyjsZ
iWu9dGX9g1es3tZMOKJaO1XWAo/DAcP42DuXDrVCOO2O3kiUFy4QLkmhTGhY5sWXcEjs/Z/tyqrv
96GdzK7s3LPOYxmvOoYIVgOms2sZJ89pOzQvJMrDqt6acVluaUiKxHbk/jO4/joJRMXGGTwliL+b
suDPmZLPkRimTeEN1RNnTXXokFlwtHBEebUsrm/9KHFekxAB865Ohu9NUCAlrgf3q41Me3eoyr8f
PJVZVj21pV4dgCf0sXEsB+linK+y0BqwHMVX1EZt5bCiLjVMIOllSA1kp70rFl01W30laV5uDy+O
O/qnLARbvcut8K+xYP+0XDgASRqrk5dH0xbk6M33JNiSvpjA8h7FDejkgtT5ALyIFPn35Twx6mLQ
cw6sX6Muwj3rpRYCjgJ1A0MRfRzbrH5V8rw0xjcWBR+BKFq/GlhnzPZYtxkfzALsee+nQO7o6Xsz
0p6UaLIbnEgtxvK8iYbzoZM6ZKLJbiLmyY1TW6uosf6xDd3edCMvvmmgUgNi91Q/Z11jPvex8zfJ
Y7wuNiB/nI5OX5Tf+DNquqJvAJ10jzSZpEJOHrq8fhYiqPBJBOnMjMDkceHMY7DgQyCpnzSfmYG4
4ILtlBSKgIGG1FiJiZJbc2LGBgck3saX5GJJn7ZPyBn2ugnn0yTKB7PZWPmYbsWI3P5ZhkODJ1DW
J5KLjCSkI9Osq9OtUuR3Uw84F7NpnaYamDSTFPWrFaJDKfKTztTktm3vEj/69KhAju/dBAsgwIU+
zCP1YAB7aHamzN898q5AwguSzpLbfEzp5jj1bUx3vDnFeG+COBjXTROAbSkJS2OlNIPdbVkD2F0S
TWVTGCvPGP2jmTRfwUMOY+WL3FggQtsa3LA2NQ/0TacPfwk/QcoZbe7lECTP5n3rD+rvv3JsE8Cc
gzofuw1cFKPh8+ImuMwRwUYMgWGTsELwWHvif9OHfZcUKFmtBiSZeE1/qJgljm5QM4BuSO4utfyN
7abeOU2Ckyq1is7xDkQlvt9pr0L/J8wKUHqaZl1cKmC4W2Nr3TTE5G5eMmEn0RlNvvaTgW9nwwlp
JTeGmARZmwAjB46cd6S3dCRf3/OJIR385TXLD0ILP5J2NnGzfovsVK05xjXyj4NSt8+qQTzWPkep
DVg7EtKYejhes0H3hiaodLbu3NhaP8wzBmDVa8Lap6Dg4Gt8OvEZ7/P4TD2/T5NzYbrbvIicA/hU
m3BHiiCIWI7fHKznrpqzEC664xBZ2PjX0VfHqpDonrrTtirE8NVFPAnHb2bylCHh/DXi4ggK53E2
060pXplaf5wsFGjFZS3mH5r6hXgSPT/NAD1B/3Wys+v8bmd4KIIvTPwBrqhesriawPZ96x3h+Ks2
6Z65M1ZveWgAky719VcjDoatM2jeFZVZ0bHtuvKYOLZ+ZYMJyqN2Kl7ToYtQSFR43zJevMQFh8f6
UgQtxyMoRcmAVzmnQZtcJDF5n8rO1W66BLd/Hxl4aNIoCDP/yZDQ9q3tf9YCjBInqo9TWtk4sR8r
65vdhuaqb4bh2rUZiCtTfzPIIhI9ccYjOH7xOJJVLINb3M24pkUIkKf2OjD1bw1Q2s4UEms8UX34
VdT9FFXvVr+KaESz3yeSm3dRkhbJvgzSGx3Q+0ZfP9E5/pQh54X7oKUHLTOd21Pvp1hJRtRd7xkg
iZw3PG5sbO+YtSEXfd8jsZ/j+GiDVwRY5YEhti2neMArPUh3ZaAnp2Ti9QcRO4ioynzyKimOQE8L
vgZ1nu5iQ5SAV8jqCz0A3ASfVVTFPx8OheVoT+lfpFPPX1s+QnKf7/spNte02Kf1fBLdIhZGLyQp
Ipku51bBlo06ssxA7ZFIJW0GnKa6K9V+oW3m2Uk9XpuEO2da03e5cwOCaw5YFaz3mWyQl9aewUNw
jXmi/x9lX7Ydp7Jt+StnnOdiFBC0NerWQ/aZSilTveUXhmXLQARt0PP1NWORFrK2977nvmBiNSE5
RUKwYq45oa+sbJ6J/71VM2NFWXPw7/lp+8SaR4ID6eVQXKNDfEnYoowaG363URghjJLcm2I/4Y3e
48luRealmeLdTiar7PDt6hvoa8lmKFFeDLt27fZKQ+ZRS/zixYv0cQ+yXEAP1DBj7IeGHc8zNIzl
2XHw1SF7Ik0bILvO25tG957cS2/c66l88Fl6yCIUgevIHe9HwykU96q5t8o4OvsAky6HIGtfnbpb
hALonc4GBItiIb5ebqsSEml9m/nbWLFfoE6ENx1FDdiF3lVhpChFelCWU3SV2rJXXoqDtGd6Et4L
xQtixRgaHi4zaRZbMlKsBO/mvqmL7x/icq5Ps8eUZkj0CjFc6kMYBAuvCuIfrvnQ4b/3mrfYj9Tr
1r4RpiWvQI7AsGPrGAC+gDrDqPmPIa++lZbBHxswwGwaWRh7rNn8c69hK5XmqsoPcxW1LvaVYnUv
BhGD+DEebzrFBd9k+6IamqfYFsEpTKsvZOVgGNlDvSRbMcX9ngvNW7WB2e1oSFOkZT3e0BBTpF2H
DhmvMj58lrgj7oGI0o/zZwfCEbl2rLpa0UdJDtv05Q00qJfTh0K2RBcmcKoouU1/hx4ClntthMQq
fZqT0cXtP1Hzk40mtAMNlMQ82gJaOCyk27Jn0xLVZrSYtqFh5Bn5woGc4U1ZOvw5jNZB6YNyx++A
D/49yVBJoCu/yrAh9+CZzloPY/vJRrV4z/EkwtIbi2RlzxzdegqCsYOenximZlzuuFO8ZiTdos3q
b1qA97lQqdEzRXwwH4IC5Gt98GO2hIozgYb4w98DQuXtaTTb08HyllXoJmty4O0QhAqRhp+AFkUA
u+sOzZjkauIY6MLmTTftYo89N3DDQSzSSvZeHGu3wYAtqrCLk1Vll8Etb8zgNm9N1G+M0drOtt5r
cWkx80hZUMLzz8KdwiknysbwqszFjznFxQUwTU0R5PB1m4M8FH+WIrvTVTthaXT2FSkc0Nk8dBVS
7JNtHr7nz6n56HZXEtw2SgwF5TnZbmhPnA6818QqrFRZ/o8778Jr6z0YTNeEUSAWMjqjA+Ef2tEw
dk6Gjct3NdU/4iLI3ZJ8M/nn8M/ICIkdyp0fehswJj60sRZuUyizrloW2fe87oDMyHCP12r7nkxA
yaX47LLmCkAj+z5C/++29tJ0Cul0qa9rzsQ66dPqtvN961RAF8PWW3nrxa687e3cJhONyB6LMocQ
hMYWTQnBtga7QOtYF+CEFXTURhYCNo+Dr548vO1q6N1jiNfPlVEGL9HgP0UOiF+JhZD4CCeSwtqz
JgfZZsLDia0wc5/Qeufvplg87VGq/H2qyUa0hu9TzUyHk/fdYRu9OIB6Dt1rhh4vzNrp8MOT7mAn
Ddoh1BBFk3GLDYRiTcO4N9K1QJ1/a/RZ/+QGnVx6UaEfyIs95GgRCzu+Ia9ni/3o5PwuH/r6qVlR
zNgkwe0A4UWs2vunMi+D6/mHi765/HDytljQTD+c5sNd+Nni8gS2VW/ZZGGw4hZUltGJWOEdSPfi
XTiAcXww4uFm6NiAqmo93HAbasKoaN3TaIqlEM4g2OqPjr+ajORvWRDucx8tsIbuX/VWUNy7bvFA
PAFOH8UriIL+0W6qePB5TfEpwA4raZj9hkrBVDvmTHM2jee0i9bJCrai8nKijFjBtqpB/RdcOBxS
F3T49ZN0OrD3xMZxhofR2ScKvkYr8lUoxgFbSYCeUYhjyHALIFN9bYoSKPPOTm/MbrTum6i+EgML
X+wgyrZxoXor1DAcrBsAblCxxWdyMwLwtCA7d9J+lWc+P6CZJ3pxUGYFFv9LWZn6wetB9kZRaamq
s1kLGbM8+/xDrBityIoIBD1kw1fOxSLzbPOLVYtq10S43xjAUD73IL1JzdRdxS6YB2jvhw60HzRt
DU0bQkTARKduVrkrdDGCE/MdeNDHWrcERRyHuheYLWdoL51NNiycAF9sNzM7xadYrU6CXwW9QlRA
emJj9/MeLW3c6rdF2PLjvHP7YaOYAuaNXlDDQyE4tdm0Y/wh8MMp5dBs48k2nXxdot3yFlwM4wJs
7vI18OytAZhHuBhDbcXRRfpdRhUAwm3UPqKc7a/0JLQBX47sHVAM9b4xhHadlRIsS2nWPYjfZgJF
nvvVrppqkeutsflQPDQBbc9kdroUCiuUxpL6J43oEAxeurK9/JJUtcNwG+PJF9musaGPGndFqJim
bmWu7CLky08fccGSAzbxxaHUq27BdTF+9WrgP6uoEqfasfUTU2zBVGnL7dREgSsSp0AXxokyqNTW
cm5OGXHY6qcUQPUpA6CeS0bDmHZRZw/TMdzHDZC3VZfxw8j19l5UqBQ6HmgTHFxS9w1WvveNZJu6
i6IzjRItH9e9butQRYKzjnT/ZHZ8i18qKJZJjHUBoPjxh+mSwYW+6WCW2y5w0cxQ2+YCpHj6cyb8
y9lsK/5gm+PIm4WJ/jzHkRccU0CAZNkNE22yJ7nIWQ9yHv6PbEXe/KxCzV//B/m88NdZHgToyoUA
xHyQnH0ckoNsavKCWf6aMZZDt+P3OC1W0hLzNPQbzBqW5CggmAkRlP6Ad392PR80VB92ZcJfUVBA
41kJWpHrKNeCAd2WUuCFsmrwrgtjgI7cayF8NqxarLtH0QAzaYSB3EbBrylUXA2OGN8fj+Ci8tbG
UKIsEOv8jg4JwxY1uNvYfrZp+RMLfbxDWBq/YyDkutKC5Ovs/9t5eFmMq6Csv+qZm1yHAGZd2+gX
uGbqQGdjDTB14/kaVoTwGi6qFCvyDP1QHuvsTAP8d41uQbNMp5WF7hK3ckAzo+aa8uYfQNOimI43
ILzF79vCP1Ef2XxwTedYgrfj0KN7EOrRMfQnsVvSr+YQajoL8mQ85Ny79oDs07aeZk1p1HKG7sxs
CVykdh3oMhgXPCldNKj14YaMdKgF067prM+NYRtEdbyYoj/FMP6a69jGNHLm44H2nua6WIJ5IQoF
lBDE1osDZMNWeFZ6zZqErYqxgiQNhHywPlNGqNp49arQlIKib+2nQNw66xWdJjX3t07EX1DlQFys
UiysCcCCK3B/wWNAbCjwQ2LSFfHRZd/JhFUseH+05lcajeffhM0/6vJLteEhRD/L9JvIUAdMwC2G
XZPk1kZYaX038ByUdcIU36zC3APeYf2MJDTVxip7LQrfWaQRammV3uabsjXFUUv95ooFzcd0nflo
WjWFAb5IQFS0Lg+PedyG6MuCOGjtVcWahuBn766HyH6Kajd8IFOh6RsZjt0ZGNDoQXiQSRRNne/I
OQxDi0KDaptQ3j4Txd3oFgtykikZ2MefNxouZOoBvED7E36CGTot/TyQQf8Yx+hH2Uv73rRBP6v7
OjqbIM9+T7bKvU1Ebt7lKqCsknapmVzfzfFF2jPQeCqvOiC+QWXijtnsYzxN6JcAxAjsjSwmr4q3
29swTtHUMFVfkgFqVZ8QDl5mDuhgHaDarliRQtBAjCs6rWMoiVrimqAPHxATlAEGBx1McWuQtPU3
tir6l152OWQaWrKsmF+TnSLI2eMj3dVoy0QrbZs6UDVDBrfsCKIM0ACZJ5jnU1N5RVwvYuYFS6qF
jujAXZe+1m2obNo4qMy0ud1tqG46D2cvBY+qxkref84l71R0VTO70gtXPkCrztfGHSG3N0TRQxnZ
8aIfTUhyZEb4AMmRbAOoQrGmoQFKlGuz957KqOPVskxHfLnQDCv9OnpoM8taolMkh4g9UtH01O5T
R/AleWsZ5HcJtszISSYtNuPF+IefVanfJG2rReS+2ET1lsd4QmO/UmCC6ZgaZrSGFi+IULrRuJqM
dDof0DRtgHZMpaIkwMNVEMXxOqgBo6Ag8rsfJp1iyTzPQmet9C4/DtxWuyBn4xElaOi5+EN5h+tq
vBq7ODjTwTJYsLDaDCCJEI3ZgOcN+XowBlRhwQunYaluNbtsBC8LhYdOjUQDcgBhUR05eDpakHKv
fWuopvkooOryP/4cF8t6kNTbhyJDBX1patFLYyfDla8qH7Wqd6D7Ehie8VaoukfhAMWVZO0Djegw
2hKCTgZYFKcpwE/gLnMAgjZm52FKMNC8VGpKim7rpjza6LzzLSteOFnibTKAL64/s6RP5OiOgToc
ry4xRKeOtqAm3Loqe/bQFHRwsxjIYpE8ZAU4temQupE42mUNKlcao7K5Z1Uc7T+FlEoEe7Ylbhyh
l2gs1KKP6ejRRUmeDnIEetlOWQ7M0i8bVyV8cpghdndmRwcK7FMcl3w3OygYrZ0fHWQzvGLlcdAr
mhAvW8VKUo7KyHSgonRB6nT/6Cg7QDqAHJv6UWfwE/rX163VjFf0njrb6Y21FWDuUc7ZPnW+xr+y
/gSKUlmVBsoHmlKD2EziW9Eialh7DqGRaUee9tRFBuSSRCqXZVmEz3UqdKztdLkhrzTwDiercjzQ
0MXOD0TaojONytdQpuyJ5st4eg+GRO0JXKGB6qaRECjG9Dlu79N85G0S0YOCMxoP5FXz1bkfnckZ
vc3zvf9+GvDZ03x/+v1ovtG1gJcuAmCiRIRl5juSL1CgvQhwXsctzAPZyURnhOj7I7hv8MJuBf5l
jvbDX6i/PwbSZHOMqKuFjTvBISfIIPAO9lXWLcwuQxsp7U7WNUdzqbRztsQtwZi2LOddTYqhYWpL
9JrSWBrDfVVlxgH6dMDJSPs07R5b2mU4b2dpfQEQSmifJiy5ivgwfM+fvGrIKtM+GV6FxjWVS7PX
lm2uDQNs1rrvFVcuuCAXhI+bYHCBcY2WieaGIG+FwPOLN6W9miBvZTTcVtxYkDMIgZMDf2EGZlNo
ddAc85TkpTjBGLjG4nonS7MEPySwW2O37SCftLREB0LgzEI9b6rqUe3OqyMgr8v64gdYf9g2JTYY
Er2DUpGM2XOfQ3eolDHo0FV13LfjU1/2zq0GtrE7kXh7ikp5XRxAufkxqXWwVB+52roDnCxbgzdt
EdrO8N0DD8diLAP/rnOMAG3WI4OUkT9eC7uI1kArWk+Nxr5meR+8vSexoLCQXol9xuTXWvbudasO
Vc9BqWaEqhQAPpXOda/pjCLoDPXhGFya5jiFzA4KpvzBAILEK4tNkaT1cnQz9GGjVWePAlYyDUNd
6+/HJyzz7HvyZ3UZLitTdPsK35p7OzEv4axN94Wt23sT+sssKaoTHWJ/rE6lb+rHJNDXUoh4DTqU
FG00Ybufb6OmBBU+uCWOdNscaY8zy72/2FScq+LofhrGIELGAxTUE303TLfwOZdsU0htQOTg0isY
5kX02Aho54A8pFsVaovEAZECwCRhc6AtEmg/7t2hTu5V18qtl/Mz/bXnpMZPQbRtJGC38eJT3Fbh
F4ONfJ1jsX2UrtcdsQTKsQ1SG8+dZp6rTLN/vIeaqWkt/UquLGAIzuguZWs68xguwU9neGRcbP9B
XNb3CRb2mKUC1eu2K1DMDttEwXAF2Fp6mepbCYldNEM0kWrMB1h9Hjt4SxhQEgQPyz6OcnCljX17
9vJqS61w1ECXyuamS+PghkZOX0dQoENXMA29SsZ7WcTVhdjBUjsmodxSY90IFcq9aeOpmidGfNPF
I3psBpl+z+XWt2352mk1EELOqB2NSrsEGEUgFnGXJAdRx/UeHVtf676pTllWKXa7Jm6xeB5XQFSC
hlDxrjVO5B08CVZC6h7TwH6B1154aTh7UWwzH8lLwfOQpjK5w9f6CHA33jkBXymKgzl00VVZOcC2
GEZl3YDzgW18s2R4K2+BawmSWEFccHCc8uCOGajTpWw2XVZVewgKbobeMF4aU7M2ktv9dmhs/UV3
m2UA3MxTlUrc9DVApMhe9PxnqA/O2TGD8WSNkFiNusx4CTNP4VBAVFPXdf/o5doGWkfGC/BW9qdp
myZ5Gus4XNuGXeDRj/+uE0uxpSF9GGbso1tOeWVXsEcDXOnTkILnIXkpWAS9WPW54if6tSky3Vpz
pw6vE9sHK6ktMtCuCPT7txbuFI3XxtvRbbObGOLaDf6Id3TQvSHaVI1tgrkxQ0+bHbVfUMPR0KLc
IGRIsps2TacE7C3+lGaPhossf4u1yrkuYs4eocD9pjmxc10FLXvsWfzJF6pIqSJLRM55fRli6TXu
UmC5n4sY/KpNWniYPEE5KgkhcBE6+l3ko77hN1b2vS00cJfn2pvDzS+pp/MpaYw097oWYNvzJcc2
lBVakCjCvkYQVfEmFnW5pWGfhmLBmbRuXEjYPUXFHZlLP3CPZujjcvITa0oyPe3bZXsSiDa2klq0
Tvs0/mZqeAcc20G7sSIPTASGpYNbo3IeDFDBAIxvOj90LV4n3IqmWBH72k1mi/4QZ/ISG44AFVgq
9g/zzrGh5/3sizg4UnwbpH8fr/n9x7nBOqd9s8xgDT7gGtRuX/SxTq4a07cA+BLDF25E7dLOE/sq
H0b+pc2BukLU8IcoV0XhAQlIVDUlz1GUhBcEcFX12RGLaGM/3zDojpKJbVKz6jXseb2CMJx2pFuO
4bLLLeefAmp0QH5vzU2dQ++hb23Av7yqX7DGbDd/etY2wk4Poacf5mewazGoINHYlcUlN4wrNE7w
gR8dK+A3sgrqpbCkuaOdzVwWEKrVR0gCvO92Rs5Nahn2He11Ujz3ubmjJF9rEly3Wn8efT/bcdEO
CxrOhxDsCRHn5ylKlsOZuyaEj+tw3ALVO1wcKl0DBnYxKpthjFCZj6J1HZTsucxwxadpcZaCGQ9x
16/IPAy22mauymXY4IJ3cztdO2VS7d6TpHBB+9Wny4BggVqgeQ+FUz+xOkjPLhaxT0Z4m3Ivfy5l
X944eB1Sldj8Gfj5cicaAxe+GupewVed4bM9eSEwMU2B/UeOQu1tV6c5mmeBEIdcirUlyEwVo88S
DZPoXHG1K8PrxyXZtdawF1aPrzrDVvd9GVrXZJdlV2/GQLe2uZDlC1c1gCTwH32jWRmZIkmjvspc
xv4SDcpoCFCdlIT30jrQh7eJ2uQnPCakoX8bU46R4hrWGwG2i0avtvQZ1SUoY7rccEB1oVVPrnia
zDKzjzkgkQv6YCNAnzeURLeMTkJG3gnQ5wBkQ3vo6ghAi6DHfqHS4QgsHNAY7h87Zu1IbYNM5OzE
+NTVGpsUP6bQ93SK9dvU2xsOE4suscKN9LVhXbEmfdAGIAi5j24lGnpdlmHnaQl0IKpyKmAIfDye
0Dx3RUPmoCY8p4dRL46gwXmI2nqT11r6DESSu2p6B7vFlokFF9rFt1hw9Xf22HsLjjv2dxvyenVV
BG8sSdBV+1tSKaEMjEdXs4vCyDh2Ie9WkpfVUgDWgXc12OgAxQDjyPMQIFY6bVSgyRL86mjvqwzj
IQBR00lPjG9h1hTPbR+m+0wMUDJWoCD0jBkrNw0hbqS8Vl++MVTETgT3id7QZas9eWoCabFvlKGj
+XHRNH20wZ36m66auamHG/shIAizhmKDdhrVvh3KXZZW+g2FdEWqg7tp+Db3ezeDv2zK9pWlbntf
4K++wSqmOI4WOolK6EJvQJqe3QUaPiR0sPtfIcJwSNLQ+tlD1bMywvYVjaDWIq6ybkoHnyLSXTwN
onFLj9+orx+AAu5Q68Hj1rUM47q3fHxw6llcZK4JIi0ZrqfxwNoHN027I0PXy9Fs62SRjOhklW3n
glrBSjYpttiPqV/3B1/H98gtrPRsdQByiNDJnju7fPOAiX7DJwXcOzoLwrK/0Vuz+ooq4GWeJtI+
zlO548HlVrsLPFRpp83m1L/uPDE8AMkeXtW5d7HrlXutVf1HO8lMmLDP8apkMM3zbufAo6o24GYZ
i6HfaoUQtzX0cZYjc7uXaPRO06cKCZg0Df3vTeyBRVe05oPD42GdCB9bA2bdHGzsZE3pZq7hbpPK
7k6yEqjXPjniNTy4InA7oSlj0wFl0AAuxRnwTg4VGwz6JbZMsy8MNB17X3bJorLj+LUNnZ8mhHvv
pB80h8ySneIlGr95HE3eevTq4Zu+jnyAkIySBbefEp3M2bqgIloUioZ/6PGplih2bNAfIu7IBkWx
L2MbMKi/I8IE8vDMg580oEOUFMM+q5xmodtRJ3Av/G0OpnvOJmtHD3X2BJUo3U/PKAqZ624cLmc6
AAVnAP2MNZ198n6IQwPRQgDkG0FKdK81YQlcBzgfUjCJrvBdiScJuaHmV0WHTQTc48WdyHQwyCHq
U5IhLR/vBtTQk1ZWtwQaDCgMdajez2oCW6hhz6RxdMv+ugTidkdhZKp42y+AtTdQoa3BY7C1Em2M
V56elmt0g3SLyLJRnFx0Xrkz9PaoJ1q7899bHbymNA966z0kQwEEPjmk08iFAozs6FLQS+5ugHVh
U9taQV1oBHKXifkNAm/d9jMg/oKNt6xvxYjepGZ0zUuDm4BNaGirDsvo0ID/GaqDwBUsI3DP7z+M
q4zF+9FLmgUVgVodPYpdXPYLO9c+OuiZRzYQmWIyhZCeMNHvE1II+qsqNHf+Nil3HHycQ7Ql0TjL
95qNj96vBd430SVERjpM4xK0wmYGBdbPDhrjC9BsNJXtkoickqFrdRc4jMTJ912ah4vSlt7DUHXj
Boxv/WFM8+AG4ExtWWdu+E0PkzV2aN0fTCaXWPB1MvxNrVfwDh4A8dTfIis8gK7PeNNYeOiV5TfX
P8Tkmt99d/CalIpkQD8jno9pbLOVH0BEj0PS+sG1reRgDa2DLn8MI8ML7zQA52lECWjff665Cwod
FQAqCLYyuK6BxYxbUKAu8h3hn63at9bohrMv3ZFFbPun0bG++n1kf+iO1HuwXneopRBMeuqkRK3C
nnLJCArEuwu2HnixcAOdBQ/qfrLf62N8Kqjll2yxIuplqr03AuvdApSj4faTw1BeHupTLiU0VvwD
vCbWrtVQC+s8U9/GqjpO2PcJCq8cGipEWy1SJR1yz9EUQzaC0g+9+Ms0jgNB+6xHO5CTRfoqEkO4
InYTiTdNUJG54ERBkxp2+JRnMpKfPJSjcXhomBYBSCEHlTPPxk2lVkmUKr3EJ/zvf/3v//d/v/f/
J3zLz3kCqoHsX1mTnvM4q6v/+rfBjH//q5js+x//9W/b1n2DeQ4qIKar67arK//3b3dodVDh/8sq
a9sYUfvegFw133kWyPts+5YQOp7Hkz30LtE+ozoECduDMrsAEN8udzHxWP1TAmeZWKLZrdPumQGc
l2OtQN+Yfrfy3l/WgQ35egudk4YFRbu8yIfXXwFRg1bnSgB21ETmQx163bJV7/Auw9JVz4ctjVK1
iEhNLKOjzsaLv4qgg1ln3zvXbq5+T+rfAyhJQ3+DX4FaF+SdxpKUQTSZD0soxAxXHpZfX9odWWWc
Qs+8zY0lCZZQUNK1A1r9mrPDNSMF/XDIby0/Tx69oEN59/ezDmuezzavPvQdCBl4mtkn7JGF+wKs
07uqMCCNB9rqpQfYxdeAZXvHDoM33TaOJquGF1OTwZSEPrJwj2J8s+tFeUmqGcrE2AD46eqe3FFn
StyBoJFhAxwST+Kkcciikr0J6mE9h2WaOYWlIHVbBVoJhIJAT73qhtGzODurEe3pvo9ow7dPGR6z
KlJ10bz7KM/OgS6RRTv53iM9oxqX/3wZu/pfrmIAfwwL79/M9xyLub9fxb4DFrkyke4G17WtmFWc
rYbdiw1YJIYvHe9+9lgZnMbK9u7k0INOAGZd487WV1HlryjugGp2umLTJMnWdAF5RZ2ht1W+0Yiu
ugEwfbyU8nET09p1yIeNno789HsCxZKJEvLMXOoJcECjC2HpBg+tA9Ek66OIjk0iX2kUWXp0L1q/
XvRCXCL6fLwOjSxZlLG9a7qcn6zSj+4h0OVso7yAuGiRRPdJ2Uf3KqIGU/WJRtjSdvGaM4hFYZVb
APSro1nknrEp1CmUY+QRNaYW5ZK7aAw77PsrE0dXQLrSUHz4b/5Ohm6bn/5StsfAGcVM20BhVGf2
p7+U0TKvjHWsusc27xx93XfAZEHxDUxpNX+mM5m5lzM8Oy9ns3c+E30upozZRmdhE68u/fiic/lC
R1F9m48tmFnVme4BbZQDlz6dffL+c5wQjqF0/7DfUOcrvD1hg0IkNvYlk7VUoxCyKvdYdiV4Z8b2
NNmSfKy2GS41NDv+SrBR5qXYKq/Cm2yMv6BFcQ9qe/MxN6vs4KPBaQ2EyvBV2TXmGJ/ttlt8sIu6
QSlOCeCpeCNH13kP2PQ2T8d2OYLb9pHOwqK9nOGV7i+2f46blC48yCroa7AtC5T71UPOMeVL3sbG
btayKBUDGIld+EkDtAQkrHJW9bhRYpH3aPW2B8mUsLqN1YFXwPOSrdWxa4PmhKvRjcAu3zqorKPH
d2vlnrcyZQZAiRqavw/JOwdTLgXbEuRYA+QqezDJMNQY8mVP/46L3MktrFIv//7VHxZZt9LLzt51
as2pW7Je1rJKt6DBwHoWrUH1UqoxuRsVQzangtjRFKPJrF7SOKIqDc1BY8qB0CDWskn3a141hWuz
7gpNuaIDVZMDZHIZtQdn7BKQAoTBVw1tScfpIhuDdsNjhsZndbkFbYrdLsTOV2A9hN8oPmWJDXYw
twRuJfyZRCx4ZLVTrVtUGa51EANdZWXYb4yuNO/7mvcLR+/7H1Z3Oxh58NbX6U8nLoNHU4b12otQ
1NR0v5hy/EpoaGxhKHV02B7Pmy56xCtav4TQRPSYh0W/xH89Qm8lbHRGNvL+bVzehPGt3kbfS5ls
p0+OpWZ4E3vx5YNNQ3xhRi4+DlUwir8m2E9Q4enBcZCjqAOKZ/CkWBEAtGGJ6zFD1U7R9gnfD7dF
kclNol7dmgqgT1yoxTUNebwBNDR6/tuksaire/XtM+IoWQA27J5NDToBWm1wKH/iKwsakkQR1YB/
T1ofHVWEnSXKmBxpDViz+tJSRoLOuHUeCH0dhrG5ztMGL67qrM/s7MyBXPtgm710Fr17/4M4zurF
AOE3yJRjsTmr0pD8TCn4I+cMbau09JQ86lZBoWFzG18j9NqbAGeveYbCxuXLoMbOkP42/uAHBcSI
fWb4pz8n5Y+BHFdVlzmPRdnouDGgugKFgpijpAFB+ZWlEHdxCKmDSPYrzrFGXKYdOAtjF1LVdJ3P
wdNlr4LzYliBlDE9oRf4BrLd8rZytRdbMRU0PvR6jSpP9iBOLV766srVZPkl1E15sA38H10VVeKt
dJHq0jq9Z+eAzb+wqPuYDSZuG5wkd2mMAiJ0vLeWmbh7n1vOKYV2xVLwJHttE0jUqJc+uxP5IrYL
997yWYIXssbdo8zknHoTWlQUO4RvFWrO6i5AdwZpVeNNCngXlNiqD6bei9cUQPccilIm08SrQVYZ
cWy9idhOUaHA7YUlTbs0RMm3FE2zpwzanOPf2ewAPfpay3QHJITJCTJE2bl1Emc1MgFiCOroJuO5
ROHyrKk+fxo3WHJNQTQkR1P1D0MOctv7PsUuLBGua6OztyFPeOoUXXtQS2/F7H7YkNPUK+OYJMG3
Rgrc836P7d3EA9N7GC/0RsPyKdL7Mx16vy/x4uJ3C5QBs2DyDNrGbfXgNIdFQRQsagsMKLOty8ty
F6jUWm1qtOog0x5F0hKllZxtzKSOD1LRsFhODuIVvBo7QHMpDhZfxvgaKDI58pNnPowC8JKVmqI1
jcsU5J0cdOoV3rDOQYU1zQA5e6DPoHa49xT/I2gt7IVqt98T06NwiuBk2f3KzrsxXVZgS1hrbRKv
KZgORsn3XKbGDSUw0xEHdM1XaKb9RTHp9WC3CV1X7IlCMvMC8CCBipoSKCzpQe7HuROtsSfJV47W
GDs9bSHFg7eMNcEUQnzKS4fF5hUNXWwSNgAkP5R2HZ/7OPpKZkpKjaCY+jznpDyO0lMl0ki9eS9q
p86eBg3cMzn04FEPcfsvAQTgVx72X/ZWUQxfVBga8rOnREhxXZjcg7QlGx70ChITuYX9Umzv3HsG
Lze81eMjT/XuCrBPcyNF391Bjo0vMzQ4fWvjap9mFvspYncz+Bl/pXQg27Ip3YkkVDOkf0kfiqS7
E2mG9CTul8lo2LuEJf6Gm8zYCcMtHwFwguChF73WluMvtKrpTrk+RuBO8rUlWKeiVzCarNBY3X35
u0zdAfOSLAYD0BboP6Jsk7KfdYKCJ2/abEtFiNRsrFXEFJb8vYJBNQkjLayVF0QN+H9VBYNa+VPG
L8a5guGm4Kz1shQlbF20uz7rxFpTECPXSgGccLzqynRK6zlrQJ4BQp4HHWw2Z7QaPZP5U1JeA20B
ic/6CjhEkC2kcbr0IaxT6N1LqQOYEXiuu5m4bMLrT2ZqyAHvvV6k3YsGMZGt9x6NSUA3A70ZQONW
VIUU4B6+sHGgoJcvHd66k2fi+yc/RYKKE30slrgtanflcNe4MXnaRUuJofWPQ7TCQwDCNMBtX0Qh
YDO9tfAVew+oBe5RO7EfoPse7kvpjBtp1+IlMiE/oAKkx9AGmnX6scAyfsoMGzeiTFAF2A+RymRB
m6+rDrdufDhnNIoX/5+069puXMeyX8S1GEHylcrJtpzLL1jlCswJIEGAXz+boK7l66653T3zoiUA
B6AsSyJwzg4rQFcoMtXAQehnMcXXKwBKC5lqPPtP40zhrEDZZrcmzKWOsVWfLn8z8ZxjJ6rV5RiU
IHefBQq4q2uOSeecuqTDpmkaqVML9EGdnKrtaSc1dXYFsCZLnZK6dhqJpFA/6MzTyK3DgAzGnQZD
cHc8xFDMv+OlbT8FsTOPIa1tHrLcVaghQ1mlNIIbhurU9pPkZ2I1sG74+7DWuYxxP1qGgenJBwcU
DBcGVcp+0pbMtUvMBc7woGqqydbPrawlygr2d5k9/9sAT/jFj+sKSQk7QNKmFjTGTGS97afCVPR1
LiO3w4DUsT22a63tgUrju0cgStDxgt0nRX2n8ym52YiNjsKmHmIppXhvqdHdxcX41PDBad8DlArJ
xiTB2h0kSFcRK94vh2BftlWyhHqNl5+sukBp3MPBCGQIsILLEvJsPMYH2W18vmps9re2KqW3JMzC
3X4clqOB84cdhOq+s4HR6KcKTpzANo7SOrnPugmTWlXlSpd2aAztLel8r4jfr5iFQl3nNuM9tHyg
oPIxE8akyb0poFbGMqtc+BTiEjYc3SIHZ9m91+b3Opmr88D6WUcVDJ8COEt/GQDQay+EG856G3rC
xxowyqlLlP8xNVAQ+gGbL52JGDY1rTtopuKjzC60DAldTuC0U+ugqRcVyVsgm4oWh36E6AlmK1ZX
XkYGkSaWBT0kVmXeL7if+S8mHR91tddWAp9mADdCHw5lggvjjCTFsOlKmexlpXpAaFD1S6C6+wJg
1CPNPPorNPGTW2KSMU2qQhGua/1fdlywEeC/B1+Yjv6QzLYiqHSXD1CB9daphbfRoD4/JbC8WHVV
J55zZb7L6azlT8brTIQ/IHpvRd00KWGmtxYK/zWjz08ptJUOChLYc+WthMdCiF3Bk+f1LZLzTbUp
zDJ8QWlnrf/xoQD3wVYNrBjqCrIGyvs005hmwjqv3cpyqDa5GusN0HHVkiUiPlXwzFxDdqKOMhxy
TuUEptcPX5pf4nD6dXa2jRRPt3Sm3G6cmRRMvaG5Q7YBxvANdAsTU/BvbdPhBxHJYB3BC7+5a8Mg
PpBkAB8TIG+tnI54JMQhVQlp6dx9gURqVoXkOegGAVnxKZU5Hecs6eebzJwcoqfmdZIuzNF6nmQk
QRylAg6ATspzqNvDeAjevPKR5Q1uvSYkzwh0J2heFhstIZ841RZkHfKobNM7Zv1QzZLz1+lpouRj
a1c7a5Kc19ObHGklRkP/NkYVOJrW4I0ByJTRXtbQa3vTSzBKKz7pNT5egnKhKaLX0EvCkHmerl8C
KXk1q9vr6fovGGHgBDEziCTFgAP2zIVmEexibk3SiajuG/X2ZWCgpUDV0Pk84LLKvf0yAL4JJMDa
wu1rUK9q6V7Ez4shDxeC+Wz5SfJc6yz2lnvH8AznRMjB8b3efOgHvStJYMxI6s/Vl4nDcOlVGnqr
tzSXnsBpzv+cJAY+52vuEQeA0AuIB3ln07bc8O9ZYqc0UySh6nxyKnJuhc+hyl8Or8jADVsUwjlo
x3hfoLQ598cFzJqK9rfeXcyF0XpSYNZtL8jSg5AE6pW4qX0qm+p2D+UuF1J4jth70isBOQO6pURS
4li0YYviHkD/4ehjR1+yFpKUY/AMNYE4Gnq/+KV4Fc0MbRrXJ8funDen4YC64xP18L+u5CdlizJ1
HM4rscDt7i9JNwiQuJD49O018e3wNSTp0pxq96HXgw8SKPdo+6l/a+Q11BinH/5GpPeOORiPBuzv
tnVl2evRzukroclSByivuczse4BVOCPhwnDlXVU2KcTUIfKsHywCpWfmFsNGJchAfRnQzcSTd6YV
p5CRmCSfdV9t8GETuqBVWUN8vOQeelLgzjEdSPVD0CKb0xbS2Rpa7s+0eL9XHn0udambTjVwcHTr
aGwaZ9tJUayoT+ylGkMI3ZKALLTwbwtEw1n3EbzERQ80Guz9ZLXqp9r8VQ3h2uyK4rGAysPGcH3V
Rz5PgfWZn1ORQX6JhDtYJdhnGee/9DdQgXK7AIWzPgVFYH3pt323Og3N+DVe9/tFJQ922Qx7/eM7
MsCjBERxIv0jrftam4BlcP2B1jGTttv8y21VibcwbcCbIbp00vc7Rd1t1xs25Cc7tWA5w+3V4nzr
A6u0y2zLuvU6w1gUrO6/fUyqGNlabmq/YRN+mdQFq87IYAZMpP86Vt46wSf9R0ndyYcdkpGUAV3c
1xlZuX0XvOLNnyMaA26PrSXaeOW31iEbB/UGO5lF2nHzxeNxvMuH0ljpflb4C+yuh9M//xT4VvDl
pwBOpAQSAF7ohdAIsu0vPwUmR/q+Hc1hFagIhcFyOwiOr2RdkUePOa9weSx/WEp+NxOXPf6fAxys
oD5WaAMGNRJvFdvEu17lIwacx2IbMD/c/GtADBrawimJ277Pm9IQJL5tTEPvAeeWG5VReZNPhnZx
kHYrSFHFsBDEoEIK7aRC41FO6Rb9QKXzNR4SRlnkGs056fNHjeuFajvUKiy8EQbyOp2VNye7HxP4
ftZq5WKL9JyasLSZYL1TKKHVJRT6jLhlzbiXwam8FQBd9NbkXbAY8thD/dKAYSuoJqIJdryHx1/W
pvbCiQm/awyptlIEwdaoGb31VX2Z5JvJUU8qvRCfUHi8QJKLb/WHHmlMa20aClm7aZMi0wpfhy+7
FLwOaz2GopgHVJHkqy5kJdLsyN0lWy0FogVAZtMRsNVA53EETDCsfOIdTirzo1YNsfTj/Fx3Aw+N
bEjCqiixgMeRMizqBW/lWzyk9dGbFKxdZ2IiFz349VqgbhplBhJcDL82O2YO2PpzRd4GZ1zVsIL9
6bjZ7zbPkydqIjXvDdLaB57h3ehQ4sb+NXQwkNQnyZapcYT4iXReIPkSw1jVLSHCYzgvgcH3ber4
92HaGmfZqhsdJWWpdrFl86WOgop9vATNoPoyyYEzd5XWGazjveIBilo/9OmWGCn0ENtYnFGo4Yck
S8OlPg/72TExbOMtoEgjDcj072lcYvObZD/0eD8EsMKZJhJwfw62Sp0FLx3re14vdMGBUIZiEEmq
J7cxnFXbsf7YGIoclAAiUfY2f7Rc2kYVKqq/jGyexLA7nieNueesQPLj61rhhhN7uDkhRWcd9LM4
ru1DTQey/fLsn+PAOCLbxKWXVT6vBxCADfkAcmsUZnejy1mm5flrkTXmQpe4QApr7/DW7zPs0tZX
nVWtxdpMjOyaHy0pyEn36AcdBfKShNOTqiHVjqjrgH7mNu6EtYTS36X5lwysbsKyxZmWvF4O5KXm
1Ft9CQeuuYInCiBaNR6jPBmja7yX7VAuA4LDCb6p1ilMmnTGa1zGoQbdXn6DmN365jcCz9zFJX1v
l8A1Za3pN68S98XI1b9VOdyIdi7B9jyFx8VDmcDDGnIu5GdIDRyL/Pxdpva4aJG9vh1q4A51rGX2
X2OdsYPAAcyeNVFLE7h6K4YRGzgxuqX7Bc/oGkqENSoLJU5hkK5e+LYn3wwO+OeAv/sMT21xqghU
71obQjgAi9vtezGpzjO7TLZZ0knkNvGlZfgQPuR+AO+wkNzMXVPEIOUlwjEzazEvAEaz3KCOUd+U
ABHeIOVe3wxJKNZlZcELYBpgPsFZhvdp+9dbVoMDdSwzEFRU7z8MlgEjWd3MzBD8w4Hfziwy3Uc8
42EECztZMQ+qz1agcOIJH/TfrmP1s79Pv74xEnng/RQ/X0U39Yop/jOtM95YE244k4W1znID5qtT
Uz90Rfl7MAbY9EjW3TdqKG8DXq6vAa5HzTWgJdWnSYPjwTcYicErzbjNsuo0wh1da102WgQzhELu
ta+bnHf1hI9+N4HOJZRy1vhKybNpjf06hRHkypwqw0VD+rWVQUnWnpp6VDetqVB8Ddau27ppGlBX
B4oGSRbU27N9WwXDKW3cnW4hxYd8hnRRR5kGQYiND3EtVmqo4RGlY72qlHoCIPuX6bpfSgCEI84B
moGHU+xAL8IfIWYEcVwi6PgzvtV3St+F7CT1K7pVIHltxsaIHzwX2hugp7GdaJ3koa5FdrJD8kAb
ljzorph6UDqH1+nOs1KAsvXrT9pa3ARZ59yU3lYzHgH/UlDWHR3npoOZAOsS1ArLFH6WhoRaEU7a
MobkTG2GLxLVUQimQr7CB9Xu/PcIo8VXFvoozjJveL2uGc/22VgP51i4Xxf69xHXS/1hDQGC2kve
GtU6D+0MXDmKlP3Hp8B1crWzKvp67dIfEd3PPX/uv35qPvr1p8ZVNMDxoOPH2sreMkLlI4zDk20n
smSroED+mFv0m9ap/QjwhEq2YR7bS2ROWGxv3RbisC31LoXOCn3QDibLazUNhEdr7tK4AKeD8S9k
PS6VTj1haupq3FhBe2Kuhw1wXNffpU5WX79LJCEQF5++bfpLFtD6d2NU+UG3vKCobru6+DRJf2v1
JBgMlKfCbo5G7tnNk4A0SswrvpUkhr4TMXc09dnZm3QJRxsC9RYSnnOfFiYMFNTudZ8O0WqGOm5o
jXZjAU9nG+ELgITN8wTuWcG2ATpFNahwTiglJLxJ960pzJ3ewnyEQv/1EhoXrjeHus1+3sWmle+c
Bq9x1hWyrDc4VTrrISwuz3SfHlVT3/8/rjflurXSeGGnttjAU7qERySFG3cskeVOh3yYOyF4V9/0
XZ9vL+eUHt4Qi9nPZwApb0kn256gxUknR8pppeXKHaGCenm168kSHJEv6Xdi+qtxcNlxqOEZuiZJ
yo+6bSPrsrfGcVkOKdBXus/MaqCveMuDRefa/uKT5rl+qq8GvrSJxFqlZtsh3Te/Ku0rpAOrErwg
gxjfhAAXSCevh6QB4xiZhsOctE7XsKINXoAvCA91ZvPFjA2coqZ8xCFUGURumuIdPMrqbsihsSwq
ddItJDfQ1SftOsFJaaH7IDBU3X3EykF+jgU6fOcY9VEDBxmvxRbo8mb5qYmq/VJDB/VoA+zrp9Hq
783BWv3zodBxfJ0B+oyG9YlvmRAKcF3L9wnAQH/PEI1mj68+t7MVfkQ8wMOQ8wut1HwLYGoXlcI0
gbqHdxwJDnY/hGfcDnecthBaisMX3M5R9xoAQwbRAjSz5uQy2m9jL7kX0H0958R2JpD6iQqSbnII
34V1ggMfMc+ZaLx9YNBX1WT5EiIgXVTR9qbv/XZnxGDV+A7KuJA/2WEviJNJIB+qAlXgwgAGNGvC
m5GWI8Tc/e/Qbco2edV/TyQM5yXj+doPsAfGSfiuhi7DKgsdZx14N9hnZ8eQsEWV9OFdkNe/Hitl
wRY+LJNFjZQGCZMTgKgwNO0F9Bud8s3LWXEqgcs+VWCUgTYKhnecAM4uwls1yGQxFJADkHkCvbFz
kbT9FlrObVT2BUAuMWiILQnGbULBXa/zbFsHSLRJ0/fPCeCvONCxnZ0KP2qH0L+XT5lj2XtFDYBr
K3LwCMNGz+xwlgn5WnRVvRoJdB9Ndeq5kx18rxyWoHKvDd/bpCZwvJmj7kQPyjtNzZs0b5KI9pBi
rkjSLoT3K+tVsCj9alkzg2/ClN8HrIUykuHwbQZkDGjLm6HJkL9rKCzsaPNY+N1rwxR8WqwQJmrG
E4x5kw3gKX3kjmc3Hl4rFf8UFcStS1F6EBHYA2RpL+T4QB0Ph79e9JGqzWEJbyD4iiYsjPAZSAuo
QKTDtjVRqq8CYJ0r5i99w6yX3lD8bAdUQwwOF7WmJnQ51nKrekTi65msYpWvnVa9gZrgRzRlb0LE
WZTbIGC3QrwVFjnDvyXemnEcR40Fhl/DamPbDeSclU6ypTZvlg00N6Uph12TvpcZf+DQX1ln3wrG
gYh3HLWS+F2OqoKdwSasUT92skXNfrh2uKXp+F6kJg5mEKbsm95aWfCBhv1D+J6XONqR1u9AT17H
PXzmYji4wDdogRNyuy5L7kcpgRkxT/1nK0URJU7gUMiQcYq4dIsIPwFrKwxgidQY/a6CYhgcHySY
UwVZj0X/ytNKRkPKu0WapNA2ThTYO5NXDf/WjfxVcgDBSgkRqxiKO6S0+o3fs+9OLdQqrz21oEEf
TvuLx1JCB80ocyDOQ6CHcNiOmzA9JEESwVCrXtEYCEruWiyKA9lFNZLikVdKuIHS+ptPQb0q+wHS
38GkH2tDPapQ/beuljdtXqVw4ctINDB4BQlpw60mhLlCjLoeakrxZIm7GIAhWOf9srAyCObZ+KNi
X6EQXUSox5IFkS4qJUB6M4TVbtysC2ZBNzO9523fbZy4iILM8/cQlHgsxl+lNwYnCPncAxUE0Z+x
XjtIl24opfscyqGQunV+5thTrDwDXBBKvX4bhsb3kJzgsQnokNNs4jgEvqQFkdnhmzRx73t4K4CB
hFvFuMW+8gb13K3ZqSUd+0XDq01j5bdgv5wg9PMzBHO2cNKnHLTzSJnwA2G0iTI+DusaqZ0lysML
BgLRM2D0PKJhGp9iFIsCa2w3obQYsr003nRJGN85wvfwVRHlI6j46cLom/CVe8kP6EFnP60gWA8+
+C1IeqyVD1BJZHv+weqpeJcEPxqZZ3YQwcBhDZ/9EA6rJfJi0Nu4IVYM0HSeskPamUhQ2h0M24sm
A/Pf8lc57kZwPxLBAjkrFOcqhh9AZXTfO4BbbGr4v9M4wd/T4cqV3SE11lS/PL99Yc4YfoutDmRf
FmRPrAEJfODwqXeTChVTP0lPjLrFruxHb9f1oj3ig5FsoOhh3FZtB8tV/I0WhMrevWqnj+UEwi8L
n5cFXnIfHrO0AzN4CrCnbzA29EVmE2TVgvym60GjBOmxX/Ikbj4Criv824DrJYA8ad49B3bZziJu
PHfv8NJnUTHZ5yrVwj90ejZ3Xtt1aLOFMmCgrocrGsNgmzThJVwHfl3oy5y8LcTOqsmaTeeyUR+7
yHTiIsZAlxKOWgt3aurh+aEeLs1wtOmyNDy+0APgm6k96JX4Jk/Mh6HBB7/ixk4DBf0Wfx3kLDr8
eRiNIW9xP8oZWKsB3X+Mt6fLT6BEF/eo+wxim9Nk3ROo11wa9eMgyuam6fPv+kCqW+DdfdcHUN0q
4+pTaxq7Rv67efpUaxVBDefe6ss8Pfb3KyiozOzL0t6JNH6Bl514JGMpHntY6WVQbOxy0j/SKv6R
9Vl20kOtGJvl4Cpn406RAjXJrZGG4UKPIg1MTtNaCmqR3eKvdfRYg5/7P62jB4nBLuvoa36so1/T
wPxyXXhWsajsWkZmlvU/Uux7q0mfsqYGBMcK45vsuFiUKRdnyPW1G6A2nX0gwvBIqsBZiRHu33q6
AauIH6wKFxrkNU13pul5AEqOp5BzjNPhMr3Ct/WYdSmwbqBhPKoSWgvM9sZbCJwUEfIs7JgXebMB
M/7V0vtx3ZcZBcSJM8gm6BFz2tLrAf2gpqab4UwISx51KHtqbOlkWIQ8mXU0Jk+juTk9030euDoo
98o2+jT6JfijeQ3Wq6AyGyxIHrvH2pWPzZQ3BpcCzpud90oL+Hdgo9SeOhNqBIavYBcYdOGzlOJP
oSGxL6Gmxz+FkrxZGoEHaDcKyXAVQAE9l/ycDMUAxVVspKzcl2/IPMSRYxX8nA9iOOXMaxaqccJV
LgZzZbO6wW4Xso46paYzaSByrUYO3wvdgkJls7GKJFmaOnv+MaoneHaI22bc44bshgtXWfSUZzw/
FTxslxUy/++pBNwrrX5cA8IqzWERlLI5QEDvZSro6ACPT7oaKLgCNWChUgewMSBazUuRenBFibNu
607NksD0ws8VrDUnJn4rTn2d1M9hCcO/Ki4hNg66Pi26yxJ6DgD5BkCyI9/qOXoJNcCdUwczD2ov
ZjUvYbL6Rc/RrwJ7KZwVHbtCNRmKaY0ColjANGllTyqauimnJu7l9tMwFuU8em3atMSoBwpWLYEw
/tNcc1qK/WHlL3MdfOz7MFFr6KuRnbBYC4GhhCwZKsrPcZD8UH3Gfzv1FkmJ/ldBaRkha1s9xXkM
ang7ZidBAn8ftLi7dQNr7mOod6IYzr3vpPHWejYvkKQIwvQthRTiYjS78I6adbgxG4vscpZcLklk
4z03lfFuNeP1ki3x/+WSJR39vVnX6XzJhuJmyrB/+M4yd61nW6IC/ZojF5Tkl0sm2RAClPC3vxIq
n23kU9Edx8TLkZaAmRik6ZGZmx5M1L1UR866BwpK+Rr0inDpTWQs3SfUM4NF4ln3fFnBmzhaBn/5
0wp6sp701wq6R6+AXygakTQGCyUcv+dZuU8alz2DjSq3QFmRdWqb6pufNpEOiF2eIGnZhPswhYwL
TEl+6P60scZoFFZ2Z/AwO1GbegtY5M4rQu6BP1NWyW1VN7gDW6X6llpNpAPw3UpWVqfCPbAk5N5X
+Q81vRSYV46RK9rsrqyr/NOKjsr3FkDkqyTAD7SbDFtRNerMwAh7mlopEkbndpJ/Sux+HvtoXcf+
u3nddAU+rTnN83nSHXs4MWSjVfQ7IOK8Aytxjozdyo4Sjg0FZy2kCnXnHNRM45IG6E2nqNxtQXb4
mJmC9A01M9KOW55Ve6CrsSsqi2lXFBTGQYhU7pU9Rt4QUFhI40E/uz5c++a5uk2BPNwDST5P08Gu
XvnTU2UlZAXCXsytGwcn0AWkOsrIg0LgUb+lusnLJDzqd1E3Uej53NSj+t2xemT5/jRXcBtyXNPo
/zpXrwzvwexoQkdnKjaObra2ZZU9yjwjd/DlftLdeFecLcdWfulPNUjkeYeFC53Zgy42Dmb6z5P0
GkQCc32dNF3JUmEE4aNfsJE1l2BV58dgxIE80k+NqkLCTT8Np6EEPveL9k+ROuYaeG1m0xS/ysxl
lkDO3WnZj7wNkS0U6YN+p2WB8+TU0m/0NGag9jm3PsY+IsO4LJbtJGsi272mgQJI0N0HYJZufRRg
Z1KzHgihzQgXZR+u6VMImC7mWXpAq4PirHu+TJpZqD7Ahf86yUwa+5B6EIsIgK5e9Q0EgfWuWO+e
TVJ6A3D9fxvRw0pXMfTTGkywyHWRAfOhE6HvHIqwBjR1NPU9STfDbBBbfde5jup70qfmdE+6Bv9X
c8kA1QjuwEW2w+krAsCpgF5wYJ9qeIzNtCklWuj9Ys927pi6DGgGFqxu/2WGHmDTUrCsK87ptBTL
22ph+bF609cYRM1XfwGOvJgssaUaTvCmaGZilwEDJkjvjeyMMqD888A0w3Lh5KSv13M7jsB1Z6iz
VJcZmvF1HWjrQUAjJ7PydJHW5EFLC3/RDf7Sp5taVTgv5b50mbfVrS9hum/oJ3HS6/A0Y/Qzb6sv
AUhQAjK+KcFHddw631+tm+jo0oM2dfrSV9Wg4lRVBafkydNJP3wJ1k09cF1A9+m5PGYXu6jrXE+C
J3N5FyBg7+3nzbaweLuMac8Xn7bXervdsCmBOAwVdFpQFVtcN+LzCEQPoSoG9TcIV7vQsU+HeION
K8wa3fERNBd1HiTJz77Tvuhuu2bumlNQAzXtf4qiQEiBU4aP1xSlu0svMGGrFxS7vCT1SyfwW6Yc
6wGMlu7e5XJvEF6/BPCfPNSNXy6YrJoXH045a07YRHXGJJWNXgRUDhjYU7NnybxGQWV3D/YMeJyY
VEO76gALvHKhJ+k1LDjNrfWkLLShX8BsfgQ0SNw7soP/4qRWYwHMXcR2stXNllXvLOfwnzK66iks
2wWZkLSoVsGEKIMMko6SJt4lIvr/alJQjqCoU++hirN2aw8FfCUgP/6EQ10zN+PCgFiBQ31oCbTj
Ls3TXx0wttipUvJLMWfYzWA9Pcq48VMj+64PphPOYRrNp/uzLuxWwOyt8G/vdxwkVuR81OXZtW/8
Q99/EOd5Ij5cV7k+u673H6zyH7yqwDT8TQmLIEu6bK0AY3iBmQZkUFndnvRNsgdnkvTZiwC//8ZA
Im9G9+S9GW/+75OEDAxku0KnGR+4FeC3PRCwsq6M4BtX9sIHdvLdUh30QU3i3aDuZx+LvBBLAYmN
d5TApvGcs24poC8DGa/AvvETIuaBXgJa75DkLWvg2hqaNQzOU9+/g2qZFc1TTWNfwa7xRU8CYSyP
ehwZV0hn2k9eII117YtuboZZkm0k0ByrwRWwWq2zckMKo5pHh7prACrpirk55i7f0Filq27aZBZ2
IDawPI7nUbtuxs1odOFSTUsxx7Y30PIjUxoVK/ecbEIHlm96FGZk4aamlk6y2k8AaidbZFnHeXR6
zdtyNIZ5Lsgv9TZNWT8361qxbeIEbG72shNbwc3mrwsptSVOVc3NgDv21qY2Cj7TyzCdgmyDVEJr
iiKJKvq+XoGlxY5AXLMjLkt3ORLDeYLchO66Pvypz89669Alcyg3SDs/u4b2Zc+7CFbuXReVGYw/
g7g8fB3WbQjrIwuqL4czxMbgybCbZyvfttcGFXyhT9WhVatzPJbpXkK8dp22rv/iNMZOn855gAzP
lwjmteBUePBPms7vOqIx2L20coraBhwKNjCrQ/nCYW/hSAkqPBAXPQ2klyea2vG2qfu3fmpBiwOV
BJ70ezkGyS4NZbpyYqZecWwTUVW2UILtOv/RDHIk0V31aisz2TUlT1fl1IS0qYC8n1HeQO/Mf+yw
2dT9RVb+LEPkpwT1qgMoDMGeAoi2tWXawz8a9UBVNBJKSqW1YDUrX3q/qYC7p/w9BdIx7RWqYcD1
yByyBJGSZANbBvvH2Ka/Cc51rxW1AXzLsvEB2adsVY4Ou42hIL2RxgCKcez3+67K5NbPGT3ZLepO
Q2oZ50QCGtlkg3oeCGpBJb6H33OUuWLWAOgkkf3X14Nk/5pQ2v3kPf1eCCP+VsDAGJn0sHhsrNZf
1jb1b6ntFxvek+zYMivZCw4ApsqkODmgjaxhDdefM2iiLisa0iejmTJlyoy/l4U8Z4Vn/qYSPAx9
vT4DbzPJi18tK18dEacr5afWgrZ+cxg7uDzpZ9eHL31+4fkRCHj2LWKfPe7Ev+GGuvADQt/7ygsg
XanUfeK7EBCG8PY+zgr3lDCkbbLS9p7Lir7RvEqAhyyjnA7BD9OpQB9JvAaGXICww4Y2O8AgMD9h
Y85WDR2MJ5jI/NZXioMjDcHVVknXg+bbJ48hG5s1MhLWwQpNeTQ5sVd5V5dPBCpb0WAB0whWl3R7
80hSMfaRfqrSltRLkKP7VQx/UVg7/oUj18MwGAZo/IorN1PYglmMAYU8LRRqTHnbmW5kj+DfNV7i
HNj0EEsXbITpwU2Yc3Am1aGiSAnwYH+N6gEd8h/0JbwwD/5qXjFjQRv9aVI2uoBRflkYEHN7BXQm
sjDTS/m0xJeLIyvT7QJ7XPtEgdZjGI0CQTDftKI0b+a+KgnGmzRR7bIJR7HUzZDnNlmasbECLdY/
8Cna0ytIFadbxy1SlPswT6+jh3XTdusBRixBMl/gOlBXojyl4OBfu/SEMRzMm8oNq9UAOBQq4VhT
h+iFddNqyClzawa/479d0KsrvuuH8ml+sXo059BsFKSmqz5F6XWpV7H7KGm8dl73uohfimYC1cI1
d1q4dCppz089yr/1Ppw99auDzKmwI1GPZN8Uwf7rOxcosHH6JEM6Y3qX9FrXiwhQJj0OecFrl4vf
sQ3wiajxV/W6qmtI141gpuU+Ve9JBe/uIinlYwzF0pXTQTEHCH+1q6E8ue2QjL9toWe79Osyf2bG
lCmvwv4nfmYW80pIqx5cQehbQZt4IVH5fwA5GXoaKnePGdRN9oGZOxtSdgzIEdzlLKNXL8oc3rOQ
l7/NYDevw3IFsuIIE0ezJWt4ZjFoL+Kh/HgGOdZLX1Z7bP+liWwj5EK/TJk7dXgDIKy50KvhvorQ
68KfovT868pCR147a9TzUab+xxeCwuQ6SIE7NQaoqgFhayyl2cPLdWpiA4z6vMp9eN1nyIpB3mKi
modnkwE7qUP0QzfuoH+Rnk0VtptaxB6Y5W5765BsAxBkeWwseJrqLv2APdeetPBpmPsbhrMW0Cq3
41jb+2uYfhbS/ImZibH70l8G8vsonXqXqUrgJjxBLTvs1oax9d8VCR8L18+fPFHE25qP4Sa3quaJ
t9mjDmAhPhqhI8b7hA0mPA0wvQi9+LUCUbGRnv9eVk4QNRXEOgEx6Q8j1AlXporDN3j7RNUUEeNb
s4DVbnxj27RDiQrWqXrx2MFPceV+z/zcR+bVNg4V6ty3sMnNFnpt18zWlTV6r0Prp0AmtPm+A67n
bJQtm/8A1GbvDBjiPNfEF5vaKPqt6qzukfrFt1zUwXvRGb+gg9o9mNRPd0HCwzXeoObRNMjS7yi5
GTgkYBz8l2oB8gvqsHzTQJBirZstCR86YoTnksXFHZAxv3V34woJn6dObUVj+K9F28P/kLAnnhiA
wXLohQrTmriNXWTFVrwFn2p8LH3vm0jz8kfG2VtbkuGxymS6pUP3P5RdWXOjMLP9RVQhdl6N9zWO
E89kXqgkk0FsQmKHX38P7bnjTL75qu59CIW6W0K2A0i9nBOtUcE5Po2l+RJPwQ3dLX5IA/cuGVRe
VaNe2X21fVMPKK3WEy7YC/QIQKgdSl9udPT35EpS9OPYB/6z+gc39BcZsUTfOaBDcGssK6Si3M2w
tcjLGbWnKqBPlNJ3Gzr70/c+nLLqegdE6WxR9D3beG6ZXL1xWBuma/8YZO/Nc5awLX4T/Yk3DeCA
lPOD51oxN5jNdo0wxEWZ2rNW1vYPDf9tQcpMa++PpXd2zOQDCHI2gg/YW7O+9g4oMBkfChMudOog
8dKeub4Rn8KOlyc7qRmoVXAFHfDCsxB1m8dOdO3+Ho62Hax1qjDZffWkUTt3k5uWwtkkooPIzGjt
1v6bOST2kQ5O3NhHQPNfUKUF4L6/5dgP5ytgS7dISUAHJFFnYJ+bTt0k36TMK3b3Qegs1nRt4Zg8
D772yJ1wptfgdCJFh6UtEvKBAElN6bre3B/1aE5Nly5UGq1xLBckuR9owpHOw0AzwetCCpJ50ycp
Acm+90CVeZffu4oMt6zVO/GSOtwViNOkO3je4L23fn8vpNRS602EurkWvo1EnLhVq3snGiNMgADa
K/fpLr+PgbyUdxTuG7fPeL9mJfJkPeZJMvv0jdL0u848KdxU2/twdDbmiGSNKTNu3/5dS4OCjHfp
aYV7+zFISXI4o8cFyuybf34byDEpWD8e7vOlnn0R9vNmWiDdJ0wKC3umI4KFdzFNmZrY7+qBifjG
p1/rprBAQyxKAAbFzEdw+M2wQZRVa42F/B9PnawUy+zBM4BObotryYV/UchyIzTaBSBUGfJgwHyj
Fa+iHwCXoZxhY+Bp8qRc1A/Igr3KqT5dDcw8doqpY8IyGVBHuJdPtsfiZwQTi03olGLpAdL2h7A2
pDdRELRI46LaFqgpuYDP94UGtBzUOyId0zzFYGs+ANQO2BTTlXzXAB51Ia+mH3brCrlmWOFjGZ4j
FLHR9S56iMYIeNF5esQOLnogUYti0RUeG8PMYFnszW52FYCl2OCO65uwHdzk0LfhgvrdZHIYAVU0
gqzx1iYV6GtXPuCt9zUgHR9IFPoNRx4jvM+f7fAFzyq4eVc3oW5H7GgDZoEuf5NptrQXDdIskHGK
2dKIFnKasAbiKMN39Pxs6/5LN4Txi4MdyQSpNaxvzcwIkD+hrrVVJfumV3DINFXyAh9ningFc/dI
tpXPIBBdkn2lsxB3Tva/zSJ6MosueWx72Z/8qspn1L11AMiaFokNxCxctAVjzlCr77JtTVTaolio
NLr4JaySYTaYWnmMirG+AFgftHuT3M+9Jfzz2Yp6R164Rd4DSlDMLgRTrWvMSO4ajhag+DrZDXZk
f4vsC4lHEFVsZNNFCxpsYPhCUR+onXxV6Od25N+8KEqQUgXCtkRnHO+DojqwIZbHrJ9S8pLQeAPq
SWCHrvsylKO5EEnTb5FOOZ4reLDg84BFH8dnmUrrOfEValbKOl47SDR79rzmQgYhgv+zAulMAO1M
xZS2ri1ilGG+pH03JwuUvYMbNq3ZsQelPGqnWnFT4A1Wt5K9agDvBoQK9pFGG+cPUQ0GdOD+IbFQ
gIUMxYDWThMoDiyzunxGyQHqr/TmFxCWy2eByptTikIka2q5Tg6EM5SKkA51Otpja5YB6UZE5p9R
xUkqGkn3ypkel/2FWgkr8ebQujMZ6Cp6wIpfP5Gu9OVbAcgC/G559ZzXgLn2LS8H2TomhKyIcCax
kd4CMjqfJxGLFwVyLS8ovPZCddGjsryIDrXn0uPxqk3N8tK7rDxqnX64WzTYUoPXxGy21EFyu9gC
UxA5P1N/6oUK7n1kpuOReuUtgEG5Y9XYCMICGLr5Jd2Siqzvl7zpgQp4bLXucBtq6qIZQCakS1Kv
EHGxre0C4ZA60MFEdWEpneFILbpkA8qX2yXdMJs+JamKNMwDLxRqk/auXFWm0ue1j9VY46ZI5Y9d
QLCjPO0pycrwUTpgXJ2UJMpc92QqOzySCJg8iFSEDVDDJ/sO/3bLyIOHiLTc6hm8TLW6jaaZIn6s
MyzVptFcVH4vo5zXuyGLrJmTOv421Fj03GMHC4KkLl1resyfPTvNl0MqnQVpo1wf16LXEKuctFoz
trskR17tTZtI5xgqdfGmkWTMxkfbgft3atFBR6ryGI7FhVrdaJ001VcnGiss4BzofJSxkTJGRj2A
yVq+uWlb0QLe1emXJhAAH/oyQ0Em/AkBgxdv7qmcH1JzmEA4vN8Hm8dp98mGNL+FTYO6XhJIMKwE
KSDD5tSkgcJ6Un/qf9ffhDcDsr3PQYWuvR9U0FtWhW+nRxJsOzqnxqz0mY561dduSvtPE+6dpWvx
fZXkxZw3o3pFKuu6xdboOrGprLPUqZc9iMBftXdS2wZKdAAkAvjsLg2f8fNtSV7kI59nUjR7BLer
c5ugJJkuBJyNFl6hSD4kY1kfkGU0BKSoRftgmPXzAESJJYp0N2qU3YYxoKTOldLZ/nbatdXCqWO5
TZhi+5T1kZzTKcuR2TmzB2fmWEhqJtlXm2zqA1qpNCz83a3DJxMZmf1ebQG9zZwlyW8mfR8ZOyf6
RqKbliZEbeTrYBNagONi4kP5NNGSRzp8R/CBgTp52KkUfMlnOs0ARbQo6wTAmYhy7SZ83WJDGlvW
mRbQaZ24EjgSf0xJyIo6k0AwzYatyPLA6ozsOPFkgSfIUe8o8MdLKHwrDeDjMwN8DeDIkIdqSACX
Mdb1W5Fu/FaW78ZoG0Emo/7otKrey6ZA4VfkJK8+UOLJYhh8GdhR0554xDB5VstFbeXui2FMNWMY
A1H9CaGqbx7qyLS2TWM7i84dQXHRYaUwWehui1RwkzXnAsX5qArWqmUFtsJvEVd73OLleycNUFom
TvsoWjwn8D+LiGQcI3FMjGeyAJMxnzHUtGGP4/RrfD/6Kuy7+Dm0vW9kMU6bwaZjTwCW8lYO0G3W
fqWFl8TMP8ggLPRLLAwbIcFarBK4jTdCj73HCvwuM7KoeXTMUaN4RU0XGJUjZm5GP3fOHdfam0WU
VZux7rLvehfzJci72q2bdo8ZPMgAUDfZyQQCAa8GQMG43DiRiA7am1R6c7pLUb1ubWtAo91FZDia
oMRiDYuDLwoQtZoBoAWsBSnYn/ErZb12AMzYfOkAPNzZ4Bwzs1e7IdSTAx0AL912MzotK1dsyszb
j3YITPrpQPI06/Bupjb4ZaxFncbGrcenzmRJNqmfCzjkxnBOsrvi3qSzsbCeFZfZ+i7/ek24GYTq
1f5u4eI/0tSYPItoIjOLr41tikvoiHk12vwa26o5syrb2kMeX8fCw3feigvpmOnEx3SUH+akg3sf
eGc51vLUFPCg7OISnMxkawrN2lga0OkrVrzrNdD6yzwRO164bG2rYthHiIetTOBwHrIMIOjI+27x
1GRsAdKS+OwanjNFaqxHlVjx3G+cdgKSqSeEYHVFgqwzMx1HgLsS1EWZKwrsq/v3xK3Um52PjyjT
aX/GeJZ5NdiFajXO4zCKY7yvHrPOqJdmDNwGPA/HQ96Nzb7q3mWF7LSZ1hrjgeR00HRX36je3d/l
MV5t/RyJoxPelUpug0gffhkQIGI8kQAxTzi1CFAeybbd4DwOHgdavOe8I13xSdmJ9tpUITAv7OxH
h1LLWa9FzfemHs2ZVzPrmjSAaAozL31OsEWc6l/Giw+gobkX8/TRBUPJotF9tcsK/yhCPqyTcWLz
jEV+bZh9wuLZf+MmUudllPhnbvAUKewuglFhZH4HVeUyr03vzR8Qxanr3Dr5renskI6LSEEl61fu
Y/kGA5RTIG9bk9ahkjZDqizi8DS2Ms5eJ4dXxxD+vGpKf6chJfBUSBuIsZGYeWUen7HcTdbaEFWb
PovVScLNB5JyQ/ue6QXgbQHewepqheBD/op6ujrQuQ1OtMZL16VAmXIl4/KkjCibO1YfvYBV8+Rq
kfYxiG6VWkb6GiWyCQSefA+WCcgTfGVqY6BU91TreEQnlctfzNI/0pXAMbQSVZm8Fg6WJREARR9S
X+ZrAEfIzaDH9QlcIXiuV9mwiGXkBIjWqXMNRKs5z1yEv4C1eCZZlMp+rkZNX9iABeIgMmbuvFYA
KL21yzjMFglSFuZkTh0Z3gYLB2uJuUl9CvxrLxBDR0ZKxZE3I7GQA3Qt6EhvY4ylqy/hB7GCW9t3
GF/1CvQP9zFFFTb4SMBQvY3Ra6iSCVse/W6bCpi0Zu5ZSAmc5plVFRD9tWj43VaAHNx0oDye1a1S
53Y69O+lgjdd7xNgSfi69YAqc7z1gRT0inXyxwh3wCNS0r2to4MuFshY5is3r76j5A+96Mtl3KbZ
xmJw6aKq8RSHzHrlNZJX7EQOx663qiOq8GWA2Kb1iqmcdLgWnhnSpjZZxtullRbZDr5tEaQ90LZz
PrantANDV+P18sQ6xNEaC1V/rJT4D5ahd0xTFMWI0TCQ0JizpTCd7lh5oBNtUiT/osrBX+ZRkR5R
Yc4nCFTkfKdWBrZkRPwy0clVnnYDGIxNVECJoQJeXYQqOovlB+RnGCsUGEUH5hvOKufc3aegElkV
XgvwLQRy8A+8knapIXMt4WcVJmmAol7nPcrAJx46P+vaGae12AAKRJjG9qit2R/Tvq2+mJpFNTzq
NlBPgVzqIPgLkC5uJgAyNQEPb8DnSmzEJLMsa9Uq2XEkNfQJMPKMhULd9dEuC+c4MpB3ZUNVrqnp
unjJzSqrASCQsFFzNtnchHTqSLFtB/gcqUUHAPI7qD932ELDMjIY7VROTLHoR1dBpb2XMXm7GhI8
oDQGYPO3HJ40lMP1RzFBjdCZHqJ+UUTa5oschGb9sSuraFGN0gnuHUhBxpWlvo+Gim5dSU5mvcya
vUDk2kd95MF10tldRx1RdgqfkoEawTjWkXxHwmSKsliysFb3a5FiBAL3MbHgM5psnWn6dZfEKxeP
tFnhwAc8I+FtTmFizrreHpcaL7Z1bmL5zLBtwuN7EAHK/9YpvICn0cu9x5DDR9+5WoZqRSS3Bond
PQsBlDTSFly0Wz9tULNBfTN74jcPmb4ldRuCEhrB5+tNq7kFPo3fdGv2EyDj2q5yjbCc0SmgJ1Ck
R6em/7MZKm9LDTokQMfdTHfTJ6tb33pI6o0A++MnjQSxQHlo/QqQ9rn2i0a4yWzDYxvb7ddji0RK
ZnCx0qNBPmmW1W+qIUwDarpGPj7kSP2nFh0i5QNoXSBw1JgdkpFMawWQZb7wQfmy7X3Fr1bBVnEj
mh8C+TaLOmL9Riuz+JvqkDiJ7+WHoVpwA5rg0/HkJhwSgEroXfu9E/1xUCr/GKR+iJEI+R1U4/p8
MAoPIJdOulsXSQVA9tH0nsbOQNizq82ZLlK8ggfNPCZxfiFlZmB9E4Frg3TGZKAhcJlnjnkmEYvM
Nyvh7YHMvVCKgA+Te3AyFVoCnLe4tpekZdhirSLQssxHt/OfdPgRd4Nk+ozGbZ1eO5aRfialz4bu
4qsfpCJJIfG467L2TKJSmT9bvQDkyTQUHstAfUldMFHTFIeuXLhxqi9J2ziIAoiey9sH5ik4GTwF
1I7bJJ1OnABK+dDlAFIogFo6R4EBCotq/x3b7+JEBwTiilOaaYAkzIY9iSIt4Xj0YItz4EhrvtvS
WQLI0VMIEJMBt81dR2JuyFXI82Q/KhtD3LQyfQb0k7f5JMsNVAjEXhGuPgkxCSQsVo1Y0pxoQBoh
SspqXmiRNb/LSBEi2XOhBnDkfVHUyYjHu1n2s7sibQCIrhXwbTW6EX8fYwRA9NZ/xjKyPqJ4Dc4K
4BZ9Hyc0UCFRVEpmyOp/9QpU7uhWDo+2GlG+lSaoEQZoP9h3yjlZ1U4C8D/bF4jiQGugOPn/MPZQ
Oq9uoX0aG3HMIoiRaLIApEw8M7s8B2KGD8LNGHmf5RCJq8ZKcxPVKJHu+jG/SlZF66ZpUGUzaYte
tEtR83RJWgAKpwvAB2LWkza0ay3gjo9VwNQX23OE321ETEjrgjl1BuBdlHMPFbgUPfjf8TVnTx2w
BJEej/V5EoYcO/m6OLpW5sI96xg7kJX6IDrPG0RrkwJo93izDrnuHi3ZgJYzTc0zyJHFHNQ97lOP
kHEgkFSslOUhdSgch1luhvqhcQd20LU8A7GRtiGRsAt2kNPhZleXVrGMIzBukJo09TDow6wDQfEK
gFcTBdqi523z6ExATODLdhaxh1uVmnSAgeU6zSMViFmjB5i5PwYkgwHQChlScMpuA5e8hcUGUjsd
VLEfOt7lCzhn6qsB0lcfXtEPZv6K7Y7/BFqtPsM3KC/Ux9ORXmpNfVD2ly9QS1RdRzN7V30Xflji
1kf4GZsZXv67j3La2WhY6YYzIOegVkJtozT9fZb8Q3a3+5f23vffdvBrd5oNfCKnWRDpzShY85jh
cXxvCbSIH8fjvCXdvfX/63cfc+onXb1+6o3r35eki0xqfcJhYv85nUlnC918pn5/JvB3P2oZEeqO
vZPeIm+IDhobhp1lRvAB0eldQ2eA9YHmdiqjYTf6Wr1AGuhv2d36S+cvTbL7IkOlfL0wpqHuCgTM
3rAPQUYI8JlKQDPj0fcQ4V8dZAk5aqeQdfgQCiYe6Eyy8lrXXbe9y3vw/a0BdAtIvKnr37Z6av+2
reFzRkpa2My8yVVKBzsH89IwOSTcyZHqk/+TTu821eDr/2FDagdwIOuszVQVryrNfW6lwaf7E9lq
st5RC5R08YHORCjjAzW9KHb2TQ5sEkj+q1XKdZQeF6BEnIYw0xRZWXdj6luN8O2Fbr0nE2uyu1/v
LsvrxlwlA3shUVjbaulrsT7Da7w/AU6iPyFTFgiGie3BU2dkzuQgxnoF7MxBlcfjkmyyZEBUa1Kg
DBZkYMjrW4OLXm1te7iQBSlL8J14XuhtyZ7kdOhReuB2Q3e4y1sT4bsovg16FyML0N9lEp/sz/xo
BCGNdoOs+B9kGroqdWaWMsqVBmTdGQlpBmQMh2+/GHgFYOFp3jdrvDb53OpauSAbd4iCVPeNraMh
dQQ+BwlvU2W+JVFAPPK2X8JfCpzIA5hKxAF/XwyAoougm6d+G7hZLOexpay33MOOoMzf/zXCXwap
A2pTezScT5fgHfZuqV5cASfKDvdDaOVibWjipeoKPOdJ0eoeTmMLeQYlj7uAhNKp8ZogIzrN7WhE
qS722PfBbh2pnYG8MbJivv3UjxQJKqL3Rv2KKmj90zxuY05zoxlZmFH690zvs6CZ6V3eBfdBPl2m
x6NmhmBzsSThF5tCk2PQcfshlYa57vCvuI1wm++RMOQv4YzpQPwQNUjx5s1zAbwE5PtUYE0oxQl8
18Upm3CyWZIDLhLwngE17wrgo/L1KIF+TAppNQAdbsoC2Eppdf0ksypL3/m82dwHyJGtfAI9hnFI
dWDv1IMZMOlXJ5APJrO+Y9UHA5RKHmrluxAR/Bu2ZZxTW4/XA0qDNmFZ5w9sKtmdoAVfvaFf6H5W
fUQRAICbUr86SIRaYGut70ezSPd+Mb2eLN9/LlE3nKUrVIr3Pw145sPRzt4QHyqDlE+EEaB9Xou8
6NaAtIvP4OwrgqgE0QKW0IiD4BKFoz7Kxh2f4f3wFkMUwsWs9d4eeUIFIuEsvCadc9WTrP7w03Jp
1Iq/ogzZCDgomE+2Piog/9jeipl59AiYjqNVgOmAKfO9il9uH8LGHttAGuSTUwI/1EFQYVd6OjtE
BnBIAG/Ev6eJOnup0y4szefLesj5QzthvIS1q83syk+9WTMlAnia/iqRd7y5yezUA0v9xDwfZeVa
czkAEUznKcZj71rY0jv0pfNrACPOlRWgOucC6Et2MvJrhqDTDqiCUWBOTcYGC/C3hh6QMRJJkJTp
6+WctDrwlFZR5WUL0sZF2iw7z4qXrRDrsNfifcuBGJBxESMLLZ9cAoYwZ4VtiL1pF4sCmCLePAIU
5tFE5fAs9XtvSYaTM91qjgzXPzauq+8tC5X/U0slEXJXi3K4KduSs0VZtgDXnBRkQlrksIKAAQDL
wkjUTFmaBxSbyAZijLIP8OXbB2ryrHOQKD4CexpKkpMFyz3cbqlym7khkvCm7orqESAQ+saKzS0W
ceWT2ZTVUzyhrOqV9wAw4fKpEjUwfpsa66/JIk94v+ydOl+QFoCAfK9M5H+akQlUZBdbXAdL32Mm
EMZpAYD22orwF2gUnbPvavAfgb0iIDneoKcsA/w/WOKabTy51fIs5q8aoMOLqmi+xcIe1sjI6gD7
DrkDdCxzQJoCfs2ZNIS9SrGLCVjidhegMKlL9dSk+HICIFYbQcVdvlZ4i1wGe4wQktA+8rDpLmSe
duIh7/L4SK2ircCepSwLbM0YK6614lyY+H2m1u0AEu9ZBoyZDY3odGO0AMNkt5I+Ei6q8KkFHM01
7y39mPcTx2jd2N/atklXsgF+UDU1TdNChnrGywN1Uin2N1n5LckzDe7xqJqR2A0dAFqFSLWnMerE
KGcG3u5HlN7Ib6ADJKu+ARK5GtVECo8JyM7GXrFHnoirjxLPDEubpQ3PUJBismOTiOYams9kGjWS
7WWVuHDPYVID/AwLx5MgiKyd7kFX+be4dz+wpS2xY27HZ9Zat2uEuHv3QPrBsmDq2JhDDVqqOF3T
sHWuflSWFj/0bWw9xXqLXHRMzDNL5CD6dXWbdgWamQWo2PVbJzctnmurAL5PxMOLbrHbFyWHCOg8
3hVxTPWAjXQaAHo+WkUlLwAG6mJ1xZL0oZ20BXfk7cwOgfaUhznfkKIF9Fzph8YcKIvJYzeAX8cy
3poC1UABagJ1xOE05IhOyqIs0kfdinX4fkdtQbKbIpQv5mCgdmEyQ163/eCLNzInSQwIx03ee5/H
AUuKDgKcGnn3btumASBFX6Ky/j1G5ZgIA6jxJUl0Lyj90VolQpsRel885t3l3grDW4ug/HoLrpI/
uvav1p9+xlQm/MeS+sXTKMBHBK4TdH8sb9ebdCUYt/7Rz+8ja5NH3SbqhvQQTwc7DR+bfECtsl6g
+OOPnM5usinQBlcXmd/FoswHJCRMHaqxfc8ic+YTAXxuFwc6o0OlBrksDTDUh38r4LctDh7T435m
uTFQ+KJ8Sz2yFPCAdOa6EbQtKCgXYDADmdk0Ph142jXN/HaK8psUVTu7rwq89BDHwf9PQJovl79f
pdO+d66b78mKxF2PIo7ChVPBRYGbxyL5URj1s1VQzaFXLHS7tPdOU6f7XLMYqmW4uJqa+SMaePGB
gtxFAn7IV2QhGQE+oXca8ODfKKxKkRFnNMhMCvFyEYz9RMqDn/TFhyMVmEfgurk0Vp2tQDiTbDPT
jE+N5vE5Z4kNMDybz0e7Qwx6dEp9y6YDnVk8+X2mjzrOyOZf6rsMAIDpPHLsKXsQnanffZgvMlXG
KGO6d/6ipjn81yl96Sb8EWPdL3VT3z9VRde6f6xPn4g6fdKTquahj/JuPfjS5X6FLzOLZOjM4I4F
OSDg+1y87y6xj/wpNaZD0PlevCYZipzcA2q8T47F4VCdzJosZDNQqNgbf2r6hWnumkH+IiWZdaj4
GloXqR9TJ8PJ3U3tlqjvJPvp4AzpgwQLBDz8aIHGOF2rDgCh1KRDyM1FJTT+QLNinTEsZWiO87uF
W66QA9w/ksSoPLFgPtDZ6JpmEaqziVUzKW9zZ2MMAjMLJaHT57RGGR7jLNqSBX2S2sXD35fhsM4A
HTFNrI5Caw9+22/UhUQ9Ki9ntYf0RmqGwAvaaqyXtyuRTEXmtyhzjD31isDBsy4BrBjQNEgGFJ+t
ALofCpxwldgCjqQdIkGRpjH04Q/Ei+K91zfNqVTt0uCW9WhNB3PsNdSrAzepdmwuAhBUz0DLkp/J
pBpdE6ENawTQqgFgoMSqkVCyHOwqe806pHL2oxUjam/IK9A31gzEo6/AH63mTg3Qe7NrpyrF9o2p
EAFY0WFbIZCy6EV+egKplQPgXyiE0/9qlaud4xDL9xFFNHO6QAtGUSBufU8yQ+wcXZpAT3auvcni
I7UylHYh5Mn7jZ8b5tMQM29hNUiVvGkRwtnYWVki8AOtL9zwwEf9GylZbDUXOVxNMF82QaKNWzwQ
swfSqbKB7/fPNQv4/ucxUlsQk8OL2jW5v0pG7G3J2MlKvu9M5MrSVdSQpeeuspc35TTnIikDRK3r
RxIVjvkTGSRAP5t07sitIDZja03NaUGB5FW/RLQDU7Z9q9hmxoTDMxlH1qgdndx6IGU1qmEGioca
0dV8adW+dmLSQMKcrauliQqSOTUjPliPgz2XboNQasfw0+B6PtCJYJuBnfRUZP6mYUYsg0z3Ad7a
19VGr2J5McPG3mll9UtQX9t2XjVEEffUFbBM4bqMjSTIwcktg1LrVkgMG0/D1FVD6GdpWxbDyr6G
g7b0N6lngNSzGSNnC2gtpT9pokYR6hixIDHgd3tAAiyqzVI39hdkhcBYx9ayNXRsCqJ+VSahfuSD
d0ASr3mpQc57CWP2fagUv4nCpOyXg/S9OSltVCmBFlOtyZ4OhZnwWVY02o6abavLVW2F8tYhKzJ+
xupjfu/AMqDtWC7TtvaozIubFcmaO0B3JRP8AvJRqY+7PXy8YMkZvWhLU5BeFa5HVytu9rzuxku0
JtVtAg4YLEFTxkEB421w53ZTnrIIYgRsv4OZ7k1FeJOlqDvhqho5HOw67hiN/9Kq8jnRR+1ldIUH
qFNreEqUb801zXdOyHQG3txQWzsmBrDrAXJoLXMLm8987Bd2psLHDo6AoEZVHMgGs1+gvdXe86pb
Nr47AEa3e636wv7lj8mjU6KwfsyWqk2Qq46QEbbE7Qz1xQhwZX0ZhFU0POABn200g3krtwjrR81H
USHZis3IffenSFPgbiQifwx7YJ0XU2i7AcHlQ1s02HFnNX/nbjIzwEb4kUTwYZq27l0y04mwxHbT
LXb9xWlEiVqQhmX4Y9BtUITBdqyjdwHksucOL51lqkDtMea6dRD4Yed4OYWAxuX7uIgRgLZVto7K
TKwMDVQ1WhPGV/CkJiiTq5ul0aDQx7YNUNmXLUrNJ23ZJPl8BEXomrQoYwabkrLFlrS8brEo04UJ
RGb0LViZzZCcrg6kjXvvWzFwfiJlI8N9JRIX/+EYtwg7JOPU9qNqe7SMJ0S7wf5jOvlzVm+pg6VY
ehk81J1PHWK8Lc4W6OlJ53tleeKFjozaabAR6c7gyUTa/zSNMR6ifSmQSEDaKYdsiwyWArXXMAZR
ZgLeF6SNaBqyNyxtPIIFMMP/VqeOwAyodxGglBcNctevVYFKJsttf1ooWvMjo/nWCLzUxzB1dpqJ
2iXN7xCxbKLqR5lpC/Dhtj9H1K/PSpAoPwkEulcgcEkDRCT9jRo6MfObAXRHNR7XC7euf7dRlgn6
gArOzhMZxUg7/G1kT0YhUOnXPuMwAu/GxYlAqpsBifYxc8FWZkZD/u65SPQBgeS1CwFSAnqRAtkh
f1kgDeiEBeL/xUKA6AHu21z+1zEQwfGXajTkpgd736Ohtb/nMV2F5iGnMfCelZvI0JG9UiYgPO/4
sMVN3QMtTv0+Y7wTYJz8076rb5p/tqueF/kMhQ7ADfD8bk4Dj9Pot07U1p2MGwGNnFeaF1Ry1I81
z2fYD8Xfcz3udrFEMhQ17coB0IZX6BtqDgn+4atyuKTIsXpoQ/0ldarku4sfbmW3MYpqpzEGRM7x
pkjSI0DeAMwPenmS93b5e2zqBaqSdo4Cy99jt5231qexbT9vHtJ2eOkbHWibfdcuUiSkF7H3jM37
8FhW/Qr1B8MVJKANtvH9B7V88HVtUbRRBNRssJBcgfMrWVBTNVq5wEMJ6V5T1xY3NnLn43ZLzVQ3
kctnF9qBmhIBOrwH+SPXsvbaLIDP3l8HprnngeVbarlAmTzoBcdyaFJWSJLdiqbsbheHA6Re4a43
5m1xNqYfkb762/c/Ne8y+iHuTcnH6SecbBr6NUlfkvRL90+m/xq9zsApkIoQ7M2hvcerOdm1degt
naTvHt0ohAOvNf1X4Y1LlarmV+ane7tFDmGR6yCWBhX1GXyt1qofKr5FHnN0dBweLTrdk9e+rn/5
mt38QpaYUWIpjrQxMO2U/BriMbJAzYNz0L0m3xpjpq9QeaHOgENogrxO2x+Ike+K6YpYPaw0gF68
xt0I+G69LkDmYoBrsU0BFAi2i0OEcDuSkZLouROISKGX/mRV6evIzbNpWEgPRzX+pcPNBvBu05oD
Rab/H87Oa7lxZEnDT4QIeHNLb+XVMjeI1kw3vPd4+v1Q1AgajWbP2b1BsLIys0CKAqvS/P89qFHh
rd5YPAsYJZOGYuakN2j43ue9MtxDh+JStF5qQHsDpLp0rW6lx753pgP7Z+Hr9kYtq/rVil8Vx7Ce
FUgYdt7Y5RtfNuvXQOPcELFXHMMm3Tt+BN3xpN4DAu/D0PCjMChRKuwI7tjQrV6lujz4RZs9BkWj
H4jKKCuh3xjJNYxEEX3LwQAw05ishH9FSh492fXu+bmqT3VcQ5g6+W/L5K23czbCdZGfaeEtl8J/
q1XEx9l/l52/70dr3KaRm94rTpdcFYF/JUsKe4wSqvBFpWjWXswagJQf3cEGdyxqvJxWrfjV4E90
cpMi42TWuTtxPBmEMWBAOza648ZsdRL7k/seFIKN64/NSgyFmconFLXy3WV9uE3XgxFHGzHnD1F3
07TD6uKx660edHYj2gnlOAjbM41Bd5e7ofkPvkuIYA5i1qOC+uAWGfxe4na6Un0gQhqfhWdnjKtd
YAC6fpmdzpe0t8c3F1uTHS+bSWsllOUsl+5KcLKn9yAuVeGAozO9OTEkhKtea1W0vdxJ57XpUuJs
eblPLdG0k2dYT5cPdRxBAujo0PWJg5BjjI801k+INbz6V5lX6FoG1D46s6IzeeiJWq98M1pFU4dC
RFdtw25KOYKC7O9FR0RcavJJ9C8kYla8FJe/6wlRpjuwfwDJ+ZjS0Q7qfwUd3DKfmJ/UiU1EvKLC
kvKCXuo384QOFLmyEDONrb/PSDqPjKR0abhI82A/gkBBQMTUbsRFUqmml4eHWSJeZWH7PPiRSsDk
L80qy4FqMshYmD7HFTFBB9Fnj2KCI4EyeaQEnW6vD29WaikXb0Jr9javMN9fnyjq2rug2EVZ9Bto
r4wgvk6TZTeUHvwnbGwWBZQINKCCWLO3bNe6TFE+CuNJXo/X1IpP/7EUDsQuCQ/d965FzUHIKEg0
6UoUDnzMiToGyqQ+zemy9DjbTXPeZCe8/NNOaA6K7d6yYeMHsLOrO6/rsk0dKR0NNhksPJOs6NKf
pZopx4soJvfhAb8q5majogGiqEmsccILin66ANp/ZwC5oLYCt85cdQT7rhx4V6+qEAS7Xs+rtZA1
HxPilZgdp1k7ikn8C6FQFDORFVbr2SQejX94FYvME2qTT9haU+kC1c1adB6o1zvoNAOfO34ShoVZ
BeS1LNIBQgjBD6iRsZn3Z3uaKU0gcNJpKKZHl53nAP1VMNGWCc5fyTWjK737Q0gk3+qMhRBJ0h9i
PrIl6gjkvRGG2YGzQvscw36ZqPlLTffUXnf8dC2GnBp+5tAe3QKnbdNl0EXg3kTFS1tL/Ypuw3dr
1dl+sQ6FFmSEwpqTrnNtqROGRTgUL5UeDfwNTFo67RDeuWHo+aeFw715TpP2lpR09BjUIHIlAx16
kS4bzy31azGxubfQUoKVl9f2KbQs9bpvdQtGACYmS7cMo8e4qN8tFUKywlIoUEb0blmoiXaxzBTb
f4Op6nbI6l3ghsVPKBV6w/V/U8kEuUremo/kEat11nZwCBQShV5Sr24cw8zuwZ2HX9xq9T8aOp+F
VZQNLzSgBEATgvBEi6l/BXdhflCgUOEv6kVwIbg+pfRx8RZ09orAT/AbaJM7BWwnCupA1Q6NimhE
Y7X7PsqDHR2q3u3opu3Sqwf71c/7XUAHwm+QFk5RWKovKaCDSzczghuldtWdTY50l2kKgcUAiFRD
7foX3czOYqVGl7acr4Of9D9C3UGbwO0gq9LWld1h7wCGcGVU9EsUnZ48p3V+L1YqXKpBrUwGb9fu
2RR243WYxurZSiGkn0ZSnsjX4lWldO7eLeKnWWS21ngN7aAF9BepMDHBNqkxF75i1SvHqOClkCTG
wgOItTIIuX2ztSdDYV2YcXQE8k5e2IFESJSfngeXJtc2pntFCyp3pStVeihtu/ihjGA90jnzOriD
u64byCMTgL+fc/lNqEuKHWx7u++3YghavEXu9SXTmgLMRh92m8npQNMFx7jkiYelus9Uv1gLp61k
HAgUSQ8mqc11qLHNmnJAEQc/ohWptKlE7gZcThrMC8jkpvxPDmXYtT+061YkkUyvbHZ2C2nJZfxf
Gl9cTat960DxeL6HdbYXTFNuTT2nSmVmqNC13yhQMAh5CsbBKvc6uOiaYHgu0/6TWm3Hn9VMjvV7
WXXK83uZFYGk3zDHV4uscttrTqPDTTSOAVsVyXzxpk7yQQpGAEnt9LEEssgAAeVFD4xkYw56vtOm
YVWsa7VOXmCC9PdRIo1rIfbDjN5t239I7Kw9kYnpl0KuKdSami2N8XZGklGlnWURJLb10lUOmegs
fq6g6jlmDXTpsa15dwH/MyuYPoqH0afX10gy/UcWEq7WY4m2cRArFz5N9W+llt55ai79aZjWNjQk
yVuopA1smn7DxdhsAW4imhD2FjnjKvttlvE50Kz8DzdNXgvd6V6DxCkAYAJBz6F2gMMQPRmQ+tlL
z62lOy+zrJXO8fCGpnhvI+e9ekWFV7aFnJeelDH5RTBR3fWWIx0GL84PaqyX+xaylBPshNa26QF/
KvWQfPk4WjwN/uP7S30OpXJaxrTwjO6tDjreAmBJ2gC6Tg/B8tHodtKjq0ZL3dtxaPvrqAS8ahoJ
A80Lo0PmQ8rmm6lB1TzdVuu4NoG/mHQkjtm3ZlQGFC6NdA19yBKnuuLHxz8LL3nu6TdNQo73Lxs6
5cLjGCZ/OKkBdZEcV/Cg97q0DGytPdGscB0RLrhu+7C49mgJMJraO88i8coZysMEM3EUo9IqwL51
O/l+hK/rMOtKeZFtBxojjiTHynVAMp/8bxxfR0n3fqEIIwbynFoT3YtUfSFm9NFnp6BJOzHKtUbR
Fw500NdBuwv6sL9KkgFS34kcipYc19mEbQmdVunr65HutFOgDPTTm1Wtbke3fwZRqG0XyjSjd5p1
ygsYalZh6m5907f3dLTbJzF7cVbwlVqNcqDTOov2V2uhnniycpAgqruYfNJJy/Q3Xe3+9l3Wl6yd
90PXLtRILdgSZNRCTvciblUR82J8McjyaFHr2nj8tPjlhmWbUHieW9pKTIn7EK+EtbjoVt2twcco
lwYgVgpNJ2cjsE0aGUOt5CFOofxlHPbwaZWjN7FvD1TreKUmbcxxrJaXscyv1EEdmp+XodUH9tXY
U44hvBGadm8aBeovo4yu2mlkNqN7Yw8a/81B5OxnWRdPxFeqT+FHUEgXPbmjHp4NMdQkH7IoqYe9
GrEhEbZiCZ1+hfMQ2ZvZnZDHbr3g37u4FquKS+clz+po0tI13Yi4+G1IewNc3dtZJudJv6798sfQ
+e02tADZW+R1CHL8dPEUwz6JYVDKS1fxvOMX+TwUumrgKIvQzuWpU/vdfnYyy+qpVpNehXwxyy4O
JpmsyvpmUEOo8qyawEJcrRqHb8A4xEA2iwnTtdq17ekRFCeQtayEophRgvqi7U+2s1y8ovjk3UwM
L7YUEx1MPzLhmQotSlIEInXXu+6yMccO3M6/MKzFxIxcPcNXf5EJ28IqOurYgMgWenpe0LY5+/oq
TEyzXtqOXK+KwahvjKapb4ousM9Nr34SCfmQsy9XdTnbzbrGUFq7sIUO+mL64SRNKwCBPaochMtJ
XtCEswZ2RF5lH2rVX2sJtVku1tKntWaZWCvjCLIQ688TOWt1qhqeZ3k1reVMa83rZ4plgU9hFetR
HpMjgAnJsZcGmSgRiCyzLLR9y7qMM5rJOON+qNNcyFhYCuGneTGuquYf7r5V7CeXYkZchEdTsd9l
89DvKYK73IBN2/WyBTCcei3HruOebtwhP/cEJGGOyQr5WISAZ4Gq9T4D3KvarLwaFE+DcvONUCdh
o0Vbd9Ao3eCHPNc6jpEBZZclAH1724kqYP7L6Fa1n8WckBQOrbeW5dCSNukLmUmycxGkcbhXIqO8
8zs5ucsuU2I+1hy227INduqHje7L4TKy/GpHTxW9Z4mcERpK4vMYdPG5sg1v5zfDU+FmCrAZis1V
zAidgMzjslJabaVM2mLCyhplU5uySzhOLyoiWdM1j+zglE6XLoe2iUZkZWmrA+nt6dKnnF9KpZKO
3Kexi/yE+kJPkp+yiBo3VUnUgxjKVbgnYxjeW20Gtm0bXhGFkJ80qbf2cW3Eq7TvGTpWuSKA0u8B
J1Ke3DDnn6iDR6Tq+3tVGdjTNAmFnw5l32QWTR6/IOLqmkwlINCtZIVjlf5GSCPNGshFTmKGuuBx
oV755POviJpfS30bHoTeLIfkod75avlLiEworP+ygut04beDA7zChzCwY/VQeeHJnhwLk8tCwYR1
BmqMv/kkTKm9PAOyfbmNT25kn7Om0RvNar6R1IruS3DAV2NCMWJt3EtZbT/kqXqTW0N0LduG/VA1
E8eLReVq2yXOwwhsPtVBtbUVs3rVmRtSRvEa6nP7wQHOYj9KbbwUnthSKJC++z/FpAFh3Z3Lt9op
mlNhJuUKGDBr2VAlc5PkgOAvgkxbWm5HcV+BN8rYfSBPyMQsS9iEs/VQSitbzYezbLkaQEBRf1Bz
mQhRH6X3UZrGS8KV6kvnOPdwKFIUGdNZbdDnjidoGYIh/Nk21O8VddY8jLUdrpUE1Ka+U4d1kQcD
uGzTJeRvLsldufwkmyYMitlWRNf9T8pUOdsr+gDifalHMeCLwEkpujKATh+NZ3BSk10cUPPXgPp3
yC2n3o+5EZxUqtK3pqoUfHv6kP7KxLiB114HlS1s77OxH5dT7eyP1pT/rONwEzR5d6t7BFRVBxCe
ulcbgRbVZpH1lk+AVbnuUD8QSoAKBwMwUrZF7T61dYr5VhLUXslRop40KbeuBpIb4CczAfYA0Y5K
fmk7Q1sDUvTLSSSbzWZNAMRtU5Co55ehEWUHuYyrcRl6Kv2uBOXXci+5JIetbR3FzY1plPmD35LC
0YO03Ncp8JaJnzfbsjLrlZhNrN44l13yA6SwGM63blzYQPPd5dVEdhf4VMBbHQ+Jkcw32w6gR0J7
4ZBJfh3NStsYGcCgPDey1+e4UZLX1G045nfwH3uBBzyJ5i8HPzGeilCj/18qhrWQD4O3N0eve1TK
0jxoVjOshDxrzTtdc/N7DsQTatPwzAMiPUme4uiUEkhAc4DiuiT4EHlriyAzrX8hubHATa8vSj7p
2QMQZ/dC5lZjeg3EaXoNd2JCYOA50kitp57T3OiuDY+30dKtx4H8NTXageNbXVwnumNcg55PINNq
q9c4T6RFww1dtZCTUlw6coT3u0czraznwvSowI6HbiuGYWgdadPp7inRNq6aki5gIfctQEXVxOW5
BrLos2LxWNUH60cYFfGJg0a1hPLXejY7o1vCI2odzTzPn7rmTVi7Xm7uG6lQVmETZNeWOUEQT3y7
ZAifqz7Wd3YH7FtSqMPrh7yZ5OYkz/6S234XPNeKo+3o4/skn/0I/V6hb6tUkpXbm/7R78Pg2Bf6
uvcqnRpzRLN8HopX9sfsPCHsa78xl140DJsBSAU6eGjKh0uivoLTD1Jbn69KVAHIZFuk8WtYgm9I
g04JafEdqkp+SAZ+0oy8uZMr/xmQ0/TVte1k5clFc/TMQHloregkvkMBkKRrJfetvUEJ1FNv9Suh
r3QdiYssq3ZmVrQvMUTOk3sA1oetXLX+VlhXGZEGr2mepdFyd1BmWWthHQTJlm5574dhO94yG70A
IElJe7IMn/R/5f8Y8jq6BgoOCJqJ6UEqx2FrFZVFCQhqtlvaEzpTdxKz/2crksHFY5241CvJ2V3r
6u0NrCRvXhwRXjGscmNXUr31YMp7jhP5ZtbKbOmnEMspxM/jkDTb2u6HZy8dbsABcM7sPEY66WnU
l2pdvhMXahfD5agq/c6ZZEFnGTfZVOfwoWFlElXjvS+vZpne5+eUmrGz3lfynVvX9sFW1HBBlU6/
AN7DXOmqRjmLZVSPdlVV57LVf2tBXT2WjupdR77/IOY0ydFuOmc4iLmAQu47/i1XYm5U9O7BVi5T
QqIrt0Vmpg9COau9daukxd1lEUeh5zXrbsRc1amPoWXotDdwAx3UdYu0zeKzmGyTjObUSpaPYla2
nHjpQstyWYinjbOkTyD0i60RwQ21rOnUXEiVVO4v467OnzzH646XIUj0u4FWlnPss1dc+ioJcqu5
gYJnvJXKEhhJzstiVLW0mwfto14F7Um1hsMsBaQxOkI5/Yrz8VbIQ7Z7+9qMehC8J8eG5CTbSqeD
SfgRirIDrUhvxNpqdjX4kGC7RCU2syxPCJRQZ8VvxXRb4uKqFFg0qgoa5LRmRTXvmv3Sba2Bu9VJ
xGXFJfZih0fxJISX2dZpT2Wqond4l2TSK9X9R8+R+nOYxwFF2WXCmTZZe60DAbMehNKOGkd1cRkn
ztitgga6sJFQYLSMvPGNd5kdhTFPOOc2PmVAH92Ji6xq3lEqrD8v1oHUOuskAbzlYu11sLNlpAL3
l7GVVKu8qtrrYQQSQlU1mwNiXLX6FuBzQpmDMYR7AygkTVB6pmNZnWTBBWppRbjn92g/ToyfuRaV
xE+ml+ISQsy28fKIjLdFiEAlCGBFjf6Y909tZoZP/EqpV2CBeURfGQZaGO4TXW5WyZBGT24lu6ui
9qrdRZn6EAKninYWs4FPqxyACg/U/Pt3JUeRbDKyG1c9FlRmL8WQdL61aWvYG8RwImpchg0lG2L4
j7sSnlP2HF/vqvdMutSmm/zursDZ1M6Xt/CPuwqpaHvq3FIlNav+467ErGxK9Ze70jxVugEaR3us
q+fL20/9xRipixpgnlOXJc0uUtTo8qr8RvZFr5Xqzxaz7X+h1//d9rvVsla/syPfKMIps/BrGF0D
aEUD1GvxUqOqbgdM6WdZTHLTX33SlCejWT1vXAoYFOMoLp/0xMvEKGEn9Kww3nheZe40u1uDBNRc
JVTa+cuPIfjo5W0xXWy3v2iAEFDeisskam2luRIjofphOCphddH6EP3dF0m1ZJ9q8U9Zq3v6N0v3
KDjdxND7+1DMyhPtaMqJGgRt5V2ZZqR+Qcv0SzCmv+WGroohlNv7xrCae9qFNyCE0SNDwumeyHe3
hkAWmt9pmA+dfp3Lw1aM6knkybSGgeCeHIR5kROMI/yvLcRQ6PGsvrgUqwiXMA2/u0wgB7vOyn4r
JoW+O+JyYlk9iCEAnvbF5WXVjF+rwgS1mkrGhyz2ihMHzfCuLyr/ZjrlhaQ9oiWdFcHe6jplIWbF
RVINYGfsEmT2yUJc3C59kKM6PxGR/uRkVkhAsf8/OQJKkoZ3iGiuIJJ5U9XGv5OAWD8RsKOYRjX6
VyMeL3KbCtWTPOj9svOyQchhXXrXB3eYboFJ7jj1J/1y8iPkk/9BGrdNJxtPFLHuXVXXf7fUr7Zx
nb7R9WUuqDfK2fK2xB9M/nPzwWmOlKTrGzlJ67vpd2zZq4CCTeamqWu/LW24mPNM/2wOMmN8MVdk
X9/U3ljfqRmVjXqaRT8Nk4RSNfZspIJx5yoGOWzsuzOgmHAQd62z8PhtPAsZNCIk6ucZX2GvtPB0
9d4hhrPL2pzyUcq6z5qcJHvHgwOYnT3goMjF5csQTIgrP0jTvZALyy+6KkWbBDZhyvoyMQ8L2SyP
qarSoFGAnPRoSU28qvRSWTcwJ9100yXxOx4PsfGgaQ4VPpNIvGor/6S3Dgy3VOkC16u7HCnKwVnN
enkXRKek0E5CJLwJ+2qw760yCo7MJ3uJL+8OjJb+JaUB1nIXVkXeH0qVn6KAIuWrdQXB0k9ReCFG
xcR3PhVsmHV8mZs1p7lZc7ITpR2E1IqrDzvhxS2kV1Ha8TH3H+0awIMdOEYPXRHysfra8Nz6FITz
twWMbBpaMaVWSfTst5J+tHTy10I8awkjdnMwsFB/HaufterJV+uHydHIOWtGxSdfX1b8m1at6OFz
oWfGZcXSrHV2DTRk9iXbyFKDaKCuQporTKOlJt/y39qkBduwtV+0lv8SJYTNrgMa8aFKvCehICxt
u3q3bLMWmiVLD94Ccv6zpQuUxp7ayOihtpwfQkFYppFBSrQ0GjY/qrooulx7lNu0P4qwVTnxpQ3T
8MvsPLRgSvo6+53tAPvkuqhIne5He/AhBgpGKC3lLt2JQKEICopoYSOZ9r4pQfj6CBbKUlFWi1ll
nhGvdBDCyVlZ1+R1vN08KdzNwzkgOct0OMSWmurJn0KT3+kJC+FPzNag2O1gd7nEMr+sM6vN68wq
NJlsoT0s4T4iDCpufVabl7nEUIWZU7C9tTi6ffpEZn9fPj3hYUzIizm5et8FcrWs40H62efVyumL
9hetQq+l45Q/RouCXpqAhlNa5PEJVEFtnbBxfdSy8s/CNZtf9UijUWOPb3amJcvedbLbvjYLWiNg
AesdAkW17EDe21f9z0At1sK/G5TPdqToVF9GxdqjNwMw0cQ+diEEZeADNpCB+5SuTAvY/biAJt3/
o7LNYAk2/XibFmq4A+Uz2qepGd5oxUSeNqaUmnIKN60qgscsyKAhsAa4lbmkul1Sjzi9rPLkWk3I
c6ZhPB7j6TLriVdfZC5NzN+qxM7CbzzQYD+WEZbC7xfZPJxXEHpaEpDMhQPry6Kz2mz6v9+wGSXp
Wm+95vI257sOzIBGEFumbyPr63tZ9Snq8cMGgAKGo5Y6V57hk7Zz6nshSj1gz0FZ6Q5iSNGNtdeo
gbvYC1luKdvYktVrYRXJlKloCvTyYnKg/+smU7Xl7DIpqWgDK8HZCZkd+z0lMD5o89M99CPt2UYP
f8hQBivTbfUrJxy1QxQp7UYzlPCxDrVfstKYf4JCu47GQH8Vqkj0qyEvNGgcrHdVs5BnVbD03lWF
fg0W4kIcsS4nMvDmoUmiCn2R9mRdLmczMd9lA2FGMVXF6V9TdCFuR8cvb5XG+rP3LfUqDm3jRyub
Sy0awgeVqON9JVPHMYmtRE6uSpeYTzoNR7Ux9uB7gqAwDfsMgkOlHgG/tRvjh1O0yhKk7AT0GGY1
FtC7GEiBabJpwSs34vcFNKVcC/G8gLCJQu19ATFb6UG+SSJz3IjZQCuUpQdhzUHMJon7ZzVwjmxA
e1y4IOJqPk92A/KkHFAhOnjGfmPLOuWmCfjNW0ky3sfjKHOrht5KdDb34KGtOi0KbkDKXgM36d+L
ixJ6xKN7PQFxE9mHhg+SS7bsYzVY0W6ebKW89O8daA2Eva02SQbwALZ11yfbsAyD2Xb2DuPVu72Q
5brhC/vMgrwQSsZwUfD33PlTAKsrlSPUtfk9ncAUjAwqQPtTjEqyQnMdBsq3aoTIg4UwV4PCXI9e
Aq1DDCK6lx9dhdC0rwbeEwH4bElPWHCE/En6EVb0ICitcpOXdffDAQmOoPIPS3esa6odn7pJR7Wz
hvROC0LFNNkaWbbRmlHbiNmxorFPOBSz8V8O03eHYhnTGi4OxT0Ih7BijUsxKRzOd5iZ9mtc8z3T
FZ8yI+UtLe36V0ylMm3f5NbcINgPnVy8SREslzmh6seg7bVVk9f1Nakyb6fFSnsgVVpQ4WwMG5MO
ulutI/sWJdm3LkHQ3Ft5WL7pat0udFOmvc1VNZJRQO0Opf3uMpScgs04QVvhUuVhMru0XMIPnh12
QAFnUI8Y0p+ZG/3bi/9WR+/rfaBEfFmX0uX7XvoARPsw/pn+nQeaz4JvXvJHFQ1XGmm4H2akWNB/
TcmFuBq+01DyxgLGhfRHSfDkiwY9DsoP37PffXzRqOnZ+lcNQGHgAKG9hTR+CtjjHbtA65Z4WSMT
floW9MDvvN6PlpcxuIM6Ea82BK66rO/0JLBua7b9X5RTv+AxXA3Q4bgNygrQ8cRkY3uRNMTgOzsa
jhS8DceoNijzCow7IbrI+zGS4OFBJdFa0PLnKfHKaT1YLf4yyVWrP17sJn+zru/mAKxdZoRHE47i
NVRwz2ZAuHiC6yt106ed1UiWkEiN0N0i883Cv6ptl3oyJoXIhPsNiCSoKcSQZ5Z/9eFj1vjGh5j8
X1fRpzWHHGhIZeLtNSz1pyK56VU17Xw1Rto0cmndvJv61GFHa91F6QzWuZ4upp69vyLAaJ0DeI6y
jgYCMWnHbTNyyETFIDvIr9m/2Ap/k23ILopm+b98zuuodfhur0m6d2aHtUhyiyp9OS12Ldjw+7qQ
h2tFKf2VJhfFS0ki1Y8M95fbV7te9azXcowoU/Q7/UaZjOrJaML3vlZ6Os4r1c5fBs04AxDm/vKG
fxh5km0sKJRh/+gM6cSzOLwS7ViYypA8A8Fi+ce2in/FNAlvYIiflpLVRzpYNQqDa4YTMkfeUqQp
ZkUgSDVbkC0VlEXkR5+GX2ZnW6EshiWQ9rAaHMXh0UkJzcoFMVBxChRDUK3LnZjtfP99dh6K2SCk
slHOvXSkt1M0YUAKA8h4TK2flaXB2YmNjkbkwL2Ua3tNfJO500NT1ehvHukWNHu/fy7pwxdV2bOl
7Yb9daWDOAK5VPBWVumNESuw4/zdsundlVAQlkRm6TLKzOgMm+ZPOR+HqzHOnUcYXRZyBx1iK8N9
KIW0x4lhBfjUKgMCai+Gte0c+sSQ7oA8Cm8NS34Q4sKhgbYeiYtdfEjAf1G+LZ3EUApS/9kYCOuk
0QQ26pbeczOq7ToJgFoXs0PaPAQJdddgvXsb8hYwBidNdGeXzVulucWxcAxKfEM3uNWISBl0Ey0L
wOaBB516DcXYaoBRcAnkrwNwjqJlyzHbHFvzmE22eVZ0N5wU3pUd0AH2xMNBEBLGgRSUK0lxi41Y
ieaA6qaGnv6HDg7CFmI6adNkQ/ua1ye+BM2L7mTBLjGoeRdirfhDtW3zWZW1apcV8BwKcWrKi5Kc
7nNtKNouq5voIud3cOmkU9WJRSAtYQtHSp7MSdzSnk5t7FNJhQQnEbrfhJ9RLjeOzBZAy9mQWVXH
xmi6m9aPyWCE7mNCbcEhk+hRFnI1Dg5sg6tHxc36Q5aSzfUCqCzk0byRp6SAYzcgFgzeC8HL8hRK
NAFsxERe2rRefUy3Esze4gJFAlXhQl2MmypmO6mvqTpvj2pYO/eObd9wjBpeazDJVhI+LnLTdm9E
aC7jb/BFLkJ/38hnffrBmyOwa9IioQfmDP8T/HxVP5y6xJZ+AJZKjhmubDlqDq2jgg0Rd8OznpEQ
JLoygAyJVizD5eoMz+Ae1BctYVRWyrsvSLlmX9qHr27yxXniOy2xogs755TkJqk5+fJitz/5ZFGe
WFEYzyvO9zXffSi/CfGsJW5zfo/JxOtZKqm+ViP35JsO2+ZOrpNDoZonuBFSeesHxISn2bpSFl6o
3Q2ZDaCIlbhXSd27V+JV4FXuOpHtbCmGlTka2oIuXf8MfvlFJpRL1dVJEUX6r9mLsJi9WDbdghc9
IXT1z15m5VqyXDqclE+earAAOwM0DV11q91oGwBptOROxYXYEBUIVbAUo0KuafpSjPbO173mOKvF
qS0tmzDzNhpoTxfTL+4KNeO3p4TpcXIXxYNWrydP6qjVF09CQ3gKm4bHzcdNyGFT80BXyQSYagLx
Tuyf3LYJN7lMUG8AT+HWodaN33B6y80KUNXUz55HKtwho1HzQ+ul2a01aYju8w+N2cd/1hCrQJbx
7z6+aPSevFOtJnsWq3RZWhyspEtvhY9g2n7GhrozBx5D4k7T6b3IYIvQ1DZwGOOT2jQm0F6GRAUX
xb8WtSnNTu2UmBLmELCkUS1PWWYaBGX/psuZxrx20O19sqbf6WqNYRARhWelGgNqMoNAuo0a1b0t
QOyi1qQN9lTlurdiIlXpIq+S5kpoAJrnX48haCcfRmnR9Twt+3qRmyNZDb5M1Vr2mmA9O5kdCy9i
IgVRyvXs+uLYaRIcQ+w4GwnHuUQh5GzUazFAvZNzIQNHsFuVURasANcrjqVDxQu4rRDIKyRX111M
aegnoVAS08RPimM+q0dQ3dtsRLAUU7NmlOrvjjzKmd+9X3zOSp/GuqaRlqeqvDgKd5z3X+yqTbaK
FQAjlKn6KRgq/SSG4hU1+fbejaptpEo+1fgferOKMCtbj3anqbR/djD7SyHAaBfs3fRTrXXgKlkN
zVd/LST0hL8wHEEiIM92WfOLyjwMxM3oCiXX36355d7EkKjLjaqE7e5iO/uiV2yZKz5cHxphZXAo
bizToGiV7q6DZsIoL4aNHNd3Cd23S6pSOnq/UBGXAKvqGyvdVDjnSCq8d3IGP/PsZVpHM4d/rEMn
OMeq2eIy/kZ7CEGUnu/AhIZq6QP4t/1iATIDMAJNHC/Em/lixk+fTDaAWxPvTfj7WEyI8oJNwXdW
Xz6CFC4p8REIq/mDK/zm/UMStzh/DN+sNVvNH9T8Ucxv9j//kb6zCisA9r/5yOd3/uVPKyY+Pg2x
/HyHX6zA9XYopKOVpUx8zmSHptSWiedQ41bnzSHMumrnRnF5VaflsJbc2Llz6djjHwW8HDPSfiWJ
F/wJ09Qm1Nm5L6zUWwSy0f12CRi5SVTSIwXgTdhW1oMxUCNHwb1/05qAz3xZJTfN4iqgawXORMNm
xw0qz7+tYmq/yy7v//dFVN1NtkS27ctbCQZqy1JdrxbE6PqN34XRtk10+xx1RbTtAGa9vOonmdQy
K5ecqP9VT8x6nR1e9P6fXv7b1f6feuKuMuNPM43U6zh19HM9sJmGJ/2mTqT+RrxK9eEPXdal/SzX
wGrbWOloLoVMXEw6rs76WF7MZ93JvIw7ad9+eIQg9h/m/8Pad3XHyTRb/yLWIodbmBykUbBk+4Zl
yTY5Nanh15/dxXgYzSs/z/t959yw6EqgEam7qvaWB6PahNxSTmC5A1Rr3KCxHGBam6Hsxh2wjJy9
OmD2aHKgKLUVvqnbWg9fOq2tUXuCFba8LHYJuvlDVzf3qaVFgavlMvLXQ/69QGsxitii/JmCN30U
3HdVjhyHGQDDEAWqYNkC1kaGxM0UHMSq18EDswQ60IhaFwS3LVx96E9SH5G7PAdXfCV7BsYz4D5E
8OYSHEDk5zN3kO89aSkgtCg4KMuvzjxFVQUFR8MzzlwEl0cUOKJEzHEpeC+C05n/9WdhHaYUn5x5
/Cf4/9PPQr85PlYWrMW8OyrrfltgfnkXWbaNtHeQvuDdCcSMPFN/AfULCyj673FUXtH7LL0yC10B
FSi279FGXm/iMPkPbwOleJN32O5ADmzM3pqO3lpgsZy96diS2dbAt4mApnk5dg/8VHFsSVQ1mKjU
pGPfeGcG2qTpzP2g+A9vU905whtdnVfeGYCdpjOfvenvjlB3tqzBP7oEFzKqdEZUOnOg3h4YcmTL
BEv7L8DCeTMq1v7KA8PTh7x8k8aw8qKCSSelG/imTrGYgQow48TVrgaiXh2+GWh+q3Fb/QLRIwjs
iuKF4uvApQJ/XlIebMxopvhFr8/xTRHfEfHRcS6duB/xDVCyFKw/MOMkI2M7x6eT8gEJSvHxHXk+
/w6r+utQV4ABZNYP6DW0HiQgpzxk4DTfJAb33aBJW/Rllna0ZErIlmSjpoAAAmag4RqOL28mm1EB
ZKE2OAcyaSTUJla/HRGNQqKcFhjNZvUwWYOmGExq6ENHJvLPUbUAtz/QbCogQMONFHQUcOopm9mO
40iAUnYOdB5Di4rHVJT1tpgS02HEHzOHKEeQVHV62y2sApkYR0naqcWLmqIyvdsxDvKrWZ7mSbeU
rbicWrTO/VTDgDoS2yUn6roiuRY3oPvtwIA1K/qiaLZmikJVks0KcSwZgIuHWWSi8n6pSUW5GKVc
ddwC6/Z3gX4+Dh2CjJks6y5PsAZDQ1K04jj0N83nI1bnxrAf3IRn9UMmNlh/Shedo2BudpHxLskm
mRNZ7IEU499kZt/hoZ0G6sbRFLGqNHyjiZ+iD9/xxdg/hykeqOiiDTYO75RnYdCGYf4ul8r3uAr+
FwYjDmF/cohGlb815dCd8GmLf+7IzFUI0sVFUvvyI56FyqPBAK2cDOGRRINlI1+d6iCSU5XHSRSj
NGWombOmYVQy/cEpj3rRj5lHEYNuyBbTuOnzR0DFhKipROxQGYd9B1o68qSNA1qg22hRcAS0tIzU
vTg/iqY5SnZfI+WArvCFJqnrrEmLPW1wXZz3ZhnaFsPSpfHAPFkd/V1NoisFaacxV42gBN2McJr2
MzRRTOH/BIkxzdxdm9yGms8DmKfFxk4Z8nx3ra+9NLKfLLOKY54bl9orGt1fDVbUp0xJgKwInrdk
VLXXEIUJ+85sQR8ghn6Ndp5PnFBgwZ9rLMj91amTNLBWOi4LBwnZiaBag4Qom4YDlj/w4wrFZVOM
xyowsivJbDVmKGQsUqQEyX5W3AQnhdmGgASYDUtAov8tMBeBDSUsVrcxxXnhe6Faq+KsO7sE/Vvd
g/fx1Kflr0hkOUfVQYuK1Gt7xe+CV4D+H4Gd1j2U+jiKMlsu8pqirfmeB9YbjTqfA7kqjHyPhgE6
gpZNK1BJhC0qEAKPAgYifqcA5vESUPdf6ahxGk4BaUQBAVfgAO8DLjcB6QxTcLqB0lQJ8E5r9Tt0
Yut3UpTod/jAG91mkP0VWhzwO5CQl4q+i0OUk17syI2UGUOddw8kkhUNZ4WMb7odJrH7Wa5n5Qrp
a6TjgKF5CByGN69kNa858nUd8Gp+jnJ8F9ZO8bWMAZuP/Ix/iFWTHRIs802mfus8oLNqMq1R83tl
2qE+beH3goE77NixpbxgPvpv4TMtWnWaFi4Y19TjrFfANf9Wvdzog8BgRwlFhouznh5+tYEWVfL/
XM8sYEySvvGj+jhIaItByxLw2JCPpd+Ofh0F9TRDUA376Scm2dDEbKXgV5x+cR/IJOcfX1g7GZ5O
ZBflKHsAtA8uvUTGy5x+W9oE6IBdBlnVLhoJHG5JGktTeifoCu42hoF/nygcZEKbCS1le8iYtFQs
OA/JePalckEafuY7a+cD3fjOkUMVJPdKiPSAFqr1PcDYcxcYpOmm1zugZM5jQ6ijSg5AIlYuK5HN
tBsHXV6Jhi4DJPoKz2pRzVdqxYMhspCm0GoaBz4/uocLz4HWslnx4AMYeMdVoKPRAmkIEoX7AeUa
8/ooyePGfNJVdDxMi7SmHccAjarsJdnVYvWV40Nqk6J++sr3Eo6CTL5zKOFF/qPjR1M4ikTGamPw
23CGVqH/oDkEPXqbu0D5VmQ22o3UsF7rfQt6piQRyHTyiyEpDpIhLSCZhTzCU87FHT+cQHoJ7CbR
t0X+gu52UdvIWuhoS//yMW44mGxN/mmI7/SPccldUzHZ/2vcEYxB+6btruLmpeKvGGg2kDlXsOTC
c3TQoTbONZlSHGmI+koPXxcGUmMWPlOT9r4SVmCwlXf+MI4eWSU1oPCzpOXrOYYtYsSZWbxqSjPF
QN1w88Dz+p6suGLKu0EUeWi2XL42xaAsLabwNTmZEqZmpbFJ7RLE2nxYmEnl380bR5X9Ozsdf/hF
KG1IbgkRyXssUiwr0+48nnDuLCiIMfDFNCTriy95yGWKfIRe+GgYtcfOs3lnojZMHLMuguGA+fB0
BgU3N4kJfKHBTJVDaQFPWUXmdTmmtnwABzOqUABvqhxITRvSzIazjPZQ3aocyGRSJFrrsb7vtxVW
LfeZxJB4AevNq8mTux6wkj9jJxBU0dkXuzL8lRwF2raoFetUJGAIIQvR7maD9wq4mIY3tLJ1lwJB
d68Zqb4MCz6+Yp5+Z4FzhmKhQz39ImH6smo0Td2iPMb+GMuWHPWtbHvDGx303lIs1XAASJdHQATC
ndwqJtosVKxleDTufYc9lIC3AyN7/bnMdOJuRSa08c3e8QYU5a9a4UsBbuKR4kY2H2OOR77zcckk
CqrUPSe/B6k3lprVryUet29dEYNwRfeH5ySOsApTquFd7cRsmzmBtVF0UDEXSGQtgHGFprs+q93Y
BA0UcLHRWByiMMsfOnzFDu2bb2ajq+bDf0RCr5Q5RQrx4vvnSF3cR9+MUfna2/46N3i2k+q0QNU9
NiZRYtBujlWZpV5xtH8CjuIYFQaqvklDY9ozsmCjoid9N4tIPpu1Te0sDR94RDeKeUh7BQ83soiE
lYd0XwRd+tg7crwOY1S+0utHc5p4rWbICc/DQcJskl5dZHyj/avv2OGCb9GdJjWA15YqR3vNekBu
cJzBXa5J0avvL0mMdpTyyEYHFPfCqo3B2D07dWhocXu/PztpiGpW+uuNU6xobGVxTMWdPKxdo+K/
6fqpEqlaCLCAJQ3p2ruR0YVFMikcnSUNb3yn+2L2M+qynu4LkmFd5+w3XduN9Dtumh6Ae36Qofke
5BYt0FeBGOim4nt+KOtiHahJsqJh0qKUB5j1/mEQcwKm3w9ON75kQ4g5+kenOGbJiqz+yal2tMQd
GvAGg8O+2sxXgRU2IUeZ/LtWOfFhGs1a2kMdgoJ2baCb0dAhj5sr70+AG/E8pCD4SDgHmRU6INXB
NwOSZj+xkvUQda03Pyh4ImOxmGT0IJrHoRHjwUQ+rB9bj/5JtJllVzYWWqO96Z9GMTI5Bbhy3r3b
Rd7dlUDTOoG+BVirtj98L6TecW8UVCpUCUWq8O4uyPKzByksWz57+Gj1OmWZVbqTIgQdF3nQMQxx
DFJ8dgw6OP4HZw/Qeo9A+lW3dO2NlbUF30F9nC/bjyL64+PKn6ymv11YaFJfH+dr+OI0X7JCZFys
pjsC7Qp0tNkRtZlXJ0By4RhbmrYd1QYcH2s/L2I3qPNuq+tG/JwO4asWJNGbX8WD26F2+DSkcXyo
HLtbKEJhJigHaWXnG954OXDXurNnkksvNjJtb6Wd/d0zYpnzTS6zYkXHxEpvhYbnIWGAPSr0Z6vJ
v3ZGFL01bQ60FyM1TqB18PfRiG8OUjA5cRVmxN/b3k9WXI7GrYnHztPFU3YqsCENJj4fhSewHoeF
HMmAr4xx52pK8l2K9LOnokhnzyZhz2HdYQUnMtw8wptVj8DJJ5vILaedM3zPal+fFCOqOu4V4Bi5
ddoN330UbN16zIqao2DjxoOOYZldv21kVCADard+QBKzuytSjuT2n2UoP28mUenL4r4RQ1AmL8me
zOw/FrS8ZXUN88bQsEMVMEkAgKxlNKUCdgOUC2r+RXZyZ2d3Ze67fWFhrW1s2cIfDX4K0Yd2Km1Z
w3LcsHUMCSakGLL6i4b6u90kY6VydpvG/eBPLmR8tvHLL5kubYDwpnwdM/D0tE31FZUD40auUCXc
AfcEkAWqaxtSiaanZtx0Jua3071qfW5fQD7bqyIO2evJe8C9IrOs0A1KyZ32BMjFreyjFnAUWJP8
v7P7+9E+HvfvduJc/uWsArv/pgzyW9Tet4BXRxF6Wp+43fnfdF8vPHUYu0fut/XK9xmqM2rf2GlK
zNdVwYcTrrNwEUm6/CpCgCIs/P2XOGBW6x77uqjx9o7YwUL3yxQnjrPh1HWo86Q4Zqa92XlOcTq9
ZwIwsj0hKBr3zZ9DiFR31SXvkVXagCO1+GNS6um6QqnYTkoz/xjJOhC40YL/GgTVVyr+jA3hxOPJ
Kfcz4CYUPF1jxorlYtb7x6pvrIUaDdmrnqZfqcw0KVf4q4HWppqvhlnYGy2TwunyQGMrlgr/yDPw
VE7yXuuu5O2Qgg1EVJV+lBuXOBd5iwpo29cW4JazvqNw2AWiTvYe4IvFa4wsvWehJe2HqpBuLHCZ
1x7mY2eLWGoAOwRQQHA9AQm0d32WZ3smdya4k1k+9SqzUjsPqZ4VYHnXWv3j8L/1pVrYG2OKjJsx
94rIf8GqbrjkhVzswiySv6BeY1u0Jd6vF3nElPFLxnsAfVl8kgcKO9sXkJN9jEfWFOdiX4k4s/xf
48/HjUR8FDShb1LTsoWWK+WpjK0vklkXryqoxbcO6GsXiZjeAvw3Wg6gDgBMJYaBjpwHEKnyOzK2
y2dwiUpfzDKoTpWpf2Fi/gzEfmPbtuE5hBEgzYhupGITiRCpCrYWCkERO+dJ0uLg5XIWahLtGGtQ
02L86d2du3jHBHSm/ZjXC9LOikrmeMGChcT2JKNGrkL0ARcy24Fm3rqPkK7dgPm6XiCLD2JBMdRB
a7Do9E69GtaiMXLWVpehKYzn4Y0vFvPOWmkAGhBpyTgHsgS62NHTW6KKs1RKf6mkZvoyOt3XIMH6
YWInW0P2+bc0k7pFr4PbhbVdt4/q+GyaMVRfij4qq8xAtQdY5aFL+sU4xmdTrMj86kA/57FEGrYl
4JEf0f/E3Cges/dx1A6DasWvuabIAErLx8mitOOzRVsZB6kGAWCFhrMVqtDGBQAV5R2V3A8Duk31
2smnYZ6x+JBY9g95WvaSVPRmGXK+Y2JVTAU33SEtzB9MMfUXKerkezu00TRYRW88izt31Hr7hE5p
C9gHiZgDiUbY/LeSISstl1aEL3+ubOt6MJ4ujq2MTlmzTa8dCw3pTThyFFxOjmAdULaO7E+O4CI3
XGAzWsBAZl6uCVolOwWlJ+3lkNmAjUVuXK7Oe0KrV+xsd6v9dzu9SHGDs3Yotg6QdF1ZapFQuDQ+
xBreqKwd2Z5+VcmO/N1kAhKUqTdiNpl+S8lwJpPcBDxa3wdYHisdfw/maH+f+1hndefxMFRnTeD8
MpPA2pHZLP7MVKsz0GuRzQev2TUKAFw49duofZXv/dyRD06T4prAorJywMUuHwzmh4syGnV8UUGN
xSPRoCx2bdrQuG3A8UhG5EjqoQQSLjhclJU/qNkpQs/eOgHwu4e1KalYxjKI0Ma+OwBC1bbdGFU/
6w5zdC8EkflJ6kYLAEop29ZG3B9IBmSncRm24BsZWhOF2qHWogKdVd8soOx3mvm1BPfvLjILdRFk
Tvmt05rIrZQ6PdlO55+kEZ8/Qk7eWiG1KH7HsODeKLz9jp+9KahqVGfvBtx2J7zd3kk+H5sXWw3d
keML0D7rR6NysHBcOgFq8MpyjcxV+MS1zL8PIvTnihFtZgtyCO3euTcSPETCHAR6umpVL470vQWE
tjsOYB2kmlIUSvQbwPvj401UkSZy3T86+dcwAC22FwDGTuBQ57teC1FiiuW3W9vaxGNfVKOSLcWN
OjBBTq/T2M+ULSeGgMExh71mohWutypjhxKTkYY52gD6RW3qwEtXwl1e+eNa0zMfDID+cJeEUr/o
YzP4WnX6U8V7/5cAoWcgInpLY6A5VJggPKBPf1z3eedvlaoc7tDTzicnRTYnJ95bi0Y4gT4AndOt
Yz4oKORY57mrlrV86JmGjjTx6RFiPiWhqeKR5Dywz/Iisb7ZUdpOclSeqR6QeW7tSU5xYjEvu9hn
Rdt7A8DdNkkEJII7gOiux5SlOyMb/f5OsdNpiC4MrDo1rFiZSvZeAO5ho1isuBvFhvaAMgq2hqp8
NwCXiNpOjGb5ZCYZDyNjEuCJOKCLO398lUZAJO8cMPVs5qFsI5cqhngMo6QmlEtgQeIwc0yN9ckB
s3avStVrOVlMyhy42OIcanTwA7tE7JKircFuNCvoFD8JVxmoCzj358lmVZduLvN2NcaxssCdgxQI
6GLcJLDLBwMV309yrrfAPIC2ViNoq7rF3C8tH8KqwkqIBXJtI7dSt09185t22atT/Syb927sgCpW
fXNsLHSEWhXsaSWpVQHrqjDwNTuaczKc6jkW601B05ubBl+4C7Kq7Hrw0IsS7E1kIF9DnD9w2v5r
p4L7X5QOZM70aKMHI+21FfBiDZ1pS5LZ9DSkByOpaUPD0gQjMBnOEeZnZYsb38P6HVD3SjwCTSD2
bHVDw+uujKpt4hSxxzgznkw9058eS7FL49maZFJb/Yf1muLM1pbM8P4KwZkMQtl7AJxUh6HG6pSn
BsY9kNWqA9IYWPuuKnkNgoRjbqGPjTZtKwMdUmvR7q1E4RE1zGcFaZlqxr17YzM7k3WKqvxDH6/x
8OVeU7XaTrcCQSKuY7Wp6B8cs1CeUZHnkVjlDYBqsXYPjkhYxSjrW/vKoC15P+I71ogHD1C22i7M
2/KVIYahjP1Do3fyHKPDjOkYGRxt0cJp0PtundWZhv5GhJQvMfoIs52iGMGmIEv9qrGBYTytpcmS
/mGsijET+mn9iexNJQBSLq3XScC6QtoQyJeE1UR4TBZS8R5wzxSsigOxiQCZBgXoECQjMCZSYPEB
gGhVqaxnGfnqKKCZfG/iTRhR17GA5crtJ4YyrvsWyLg7qdXu+qET0ws2fjq0AXiIdrMxQGpLeOij
cvZoNSNzmypqV5GArxoFrBXt0aZycnMaJoSPReqsTYKV3YHuYDZMCeFKuXjPcSYNWd44zsEdlrxJ
KH8Ri2+6HW7SqRkepWQbEKa+0vOLnlzT003D9yAppiZ5Ueq1qZPi9ebpSA9RUoogfRAk8voynFwv
kUpMqICuV6P1VZWMF7qBhzhXXMVM+iUNrz6LrnbJyDarfnklnB8e80cWAyklSrIRjWTTN9ht4F4c
cjYi9e3XGgkpGh0W9GySGzXgEwcpBtrPQlTbHjr0u2JNMule66Bo1kXpsAMpotmGhBZMWmGSCRPw
caKFp83RHosrJePFIh+sEOQ1uNJI1NAe5IAaOssnkbBP/thfiYQ8RV6Z4lCIeSPkA67XrHYUHDVs
Q7R7KhsnASXn+aK3x+uh0CZx9kcrQ6tnpnwEBv2PDrS5a55K2WkUGwUUFagb8Y8kok2NgpFVpfuq
NyQy7iBhpmZVPtvOcvDyRqs8NlWAJlBIViwz3xyWMUBAQW1pYaoWxcDjUeJxq2vS6JViSFp9UJF1
9rvzkIzrTFW/JPr4rZaxdN73vvktwytNrKL6kQaW1t7S10itmN+AfyFbAVYFQv8s/mPNxNLqLP5g
PQcha3QqkvUs/mNNh7SS/ia2Hxemi58L/6g8Aq1Jk2uPOkgxka/FDLdUjp1Uju9gzUSxT5tYJ6dP
4m1rmuZkiga7AZQnnfmzlY6NMLUqP70ypahVvU0G30edJQ/7r6ldhft0yLQV8OaqJxm92m6HPrKf
FnsHxLP/C72M731RVS81a/KlmQXlMQDd8141JHWVSTF7Qspz9lH70P+lpeP7iC/+lzEdBQ/VHx9b
UlHEUfDnimXdboytZSzeb1gAC642s0wD4ubOz1CvIcyYeA3OtrMZRSuGNzsA+q+D7/wV8XURpVeP
xOcd7XU9cu6kjQGZgfVcQRxGmpxZLeZPCluEZf6tGc3s3QCMhhwMxY+yqs1FbcUF8BpK+y7O8OGq
Dix7l8fYNfr4cwteBOEGpLLxMu/DZDsYCrC36d1ftAZgMVOjAbRbicVz0keDDYYK8TFAmxuZZARA
FbzEqYq6vrKj2GQSmrCj+GpdM5TR0BIekIQUVQM5bVMApU/ccnS3GZFiAbRMPcw3ICmL3jLcMAv5
dBeT7aAzaw/2l8N8Z0537CVub+PBhs7aPVlQ7BL2FHveVB9jk4JiJ71xFZvkZEvnTMMChBbuqKDD
O21S40k1ogfAZaHUQeHGE5iT5GXqgM7FTgz9CTeQf9RaZJ+FkkRocpnsyRuFx/LS1iwN/DgIxjPZ
PyY8BxYuRpqBZyHY2hv3EydjULQlhb04UXwSXexJlCiGvLyxFydFB6ENer3xnW5pO6mfkL7wqX+v
RCjG0CzdXgdh2z213OwO6L74kWZm9+RYYfcEtucXLGqlRxqBerVZYx0rWUxDa4iejByZYThThJuA
LEmAlIyApKSNrwVTQDpGU5v1uuukeEFK3AwUcD4+BRzKwEFlhAw0dCSUKajBmh90DuQnzhLXf3qk
0fkszeugHKvM4u+ZzsHoDC9qub2mA13+bFKSmQio5fhOnf5O8WdzcZb0lyriLKP6NuAnv6PaoXYk
DvUXB+XH4Etn/KDqSOZ1ilMDKKpBoVCkAoxJYtEjZj5YaiywykEKu1A8GZ8qXzEpz9ejVkcboNOn
r3rersmAQuIDnx9YwP8hZG1G6oJ19vhDhATnrQr297RYM9XBRxdSZq+5VK/JoDezeKGh6WkZlr7t
RWXFl7KvRV8VM0W3O+p81EJ6l4Fw+zxwK1vrWtNswYRZPKDV08KfAQstCF2tBQu7XYBzq7Gs7q6x
ehkYqT1o1Fl1FUxHMCOI9NtgdpSfg6HVdQqGqnrfYyIY8pEyiJhxZk7C9cdR1R/QTQSuXqV7903N
31d2JUcL2lWijHWrpmt91Cxd23xuSDZh0LxXJQ+WeI4JkGEQAX13QF66JerITlMFw+56JpNM/bTc
6GYJqJgLA2VhgXiCnEiWgZ30E6cQmBZeJmhAKJrGHbBVoHx9G8RDsvCTkO3sGNPpBNXEjx0mdLsM
WC3LDHxU3/NyQC+Q3r4lUgzwEPCQHbllaqCmxMoRKYDZsGol4BuihkRfaTYQTv22QC1rhmp94TnH
LkY0Pqcsv40NllQUpUft/2fs0lHyR6sA9YCWyhyoRMBiJfyCOub7JLWjL2OPnis5Ks9yLhbQL3Ky
J9wEIQfDTDzZf4xDclPTxt0sbzRU43dd9KUtS/lKfjku2dNx5TxF7TK4IdyiAq846nlQuJKpXGdH
9IcVbtOAMadCI8lynrmRDLCs17IoYREQ4iGjiRwZz77Th+08JjVNI0lmXfzI+a+xbo45x8t7tdoO
mZ24Sc3Ce9rUPvuhW2a4ZZJyFpEcbBrNogYwzmK0cGMsAsvWNqzXf4JVoAE1ItZu7iyg+P+Jk489
qgmVvv1hmQNI+C4Kiqs4EnIzFrjGbhQpmEopLMnnc6D4AIzWR9DaiKi9bqZuUKjxqUcP79Ix8Jho
m6h5TPMWvcgmuAWA2HEkERYLAdDZjpOORLMT2ZPMkVEwUObXThZXHklHmwClKeDGsdyM8XoHJuMU
BfXM9vBNUf6wWw5gFyRvEz8Ep1+XyM9RnOor4A6fbQV+4myrqZl1ZSuVvjbZJsB8B6cAGKNzx8pc
X9TnNFUQengsZXe+VcqnIJTAL09JV5aA59O00jsrVOQTecwK34DCEYrZ4yYUeQyc5WDRIK5YLPcb
R0WJiq0qx+Y0OaHhWBcYiskJ1sKLLcAEzWkmMxvTxIaGs5aMp1DCt4mjnxYeT+NLXjmbtBVAKYNW
omsgyU+l1uWnUDEwJ8NERwbj9XGW96qMGattleA/g8WsuNjOcqDBqVNcq3yspNB+Myr9wY/69rXK
NLYMgrI+OGYEEBAwoi3RfA0wBxSl0j+wrs3JNMcq2pUpcCKCpSpMQW9/V+O19Xqeo4CZMPVSlWuv
Sep7oJl1nq0SiHuDE3/PhdjMAZBqVSlwB8Wwz5QcTdCJujcFO8TFCTy04clqsu8kBtXD504xz/hD
1w8bFe9oF+A0fENPBXo+hCnoYkl2nhd3KP/IEpSdA3DvSHy+kl7+LrDAhrVAqT8S4+/M80syJDJ/
d1LQr0mpoIltmKiAAaenarWRHAtUFu+C0DK9orKz5wKAf17A4/MeyWYtNyQTBbfdv9ndROHCYxS+
N/Emu8TmLoCiuruIG9MbwuKtvgy4k2+HOM1fHa5P8l6Tz3InSJVjn4+VK0FJr4kbJ7B5TfLZqcWy
7uvHgyQGSFBJ/tlBdG2yr/usE8BQshsZZXkCOcFi0AqApely+BRVMQhM8JRdk4wsJFlepJodPJEI
XVEZ4DHATUIOjiMHqyLitrS0RmQFLCQUpqUpyjmI/AItY0lmAHYF3NISnj4+Q4dtEDJzPGnY9SIJ
qTnQJlgbgvKiYSKGVCdBQwezjittExbnIXOQ+5uHsy/BgM3DOTIZawJCbNbOB6Lj3vgy1jdeZ8fS
ljz+2wDNJ6f217+y1dFVVvEHUEyw5zIGOWUpHtx4pXlhUss/Su7oXl859X3eRqgUziKwcQpbP8o+
tY2jorm30bB8ZQtMcVNxizzInsDVbYLegjs7wzKaIwCckiX+I91LWnVvg1L4v5QhRldm4Lyj8kd1
geaZPuGpZa50zXR2ut2dnQAx3r/Uav0mvmt/yajI853efndYqLqWZvmP/DVBHduqtwDo1AU6KC/Q
X74JahvkYTy2F6Njh1+weDogEWpIP6w+38ltagFSAZ/feIWbv8xI/m46ff3VseLR6wHk9NCBYX4F
qtgBfcoI2Y12dhuyyqvBBfftFLJTFIQMEBIkZ+Yva1SvQoJOFZg1l7NkTmFumPF7UKTsifPBI+xq
GhUMa2OifuMymnUVdPPoo18K6I4J8lrEVFDTpG+c7FiJVbeel9qzYx4b8S6iAepGSDNKtio0V2bZ
sRFLc/ys+eCjBqX+hEZCL8KkfN+VRrvMHPBkj4q2CEUpRs+q0AP4WXT6d4sxKvI9M5bn7HtvL/Na
9zdRCQo3qxwfqTC0AiGca0aWc9/1Nro1Wi1dkKIW1y3gBb8FVaOs/tHTTsE6FjRDOhWjJqnl6WYW
Tp4yC8BOi+nLTgv8HM0wrWhuwaZAxcYhMAE4eRFphVHfG6qaz/JMBrVT0CrRIVRzG2mVWgMYB/59
NESb0PWQtPRPIm3jZNoiCTrpsVC4jqLxAivOD0FiLAs5AIuK2BvVHnthbl7J4qQ2j2kZAQ1ZLM9R
IqpMs3KRFYPmzekmUtBwTlMZTV8uuqG5tpujVH0rbWrUIxj44Pc901LROGuWtjf6jjrm6IaTQHLQ
FU7pzjoSSkCS25+t5Gb4pSTIDDdG8KX083yNOUGJB7DIn1xlO26TI0kYT+ZzbmQ2mRIr6JzDDK72
RemPiHY5wsD5TyfXutVUNkL1HVQQMteHAKkSc90wAkMxevKcZSLagraf1pqQUV2n/hL81ueqEwPs
dIkT5Afw02/GerD2eoimOb3qe6BTQRZoFtbtKMuUNMY0pMRAaaQitwQZoPbs/VWeQCz+C1dD8mtX
00odKV0gTecZP7Lc7qeNfhmadgLiLwudj0I5y5W+AM2D/kE7+Rf9dSQGVmHyHzgAU93bQ/zR0vFb
USoh4e7HL1Rj9aJt2Ialpf3FHo0j1UaPIejYHCeL731Anh1VUzY8KrduI7bK8Lx//ZunmZSx16g8
uldHrT2iQPnsyZ1yJbFKOntm46H1Y9WbS9hzBdQNVTJIwPj604lBMgVfTGsqVicF5rg+isNCsIFS
QrJWtfOYyurJ8J9jzc0J5PvX+BSvUKxhlUZt56VYk1iBX6QE+XuPq8NPzxtSSJVaerMMlalI/sQ8
Xc2KQkoHAxfoByHFCkXABIhit/FJQfFVceBekZDojIQhjTuma0uUXjkAFE60CvWio7LnqWJVK9qV
g0zd1zrIBlFZqC1IRhs1AdbVZNMwlC9eqVIeGu6IxDJWKi4xJyeeqUgiWwD1NtD/MzwXQRF4IyrC
F+OAzPZYJT8LBzl1GiWFZnl52PUbGhp54aysoQuWNBxApbgPbXC10bDjZnmSbYCJUyCxAbGOa1XM
fCQRWEh/AmYivopdG2q/iRIFpiL24JTXsdsWHV9T7CaZYsdAGWg9EdesJeORXMU5g5bVRMKcvfdA
BfgAFUyowVcAwn1naV6ANj1wbLcAGSb7aRd33Z7M20+DzJ7X4YQTuXNnP1Z9cU+lZANPUZsmY7FO
AWYr1YaBkaZd45YFuaAoNpsVF9uEysxmO3KbhBcb5PJRijbbUCwypICpHR9kH0V6JCJlrJrn405l
bCRM8/wQaT7IPjK+YaIEECkwAIrKen9VNFjr5fdW8osD1QwGwiJO7N6lIW0uFgR+PMf4aAGCkXKK
weTyHEOhxuSLPzmEiqfaYLGl1C7g7/GwHfLRo8xvExqYl3Mzqw+ZOYhWjSiMF06AL0LK/ZLRVQo5
4yMg+AzT9jRuauVdErFdkHf1lg29iQrSzDx0CToqgd+fAwLEAK2wHw48froYZo6obiPLtBfQUMIm
L+0SCRWjlQ//w9mVbbeNK9sv4lqcQb5qtCzJs2PHL1zpdB/OA8ABJL/+bhQVUVY7ffucFy6iJjCx
TQKFqr3ZR5d4+YOQDr9LAF5KI7oQXa3e9N4yGAIXf+wBVQqCxMYuAGKgyGxn49nuwtdpD6eCAtA3
ok83b4xbPYqcB8Bo45hJLeY8O9iAJtN9D30wQgKLwrgFap/zoPkAryGLKAy30tCdd5GC9FH362rr
eOwgrRKtOZ07HN1iAMOfyjbgg1B95zhFoLbVEbmDRVW5+jMKh0HG57vmjV1b1ZOdOBINW+hsbRpt
qQkAxVcyOUUzXNYdikqG694GbLSKRu2yMWAyFm3c6s+tACdwHI8mvlUJn6KRSVqhL1sTHgr2fz0b
A6fxmrVFshpL7IZoCYy+tOyYlNhj0CKYhiXgqha0DJ6HwPLHCl0Zk/bf+n410ezL1UTz8Gre3/pW
hukuvRhE2H7bAhq88mu0zOBstVcXugMPMUrxlBZvR2xrPivIRDtryXh2y7GRm3znyGRCijkyaZPo
YBotINxVncu8jLtY9KVzmcxUDFO7bAvK0fuvbSbzq3DxL595BjkAnaQoO6yiBdqupqbPstT4MeLR
7VTFRMPSjW/p808XmY6CLKYRdT3n1SSaVwqVEoWutpsXHZ9jxWLo78fQX4Wy5svS1XW0/v/9LnIl
X45GZHypJQ/AmxuvibK7iBKk+jryuLXRwbJ652vZjdEk3V7LYuTj1YXkriabjWdFAH2pXQVdoTSm
8gDG3E2W9li6i06BXSiFfbYu08phKycK2O0okESKQOxeo49gaQK7cK+pYyK6tOpo6CtZA6o5FFkr
vwx7JfBkq0Ml8onYL+85ziwTkXeaCnstYAuzJl3EhruygOv9bKhL7I3eQoZtvwvsWIIHphlubSDV
L0hLF2uUO2mBwphGwKPT1pYjyzUNFYzuA+hZweWMaIAqOIVMKrPf0TQUkg0DqCdQ5Y2UbNZdhMsD
5J28gJdrmp/CMcOZwpVA/tg5LCxXDYpPFRqak9RvugtOC01n6UqTmneftI644bzpd1UHwMcc68qV
sLX428jcGB3t1vjXL+/cRjXe2Rt5Nn/yZlHW70K3O3nb9hB/Q6NhvAAPyvBX0BwIiY39mpvrZrqS
Z2+au1BzW+DiXaV2jUPqS29CoFPeBdLU71feNDd505M36snJu6vK8a8unefOmwQHruMayav2YETZ
/dSCSENsFe4FdSQmQYm0peHfEPCTcEE/7wBRmZChNLPLjxHqBybYqBTNPKukBjr6NHbkc6F1yAEr
FCnTR0s7CHfQ0kCYUyqSpyJR3HIElJFnh5PthDGVVKdoqasBVsqwn5iWD4+kpGitOeJ3lzCnVDT0
ozT7LPyhoy/lFUfN4NGT4GMeK9m92Va5QDJHf62tNH0ohvLdNf3ujYMsd+cUHWoflZXggOMTmm+D
bh1DJ0f9d1Olj42ndS8mTpbIiQ3gSLSd2F+QFQqI+UaMDiD7VUjxeWIGRF9bD/VXgZPnB1Y371Po
loW7QUcelZxKwLReTCxLH3jSgNq367FD6q+dHu9qYr8GSVWlJqaQriOGRaWDK1iGvbWf2AdQj9Au
vAh8kLztjE3CddQzqKHTDCm40nn8BoSE6taPo+iB7CLfBrGfZj4GSG/CIrKih6TiqFoNmmzDyI0M
Wbgq8kS/J1e60BSFA2xxK9R5sfZH/1uYGNXt5KVheUKRyXiSWWIc0CJeZBt6KtJMz3cZfZKYJdJG
Kno9BmybBml+Y8aJ/RA2PNhUns2XHbOBH96ZzFZYILc9OqAfJpkrwTxUGBznyJDRBQf72A1npQAq
WQw3FCkHG6fAi5yikk2KKpZDxtPbKQrJEtdAn4TgxwAIMChKHsJTGNKSbwsav1Vv6AJ1+c77ADqC
DeAwS7TJ4IIeXACWfTnOw7Hcg1r4ZNmCWRdd6ecx+aiIgLEGkgfFmWx4iG7mKSaZT9JLi4tZzxEo
XoJfTnD11uEaWA2oV8zH/BbrPI5UBkhbUQ0IXD2IjCbnx0GNPotoRHJl1QoJqkqcOK8TOwtXme0j
2zUU0ZHuqshEb3/rWJtZRoorO+SJU6CEh/aGFImKQndd35abrEDtnAAhZ2MDQXqh7lLkr2PgOLnY
qCiZuptks9ZOfslmu7RjF1F8BpD5IiC6jp45xk5GoFQLy+EjBrolPnZReGsHIFdX8gRkrx8MGOdr
h/ML+WxPct/n0TcLJHNEbz/HYUqu4sQmAH0sOqsKwG1a1ZX/yop+mreRQYYcaxvfcm76rw7kFKe0
7Gwd+iYWRr/sc6Jg+GyPOq/pOWd7R+js0cGRdwxkta01loABbhwgS0U9P41FVZsu0PFvcoaUA5Jc
xSPa93zsemjYl+5eT+V+GoI0Ad88Hmgrv/Ta1aCGX/qFpYb1pd2DHKIo8jWKHcM1uUxxZBiBIMBF
Hra7bSyUcztjjjcfMDGAui+NvT/gDRy4QbJGX4KxIW3L3G5XA4p/SVpgwzT3tlkeeYKXJlnYFagP
+qp4ItEcjZQgC0mnaKQFyGGnvvjlEvA03cvnaGShokk0+kzRpEh2YEXfdigufqlroFAZdpTeAjpU
3rPQtTBxYf/QpYnDGhSc9kaMNhHNLV742dZM7G6yrcH4+aMxjaUcGvZnrmvpYqyL8kV0qHOhuELF
DbhhLcn2i7izbWw0J9t/fIa8DYGU6WhIyOQgDvgdgcEVtQChwSmKA12RD3TYem3+NwtFYFBJ7+sY
Ru7trD5zH3sxZDeF00qwyAKhjYY4xZBgMcBwPGsJ9SYOnOxG7yq5ItC13AE/zW99Z+M58uxbCjAl
lNwFoi8O4kuUNz/gUyjWSQkylfkOAEcCAE+Q/daOfEn7/9gBV2or2sYH/qSV+MMdvVWjmOVLFwzX
W3rT0kvZ6JJiks3vaFSb5UuAJfVbM8nRFzP7TWNX6atZT2OKSzG8seo3mYnm6Dwy934Zan8ZRXaL
3sHqQxqxhSMiwR9Eg59Z3ejsppRR+JDlBlsKpAPUcdKeOuiUkxRO9ZEKULvlcSwe2tEeL5ziRrKl
Hunsew+nLJLVfghzt97YEp2Xid3+9Gdsigh8DVHc2sc0NcsARHo4ZI+qNNlMNiZr8OqN658EbqHZ
QLiYsC4+u7W16yLJCm70CRmD3CLMRMbc5Ss7Ze0TMBSwGc+jbk9nv1nfnIZ0UIy6hMvhrCXjf/b1
fW8lQWqaBEGw7UTx0saxcWgaWz/0ljAO85DuaqX9bOvWMSquZzvNNDDOO2uK5xn8PZkY6fTUZasK
bDYHcb5gN5wehgxIi1cypzXBbFXiY3+2/Reu5AVKxuMcsgCWXY6DyqkOKIjYO8rshyewdcqD5dv2
kqp9Mum/a8k4PNV5Jw9xoV/Iyb5S9s7ZXsWZ7UkOjNvsgXsoDVQnaYYXNIsws9IN1bKDHwfdXHNZ
O92NyqYb/BRgqCh6N5KyrFekCcZQfXRclHjl1lbX2F0YJr2HVhMkcG2VCqY7uviBlWjLPG9hWKLx
i+jnSBMGHPAUp1tFSndxS4GT1L0jGUi2Hmom7fRossg6eILtYh/cp+0QRS8VWOxWVcPNba2Grucl
t4kPDKaxMMKXshb5s1kCALxM66VjFBw4njnfkxKo9iAxxwHXioYaQ0clylgehd9ELyT6PFWhptKt
3txO7l9MJfpb0tGjuT7ni1Tzqj09mtP6SGz803Q9aOqjmJv3TdyLe5k31V2FQqQjUMXEog04aonG
2AWGbDwAgMS23sas7had345H08/st/p1YHb3lueZdnScQaBtFUaazZwvfUgLrC7lAzpp4BbGgK5O
UfW08pxY+ybG8XuriOcSUDDkWlv/ZDWaQ4o0s59wFAGmNhtVQrXt2FhmWsHK6o1gdorgFPkAoCMn
M0JZ7pVTrGbqGxw35lGU3sQAtF+2zEp3DdPK5zDQwoOs0j+dIEor7Aj0n4Gw4wMpix70iYEjItQS
w5YuICW7AT5rd98GonoOKx/Eqzk2FKQ0jKJ8viHNFMDMxxXO2PQNyaSeN/eoo7khZWuP5bOlW5eP
Y/EqOgBC9c/JQk3x+ZEk2uB2hl1EgPuCksw+P1KsHgm/GfrfHokmLM6PRL5Z3V88EonokTKnS3fT
P1H9D6lH0opD0oh1AYTMXjePc75yTm5Ch19v60hpzDnxSQnSFCgy2Hltwef2GEXcXXALDMBaHEcP
WQUSAlo7f6WgRTspRlUxGwBJ7dpjVnBwHi5ouU0eHZrrdnZVmEhkxhkfABKB7S+IojKsSpdu4LrH
IEGRMTpmqhXjo/UHzvWuDMbQLo6FRL4D+I72/2KAkpcCWGIXEQwjKG5yU9pL4iEGQRzWzbED/kdu
7ifWYlJUViryldNNiom5WCr+t48s7PRNriNJpAOvY6oWiXoBCCAve9J5qO/IAtVp6VsHvI5/aRHZ
jVigPDGfYuQWIEB4WF3EmC380AY0iIIAYWmCHsaY2IWxoo92rEIFVgIG3BcmPO0O7/b7zG6DZll1
9YI30ngaGKC+bLfMF65uhodEON0LNjveajCQMCDXEDDueAcLRFLa0um1Ox7Ie1JOori5iOZY2dfR
aK4qKU/Rgr4A7ZT6ZHOFsAbAhfwnqHp2aBMI3swKkGr2kKe3dcfax5GhzukLC4EE0K0R5N0jxWjT
Ol1gDdgekwFcntKQ0S2YW/UnloNimImw+yPQ6z/cvNGfzRZomgAw6TeFDZY6PXbWZNB0AEXqUExy
B8TB4RjEkbckxVggfR1o5vfSs38fOwsj/bnQxZexa+w2gVtS/pvYqC55jUC6Pq8faIVCi5A24Sb6
PqtwSUObN0O9mJcnV0sZGpKLn2UhXq5Y44SyKVMwAv5a7oBaiS1x0pyuYtawY2DqKMbOxW4AQv64
sjSLHfEazrdd0eQLGkZd5zRbZaiVAd+RjHwld8C5inbIkzUJ2zT2jnQ3GypfNPTfVEUWvACF4k+m
YUndsvfSy6o/Pb0cFxwvtede4HfbtcpsDzrO7Gi0Y7UW+Nv4pnxy1TMIH6yzqz9FnI2LTje6ZztO
gE5imuk+z4r8GI7NyUf245+5cYzEODHEIk/MjrFijqU7Yo3lkfst7MfxhuTYaTcnDllsTnCsV2l/
zrYXDLPKjXG0EhNp7ORG8cjN7b0/aVSlAE4ZPKfdRTUSkcywPoTVFC+Wr+cvFejRk9iTTzQC7oGx
6Kq+v6WhpgXmpskybdXyCAtk4P4d48L9kGpEFiVSuFfuXg+ey9ndc7i2Igdf19OjJt84gHQfE8O1
jkDDB72HLIzvQtfjpdRZfQTuMn9G5usBteT698Lk+rpxCv8mVmb+Uwv67e+GXeY7gBk1a3LmRvlk
t5r39F8HpTlSNG38Pag/5E/AX/WeuJ1iCWKAR1nspx2PABHUzrIAtkN7lXmLo5ve0gD/wd20Exrw
M116gCDbkB1dGIvGC99p7zP88qMtE9nNvqdYgzPsABUA8DkFKzgHVL5eh8UlPQYFmH3JjBTD2T8e
hrheo0tqetQLk/Pjzo9Bj0vThgOQDyq9iTah3xp7CajdFTp3Qf1SMRML39Q29tMt6eliKaEEig5f
XIzPnpOGjGafixgXt6SPgVy7dDyj2QDZpHgZG6SnYh+o6CkO/1/sBNWOdZwuTK8FjA94Xn7YLo+x
S4UyUdUwTMcfAg3JFef+KK4mbekPT82I82mrzV/IQrlXhn5yx6n7yV13LOspcR9nmCQqfQPVerzW
RWtMUEutMQJ1iYrmJuwkMqpJSre9U5zs59I4UtDlKxkO1+1t6rtqx5wUOJkwO9d8HXrA/g5t6u5p
CLCtAe34zJmGLEEnFGmdsTFfSUtDO0gBClSW4Q1hGZRdbNy4pvg+4R4QBAKBIZACZBrfr4BiSOlU
HF30UNJodvockuSzu+Y73aFnQQFY37wxnaPZG/Y9Ug39RlZRsaQhXcYGKCKWr/mLAN3GW2Zw+54n
XcIAAKNt+obrh9nYqZPwgJLX3Syiu38RmOwoOs34XwTP5DisgcQXmBZbU9V9qgX8qfWmqnwqvO+q
KFtbgX8ySGwu8JqaivKn2v24QNrYQgQq3ieDXxFmgznCrymAYQI8nKvw1RhscgHkgsLQV7UAN94y
rXOwFegZTuFU92/tVHJrAdB36jPOEy14UMaJUpKFVgCGH916zd5TzcZN2P/NwUQzAgBQq0VrJOF9
GOrtMdTK95hb+UuoLkWP6qmgSZ9olNWls8AfU3lLQ66B0UtUrbNykHd+GUPeHqtavDc+P7mnhXft
buPbNbmPbPQ3pjM6K3IoDMO9kWl34CM6M8wQGHhoauHroi9QvlL5/bvuo5gFfDQvIKQ07kD3zhck
lwFgu3MTdFVns1SZ9WezVGPpZkyZuDX94CFMsATA/w7I9ywcFBqDHz6bdZoukjDBShIWIgZgX1qC
sq+wxksLU+09Ks/ajh1Sz1ojH7s+qJ5TDfz2Igaydxz2t7bTuksaDp0zrCqZlQDYhdZh3sPvnAxs
qZYV66y3hOjBAcC3E2oYekiJqpmEh60REhRsOSEYNs6hQmnlw4Q6aFqHsjP7eTTrYliSjvySlF1Z
kk7hqOyiEXkuwK05zgbLWm0XamGzpBdSNYJ7rxdZs5zeQEpLQ9KGaXk5/K0v8DnBK69CIT+cI7fk
bHxmfdNtvN4D1WI9pHG3xYYITbhqKPIxew4qnJO23TMIdNFYbhuo7ul9dzsZ6O5wMNn4kequX6Gf
w5iC5aoJXQQoxLP0AVXOyp+CWfnilynSlkVmXgayavODwpL9+clYVxn3rDN2eTMA3SossbZOAFAO
WofH2CrEozliNkOENwQr5RrSuMUHXqXfADr175warzBuQ6yZlxTacq3TTBG4VvS2TfYtABsfK1QU
T2jdVdXnS8vv7CMpzMY7KYK4yZd5CzTqiLWWlqMtsrWXPJGA7zYTsF0AKEorNfs56/qXmkf60VKo
UrVAmVDQV+16sjAz9FTBvlT2JDrbkzewnC/tUVAhDnGto7G1dcwNVfXzITPR6zaYG2oBaLljXAxF
q10OSfsvfEf9LggHuSr6zD8kiVcfJOZed1Ym39xMPlIXj+6KO3AY5O+xUUd4g8BU9sO1qa26L5Vp
ZqcnU8ssohuTJ98cAPjtK1MrNiVaXV7a3KoX6FvP/qq9NWW7cpwZLcA+37yara+vx6QbD04QGED8
rMvNmMv8pWMjUD5ikZ+dUuXEz05ll40HOy/NfW+B6ryvcuMG9R82kPOKqD+CZj1f1Mz2cSproUdP
XUhRyAD7XlAi5otI6/0NCZkRP6eBbW/8BvtQgs82hYeNscseS31IjiRHU87w4UTaT61vL+Vf2ANa
FAXcCnJGxZntSX6275zMexROeYp/ls/2NK83SuvoRqmLtvhK5MFjGITPqCUpf+I8e7pREt/0y59n
1flG2YS96zxpvURjY9CgmgWYGvRZdWvw4hSmXQDZFm119PF1u/6IhiVQOqkmO210QGd4tiCZiqF5
2bA8dW92zhgDkQlUPn7qp099f5jqZdHKEq9rV2iTkp2UExiqGYPJWs+1YN05osTqHbnwkbhSFHdK
BSopEEI5pnMTo/DOkoOOYwIo7LLzSmyhcUvCs8mkyOMmPrTWfzQcs218oLK9GZ11oG8T1ovI7lQs
e/Iaa9z9zgKL5EsLT+Z/2U0Avrfe9hcpGDn/aJN2SU1nzOUozEnFWw8+sZXLeXznDJq4bXrAPKAC
qHmanTrv2in0VfFXEsZ3JnhJbxtzLLdAeGmeis7zF31Y/8dzpbZOEqZ6aFFHDZ6q6EgXrxDRMUT2
dBqSrA7BO0N2bmHjrGE2nP1QFVOsFALVHcHJ0++bkQO1JsGvKkCnRnYH4G57wRX6EWHPEwp9rhRX
HqQgoHqCk6dQg0Krp1AgJDp5NIDE+Tkd9HlRAxoNOw7WF2MbiBen+g7SJ6IL1kUBfDVsGn/ZO+BU
e/DydeFj657lIF0DW3n8R6FXWC9WNeCNAm3Dogi5A/R+vwZaf08GPmvA64ak6T15tsAEXYYtUHRx
5LaWkSd+6zl4wHMnT6Z7pzkTnryMLvh2UHhx24uW7eiuxDHjdDd+IZvtvtLOvuVfkQ/QPTMH+geI
PhaDtMUBiL+ZtwP2br/y+JAvUykq0EWqHKid1MAfm1Vkbz77IEfa6Vn4QDuOC3zKNu2snZXED7QL
KQjzjbYsWgcyBqX4agOj2fmkvNrA0JBCqrnaOvM2p/dTjjz3zhH1HWpgxG5+7dId6m366S3Me36H
ipiTBSkjNPpP72kaWmMNzO2K3RruaN9lLLCmy2CCK4jXkbewzBGlqaQhm6SRN27V1vvWQsIQYHLw
I2shfbZgA5r5V2R9NhxL09qEKa8VDnEl61XNAb7GCw3EPL5brIjpjPjMSGGxVFtFrlGssHtv7kvq
xSLhbE2G5EJhMvyKTFHnMLPCJ6TAOfZsTTK6iMQ1wBQGJAiXb+nPLFi1zGs/+qDGCk1J6c812lhD
236MSnppW6Siu5DSN+xkK1P9sy3F/ZuU4pLUq0e+7Rpg/mv6sjLW4Zi7D3NtsxNtIrAOf5YkSjJ3
QLVAA/taQnEmQzZFNr0aZV+ISvOMbmuvBl6gt9Ns2z3hPNNHhwCgWQQEBkVJdULePpvMqNLSB/Ct
6wzs1lbfqqsoFKrE2u/LKNMHbY5A1noPhk16jqGMD1VY1ns7q9CkpS6Cg3LdTBu+TPzxJIvUXewP
lwqSkQcpsHbiSxrOCgplq1CzbJ5j9pjdvgqFY79bkJ6ot/svXFv6k/ckAKEdYObSm4H+sqfXg6+y
FO0QLklGtrNrKtDaeVZevFTIS8Jrevn4oKFfOF7LQZ8MAOio8P27RLTlt1J80Iq/a5lxsCKcetLQ
SZ1g3eSs3dJa/n93KrsCZ/6op11Tkxz1xxnc8g9abKxINLXHcaD8HVrAq0+9bkDKCw5aNq4mLRmS
TJnQKDLRO0dddGfXeQa6O8tpUhLR5Rz7K7mKT6FHKdHi2SVgwLCzTY7SxF1v9s/gvEm9raeBw5QV
JRLivEU5xVltKpLPSebEQNQBrTrbEvnkxFfZBbaxM0LzWWt9cH10OX/xebcspc3eLN9jN9wu401o
W8MHsMOWvcbZm8lS70Ku7DslJ/scxTebSnEqMMiv7P0oHz/svl2Wer42Wr+ZMuslW5UyMZ8pE47k
BV9ELlIsNFSs6xtN1v2ahl0TFQfhlfGChpRKB3pIVFnGMyXuc4EUxuyOxoEYGdFf7nVg5Rfu9lCP
G0uwbF0nJgrBcTZH52J61KEyNNPu6UQNqE1YdQylvyNlF7l8k1pWs6YhaGmyvR4Y3WLSym58VNFo
RCG1Qd4WjRtcRMMH7xStliPfWHbf4P2HAz2KVjTOZTQjNaZowIYcQCSY/NH0abfvmdnt6W4eRikY
a+uh5qvWbE7a2e6/ktUqAMXrrZ6vaA4KQIo51D/LhO/dsV6wbaR6qbvQQufQoDp3EmrSydwuWaPA
GTsvAq+9sKLba1OvYgNqwBGKLthfo03b8TyclsTRjRs4OC5Wl6ZM3H0m0mZbhdWz3sUwIxnQCX/d
TtLZnO7OPjTKh9rdf2k3CePcOqRlNyyZWevbIuP2u+WhexilkD90sLCs0yIGBQk3mhcfR/wOIOB/
gCUa3X6AwjpqodE/mOpwnhR5h1KcNAX5fBW78dH2kQ4Dn1LxI2u1e7SbmC9Ycsa3BquRT1AzAKcR
VFhu9N1M8277+RFKZWD+5hFE2o1YT4JNO/Wqf3iEcdDNJU31xSPQo3WN/PIRcpA35GUn8F+fvqI4
TN9YYLfaApt+eA9a8cxz13k0/DJ4SAfnncSzlW+n43vHq6+sItHiaD3Jsy2AX4b3EFPMsYrQeycx
xSoTLZ2sxrF5Bsu885gX+jTjlZVklbNBBWe5qV3PxM9vlHuqz7SL1FoApk3uqT6TtE7D5cS+q0ks
NOfhV75X2nlIvvNE/+xLxvQYVPl55UtDpp6KSkyj/tNTzb5Dm7A7I6hB0SYCAOI1OCz66hsuY3AG
knb+9M+7AJT0nbQXuwVaAMxRJ828KiCNF3rNZkKVnmcFcMEp2jzDvKS4jjg/z6y5Ppah56O5KI4b
aKhicU1r6WTaGK/oDIkOnxLA/G2TKH64OJBiPgNCIdlMUrAETEYk453JT2omwbhop1F+I8zSfmg5
MDT62LB3WjFYD3HnWw9BIbWVg8PRFckmBcuCXVj1f80iurO2VhGjj0z5kaDJwKU1mLW9o1gkMzxD
Ww1J6K1mWawCArhtCjjLrS1O0VAOcH4aekJvsD78zP1R4M9rOqCdjzj9JlxkEcvuL044USaEbE4X
bucz1Zh3HtBMmmoxnc+SJsZ5L/nSiAIw5VvoOJ2az4AZ8CBuaG4y8aW8LU3b310BingR4C8C5l7I
szM8/hADzGFhtOzaZELGn3FIziaTxwxBMs/mYiJDTTSHn5VB1vfLqvXxgk8WYJeywLZrA6RXr/w1
0C34itABv5JhNS0e7c92JMvq5ORL2PQU4J/jMWpxmWNRGPL7SqaXebII+PjdaIOl4YfA5QmT6FmN
TAUWRaOSa0sz0s1XHwhYz2r02ZJGpPsc5ewnIzbF/MoPTTQaNg20ofZ4Zd8ZUVWsZOnpq2mrXac6
B03maUR2ddoi/zSbYM3L79pmZSeooFwNHXKmPGbhZu4tR+nMBp/E6njRgh6ybpP4TbNsVEf7rPhs
S43rvh5JlUBvAENeFEDSjooN92KxJJA22x37I91x1AEbNuAxJ/A2t+qPrO8duXIbdxmOrty3RgeY
k1y3A3RoNim6U/MaIHegKk9CQ7vh1JGIX6RuUYeNduMpGkVH78TjoIF1nGR+FGA7S2OubAJlI0cA
pZ+ggROvz1EXhdQGcqPDe+P03UoHlhbqwPzhvS80sAy6+TfXBuBuB8zCRZ/J4R3EryczGn42Kz2k
Pkh+EU0FTwNt4VdF8c2NJEgpzpPKc7ROBR8xKZkVwDE+chVNj3zxAkAs4Pa88TNKtYzK7LF/nSGq
SeC+zXjX4FrMHk8CMiNB/zois7XrJ+zENE/MhQS5jWBN82ZYGlKfSSEObiCDA0saIA3yqHyv++QO
PZUuYHqcL01zZziZ9lY0m2qJLLcOskartq38Q9N140JTJG48zqotULu8NXGsjUYJ3u1RBoAjAwOb
ZpXHKMFCZqh7/uJwgYZkOFEM0xPjgqzKzzGMcwwyTtF+psWIYQXpFIOcIlPzDhTDTbR1OzSrUNE1
AcwBCN4DCnUjJ0rABgtcDlLQhYXJj94T2m6WYzee7jwrTRbkOiuUrSf0k22Jghe78cEEYI0PbMC+
X5VEaE09jQzVuYLlxzSi08nzyGVuoi/GzHEAauaLR+pyH1HfWODk+/BZVCnRnPOxw+DuSpRk3h1o
q9sDIELkpsa7YtVmrrUpwGiypondsb4c9vVobVAIDbRt9cg0rJQxDa98SVsOwAunUFe+ZExaOlId
VeR53tmX/jfoMWjeKA6yhTNGaItfSEs6OGF2QxyoWCA+wEKMt3p5lzOtuLuQ6wFq/iGiCwe/n6Z1
y/kHOf00QYSFBPYd/eBIEmRNt+4HhvKE8w+etH70s1CmcwQBjMrJNNQzc4d9Lsep5elcpszFDXZb
7IcWg85+tELw6xaAeRVGaBwbLPx2AHnsb/ymSO9bN7FWgZ34r34XlQsBxJqfeEkte+I1t2SJteRv
IgFE1tjptSanSFlVgaKSmd6Xkdy42KGJ0vshhWEtElHueYRsHtJ68jgQ9pT07ZU3RsUku1A4Cryq
/buWTLiCp6K7BgyZs39P8FSTiZrD8JxVP9g51vmINs0ItqOlWQL/pras+BBa8bL2B3ZkAAcAQY8q
VaQxmHwFSDPqfE3DWcGVNfkWbbIkeaRqG2cLusti6+R/pSBjEaTtPo1fZFAufMUEh7NMHIHRrdUN
OPQysozvz+pAMcoFilHu2sSSWPIphRuhytis8gMdOtuZ9wp82fZIB9K6xuON6QZ8TcrYRG9XZ4Z3
dJ79O/sksPl0xH22J1MNBWTLpgS7YeiCg9IpCnEcXiIjwyeTJBPbJBZa4tg8dW6LHxXxT5Ky0DOx
cUOvXoDNGdWnAP57BHNscdvYEeCsGpG862G8o0O8/9/CDutx0bYy/YXHq3Wlgx9bDyawtt9Lu0NP
qRqiYKnfU4pdNyVwsr4wufIo/Ti4GWzr1Mjm5J69sLgtbjI6rxo0Dd2rhhQ3c/Mb2aBoS9zMTXIk
Izst6epHMp59qbfuSkbDrKnF8vSdxIpfXxt9IDaNJcUBEF+K6KzttwZI8R7qoImQKbfGN+b4f+hM
0/7iwX1klWDJdTPxwOJM+25FvFwOPJNPv40jQG+2KrxqijOOXfgfE5BRYN36Mo6nWWIj6wpsZFkA
4M7ef/IA2EQkpumA6rxQa6IlffaCFmu4LES6gD6Orm8gmZIN4YG0fmFse5BVPWdl5j8BUGPiUu0A
7z7FINbUsEOMtEKagJwohm+X4YG0Jhj1WhB4PwORxKMYo0w5KphTviLYrPkCgAdzjeoDdMGq9qqI
uqZOt6prim7R059UGzJ1vCFbXKBqfe3QdVm6bUHBB1roxHzSABiyNPFa+z5I/7WMbec/Yb3T+gbF
rOjCOPKgiX+A1cUBM0wIllisVNehxuWdG6M2K+OZvUN6HwgKKI7ZGMiCfhWx0Hel8N0p4lh78Q/X
Ar4SRSx4cRmxDTxr10UjKrulAVTc8zMWNlPVFAzgbhFy9e7YfqPlP42cqv5GGwwaedDRBmMeqc3H
2fJ/9QPu4er0oS1ReI3G637Q0qe419NVW7j91tEa59nihtjHLSsWTA1J1jvNSg5R/EiiUDmAfmWY
HOqiRvGycugjVNkvlTHgoaJHcuW8+8CxA+gNF4Bad168Hm2ifECbqBugTdQxkSO3Igup4ga9pamJ
NtEhMfdUCc+q7LYM3erjyun/OPuyJbdxZdsvYgQJcHwlNUulmlyubr8wym035xGcv/4uJGVRVlfv
vc99YQA5gbZlEkRmrmXraEgFEWeAzRt6S8mpFcbs1BvxIZNOvcDGYsoj42HGQQN21cOELDhhpM3E
nUOMlhK98rvNgsTWdU35UE0K3vaS8JN8GZMNI0rSb2g6ZMkP1IGMuwolUmfB2/Ko9P6GZiBkLM40
sliGwmk1LY+RjjS6nC1y46qUnotycSfPBJ53YVNhGsc8trZEEGhnSeYxlQG1UxZ2laDEcHI7fMvN
xH/s9PSDxLpVJIDiVsWapo4o7p2EU0RvwjacR5bFHxT6zinp8EkcAf/Y9IsZ3dLsVJT8zECVvm3V
RxSG3OBeEkblbEPaxU9uERZoTMK4JAsbke/kn0UnB7KbUTV/jz7LljDXO6P7IbnR/DSB/rciKuoJ
3BjhBOLhsVXKPRI4fE0U2Ff5gF6Zfew4bN0l5TMq5Ou1qnbGWotRSkWIc0EaAOAf5dPGWkV/7Swk
jWXXpfHQtCU0ZvoapeB6AivBvLk2R/VFzmgzjQ/0aZm1v3RkWfvZbIk+EPQxVeZwro0zaqqVDxS1
DavQEmguxXbrjEcHnxmWpvbRrFr/I1HCcQUUJH4yQMsyG2RcHT4CHQ2RPR+/gBO3Pfcq2p5MeSRc
5kkGirDY3jWjNfyR5/aGzNSGN+cwAIOmLs1YUGFDDNj72SxqgQrp19VjX/aAnHFzsAM8trbxbpQ5
6nPReAseR1xUvOxR6n+d647Sr3FyYLiMNImE/sgVKxOrGNwJs2oxb2RW9cadbHzpTo54FV3WuTGk
Jeg2yMYOcn0TcvNnmHQZEjS4YL9wGdHUqorEzZndrzt1NAsX6NoXdZZih7tMyS8bgUA829yY3wwp
ZlXXl5h3iyWLOxneLUGy2YaGtHiuFcUOQAQTOhCzGOBFilD5gxPW/ghUSB9FbXwAQ63V4n/kVUY2
yN9hG8WrP4DOAWOS0cUvK/5gIS3sxQGgRkg220RkuUSUS82yJWKJiDcyR9qQliIm+YgqdApjFVb7
UGduKbhyyOWFRlnbXkaqGiq5u8zbKgiOy/TOJUK3NBfdsF/kS7w71/vIFJRsPnNBWbKfu3chyHBC
IZfQOMDC5O3/663dRSZjukt0oolDa57ooHU+c9Vt/gyi7X5Hh6ezbDlHncGjLW02mQ9jF9zoeV5K
ddWgpFCe8y5nuGQ3m8hFxJheTO7Ck0cH2GNXD9Vv/cAsHNY25mNoAlrTHvPsuygU1xIM7HjA35K0
AdYr2D7TbYw3/2zr18XFVkF98GIbR8x6tew+3VJcB+VDFTAX9mHooI+lLjr/aNqpfwRPcnOsVRyV
6/4R/KnGRTnbkcmNC4rCF2sKQhfQrf8KqgVCP1wABw2BaggdyIrrsQfzVG20yldmWYOLEnfrRFOF
OVtQ91kv4OSKvwBMaGWGtvI1HZAd9aMOXaByilyrvRuacJi1/dTHQEdXox1p8dVyCUlTGTLpufmi
sCT50qHrFueBl5BlNoKaXd5HhbOqXR/b/ayNa3YJGfhiaxZ9eSBsU6RlUaQ29n64V4EDRK+Xf+Cd
SgJMrWOzyUygeWMoCTYd5oeb0R9/4rAgfkvModtwBoZbxjV+1gJkeMqo4d+q0lob8p87zfp70xxA
TWc7bC+m2BCv6V8bMCQ/A8kTwI1COUSSDMVJw4+S5cEhljQqdHG0MtmXYxrLZu2LjBSV6n8j2/R3
W1B4xu5sIR2KAa3+WjeCcvCsa8FP2h4FSZOtLF1tVne7JdpZkda4akmmjwVoDElTDR12rNf92bIF
u4tKezZNmXA6VQ9l6F3AWVEzu7GnMZ4LpKnILrc0HHJn4F1d5WoTr6JhxCc7qdpO9geTypROOdVN
kyqlIako3o1wqfCL1D5ZTZMEcpS11zeRab6sSQXY5DcvOZdvX29picjxjeamzKlOgxN784eOOjGg
XnTG9ywCYFQZRPobuiDGlWZYHPAOrbEFlLl+iEo9PGUiNlDhgtOFvMVuHKzl07sZiZ/TWPk/lpCp
w7ejDImCKSH76PQ3hZW3ITve6IfcbsOTk1aXkIVWWx7OyNV3wBj89ENzDtkVefmnOtXp0bc2LGuz
cyIrGXUqXWyqgq/qKk9XJAQdCUA2SQNj/Wo8i7rfjQ1pvLjBodQBJKKPZe32hhEXrlBigGUBusGf
ivBYa2Bv9Wg4MhYcc00JjjQiWWnncKG5IloQE907zQZx6hj/JeayxBxoWW2+rZs1FtX1XtUoROUY
DjFXdTgqIAPFZcztyygHMNRGNSbLvVPQVOlMYCXX3xf7uxhK30auauvj9jP3JfhnASi4YnxfQt7F
wPFLhF8Lgi/upcAOJeX6s6IL18KnO0gbVVC5ZJcZJfnlLDFz+5WS+tcZlSX4NXaxefepn4OYjoz5
ux/FlLoh6gMcOKs8edCayQCQb8K7R3wc+s9oDXVWxghObR1Jjme6WLJBtTCRh+4K+yJrnW5VRawC
tj7MCjzvQMXJdoHdm7FXoZ5qJ8ycu0uQssidVTUk43oJQoHRnaHvfeTSY+8alNwoaFxqu8WBArcy
MC1LZuAt0zyhTo8qMG9BBxwkyXZAJfuDqKviQWUZKnsjtJ3XXTDg+x0y0s4XLSjXyjCEHk2BjNyO
h3rKAbVjxMfFWEliFNrQHCxqxZqWIhduBPoKpAvcM3MVpcUjMirbNlXkdjrRz4DY5Oc4L5EF6Gz1
uS6EsydZEP/Sgjr14jHbkZqcC2t81pnq7EMKkOl/2ThOPQVpF7j0wZWAAOvBKVElQAkJ5B2Hhzst
gGYDl5IZmTS+0975lsEYII+BJApFXqaLb8wMy+OiKpEOi8FRCjTQPWBL/TOeGtUqikX/Bw/E8yCZ
d1Il3NSAyviIu7D0UMfQPFu6ZW1T31b3whz9s94Bx4qcoqB6jhow7xQ4xJoalX1YOLFDfWncPtNK
VaW+g3EgORJjr554ejk5D+kkYaOvRL5E9ssSL+8c54HEdIlnvt9i9rkR/RbrYiWDqVmV7jNttM50
WJKZ8XCoi/QrHbEsUPUGCipAkzWpu+XshUdWT7azp8zS0Ihsy7y+2Co90mmqYZzQc32k2m1eWMYq
7Jh6KDucfohWn+WZjmYQpYVcT8roTdpT9xDJs0K52CsG6BVkcwbFWeS/x1/kv9sv6zqIE/RK94DK
gAFNi07gP8So43rlSjD3LAKAo30dWTjPfA0Q6XkDkFRVsfaAIkTFm2TPq9Ru6wDz6esn8gwgRk9q
o6neBBIiAGeYg3dDxA60RPVE9Op0IRb3aNDKVaNpg0eyezJ2mzIigTTCR2HqWjYKriUrxlyri3wy
fnaVUrsB/nkMwEeCEmMRznW1VGLLTACFR4FdY7uGYl6KsSgoBMm6pH7E6zp6Sbpin2WB/ncR+xvf
HKLvtlZid4cW4tdwQJkowJ3DU9M7w9GJQ4aCdXN4GXw7wlPSLj/ElO7bKDAWdw2dX7N7EYX1BhBb
4Qk533F2N3h7656H+d4HAfsKeCHqJrYkVEidTK4aJWKehlKW6j0gM7ha1IcksPdmgv5bJOKgITW5
aGqFukwWWw9FmCK7NQdTlIpcmEQcIe1ECCSlgZa8LP0S1IytM25UD3RJtbieRzS1tQA9CJbz9508
uTqQWct+6GaenshKtGo9uEs0VIgb7tDZl2XwABcX9bKEoQWBWxrd5S4WZxrR5dca9/605t0aswzA
g25Xdc46NRm6wxnYF1waAmHh1xxoeAWqkrPaJWGlWE626X0FenKSF8NQbQd4CxiS0aKWyIZIuLLd
vzuTsZEwhrXpDuYQk1kAAjuuL8J5XVL94z6Xm59df605G86edHOxtGyb4tcfM2YTnqRDguqo5yBK
vswHgc4YqwdRgylSn8D5LS93Ct/Xu2Y+QHSKCZiYkWlOh8SuvJnwgnxMPyouGh5Xnk1fhqTpQt5t
B2d6Z4OKLi/UUH/J1DraZfFolmcz6fItigz+avOa5wf0CZknusRa9SVMp2g3BFnVuSRD1XJbra4u
c4S4rd5V8BbrOp6qlvpQtBUOnIeg22gCuM5mr41PLXiHn/QBhBgs0j2aDXU1Pk3yUrIaTBbIUu4X
hVFN7cbo7NErSrStuSUq3M4lqO7IZLED44dkbhPDnkKRovCNi28y6j+0sUjnSmnFLJGQtoUBpH1Z
40zlzjc10jSn6mi9z0ELrFeJgZwGzpNIQ5cCKDdiQ0M9s33s9DTl1a7S4TkCwNCuqVDckvWA6R3M
+qUNw/yvMCqxWeVZCRJFWPS5D17qNvbfbF7eWPii8c91qgKGqE1+0Aupm9IOFZaoGWK8Np/xBfyD
Xkgo7rnIw5qb+MJKZrkdojsA/3cAelNB/ru9JeOQ/Gr/SfzP1pX2qGoIDypgaT1mZsnZUacDKobE
C13iGFBUUVPq2I7WzSxTO/ZelgC4I5H+y6kF5mfqkcOEr73VEqSJ1Xcddfg3DkY5uElleEGQZbob
llb4qAPw6rFVxapSOTvRbJGPkYKv6BAHUIuMTHJhmWsA6wrAhiLIHC9SA+vAUJq0GM8KJApvwi9r
LOFvbqiUoWsZmgyHzMKtXkOTjC4aus13bKjfg6wUR+z/c3DbyaFRjuJIIwBEs3Vh8dg1Wq13PBXv
1GOCj89ss1gqMVJQ+IbpB8fTAea2Bqtp7KpFYsZ7spq9hnFy/SBLAHrSWnoMSK6yO4ILCewTkguO
aN9oRDKmmD3+zszHO/lntp/J7qJTOPzveLyT01r/Waaxxy4xEmCkg7+NIG+UqVO8VvbJUIHxHQzO
PeLNYrP4zdRy5DjXH9+h3bR+m+wlhomojRcwsnWPBPWq5PzFsu3ukaBdpY5mpFMT7WZ21V0tQXXW
PRJZ6DUK+YHq7oV0XCZvr7r/5MeDftp0o954N2lwSpOzfmsCrHcmmSqZhYILmVM3gOupePOQiKyW
RPsvD1JmvEvLTZhig+nOPqPJut3lACvSW3SPJs4KNEGKp6IByd62+hNSgsARoxJSvemcVaSrikcl
qTcdov3FjupQTXl4QhZLOJ6WoAKpgm5nSDo41N6IYwmWZapzo/K23gqao2/2X5diNxIZffuVfGZT
aRVY/deb+rffYpHpxLn4LNZ1xX+LpRX65Oa1UW0GYUx4h7RvpjbmyB3LlzQxToVWNW37sX+b032k
uMpKrgz8ncXjbDJP9V9TspUcS26gDiBdxBPtyFnkV240OfxIc7qYeMofcyNXcGaQ+Hzd6EM228zm
s4qsyH6ezzoSANr3AKCeDm8nrHETjuZ0AaoHFvbpSssH5sDXpqVm7mJEimWd5TY/vW25Kkj8uh3Z
zaEpVi3vIhFl4pWT1e90RQVARTwNXwDuA5yVyKgOdRTlj06Uo9LJsMRH26OQRAF++hSO/7DVucgf
0aJ+seVNvUJth/mD4iLv+OLYRfscK6JcRz5H94r8HNfNsVy3Tnk71Zw+2dIxABmTdpl+5kvHAKmM
/JkvHSFUBchb7Kral44KouPrE59fH/v0Apgf6zfvAqlepsuTnUaB3WqrIB+Y++/OIZBvS5eW+fc4
8nYoGN3dck+Af/ZyVp8yRXhUdaHn0zuyEdjo+bG5isI8PA+qJg4lIDy3vGPtS+y0jtsoQfDX1cma
tHclYWDHuTpFlX/rNJqjA56gUfkuney0N75evpKbTgOwtJI94VXZuc0Y5jvUW+Xo/9DypygwAzS7
iReysIzesd07O9K0IBs+9iAUI1e6kBxgBvlf+YSyajbY7Qu+6MUeYAY4wgXF0te0Hs5iMrO/tEhH
h/LAphfLr8p9FPTOpuD28JV39WMqY0yVyNw0cfSXsjJSFAX3wbZL9Rodt8UTWbDSB0AcgAxfkgaF
dWFhxNumD7OvY5Q8k4WSDDHAqpLktap7f6eofYsvr8Z5z9gqG0wcIDV5+YQdpv4NJzwcKMSB8QXp
KBMZ/HZ4DHRd2wrRJEc+ONVxUIGeNYKLEiQIKZOER+FbPJWaq1tV/IH2iXPPfAc1ZX8JnH6Ersb6
U1U07MPPeO+2WTi+MSvpUA1bFk+t7mfbIVDYUZHH8KDQVbZTyuNHrQBVJUJHp27AYRkozltPJEX5
RiMkP8o3KwlaWX5bvTlyFEvZZ3Yk+0x7F4/sJs0Jt1Zs4V0RcRGhfugCUIfS825FjeK67DfXq2+j
aPkzSewRpf4owbJA4GSGryQb7D8dINjcGKBX15ojEOvhrwjkgrOJbHNjIMP8M8KyhJ/b36tiZLuk
Kj50Kyjfu9LI9/jKbVZMTkfbwT+u3hs70qqO89MpcXwX5m35DqbFYBTO19EBO1mOch2SDjLCJCOQ
S9zqlwik5Yn1s2lz5Tz0U3GNAJSaAY/G4sMyrfIUjnW4Au296uLQ1H+nUeyDtXVwlAmomLoyyxbt
MiJtUdn/k90k46FS7x/x7lb7v9sVkTagxg9s371bMTAFKA0zTxxfqSgGRbFSExXRU8u7E83GztFe
g/obTaZKi94MtIk6KCF+IVFe+M9dBjpb0tnIHroM8DNHUsYDstxFOOT72T31UQFjCHtD09As8i2I
/wBeIddliTUBLLMQHk2dqG1ObWfhNU13xYvpscztM80swOG/9qyfdSTiJvoaEh6/0izv8kcUGgyP
NMP5D2ofah+oVTJWrPsCXHRAHqHpICJlBfyqbDspVviGByHIUictXYPktVvHGZLuSqCK8snuLOUw
xRkKGAz01B46/0QiYxiVA1pXNWPXIvPm9Y1a74CDkzwCqByofCBTAKxYDmIkwJa7PENamoQOsIqe
mG6iFC0fc4+mpGA8TcnXJgIHUpBvgUfnLjAkO4OMmlqTsuEtu/iSXS369LEoUXpVVv89218CE/iY
xjuqDViy/VQU8J9l2YAvK3iSqVWNCt4tvrMu8/I7vqPEI130whCP3MjyvZTrOsMx5yIDVCEozCbn
aLRgBACyG/Om0ej5u10Vimdl6DNWJawM2K4AM0TCCOxLXl6ChKEZczQoV5JtYR6StG9NCZwXto6H
vPvFdBaS/t6e5sCDdtB2/CsyE9VxFLmyt/GEPvvyEkZpeDaVyAes+KR6dwqnM6AtJb6xpT6Tg2lU
meouvgJb1CgLjNOdK1lUbZu6Y8XEdnGYA+TCcdAkij8I3QEtRKN5Eblk4rBnCqrUwMWel6T5dcnF
YVm8E/VlSYp58QXw4qYqUPRl1GnqBngY7yytcB4r3bEfVSOuzxkoBAwpWuQNKtI2SN7lIFP4TbEE
IX/yAOZjdTaBrzY5pgqQG+lxF2AxpgBppPGdMWgCR0ngD1Rz46OIqvFDDhyQAH5YSMuoeT5BrM6D
/7PN1V0v63HdVinf9ID2OvM2nYD03uuu6vTqmWShsNQzTSu7+gZkCxxHSVsSkbKKB/XANfAi1jAl
0eIEYm7Na2OtWC+yJe7ovEedMjyQbgm73Acp7uICjuzmPpawnW2ohwqMv0ugJW5m40e13MddXNyH
0pXjw90f208AS8GKEgdJ8m8BnQ4PrcpAQZHbLyC6+Uona3Xb2V40iOLkDNONvCrUW3mt2V/ppGxU
K2CnB6w4/R6H7Ek+Rdn4UpQCCOarC2ol+jTpo3hu56zHjwBfGbu5LxNvI23HAvEXWcwf2o2vfhh6
bu7IwaCiBc5Mdado7V83Mj0rE0CUTuo2AyjgU9ZbP8Skln8qHBhLWtojRSin2mHSlPjPvDetPQM6
7moaourPYkCvdZIY4omcee7Pziw2b52rEzmzaPyHMzqbmtnZHZz0/WavFdWa6yic72lnlTSDdupg
QRuxeTe2WMitlcLz2aLDu29XjTxc8TwO3aQPIySl9fhrxX8SUGkwiPGEoxvLJURS0Sb2WknQm0Fa
O85Cl9ssfDSmOv4a5n/fOdEU2CYXJ4IxpZXKnqu7QbA36nil3tcgm/adbzWnpQk2G5VoyzmS3YuM
el9jVAKqfYq+vCujMx+y+MZWc7h1Zv6PJR2GIs5q01h6NhPND4RMY0yi2oCW9iLkNqrNL+BfTC/9
BzMz861mg/SV2pepATouw2ILKD3hLX3NLfgob+zImOzIl9qtybjhxiZUxJnec8urMAuU2tNEGW0a
EMXOr0fSanUskLyGwi76bjUhsbz1QcF8Ci21OzlB0Z/MiTsrXgDiTXEmpXFJmPRBl69oSJa2A+yM
oFAPtnSeDSkOzZeIFCwpgDR3p/jMmMLLyGmuTIebIHEOOsxl3otw1ZlB7hYtMABNswZxllZVJUrB
f5+H5vDRByD4yGPn0XaynaFk3WmSbHckGnXU5fV+9FWTokVugAobNXaGWFcRiunJ9hoja9CZuciv
MchgkYNrMl7ZqiLWdwq6jzK2Npeni+N3h7rVdhqwWP/Wwc89/RrYmh+RhFTSBrmI+O8Gg6uNE0/O
6nJwHMclGrDRGAuk8npDJyFFGacvQ1lu6GzjqqMjFdK1bTXrVKv+//Kr+gxFDf1KG/hJH3DkY5so
0pSDCRLQJ5s/gAR/quXgc5veiIdNAv6I9VzjNmBz66HHY5qL46jGjcriqPiNRqDgQ8VLbEw35Xqk
qAPNxNdSz6vv+ZhZK9V34mNidqk4pUWrras4D1GHUoSWV0Qj91QbjaeBxUHOVJggLXOa+kwXG+gF
8whwr4WboIJue6egaaMFz/nYa/vFYTGzEoDcGGl9KkZsZ0hujiBaF1a2sxxbewABKHvwBQsftGxf
yIlZSBygqan1ETQLqbZVI/0nmZGavJZLise6x8OwXy3haHRjXLdvQRKr84KL/J9LR0WTjXMgWrmz
zJ9aJ4J6m474q+sNCbRe1eUKexGcMJsZqiNvOjSkJg0yxZu7Pai/Y6KmVSPLypWmIy1AQro4FlIi
Ky41Qoa76QT5LOZsrqF3F+c+4skIgVM2ZOa0BbRQ8jbUodiwNkSCXFjxG3CF2l3AgPVM2hBvtkOp
5KZLWiBSonElE3+RsjWy6akUyYF0Lbp/vwzJs9C7rvf0bPDartdeyFLPwEAMnpZHssRnUeYOfd6d
SFkkfeG1NlK9s/a/31+o2WDtk7f72f2hwOQvYPBBqQw398eDMvgS9M/kZ/fi+zgk2dZOW/OgoRvi
QCM0Yt1O/1UmwGnhTQOarhfffzVWHeUSnkzo8r/KKDzdFbktq/2rTLOzf9zanbFljbKECohWih+c
ElGg4FQfUGdynUZSVk4jClVD4Jd3EunmzoSJNEVlLNlQCPKxBh5v0zz6g2KRCynvQpNsUZBdOeGL
lNugypWLk0OZ6VjjMuymzTg2sYukgji3Q2it6wz1ujQNO1ucBz3H21xqgTRveNiu+ivFFgXbpgKl
VqJ26i2pyXAYg0kDUlN36sKmPrCiGXQAhsA76Na6njoAP69HnCVKUTc56bFy/K1fspJtgaBgrfSx
K7wS5QdT3tp7ykkZlIMaOLJMlHa6yWLdZKpIxayLI83oMnvLDJZP1Hu1SD/8SCh7UPAaXp5lydZG
AcMLtkjFS4K6MR2lU2cw0+QvCg5NwCLYPJGOrKrQTzZoMBhWmrQgM5b06DA1x+ZAJsxXgTWSo3MK
UckgLcH9Euux5i6B/sfVmd09WQbzE++zlR304HbM/x7kgL27eb5RTxrNLTAEegAFv6gXxfJMM3UF
JgWg7mrZlb88EWlEds41ilElgA0NkHyLJNzbJDHjaLRcBFVGLGo71Y9Z31S7xSQlVDmaazLCXZjC
HjbaoCiAvwDTpIpfqjuinxlfml3vEnQSXQCLYeMs2rwRzUo9Am6iXR0X00Sgx9pqbAeJdsBCzQqr
voQERQyWyKPmJhxBNvG22Gbq2O8rrTeOFnoljoa8oJbWy83ameWkJDmNlksr4e5oCtgYVIvQEI9k
z6/jiy+5CaAsrwA30Hh+loE+NUdxRhRPzAH+qSOe4JdpjhsnCn6JNm+9DsV5wNQpmqc+UJunWgOO
qtXZX0i0yJtp+mJkjQ36R5jSJRumYWPqQeeN0pNk8xoUaRHSOjYQ1Od1SKGW0x9ZUYst5fhpFI7h
81ITYHaFAzADWSMwDynT76TMBvoM6eZriGO3rXSdVZTPn4fkq6v9uOqFGQ7lSyC6bCViXh1VJ6mO
CY7QbY+GywWY0gNghzSwZvxuAii9snS7oL14kz6IbQhvTPFt25N7Iw0rJwSndRt90xql9HQ+1I/A
SzaPoVFEa3sq1G+o13SB4IfkztUCKMPanuc92l/31FUzZ3FljjfBeae2IaE1hcWJ7ee6qkL21JCZ
MHzA0gbiSB9+qUhfoi4Ij8sHIY6Jsp0JlBHAjAJCqZxUNBBLu6bnwWynpW2/5mYjVpSv5g7PNhEO
KFYh8qehl1tJjgreDM0kVzAYkoGNPV61mgkb/LfNNjSnZPZdnEGNH0XrB/vOFD1gYCTWLAC/5hHJ
Yj/kR5ud78SLKSmEdKKRpbPOU5WgxJfTv4RcfEMZ3GfnO1NTjZStwobnVj7f6XF/83Lo6ZUBSDqc
wus5OLGvRjcvhk9fK/ObAt9hqhcMPk48I5QtAbFu9LI0eu99rdjSeSpdUnkeS6ORjl+XOQm7Ppk9
7uQ0jZsJhXVDgrx8MyjHqgiEF0vAJ4DJ2l7id8qBpmO8HbTcfF+seon3pKS25aFkVAdZDM4u57Zx
AF53QY1fgmw9uus/0oc6X0U5sLMXxWJ3p10UFBn7j90Y41cY6UW4bjMfBfRUGJ9ow/RgRt+ofn4u
uZ8L7Z3I9gAXE67JbPbgUz492NE3VW3YzlJQujjujSJ/TiRC14QW+J3pT7Y7f0PPc/uPlrt2P2lH
umi6rR3NfIgOEV5cJDKGhAMB4Woyz7k0vFfFvIgOKYsAIAYtueC7C80Ujc9WdaGph7sexqbCsRO+
lm5Q727aH6nDEcf/zEP/r7wZtp/SqNpyJ1cBAgza+U5WHbBocIFi0H+3m7z3alA6PPlX24hb051t
b/2RdLubwmju+MnOMZzcpfOeWBZCUw2032XpzlTN/L44mhSLB7n1ssb6LtRcjV13LF3lVZCt6MF0
W/vZsCpb0ZOKnmJNaFiAskd1WSpbHc3HRAf4hS1iYP/KP6qJbz/koqsPNHnaXmWI9LGqE3EYWKhv
DPxUvpAtFVj8bqt2E5CUp0KcFVajLVTDq2uua2Kd4gKgG1NZ9KRywJyRliqihNRaIHybteRbtFG1
BzOg7tSejzhAYzAVF13t7C3ydaDUVwBUW6akJeYW0mYFwBVq3c0MoW1j5rQ3f+n097go6B9iOYIb
Onwgm3GIYldZ6b78pZMisLMfIPwBkarEjKZ/PpLTEneRaImxMNv535WMl7XRVwfWbiMTDxX+e3GA
Oq7NsatR1jvEf9Y2KvdH9c8AfwEgO4v0NWqetD/BSXOukSN+HYs+e0BnUepVXaD9aeU4/Aw1FbhY
6aS+aBF+uNKdouZNXgPQGqe9/1NUf2Dby84NG8e90dsGWHS74D2pFZzgTgryqiwK3sNy2geVKV4a
O56+FMC2GUAa8dUu7OKMj8zYDaTVpAnsm01gOpLWSUB+RSFJSyH9rOxPpEUd2U1ImVGkleym+NEj
Keg6vlOgBBn87KqSNPsWaJabLI/Nr4AfPdP7fLFIs6bZlxFookNhgAcKJwVjLx921Zb2yFMc8aNu
5TfHB7RPnkEiJhXVSUZ80V5kdO4QCdRhXTU3xxL4f6TueCFe6dGC/OcmSHVxaNRe6c/X6fJkmnJr
74u0PvamKE9q5WyA2IrfVF2BEeEqQ+M1foMhw3mrHPGKlScjtlEoBisyXeQMMWhGcrK42pO8bSNl
EzJ78kQUJg9mCcwmOrWbnAqQhGUDVlnJebVM6byPpqnULlMyXnwpFGkrGZm0i/H/6ksLMRCZzY1X
TdFHq1ZPNdCXqOsoUuMXugRD1uzCAX2LiyxScfrW12AlGXTlYqdrGjJ1AchDpWsdgR9KBpquBpPp
i102gCw2YSj/9BrLBqtZmQZbUQLu8wKFE3bphyJSIBK2YHxXxmqekYgudtkVAD4w0AgXxNZ7l2jh
TsmM4uHOhKYghOHbcLoEIdfFjEYJ9mgHDgweHltOgvS9knka2FE3Rtzrj3RRFVN/bMH7Mfq1AtLF
NrJckI+hvQeoMLNbGOOPwe3QBwQ23GabJVbFLT9ZyxAoe1COQZHqj7rD/mjCQNu3XKseU9T84TdG
Pxy65G2Agid3EZD+YkvS+Qd8K1l+plYACJBLzNxUarTF1y3aGcB4ZNQ4063yYmZICtOm3aVCLb2Z
azDQtFOE2shZm9jqRUvUSSMHiRII3D71JyWt8HuMZYVoAHGQ9/v6ywp2Y+EbBifReQW4RoAebMey
dBpA8gNFq3CcJ3PKui/Ax2Au8qTaoUnM9sukmvraMjVw7EhtpaTNgTe+4ZLW7gAD2cbGlpSgXOq+
tMZ0Hw1UiPWep03SOy6rUgAFa1H4MFVVApTnqAU8cB0OZ5rb+Gxw6aHC8e9/1CYQ2dAhqgIcwYfE
Wnd60xgHpgfOZhK4jRbgH6/myOoXXX+hCapMulfFwNnk1IU19odq92qmqnN0lO7vxQJnSs8gUuEP
ZN+CFm8T2GiPJ3sG5CwZEM93G7z2pdp7AXbHO3KPB8c5Jlnzd2b6r0Fg1M9xn+bbgBkOzgiQdrRz
tu9TrflSoSX+AXWFsRf0PeQqK7yeT+yEzgH/y6hbW0pT4isGFWlj4G8ol3l1rzseP5RJHXtIBP7B
Nbt8GEYePGOf6F7+qUe/XzU9ksD040C/WPisAjVg/qkZv2vJV0dBI9nS740sdNAz3fkvP7XPYsj1
6Xe4xCiibtM4cfFAQJVIFvRu09TGBhUlsbo1Kqt31SkxNnUeoBGoxYF+WYevrQnex6Brk2NX8fC1
7HhyLJEKdP8fa9+13LaybftFqALQiK/MmaIlWV5+QTmtRo6N0Pj6O3qCFmRZe99zqs4LCj0TSYkE
0DOMQdqx1PhkQooeNdBFBmD8iRcUzej/BI1dn+i9Jp6l7RvNxmwF/QZetfQ+gbP3lzZFxu2Nb6t8
e/Xzy/XE3tkMd5W+A519HvPnpIiyG+fdAyHD1TzuMKgUmhMUncOsYV1VaFgkrVmVGGuqi/ZMqHIK
yY5iaK6Z3rCvfyAxxTD6zFwSfp1poe21SKJ+GQ5RsRga1vurTIbBxZMPjuZw9HlgkSZNMJ3preYu
ZGzJzTtFGUlnS0FyZTx7kF0cvIlGEjf3kqUh23Fdp8LbmrX7jYpE82GmVXJY6m0xEfVtwm+Yik4E
5dBVgTv7zogLcxSK7jXVfujwxBSOY74RJngjptOhAYSPU2nIyrSDYqxQa0vk3jIz9XrZKFne5n66
f2Np+PFnz7LAcbXVKms/T9LqYLBNRd6cJmAzEerJFuUuviQTOmgA0nvoymDvuCrpoSBzNav8bhvY
0wwhcNESv433+FddOEaMBgC+QVYkcXl2kJtGe3GF0jPazw+h7R3SrLa2WVMFBxIBK/R+Vqccu6B5
zQd7aw+pcejbDpgcKF0Cj6JAricGBbq+BXXZL9c5eqJ2Hks0OCzpzIrG+xmuVtqyTDX7kc7+B3ae
62nLovHOoZeuM4WYE6tLL53RAfyQyElG9f6dvA67t7ZpbmF6BbCoUZSqi3jefOlimXxqLd/FYB2a
Cms1VOxJ7dssR49CtPDRweRkJT4dmPM+NYFT798scUfed5wn+hZstpOWm653ix3LPlH3HPA/brZk
7XFuskN3IIj/ACuwmpr4hthJTqN3dyAvOngsnVxpRf6DnYBFxPOMVYnxNiQ9W7ktjIjdSiCCrdsS
CTXLRgctyQIN8yklEA0mE1JIBFj4hZ8fyKTL0Y8L+ISDHoeYEVSRpsOLRDfnTSi1bIV2NpxhJ5jr
R0tcwOQh0cx/Z2ur1I1t16tB9lZg5JfeTMpBbxjIBC4poHbBITo2W3q9KerrG7mHddO/34QBEuv9
UDTfBwPQ11sPD1Enu72xKDabA/3HGzdZo90BSDa8KbYVi8JHfOE1JNaGtS4NcCOHGKdfkRZDxXft
0Ms1PtFPDa0gn5E0e8Ecv/YkCmlvi9YqdyKr0ydt9L4D8Db78acBQG0egpoHyyYzzedB6mzFGH7C
QJbFPjp0GPqIsrdLSy3JmLRkPC9J+863cCx/J/w8Wvatzc4ADqx2mKX+YgyxdRa4q57TusRUHa25
Icplb/jZ+o2QjMi5wdxcUrP+GGDCVeLq5KtxvN8RZzuKRR4ky0HmOkWdFaWXPgq/zvADygv+UPSy
vqGJVL1Ly952Kg1KMi0uomUX4VohlIwUZEcyMknivt1EUeWDWALk8LxSdMxjE5pHWs+HEdmJatGW
2bXSTWs7mXRlzFd0OjmS+WTpWWOyibCxUm/S1axzVepotu3ldQKoV0vpOPI6YdG7/l1LSPWj0NNz
wZohw4Oxk2Qv0VcWxsPPfuSAc8Vv7daVAhSLIa92upXxT4JXNvB9c+dn9NUU8m5pO5G8OXHBlwNP
0eOHIYiJ+D5lxhH4w/mO0ScgNvtJ/YbjPsnThK/sVh5H08h3ZMToj+S3xtHyq/CgxbZ7zStNW2rc
xsX09YzncCVZ9Ho2a6ezeCjOLbB70Nrj3EI8Ae0JRIcOumIMBEWPvnVShoYIhdQzK+hMxsGtLFED
J9vZImRI7DhgKlh0Kf/UqpQTskv6Uy2upqJgSMzCeNKjK4GnkgYLwkf9bTYqFoesScVjU2/dEISq
uRG/hENc7UNM8q9xQQLVlpLrTvRSumOFZEgZo6ppgof5/sXU9PCKXTxgUUJMDoDwHIDTajtIsvnw
Rsb7BcMg7ZGUs9xXXrTE7w3UDFqJtJcK/M6OlqhUDkeZ3sA7utJi1PMWPYBXpzPQv93PZi2dabn+
RYxRCLJ6RUpd9sf5aWPugqFnEbDAThYkH4D7eMpR+qQ5XaSkv6GqahynMV9uyQt3hx3L8eGXeiGL
jS1NtO68DgYzPf3Wmb5xJFHVRuOliLsdC2TzgH3TshtrVOeCzEKbEWAlRYM0U8Ey/Qw+V/nsmvmK
YCX7Ou73fhtaKwKj9EzXWHiOo58DdF+modFpj/emOL2pL5Eqbc6Hys+dIyaTIyRvSPquXEmyqaRJ
1cx3Nu7atVG9mKWNyH+Ngcg3DdBcjnQY0W56HN1qm3oSMD1KTqLZYpbl6A2cvGbZOzueNNv4NdI7
s8S7/p7QHIAesRIZaOmFkz/YZRo+orM+3tamSFeNGeGOpKcOZvL1cQ8c6e99mYHHvtMxAqHYMChn
TzLhg7pqwLbxRor/KNOV75Tbn23IJUXn/rKVg7GiMtxctJuKeG8KfyFAhTdB3z9TDW9SI6+Jot7f
51Oxz2LoHpzqgG3ROpuuaJ/R68JVq7c5pGfKP3jE7plo/pK7+ceyu4nKpb3avZP993hzLu7Vn9Jt
/lenAhrWDEhalIGzbjqQVcwyOssVxOmEaUo2tpdj8EOhm5L6DT4pgZYOPXbxyIm9tZkjYnPPtlnC
fzpd5Ryqyr70AHMO17R0U/cyp2vobY71OJm9+YO9ur75Q7yTIcPwLUAGR02K6esG8zbbZFSowg37
GQ15d+VCjM9JYixs4DO9NLzKTpY1IrGmrMjJ5Z2zJe3fTqJJ0KlNqX5htJ+FAYJur3WLz3rrLaQq
k0WjG+zDlrUrKqbZqeEBtx484Z1oJzOS93ZeAZClTg9U/K8Bh7dPmM7f9BcEJh8f0Nqu6JuIFIos
uz7+ZZkYmZgbDkbRuSu3b/h6ls0Bp4YDCjYczCjhKGDodrAIZZPioY6nQI4HIzb6oWN3SsHVvMSl
t4tPlL2jrFwUoNEVs914kFTpuNI0vU0vQDQ4Zfkor1eOyPIDAF6f8n+z83+Lh3KcvrM9/GRmOiRm
Fosem5grNflSu68yIBH1Ak8Nwe5bEZkqxy7K7MmRrF5jzeH/jCUL8cUHKPEBm5qF69jNJzpgbMDa
ciNoUVTEww8oDIwWoGMAqm31FEQFXeY/dOjXdhxjTJc9Bs62gQ7rae0YVrsYcgCbkbULuHRMhmKM
8Z31/Hrkoav4JJPW4D8MiE+rtjReoix8AR6TexsUlE+VsHBPS7u23Zs/useYu805sYR7A54uv8XG
kRZkFAqTn2RkPUVKT3JYB1sAYifL2rYFsNc8B5zjDX405EE23etLzaHUS7l+K85kZogCTRn1cYqh
c8FPPV4m8xWbjB7kG+IjwcAqULCyDnBoqTzOFCVlP1pbd0wwaaz26chtodkghp2unvISza0O1WDF
Lpp0C8wcEIzJewCUOEKPGIChDLTtoLuHbPTXs1lGCjq8k1EACwWrhY7J63Xo8hRdMcClpENEsJcy
5+6+1tPj1KM7J04KWa/BMy+iRReaGLo0jGRT9yV7xrRutmliL9lUqhA4ayU3f2DEZtigGhUtVY5j
PZPd0RkdSFuiWjZpZ7Y8YtRDgTGcfN8pplBKm4z4JmOkSXAfBZuysD+PZdeiQJmgbb0z7M9Ba34N
yiy/krIV5iJuW/MJWEb+J6B7bUkcZp55Zj1GAwczcj4Phd7sMY4M7HwV0eaNtuY+gK9oGbjV/QWm
kIP77gVQB3vzApGH8UTkR7RkEXqBONlhspzSJbTMbPShScNcpkl30ICcCNogGa0aO4q+V069Gs3G
/tLamrXpzcLZJYZqhdXqGxmg789dsJqz6+w5ovTyHTycq8QPrC/pmNkbYXN8rezCX4C0y9xYqvmv
U50bdOCB4njIB2QOYz/fdtS+QTZIvETo2iXzWToZkKty6tOkuDvJT1bvS2ye+lTINUcTzIkp5KKe
AIqq2rIxlCya9SQkACM61QZZdgvklJpDV6LpRvm8sZnc2QDIH5ABNEAyVOaFiIZtIvzvADwsAD5o
muca1TTHV4kotaqy7bTqk8bEfem++m3JQdRuLBzV0TFHgA8tSMybaNPlTYSGELNE8gFYwgs78BzV
XfJ13gt8tCFAf/aXzhnRhvm6ZXhn5qpAVRhNgeZ9x+zQVb0i6vCOMQPU/crJ68cmNVGDJ1zbrHKL
C7a/T4CLQruwPvybiNJ7NnAJQ4LICE5jXNdHzH32m6Rz2SP+G/0i1IT+UxNXwi1UPnYFliLyCQwt
ODU8qo9jUiA70sulzArsbhUhssAlctHJOrjWTYcRGZ3bC2I4blwUOPyklsu0IUxPCV6BJI+vqAYM
ewf5tK3pNsXNM/wKGwu7+8b8fiMVbKKM+oeha8wvbv+HkyFqbWsXVnFD/h2QWRII1/evlWZp/2ox
sqrI6gBbCtX0APRMHJMhDgfbbo82jCXRrWXSMRZ5rDkrr02eTSvLHqi+3a515P4/27KpH3gUPlEd
vQh15zDYoMij6nZWMnQCDlm7IW3JcpBEF5Z5IG2cY65YxSOlWFE8abApHlXNEzt1p3gt8tIgOwaT
RY1Jg5vu9qDBqPKTCfzlcAmopWlJhDfEjmNAFIywoBXJlaiOdVBBqxCvcUgU2/3SjTUDvziP2w7a
5TAW1nsuP42OmVwb22uWhHbV4psbCt//ClKkYAUWlXCysAWo+dCavvDRkrVxmhglXNUGw1SnBVdn
BcYToADPoaQOi1loN5q2AM4WHm7Ju6qBVWIiH6fuY9xZFcOILIvMsmtWYtSM8qstJhkXHylqR+sn
BQ/Ay0keeBjEN08peFxaJ5M1IOAbCmOdFY3ePLKpHtczN9vggoCWhdIwVkEn9W8ieSGuJL0L9SWY
4MeLgY6WU8ac2SDvIlQMtEXbgUBhKwWwyQDSdASYg+2umh6lvTzpVV+JwthR6kgz3WOEz7NmdoLC
HxvrPYB+TERB5rhBww5Dr/dLO9Rv5XUE+vU0CV8+sHeU3Iz8Ai1wzac0L6o9CKNq/LIUTSKtdY/X
iyQN7F0c4fHMLzFpD9gucRZBxV4aZNNrkb8EmpteUL5Fo6iwGHAMkmDTaqbY0NJyAHX+35wqw1qO
4fijlYn2wxkekZAVv2yQfS+QppdPQLep8Rfu8+PocHm2xQCaV/RJvpi69ylBG/Avu0U+rOfN12J0
vSUPFQBGbcp9qmnGdpSi+CSCxF38Hd8DkP0Unw95fvSw1Ts3nL2JL9DsfgXazy+qm1DFReMCZRab
g6GwT8Fs9absMp2+KbFMtm8sSEe++HHYU2FmMqIaTZaXiygd+Gl+NKKnoKzKPueo3ILo6vcjE6Vi
KDuTszjbV6N+TUy3tg+aAEdkh/61tbTaOlh7VtJi5BqP3AZr0Khsing7PS8rmdOGKzR/Y/5ZrWrP
Hg7agFHq+zM02NsmD1LT4dWDgmgNmLxAJgIwUBWADv2r1/05/fdrvPOYtKN6Vwkfjp3RmlumS/tc
hQKXSmxonioPaR29r6LvRTnsAmK+KnOxsi1u/bDRBrHox9B8DrLARho80i5B1Ou7Ht/T/f8gklU2
K53Hw67lOZrfCBicgxgnisJqTcvMLEK2AAFRcsZ9YkGQVdNQbixiYwn8hz8MQzc+2UGVbfS8ihZE
vTtz8qZIh/jdIC4kIiVYLAf0Plv9huh8SeG0Rrsn/5nilxSG3S4FQLIvJNfB94fiJ54r8s66NCjH
g8wDBYbIDNnOMqJ0SUvMJYWPzNIvrO/fWthOdrcgM2VBMcjecIBL987CG80Lmg2aNW1rc8vAnx5o
Hrt5Mxw1KOQCgAjsnK+b6RR4xIdSR2YAH0usff8lLIS8zk4SZUM0ckXabtpBU5A0bOrVvBmnIFFh
vDiAez04acHwuDgUJwdUWWvp+wHYunLQLtg8+FWdeJCwX6HwsLvVTf3JT6JwMwDa+UQ+OZfuOpQV
yi0iAb3I0Ae/2MHx6mCHuT0BSKxoo0dj/I8YBgDv6Z17CHu9f2gyjqaBeMx+KAtgssb/WAYz1+B5
cQ86ODSBZgkLESXZj4bF/x8LepVEL1ccXLrn2mt/GSiWf7X04Vfv4z6Jy9q7E6UalY2A8X+x+VsF
NoPuChKuYhmFXenwtRNH/pFxgy3bAYRlVY/WWWTls6c+8YsbEx6gsrCyfB2HwvqUuzK/kAj8Xc3K
B43VlpbkHo7O3V2wYXIPusgF9CFc0Ra+Am8reKtGK1p1LLQfg8LIbthdrLApsx8ddei4yjvkZn4k
Wc256tEEa0ReOPYj2jayG4BMJ3cnxGCuGYGGdLBa/dQCGnY6NOosQYHc0Tr0AqqVE3UgcDRThgSh
0pTcv5mVoe/B8JKtOMgRv1gGNuUdoINOrIq1z1z/QeIGIyr4r8Kq84a7VT5KeQIg6Q3PHAHQNcoW
vTUKzaPT2vsBBXlgsvpmu48SN9nPihL/YoHr2G9rOdTrQgQ7UWCzyIAZsaciRZpYGAVB78SeyhSk
7XPu76lQkZlju5Qe0KecAO1EVBQe+xCALAGmzoCCU7MVRjCKC+AwQ0U84W0xcItGKXWgM9KaDeoD
QmkrAay/thfFPi/M9DqG7Ima9GglHf2JBnpfV7NOWeqqM/ADv+F3lJLVbDmgY3sR9LZcJyJhS3p8
m57kSDhEJXvzyEfPfZO1JdiSlvPBl5pcS9Bp4EM7u9jSGCrOkfxqh8GqTP3kBVxxJYayIKdaTRIB
Cr+r0knuSZutA0B7fFXy2d4wrV949OoPUVEP5yEP7weBitE2V5wCJJu1XNllrhgP981ZnmbhBTPB
xUkIgIZQ1QIXJb4aWGYeqFjhFg/jKJuXd1a9G6M2nBxS7GZvGv5pLXOQoAd3NRhY87DapJXa4aIi
eKsk/qWUvu9M7JGo5jQwzb2lls4ekZ1aUyOMV9rtSUuxP6I2GTMFDVhrhhgdUTzKsWsBWUeEDdqv
sBSpfZANOrU4Dy2KQeKOde0pBLbLRM3MkPrZDAUulllYJEeqYpeyqlYdILQ3VPIuhCsfSuZh0tNH
Ax3oWoA3H4ASo1J3H9Im2MWSK4k+8lcWpHQxNrW23dRGpzdoqAFsmjngAUEl9tktrOqEj9Is6Beh
26Eax8GSinekBV03jFXJb9aSLy1DF6xrs+9HxqTFVS059cc8codl7vjak8blX2dyMO8y8BX9pSUP
LUYieGjqYdvkCTuGg5eu6EsL5LFPshzko90Jdixbma7oy1nr9ieGnccbOX2Zg9/2fdx0i7Erekdf
l46L/IgqzlI1WprCAYBYDEIIJZsVHy0/rHmzfHRW6PkEWfGfxXBDLVPLRi3HwyA7anLhlQ5ZkT5h
0tBF89hvEZ2hp8VflnaWrouxB/otCcu44TvT8bJpObtEYQv4dOf7LGGSR/MrZKADm17BtdFLs6Do
JiiE1uQxGzta9sj7bK9pfoTeuBHcQdkQbwQhDLueuRejXl10VYzUwsw/6m3yT6nwicMAmbwGKZkV
QNPjDVmQIgMhh4FBockJg6DtqhHZRaIueCmkIRZa6pf/iBJlN0zXhEfQ/pUviWwmeS0zufOC1FpX
SV39U+KRFrzkxSdAqYDMIZMCXWuQd8o9Qs1ndgf+Hj6K0+K5nxUgk/WSx15HpoLOSNYrmVQyOvu/
sdNAfLrMddCQg68DiN1sbI50RbO3YyfFF6AxyyMQbuR0nUvSzFgOPa4oZcjkF7FuR/ufHBSIj1re
pZu6idHWBxSmL6PLLoBT0j8l2ZA8RI35k8Rk5UWevs0tC2z3sNJ9dwtIsYVWaNYjHgTzo2HjIoDy
sv1IsiIMVwNG225ElRzbcbRyE2FsyYIcLIkx5kI5kEw5dE4eK6pw7OGbvO3Wbgni7arv5DYpiuYZ
XYPPYgS8Yz2KXzLDQ8kHBgXwbbTYv6FrJ3ugwb2g5MVVL2/zZB/pRq2pVm4MuttZgR6l/GqWN8KN
6Z321sb1VSChxlZFMCxrEeCBdmr0wrJUS7pnJ2UAGik6ZclbBd3WixCYd0PYXY1QBwBGoE15GlAH
AkEX5b9ZNCV4lFUJq5kMmRwdIzw7lYVt/2sc7IWHXZJihzXfE5F+SEEciBSEZUVv7pV0S5zvkMEA
UNX2rQHpQkryQzkCURMN8riNkqOJPG1UZ8HJioFEz5jRbzpV/QHmkPgUjcFGtCG/kqgFlsYxDOuf
pCPR7DTL/nQSwwjguLb/Sfb/W6eIClP0Km3jIXnoDlc/5mgvKNETWX2XNQctJB4JH/NAFE95Evxr
qEejyq0jzK9Z9ZkIgWjp/Lkk7WyMlFBznpd9giEeI+XVytf2IIbHQOeArtoHrDiNgHYfrpib50iA
O9UntCiYSzsLzZtnGnIj26g+xbLvDn2Thzsf5B1XJF3ZSkP1/nmsum4hi6r+7lXhvjEM0CIXmEhC
R2b7S8vY9xGY+l8c00XXLspAU0jwhNYn8PneQ/ZjLq5tb99DCgNo5uVwiUTTf9EKs1twdQZ4124B
aqz+S97gNemsV7IP7Qo2bhrdd/AsMIgs3Fhp2VyDintnBwzJfVWCTJyWdVsvSBn7Iwbp1KHMTPf8
Ku/1oLk6SFwt6ypUBevMQ5trJvK97bRgWlVcpQ4D+1pQ+dqZt27y7OjotVVyrzTyfTrGwcq3kvEL
SoYgaZMZ/mL+UP7TjRHbcFWMDlVZOvJ9+cXFCEbbF+XnRhWv03LwFoMqXJNZFCXaPlJDoaYFlCqz
83cxRk62IWbAVlakWeuox44NvapjC5ik1L6vpbBaIDVY1vqednbGdZeP+9EEPCPysFdMTIWPsR1Y
WxlYwCRSSzooi/DVIlUWQ6mbS4biBHL7qgpR5/rnGJB0O0rtk8gm6julALRYsJsKAaR+NZ5KHB8s
kYva+24WbAw1nDIf0BNeSrO9tlQJr3oPefo8/l5TxduwS3cV1y2wGGikhWzYGPNFGLvR3lKjK3+H
miWv4Sb3OPZ3zpBpqxm7MfabcukbXrohWa2gq1pNk5dRgIUnMqeJp0AL9EeLmdOEk/fHinQuLGk/
5KP1iSxp+KnKow6c4hUIG6X4TElgn/k/0j7mT2OrNTsLHE/boivS578NRG7fjFjXF1TaRIdLtGZa
32yptGm3PtpZnbLZktZL43hadlZnPs9L0s7Gs69MrGbrlUF/bDU8GYEdil08ZlgLr/CRexe5dSEZ
usatC8f401GE1n6WG16Hx0I0BFmLlCfGhuzIg2wSByMLbCq/6c1wAJgmX1uBlu2AJa991ktk+gM3
4GdatnayrTMBUAcfvGuZZCspDO1zkjLz7JUNiPDUchyBlBi1iT5pU4x4ofiW5zvSUkhg4PAzLVVI
mYb3kDkwStKWizNyQumiA6LdI2jLTEppqANyXfGCySw+UZqj5eW4LsATvqGlkYT90dQBld1VYf7E
2WA/WmCoeE2L1FX51h18efrSd9u1Aay0vcPxjDBUjliYXCJf1HfAAXDFS9u2YD/5wKL3QFA6FO17
C7TwiAV9iT6IAQAZazVEDDRQAFHLzPVE1oRpCuQ8RtF6+y7WNkTjNMkmvR82eruo6qEH5CvS4zbd
9U3hXjGeWZ1cWqISMS2p34M6PMLenkRzh8erE/WOkNWriFZk+upoou37VJX5kfAwO79MV7XuVmta
zgefWzu/7+qTjpZ+dxF7XnMwh+y5YyZqH+TmYB5tPa0b3ZysEyQad+jtLRb00kOdAc8jMDFCr+pW
72RZjp4oMGVgRpBs6GNmXStXo+G6G6c3t12rsxv9wtXK49y6UcbjdUU6C7pBWVKm5FVH14LSYZPu
1S9jvomCYmM/uG6zbgIzBvZwAH5F6QwLehzOsV9fxR6Auixe4yYCM/B5RM+gW+UXYBqhkKLkxdAF
qxb/9T15/Wk2RyMzimYqr8ap1xk+4DLx63rB2jzdlQW6WFMPiBi1PyarNrL4P/geXIkjrhy6LXPb
5FuFK/LS8Xvt4Z2Th7vhKg3S8B9c6C9u5Ph7rQTmNg2g0ZAanWUA+15kThZt3yloOctCK+eLITZB
Se32yLgDtzh8llr4A4nF+sEDzvWnxPJAFo6U3GAb/bYQQpFVII9X68kPtDTWD6kTTlZhoP30sZHe
V1zbYYOCzEUp5aXy8vshAO/Nvkm0W/EqmpVtKQHYq2E/zTqrIEj9u1s++jsWGsmRjOeYox6xfYVw
s1wvMWx672NjqeWBKw2/Z2RdHlN1ABZED5JIrh9IFkRxutPqgC1JmyWFdtMGDIt/4ICxMOsxNaq/
HEy8Arn3Bq5ZrG3ur0Cy2YH8c3vUbspBM1TiFr+pckAFpWzjDtzecfajAz17g/v0N0vn3gpzssnp
AwvsxTH64fjeNAOH7MELy01jmg3T25rtA68x7iN1soleetkYp9xv2k1sczTwGfhuZzLaTh3yputP
y7QLHYzgqi8CWjP4xjCLnwQxMKAemBth/zVmPF31binxnoEAAFZ5MC/lRvmc8Owj09RCJ3yXdvqe
imfWYCNll4YLX/alfUCrfXnqsAQcXX+M7GHVhvrwQAcbPUY720WaWijOqk4dSOEY/468zjB8+9u0
9ep8CQxFbSMVjdU7d1rOMeCehj2KXpnYY7bmTEyJxJxIZ3gIRDYXV8pDXoVvlDMfox9ibqVz/dNE
qzj7F3qckWIWyXZAxz7IHTe2jQuRQA7i0Bt6+AXQEMssBBR/BJi/q1bJGPf5FP33+GS7stUxwJ9U
xSWyAjwlGtpKA5MtUlZ/yMmiMnCDVkpaaa6Bbbf/i3Fktefcn9u6B4ES+oVEWmCkO7B7tlPuj2S6
Z4NyzNQvlFyUyCnuKIabRb+sMjcVmb3bZurGF6XxmrJ7RhtgGqELHyn1VwDtr+cxViprqHS0otSe
WvnKEn+PfwWvY0xQoYOHHnjNiq97rXGOU5MLKYTSKoVtAPtpeiTu03/zXPjY2rATbe+6IhwfTG08
Eb9sEpvyQeloN0e6Gr8I4ol91f03P8A5LJgBcofa7sBpWlbhY8gC/MI89Ir0gIw5mzGeB9uqMT4X
WvuN6DjMqAajoWQ/QNGHJzXlpJm/ndCAOZwxGRKvc3Crfh6HYXJKezTxKqe6sLf3x4ko4NtR1Sro
0BdglALALMY9aZ2yfpklqBMbVO14Y/OqDr1QHmgl9AKTrNIft9Q6UgyltunwuwDMAm7LlIUAWMPH
ssZJ5ZIyGWRMdoofbvKl7hSKR3b/MR7AgvjZS8SpQGfNWtNdDQnO1EiXnaU/WbqBvgyVZ8jxhTsX
NjIRtN8n46DEA+ecNJCDfDJy4F38dwdeWo9eoIOMXQ2Qooc3uDQCyO+VFuD+SxOorwqB7ejeZ8EL
Jt8GTKwqxdDHG4cBgKjDfDbDrBRkcwCKN0f5KAB6l6cATVEiwGiB9iuOcEEqAFe6QsMJfpYE9QOa
W+symGl5ieSaFoLklmytS56CKL1XxqQJUhR9FnqDrq8YLXDKc4xs60JndKDoGdjhF21g4ReOH4uj
kNW4mRc1Sug41QkzbVaRsDdi7DO8dkXyTvm9sQs7A6R7ZGhHBhDXWOmyvWn1k2yKwGS5q0PBrXCR
lZlYoFHVeoiSsdrZkUj3ObOlQt4NV3it6p9BeGdX49ovUNfsMB3lfhUuUDjJCRy01Q6z5ymgZlp5
xWXn7pTpzvlOeiN2yHE4k1OAxqcHP5ZrM8cwPZgV/KujIODpUA7VEkkX/wzYtruoU9tYzVN3GSWb
FdgDiCWQP8Bk+neQ1Of+eZYn0RjtASiBvmj1WrNiDkIKHWOHq3i0kdxQiCF1k31GNdzbNwrIQTd7
qTgP7zLAVYgrKeig5CZSzXumPH0apEBX+yRzaflnTLIj0au/rvwnV5JFZjH5zy9DDuXv1yL5HEPZ
0/sF0teOd5752DigRTZqwzzW6DN4lsDQKhXeTdob1ibJazktExRVy6zHcwimYg4OaswgbISZkUT/
Nn3sPthdO16bIKoWJH8X1ozDrZDeh2FTw9A+12Nn/sewo6kBGq8HOg+FzYI+B3qHyjvXWst2aBAI
1hk2CBsCJ6Jl3Dhvl6FaEpKRXlfBetYGvbto8vGnrZAkJEYNr3VSnDDYClwJdShRTO3BoHFDpRRA
Eh1ASRs8XhxJaaA7fO0laC4kbeThMajocB0kLUXL7eREytdoRq/h+ZhgKT6IVjoYTiZtngGqh5XD
PVpYynRnYGZtYbXZiSz+DEmr5s+QaJ37+A3OH1dF+/MN0selaLadf/xxSZuqN/ifPq6X6qD2FQ7f
xhEqVWgWedEqcziXSA4hu44lcP4sfCeKfk3aNkHzhHD05sDAYPTiuMlNam50i1FOegY6E7rrUV41
a7SrUQxyijTMOpTS66YYpQM286DzMUisjFMvu416H92aColH9T5GZmqPgH9YDq2iAJFpkJxqYgdB
Uhg5YUDXpTkfmwUJ0bJ4V09CWpOPtDhK0RFIV2ebOdgsyzDgutK7vgJC9TNTmYveQAWI1fpwESB2
OVW6pq/KtGLffhtooQ84PTsYLui5lZNBO7imMgicDL3uVpKqpmxn0Xu5fR3j0jkZph+vCsMLv4d+
tnJAtfBF2gASQ++eu7NKFj7HrYsxcBiQJ+5fd0/HxHxj3NTR9xaoZuQ5ACpjg6Fyb+f89iQD8hxE
fcB3N7yMSZ4/FF5ZL8Yw7gG8KPOHVgEv8ggV+nr0n0hEZrOtCdSQyZZkr7a0GlRIHgXf+gasAHHQ
3uh5ToLiFJNkvRpqZ88MhYCr0tFzIK0i6GbLV79X3WypdGODNBVKKfrNslr81QrdPcqiA3pbbY2A
ggwq90gd0pHW5ueutLqN3Qa7RrWERrkXA1u+SA++FdrP3NMmORJ18VoCMvzQeLr13Gq/wgyzxcUe
iDHJSYL6AwCtcukZiXNgBXDMV7qSTaevmv/H2ZUtR6or2y9SBLPgtebZrrLbdvuF6GE3M2KW4Ovv
InEb97DPOXFfCJTKTCi7CqQc1ursto8vKbrJF1ZlrrFI0W6GlVRbO7awbQsF6AmMFCEtsyhPnSj1
W46v+amInOeKJkUVoO20COst2QIAR7sBRZ3BDnEU8Fm7AF+aVJldoWxsKFHeg6u8+yGvJErjFLqp
U22D1NBvNqiTbi+WkAOQkjTvzReKvpbY3jn3FBDXhYtOFyMCVRpi5JIDfwNrGpTrvofMbdSk1UYV
TUH1dtRIRg3dCqIpqP7uA80J4QMXmfu7D0P3Jh9kBDQDvkXW5u0qOSB+D8DRi9FTY9gLA9C/2/nV
SC9kI+g+TtC7kd606Pi10TdcvVn8bYJk06ua/JM2s0AkmwrxCCiSbuMElr3vrcy/shT/SBSG5d94
ro5IYbfPpFFp3R8aDu+Peew2z74dSbyofmqIHuHKcCyRe/fx3zXoKgI/Z2b5BlilNXZ20pSvymbI
n+s+BDyt8v9RWo4eziL+lvRAkkSUTN0ClIVt0fTeHhqN+efGLPkKvCr5s6iz2ajgTvTNbE00PHWe
nIzihLeHMFXDDmmxYyuK5Jrp2YF+lcz14itPxYF+hzT3PkI254Pmr3Y0QmXbgX73v3pBSD+5mkl6
oL0hzb1f71e79ytU4BLaGC5wiWwWDLsKLFybWEuGVxOMSIgFVi+/yYXzh1yURk/6rserl7RRPXA4
3WJD8nd9UGXHO1c8lW6VrOassPCcdFOPsrk7IMdWaJJN+7Exx1yMMrKdmgpobLoyWZEOHcjXLKOL
kAxP4Df/KPjz7UQBLbXzj2yw/KPBQjad6X4TbAqmA27uXUYqpPyfZWRbArpk8Tdlb7wQueKS2zuZ
5SeqNutGTE07REmw1yTV+kPnwSykPgWu5wb4N4ocOm52irj51FClSdwbziotA289jZtEHFsvDC5U
UqLC4e/KVHVCh78YGP1tMNBQbx+tjF3nMPzQ8fCItfZnimJTuNtqk4hEFPemA2uaDyJSJcMhbCZD
0nr3Nbv/1RfJ37XIhnwZP684jfBoO6Lz8cXp7AqVL+hzo3C5+z6kCHncsI+zZj98HNIs0oFhalRn
y2byrIza37exdmiMGHUIJJtOXaTd97GuH0hGh9wpFEqKcADgTDi+QZoCJfTLsub9J4ZAsxuz56Ip
xdfcdJ/d1BZfgRk6naCUbTr5+1Q+Wv0X8z916jBMXiVq1X65zJ96f97Ku0494CFXl6G7tlvbPpXK
sYC/h47qLEzDTRX61dSGjQYKsIcWmn1BMq95MtzHaNT6m5HvGnhn49X3/KeRigvzOTCt6CRz9Fm1
FPUcD03E03usEWbJMMY6nUiAGjkJs52raWAH9PJC3+oRdi2O1BEKfTdN2yXzS+FPLjsdTfGastMd
aYwhnvvSD/Vt4g9Ioo9W4NABuGvD85UL3r11hw7Wvc/r9KlnoOcYH3Qk18zEm+UyEG9yDgSgfcn7
5MkW+naWz/q/ykWJtpdOxcnyLVOEHxw4OtiRvt30rccb/6a5PgMHc/2WX3LL+EZa889i1EKGnR3n
39O7iHxNP1e4n30xFRxEiqYh96GJPOdG+Gwq6IY1QMLrdTguUEhmX+d5IGENa1RiN2uairJau2L3
Ar7espoeajkD/+uiM4wNyabh9LiDTKV+sKkEOlDtkZrbIj4xRzRsVVQOWOdHYJYZbIXOcvFJG2wT
oII/UVr4aIraMbZSYeIv54nZXPJHVLGbZ1JVvnmN7bQ9deiZBdUK71CmjRUeHSo0chdYm1xphICa
2OGvIpY0pKWfnQdg8pJ+At5oWDkg2j0jYnw3rwvJrwNIYuBDYAVKarnxY3bLevejW1LwGKIzsUTC
iIzIbTckdzRJh2a8XXLr19hA90Vs7lXD7H3RVHJJb3k3QCKYhrSsoKHjAlOR1gfzkGaBBoWfS3Jy
R2qsLgEdta+GL97IehVwUGYBXhbcVDTmo5DO6BD5+Wc/waqbTH2g8TYLMqHx7MEXKgTqT3X7TT55
/nCRPvUiIC/ncpMjkbdXPHgwrE575diQghs3+paN2aFKxe4FlKXgMx2b3lCC6H3RyzMp2IVwl4ID
e7hURXHOgVu/oglna6JJ5WtXiXLllDI6432YXcKBWUvByuibYzx2hT58MUGHvHLaKkcGqfC3QYFV
pVdHYNYZf+eZZtWLKDGD+zx3rAtN0IomGScYOnemiYIZ5sI3UMGtygPXQ3z37ZG7U9XyRjLZ2Cgd
6rv+VmIbtzEDJu+QyTTu9Eq7Ej5WjJg9jWTDQuSqkKiwHN7cce+HCiUAqw3B7XsbAGt41AK/XNmo
Wuy9Wi2HpNY3KHt17kklwNJtm3ZgNS3VSDXQChDvioidaHbWY/jB+pkOTHxy36GVcdGGub+TXpnv
Es34YWWprR1RvN4enFZrD+gXa811J4C9HLsSIeZanR0H4XoFRCvwxeLta4k+uoEPNFthJT08qsrL
sYXREdOoAbgqZJW+um77BQDW+Tfkac9F7rQ/WitfJUnGo0VwQ6gf6M1mWi8Lz/R/IOeAgtA0+aqi
71yI8pPVtv06NDWO/X8ujnra4LO7VvYwoG14EWRu8800giUb0uxHEoZPrd1bzx5TiOAivAoSUg2R
GQtNtzwow2ucu93IN6u/9la3l46e/tD4cGh7r3yViGaHjrHQOeIyoeyGB83IwS1nlcmh5HVyZ7lh
sNK9Tr6iJhforEn6j4YtRJvG/VMnVb/OAbl/8vTWOuGXKta84+KZt/EjqZrNsI+4Gx6rDuVyKK23
zab4rNI02tVVZW1oV/1T7Gte+EFs5Df3XtOLldlY5X07onEOqgi3HXC6UNAURw8kQ0Tog0YiZbit
+wFB+dGADprfY1tfi2Pook1j6NMnIRLta1DEv50oTMUgt6GpAEiBwuHm63/R+9NX+NPF7CsJzVvY
RsmCFZF9ALfdilL5hIs/J+vn3P27WmU4sZzQZ2k2HQET6cy2LWvvBWuvtbU7euZ5Kb/yX0Y0R9uu
ca4uEn3WlFr7n+3osVom9t/s6IE8+vz1CjQiu/e59zuj6/2LHd3Z+336Vgh4lq591AY0HmpxLDYC
xQOvzLZAm5LnL0IE+q7Q3HySl9jQk1yaMlgVaMm613iXrhOtK7ZTn8I4DJUotpSunGepx2EeTj0O
/9G218tTJfzokKBR9JyOmEJ0mIe5vkLAbjiROH5XaF2J/ySpWc7Kc9WbRt+YAXhKUNVF4QkbIJB3
3TcKWswJhDfpHJOY4vqjrvhB53Oy4A8PQElCDKtEPdWgmngdu5G/phBNWhf5TfmHOUBDCmVa+GuS
/aJA8ZbZAynEowdDP8wBnN8U3Fj/10sELaLpxhDyBXP1bok6z3hHoLtN1xsXH2EIVzfQ++JUDrjO
xlnC4KXZNJEHGpEBafQpP3oMwTyUeSypy4cOYd6ds2pILjTKtE7tbJ/l4DrwwgeS9cCEmTWMlL1p
eF4QLTWVgPt7Gzug3lK50aJEG4coD7qzqEsBSoDUBraAi3IjEoJw8E3HdFrkTOqag0oE2jTR8gCV
OEhgrBLAXJ+tXLXnVvpiZcjQB1RP3p6xtg0AoDye4hXbbND+2yzcoQQWMAmrcYbOXOSe96Lkd7O8
QOvVm57bmqs2i370iCjdNUVtHO3USJCtzdtXkOhO5SjwBf47gW5G2/aNY6OXyTrr+u7Vq9Illdq5
wCFaorejvRODYx6dxo7RoBnI11ZLJo2gYOiDtOrmzmsM64jql3itSk++Omk8aZjY9Sy7IGru0KwB
zDiJlHnj2erVMFFAOIbFB3yR8O2skUMrsBtnlhutsxoFhJlexkvcvYu/S+SeYy/T9k2vX6QXymFB
E9U4S2cCFZwLwY12S8p1a7yZ0awW22rnWv3zLP9NzWi0F1YB/fw3OQ3RS6W2irnoGXu/IE3MyugC
wwIBRFi/3RdpZB1QyEspgc7AnW4LQNAI7fN5gQdZ+5ob4HwLFHfP6Xg2D1VW3Pm8U3vJuzcNUiON
xkbToskVX8wysqchHTwUfuJLIU+zfHaOQvZ4BbytakWyVFPDsKALWbIOTqypQeyDe/rbtbnLNMCu
peVmvjad0YW00Iz3YCO6kWiWz9fO4/rJA33yTvpIFU0fgK6DHmy59iLwfSKZiKKUEa4YKR7/MJ2G
JjCNaawBLOkATALMT1MfBB9OyUCkANxdkpQOESLbB2QURhek8MHgw6kVRbfC7rVdxpg5LEw0HKEK
tzpowEo/06EqNQs77XHMZPHiep7cFQBPn2ZJHqKe+9zbXrhBst2ZdGcHpEwqCmtZwKZPloYu7De/
CUBrloiLa+vZis7I1NNAN5V52gP5mOVAHbgidpDs8wRVGHQwhYG69s6aRiTys8D8MFQFanzREqth
zfzLRJBjOMlY901UCNzPfmddOZjVmTVLmgPloX7Sm89u7aM9LIqGjenhO5MZCqVryL4DQYSXUbQO
EqYvSYlxJ7ZWwJHF9gU1HqtJaTIYoggr36LsNsgMVBfSF+QK4GXfrbgQu0mdZkjHV/zUxK04kGhy
Q6exlyxF0gBf5N3V5C/09HOGjee7eHLpiaE4DkW5Ja2yqoKlHVlsPbnshi7dJ3X6yRWJAmiynxfb
mAXl2yclGzpYAA5fJ/i+fvy0fZ+LlTKAv0A6kWsnFoo9ZbxMSu6sJ59mPkYRvFpOd0Ca08UdyW42
MP33JEP5mQaOu2jvRao46REaniw8Yk40VKrYtaVd7ElEkySnIR18FGk0C5pBRyI4tnJww84OZkXN
6oZ0mnG1zNnWLbspNHHEWSs2HtZTBzoMIPBBFZzNFrPMr/DmthVn6eLDaZ8G4VYF5gvwb7xbh/rF
q6NeQyfU82U9hmBMCSAEgWZJ/EjEvaYMAHKPqkXHtY0Vlqh5HIeIeHu31gD5pEyMu3AUlT726WFj
A/KHzAV2oFkptfNkIFtw7KBqG7EAlEF5vupW/hCjYbjQ4+8BmumL6juifuD6BOTUfV8Owx7773Qb
5aJ97LDgXJBKbeMhjOaVLFyVbcGfeVoCNsEGRiGASOsXOwnrVVkItpd4N7yUIl5lkdN+4l0cXxgb
obJGedam9TqtK7mj4RAUwJIr8gcAsQT3SA99J7EO7KZNmvF0Ow2T/kkD5KHuPSRtm1xt204A4mw4
p7oZjiQCenJybbIMbT54qmQ+4FCWpNZ113Dw43vSokNT1bvEFPJMIxXFCRCKxLPgeXKsdBeGqkY3
sMOMYE8uSKUTZrV0xz35pJO2oCT2hSfXNE2+mP89ROfPOmhQ4dyQq4CD7iVRALGczAIzNfZcV8li
GsdicI+W01zJAX0Ku0WzqRMU6+lT6CVg/ED7Nt7nJMFWayVrW16mYe5X98rj4Wm+EeQdowWa8pz9
dBUUcfsLxhw+uaFPVRo+SqQMYAbRpengDWiirvVaX9GQHOKtHGy9LGuX0+U0QFntWAlCqg9/nAoE
dZorX8gCu36OriQTkdoCAZ6mTfeTqcpt704En1kvcgUApmIMGvV30+RQWAe0JoO5GVGFPTdUvGQi
U1/iunk00ix5jJsoOnBNQ9XZKB/kvkqa4bWK4mbTVhbbuVmBzLRbnmgeFaP6MnPL6hyZNspPbZEt
2ljpD53Sn2TT52c5jpzCGzaG3wFgsfT0h8pR1b0rUkAAJvoDiTodcKBBFkRHkqkuKHZZJJDTJQPb
CB6UvvHbVkeqGCiKy7Tv4j05B3RectBMW1/QkAw8fBeYo6sriboBQZNUddWWnNcaMkKxmf+T94M6
Cu4k0z2zCJ3ZrQrupltoTLluUTm/Jo8uT+RFs4oLeaSDF8dfRML1E42U3QVbnxsd+rDxqQYEi69h
WKymexZZK5GO99WBZpOhMHc8GgkI0SBSLiXgE7XhgRwxDm5SrwQ5Ll0YhSsoQw/Rjzd5Sot+1bHA
uydHpQd2XG8ogSUw/qEHBFBPdVG/kiejAlS38A15yIXV3/VNsq4TjnYZOZTGxmhRc1jSGBGg71WK
8FEWFe2tT6VxMZnAPwAjOqAREeDpjaatUuE1k6xR8tnrdVSeg+nnBuhi5xzZxWk26gHfuAY+XLwm
GVlKpl2zsaM04E6KEOAgN7wRBgpvtGpfyDR8NpN8jc6Z/tUpImOtV3W1F3b/QU76s9yNszUbwSNI
vxz9VKOfUU5+or5FC47d7TWeqENhcX3dgMTkEUl9CYAONnwb9AFrDWn9cIF43fi+8xkUWmoZcre8
ojKtQcteox1ClCmeBRAcfze3OPItUWCTOfhg3syDQlSTuZ6m2iHzzfBMV0d4D23DSfTaJy1qBIEV
uWvjvsLyM9VBfTIKyw6cfGVrBFtQ7Hh3lcExI827hHN2IRECQB9t40CiJYeEf7XV6zveZMHddI0c
FU8b23+KwoLvCoYIWitMBwERsRrMPvqaCaDDSMMEQGNvWndxAWRcXujhV8Rzr8APiz6pOPxomabF
ihSGvAbQeRNywDTWv1vyoow+Je/XTMryXkMucTWTdtDZTNjhh0CI7oDniFaEn+QexN/xr3o0YTc8
Xr+Vo0coEl8Ymhvf6GDGwWen5wZ6yCDKQJd8HyTfaVBUIrkpNaJvxyXAad5t0sAaVprMgs0sG/0M
JShGyOr/5Sc0GnNduBbiPJ6eLXoU9O4jJ6ivwXhgNhjmtVFGQ5qYZT1hG9IYYOJ42VV6daUD+SJZ
TI2qNPYSU99/sCG/6IytwoPH3GCVKVc/le0w3IcolENdsjd8CRoRLAYJRARb2uXRzAN7paXd8CWx
BbBuUv/FL/Jk64kMIadKsifuhDtSwKY6/N0lTbC8+ujSMR2UtY0uC1BKmKHlvaRl++8uwfmun1KV
e0dl+4feKaulQA/iC0vg1uoN+U12yBmB6jBcFM4S/XTY/SkFQmxkGb9qTQV8Hs1NnhMfOwU8j1sg
HuDRk6Ab5GK0pdiFrmkeMmbVRwUa8C36sKO7QuZijaqW8uFvF+ySfCe8ktMFM4sDsBigJ8cqNOuv
cd/mC63skmcQzBtLrGraW4Xf9FrzjOJiGLbY9WFnHgCmUB+78YJWB3zMXg8BDAg2hwezy6qlqfPk
JQBX7QJMnO3F7nuFJgtQalZb4Ieb29oCXG3MSrlwasP5jlf4EMnqG5pMRoKTwLgvkVzfk2plM/cv
qqmbv6naRfimSl7T0WvnZ+RVS9hHr7+pti1ebz9V6Qby0Wtv6fqHG9AqW94z1S1sZK1XaHhlhz5l
/WNs2+d4fOQnaTSsStd+k7vgMEtH+W/6o5z0+ejnV/3Zj9CxxJEBC6sGiA8B36EgMcIqxBIbCt+y
VkUbvcWTkOK1NDsPUTHyUfl/tZ0904UobEwXUq73jzPgGxYumAztHbNKF+8/5GaAQ+JupVXyUw56
p0k2z85n/6seeWEBHsH/2R/N9uN15XgHdC/z1eazv+kBAnkB5rAWALl4jOQDlqGBAVDQaDxQ6jqy
hbmRCIwAKnJMb2ddyZAPkt9srauuwCJhpzbjx6mzzAkydsq5e6RJH7uuRRP0wabtrPzesJwXKqXI
RVPtihjrA6qKGJhTLIPIU0eqhpBasxqAjvKITa/4X43yvl1pETcehyR0j1nWiQV1G9Fh7jEKEhRZ
dAEaNaYmI2o8oulYGg0QTEGxhx6kAYhREQBDRGssmMmdbx3AFwn7jqn4K3rr1JODDu91gNKuc633
7sHntrORrEgeyh7khBGqRn816oT4aJT23D24vxoBnsXfgvemW9lRy4DHwjw001lezbZUbtPqHaAT
qOim6vKVBlCVI01QCQ7JaUiHrAaOzahB8q7ln+3AbTYdoaGMjFd1ZdbHCQ1lHA55Wx8nNJQguzdN
v1iFpZk9unaOipCuM7aOEeePAlyCe6mJfEmzAA3y7nsUj+mxzB9JhKLc+6Iv+wuNBJrJV3oqjC0N
AeMFNq0mQbidvP00p9Gv5nS53jLwwpYfkHERsy62fMStmqvmxOCJSUaFbzRBem1rV0uSUZUcyco0
qpe9jK0TnvfjrzgvE2efo7MUeVTrn/GEdfV0Eo2SYMDr/OfUv+i8m0dQ/l90JDAFtkkPynQUQli5
g0h2eHEiGd5sNJ3fWscE3bYyn1Eclxy8pghXNDTcvFoVQ6ABlxazvxopgZaJlP3dSBbWsKdZ9ERf
TDsxgdFloZjUksiejs/mKlc3Gy2HD+gX1I/xu7xOulsvHe3ByZh+BMuquTDjaBMYWfmQpnF37yR8
FbSyKJaI+RTLyte0Hc2yzm5OQeC+TrNa73yvK5cdO7svH4BZy8BIg40r6dKhNYHRi7Q/gInhHNxR
zioR9z4APa9ejBonZoFZKQ9HftDxYDqAiHBRvP5BFqOJemHFsf9B5pgeFuWuXuzJFcc/c5GhjGGT
8cpcGH6WfPPNfGe1afkCOLpk08cK7GltAQQhy8Oqc9QwnPrA0GX7HNoAjrYCgDFHSmNosENRBGmg
Bv+ErozoGZlLc5OmfbvnlitvzGQ5iPTM+FsZ9HcdwrRPXZ1E28qtov2g29FD3qFCmXxg+X8D5TL/
VCeApXBaAwHxatAeGmRuSIG71ifU1JY7oHoOS6uI2U0PjBY4cn56QOOADyxJsz/1Zf1Mk3TwLLQH
BEh/7lXRsZtfasPZGeJ70icNNnCAyimjRXvA6HLMuAVtelBDi2KGvGJAsmwAIUWzhV/wO2FY69ne
5o5Y8cZyN3SFDmvdKyC5FqRPhxCcXCsdvFKbJLGHA4+BCPlUdHq/A8ePuwA0n3GtClMitj7UO+Dp
uddEms60GAk2SlbG91lTC9mbptc4IIL4XdPObBeg0vHGL1g0oD9SoE1btrV3QeTau9CZlrnZ3rX4
C43acZLOpoPZboOwto6Tvs50fO3NJl4lXOOr2QnqzcWGxyDFCoTbne262ANbsLrSCzARUpKIRiQP
RSbPlp/v/VHL6s1+36YNKLNtG3U4pvZUeUF4sUMXdSHjMCtYcgCsjLZM0RLz1KCxeeMIlCfSrOEC
CqAMbWtHsykQ9BeOp1UABYJt6pr3ZdwP95YDFm+jHpnhB61Z+h7CbIbrIFU7HtJArBtXVnc0Qi9O
eKrB0TFomZgU0DOn1ry1o3VppwhhdjL81qYhsOdHc2x8UsC8g6Xr3QAft9hx8HotSYMmHKEJNBCE
wW5yIlSyAnK+s7FiYIAaXiTvcy0bFkRugFTPkwxC8ZhUdb13sBXYoP/J+mzwNwVm5e2qMlHkS5YW
auLBswtCBbLEtvexUGB4QL1QiQuUkyUpkOVgB2+WZZ2tetV+QsV69ph7WfTA/RsQ2YGuqvXa95wn
xonmwpzna8a0ekPDCOVXhwKkMQsaBmB0GC0B3Jo9kuTd2pV5/qjV+h/WysSynAxSC1BGLE/6ZW0K
/eABOG0jnDL41FXFD4Ed/fdU79eOFfDXwUJIeaiYcwH6gnbw/Qb4G6Mq0qazaph2b6ouqNQuFeo9
94l11/uGcx28eqqCoBFClVtaNod9hN/RL6NRk9bBpDnOzaNf7caG7yhFs7gstFc/UfFKdaZ+iSMQ
IceybDcqLDL0K7Hv9GlYEG1IVU8AykeqqFP/V1WOuM6DZgE+mCFvHxVaszMN/7VDQd8lQfG+tqAJ
1GPlR9MFJOaoRgfV6ZgtdG9YoS/qU+eBtrDu0+q5DAD9aRc239RlANBQ4PsvOHoGgdzWV8+ZRFZe
BuUj1pHaNRXDhYxcztShA5XHkow6A0QMtQtseTKynEQASqYNLtXoo04fA1TzPXFXhPfSjV5ICfWl
1Z5cgMAGu/LM+4zmjmjhZF5/byaivqvjuF20muZ9VnlfL8NQx7q+ZM0DQuj3JEdSMFu3AiC7Pjbo
L16RTY7QvS63rQ1kePILUJNVjfjiE37u1UH6yP9XVuR/lkb61IVesAostz8UEZp+0kA/W+0A5t33
g3WNsIG+77vUYYD+7O5Q/BWeZqXeDfF0T+tkN6l0cYAuJr/KHwI8JBFgjK8p4Fceyg4QzBKHLQ0D
ewhOulMHC9NCVG5ZWzZ4L7l+R7M8M9mKA4VkQ8M6bcTZTs0nxI9BLqGL/i7ABv5SP2aF7aDx2NDX
9FF5xo59KZvHDt8n4DS4JgBs8adFVV22iKw4vy9Fbd4NqB6Y/lQAIVMjyJo6tbYB7ouiW1oOnjfb
qImaldEJ9MACZRKcqBbLtzzS07WDKOibcJxhg9PJFXoFg40XeyDqG4XA+JJnJBIwo0b676RPAO/R
YBG8oKmqcXEauMAStszuC8m81GqBkmh/mzoTSpVugiLErnqEzCSZn0WvaW6gt3vE1Cxb7NaA77mf
9EfRYJn/bjS1Q0Ru85uRcBCxpZdw7JrraIxODgLB7Dho0kWLTX+2tk18ZG/oUKcwBikTCk166DS3
i6G6kOy/2NUU7ySldzsaTcYNcNSDM2IkIM4hfuOR8pjObC5frBK52k5joFLy0SS3kzLKFsDDQbJn
nC5M9BBlxLSEXgh3h2RCtkhb0wOyf7i3gVb86MoQEDN4Yu5oiFLEfI8ya7E0bJk8JmYdXx28/GhE
GujAe+xt5OfN0Txj6D0ZLARvp0k0chziHJBlvirSx9ytzFsffSNrkrRW/w966NQJBADRKk3z8uAP
4sVuGnaTstKOkQ7k9k6r/DGsf2T4on+K0YS3r3ndrvvQ8V8rxwY0qM+eHa8sd3pYGQBqhH548YrI
egXoiYsnJ4t2UZA2L00bLcmsH0JtrbuBvgfUpv0pNmL84WAmWCtXXtNVRzeOq4fKZJ9IXkUaQPGx
AwcAUBteUZoOBC+6jumgpterckBVxx5AEbDqBs1reyqZ3h6kuUOF9fDs1ml/bhSyWjTkWsk3VYTF
Ow192esL5CrZiYZp+F0BV+wJwHHNHYvy7yQFeXSyQ9SnXOfARXquI6NeSoBLH2lW2cYm1QFO6tU1
sn2ufU9iXRV4j+HNuCIjQGTmq2jITWAb4K4YCh97nmlXAP7ZHhaWluLmFZTu5sLVmuK7GfwAvnj7
1XYsa1mGIrzTLUSuMqeKNiV2eU/hUOId7hbfmSNudZa5T1UUMJT3FslRMJ9fuJHwpfLT/Ktd55NT
hINAMZTr3lUmvbWO03hFiJtqRLlugSKxQKp32EzAnCSMCaMzdYN60aEfB8ViPbb1ZNSVKDbSOuCY
67ZW3zJWopWwicTXViv/qRQAVXKzBk28WftrpLyz1xxxDlJwavxRIhUqLN0i5w6JU3ea0FztkguX
fzLcNt3xPkKpUajFz8nQ7+tMia96KUc4bGZfQs1sz6bX8CVNOLVaAUBOe2ij5ggMyH4jXZHt26bL
HlGu+EzXzcKwwV4KVD4WcMOOGpLra5pIUfPQxl87GyR7tQZQ60IJebUMMMjQfG2yF9DYswd3AJuK
TBp9VQWoLkDOa6IYBm/fXrNQKEcMw0QpjGjNPrRRbjeNRubhX0XEQ1z91MKTkh3SukUMxeV4Zug8
OnLdiK4cWBTYV6TDVzuu7xHltj+xEhG70lPu1huE8ykS2X0Um/1XsAerRQsEn6ujGfFRtEkBfLwK
9KryEXXk2kvro2KFh/0aIaIM2FJ1/uJhz4qysfCWITl7xQ8S4IV+9jIA2WNbpRFfe6NW5UXA1Haq
Avgljf4JDCxLgdqmF7stUYsNeNUlOSulaS51OwyONOt09cJ00PnWSBbs8kF3zqYF/hy6QoP88BrE
HtmOhjIu70uQa0z3YcfZA7mg+0h8FJPQBZKBoWd7vA/V5KD5wH2QdRi4w8HLRiSf8XaBaLgOfZPt
gdMmj3Rw3s9omGF5V4Cl6Of0rAOMSES6rVQtSZZnIMIdkGCd3MwyOpsnSG+WcQEu5gWgIV/jOM6X
PUf/VQaieddCewMYjrxHPMAqMK2l0VMFnMElcPvyZ6doQGBfD80L4oog3ik7/bMIu2hh+CMJhG58
KcEw8rX1vEcZ+PLbGP8uspsrTBDQxLLbZnU9YEUXDpfYMdAxNIAguJTx4jc5aZQMfdq8QSSkwxPH
+KCTKe858I1oT3pkOx1iSxzTsNvRCH9RWCXjFbUSjL4qRd55vvZ8yTzRD1lb8APpTmadkXb7zCwf
SfbBX4wSmyUyEu16vvh0fyWQ/l2ntU+kTZ+PVGpTBwWagdfyfPHZ1kKeeNHWytqQxXxXplMWl5Yv
MhmHS+B0DhtPmfyODu4waPvQcr9w5P042KgwASaHaJUhugPQDN9J1zwSx5Ir5zjpBHrQHQNZnNGd
705eyMwHxs66sxHgDDpMTMpO77zEnuPv50tWfdmdQzwXYx/lU+h2iTaOuquSLjt7ApAFbmWg1ZdO
ZaCjhTHN1Bb9k+Hl/1i7kibJVSb5i2SmDQldc98za18uWHW9aq1IaAX068dFVnf21/NmbA5zkQkI
IDNLJSDCwz1Oi+TETLObWWzh9gXIJ6c+poWQmuMXCFu9BU3ZueOVs4VAhH5l/ot0XchvBr69BNFm
+lNgFRTaVp9lTl4aJ84/sjLBWhuH5NVS2EpUvhyfbYL/Ougxy8fJhbzogfi5bzvwYemUjZeMaGs5
jFh/WFqla8kSfuzjXs08eJm9Je2HZpaGvXoqO2sFtgb7rUh7ssqBqAWGCsUWyYCFRGQPWBN3Fyq/
W8SpcN6SNPlZ5VZwEZE1Tln6IKLOPOcNG+hwDmZdd/+fwzp9TFa0rfS6JUTvZQc8tE7BPBrm2atF
c2QkNwUE5Gy3njRrNOgOECCDTjgIF8M8eS6xOs5sJtVXVABliDj91NsDy8EfvbtBKRCmDt4WP+UK
yAMwKk/BCH8SLDOX/6xXRrRM/7KN01ASoKeQXtxI59rf9DKDpKIBwjUvw4UL17qY5O3ltIz4tPbP
IsfaNK0/pj6Yqn5b9ZPVf1YZ0yyJ/7C6jTV1LDqfb72hq5Y9o9jQuyH56OMHTzf8U3fA23RSDacY
JDMQhPxXA0rD4VSNRjolBTHInyP0aQYGzeAjTnj2T1TBL8URN6VKQTJLd2fIqoY7qli68kdNnytE
osUEYWNN8Jy22A+EjRxXyoF3CQxv4tIxyefGIgAWbRor6SC4EHbgm8b+CFBG+ElMsFr0Q7tMPZcs
TEDbBKuJAI2mqTPFogZm3uif6BDCKMmkmAIek3Qd0AJpRVNRFO53gwk6WBStSmNJ/KvBGEOiKl0z
lm2RDPmhkdLyxuo2modFMwJfHjtPeBGBfBv1bekGq05Yw9oUcUREZKmgz4DL+ztAYdqFqZeE/kxk
512qtPHOyg1Ahzt1h7gIMjFb+3tYNjorKnoBKDbe+G2kwyPxq/A4jvEAFDrAqqZ4a0jSKDyKNq8P
ELX5o4Ophy8Mgremr0PdZOnVI9Kl7DRel34+rKyK0dPtzkJ8FU4vQYEHxN1frXHbDCCDHL9b5XSX
TnUlRH2WvOMab2iLPGpmnWjHm3NjNcEjBeJxppOM7UaiyWOegUdcZWO9bifbsMnHdWoBh2RaR2eo
9paH/Y/py1o86bEbHsy4pkPypKjUj/8yERhGnVkCps3rRJ2zT6Eo2W8hQE/Aue/3iCbV0fyWk8VD
vXJC7p6Br0werhZ9gC2RiioC32PZ3bG4cAAdzUT8mtppfR/xepjbeeW9tsR6dXHm+RlEbzJzaTyD
XteuiHj4oSBoM8ugGf3kIKFykda0OMfZUICuNKp3AG1OqZ6tXBE/8u/aAHiCrAyqi+rjrzhjfGcu
ocPL610LNUQ9v7VkVUFz+Jl/WeK9Ve7gz9DLBhn1NMm6tc8lnWPHAnoN6MbvBS0H7LSS6N6jYE0l
vbRA+dZF96auJchmgrjSwZRsG6/rkiRwK5n+HrF/AvCcwKv5id2PLLLwB5jfqkWkc3EEh6l/bFgV
L4wB47NSVyC3VUVQnPwMKaGGQZelEw9zlJKVIQjQJbKa8xrkXrfWMaM+BOvBsF8A1LGsgwICMQAU
b0JbfMW5TR7GsCQPcZVs2sqF32AqlWDpXnTlAI/aGPoPHTjvDqxtv0xjw3wfqGDyZkGy6hLr1S3L
u45t/0L81ZUW2VWRN5VAjtqekPPaWQ9RKOodLXoA9JsY0I+/b0259MRTArlN/Lsm0ofEghfsBpcP
37feVK4oMtgB9MRtOPb190jE3BoD02SGu7bfyqbS2HRm0Gk6n2fDqtEJYE+yIDOqwu7U1QnzFwMv
nhE2zbfX4rXFP4ZObB+dqOhPpsZc7L7td5UsDn3dIZUWqmj2Kixwfr6Z3HpUTYKkBSiuLkyraahs
BTpAV9N/eAyo5fcH8AM5B7lttZE9UHDLpBV4kEa/wFHC96b0LFwqCDh/V4LuyJrryIu3UVJAaRlJ
QY8Ds6wZ0piGt1yWr4PvNF/oNo8iaHbNkJQ6H+xh/GpI9pIA3v+m25zhRRF2j7HiwaIEjvMMt229
JjonE5HvsHOHDOqKRVadLMdxlrbX2fct2M7n+L38o+0Nj03KxZGm+VkmSoIMHCkyy9AP0mWJd8m9
DOr2HolRT8nAO7AooZQ5hXVss3pvDKzRxaGZQ8IgiW138UcnUr6Pvac2XpHtzDBN6zunEPmlyGTQ
Bcg222HV8rBemFbTs4vzn0ky5texEWsAeV/fLY2BmZzHEM7ACmPBY1OBl40TeM5aEcnrFIXoikvi
tHOCdOxZUZX5td6FAtu6dXJn/sdQhd2CLDyMkI6Lr9VZJLrgzDe7Duw6VrQm49AgwxffEO7DDmcU
HS3Nn1BJ3+dQXcZf01zgyuDe/FY2f3zVdeWflabZtPR+DJarMSJLEAE2T/GY79xY9u9AM+ZLGlNk
Njpd/jy9yhrB+ndPxHLJXKUQ/nSdbW9ZcM9xkY1bSAvHh366yBxrNfWgjXxrGAYs/U75LFwchALQ
ZqkIb0PFASOfLubO1EGcAdE0FoRkBrAgYPL/k6HpcrW+9e7VAN7o/0OXgsoOuVbO+u9hOuSO75CE
+D+OJGwB5vPbHObuL2swe2JRjeAiJ50/B9d9dkynS2PrDvm7nGdHc0kZZJcLOytXxsbUCWNzKzc2
kBnW2G9N622s2ygWr4s9QTIRHFu32tsIps7M36VuuAkhD5mIOmoXf5nkHEHdiW8ATit82L+GAglD
vR47nc6ywMKTmvYPtmjCeBNHn7lk5CglAWk6VFv5LO+ieOOHWXpmkfMS1dw5Dt6IGEvTuUjjj7Nn
ygdgakZbHEHEkT6ntfWSQ8PhbBp9ER8ZaEovrubps6xxmkoq7x447/RZNc85yCih7AxBISffmu6A
n/AHu8X2zkbcOqvPeR4klw4qOFOOBpkLaYVL6cAjAMlWoB5DSLlOFs1k0bVFs4qhKTg3dWXDKzqD
F+7SI2FjHwF2lrkAZdhhG61aBkVKMjocsetMLu0UmgjxWPFnntViEXDmb0wrc5FJmTYlfCjYfjyE
eJodP3UvldW5Fxd6Gxs1DggbmDrtOZeWRtAHBNKwmkpNVvlsBmHydxbFLV7YU9epQUe9tXBKKBj3
QIAwyDN7oAmW5Rs4ZNwLD0vwUXGEsWTULJEELVZShRU82STY4RgI+FA+VI9uKoZ7gtwe02ghQ+nR
zxAUE5l9NFUBg/PPp1KsTVEB6A+BRJ3PTbHB/gBie/Z1bDNiL+2jndC5JM7csQnEFnoSPSLBBZpr
Mi82ddBGj32SDiuh8LOZVoDIGkB0Q/BST62KjpBLB0M70ljKYBfJON+mUFTdty0rNhm8tEer9sSa
l6k4BdNet/NGdXZU4C4RAKWXMbesRUvG6j4FknQBh7T7QAAMniPZgD/BzVfOvaj3n5lAsC+FyNtr
WzU1kJ2QaKfE+YJ6IPkYXPbkR1p/djQ+wYvXfWUEq0SmoIpqsXjput1wp/sCj74b7bveZclc2/Ye
aen5seBkuCuny+Cmq7AKWsBDYW8uEdIaiS49HCp/V9VzJP+m1y4gtO4vJXahbbWiSMxYxwO4mrwO
LnEdVvu0p5lAenEu9paNC/yadBERWy+yCF5gN0ghyeOEyX2Anb2ifvFmkzpaOrIQG1MEO+HclSB8
Fb5i+84b9NzUA+sBHqGga49jqdrHHslj2qqLN11ZHLTpiKe6hPM3cGnuSwp/m59wnHHAjj8zZp22
v0BDmm+xcDlHAo3Mo7mjU3F0CjZHCLYFHQmKpu5mYu6I1X3Vg+us/62/243gOg6yc6PG9qQsSCIW
FfXegrjc+umQfCFW8uQrGTy3oZJLWrrVgWODdxBdXSzjQY4vQ03vjKnyigOeiegV7kx7QZuMQDMo
avZD02SrMkvGJ/gFPy2mq2WEHdihafpl3iM1BNAKvO5jDfdD5cVYxJHWRJrOfnApRB7M2G7yJgCg
++ziDJK/oZ/dDYlGbMutxCYtBbmLgiqaUZy7d1bvlMAWNxU4VoYqRdKFSg8BAF4DgFm7Jma/Gq42
pvlqeG2yVTcXCVjjTOXtYgz/7mOag7oON3Xob4VD/LlVYn8szFhJaiUHO5ACp25TcZ09dtw74udk
bYZs2hw0mCT09wEwj7swIRZg1JUL2lUZglaesi2CXO3BQUB3FeQIUmsOB9PQ2e3TyIBHyS0avkOC
HUh4y/qJf3RQ12ELqSqyulPMIZ8QTohnYBixXvDUDvOU5+G908Xjsqnr5pS5AIv6gErsEMMke1oz
sWZpH54LZvuLoGX6kbiCznw2sLcsVk85UjG/LBx0hx4HO5oX0YGDg6GoK/IPMmI+EssKX52g5fMu
B64gCXzknQA8j78uQvkcQA6stqzYD0VG1qWrijMt0nwJ8ULyAK6BfB6wEX/uZHgvwsT6x4V6WJbb
IzbF2DDncOd8cdI/u/3wGEAldl+pEs5CzS1+ECDeREgKZKnTpW4lUseyMDgNTHlb2+6Sk2k1d8ZE
sXGA1GePEEpEHUgVOe06Bf8IckkRwEaoLPPZvAF6f96LoF5XWEOeYi6TWS0T+zjUgj2lzfjmkhiE
N1NprOP7MHTJ2ZhGDuTuHcIuppQg7akrBMhkK7wD2TjO8SdqH0w/SR8DkE08QoiimSOBmKz5SLsL
tCzbVelFej4A8hYBu5+wM+mWzCYRAntWyuel1cXrayukCfNdntcfwGn0FwnQmkib+cgqnDOzbO3h
j/om07xfpRHE0zQy8N7y/FwA1vGKdEJoCwcxEj8nK+xmzyXDHw84yQD+BCSmG/M0RCZQjL/RmfOQ
Xfqy/WnsvbYqFkESVHszG07T4GP777OR/hz5lvPqJ7TetjRob7MV02zy92xmVDObF5Tfs7WYzYxq
ZrOyTOxZSuGb+vXdiM8gBdX3ENnSvb03l85CcqqXqp9J4NnIVmgU5DMsiN0dYiSq1uDiQbWxdOU6
TVn2Xfg9QAm6rDUJowGCrLl96MBZcAigaYW8l9/lrEohs5rm2JL/brjaGHNwyOxHRZEhwaKPASfs
pCiit9xJ2hVAneU2YgBjuwpiqsEQfXgNdNbavlJnoLVBiDvFCx2sYnDSdM1K8wCckk1+D8xYe2cu
iVcFe0f1D7cq1/btfRY6j2Vof1t5jtfvk7F8NlbX+g6xEa93X25VSOXJkFiI1WgaPiVOBIe31HOn
V84dpBOtGY9G7DbiyLmrpks/hJ8BbYOdsUh05d5lPNwkeUGPpspYjcGsL/LmztR4vBtOXdEjpQCD
gjLWX1i+L5cWmVJ6IqyJ8A6dAChBoHK6eDY2QklVnIyBBwHMO6/NVyXpxMkpegWNucheyqjqT8be
mIHaeDmmUp8y6Hye4YhbgGYegkPRkN/FaTosw6QtLikehWVIVHn2ehuQbaiFnKDnkq+xZRmOOe98
fBi4j0Matpt6jBE54RIcIBVUTiM/JVscrKtdpEe54zVObJadij33qnBjQUB84vqFug3w0YdaH8BO
x7cD62vkzSfuBZm3eu4PwfgeI5fEbRE8J1hAwx4oPBX34TyjZXKBs45sGqyqmxwMURdFy2Aewmf5
RgZ/79hl/DNKwVpOyPBeVdY4jxDxvwx1227A3AkugkRoCHTm6SJGrsEb6E9OZia76td56fEPWgEW
QBte3OWNiDdJWKltQ/GuFnFTL1wour+m3L0zM1VKLbuCsg/LQVqpI7l/57HEXkfRJBjoFvLkQj91
UfMOkRhWPplOjWTgsY/cHxy0AzOdBjXSxcdq7WmCXTeCI0ck1YWLagi9hwiuNSsAbKsniQ3x4Iat
Eo92O4cH6lREVr1QVl69icLau1HRfnmhCyEHBVUov0V2S9EmJ2Cewh3z4HlH9lz5qLRdgfTAbb4C
OIWAXfonK5Ghp/E73ssGf10eW/0W+/ZhWYYO4EY9lyMcO2AHsMG7OktdlhV467JqV1hOtTN3f1QG
U4up/LvlZq5AcPZHb9Ng6uqaDrMmB5aKu258IqJLoC5p9c+9ByCpYljMPKH7Z85avgF0nSxM0Um7
aKk7ADtN0fV1uqh9Um1NkRVTyqRPswk2OSD4GGJ7O13MnfC12JuLivJ6P6YDR0T5X2xuXVrXIUsJ
RsyZ6Re2Yymut//W7zb231PR9gsiSclSazARUM7hOscR9o7azVpNvvKrSxxOQ6hapA/GIC/sl8EH
WteUEokdhQKR+tYUY4lk9wzun5Xp6dLa2YATPZgbzznDkeHgNHU6M6226vs7D78b6I3LYd5H1gyT
2/fXxka9+9Kxj6bUpliBkbI9IBaCj6UT6B4LzvKVmdUTFry0FGhhqsfg5DEcTGhcHxvsAY+lU4Nj
LwfGFuR2Am79qVJVLQQxCzn3FHhfugFdTQ/QcH93uxWHANQyIfDooMn8NaixuxUtlfNN47LnP6a4
DWBmLEDi5RY02y0oDuUH5Gn3SJH1R3/mQDlpg5zl8OKXTQidsemt61TQ68SKfK1jNBez1nWxnhXx
PdyW9THGYqlBvHBvqjRCwuu4QtLcxP51rSMes+bwjiLBaeplGtLMfkGCob83XT1sbEA/CrAb4jcI
3J4i5tCnVvpYc+P6PSLSXgIiU0F7DTSutVfMTX3cA32rEUPbEN9y3xx/YaoFBxATlNnZtTelj1zn
7LURwCQBYFmsvECJd2BfF/Yo4pcik95WuEm9NPVS1rvE7osnoIrYroqAAzD1Klb30i+6BxpnENWq
GEFoCx9utPhnPwYQyAsbHMK9Xx/OLUAZkPROfvE48h81wzbUfDzfFQRJhql90pllX2SKgHRjiX7V
y8RbKrtuL4g8IHyQKWtjew6KymouUSLkZtReOzMm42Rn7qwkWGMxgOLxZHvtn1jYqrFWLG628Tim
Z3v8xwx2tZrsgwKeXuE51opDMTGagazS28lxfLqaTDObcXvXfumoGnam3lxoFvN1AAqmeeTa+aIK
ArHLKriLq5rrYztofwcmAmuVjzhRWIzCSe8nzecg6QzZvvHPulKvqZ/zl7L2gsUIMO2pcoCVzVs4
PmLViPs2sy3Q/KTOjzFOF6ZTXidPlgjJSyuwmsQFl2BtHdl2CKW9Rt6lf6fdoZgTbIQ+LMD6ILCn
FgJ/lY3ZMhCsCkgAV8PG7AOCKd+37S13VgwEUghT0VySAhrzxs4UjbGxgyrFcB3KNPw1XjKlHJu6
23i3vn+NZ+zKad7bZ7n1NUPd5riNhx054jhFvNIdzmIWZF+O+AG/7+S/1P3/2P01Shk0CQRmpbOs
+sY/RCPOh3F+MAU41/2DuXShTIeZqYxTx1lViABg6RkjsejGkC+KOApWTezg1e10xQFkXeI1LJl4
zcu8OFBO+NzUFQ7yDTwNjhDTGvJ2qTMdPna15Z+GCJxTxkxD9hdbN9tfm2LAPJA0PbGqJvCiv3T2
CM5uhIjqWRpRb8/w3HzftgGohLd6oHw+WgJslT2D6li8rP3Qf7Z965Wl1vglMrEgeV38APgbIFa7
Lu9sFpQgnS9TPIDYkPUu4GJ95tnvkZdsTCcHT0TnKP5KS29cdIFGmngcQXKgbH1IJFXYAmo7vqsi
C5ce6scJ4MdLU2cu2MJ6q7oDNwJEm+O7ax1v9Da18eIwRdOAjBDr0IYdXlm/zHhC2QXL1e/xjSEi
rGAsibPjrb5vo2zWhL2zNXXmAnFSpGDGWbCaBs0cbzykRIWPOUgunaoJsP1HCe6gz4B1ApQVKCGL
qYWTqx+2Q8tC8PEAEJc2OMiYVo6w/SZUwASbVhCfpgdLI/ZvWhkoqC4jLXaILg/DnAAkE2TNo2lz
iX1qRTmAwKHKNyyM+QIk0WpWJQA9msEiAmwBfhBoXEwfxI7daAVJl3RpWiswYuxUUCZz09ri5A7+
werFNMYId98LZICYNnOZviMoSL6/IwjpPymORJuxhpsBGKBmb5HO2ZZWyHf4bfGaSwnktPKG7vtp
T8/hyT0SIKTWFZw7pwTCRKshjL2zr/m4xFOd3UE6Llwwl+t76EfyhYNUlkfSIrjtCZzHB+A95ypB
GgPzACVwoyEFiijMZ45u6LvI7XdPY9NcZf0dxAWd+x545lmX4vXbJuNP/AxwoQE0ObPhi8Bf0Mtm
GxnBLTbL5c8ocIGQyrHXyuLEgTxgtoMr2vnHj/mdhxj2D5HU777vRu8q1fmMD2X+1o+gMVS67F4G
dJx7JPSeCO9w8CN18QgMQLHoC3e8H/EzLloH54UijzaIJrrzoEv8c8DwDMCt250ISHjXrivzIwOE
egN+2GgvPT/fWiBQ2WmkVuzKgYFkgeIvi+i3s2kAvzgg+cFbV2npHQMuP1SENGIQ2MBDmr7oQZJT
7kYQRos7+SItxdaB6vqlKdagdUfakyj2pohd9Aboav6QVBW/J30HRrRAvvht2e1YT8m8hrDHi+LQ
qBV5oDemVTrqwxPKPdsuY0+q/TRDeYh/HLNEqpnpQ0MH/jei25XpAyEUMhuRUnRwAOEOYjuBenE5
HgnknI7m7nZx7hC/7P+orQY1HuvpEqve3UUQKzTWt3pWN52ejYj2bQQd3o3tbcCbXZH7wVIqEYBP
C7PfGm7FXmTJwiuGanEbxdgZE1MniWvPCl4iM5MU8NirNpgXgyUfBakeh4pYHyCk8JEaHVrn0vPd
wxBG+cI0AJO6kHXmv4JEKEQee+1ukqLsn3qm8VSU8Y+cgmKIx7Q859CAOoYC+yqPUhunGQSuRwCL
ws7yXxwG1iFS+PnGSevmOeHO3ozvt5aYIwVGnvygyk5IJUMqyTSuHvxt1cAzLewwXFeZsNcpsMUv
VVdtjEFb4EDMONzQGV7iJ/AuwnVsPhHvjhk+C5jx227PJaNHD//epQ6ybA5vbbJry5jPAk/lgDUS
Ha4gd0DmIZaiOzeqyV0prWYxijZbyZ6nG7CjeauQlSPE7pNmzXsLkODATe8LkZ8spOwf4ftI791B
9WdP9otr21QVg6l0WwHjMRPVIPK5aLEKhtjLrEyPzHRDdooua7U3VYCVN3e5B9XjyR5OFbBow2kz
u9kjVwVBdJ3kS1NnLqXES7hB6tQOZxQJ/9MA5x0UC20BBhAEC9c47LJPobx/Bqxkr1rU5dzqmPOA
rWe6hLBUe5b4v1zjjO3s5YQ1UJ0/bGJ4LU5JHwJxnYfZPQ79wXz0EAHKBoDCWdxYHwiqH5s69+PZ
7/lCeZd0nf1U6wQRf0VfXFWqZzsBl2kxVjgAObZ6zntIUqW5LRem1dNJCuXQAr/z1NoJHi8YBJvn
dq0I4OcrcMT0H74VQTygbtydhSyv+7Qfi1ntjOUPL/Y+g4aWDxqelS0YyJOVUjp59yl0xCeDAHv5
hSxDfaBdS87FCIe3acghGoBPFTzl8IrhvS+7dQh13Bc3z7fGoLdlDR8rtGBZ7NpHhMeQ+zAN6WZi
iY2PeuWp561GFwfHKoEzHblOT8ZANhRQaG2HyF5rnD28MFBqnpIRfn2dMkH+2+3rlEgsg/BRgEgG
GfKt51SggqDs2QItykOV4+CS5sM/VQuti3oqAQahJul5kIoShrxxP4uQq4XHx7QyG08ICetsZfpz
XY3nvI43ZiBjERbKw0MD9g2tmjPJvH7bQ6rgxcOH7bTy72PBhrsez7mpBrhMb0QHGPvVqk2Qndr4
QN5MnbLmKYlb+5kiyHkC73kzM9VWVLUgr2iyNTiQ2YutSTwjPKrOGRJZnpDfPjdmtWsVSIYFlMUU
m1yrhYan9/aBZCOz+5Eu8iBrz8AL0VM0Ljvs+fDWQc1/VIuyxUPTTI0ZWOh+W5amHsT19DQxy0xU
+1gmgXY1Vaxbmi4djc7Qs3Z2ZkzThKlusxgjII7MJzDVpsbcUR2YsW/V5iP+mvJmeKum3R9j//dq
MMXgVZ1hVaax7ywQOqQHaNXAeRll7SLxZPcBkjWkTdrBJ7aN0awaXHrhLQ5UFlX2yrE7/gxU/YOx
6Co+S0DtxVO7f7JyLEvMwl6vtF1110CXbFZM4+RYTxIk3byrPnIWtFP0gDcgWJgzAa3OacoAUxpT
uBOiGdh5vqcEFM1esTG+TsmDPPhMw+glpEWyx7rwbLsg9piRpPH25uL9vpOVD1RWgyN2Xdvefixk
9G14s7lWgove2bU4pHsUaK7GwWrl2ji9Rxb5CZBg9B4woOd1i71KGXfBOQyQrNKWhEJ/Bco2ZUiq
iyBtfNJDxUFGhB7MFp8IbCNrIR3qgycba246YIHBaxRLpBMLyMWW2PElkz3EhoHghicvFrXYNm5J
l2YcPLKzOmD+KwlsMJEUMl7HOTzA4RvFdvadlBIHAVAYbXCeAcHspHbnN9epxgAekopk9jYPEITy
eL81Q7p4Ty463WV7t0D8zOnqB/PRzJe3rd5Fsh4ctdOXNx+N4CGYCx/ZiubL2zX2lWbykLntTJL+
+8uX8ZeSYIA1g03fv2BDed/ooj5Im1vX3+X392dg/to5gC0sjH1p23hLtsMf39/MIcT390/bjq1b
aJ9fv3/7w3RrHAA0RPVV2UUIiBZrwHGKMyECI6bGsXW+El4bLEzRNAC6uMzqAGwJU5/cCstNE4EM
qp6Kpo5U1iPrFZSGpioryFzIAWigQEzRIcE9aBiGWT006c7URcDxHAFLu5iSmQX6Dw68wqO7NnVN
1joXOwCfw+9ZlC/LZU9AkmXVVF1oCAaNqEQcGsq/5TwFcd9MNvhPAjshjiIhNGZkkoNoDAcTrTJU
FcCnl0OMAM9UDOlQnBilFyMLYgRCjFRIU4CXVFhhexUSQRIT+IK8HNvj3IsvRj7k1sM03HqYBiDq
/pcetzmQEN3OTA8kAuNdCSfGyQxl5jAybrfJgevLVmPqvLlWntxnOVBZUMMLNqZoLlzKlRw4xkDE
9l6Du+yUO9nWtJmqOoTQcSt1PL91Sm2oSogSkBZTF4EWwmqi9sB6hHV42bMdorw7lXB9ogMT7gyk
8PrUV0AmAlWXLSIwTLrZ9ObKBoV4C7/4kztdNxonYyAdwJ2BYmg12Q4UfIjG8qJ/hjaJXA9dWS9N
EQ6DZlnmYb8e3Io+IcafRslnaofup5O5F9V27vPYsH41xizbsaYKLiWCezNj4ecp5Ez85INZSi9s
riBd0CCuJBlCGYnN3Y/CL66mHTRr4EEt6ws4/OQOKqGQqatS8QIx65MZDOiSn46s48cBG7O1FwDq
iWzO6kF62BUYCy8LoDFSZK8BEkqX/sCTfVI79rnAeXZuLCJ98ONy/CG8JllETpyecoRbDgxiLIu6
Sfh7xr1FlQFATRtaLMD1CrbdJnCfM/CGLFpKa2BrXLD1tyAMA4g1PUH1lC8rORRPFn7IWUkr/zNx
ATyHXyFGCqDYS55a75EPSu109AM8+2WzslxZHkrsjvEeBxxJ13l/V0SBnkMSsnrDX/z+2p+Dy7SP
xy+7AG9dxvFbmw/idQhWB1yodePn1c5cRl3BWYKoY7nzm+67Mmi8GOGb3+Wb+V91pt91CGPTURdK
A5bNV3Gd0oNdxOXM4LVN0Z2KyN6pzlpJ5J9ioQSVla5+JOorLBFkytsAKsfU4ncycPttjF3QxOwQ
PLqh+pQW8klApH0IEhtI+6HSy95CnkXfFxCpDQRDVDDDJjD+aSz/GitrrWJd+CV5LJX9b2MJ7oz7
IQnldSzH6scPJDWP4MKzQTuoKs8RXyQbQYsfD8nRcaI3JNTTsxpr+pSmX9nQDC86dZojoQj219Qf
XuBpSNduUPCVaWUA+0HApkVYc2pt0mQZInn/0RaiuRtKfTHVQ52xbQ72zoXpJHvLA7scAVLGDIl5
XXegZ648+uTof4xRGFvNMZzmNcW/5lUCzmIz73VEpIfc5nW5fTHVSLyMto4W3/PqaV4/SejmOuSv
eZlTpY/Iz53VCRS4Oj99tdJs3IO7H4pjVZS8NkGrgf8ahq1pBXJx60OV4sGOgQPMlP1iqpF0663L
IqVLGtQpTk6NnIFqxT8GeU2eu+LRVEMJju4ZWEMRkJusBttbtEKXW1Ns7WYvQx883KGT3JG2BpEH
rECtzdZWBVyKsaLA781GB++POv4vxs5ryW1cW8NPxCrmcKucW53DDcs9tpkzwfT05yPkmfb27F11
blQCsABQHShirT+Y6WtKHWyOyuwQpZUiSpbyeuxuxpcPBfrD8yiMtdMg8vHB6KL23myyR/nZwlBk
O75Ju9vSHMx50geVcIZIPOGqdLtMMY7daSiS4NaMes6CGpDPFaQRXGlzPdxNreE/ASZ/cUzX+0yH
KgQWEWSPnWGme9jM7qbPmui1aDiTGLX/6ZC9WZh9XN7nlHYOLrCa9YD81nutIH4zR8RpkC0Ldezu
WqsF7owQ7AoI2/Qtdu/lJnXM/WUqONZXdjyd0QQIVhTE7HcFkgBK0GuUSfs7daynB6cx9b0tNCQh
UkdkVDEAJk6lU+xbYUwPmK/FV+HEqxLV+mxp6mOEzppjrqaw6pdwBO2tjKv98qyB1zrLFjek5GgB
+VncpuVtAWCscZSt3DPuWv8+mnDxnXesnCrd1hBfEbvhguQCapO+GR7pLk/Ty6WWAINplQkr2nKY
lk2fGoeoCcWrVeUnbfSShxlY/zhOJJ/GrH2NVN06Wh6ZCTkJWeFkU6DDsZXNyGoHzoh1dpZNbRwX
IOnq56wzums3ied63mnwLe6SsHuaOkC+nRIOWkij8S1KlS0qfOZPDyPD+bj2DbXeYNlqjf1AUXxA
1A8oi1VP9rFqFAD9/zndRnYj0pH3/Wf6ELlUWufp0T/TTc21j6mJzXOLvvTDqMAyMKpD7XfGs14V
7r6NyQ7LpmPX1j50nf7WLFN+ndVIVlKOAnea9oZBkkc2i8xCgzswtFvTQ4p4r9sBdvLY3+HwldR7
OwKfJ5uqFlEwT1rQFDoy3eY0pDPuwbmNKq4Z7RNngAE3j3KGUDDua5TbKF/J3k6Lo3AlR2O9tHfF
YEZQG9gotGxjN7ZVchtN0ZxOUJvXELkuZu10lrEwXCzvZZcDLu5e7TxQGlCmZesrlArkqkCJ7/LV
D975feBjHL5maxQZF0bvkT6d15cDnWsaqwQ7AiDZf29c5Hm0RR2oXsrlrHnnKAS6gdgI364FX9hL
z0nac1M3u68dM1I+m2Dih9dExp1jufWyFHaxUYMalex+NO+n2tEOkchce+HgJnkpokM61mDq4n4c
9kE6fbs165iapZlD57i1i7rgYJrU3XZo+WGWaoeBjnRFtSylP1O2dDZJXRSL3zrlSGGXw7nSfBAQ
fV0ssrkpBwYp4CjbX8O3zt/WoJRrbwTwcSTj2ceyp1/Tb825T4ZkkfZ3yNyXGFRmvdCM94qFXFeF
9Mq+hR323FXmqSyy6NtgQu0EzpmevKCLH1wn/yH7uV/7i2zQDCTyneyu8rlRUW2NvmGqHC1Aa04I
hJB6ciLLXcoZRlXfVZbQnyKjyQ9imH+RSoEvKGq3i7634dyRyenOTrdIw8g8yxduoxRMk07vqCZB
goh8wzg3Rm6OK/lW8SeScmHkbIQlUMX9ewUyROb51hU7XbeJ+X5fQFqkOB4qTLHcwtnIHeQyjs4d
cBE0cTKn5g5KobqbTIc8bRp+TFyQQCrgnpaTm7wfEr7pyiHAAjTgRltT5kNDCB0uznk6CCHkooJU
yV55+MDuxSvsN358+aI2RH5Jyfct8kk466gl9yglSEDmUBKz7O4SZX72qhg3gZRxdN2zJ1DOuamb
zPdDsnz5pkPo4XXIE5vnBupbclTlpqija0HZMHbvpsD6kGIn8HS6XROo5DtnsRNMKbixeIl7MOcm
1ZZdg/njYwHK9h7PpLPszoGSoEUNBCfU4vExjpXrUA323tA787mslL2u6s6H0qXaagiy6IhDjP9Y
6/GDOvfDZfPQHm6bU+XjvudUzqfsLzz8mzzgt2eBcd7VgaWKwF4ByneyOOZoRnFnGFF0h+PLrq1t
9WHwzH4PKnBYh3gdffSDvYmxtnhxQu6nWqwUt/5CTDvXca1nz+9ANHGvvvUbQjtYmZs/I6mInwka
pDgnlv2Hononywq7hVu6Gbf2JL/KF2cGKRSF1uy++sAo24cpch9Lo8uvik19y7D7fiXspj+1edyf
HL3HAtS1C2MX6sFZ9lmyrxSAeH+L7JUGdb6uGTYy6GsJ2cRCi2iFQ/yuVY3r16hpoTp6myIDg9C/
t1JY/AXC+rVibTTd055itR52k987S0h26NlGcXCO3OyHHOzE2D8Y5IdkS76oYGVVRUHpbw5P0hhN
T98ajnLQjHt1BR674c7KKCkCd5taSDXK0dqwMMmm8qq0OU+0qJZUmfIoX3DfPLXhFN8Ziq88GiUJ
zVwf460cLJQwOiKT1JCDHpXHYn5JSYmVYfwoexrf9VDk59tRjoXAb3f8+dtkngntLFO/dqpHLoLt
ZAREi49KqMpJdvkDSjrIphm3iBgGxhmm7YcclC9WnWzSSVOv8vLGIuCnNUYJThusiO+KgwVB6PG4
RRMSd/pohQfZkBeAQ1CLIFcTHIegrEEH+N4FjsW+6nrnuXJSbe8mCjnT1vA+4rBYAgou3zIQijtN
RPzp2qn/ca9OtvvRidrZqOWAlFGcNG9xlC7lrGkC8gngcZagH7xnEOB7OYsjN0p0qp0dPeGNj5M1
PN12yRGVU0bdP0UlD8JRhyScHOjt1l2ooWbjcJbXd3rdow8yX5elQRVilnMdhkScQ6eDvTQPQAR5
EzD1H1Nsc47CQf9CR7lr33nAXmpjQOSyIPWqV/q4QqEKC1fZWTaQtcNAO8pWUrreRb5T09y7WFPz
MFiIa8j+NrMeKhWupIFAx6kg8f7by1cfCu04Ollas+ZvrztpHK8hHJm10y7+mFPUh4iPePzq1uaV
f4u9rRpRRnTVZGGPqnPuEiUjaWP7V8vG6NSJ4hbuik6RygXrQHY3xoCvKz87s75oVAd/NrFFhR0t
kUXT/9BB4JDKt5xjHzv+Z+eIn7ZvW29+7PoLFKP8JxXeBjCMrLvnMdJft2FYXYC5eNsRz8Cjl/v5
wfUoj7nkU06ZR3FRNS33rhUNzH4IWY/2TG31k8B7Sab5780ihTtpw1NYWPmPomrXt4uB/zfWPeai
mVlvHUVvv7vp8KYm6Cp1CtaVjsIBEI3p9KPRuVs0VKPfnWAWsoNf9OaqHEYBkSVvONlpizr2eDLv
R9iLLqVHctHhsg1U6MgKKu6iDIdn2NwgDOvUe0IDDVke4CZPNizupQYZ49FO2nTVwr5+NIKpXWl4
uD5UGZn7AEW+e4Pa9qrH9+a+8NGzNLrBulI06tdBxd2Dbxx7zckcmEHP/2cX59md1qMKxlOCdvGQ
V9xEpZNebI3EtdJm6a7NHhpqDpew9eyLfCdfytSGZTFV0YafMPUPB52ARRW39cHiP/UrOP5nGoz1
z7bvzd3XIqhCmEo0P8nk/jlGCeNcNaY9LRx1KqgYmFSGGLj1yWH5ojjjmTybvc8UdVJ53iMG6jNn
ViNRl7916gncHRMZajmNWzki+VlXHcXkgLXosJyR+EzdKcy92ZNkrWcBBl/rvdnR8U0OAphxH4qK
9P4svyDmFwtuvBU1BSwwWpOFyfwIxfsk4xOEgcnYOROYBBaT6FK5lZwKe8sEn8jRV85tyTN8bZUF
tfdgRj1AP2YOkziCWoB0b0zeRSl44MkaTITd8cSjWfUJMKZc5YPbnPtxbM46hvA8//rlJwGOqMVf
ee4MS8hZ/mVIbO/oUiFbO1ORfChJubotZaveYrCH8arzf3AI8L7aKHkXvulDeNAHW/yle2TklNYo
H3qfMgRn32CrG+1CKUakpibPODZzKUW+yGrLH32yKQe+4sxUHSFXTdF6cEW+9nFVXJVK5z1P6Df5
hig/QwWgjYta8p2ZRfWpCFux8nqv/NSmNyPH3jdR8ZUJ46I5AKhvH3QP5Q8ZYDcIStqLSJjhqnGc
fCutRr2gVe40nmx8sPCQZTAZ9gcRrgLqJFvZ909EQA7z8dbVTeFK86LfI+xsvK2BDHx4V6n62q8r
4xg0vKAKkK34MwSM9ltfaBzDkqQnyn3gyqaYtnzxLcFj+O3tHN5Mwy5vDHN3G7jNkeuaHfZdCZIx
QRgMp2h+GfUe/VHZvr019eRHFTbu5tY0Wswjcy9OxELGy/aAY/mmxQqUTBXDt0g0P/9eTvbKdq9H
q4hnN274bNbLzeI+HXa6EOqi5leyaN1J/ChNHrdL7wfAGGrkcR8/R2oMksSkwMUjmnLMKM9v2s5T
nyoTcyTEC+0f0UrOsZF6WhQ2+czEAI4HzyQ+BW6VnZDTAmLt+d5TVYJvDTTL+xHeB8B9fjSo1Swy
qxmeJupEG1fx3GM+pe2p82pzbUZi3BVqZSIeO0zgjyf/wwz8q0+JLKDC8TwnssNF26sbvff8v6LG
+RFZSvbmlGWz1CozfizyCiworiyXEGTEzjY16+CbncDTxBu3SuJhdcpqa2vUgyfcU6Nl7Bf5uxfq
7wWSLj/cFsiZ3CUvlQVYLPtHaPgo2kLV0SzgAA6WtRTvUXSB6+DfObqfb3uXj5HmRn1AWqvf2Y4X
X6raMtYCT6wHPW6nZcB/8msdC4QGczv7yzDV3W0btdv0hUYaqYiVc60b2rd8VFp2ztOXJkLh1+y6
8r51onaTGVp0BrZd7dWafCTeh94pKKZ+0+L9ek/uiksfKv+5QlhgMdv3fTOT4C6oRtzyEgf0V4Ni
W8UhKDY5PgJge9e6ptnGlm5sldDv3tyyXQKyzb9pLfl8PdXRzABN/NRQYJD9gJpwXFM09Wx2anx1
K6ALtwmoosGNFeW9EUGUgQDlLa0qKr4hTXUC9tE+2yIc92FLok9OCNJ71aiVd3zlENqmsrNTXd14
HaH+ynHOq1RRc5+HJRE2j5FVvcr+qgQqaqlWdin5UWP7Whq3K7DtlgcNRfGQlYJz0w0Jvu/zZ2mA
ethNk7yofh4jJEZJRV4ZGjcVHOKPeiynTZB44y4rgyMYiYGHzNZ+KOzsQedu8d6M0bh2O3SRQcoP
7zlPG2ofvbs61Q93tJJ166jjezGFr17rBw+W3uiXuqs4Xc6zeQKZlool0hNFx/hZOOlO9qe9b4Bp
Hwcy6oQNYbRK2mR60ZGbOUYN6VW5rBUjreugWHGH85OOzoX6U8ZHbtOvNKhNBzXO+teyFgt5dZ3w
w50ON2gjpztTfSxtTtv4sdgnzxvBf8jPlPb2YhCWgpxNyGdVqgeEoiC36WJ4wAnsNfEU4HJWo3LX
zjpMJkx3j1WxsQ3qTtyDjK+WVVZX35CxBRygxRAA9XOmt/37RDoPCKsbXAPKHrt2wknGTU37Lhl6
cj5ZUL5rYAvkpNbRN8qkjN+w4MiXovPVe1ezUUcihXWwR1TNsgE95YQE8WtpiDc5yTJ6hMuoMLUh
zP6eG8mj3UL1mUa1POpDhZVWQjUlL9Xm2fcwf/fSz0rz6juzqcYXf1pZsRW8+NZYP9hFvcsHY3yp
Sy+5lAr+R7cgJJ4PltDapYmWwUuGK9F28KFFgoUZX3rXATGck5aXwbN0PJpD/Npks83GT8uu7IuM
1TJrHaVp8qj7bvocxfz5sAIOCOrVaovrLcZR1BO2lMhLzrt5E0lJu+mSlVxPB+2xgbZQb27Lo3e7
4mgKklIdRhiCHV8ESAggTYcnVVRa6ssYa5eu9pRrmAC1CfpNwi3lmapy+jCG1V7GQHnTUN/lj6sU
mfYSOYoDllezlrcV2tTEnaGJNnK08/RyRRosvM39X9vJqV35/9jOKEhIRFr/+3ZdR949ma//f27X
6WKlF712TvziAz0B79UfPGurTbqx5ukVBImG9kVQBOFZjkbfQw/ykKpPAnuAaVw4c5DQu2DDw2e3
lU0r8P+iVv3TwLlub3fCerKdaSWHoKcrB1Qx1KVskrPEMyZ1u/1tndg5GoWpPfhFqt23iXeVmw6W
ZsHTypRVAUboNUkzBCrGSOAKgthpof4VWr72All7OjRNT80gsfQXoTfZNqOWskbbW3+pjWxY9RH/
PuPcLHmYXlRq3p3kKA4Il0F1lKtsaT34PzV/SSOktTIQIHJKX3fzg81qJG13z1+AW6X3NabeISih
V4vvoSt5leIeA6XifhiHpQfw4U62bv0kXaZGRBcnK8p72eX42iHtq+QsW3Jd/vLvRBLmp9Lxlx1E
2m2jYku26tWhOlBhOHmqW13kSzBYMNKwmwWXa0yfAsa1th3NwEBJykAuQ/MAjRgINSJDnc5KLYjx
jslfVeJXpNNii3+INN7UceW+uwgNywDV1LJVopTmaezV8S6rOFOaDQVYu2rPCL4kL6SIg13P18A2
JU/8kpPgkjO10k3RfS2CO6cfijO3Fsqt80zYj6vS1ZJ3WEVig3prtUcRjrTLZL5xpyw/qyEFsxbk
3Uw+TY9tjnpP5ljp53jbGiUeModWXhxdoEn3bt42twE18F/DfkzQbeIhfm5N1M83edMpby1AALl9
jmHe0tOK5lykqnuBopQv5QWnUXywqbfy/V0PW6BL8S6GbfXMTekiA9De9MhY6DrSzJp6QuetWMkB
zHiR2EnDjyLkaNAP/J97XDnO35G+EmMYPg2RolJyRx59yjUeiib4V03E16xsGiVULqjsCxnbzBMS
0qYkB6LiJCPCBl+wZizFWo7mACzPdWG+fU1wkA4x3My+/rGfjL/tB490KUd7lcSqaOyFHJRdf+wX
mTiNyf3k9v9lv8TU1jaOz1cZYJWF9q/P95/7AZxDbDzfVHbSv6JWGq3dCo3sehjSewflskXvlvVn
3cZAPzTtyUXgb6fXUA/UPg3eRKlsFM2sPwEli6UWF+0FaAMG3zqiKHKmAgeNs5z71pEP2Rhk1feF
pzlQtaMPGcDXc74YW9XDAFPVoTA4Yu1DG/g2dWcZgO0pCiSBk5zcAQZwZsItk5eRxqQLHUw/4fFO
n641E9uFW7zoppKtCr8zr8LgQvuqiU+O0opDrk75zlcRom7rNlu38GgftYhSfj82yrtQvEeMPq2f
unsfx7Mh4FSKvemg0Uy289faNY8g3N0y69fapNFOGY8OBxPzjh2EIOuSRvAJm3wugAqsPBRRXmvH
LK65SHRkOIH7zy3QieU1m19MH4ClwClh1rP+FcuHiY5WVzzI2E4fARHaypCBRkOHXk6TC0wwR/dV
q/2QcV/9w1S+WdVUHaoogwfPY4wM14C27JBv7/gbdgHDyk7yCSclwfZYriFf+kjxN3rjJ0vZvAUL
VPE5qo3nr726QrPX6qR5tzi5/22B9gpBGU3I+aPqdmmtjdHwl6Od2it1fvn6+GgoVndtdPtZfHU7
Zj/7ebL+10+l0HoUz7mMrw+qBnz/K3DiNm5UlGeUyZNh4XcJR1GbJ6q5z3HbFIjf/JbEDs95gbhG
yCjgJh6N98B1sbkH0X3nuojbYs8WnY0BkyCDOs4Rd/L8YHX80bqxwhmvH/VtX88ZpgENHb2r2mvS
W2gC9VR4fRS+UZoT7TOHeyqS6exShU7pUisRGPERTVonPIe+ufgILArLye+82B0fwU8fhhRtX0dV
8ccsA2NtqfX0FjoTqRksae9CcsiPdtEfZf8YAjuwZpVvuVrqmyF6+iUGF8KIH5NuOMl+qEjeVusU
/xZWT8rPthDund45YAsDHXws14LQuLnFqyLeyLUhIv4AsRlfh8BSH+zBvNy642naJgXlpNvSvgAN
mVZXvyJ/kVURf82speegxDwHjQb5cdza/mZCs7hOTZk+kAC5l1Ehf5bcxlGZjIHyIeHsXEpL2Fvf
HfkmCiYTkS1zvMeC9tZSML18hKneLtTcRLRpbvamFnLAjexbiFZz9hlJPRVDjXrQvAbIJTAPjT9Q
nmOC0aFcmA6DdpvgRlX5IMRPGSon1So6MliFlAfZVxt6vwMfPtzifa1RHyz/Qa4lr0CZcpTXqIz8
Wj8LzV1AGBrObIfpqPLQdnu5lnxRO+Tya3Tgb311pig7jjBk/uf4TFPrRyuHbZvH9bKdDAXIMEIE
cr/c7/M9ol7J7VoMMzMf7zWvuyY6N4kO/hU0E7u8G/psOGuNu5At2Z9raXVX4DmKksatW46Zc7h8
Z3nYoSatcv6jHzbDWi3a/vRHf4X1RKeiEWJEXQ7Fd15IqMFL7Uz2Xu4W6RhjodvUhYtOnya8W5IC
/Ph8lbqikh2c/G77WyS142iZm2R3bhck1wUYayydmBSn7Px66cOmW2Hppq2++uQ7TIarNbpdnL3l
Cokoy33QkkrhVoiDspd8K0BHrkzEIU+YAlgXpLw5zk5Z8ZdRf2gtJ7EGjthKtciFomjaX4ya5LUM
mMxLiUfHJ4h8vC60wDm5Hoqnk2PD9gia6W1AfgqW3EvH3XlPFae5GVt2s0Z0FLnPvab86pddMmLu
N2JK2rIV6P0vS0ysIA5Z/2JCjLk3erV5SFv7IimhIkR3f5xvI5L6qZQkS0ScpRc1ydVnfPVuRFJz
cquDp6Hy7bt19eZkplhG+LHNFYXyLSigFxndK8Jpxgm5fYS55m5PReqoMKsKAV0Iqq6rbS1hxk8i
Qp05N/3wFhZVgBfrKK228oqofN8uNOSfd+0EY7sSHK1PbhV8G/Ou3QYtwmKXSsuzfRL1xwbVo+jR
1WJ/wXC6bgvTOo3hGOSHSg8L0iVbEmEpcke9M670wNGXClSdSyW67tJE3kJMqgEBlxYAMhfhrq6q
Dpaen7/CgrbBL0PrYmtdZggm3AIN2+ouMkioMRo5VtJvChea+kp2tprF502rY2cYhbUycw8fwirb
fC0r38mdA8U3N7ZZTnzvcG1fA/IqTeFgHBmDj5DBXyHyHbjwO4Xb1V62nFRBCdtz9XWfGc7BKbN4
UURpli0D0+yXSA3B8tUxTaxaBWZ+DXZByx+wWxse7NZJdmXUl8twbso+JW3Q8e1U8spzfNbUyR3q
wRs5KF+GNHHBxY7eSjbl2lHhXAY37c5yktaWDtyW8eMroOzaEEAdvqUyXhfuq9c4KT5W6aLlmHiV
3W1cB3sdGvzi64pB4akLjRLTXq6mKFoFMBzHqa9L9oNdV+ioi6P/hqTUFYXp5mdrk6lIVeMzE7gK
piiJPjZRrG1i1WuOmpcNJxRJnXUd2P0TVovNom3K8bvffvKg2fx0pvatzuA46irkKdBh7sVOrGYP
774C/hnVV4GP4tLnF/WuGtldjCbSz2iI1sixDp/2MLmLglTjQ+jOHoulXxxju9VOBc8ya6su9Sdf
4VcBpdD67mEcNV8wBMX3aKibJUou9a7KXfDzME/2aVafZev2UvD48tWUEYEoz9U//RapxXFh5NzI
5SiKx79NkP1yvvVPxB87zDsPgzubuKr+U5yjM2137VnRleJENQYUxETpcuq9Ux9k4ruSB2+FjxZX
6OJil0GlOAgnS+8iBw7XaMPhInm0kKGZCkvXrsyWpwLE903EypCkSOsHgC/jLYT68aIPq/rTUkYo
4laW32W2BbAiEvXGQJnuGY33N63WxHe/HxDQi8s3A1IFtT3qJFak1mdkylSKyQL9vXrayo1RoiMB
npA3F34QbUe3slD9H+trr8JQT0KkQYHHydDc63ASs7tw30ygLEnHia3iaelRN7n9ma4JJmbE6UeP
pggkvRG8qs0UwbZR8u/Iia0mkToBLpb+2leMDpD7gLdWb9QvHOArcme4rqgjzzjomqbHSfF+ranA
wLtOIfi3Kq7+XBMYOWrhQeuuRYbteFRTOfhva8rr1OY1cb7513VOoo8WVS2K74kD8fKP6/zPNSuI
rjxz/f3Zi7z/ocUoCaFGgEGgzs2+Fs1pUozmuz6W78YUGs8aEnAbPB/7g4KsCiC3mHMxf/+flILR
sW6/I8IH98krvPuuRIupqWzQnmodPIY1AHAZUmjTEoZ08y1PgDwj+tddprCuj0Cp+V+dcv8lUsRD
M69WopjYBEr4Suab23SRUaRIoZED/8XZjeP1N3BiaLcTisYGbmDwux/jlNJ4VyIHFTSBfS+SxLxt
7JTPCGe6n9k0jMsi9QceeTiRZcrYb2y3nZ4nT3mXn1czHRjXuXgzerL8YnCa00Dd8uzOf3YosFjv
FjWNWqNEDjoXJK/w6qfK99OtWoG0qHmiv0YOxyJfLZrv9/ICRxx7loZed+dI0bZ5mChAlqOAo0OT
IxNcWdtaRRzFQTF/DVp+fOxnbimKUdpbaYV/1Th5fU/0aZ1zvA4XbvdT13rtZzclD2bZGh9FAsZh
mKUOYY83K86P2tWYanOD/P+It5yJsEvZx/u64XM4islJvuFYU6RJsGotv3mxDMQXRbeBOma8KENI
PoLf89ZwgvIVY8CO+/WYn7W5WcxCqdx3n2zbaPFIyu9kt3By7aDOaDA56WsNORqHeoflAJkPOYox
yG0Nq4S6n7GG7JZr8I8G+3/eSa4x+BDLEXBcUilJrJNfjN1RSfPCX/72th3UdRDn6R7HkLH/5kPH
O+r8IvJNoGrcspUEYxT6RCiqY3qzO/ab6R0Wc/WutPWxwIb3Se2t9qw74ES70SnfY+hXbMKv3w/z
5jmMxo3sNyL+ayKX1Lw5Tx/t8s/pclk53Z2nU9SB1sl02W+6ze/TQ1Ef6/TTzikISAPMpph2zTD1
97rVGs+gSG4taXk5t0osZ3myD4znObKiZn0UyoR6cZacWmwXT0XQJyfZlO9kX2lk30UzahsRDANf
hf8Z90dTTrNxKpMz/tty3miIZcGxfaM1SJupQxav5DFkcvqUSluKWjaHLNlVmZi+KrAEj4ZlQL2b
J5SYP9xCOPKk93qV3abLWV8Tbic1AMyA6r41Dic5+bmpfItdriPCKn9Eslk5Hc1Q1Z9xUfw1Os0/
pK+mnFv/MyqbX6NyrqCc8mvl/1zq/zE3NEwDYd1xgEIyI8cWho71IphrIDWOGZy/Xvgf/b0p40TQ
RgtSY6h3VLqNnSv2RMFZDiGogiUdgqlVtBP5REJmyJp7b/btnUor2ill93ufbg6/4rI5TgZ/zf2j
L3Iic6FQPNPt/MnD9uFoTJ1YcWscP7qov9NKAWFFYIj01T+m4s6eJmOjAPVZkbDaIZNU/RzJuco3
c88498xvFFxv5Zt/x0SecU4A9KLIHfJ3IQBLooLkH/LCth4rf0Q/C2TNEn629djo9ng/jUi99Vpa
o7P4d7AcDREy+S3YSbvxnq+QpVy41VHVEZbTbycq6Sh/V8HRNgQgCYN/HSXmu7027fBR9vXAqaHO
TsFR9iE+iVBhpGOMOs+ojSh8dLPoR2F0aH4rWGODcYCRwTfUM5qWzdYEcLqu+9KAm1L+a9RFX3Td
92hsVJU9rs1qZkcYhf8D72YKf+bPLo/ewZ4br81AfrocFfUudzMKrhbmdMMoxsvkaRYlx6R5yTs9
WAxZofzHbM0sf812m0q7M2P8qeXsJLD+NdsWpty7mD2Q5r1/m21wCDFV8a+9+2loXkzcY5AQvc3O
/p59u/IKI5Db3vNsb4rr/TRfeSKc36/87889Grp47B0V4ptdnXDkVb7nSfnHG6VrTv0w+t//HRMw
a5yH5piv6TNCLGhs9RhmpbdwDDM8Z41fvbiJBcslGd9SgHcHw/aQ15mbMiwbo+gWNnTmLSyfw/oo
Fr+F6Z4Iz7Wo65c5bP6KfQNZ9Ws1tMFI3hWQG+WmMuyfTf9bWIcB+WmKLwqGojsEPFhM5Ac1gdo8
xUN+589Y7khE45tt6yrfyz1aznNzDrO8Rn3MLLKEDtI+tzDqv4A+WySfZYZtDsP7Qn3U5tUouKQL
2S9Xk5tGc17O89LbpnK1GCX/38LkanJTFykpzizyZ9Y2TrEdcgxc5YeG0fnRIxR7HdI8eIAg+CB/
NHqp/h4VadFHAETuFpUhi1DYbUfhDwl0JeiDZcDj7cvI09tSiWv1JadceXvXz33RPPo/4/Kx27qe
2BbIzOJgbNabP95R5vrVF8/vvCQQYCOzamWbe33EEKvFCnypeGl2yeLRPY2AtdByV/PPof8zoHYQ
EZABzkA5rir2pgI5s7enaNvHmYdD2vAt7iJEt2RT0CwGlAgOMN/iReiKeocjgXcHUJs7cBKmO8QD
WrwB6fsaAP0CglgJku0fA404TqGf3ELlmKUDcJZrwK9UcbebV0oz61/z5cAATuuf+WoZ74JwUJd9
36P6INNNBQJgoeJFZ9yGunCtNemtGeviQzcaHXyLjyOPNfVPWUn1EZ1p7xi4Wn3qWnw82hY8Bwon
JACa0v8R4uLn9iPy9mH15yScl+sTqkbWupgxVhJtFSTW1yS5k++5G1XXwTsUY3xUNAf9fU2goBZ4
CXi5dhti3/c9q/1v1aRqz32lZRsZmgVZdZmG8leo4YqvUApLv0JjPySTAqQVQC3CL5h3/xVkXvk+
GdS7eEbt9nVSV++kY/sydd78DgRhXAho1HMUnPpogTBDdm3V5Da7nMNHAR1QhKiCyNkW9rLzbEsB
wfHH7NZos2sWO5SQsxrNrdiC+YgU9jJOMIVH2sG41lq3+eUK39t39qjpl3AetGDArcr/o+7MkuNG
tjS9lbR8bmRhHtrqXrNGjIxgBIOTSOkFJkoURscMx7CtXkJvrD+ASlHKyltd9dgPgsEBdwQVATiO
n/MP5WDtlr7hPDShHrtyZ9d3GbXGxeU5XU42yLcS69o3ShQa56X1l+HmMATonSBu00NNjAVGB8te
7hqY5szHIGmUZ9I6ztte3iC3kr7F1RBO8Ggg8qKA6lwlHp7WSyD23lzOxlr7/ewSxL033872gXOF
3eHfj5XzlZezy9jlyurc+X3s8rlLTPeXz22xZ95ZCvleWbg7BF94PEvD6w5zM9EdHk87xGN4bioW
OeQcv4u9ovDV5jouisseJKPve+/H/m7vv9AvN0P77cp5kcXbtlb8rBqie32CfBB7s2ufYQORsFA8
it3hbjlJzZCTFKLx94p/OqlIRz9mYUAaYA5JUMN97BPMT6Qp9ceyHh8J0n5qZT0QzyVaae327Zw5
Ge4aWnmxXSQXNeTN/XowUMjpSwnfY24jgARQMpnETW0SJIwSOPx8m6kKSqeKTFZvd6jZyCeRZuNp
uesoDkGajxxlu/TVc5ToshbF6+Xsj6HLyeUQeNWfhosYRKGYhy8nHbJKKAr/+cmdc1u16RaHDpTs
Z/5NNbNrlj1KDBjSBzc/HdF1b/3eNZv7/9nVdXPl5v0Kcu5qBODOTadwN45aGqTPbXdj5SrG2Xpk
nwjzhnWqat1HLx2ucidzvkISfA6Covyg8Sv8tas1JXLpahPTvnddrtrgMNFpbnnB/PmjGxXhW2ic
RW6NZSjAiSU0HgOE5YuhP5ICIBb+tW8vtXorCxlv3iLjyftrX1MNfGTkcV2XVj3/dcYjNYwIGHHW
bDRp66CwvGhHvef72aW5dNbr3Hg7i/DkzRjjbAu+EVME34TO4OpVgAg+RouL2+KyF80ei/NJh4LQ
9bsL43s3qXwfuXR9P77s/c1lRckU/f55Mz/axxLQ3ltzhJ6NyVPSDtr10hrgW+APBLBmaS6bzst+
6jGzKa8kxC6/mmP7PrFvy84lLU9Z/RJ4UBmcUoteMs1+4OaTD6is5Vf4c3dbHdY3v2O8Wjo4KGWs
i7QkBLXt7yPVMI1fws58G2k56JdXrC+32hj2H8MuWi0dOtv+PtIAlndZi7aodymWN28rYvCDxkWk
OLDMC+plQWx7qDVIQRJwObYMcIy6hG9Ol18HLCvwZUDfUuNfBmQkS3fWPGCuDwYxnFhQDEjlIIWf
qlu1XESkUCaswqLa9CU4ob62vy4vcbd+qqVTfWV9C1osUvv7ZYxV6BlkZfv7mBYiyAcl9t7G2PUT
7Njqq5q638eQBCy3sZYafH1SBd2TgFcuvHVfervIFFBEyJCZK8fV9Z0y49kDs61utCnYwcCI7pfN
0qPJMatbmm2M2dLcQ82bzE/eri3aoN6XYyWuTLV98NIs0nxZyuI8zJv8zxPugO+uL5hOQV2m3L5a
APeW+ndfiS8a4BUkrqxn14JiKRpFPQjVNi/GjDD50cMaIe0gQ+dshqzQDoaTkUCemfb/qkc6X+O9
h4vGkZg/RY7F90/5u2uk3mFwx+oi5jdEThYEglcGsIsW9HXcMKpOXy3NZaNDPZy8Ubz1QErH2g0a
WpRSZO6NUOPCb4buddSS5hb1/ea2YM44JFb9qiSyua1zE4LNn4eWDktXUrvtwSiH16XDe68fh369
lg7+Nlr9uI5bKgNP1n0daNMt30LvG+EovvSGOBjmZD1xT1XbsnPCQyUjFdggaNZ/1cOzGnndl+Ze
9Bqmyorq7LNIuE+G2a68SEyf8IRCq8Bzvx93FUTeTGP8VGPk+ta/oEb0ZA7d2/G/XMfiOkv/5bir
yRwQLYpM8/relQhbQsMrj9WPpqL0swyr/v3s0nw/u3T+z8dqwulv2yF5Kj0ruVs2HdwEn5x1f3g/
1hxBOkCvnTtFpm4ccg1yFpbg+F3Mmx5H5k0TBmLzPiYx4PCQzfz5OtaVnK+zjBm91jhUwyxg/+Oz
M6Rcf7qOYktSdy0yLlnbb/pKdndLwNUCbXtvCZCVBlJAd2/ZOM4traXnfO695382rviz5xLh/dpz
bi3XfEvw/dkqddAZLhbSqyV0GSYieYxAvy2tRUX610OL2HRaBNXBbJu3XsuhpZdk4NKSRm5tGzvo
15YwpqsMfVfCGIMEApQnv2nM/qQ2kfkohLdaji/dijDU19XfdEvpthyfagxP28xRL12NTECX2Jew
MsRDHsXFKuhleWXpSf5AjdvY2bmdrZezA3Zn53rILmNBFRP+XLE1hGn9NNTQDDAN85WWoRh/g5Rn
vQfZiqEmYdHSWnrMw8fANTa1hGgVyXHtFKp6G4LbeBh0ie1C5IhjqPPis6Ko3UwsWbetkPKhLC2X
Qm4TrZazSG4EN0KZDsvJZXzTAhKer7YcaopG+mqc5sflZBQ0LVzj4uerJWheMTNx8R9XczryM6vk
x9+VQPYMi1rfq4W2XpbrQsIsHAcvvDTmjCmtYbdEYWR8/NHDIcb9z3u8XQMq1GWArPJ313jvsXxK
1KY/fUrXhMP977/92z///cvwP8PX4lJkY1jkv+WdwNYZfOs/ftcM4/ffyrfjV1//8TsUTFvVPMex
XcfyXNszPc5/+XwHnGPu/j+QXPFkMmPGDGGb1YsaKmi8O3VtfFMm967TOhGBiPWuy/mVLwX8T3XG
CdVzs7an4r7Dk2rqCQ8j2Xh+HWT6lTmn39/7hiWYIoSwi/toWheO9Q2MQbUbKlVbO2Nm+2ihYh5u
gBU9/rQbet1/bC8H30cuY5Zj75v3YyVLR2JFphLFTMeLgOhpUgU4IxiQw3mFz48yyVRvXVnS1hRV
u2pH91s84sq9MUhJ1E2Wnb2lt9En2spuAJNpqtZuETC0/XGsgmOnTTYqB6UXHJd2FkzBMUj1bmtk
1etfji8n/+Wx5awXo0GDGIb1UJBXg+iNTcO8pgL0x834c0sx1BH+Rz4hTKZHhDREGt288ebQQqiQ
1afAvM7maANTMCISO1e6rZeEUrlvvVqAU+7Nksp6rIIASeNr3Z39uhdzbzLb3eQnQ9Mh1FBr28XP
e/H+fuu0jEHv5/rv/MCXY8tYvcOwMcfV0Vm1XocU71yQeCs7/LSbZOk57nVlv5QilhMYoZJHRYpi
8/+44fX5hv7phrdV09U8Xbe540Ew4oXz6w1vODWae07grQIADMBdRuVAfk05lPNm2Rt05Ir9pW2P
lZJjsUQn+EXhcdnLRuWE5kaz++uQpcvb6KWjuYxervnT7k+Xf9t9v/Jb262j83L9ZWSDlCWE6Vqp
2nWJvd6q7tTiDLyqODtVgegzlQQwChWrnyiNWTP/eiY2g+K8nJad5B6IUYlB5736PmY507h2cgBJ
He7iOlQwTFfVGUikvAaFIvZRpMjzciiD1v62FzZUF0RIZEt05S89QqsKUMArnt97vV0tFhYTtBal
uMZpXP39/H/pI94/OTGbW/ydslXAz8NKe/w0Onq7bQB07HPRTs8ONrrJ1I+fhs5rcZUG5pGZ1Up1
2xWk/vqgKVNPnK3BnBvV+oAbQTFuIROQf9FUoEupyqImEV8K+OVgu7LhfjCFvo+Dqd2NKtm7/0YP
zBFD32mt/qdrIEShPopSv49IiB2WG/vffpnKm2Vq/1KUYx1D0PhL85/r+//18Nu3ov7tdL99+Pd5
6I+uvw785+61OH8Wr81fO/0yhst///j15/bzL41N3sbteNu91uPda9Nl7Z/vnLnnf/Xkb6/LVR7G
8vUfv3/+KuJ8TaG7jr+0v38/Nb+idMMz9Z8e8vkTvp+e/wv/+P3cvcrit+vX//O/878Z9/q5af/x
O+zVPxDQNz3bsS3NsB2NaaGH5MopJuw/wF5xFst7W3c97fff8qJuIz7b+cNVNdVTQeTgVGVp9u+/
NQVQi/nP+kPzVN6dtkoKiL/R+v3P7+D7e/ft1/kX72HT4FI/z0uaZmiq6toIlan801z313mpSZUK
hr3UrqBtdus4L4yD0yj6AePXLclYZR2YNb4HFpu+q6LcdybVPAyspraTHJ5ENOD5k6iudWi9uyGK
tKOWmEiiot/hJigolxpSx9BJX+xUAcFn+kIr1ZtAd6EvJKr+OUhRPOty875oyXnCKg8drzlkoosv
2LYVK6WJoq/IVBail1/SUqDgg07VsUhr+66tLe8KE5AeSwTDvpPzRi0x6TbNHTX5CSXMR+JAYy27
5xI/o7bPow3SocMtBN3xVhQYk1SllW371hxul01hjSe3m9o7Fcnhg53Icj2hdQFEvbifYdw7yy4B
7ytF/egJz6EOXHmrpck0OG16azwGpdPvWyNBtYaKJnxha1ilmhleoiIzfbWGiatJxz6YhvzkNJWz
GftIQkuKBRSRmykxcf8l8XWzbKQ55r6aAI5067Q/eKqD5ro29atKlbhBxsjIN0qFui/OaeesrKCT
GbXz0uWQB41J/RhNRL+2IafDlHTm3sm9a+ow0IOL8cVIs4+dCIJ17DgCcx02ma3JowZl09dyaLlN
Wz5aOowfRUMTyOu2UTGcm6lzCf2Re7Il1ncBNQkM6SbFJ/NXrCYER88gXU9AMwGIhr2L94O66vCs
6BV4uVkpzTVQWKbvrR6maK7anrIaXbz/Yo2gLC9ncopeAqYZtJtAZt9aYsl1khupP0Tdt9zQJPFJ
A03LjNVNk0jzUAJkxpkFfX7WiX6uVNpV2oWPk5HBa8aNdxqhPqhtOD5I61tbheVKKbphKwPFXUc4
O+DPK59QxRN3/bBaBPpM8l2gk2S8M5Ku2yUzEryIRHtriwYZH8E8apASuiVTandts+P+dx9aYea7
BCLJ2qoL5RBELipEUDeMvJa3Q6/vZOe4Fw2Yt++wXLhWwbA/kPoK11Ze1vul2XmpDQSxtX1clj/U
JszWMD4LEaFLgHxTOnYp6EJKTVh/opgea5/UPEhPitEeQ9uNdkbnGmvXDnEdc8bxUCXOg1fE1Qqf
+AKk6CZXm+RGHTxtJSh7QGvS8T/u7XWQg27yANekqdVeUWBFu9fNp71RNKWva92r7WLvPGQPipV9
pN9OjlvEfZNrONXw4QAK3qZZvZsQinlKxvq6jbN7wSph1ZsNdgum9dUcW1QOHQmaNHJWKtLWVy30
Ft+Q2VqVIDY9mYmbvm1ZrYJaBwb25FqleMTFRjnY7mzpOTeJUuqT0igv4bBus/zk6oH3nMWZXMvc
Lc9eUFWbVsPggxIxiazkw2QU+Q3CSMrOa+zKb2rgXZ7hINQZKge1neKVC5NrW6HnAat71dZVgqmu
bW2yuOfuaNYedhhZVkCcVMxNBBEua5p813WQBqK2IuhW1A3VrhgUep9tg1HbVUq/hvuyj/JCX2uW
vCslaqJVlNwEmZKiopUiuwJDRw9dPsUet6XpNZu6btahJXTfctyv1oBHLPZ0td68aCn+XlnVU9KH
y1fUOI/E494ePojIM/Fdcc9upcZrORl7geJjpQDttpxdI4l9etLV3MjtpzZDPMwy7+AVH42EInc9
oOepoZxc9AQLk/lYqtVKDIO5gmeFBaa3q6x4uh/iIPBbiJmfKq05T4mjAoxQT2FJjax07SdeK+Ma
bbDqyqndvabr4sYNSjRwUCJ5kUJFWdTznnvZJdsBFbaDARP/rtc/Qq17jUl+vUyTfd90UfFYTUq8
r1m07UBwW48jroCOO1g3nVNiHFIhahRWXX8bVBqa+2aubkpVE58Q2wOIYGgvrRwxaqvMhFdFMmec
G+/EHTsbMbvTC1P9SkB55vWT5zsHKrqvgexfobv+DR/ea2mW9UYBmwENExHKug78sHaMlV3WJenW
VAT7UIjkkJW8uVdpaYsNazpgM5rWH8As9ge8H/pD0gbsRVEs/KUtnBy5KJbLK+RHgf2ZPZp5UtEF
X8vKyKLPPNlg1tJ8OCyb/sfe0jQnZuc6RM8otqEHm8Pezc3mwKJlOk1DqJ5yUlWdkfmIvw5bUD3a
Oa3F1hgCd62Ow5PjpBsnHvRThOzluO490RxcS/1o2Lp5V6up2Bi64uwSs2RKcssQR1teHMJyiidw
FA8si/tbz8N8G57CvgUQH/po1q5yA0cuaqW8UREZdrqifNVkfCmNVDyT5bDWLMSDjZalNoppGYbN
lBJWjUSuPCjcu6oUr6Ip0Ag03PndNn1D4l3bBLyWeMSDQ998Qvx1F2C1G6abYnQOdm4ebCemNGZF
M68NW+aufWa1KkiHVR/dyiMoGHdjIJ+afHwGrYey1wneBM+UrawUg9uqPettf5FD6e3tnjs56u5H
c2hP5tyYsro5u6Yf2/hFp8KAKVkX69yO6nOoOChsY12x1gI1ObpBDc1/jI6qp32s6mC4ZkYVl6rU
oWEUGOQopftYi4KatDc7JujxyZWmucpjqlLB5GYnUxS+gYFsbEPALHFjFKle+5lmXo3O8IAqh7dN
Q+dhTPPpmtthuq579LqZKadrNP63deO9Wop9SVx3QCGtTJFXYS3E0qrcsUY+L70TnCQwy6ntVajK
bvbrqXfqhyYS2ZEIkDd1L6z1JAzSmi0in5o+rKfeITOqTw+qE/PqCuxzEIBaSdX8oaf+hd9DASFA
QaPHEd6ms2xv1YCE8GF68yiV2dYMvmWOgQhtabxYGDGtoJWU2742XR/D1frQRg7pynkTz83E7G60
AXVHJfyi8eb0B9RW8dN2vnnDKC9ZaHtbOw/xYTD0zdBhx5oL+DcYM0a+LYXYVgqCbWZwHVUjam5a
r6/SYYwgPiX9quiQBZPc3lE+jTsr+5SrZ4pV21nkNwe9Qtw4Il9a34go++Tk0x2VfrEtEm3CiBW8
nOdtHI2nbTTlrkKOExlAubaz6T7NrLveHUtA4HBhezX/mjlkKar8WWrVXYR095GH4ApVT7RIYhNz
acUPxHDnjcOzI9QX1xT9HgH4L3mtgDnGhJ2EHIpnF2hmXEc29/kgbhzWCXCuIuMwUdopm5d80ide
NtEHa7CbYxl1pyJGU8sKzopLugowxbqOKm0bSJTzk6RQsa1snhLMggbQarfmpIkPnpavqKZsc0WJ
121aldtmUsdzHIuedb6FAdIIr15mUXaAJmUjhodTHEIdMEYMb2tooDnyYXZ0w7kOhzLlFksvNhJh
YHQHK+rnNPEvEDvV0dVVbNTHqU/UU92j827IU+KNV7gWZeRuvfS6Rpbzunaa52CwZiHzoLnKwxyx
zh5zQFuYq4AY5mhknnMOBILErjwidoYXxxhflg3IJts3Ffd5CtFQmLRW3/ImnZlXVr+N0+acmdjk
JfMGgbVoZ8sw2Nb6hGOr7smnxG7yjTvm+T70ovEDT/wAwdvqkoiYrs8uMIaBtWoClLQiTCwZRHA1
m2J/jJknbJ5nw6h3bUDAW0lHPpp9fN0n41OuM++hpY/Cc/W5jCK5DuTJjKx8O7S+0REfcqMpG3jN
Fs5s+FCqWQFs3sw2eqiWvlkhxiwwSXKHVLuNHQrWnlsrNwjKVlsWas0ZEaUKXwLLuZ7CrtsLKC0+
7Jl2Y7tKiU2elSKkungOkk4NxK6fkvHA70OiRa25ucHdeiLdmYohLqC+xzWEd/sQjQYMo9jWfC9w
nU9dpF70MaxCX2mOY9V3EbGNt8d7yUYI33weCi9eTwoAxDr5PHpwKVLWcgDDBvc21VK5dSoCExU3
l1XU2VBMK78z3P4OuFt6ZbuiWTUKjndNVz9bUb7NK6d9KT+EWdSu2nZiTrDtiCJlBEze7MSLWkN4
QcjWSjvvVCu5cTaM6WRNU4dadNactXhldqNxxtFBO2KbsVNFlV9yw0YNAg9uNEV8kUjlXAeqCJFk
Kvj7CFFhZEjfUDJ9b7IqR3dNn3aJ0WyirOz4gmps57o6WUNvkBtzHPw4zNWrrnbvQBVhcdCm5BWn
YTqXWY5TzrzXJ3G/Souw2+j6MO7KBk3LrrPcuzxQL1YNkhmW8gfbzOxVvw4MN7soJq9f0SGRyMTv
bhUplQ1RVXM3UzFySS6nDuzuFRSfb6dqhtlERakx2oD4RxbQrLW1FfQRQmDRq5HVNpIB6XSlQt8x
Hb4LdQrwjtO9ZANiGi5Yv4ndqvQVLM9aXA722dSj2eDW39Iga1dAJf1arXEo1j5EQ4HRmSnOdQTC
lAOmHXe+Veaoticy2dV5tiew5tUinftymOuPjJaNsh5bE03YrFLWXpls5JQfg9i500KAzkPQU8Ad
rgjZgpMsw6+R2d80VvYZARoXAeM+OggXP46GwihxBmSdcHDB3tcn4IovoWjDTVv1CJ5n1ilnTvFF
mUYrnf92VeJjUDXw2r0aOdK0brNt11bNyk5gR9UBBdc+K24yc61PQ3QJiAsv8IvCtZulaJopWefX
ZLq39UBuluuERzmLG1NoaTZlFUJ3FTpq9EZbgvHXoUPMe0qErlNnVveqEsGaFtFNYMdEzpaVn6wU
wL+t6NcwIiCYimhVTTgVJiRBVohTP7qqirCHCaBakT0cR43jtRnF17XmPHSJi2g22PMr1OY9Yhi+
LaPjfwQu5uAFzD5pm4ebMbXDdV+XMBMakewoA32wXfSgPM/L7/O29qtxiB6LeVOpySqrMwVycjie
WuIX8D5VcZB6sOVa1amKZLCuwsx9ggh066hR/opY68HDEOVj3Ob1uh7FtZk08oAC53Dg/W5vI8Py
7kHrVj6UTyJAxOAHJ/3KFAZTjcRR3DrZnYWfmlG6wbaRvdhN4GyRPVGRSv5SiUh+6VX7vjPq/olF
s5vm5lpkGMVplWh5j7r5tuuF/YBqbsoSxGlfmwirFA11CNYqTBua2KtlEezFKMZZ6gMDyEAmL15n
rdKOGRYMlnkphcGLzxjR+pNYCrCyqzaKGKktlvH4ybCTb9pokP0xEGAEiwh7DeGXIMFJ3sEy+UEJ
Kxi6rfsFYwNnbQzEctNoe0geRuZ5dIdvaTxMW2ssx6uhZgrvIrs/I2h9J4OBS1R4oaVqeRiarDpM
g9dtatXDBo7aYw+0citVhD6yEPm21jUuEfUDVqATUq4TNELUKaiQQMBfpU6wt4pk3KqprvjqGDV+
qJctT6R2KUoSzR0P9W2qJOFNHhPxtl5z+3YoYWKUlr6WZM48ZgACq/K+wdfzBJjS9ScrlR/dFjWv
sU4gFRfK+KBrGr6x+DYAsXuoEBLflqzc4JAOH81Uqx6NOMM3VE2/Nlp7ts3h21Q6IALwuZOWxpcO
GdngqbxWhnI/Nbp+z5xO5GZg1N40CuLEWVs/6hbZqMJOb6PkkuSds9JF+imxugesHxtfHkYjHrZk
M5Aq5w4+IoQXH5XBjo44F7EIbiN1VYCURQ/VABWudkTYfcDS2o3XRReCrSmrnRWMWF6XueKXsUQ+
z+zuaomGLQ7Fzgak020QA+1NcKMqoIfsm302ILs0oenjN6aZX5WFU1283tmWdqFtOnh8rOVMls6i
bHf8vnsjbV8yNPGZHRRfmYJtzmp8l7jZXaybG4EuKkJlLrOS1VZ+4qnHAk7GYbA6phBqeiVSLL6H
9uoOwmuxloFnrDMN8SmStbYfuriyYosAwq7JUrDj1ZxBOqXE74FWD7e6SuFTevnt2AV7JEuLq2Fm
2oeJU16jdX2Y7CFbMxOSnCpSZD9Tqt9C2yCOTb3Fg/FebVtrmA5Rae6qOst2rjLidpPXz+QV+J/q
m3LwNiFmz58luGmri3iP5mhPcs80PsVTxD9H+5ngd0BOA6EJ10nGTSt0dzMKrfGt6kVKpPPLRjb7
MoP80mEQA65vZ/Rh62dtecrrvNq5ZbZRgnbYO2WMrNCMcjNtpWCSIcTGJC5ZpYbp7oyqqeJV54YI
GSSuetW43jots+nKlXV6bJ5RsIl3Q4ceg4LM26YdLN6UNu4nvj506r6G4J3B79zlgdKutLTd15P1
3Kit8aEJphsrPWDNOt0jrGRtOzujghuQocms2Lq1k/xUwqNcd+rk7XgjttteVY9p0xYnO0rHeBU4
sa87eXYhV2Wecs/+WHQgOVvAzafchjalB3xZed59pHLU77wMg7el6aryKs5mr5LRPclMvdgjmb5u
QHDQFnGwk7hDrToD4/W+SW+qhkAvljs9rMfnMMNtyKm+eXlEHpKMCdnjUFnjwvmqZVO8hctdr+pd
2GjxQzxvtLr5ONVTvwtxQIXdXmVHiwXpsa8mXI6Wg+Oy66ZBgMaNPqwcpWg2cdSUR6+pkgtml+Gq
GYbki9TGTcKT9bGOcmMj+48Wic6rlKL0ZdIxkQknLfqCh/0eN8L4GX55ydpLQwY/rr5qheMdssBr
/CQbPup1Y+1UPs0gH1IEG71yP3FrYSPnWMZPm395LEhgQcJYaWc1RxZUthnxPG7Az2ofvAHVrkZF
2rh0PHS/cRbti+DDVLrpTsu8/QTtYK/WcCPStnMPbjtzR4oo2siy42fCqOfOstRNlQ6nNA9GYgwo
ntdvGzNFGVqVH+bXBSsD1Hvhq5vwwA81eW1flUq5M8O0vjY6i2k+aG76QId5MHoGLPQu3UUDfhUA
VeHhWDaisPHORoAQu7c+Jbrsp0PQlNZB6LMzHxYnhyLgeUhdxCFylZcDCpPNWpOhTnol1A8GqLV1
Z6QKC3RTO2sBGoBtHcyUM4jhuRxByaDadJSORhrKmsmEVLx3AIsRO6iPcMiUt81sfbD67xcJ/z8q
/ZEtpKz2Dmj5D6W/h9fhc/Nz0e/7iD+LfsYflupiXWxrKKeahsPFfhT97D9sQ9cd1UX533V1ym3f
i36G/Qd1QtNzNdXxKA5aPxX9rD9cw7Kg5lOqc1xPtf87RT/LtCgt/lr04+1KxdHRTQ3LSyqUvxb9
QKQqksSAipNVzSK0kffVvNZoQ3LEhQPm20MRBY78nQiD2vem8RqDizV4/I0c6aJn8xtmArMPYQUn
mDvDEp+hXuf+jFAsi2kbqfLBM7UUceHoFijVfY92RM0cVUeTtQpkxMqBlHOq4J6YqnoDnLn+nKsd
VSDCybFaQ2q4sTXHN2LtAGuUBWQZ7FER2Dpd84TdNma/yA6mJZbHAU7MldGceV+4K3j+warzhthX
KuOCwDgGJA0aCm66tYb2qHdtuGaqQyX8S+J54dZOdcdHy8oXkc4Urunrnkx+lmliMzlXWJqpvhNr
5cZNpx2opA+ASv1JYxlt8NYmk/LQeHa06h3T78kd+BPGwH5PxnWnhnOGSWzdoPlUueR4a/Oaubnw
Bz26sh2+D6ieFPO0+kDpbjzEWSWOJNj4A3RSKiUP9kmAFzg6CWYwc8scKv207Gm1bVzBwj+586M+
jXzPeRF7Oyy6EFDUzeZatbQBnRnDXo+g/dY6Nbab3CrCS2BMIW6Syi4vSCgyQyebOmsHDM4QJA0n
a3at74q3Zgd08ALPN1VjEkD6GG0QDDMfHACgh8KBGWgJGZ1kETyFAawC1QuZ5cNY8tqAj7BsandU
boCPwEV9YeXg7IPJaXXfzWyWzGHRHXOh70oTSz8Ko8TlAb9yElPAWPHKmGtgTbE2rMIIt4muRceS
bCCLJU1fIVjmXve541zXo4VF31AiFDc4115f1OuM66wpCQF4q50YjE8G8qJDeqqNum5Vq/qwy/r8
Qo0dySdKavco/Ea7MYxRFnCs9j6vLfNWU8+S6rKp1Y9LfVdVP4UGri1LQ7dQY+0LXAOsyNdA1T9K
4fpJrvCyy5zsaKhyWuHolTxPpVqiimSh4NYYZE6a8SEw2g8yKORL0osKZSbTvMVeQTsURFKbCG3h
FQFLd8RcBcenUHmdVSZ6dyjPstKgY2ZusVFVxIK8HLiWbhtnDxfIs031ap3X+v2AsPtXl8Rh2Jdd
6BcLyMyOPhY9j3hGAJOaYs4w2XdRnyafyB4j/acV7v2YWOUmVJ1o2/S252PvDRw0acN9xe98OwU5
b9fUtT5h5H5VyhQ3Bx39AGW48Ya2f4QrOQHaGeC/NEbznE7FJgts/QY95c5X+9rYDYoVrD3EqD+g
RmNuS1HgPgK08YNIDZe1Q6hul7MepVKKM+kqARyxT8tufHIa7WlMlQIUpAEpGHOlKzewwpXVNPKr
+KxoZXCXTo1BJRf9AyG9czOQwAs129tluI9dR5pOlihvyofI7nZWwkdjaKVsqmSSDyT1m4Mt9UdP
N08mepefhRJXeF6b06XQ1PEU4RLxfwk7ryVHlS0NPxEReHOLkS2VN111Q5RrSLxL3NPPJ/XMrhM9
e2JuFBKSQAYyV67fsUCZwSC52I5tYzjw1Ffa9vSBH2plmh8qXd9JyyuCqa8wdTtvB9aHASsWjYQS
XuH0nbfrxh4PxRRDJqdc7vLOme8sc5hO6DkPP5v4L/Mt8/BR2DathbnCpAKHg+3q1kp0ebgs+uw3
acynKpNjR/Lmi6XlNzGw1x1+lfnTUmNUk09vNolKpwnixiMO79ei6pOby6MZKSp+AkWyy7kmcIB1
HxmBRJCWS0JrLFdfSpX+SGdZj/h1yFta5s/WmTqJceF9rYF9D3W1rabexFB6sSI1K8qTCXP3pOQj
rRLwPjfR7fwsphLHWH+Exj0daih5m9qJrYfGhL+4FHH7nXpb2Wbj1dg6emgrDal+RV6dqrbvbvj/
yKQbx3TrLHG1U736OTGV/kGptPIomS7DMhbNxmkasWts4wa4Q3y5rnbjFqryOW8kVSluNssLliDW
AWmMGlwehvWITW0nWx3LENP5VXBWQVXMX0y6J0dntUZSJkr3FxkcfaByevnIw4zIsZP6l4yY8rtf
6jrFx0K07dnY8PfI2vRet7WbBrfsZ1sxlI0qtHLfjbG18TxIAyaOWXeVZtW+1xswoAeHlsfYmrfd
0qPkx937GlcjUs68soKw0sVY+6XNs0OiWFA6gzjOguKwbrybCaZCkCYoCPjIOJJarFbSAufB2IMn
aibioVRreeeOJcWfmj60k8lYjV6fFkJdXGFHf5W37nhr5o3CZZ7Jl84CWyOa72ArUjzNRB4GplP1
+6YV4knv2jwSKt/o8iwqULr/VATluk8SFaal7XQr4TDyTkvIu/iz7fywIr80akr1OW7W4eSeby73
JpIX/Gm0aGPO+XicHX08Xu7lBZh0vjYaQrh4joyE2XeuGJ7UjrRnFwsTX+g4UQPHln7ple1toU07
J+9/w3HStt4oG5pq55SCpGYatIuDqOIEPWlZ+Cs/AuePuzNQswac+AYLYIBQbcKTLdmlhSr3ZS02
i5IxsU8WVU7nxFdney+tGrJr/YDa9bZUhvJOYZTFAjjXNor9ra0URCaTwrZUMZjO9R77NNalgS3U
hykWiAUz3E5XI7ZDx+28DSIq0grb18Qrt6TvAG6N+bSzpu6DQXj14W56N8lCE9Wu5Uvr5NlpNOd3
E5qRKRsZOBbzg8xtJ2iWBzFCNtRHuBHGMHDYbvYd00S84nw6S/a4ghp4C3QiBQZmT8tAs2D29F37
OxYanelODVtbJWtg0G5JEwaX1McvY172RYeHSumgORkUq/VrPC52LomYgWUSqeKVrMDpsXVqoW8c
e243k2hi6JgkaHrNZ9LjLszV+oyvxYr9Q+RZZ2/bpIw84T0bLZHJJbbzjnqtqNjeSPPVbdLtpLl3
skZLnRXTtyMBI9u2xLJPQOGS/XPuWFtECvaWzGiVr/6NFM32rUIJ5DC/WHHzOdb2GHhQwyg1HFw0
AMBJRJ8x7krJnljpVVu49aq4Yo/xG/JWIt6/UKxwMg8QQjrMLBIJIKd22nbQMT+fzmBigZx5FMmn
nneZr5YWkhR/aItPkXW/VhMMtcDGccF7fxLlVawBnU0N0L+lvdSD+hA7+X0tPW9TYtHpqL8n+E0T
DvSLETU6cubE2sW6ckjG4SZeYQEvDqBsE63Uf+tIqLQbYFe0cLIq96OhvOcTMqaEzkcuw0yxd5gK
7nJGYsjm8yPhCUlQK7gc5bKu/JR4JN9egxomUD4W95UzPWL4VYarq6XYx+M3nTczzSf7055EunF1
Lsku27e61fsGYA4+mlzZZAa0uREmZvtUkyc1oNufySVt2hvCDM/yif7qTEnaMqo5KWDDrM3XdF29
8NzbDrsxICJN9z0V0Cr1nJvea3yjM4IK38Sj3nLvXHYLlQGmTH5ZMgb78YhdKttjvVaf1aA2256O
JMZFSNs7ev8YEQN6gYw3bUyHiQvRg4/BQswJKm+51TAC5+PnVTC48eQ3/D1dCtKfl0e4QBnB1Cq+
hEYDkRd2Oac6yJaLtHtN1Ge1Nq4Jpan82cPjpLWy17U1yG/GsWDoXUIxRRatnj5TyI3PfWm89uf9
aJr1irH+NQ7iQO4uQY5L+t2aXCOG0n5iE0YSh+yzwH4CN3/Dov8jc7+YAW7jruOjNrSpAdCr3v3t
khsAUfRKH7BlUjG9C1Ihb/OedidyhVDgzTka7vOimd+jPX0vor0ym28EOuQl1XTnq3Rv9fzlVpFi
MS/uhinPMdht3rXarq+cdGH6ArmGAOajhnmzM85l5oGta807eh4nCuZf2jS+JNK672372m28u0Jf
bnE9Kf2lnF9VF9y57Q9mqxwpjWg8dOlXqsEOOJ+Apbmgu60JZZIwwtbGvulym5imJUqwSIUjlTgk
Brv9bVzlXJRdxUmyWtIHSPUnZbolQ+I2a8w3SxW3CfOvfQ5jqOe13oy9vEp6c9didxP1QgRqFmZd
eTsS/rGFbof7KOE1XVneJLZkyEo3XYfMS5FpEuKmiJ/7GzgKtjfr+i1djNq6vD329jUB3AQQxWTy
joJO+GrnO2PCVqPQhy08yFsX9mZddG+xJ3GeJdveHLU2gP21qWZxku04Awxo2tYWSaiZrbpbWou2
cv1eV/bZMnvW8B+Emsh6f4P3CSCKrHWqJdbHmstv4IFFncyzC6jXp7dOFz+KGixu6Q2cygxyMGGT
mab7mdxnD640HmyvEo95bbzAzCBVp2+UUIFuNFp9uaHK6vdkxKp+5UlyDfXqxmyHFy01i6upw5ss
FrC68imaO/yXlnRHvMeJnp56rxSPwiB1U7caMyxw7w/keMPKzwyThdEkGcmsbz2BGD31NpB5YxDv
zNoqs5sydtvP6SDqyMI52smXbAPrpQ/V2Dnm/GtHhW/aD+l+wXkYulZxg2JQDzGIvpkmt98lBKvb
mZdRtJD81UDGC12G/oD4szcbnh6Zb/YeYVYcra5b7jorfxVZrR86oMCw6tUvYtPwoCygcU54ZzLX
wOjSy2VTaEP7qy9RX3U0o1n4P+SlwJ8ttt91w5iCpGbse7MU3Qzc1Fx3YC86g93ZXdCgJV8L5y5d
gB/jiiQTEF+75KmkM55VHRpa3xXEFHR06AcX/JIGfMwA7xTqqZfKGFVZ7B495TgxvbqlNxxcrGL8
CrOjpz5eAlKyRNh54pdVFMWms6bTVKm/QeALpjJRARcBUmutycIae61ems2hs8fmgNtFQSzdP48v
Gw3PfsE2DzTjvH0qq+Zg98v/ft3l6UwVBLvN7fby1g7QsxY0I/7a5eVJNaYiNGf16rLLyyZkjeHc
OmSPu0y0sZFUR9VZaOKWNcPytO0Naz+hjc8giQ24LaJTrXFGVX/R8DiJPbri3teVYV/3w405dKBL
Os3JYfQraf/Crvgjb9ZvEITv1ugKXy5x2HsGTNTpe80h/tR1+sgkdjxDqd4wB8PZwMeCQO+vpv69
LAFryjTsGu1U45wYjF/reo6rLZgFQKWuWljbmAlXYPoGaR6Dl0JfamDB1hBO8/PNuOT/fW8tYtcf
pxZMSjpyJ4n2vDx5uUmHodysk/VEU1iJRl28wyGyIZIWu3EyW5arjl/Mcg5mHTg6q70JllKihlCi
caTVodBi2y/7w+UxYdv9ATc3wgDvaktTtz2+RDSs6smP6SYtXpoecrsA6reozla9fCnMNd2seLqQ
mqYRTJlmb6ubEmFoJPpRHQ1A//ON/s89m/4fpVTCRTyXOQlyer5fpsav9OyhKFuQLuNacawv3aYH
pz4MevJMPNaxB8AehHbyrO4z7eMnWIQ7shMtfb4u7XDKy6vJUCNdqSA/yu1IADtZjLVvm/pVorSR
SbiSLtVQ1ONWzC3rmbCADBFzbrBICTw+LKlbgAmNDkzGUt8RWGoawH4yGmwnGjwFvmnCzOBU12L2
vpqFvJg+9s8lgmVRznZx6HjFndSso1PBLmvv5kSemqq9VkSy8QTKOlV5g44Z0vujxG8ji3ijVqZv
2qqejJZOf78mIz26mG5KhwrTVG/dCv/T9L7K9XhnyOnam3V6miaFVEEainnEP9KuU5/IkStTzbbl
3JWYb2rM+/qNHmc3eTK3wZxJ2++qaTuyoPYVccZMHM7gqi0ea0njsi4OFqsot3hcFrjgYAYv+A+R
opSxvpgPnn6Df+60UYvhI3bhC3cZAeCiKW71bG+oA+YQRvM7b5bAK5SDu7j9USfWwbLpCLhAl+Ps
IdRi4PdnqhbyXfaYJy8+xPtm31sliX1NRA7EVVvGT3UDt14185usdeqgbm4Ws3K3nfmK1c0D1E0s
OnsYwtmthKhDGdQ4QWqlFnWjdiBsc1tWK/Vln22mukTG4UazZlhBIaBGdKl4BFmUpVP6Y8sqgIKD
Ux9lX9M9rJT7cDcHPejsBJWxuRCYzuBtjrDhlfY1pe3g4vDNiskvu/7TrJ3DYOZtlInsM6tLF94S
FWu+oCebTmZevM2x7CAXc3JWSReZeIgNdpoGZUPmdh2nXwuOjtckh+xKaKtzzjRWEM6T5RZ+0lI+
ZgLWki1XekTTr7YgFW4ovie7f9FMEiny9RNRMcbbSBw3lu4wMsTTvlwfCqjjoadKJTBxXbVU5cl1
ci800xpOldT9TlpHVWyLQtyXjnqT4MdbIXDCh1/Za8Mv0+x3yvAioVwaaRNNkmS3wrzPKoQvqqNd
T+TgBkUr+sBFudApxknR4qhuM7xdsRsuY/CjXkPoshj0UK77YvxuV/GaZLeG1r4UtUm6ZIORtlph
4jzZjGiWNWxGGEMYQCWvsqk/NTvfG71yNcPHjJNnfAPujJEqxDXaAN4GRpyzFyaUIrbWP7S9+mJa
2dGaq4dEL8O+IAGtyI9rWwQQ6x9KvPDMoX7PW6BrVYBt1QY4H3Li19TEcwW660ec2QSaucsalFb9
iJThoVyb3ykDhY6lYqMgnIuHu0JlzHG0q7mPHVqYH6uYP2IGBU0rfyOlOg2yOSyO84bH+JtcPdaY
XXjWLgdNTe8f2JnMWo1hJV9zXwDOvnbmnGHWtz7CWn0o2sCMzYir66lWp7vCdd+aGK+OXpx5GRLn
dIeumTtj77c8yXKA677UhzPnz4+b6vegDFtVx1PFiPGWYQqQCU6E3lr7Kmny2lJt6tXZLIKlYLYm
J6a+Dd22u0KbySz/1JnCmliiANBfDe1aUr3ZS3VNjt9+mJO7bFzvoYgRw0OnWNL2sDBvm/Jbs57I
+BLKzTyUh94yYOKaJ6GpENMM56HN7Czolr1lTCEdX5futPY6qd59CmqfuEKPHGpDNYFHOrXwjZ2C
r1sXK792ntEPWaigi8hOKHjWer47/8SybB5JPWwCvCcp5ZHrDOmnwrosXJqaMoevkL5mK8pKr69C
PNAJI8u8J33WTpPNgwr9f7d2jJ44j+wtwq9c8Tn2CKxMAUnLspSzbuPVECQeYcETumv+3CVZ4ePp
VNXIhktxc7mQhoJTv/lN8fFUCqeOEngN2YBnWevetjaRtdPi0W1XdD1wVI31BxZTiwr73eZL6TE1
O9QM3JOBiMd8PcGEINo4vwIeY1+jXxicMczobaCDdm1TqX7EKd4xOT7sk/ZROC6DvNfeJtrAdd9P
0VI3XJU6P2CX0cE+L7cx7fWRSWtX9llFoeXeNf/+fqwq1CUJ7RBlJrYyMWkb5XzBxLV2C3NHYDt2
F8bWk9Xab7PV0t3RnmLUnsE4/abGJSbuwZJjvRHoo2LY+CHnVuHHxrT4wE7MK8IF8Z/ThDpyOcQd
njUs+n5bkw1oPbkbGNH3ScPxCTsjQ06aTKi6/lGeWRFntcJixSdLyqepmAmmVfGQa71iN/Rk5vXq
US/W1S9sFtoe1oulXCxartSlPc0n1fUJ3wN0W4OVsL5NWiDZYkYnDFrXXlftvZyy5wUIBno7Bsfe
eYRs+1dCld9tw0UDM6UwHEbtilhnkgtdZC+cKh3ouzUwjg7hHDO3jnNF312HQLGu1sL8QyyvowXA
XhtbaviaWlkFICK1iAZ3QqfNLcNmSLUtqae3jpISk7zgCgIM70I9dzcTbG0/E+lTJ42ZEQuJ4+C9
QIOGkjJ8yhYG+myuC9dccuMU3l2v0yUdjIehnV8aw7seE7AMuI2/6NjimShRpNXVrlRoUdqpYJ5l
QhNi+RDpshNrmwcs836vOMiD1rNmBefDqQGz1cFhIpjgZdJf9/ax+KBt73AJrTTTB7jF+mt/7qYw
bXzNrhqZpcMfl+Z5tDbBmGjOvY80b9ykev2cmjKCO46lc4oh4tjRVV5hmWllnVwpFlZnHqc4yX3g
gmPShm1pbFtztBCmeZ+UN08J3qVUQkqYSDiUbrH8ntPhs8RaexAOtSvGANCNbBaQ8UatsMfTBvms
eayfZH8zlxF/79FJ6CctpHHi+QcJYQQI7qXnF13+5Kw5zaiQYkma144NI31E3BcUSa1BiyxZPiRx
+qw2WL22U+JFIGwlDfJ3c7XbIBnlwYFATeCyCE0XYv6Qkv609huGZ1RHE+t0MKiDCxFKKPOjmpNz
lDDmeTULtJy8Ucdr3uGWbLU02Q/lTBNr/HYb7JZt1k1apvuTVj7NU75syAahC5+SAGQ3+ypX16jW
lmuEht/oCa2N0hsbkz6/1jxrA7i0LRyaeUJ8NMe5L8eDe7Z7aLapld3YCDqoTNxv2bv0/8H1KtrV
Cjw+PylNIOgp4qOVm7ItO3888/IILvGzJhEU5d6LPfOLd8n4XslF+PEQeVpHuLhBsAmIPQw6544F
7SNp4O967jqEhrmRUbnDdlCN147ct208yCQY5+6tL+hvaUJmxMKaeaTJnslJu7EACq34rDx3GfkM
BflgIza4PaJF4ZzMQVMiPWZKp2Rvdr3jAeJ0NiVo4e6atadGt+YQhme/se2vyVRZwTgkXEijD2NV
s8MMUVQ49tlXC2QWTFX26BQsm3U6AUFXocGyaQJyZB1EIByBucJZ6d+sOBX+bJxNJmOdNEdXBFq3
PieKEjP2oCiYXOR52IifeVjzp3TYhFru1pVpFrgkX4O8hDTG2DrfD5ZcIyeFZpDWx9GDf9Z5qx/j
gx9oWhcuJdlCDWmOAS33+6X34nDRViSleO1HqGhKshfVM6mAYtJ6iR3jzpwTDAAEXUJXc0PPqV7r
RASefJaZrMK09pZdQb7xEVWAVjntxtQxquoenUZ3EOapy6Fci2uGh40A1kdbU3AlgzwZu8xRYKwl
prqJDbSREg5fgJ36wvyjfQsWf0GKeVPqWZuurhmyfWUqi32+LFfp1KMlKdYiwphsTxyyz2jY7aml
72oJ2JNNKbpQ0AZRzHuRY1iqFirGttq6W13KEBsqq6Ovwez18VaReWhl5OpVhC77ZjdjTyJrJpiB
5HWbBfnaK78I/ziINs43GI32bX1Ukwa9bEJDxehcDZJ8ph/GYhx8WOiMRbXXb5Zh+dAhT5wKFQVN
UqP1LO9FMq9BqzinWMKxS9DsAhpFdZ3lV1UsHmI5UXi4fLIlpWtnQlMFqt2JNN9koJP+0Ml71rEb
qapepGUgtSO2hIexqrerOPR6dWtVAAsN62zSJAndGhOCQgdcjv26sbBftmW0Dva2GPVAwxPXR315
VqSPIbZgYsvx3tOxYdREOjU4JXC82WBDNFYfaoYQvYc3vqbQdjVUt9FCR8RMsmur0g9MofeNY+8x
NC9Da0A2MZs13hA29Sa0bTvgXTTbnE/4P9XOkuVZy5u5kcYcZde9HtV6DOhw7uSARyaO9lEpSX+U
jXLT5t0xdZwnd1HB3OMiv1GyABr2puEr7c6Jp3uWJUfFLEzwA9ohUCP2easHUI5W9Pnl7SLXK8MR
RQi4gxi6vy27HKjDmH0N/yNmB9iVzjgkgEusmIiyitY8fUCiZwRtUsktUfVEycUJUKJiPLUeDGcy
3Vl2pCw5R2wTYdmv5kraJaDjftTQgHYwfld6/hskcgMS4/W2UK7xW0OAiYARrto1pAKYH3N3ra8j
fQnWcJB3BGFGq/KOXvbJ/UVD/1goz5O57I2a5d6UWHage0w96rcxjTNFQfGcQxA/94JAHOS7yuIL
XRyskCm/G8e68b2cf3I1ZipXt7SjM7vUB41+GXV09XNFDDMuqZBb1l22NHdoqHSo/x7x0SXeiwYk
UvpI7jVi23HTq1R7eoVJTFc410ruHLGihQRl5LTW5CseRWhVGnfmNI9pVJzQBrzSHWQlMnRJYCNS
06Xrs6KoArNLI5AP8xrPm2CSAdOFvXNKCJ8l4LIStPbYh4NOJ5vpFtc1GENQaT/s2kTAZ7aEAI+/
GNsb8Enti8SzNsicDNGSgSdn6clTuXXjMZy6dBcrVc+al/o3J/TWwwmF6jBapGBJRVO+NSr44XlT
hazpvMDLTURMOSM2WVAULjS+UfsxP8fxcm1UhcOcXR7nBqfeXLboqdpyZ5I4lGgZba4cOW3nhg3/
iDvaeA+04kBQC7yIauOk5seC6T7eRgddywjwcniVGJ+GmmATk7ZlOmWHeJ2eFr6NPg5vi3gfrKGJ
CngoEYkFYWo7FTL/qkAYqnKqj9P5b8ruB3yksPm58rBZwX3PQ7yJsa9plA85Kk+/WdNiO9ZOEgx1
/qWnoDwIGh9jONzQJl4l8LvfY4YPJty/r1m6o5JWnRVZS0K8gVPXvwGqntdxw1DO8ena+nEinx1t
PvUL6oZ4oV03IXcOqhozflG82/i+M3LqR09Xv2K7oqKl9qe+dR9He5uOho3ecLrFvOna8wZcnUS6
g1hD6idN3GCq9X7r5v1Xrk05i08q4EJ12jvZmkeBpVZU4gbbOkp8KDT49cNuBFUBKDzrPNL4BWCq
29Cs4L8hvwV9cxbmfdMFJZOnSUcjEHP5hlPRgM6AaclNZ8Z975Axj5MlnG2bcuwjjMh9a2Y92dg2
iVxl/w0UV7P6gHiVVIBI9OmqBVf1RMMpYwbZngC76GiiScd8yWfXjAxZb267o+20dDpM74HELwvy
Rf8FtYtFVEEoBMkH+NwYRg+bx065jpUt6saNqmnPq6p8dclsHgig3yOcyO/dK/dRm9Pq2CcuCorM
pt+ZEG3wbRdZf1tn610iMcGoRRjP6XxN8h2XCCuuPu/g21kQ6u11CdT2RKTdeKqHvtuiY0au6Caq
j8a8Ctq+frHQ5/yye+u+M6yP2sp/JaVG2He2qBtGtdG5t2iwbg0vz45Qo1qQHArOuhqsk03KAY6x
bkCbqQtVZ6yDBCe5uXnJ+3XexygJDqrVfuD/0B5K3HZlLG+HxhgYGCgxa0nDp+lwpu2GJkRCv00H
KJJL3yRR25p+pRTX8ULaizYuC7k02RXaESyFRKfu7VW9oXFANztbt8iXs5bBWCUQZjeYRDIKgWv+
QIc+6POcbLWpp8Ce+qtaZPFXWgKxzW2DQsnbKjZRPzH4UqjqSiRbFBM0R7bEOV6fbdpRcnAauGN2
vSz2g1bHxr1Z1Htv6sztnGgPAixqN6tod5chPtSWTR5QWR1GgP2D5nonxdHjUJ21J40OoWWOKzHL
qhLk1aQddMN9zxrajktnFpuF7PTEym2/1tDhmsMaaaYcuN6bCho63WxPFc8aJn1k/A3vfWHirspI
Awm/DJeODlmcDtvcQO6mIU/bsxAefavy+j08EJWh5K2AUhGUE1YnYO9dAIWa0nshyQtrkdu+LQkP
nLRglcX7aBE2oUncHcsPrDfyZ5I/70SB1Bn2/oA6gGbsWNOVjvLW28h0ui84FWDUDl2oXFa/OOk4
mMx2w4vSSi8SdrWJnbQEMtWtbcu8rDbdl50gJGk8nA8xwcAMQ2emHA9T3azR2CZ7xilWU1X6MmUK
o68Bta8khX4+rzi/hDtU16YQr03NvFzSrhZKVeFWQZIiJ/XOcM2DCjNpb7TU1hNyh7CLHIPyaUnW
N4PF8OwAuzZZHqk1KIYYfsV6JyIvH157vSOPiBZeQIX8jeis2OZ9hSxhGDDIEDTt2ooCWU4LhgPO
plQ4X9eJ4F8LIkmhdnxYvfJI9hQdnz8DhnCODYONU5v4IbTqi0p1Hzp4I6pJB5P/3CY2azwbZT08
lriEb4aeQJEqxiTbSiU2uwxOY0aYyoLBc5j16VNF5Gag1ybcWeTGAUmv1UZNGfngkrRRYizv3VD+
HvK5gSjl3NadSuSrt1qE2/FyiCvPuaAEnNbqWWL2TZNdrgidazIWW3q8+joHbjM9quNIKFFYauFS
GGxp4x7NLRDVPvWSmS9qpkey+Uqucqs8XO7RT4Gs+f9v01m95/7PC5fzHn5201AKBXabDhUWS1Ub
XF54eU3T2hDtLo/p47tL8HPEGKsKxHPnTyCWlKcub/iPuz/7//OMxWCju/v/81P8+ZB/jsh816/R
f25JzDgLndaUxdHuzrKV87e+HP3PB7kcDVfxGuXeP79Po+SUEJeXtrm9dn9+vz87v2z92cvlnurM
HdcDJ+neG98SgssPaIrrPXGA+n7Q5pphBruhy70Y7sOfez/b3HUVsLr+eU0GyYqu2j+vvNxLziP1
z7Y+LtCvZsTbnrf/2cPl2T9v/jnWz/v+2o2lnGk9WqIFmk0fPRJSQ7C/JDc/H6TVFRCIy77+427d
c66iN+S4l50jmko2KEmecqwUc1qa6rJxpXrDVciffL4hZ7ICf+Dmr20/Dy/3qsG5cvLK2/y1/fL+
y7bLTn4erlShrH2qgXbL/xzn53V/bbs8LGhk0YE/v/qvfV22/dtbvAENsNYj36IDsv05+J+v+/Pd
KtkQxvbXbv686N92ezl8viJq7WWztQllOfQVZZlm4sRweejEAhjtfPPXQ3Ue8Fj56+lJ3WQrsaLe
ueOidv/9pss7Lzd/bVPrMfaRj1rBzxH+OszPe/861L+9TvNiPtPPvuAX4ltzWC+bL28wG8wy/nyz
nx38x/N/HeTy8O+nFa/EDTST0b/+BD+7/fkc/7qbywv/es1lWwqDLMIB+FsKaQbwfKERakBofjUN
QB9aaXTDbTJMYvNnuJiMZwU1ZLyeUr3BgY3RpaaFdyBqnHQaPJNTZnC6D2WEVk2hpciSzTaU8ySW
R1xw7wOqgy3oL4GM0JCO1vke3brOZIltI2DVsBDnO2NdSetMdckRiTt156XZNp/Hx1YKWo4KLU2n
qoARe9h/0k42TTze9FqNJwETRyypmXsUyUszfpkY+OQpfAIjw9ygBoelB9ie6bpLqLotjDRdjbel
pn55xfyoNV6OmwikiHKuIRd1yMU0pIN6SZWU5KeyblO/E2qNeqZJr2xYUKfkjMPUxIVNC5k+GlwA
QGyCqOwKQgClMCg6ifX5EN81rdzPRHf6zrSqd6Zr67t14pPZLFdn54XShKXNkGtQ2Cl0dLdPNmI4
V2Jg4AS6byW/aVizVmGld2Pqmh2A+SikhA5gufRjELVA9F+fDLPYV01zgqXbBKI3X9upPdT1Umwo
oERkMbdToVylCYhUltJ2Y8Veh321X1J5RVeCNUZGG1AhXTJMMs1XDVCAeDDFZmr57azB2MUupnQJ
GOLa6FNA7GUfNizMe3e5Ifr9d+/ww7ij9wqmDjw6elfJkmeBwOUAvzL1oJEkswU7u8KlN4X0RBzd
0qUv7fg7iykgVZWKYF6tc3yK7yjNsBt04G+lc7fCtPmlTdrpTT+ZEbXxM7XkvOlbjAaKof9yxG1J
HOOZF8h7iQPPt4ayLPe6QqiBnBQq82INSM9860cvxYIEYlOj0CBoZIon8KpNWxP3AheORqSbfPEE
XuMud+9m4XU7t+dDzyuczwQpwEGt+KObjZGibgSDNHw3cVVgA66lQWdln5J2H5dr2M2n8xmkZ/Zw
KtL1GwibMrkHHmjNt0Fx4utal59tieRT5/ILoAGOPpbsPaRepwlMwqJZTzlXwBRT2KENMXtCQQro
W4ZJ0ueKNQU+ZAugSAm2CPPlJRY5ZH67IDAb4hV6YD4wx7JhkoXVsI6BnMfl0EkLHp2yKcmov1u0
wV9b9wM/DbLJVLKzx7OEFiO+SaMu04wT/YT0mGLHZnnpl3JmvtZzSl97Xn957aLCPtlppMV5CL51
YYg91pcl1o3q3TrEbmAggYzT8XHRXPRp3pV0qb5rhc5rPmKWoOSfeavJzdpSGNN4bDaK+0wmbkVb
tYxRSVUyxF2cXggpwuRKucE0YHUlNO0mmelOlKCvUn23Wuy4vcUZI9k99Hn7BJm++C/mzmO5dS3L
tr/yItsPVTAbewMvojr0FElJlJc6CLkD7z2+/g3wZKZu3szIiupVh0EvioRZe605x1y6dColIUpG
010zQ0uXjtVskqZ7ynXPWoo6ojMOnYQmTcd6wxj0hevncNdGxh2RCna20HTqZONORuIJCFMpsK0l
QGk3dVpCComKK4LA/bVutDvDQnCZJOMziO13zy8rpsb5VzS9ALIENYE6VA8xGdfmo1MGjx3ug0MW
Qh/qD66x0WXnvjcDhEfaVeAr1TKCWUrEvfkrS9BT6/I16u1rdJnPXeIehcnTUqM/WTr6u2YSID+Q
tDTkhHjoQ2hNjds4COQiBAGwGz9kh28+eYiz9s1oM+ZCzXhLhN+qb/EMSjqJmCQ4dgsGYWWXIZJq
abBWOPbZJpZV3qKOi947vqQFRC9jgc1iD8YgWGDTKpcNa8RAp2YntgzkzcEqNlVqe2fUKM2699xo
OY+Q5ZCuLKhsWNboOCTJS+8T52m40MfqinZEXafPBTDXpd2Mq2QgxNeP+2klK52GDNg4IgOGda0l
TzIyz93MUKifO8nUtwxjrJQIIkLzK9diwLPmZ11adDkqVO46UYitSnHMtJRrKem5oYGQxsGqvQhG
/8VApTCk6DqBnt7rUXld1uMyzcYjYOVvq6ZhZfZ84MDcuDXWO70xq/WgSfqaenHD3GoR5lKsiJVl
3eoP+9zgpJAuslgWG/QitEcbCRrK2FdM1VWtMA8l0LpjGluW2pPW+F6HxTofxG3gJLAm9WQXGAru
l9fAVOo99B9OfzWHN/nQ2FYlZ11ymyJ07X0Xr6TG7AZx34i+IRtA22ifTsmAjwixrRVaTAZ6NEpK
bpl6Pwhj2iqIX9tcmFuy1U5xkD1mg74RRoIQPUAegjf9NbTZzLT8xdWBF3VLP3CgXZR3aIAfUjt5
GqeZq17VD0E1feaDfDZzdDW0hlNZgh0dTpOzUjENV6NGympIecoLZDR5zSQ1ZygjRb3H5w6ZWm77
UMNdglLtlan9G+kzD7Joj4O0F5HeI3BNdrVIXuOBbSJq6o3ZUhtY3TGYEBGN+Nz0iqZWXJi3oVat
rIr9M0ZOm+xYdaM+JKl2E/bgcPmES/bNt7EZ3vyamaBKkIQ6OW2CkIlvGn/2Kny0yuG1K6fviCFt
51vbqQv3rUgfmK8ykQMsUuAqbUON6XhscEFejJgQpORT2K1jgzi/FMOrcP332qn3QKLOBt3NNTGb
SD8a9V0L0CaQq7JF2yBhyATjJx25hQaLs8z0bOXNHqEmO8e+zioJYcQaU9R2kO7+Ffjp3CBz9vnA
mB6TGsmFowAaEXJu1sxDmbSslz0E7UKZu1lHXRbezDSPD439qacYj/T+peVD7fXiOSziEpZJ8uRW
2oEj331YEbfXtoqv3r8mmRX1urlton435ABkdjUtZHiv5FvSQVmGWK4WPWPCt2BkMAgl8jp0ZvVC
U6/1epSrAdRtnt/DR0TNYGaYVNh7e8f7TpLhikRQe5kN1TOqkKPpNretkyxV25+Lxn8js50xiEsb
CqLnq3Jd9AeYPZf1RFPLEvSGJ7aNWADp4CD2XFbGTCQZ1o6lE48EPKodp707p5Gk13gDUNtgBsIz
w+7SPsO6rxdT4sypTiCJ4NUvcPnwbQr0nFbqP+Qy+S5m4wrJAT3S6/YxpBG/gzux7xD0KFwLeAzQ
nWc+KM9aA9vXem/YYFYccs2NJMNe1d3JqtxTkxfxqvTQ0ichni9G65aGrgALdRqjTnV8pS2syabJ
b/ElK75GpXAQpKisVq2p3EWNh50+C5PV9B49NZly0E43aKgXdl2Fd023bjzZPHCCo5I8u1/60LZH
Y2yWsDHsneM1D2Tosppz2zc0v0QXQEQx+vatqt2N3zlMNcKRR5HMJTRpKqYiSZ6XK2Tz7DwUYeA8
mT4xPmPWhyA1jXfp1Dl7kmCeFUV9wRm87Qp04NTGY8/umXecDMMjrNxt5/c3gxuxuZThncHhZ1W3
7GsgshgTlkc/zH+pOqQ9bjAujwm0rZ1rBCcfBulaeDtrSm9MQl7obBj3nlq/PEiKRZ8mW+f615Qg
i6iyT2YYP1FrPznSKpa2D0EQAMYnXSmGLU43XDsupxo5rmKnffeLkLO5PGt+RHtclki3S/aOnjwX
erf2zFCxJKgX4VCDyURsIj/81W1c0Rzs3ACzaw/awhj6Rzvv14ZpDxRWGudWxTpYtreYTBn2avGt
RW+cmesHLbFsy5jthsBfpphT0G3R5Vo1823DyR5REH2wUi6XdkzUdGAw8VdsNNov0zPfQ5gxnmQ6
GAbNoRDXaaELMocQEycphehk+wjuYgcwSbSMJvtUte5DqrWwKa+glh/DwVsjeV+NOKUXWI3WTeff
wmoWiEjK16GKrkh6vgMhdkVC9VspNNSqLqIxPQ8eC4FkdCi8R4d8qkWp+9SdmPLRymIAd9By6CAE
EKcwXpl2nRwXYWa/R20aLLoetoUvCS63xgdTx7wUsQcGfMOxCCEy2tq3jaBklTRqwRoxMCRKkOFt
Gq6Y+zwmir00TftynRp8T6IX1/6QnkaszPMiyaQcq091bD9rMAYENjLkqt2LWR80YyPhYIL50YCE
E0ovWI5xkMoxBjr4QMcnqIiT03tryL8c2DTrYAX1axdYH6bUxo1ndvf66K3HxoiWo58ky7CiIrRd
tn6ATO6awsRnD4kpqCxOFkj68tj6ZTGuWEgCrhhqX46bi7C0zeVo6ucQdf0iKNUqdpnday5bibLN
d9txvkPmS1gF871l9rtuNF0mD8ZdabtIpwywmK6FdS7O7fkF6zC0mxUCrN0AMUXY5rg0EEUqo3Oo
AyJ4zhBlkYg1YF/LfeU1BxC6N2WO6K9OiscIPnOgy6uuKldTTv3cNy4zeIPYFZnMlr9otcjr6ZpW
wEshvkYkSUU6RSsGVvjE6vassv5V1f1nmDa7iaG2NI039J32qrD6eJlN8IEIhNlgxWUgwMZTiPsu
VueWYehijNJTh2NJY0a5yCP3NbLRn6B/evCau1boDEJZui+yykkY9XkrhkqnxBZHYTD5jH2IitOA
UUNXNwWrjg6wxCpgKuCK/tHstEfdbbONH4x3ONy6FWiDc+qBY+oib89S68Vx7xx67YhMUrUgJQLD
QhNRYFNgSoUvKTLz1djbV8jGFl3VbhsVoB/C9Zw8ljhAr/TIIzu3XlZFYK2HCJwScjueaobZWjMl
necrEjoQudf4/PxwWrst3tNMkT6lv2hJcuVUrbklpn2bE3WaE7sMG1mRAtY1nwHgmNG29tQXeMIp
MHq1sKkqWX31xPTuqaTtvTYrT7rQRSHTwdyv5Zp6X8P34b5kpYUGz4m+RhW8QCVdjyOGZK1rrWXk
moiuxudchMma6LoEDMki67IUPp6/lhGjPdG+xBkTdo9p58qL+NVcCaiodnvcjgYWTrXjadEsvpLx
4zBw9rZzBK1FT8nRSYLPHJDkDAEyRELulci/Cg/gYRwU140fbKzYDjG9DociNj8AQey8AECPTROc
ZsgnkQKPMSq2jZa77qJkj1+7mmJt6LIr9X1NssjGTXCrjqGP1rMpmXwROqLlnr8sgSIlXbGIMNmt
Eo9eSBh+5V5CJCSaJpZgEBM9G3B9WO+CIW/gYdVqUeXmV29h6kgeDWbXW4Rvbwo1i5oG+iduuo+t
4itnBrRRefIFEemdirrflGZwPfkIVUsulvU8v9enG+CGO3U7cDZlV7zGqfweQvAz7e4XSJZrz8Xn
FXKMIjpnnXbqyTWGw1hpKDlKVvG5Vd10lUBXxvRPMb2KXdIH51Z4UIzHxNYbYORZuwkRMJI+US6K
on9iH0UNQuTCfDiU68oft7yOLMHWX8VRsDcS/REPKrQ/pn9PwkQ70pfeuQm+3OG5dKxn9DMPKm2p
NqGu2OgslrVHfCuiDhRJaCkVqwUKXvZNNLt5CYlMbqxXXc68cetpSFuNL7S6y/nyaApaZ40w81Uj
LIIE7YXh9x3kYnIAROL6RywED/4kd8asexPAGymFF1QAki2Ln8NEc1a2FgxAom9pWN26gX8uvjnw
erBk+9I6DkF3TgikWcgKJFZEUB9alpegqs3FaObXNjzAAZ3CBhLqbaS6o+WiI3OYyQrGsCsWgcce
m/cwWvfGO1Lqd4VzudbZMGP7SQXyHsrcCn/+KXCnbdxgQUnGq7pib/GxTjvDrrb0l7axPzSFJIT/
a4+paoMbl2ZMxPlfTaFFBHO3L9vruJQnUqcRgYfpsmqMV29evDqaf5wqtBpGfoxNOdG4qz+LEja4
0p6StkTLECDX6gHq6LqNWMRja6GKabMcGpaOmwpuFqSp5iMT3RnQ8AQfwGZN096rRBwQWdRLhhTU
VEjtHSaWfDBNW4k0+qYAMBjKmA2E0PwT5OUuAqpW4S0m6v2LhFf6VBWZnHC5/M0Qbs2xuI5lPCyr
MtkX3YCfRC/WZW6/x0YNQ4tJrGuH6yjGfxs11kfgZecqtNd8hEMb3ChoCPXUHzMN+k0skW6E4C96
685rNNwZ3q8p0x7M2bOGY+dBi986NA72ZC41Xy+ouUy0nSlsysb4VG2zN93wHiKOv8+z+KuBr8cX
lbyNRvccZ1hVMguncZ3zP4f99Rj3pzwK77FQvFNCvOuzzFnl3cYuxre2IFwDRny01FI3XgZTDjDS
VMib20unctgOHDJX1khrVg/NK1TrdBOCNxdL0DxTPaaJf0AFfZc6vVgoXXsFcHzUS/cqcLOTySEc
KMq2yXMkBjCvewSLYR++hEkllr9Ku/i0reTDKwqPAj4/p1q5QMLGwUXijvEwf8jyMGU9oFhWBXT0
ktgowCyn94ghF5lCQ5Khfhl7LEyB4T1HwNUg/0F+gQ9+CCdhMaZGTK/l/laWWb/UIckOwOMV5NPJ
V4ckz94JdHtDOn4DM9lZh2yn7CHPuB3UWmtJU8hPYev4W7OKlqpv/bUih9uKpmvNy66ypJvIHbDW
ZJFanH8gtNgJxGb2LlSU3c7uUJjPeurBwWI3/1OFReyMonkDpolVORUdW3F2spInCDKrIMlvq6B5
CTq0r/MmOI2lucgojza+ZEOhlw/83dvSEX/xVAPtnY2o9nRWCWbP0QlcYlQQ/JreN4H5mg6SWIwm
oKzti63jTutANJwYs/Ae9QLnYZ2mDM3jYsdq7L4Z05eiiT5Z/T70oOX2Cj+IlU3eCoLAi10cq8J7
pTxo90FAieLRqD/CQF9X6KiWiO1jUEzmrgLLC1xltCgZSv+YjtoxV4V2zVrzeUjp7U6t2lQFIUco
LXrW9AhxMNTQGRdJvMuqU5ZrDAh4AxhW2ifr3sXYdg8i9JzdMGnXBavyvZ/GNDEd/4pAGRaNGglW
Y60tiwjRfTHa27FOjSstQctcTqXPJEKxUHMCfZt6xnYc3XJvaw5y/NF1ljjA0jttrNHUQOYgj5Wb
v+/z0l3Efsn4ZqWSMEYLXJicqxqbZXyabwnEWvnZ8OKI8MTgp91IhaeqBBueqzTGcaDeJH1kAwP1
QlmttuP/2UwGhWorQHunRrpkafM0s/y3HRV61XMO6yoakGEDozh/bxsQUKHk7DNp/V4YnbtV3i+l
CCcYE0ZDJX3jqYbAHeHYRPqavGrt2GBhorQnM+AbNzA7DRU2mTkfViTA5kha6FCVhItFPtCRYFWS
w5ID455YAZrnGqJNZ6c89Rm4JuYXsYhGDsJe6+2tKTzqgo5V45rPbnzdIkXAI3wq5z8XzhMYSxow
5oO33nWeHAERw8l2Av/Nshuj46TLu7S4KSIwDChr7glU5HTioDgvBC1NdYOHcVGRJFINtuJkCMnL
Ts7RPDpwtZS24VAdhO73uCAs9gg3G9et3ly1AEUBAZfDIgemTnHds1tb+6wT365us3qDn4JOvIwD
OqHSm2P6ipoty1ILc8R4B0Lqpoq6lyGtKYeGCFujlf7qw6k+NXGz9Wlv6zYrZcsnoImNkvmAhTcw
0F/CUZ1c/xcqqOigV7MXgQVnEToZh8foPu2fPAtbSuewRgPADdcK6/fQ5KiEc5QZLpREQHykdSfD
Ngp14xkiKvaLBkhdTIsFGpS9NcKDaOm+yE5cs8Z+kHr6XKcO+NEKg0FngKDwNVhhjrkNZylchCKT
H9Fn0a7vBJ1DmlToNGl7YvydEmYlWJoLDbCvJq8HO463KIN4lXmwmIVtdEe+TxgS055WpdcxXOl8
XkW6FguhgTWcZkFYyhJnGUtJAMbUPRhJTqFqlTiLIf0sLBpWdvEVR+Vt5Wb9Lhlnd1GCZ8QU+yZt
WqQ7DKbqieYTWR/vLU0+zja5htmUjhmhNXs/6uYC2ny1Jf5XupX+lmdXt3qKZqk3kbfNoyfvraTD
gnFJo3ZtjhgHMA1iqJwhoy3FyNkD8wJkjmZnq2vutrvutBlBk7bF2s3sipqfsYfsemfflnT8wqnt
mZexwbiWH8PgqFaI54DfVXF7LlOGQLVd89P0+YG+/Mm34Sq09G0GgpqMnrYmtVSxjzosNKymtkEp
wA60oX5qGLvjKOUgpkyFxyY8ZUK/cQthbYXelhvipfcTqUcYvDLCegRIPp+Tg++L+tDTb48dLA1R
PDzJDB+o3jwyNeP3zwg8mOjIemFNxktOW511K7Nl9IWV1W3IkK+WfZmFx0YxPy0rmvaFNWiHiq0Y
BhiwwAa5JwuIF+Db68ye68+8sQ9TtweWq+GIzZ8yOVk7PGcRh7B8vBL1PBOqdG3RGim+LRVX1LUk
auctbTURsFlovTAPzBuJ+eYDrYngfkoTbGPKIPfFIYTAhBJh9wW+WXbRuiAQQ3o3ycCfiEd2YSup
7KUQEIv5gonMjJ4byXfrGY2EskdcGTv7uEqHp0ryH5c2f9KMMZgNvuSwxkhGkotlu7aBFDw9OjQl
D35+1mmhsEUx6OZXWQdxDeURJMLa428Tw7KxIIAzdabKUsx6CCZACU74506wcF/oGvEH5hyEwLDY
CghGcJFhzkEJNYkJZIY3dykZCh1ZCuAYjkWnOqgJxCykmC9B7TAimgAIDOHEk7Rfgkxe2jr+R2HJ
dqWc9spnhkrj0DXdCoAFbXNZfJlNwlc0Rrfd7NR1POcpCTpnh0+pW/tlQYwNGtSVWZa7NjuQ903r
xcM1xY4EmaU4kVzF4WbIzL0ycXZSVthsc6IwvgbfftfNX90wfbVZeZ6J97Zd3k611K/qEGN57b2j
3ePVwpQYuh88yFKroeCQmVDxSK3vrntmzMQ7rKKgW9eB9upWwkGqUOlLjndICoSm1snkfBIYz0yH
sdcSZSy1xkQtMlKxsq7dmjnHynQY4xWn7X1keeOVxIqzCFn6iKylmPXzYaMV2jYpwvtGS8iRcW5N
oVEY6uNTNwCoqnW6wkP12HRMRCSZGqaf1WCAiAoDJD3x6f1TUDevJOfWtfXLJPDHYbXPIpizYkcU
oDBZDrT41RaBq1Gz76rcDm78HFdCDoK9pFbpa/S8efcKPAJNt3eK27hbiPard2joF3CzOUJqDw1N
AcLVXBDnGWjkyHrsPJaHUdKka7Qg7xpL9ypQI+SwUOzTKDprogBCA4SdJVJBTo1L/9roWPNBjaP5
X2TfutV/NJ1OxSL7ncGxZxtnOazP5ANHOdxwG3MJWSooCFV1x38UsVXhK6pIB9wGFhjPqVyBV9+l
OmyhyrNuy9qNrnJ0yUuLzGa+5MVYuAe2o2xplHhtgqbvrwusWYJwFmcAnRW07+OY33CGjaiCrQWm
Enj/eYYOpNiMUV4fcZbR9Xej4lafiq+oRgvSBNG9qbveMihpvQa5DaGPnKcVBrr2JpPLMNU+6bX3
b4CMmb4iY9fEdVczZpuG7FMp+KCKXKOYfKNyduZEhj5tfah2N+F8YdN9SzVXXV3uwqfy2dl0HopY
8t/WzgPggoHkCAfmARIIGkTxxtFcyIIVmdVFyXHYK4yHqA0jtgP9uS6CfmWYplr6oJ8lnjExuc9+
GACVqehp53XaryuPhUzaT9RCi2rIy3051A+dKqatiQFp3QFTGmLSJDjI4bCuknLLzoOL2MGi1Dh4
fw0mcZRwHGMlKntWXnG+tqq6ve4K5y7J+EKzCb9qYVTXjdsUC4J/HE76DgJ4rWG8QYbETeWNNPlp
M+Io/OhbAyapYiwftcaTJUuFuuOtKDMPSDMG6xx0WaVuUiZiKyzsyIlRznuFtukYsRqJVq9yoGUR
pi1PdljD86u4Il8wTUvgYd41ULKTL1mrsCxDB1vAi9Vi+jEGemi3KChyhm8OucDYlHNrWNW5bGPa
MBISx8j8U3Be8hN45RreTDKZCG8zrkPb6lZNlvobLQH/VhrOL2V3eA+bp6FBaSaqGd89orCtR47P
1vQlBmdXWdBZo19KsoFOafJZDpA0dNVQ+2mo/rPRP/RW8VjFiCkaNi6zfhji+uBWKHzwaa7RmT8a
MVwD5YpP0VX45C0DtJwLvdsz1dEEzp4wf1l3vtyDzx6vimh4NIiKWfiFxrQ95wtQ4gtuwLYNtCVO
kWQzeE606qPkAUIEc1OFkx8ZORq88aazmB7YwnsNblGgcFQhOH5at2az0rrqBHiM6KCs3Y+dd0PY
ioNWR1vFxoBUR/Ge2KCeAdZ/VxNgbvAGVKmrwAsOGJKzBVunhiCo3sQCnxYhBwPrFcybUYClO64x
bHbWriQL0YCY1KbDvTZOxomknZ1Z2JwGQrL2KHEb1/o2Y2vO2KqftZwc63aKORnwvZnE6ZWInion
ODTM0ui5vZuiaY7oPznaO+NGaxp3VcNRdkXA1hKekxwun8+xPq+2tTD2sks4lQNIXidG8ZbIEGvd
gF3J1L59u32PRfzRQFRm6ze3fcnvIgigwQcVb+RUg6ulCRlF6VrTIiZoFn4+MwcJInCx0WFgYmvz
NXdolhE+cYQlvS565Pe/Ux8VfsmVT7+ANi1N/9rV8R2yrLL976Ee7mpTfRdJ8+yM9T1TCCikkUZY
kGqYO+MuKz2WA8KY1TvMUTU811KAN9ID11m06VSy5NeZOivPOhSl8WF4PZilDJ3YPM3KGh/hS+IA
C8uKfTfIQ1ddjda4VexBGeq9lAO3J7UXqw1/VSZObFjWwzYH1Nx7uOer70zVz27h043O8ptSbAyP
MyfH9AR+3S4V3WkAKIF3tmd4sm6dEEmdLoqNT6FaFipZ27PNhYPPlzK/GWg662ByTwOStFVmiM8k
9c+YhQPybgOiHKaLofxUAAijcE+PElBgnJXpthkhxyObs6kuIDZmcmv0g3+sm6Lc+HV5hw9srdsE
axexIMcIvlRTAm8nZYF0cEK3icAbi+g7gLiGaYFMzkzj/wanKCRdHMpbFmHSX2tjjwUicA90NpZD
nc3nwdBYDyp7CIrq1mqt1QDUgY8Rrnp8tCuHbvmyoucnAeYuSsbly3CEoaes+BjJ8uzDuiUyoWBi
NTDEGNKIZlWyLRsNQElx00y6AbW52+CaAK8WU5QV9S4nzxXvik+AMOSdZiBbK5hOIfzqpReU2Vov
mivfifaeryNUR3FkAGBcw695DlksJgN+l66mBGh8OHAU/QAgvnwGemUEWMH1SSzTRvNdNuWN0Jtd
6iYEPBjUu0mDO4S6WltmSQ5ru79tfOujEAff4qg5hL1iHPbLReOQCxtiZed+q7F5p/klSueJCcp2
yHxmJfHBYlEa+JQRg2/eqGi4CXok1X2L2sPYF36SbkjEhUkhbwcTMxztqWpblPoVXBnQZpX5XA/w
bkoapnYKZqXpoqWbyetssu49K7oTHFM2jmq3cTVt3cK48jiTCydatjkDMgkyKYroRmKBi7BImOVg
rZBRcsvxKXYKdDE1PGO9SfdhDqq6MzaqaahKaDa62YAEQEuOYqi+vKj7iska9aJpYZR3Sdm27DQj
Vpj8Bd39VzjY322Xrz1I55aeFFtdG5iXETJslKzaZfBBS5aBPQYymmfajZVPD4GtniI17HTT2mPK
LFdaYx6J25jxsmh0Wk6Ido3X9vgLLfW61EmLqOpq2bliYxM31ej9B5L12yT+ENYMOIj3NHXPWMJM
fj/ygDyXeKFJYHUyHt28Qo3kvgYt0nYmnUcNTMICoV2LcHY42qlzj9eKBnfqPOpVd2y9/OaC8v8f
JZo/h3FYfH+F7/97gso/ySxsKmLP0SX8Q+C4Bbz/P/+WAf5PUQWH9+z96/0fsgp4/l+DCmzzP6Tp
2krXdVIUUez+IZ1c/MSRO2SOM6h2iBuH2Y+qxfp7HLkw/kMqaVm6LSUPmP+jNHKh/vLHWALhmLrS
LSWksJXkM+mCxz/f78LMr//rL8b/zUuJdTlOnTOs2WR66hB/XkkzRVLkD/k1rrhiIQs33/7cB8uX
CqYXmHwvj1yeyLvkLC0c81TnxHJCRRrfyIQmQE6Q9DLoaUIe8D8/ULBc3kVVRXOKpdbBd0lWvFxc
bvYE3qA9nh/508OmH9obBJkvP/fTw8OvRzW874suv27nC/AEMRlAg7693GRdVW3+8Mv+Nd39/zCd
u83DrOEbsfkd/hDrcPn+LJtf0VXUX7bukl//x+/PLnoZ9mgnz9J3z/GIS7lygxQnTssOamc1VFbX
P10uWoPvLST3bVnFFN2GI4ynXrXvNPa1b8+B1GX44tOdOgttZRHca3M8HWpphvl2OJxUivrSERp+
mMhhAY01szzgoeJqhwHzICyLn6SZr15uXx6/XCgVkKeaWay+//F5kzD9lcXAaxlY+RCtfVneeX6U
HZygiBDvcYi0zSR6ytqQ4GDhfWvFYxCJ+gsS4Ah6Px7vK6uYSJ0P4/W//2LVP+Zl8MXOG71g8o/m
wbR08acNU9qBPwlEWmen1B4vqGpq0O5QzxeXa0nIXMLXR3t9efQHaX159F/d9/NaV2BE8BBcqfyr
0h3zcXBIfPv7rW6+pcXpVwmB/Pdj8y2qT2yKAnIAlbW4B7YncLdDkKho2t67md4eEad+TnEBSHYa
1S5vDesGC2uMwYhYZjl6g4Msnvz5ev7wljWf/PCZjoefi993hjRzSLAvtHXkSZreHsSQoFf2eWL4
num9cc6ZHC2IeCyOY+fgh7R6hMUmrWaIcd538NaiGvuem4WLqBzB+Yoq3NSR6R3IVHZ+h818Dv/P
/87/xV4g5/CSPCFDOdt//ddf5h9LKVsZtKMN2wVI+qcfyw6hSWl1V5xpsElgg3qm6/d1Z7wF0ZR+
Ro7+SnPSeLD5P7Y9jPKdkQb9w797Aq1+zK60ZY9Zn/D9WWELe6evb6L5QpBBeWNxWluWsdMQVPG3
+0pH6XtKglv8/9S1aZ4fypBuRqbncpHmQ34gLMv8ffPn0WJ+1EIKJY22udVmMpsW3bG6ju7Ik0Fd
EqAxuNy8POBBylnNx3e0Ojzlcp/W5x8WLqrD5S4P8sCtA4EgINuLasG2D/0QysPlmqdP3Eng1F9v
/zxc1c0dVtN+KwPY4v9+hzLMPx+qDJbshiHRUfPZUGKRg/PHQ9VUVYbdoze5VxK2ZEIur2fGzUaB
wVkUsUPnb75AdIoO789XaUdFR9Le88Po3orLDXQCw+Zfvo7N+n7MY33baG30+13/5fN+/ykRQXO0
eW+qcv7+5c058suIMfL8UUyt5DJu7GIbE8BeN6O36w3Pog5xq7PW6tWxsUdCAMbqjOK8Ort/uwsy
UIcxYL5ZOz2Nl6I+X552uavjRZe3uNz1j+9zearjlr/f2q5ycdRocNXh1nI0pAXwXsrMdK7soPu4
3GLtN56jEB50OWoMo6uoCpeMJ+qtG1Lt/34Fm9++qnuEObE+87UMW+0tLb2XAgvyNlfTjhjK/jDU
FjRvZkv+KoVatUrHwLtm9xr3uoySlcQ2fxNYlX5TWhFRO4Hv/77v54HcHNIl51aMWPOTUZcMyF9H
0N9+Hx8ZNPzx4ue+vEne/Q5v4s9dP8/9uS+f36T2B0Y8rYk6V1bsmz9PDCqR/nfbrvXns4FhuqZt
SzZaYQvxT2UKVBWByLws7rEAWeVHqTPlG2txHHNTHC/XEk37483LA2PTvrftWG1/35qfG0ZotlH/
/+21ueakh6SEXPL3u/70dpGpBR00nDl+vpfO4vJeut/V28jPxQGPkXdivfXS1Jr90Gqme2fDZNDt
0X4gnNV+mFKa+mE9N/G5Cy0bvgGjHMgL4iZ1klpWGj/95aaThM1GtFXPAK6SDzoUrjm7meiS+Z06
G1hQ4+mDlq6VScs4LlMbOhAXl2uXC611WdsmnX1VjTROF5erP49crl3uuzzx53WXtxF5ihLr5y1+
Xvent9FCVa4DDvu/3//nvczLO1xeB7tv2Ip0qE+uCrr7BEWaxmD0/PvWCA5ABoinLzcBp6fXVlnc
XG75QdvdN/OJFh7qQLiM5KY+GjvNYBh3edQtyvuOzuJewkU9GZ31XoNf2w0j4mdE1jgAVvGzSeLS
6fKEy0XhZ+aJyGvzFADOZbqovVzuH5uZ4qdfLgXLYFbURFr+vO5y7fK6yzV6AP/N+ZOi5k8nUI7J
1nwaZZRt28L8c7UTAYqpAmnV96M9MUiLNITkCEpOnPymQ9ZZq8LT3dPP/Zdrlwt9MKFwO6iOf+77
eR5y7Zb1JjCRn0cvb/xzUwX63JisDn+6//IXp8otVlIUHHbmz/Tzxpdr3v9n7TyWG0earn1FiIA3
W4mURIqU7Z42G0SbGXjvcfXfg4RaUGvM+y/+TQUqMysBSRRY5uQ5ejffNtCLv7NvD1tqVgZUaPqP
pxsVVptbgm2s2JanozKkvpXe1sjD9tFc7hSQ+usDyNDtp3A8Y76dR20nphF55KgrIOMKvW+HGM3P
b45djvsiVatjajvJc1/03+d+cgEXcVgPo4XzYPhmdHI5adg5cwOZlkMdkuMELRvN6SJRblnw+cM3
FTFtj7wbBbqRQb4XOaWJTmskM5To1JXhvgoC52BTc5B+EpsSNctevtvsncGroh9TBBzQyfwekaGh
Vh7hna336oQm11RZ1U0T1N/RmcrummLO7rqlke4UquOh0iKkPH6ZxA4qJbtr/cQ5No11Iyb4sNA2
kktYRvOThviG9N6lbKihOoPBFN+WdosKhk9sSiTo2UILmdcwJwdwoJ29qpvOCyXmOSo5JNT6Kr2q
irkur8UzBi2be9YM7fLA+qGJsnLcJfp077Yov0oI5DSQwDqIXu/SbtpDXR/eOp5b/oo2y+vCN4Nz
DPhqUX4Bffs/pknMiH7/X3RYdxkOZtOCyl1jlf77PCmb6qjMTTf4pCAUzXkekN0oQpInN2jedH55
tN7WqReBG0QLP6pLWD29hLEjvW/gwrhwO1BRbWZRAhhl8NlwPLrzzQQ+a84DntvWzsUrPavywudC
g7dti0iafo0Qp4QNS3FlZuvRmkPuUGQodMM6ymf3lmJP97b0y7S7cpPy12VYBdeRYWSHLIPSAXLo
0bnswectG/rmTe/NS+2J3qWXhc92mtVP9U0rfcTc48prHlNIZ24XfTg4J1R4bqEE+DSUvnc9IQ2y
pxiOIqMAzmotsKApWrxpYz1RhKLB0s/ZeN6H7rNT8J3mhkUKDEpznssqyA6oGGSrl5Is/0npzuKT
eA9I/kVZhMNxMFv32Y24n25p3iUTpPR+ihecI5iQLijqo1JXTcoh1tLXnH+4FBf1Q6DzlqApgtPt
Qvrr5bBk8SSLXEpW2Kury6SZvF3PLtyNWs2IhOmF+VAtzUSN1V1ZsP3dewY1FzQZW6llZXKQTHnN
qYxS72AFbngowCWcvWJqrlrDjx+hHCx21pTDk+kN2gX36r4OdfehHEPvT9fJ0B1n9uuUZoA+W3/P
CVXz6NRa/dg0QXNS6/FeenXRNI+5o9diCl6jDI+yUIOB70yvA029NVBXndo7zeFoXm2q7FTobnye
TG05KBkQKOmSs93o9s/EVp7idsw+baHVEpqnzFfDyu8/BwbgECd1ftZMg+LcTe4MfX4o+6w524Nb
n3ULyrA6bb9Jb7M3EDn1uxJRPBt4iTg5jh1g7l6GSpyZjn+NuVdfczyOg9m7shv7LuFAUCngqDS9
O7scorNRctY7zDoTczZCm6huvyJ5jTjtZLMty4nPkxcDZgQG0X+3w/oz1cbFh9RA7NtFQJhifNhp
i1KDVpSALXef2DxYaf6P3JXSA7sG0301wyFy1cag9nqT3a+O4qATJUrdjrm+9t2mgl4z0+/U9di7
OR68WzezvfskQVC7U/3oDunbaV9bqMyCLNSPydLIldik6flayODj/XvMmCbdYa6He4pe9T36OtZz
Gk7hXTVYjygS2s9ialrtse6zCFC7aj2rWqqjnGfqe+lWdh7CxY8oR4KzKNHGHWz/zm0itYNpn8Oj
KUWSUgFTtuuiCNZwo9ZOTtTPqzvLDP24dsWtpUZnXy0DxSO21b3mGHIftrJICb5rBXwnPNtXy4O/
sm+19uyp3nyqWdztkk4bvpRacd3USvQTKZYMWMzYPcep5V9Hajjf+JPePQHKYsq+hPyeTW2U9oza
7nwC4u/Dv2v1XyBLZCLdD+cJPngIKpubmUTfmZVMl50LW7PK1R0TN9hDWcSjJURpSheOf0SQhl3P
mTVee7N+slv4uxuDs8bJUO+qrFUghK05v0z86MYvAPGwDZI/tnMW3JsZZz9a/WKKjbx5sJOz+Meo
5X3WDTdxZsFVG1aILZScatzKlTRKxiR4DJD+mhBmf+OQruU5P/QwGq4jp3XYkkXZLs4NsBmK4ZyN
pSnDlCMT6Z9nPXbOEimuLUgG+snEHhkcTS9jJNDKYYJD5wbuogsQ6+X32KLItkxt9x4AFYIkU4Sa
G0yBzxFSs0vtsv0zpZ5FYoMieRsbwXB/1SXVfQ6B5JiH41kaXsDjOQZbQ9Ul27rHxSs28aLYM55D
8fa5HRynIVvHRlOWThfZsFS4iMcfy9VjRfXRVNG4tJqpOlahUx19EKzgEpZLlo4lqOPFJY2aKIvQ
iYSCclnjN/eb8DUyULwKNZgSLl+4ZJ96VCSe1IxqX8dKETlZuknRxQ+RDcv40pOmTpv82q0CClRr
9Mz59CmXRhjZ9zrlC8BKdfdLqlNluGyCntwEHaI+bc+jliVfjAodDL/Y86ZFxSDNm4+xA6RcU+yv
Zg6plx8C8pu1yHjW2+pZ7FrMd3JadMOpDXq4Gyv1h7XEq+hfXzquYp8RwUZ4Ct1L8JWj/XUYKHwI
5yy/H2M3vs94w6Ir6TyVeXFw+8o/Qa5UHtRJv42NwD/5i8mBWuG0deVKbMnC+5VBULBEyWi5kmaL
quzpCbxHfSN2jqWMW3jsqRYyRxCeNdSZSn9Toej0Kers6doyR//aVr2JOg//GGX19UDttm1kHVuO
n/zK8285Ao5HvnXCPfwFGofytnUVeG73VS+uRs8CHKCOMNxGZgy7n539kVT1QW+K7Jvtsv/eVmcn
GX7kTc6DtJr5NAJeOnlj/6WvQ+uJFZv1FExUyk5lhwAW2lBUy9scJSqAkJXZ9NcmCKm2upB+qDTx
PkMAEPrCX+73gRD1E25XbFukZvUjDikpAfqa3ECQCPlcTukP/9sLSpZqR5/68Sl/6CmDo6yt2Ut0
Vzi/ouc+o+BICxxoeENKV4x76w4mMmgIKpsqRKYsO+lSvlQAoqbGma+f4W+eeXFLDCAeSuLi+l7G
OlmZgu/6PVde+gEMMMuQsmeOJpGrkdc+8ONhhIC94US9d9IfKlsJcF5O8wPYFrTXc8XYG64RfOGt
eNVSjbpG+I6VgSIpTtVYt09lX8LjAADioBlK86RarfIYou6cW7Ci8K3Q3WQVldXi/KcB0zIg1gBi
K+p5HIEo2GN7yhunPc2z0VxVHloP0hWHNJAwQ5XzGidX6TJCAyTCBMQxmI3/yiKOrTu4ttFeSF+z
iltNY7G45dviZFird/uhn8pzbakPbsmOIKeJ/OWpdAv3RhFA986S78F1qMZSZ94p9Tz3ezuJEdvI
ahdlxuRzWIT9g6Zk0YfAHa58zXM+ZWaiHm04/S6dJcqtAP2UiE4cxLuUHCODYD7Vc6A/wkP6YFIZ
9YdmsT1m+exfc5j30pR9+1PT2DnuFqyu2FWET0ENLXF5rjj8ApdoHph9b7P6GToj0OzJf870DlXC
bo47VqxEzHPpN1deWLyESBrDsPsbmDRvOUMve+BOXym1MG9DhGXhfzDZn4QCxT7NqT7sxiHkdCTI
Kvb03A5gIV/m4h2Nsat2Q/m1qIeXsWu61SsjusK9V0ojhjxgBBcW6QEcykAElp40gxeN61UMhvHf
beHilRBKdiL2d3kHgclrhwsxFvzXgyeLKlzrdYK2TtXV9g36BPPJjFP1hEbkH7YemFCe0tvs+tJ9
Z6sDSFvBlWlXm6M3u7fDJIHY7Al4kOXE+v7/IbgAcHnp6AYowuW+724+QTJzm9T6VejHoCahrf2q
gjW5tEDmnzPQ7E+D5n2sAHZ+naBS3iVW7xyzQDcfSgiYVMdJD0Zqftca5k9MS1+64D1H+BDY5b/X
f9nMahgWvXm9ubfMeR32T7ZkDpr7dhmapOCwFJbu1LAMzT4pUkhUlv+Tqa4mVmn8NGoYHV0YGUDL
IPr00EAt6QCxpbSNMGlkaN0DBdpsPnRFp5FZiAwqqtaCXqdH5pNF6T527fa6dHrj0wzWmpes6d65
flf+0TWf68XsKplxigy4K9gmNz5tg6Sr62jb/zaIcbpXacckmDnYLRooEFwtR+iir8yfY4kkTKB1
nPOunnFCtXOJkaazKHaxPVgp3N8dW/A6WOnK6ha+9V+DTQ+ygCzuLw0Lzp/STKwblMutD7mmFVeU
6apoNqIOZUT+BOObCWpn6ZZRaKD94H6RWK3Rtac6pXJ1GbkGcDbrZ9HwuCYbUGOwTX4d0v3/cSuq
nwO31Vhy5sraVCHlPGu3D++KxDOBz7yaXsPQCW0oPmnj3TZUriTYSphvZm5wuzmtLgQzLv2ojNfE
m3cb+iML0V8o86zb2zBq6BfGhAgHUrjeyeFEqJ4t467LfPS35HKeXdQaCiioJW4dgqqex3FTcCk2
iZMmiCEutyMmQ0nWdPt3Dqqu3txDYiEEM+/e3UccQdt+DXQUlg1gDRxAW+Np/bDqf/lqEv2hADm6
d6DcWD+0nJCzkQ/AcC9RfJn806CgiocDZ0N/1iMz2agJKK2ZTPPsmOOnqLb6DyMUKR8chDaNOl47
9dB87zIjPYuLyTsMyuzBXEtXZ1PsRnKt3r5bc0lPEpIrjc34g9wrS1iuI12mhboHh1xZWVCSjteq
wasZdkN72Fm7tNGVD51j8qJAyeFQtl3ycUCydK8pc3qdGWHysQc7fmUBa9+vQt+s8RAZbEw4vtH9
Vt2uhwk2RCdm6Sowtd11efdJhoJH6R/ZVbySnhvEwcfxSuLkRotO6ljWxbm2o+PsDMGDSYHk1Kra
Y+gW2iOqFPbJK5I7dTGJ3Yfq5qg7sNiJTcJ4GcCKZbqolS1xCbwkZwocj8VUuLvZCZ19ucyQ0A5v
niZdvy3LzDuLqYOa5qQF8R/ik0YGuVHh7KXLZ7x54vzuNkpcF6zv4FE32kUDooouVV99rrGmtxHh
KJczdenyJOHbLmq8l81yxO7H2t1/b83q+rLz+gZmwM6so9m66bngQiwU39/tzNYcAsM5PtR/REE9
7U0L4bCw6z5TSYacLsxC0G7p09eStb9jON1nX6HwwNKq+ipWk/mrTXz3Gr/Zf4+vljyImU9fW76/
38VL/tf7Sn7PNF7il/wOlac7w2VHvsjq/BTGqJL3i4I95PzUYqTeeEiyOf88cpodj276IbOj8b72
VNgUFruvoYsTZ1B/yyh9Lr85g1499FDgPofteISmqfhsDGxXmRMfXOkqFkDYcSg9lokImEMVI4PD
EPWoAYJk3hekLiECg2RPU68mS3OPTLyUszRVWdi3SZNyxvTLpKg1rzvpD1PyFYkA5FwW7xuHzh9i
P2ttiXqF8ZIK8RnO8mGtuw5Ulckq5AM34JmyT5bKTk3td9Edm3H5Jxa7rIDm8WNqN/YDwhVPYtah
rj9ObFdcKkCpPmUpHNywxM/wZZCD7d8BRGKIds7irWGDSMyfCXI/t+ZUsHKpWje/k4Yq7uWkRJtV
UAiLegYdZ0G1RUZWGTuqMww/vXOoWzV2/zSA6ryGlab5V970LbQ0iTXskLmh7ttLYUeoDJZjnEMA
ptQi5yHMLIeJuh+c9bo9iCnuXOIC+OTaJNPu1u7UFSit1ZR3O1OIXprXOg8SLflLiDb2m227h6SX
uACC/XPUV4fNJAOW+0ToO96tj7feZxhenkWCHadDoKSt76guf0xLrz4hJ12f8uUKHi7KVKSf2lMH
gJ0jkBtqax+3mG2I2Nbg1zRdmEQ3qlquA97k2+JyK4MhpW93RljMFL3B0YhoscWERSvL2wBBTHBs
cwBPztLk5vRy1fcZnjf9xb2Gy0gJN5ccY65eeUpv3ryzS8TMEmT33+8jzVwQM7+9jyyHfxWL6bBr
UXb8HvwXWWGre+Pof3yBPblF/N2aa9hUlhMAORmIJmS4EcTkm+31aMCD9Oc4KeMfm0muSv1Pj0/Q
/WamupNllWS0PLayzJNAzeK5gfGsSFAPWYBoGSpqDxECHPY8pPVlBNX3Bfj+/pYTLuv5n4Jbz6VM
aAlOPcR4tuA8PwA/UA9sIHJ8sUBqpIkqPTnynfliE5hNDfwKmRGqxARF884mXXHIWImTVP9k28bK
PYYCYjIrL8Jdl+v2LYLaIMrZpyxk4zJe9jWl76qQl9kckOylO08o9UJB16xD3kSn5kCViIR7eV5T
bJIb8y5cEv1+B8m9Dnx3hzWFGPVlE1XGkQYBGLL0vvpV9zsq1BUTUbm8ObV9yK495RZ30qj2bCI3
aStXnEpzcLk4Uh3ptvWyG6t1BBBBy9mZkKZdxzaSg/xTR1BPkDArK/1oSX5vCIPrLc+arB7QWm0u
Z61ubtLKY1FmdOGzNAUkKaDC6zvpSYSumC8RlWmH0GoU7yOyrnn+7/8Xw/nbySoiHq4NW4AJtNNz
9fcINNTE4q5sIAT1/D+tDMQ+kKbRua3KwQh3+UztZ6nZxR6NH+e2HihjFHfnLdStbyJVB25i+C0R
R6DQUhzTkmfty0BJsfbZQuFQg+2oi/U+4kILou8P2z3SxPxrcjvYKipVD3fbE4Ci+XWPLVqF8/pY
UxKasxkClo99rcNUwLUJR9GpNtSEP1f9cvXO5ivwG7R1Me/FIXF5HyHk1DMJYONLvUXo+6XRwf2U
qJTR78E8X41LzOaWK1PRUS4KlVK9dUrWrmBmhqFiJrJcU8pyDi0fsTExegOQCBkl8eEwp0fTh7UT
HPU5HanusFgGfqkzAKwaFPhQQ6vGh1aPDmOed19mDoquUiPtKOGgG+cQieuu97EOoVfL6+jEps4D
pEnZbWaDK6X66bqbq+y2nYBEKwOnxhd2l9KKFWkp06FYDkjranjjk4BmGWuV0NtYsCbuKC9O4ivJ
JffgxJtUW3+7lVxJjHil+yZjwymU5UPq8N9x27B39xCH2NYfQe4kxqBMOPBFmEl6q1cu1x/tjWEN
cPyMYvvOvwIAtOvs1vkW9wi99X5Wn/SZ7T9TT4eLsXedb5xWfNNLPX+esrw6NnY2oiZlZqcqCOtr
ZUy+213mHkI1zB8U5AJAsULPHhlU44ttc3Rp/j0OfWeNzbQmZysxKA6IHYUXnJ5lDxIrjiWvV1hI
uk6uD5S9dR6nJHIe+XEOQRkrEPXRo4ymfah8yHwtq40v2V3sb93I+yzx8TLIYyMN4C9MRjJAHKXP
DMDmCH6/5UXwreUMPB8OfO2392huXBqlnp5dFMfOWtsZ15E2f9UW02ZnCyd7061URDC0vMz3W5wE
Q1wKwYykihMO8x0HIMOSaosTZ9GhqAKtIa/ZHarMoCc5w7VgRQardx+6jftUdU1wE9VsOGXiZTny
kHvxcHZt030CdWgd9I6SXQmWxlKhz8hdcEzS9edxISpof8iAwgvcpwUDD6EOFLkSgRijco6N/rzl
aGZPZzoZadeKw0NEk9k8cG6NpCQ9acw8cHcsC+Mrg3SPgXZCQqs9pgZKfHCrIF6w9eVqa/5HjLgl
es2z9d+l2Lpy9a9xUEB81tIeVa3XJ9yGlnX78tSzEn1XakBGxQLvlEbRSguAdoCwkPTHRc07RI37
XUhQt1S6h5SOntBabWC2oHj8NcuW6p1NhcYB4oJO3W0OueXW3caa1edBZ70sd9nM662lz/8vxYwQ
WqwPuwUmSgc3sloU15Bip3sEpsprXZBE5vTSRdNFY7cAqFQW++l93c3pvWkozqlDakp6Yq+q1Dr+
91e1Zr5D9HN+pHqaozJDVCk2clz1dxAU2BqTnc5y+pgXsXtQkKuH11v/4vA0lz3loI9+lfXXatZM
R+ry4jMs4JReDtP4weUwHQaj0fgRIrEFWY75l5maaFb+yCB1okxlh5qEjX5Wlt2GSc+pzhRwTiyX
YpSwd12l73jXi1Hc22ixISIpmUsvmi+bLoDFdoFASdMnFCzBS71AoBQYAa4CV5uvqm78DgqM6bV4
tvA1ZjNO5vxYpEjNSghgXvTstJqzxKJ+Di10wdfd52UfWrawFzsK9RmQDUzSyDb2a/xmkqtXu+SR
FK/2LU8ue+RT2z5DqfmSW2Jl1GLn7Ds7UtmJnICNvClf/PmtNEr+6+qdLY5aqFSSVKGdMvTdQtPg
HBEKjt1qTBTbxVXOL5n+ub/GSm7JIvGu13sHSDx+S//6SBKy3nKxIf5R7v3RoyAyKKLbIVTCteny
CS1P6VOk8Oty80Oh9K3tUevbTNB6h7fv0oj3nY1S+PA2jvT8f0F5Pamj+G1V6GhMSKnyA0ioqxT5
/f6vk9Wa2YWzEXykcrWb/A/TrANss9Om2zWFWpzbuirOfd9/7PypBNKcp8m12JJ2GK6L2vsBI1b1
EuzD+Dgy5Rs/KmWNMvCSIHTQ1TZjaof6BnUu1NS18DJlDXxV67oPw3zj35XLValFcMpzWAOPXkmg
GMXtoBjQz950lt77NBK3DvGsEX7vkHDNHJNjVXj38eAbZ79RjbOG4hx8h8aPJNGm0xuThKDYBL87
Rz0XFYx8Z7FtY8WGRiDSliWvyM2xJpV+lv8s3HA6raaig4DiYrQRNJCszEHLS9vPSviMbO/aVTmd
8MwmvB/gJlkI3+bPo+8/oBfi/6nBKwkab/qWq5xX6dTnPNawxVzPNeSpdhq9DEqieUaqzH1oDe1H
khrJwViOGoEv+JpanIKOI0ixDHK8KJdUXec79Ec4fl5iJWZQQvukjMvxZe+6zPFy2Jh6d4SByiyn
5taPE4hT5FJf+nKlpJyuvbMBHNrbgZofxDm3DszHS9iaS/p/u3wXKhmdrrprjEmFiIoUb55Ebl9N
QUARdl9dp9QnA2S0S7asOIEACM83tN+Xd0xBZ2PXhhQQm5kKfYELqeSFhIufnw3GrxaSyT5wHttA
qQ9sQCUqZyYQy+soyMIl0UNZMRUj2CRXUQ8+uJ+1G0RpeNfYKSLRE+quS28dDPvEFFfoysgG/tAh
8jhS4rOrc8jlrqOpym/CKKiqAO7V4JCzpKPep102BOrE2a39YGTFH9uQhOpxNoSXW3/QKKV31Ubd
Bf34NR5TaGiUTj+pHGVdUvAwfR3a5itg2/qpL1P9lGj8kVUnmL7mfvcmntXJm3h1rqAWUcK6ZX+r
ubGNiqmJ5QDmgWRvcrqXJveLaqHUoj8og7OPCkSgpfsucOvqDgKVTc0R3bu4pNRKqBOXG4xtyuyX
Tf/9anxzG/GrYx1ddH3rX22Pst1hs7HPCfzP/OjPKM7kbl0/BIpeM8uHxRqiB+gngZusNvFGKSqZ
XmTedvaMDn2DzOhVnXAWJnGK6sF9PzuH0oXGaQ1pvYQ/+KRPe8kM+2P90KpVgFgldDla7NxYEI3u
0w6S37KD5tNrjM8UJatPfoYSRATr8GVgGqtdUd35Kcixb/EO8ShbzWs80jPzJVDJqjSbuxy9zT+K
5MYD6PFpTgY+YVGKGOlyYkuxSXnFpyq+1u3K/AT4lO8lNWpfB0mUHdgvg/JFHKlU9PaGQ3aYssyY
ZbxpQWEduV9mlUr9wvH8x6SaoaNS64mvuwBshJGgph0r2VPlqeVl6/vuF78aIXVsgVsWtvWMwPTX
gbcHQCtMacYWCEfvC3cnXSrE8vsqjm7T0FZ2dlu615Q41meIvKpz38KfBjscshuREvU7MVpxBWZg
qLQbBK+/z27nHrKpRGpAFn/xsvjbForrapHFn8Rti0KJrUb/bax4l0Wl+boAXYcbgPolVtajW/LX
xSrvQO6vvMb1qkL/NZ8sUmUZ+i6fRNSV2122ZZbvEyfjFb00gWanXB3qaXixQFzJO3hOYsAgjY/o
rMLvareNyEsX/9b/twyS0YbB9ZrfPFMtlrrZD98YPk5KMN5uZYSbSbN5Fy1dxzKG27UUcekOy4Ct
K+MVcylU/LexmkbJmAHtBudwcNDeRE7anwcVyO1rlarGAc91GMIbFr1WpAJFTi5Nm5MKsUkTp+5V
BtPT3Wr6lWgb9K+JxhJ8VRsbf3LCqB6LMHHu2NRmo8yL3a9RMC4ySPZPr2n/yrsh+GgA8rqC3Edb
Q8MweROqUNMsoY3FGekWmqJ9dNeA6tp11fQuq4T6oEFRtOYBIlRNb/gOGC63hcKcQeyOHry2lyVC
QnWOcykrgzerhzeLjX++lHxFyUd8S7UuS2SZIvmy7bJpoubCKHnRWTq/V7+YgWiO1rM0zMv/6EDm
n5M2tZ4z146vZoOjZXFmuW3cWaH2Jn6O6z+8MmrO8cE9mEspRVJz6Gyo7YOOSNjHyPzEaXD5yQYT
eue7bPNLkNuk2U3rmMk+XOotapTsd1aHZsc4zMUn184/ppDBPIRW4X6c088yZh7GlxSdonWHhlqj
6zZA+9YYzL+g8Lphq3H8Bvg7uPSi1Hxqin660rMW+qCydtmTHztkJQrlSWkaH6Jlx/pWM9z7NRwK
+On9cAOptau885QLhR2LJBj8o6ZVEBTlKPLc1H4FRWqS5w+r8TWGotjswU6BOUpcU3cdjC0XJZQ5
XkBpN5/eu9HRwM3Qy1RjvhtK87MRqtR5L76lt0Zm7eqTnqFzHB7o4X2KYtF7EOQYuNlpcQjoUbCM
W4jep/nJZS5QsYW/wiklTCLECSEx1FaGCXacjfAaJXq+fAAfUNwPiNzU9pr+xR17YELMM20rQCCn
/gFXU/wzpR4NnG1fP/eGqV/xSwhvO6RVzqk35XvwIm/GlO33tGqSn/EyBoYZzmihFOXlNCC/9VAH
CRxqZphfpcunb7D77Mzr/5ObWOazmNgDBRPVenfD8omN8oU5Mi9e4ls/XeMjMPA7GBP1vaGCEFYq
qJWXzxW0CcGxQ2wIuTw+dZ7e5xRZONGNeC0+dhfI2itn8XbDT4uK6Y+vKcSKLGFwZKbhQ+NJRq12
IBAdG44S8+K5H13lMHSWwYKpN845R0G7IQEQ3Y0e6wAxilsbY/PcUONAAYtzI3YxiVMalMTdYwVc
7p19i430wd61ej5fbndc7yP9JTv1IM5Nb04qerRT9UFt4JBl0wbJSq4CJBTfXykqyiri5dD95Qpd
xeJDhxoP4IbmVlsazjaaWydvWRBIf70U69ArWOVSQVDFKlTtID1pthT/PESCVEVpbtMIab2qyqqb
YGFK4IdtkN7svOvCS+oLjsKb+551wb1cbQ6JkxGbo8+KlxFbKgDS3rU4tuB399iCt1Ry8+2+hobA
vR5DGjtpe3357007J/6I6NnW6dHIZLr1sY0i8WjyLw9VxEfGzEsHrYt3nmVMFo/wHubhzIy7HYyj
pyTFXTpbxZ0Pv/VhaqcHYYjZ7HI19t5POF77AwytSUBJ/is9TV/Gwc70TXWPxBkaUgtHzeZeKWwk
Zr383T119ZNZaJoZ/kBFLT6gPjof49dmGpP5aA3NsfSa8RqUa4sg4eKVuLWvR/rLEIne3O/SSNw/
pxjNuUP2bbmZDJJQ6SZ9Fe2pG+yuPStA6YBDqOvUSZTHZpH2c/XkrijV+Cy9cNSahwatCQmAk0R5
BAT/M6BgKf0W69EdLw5YuZdPnJB2CFVHEUMnhTaYcSOOjb5jcxRKCrxZhjgUfK7R4zCAFN2MpW8a
N9LdchtJ9KBqOi+9uoKtAekvKOjgua6XxgjMDImlGZhW4ZzFDvaBahjpl+oiWYJC2rUEv3E3Xr+O
E1vZ/mW5+fBVU7UrKy69zxlYZnQYOmNBDeoPag33iEDX0Xu9ykrHfRNhRc3/iJAcBozIFzCHZT9q
qCIAwkAV6OXu0bQG99jr1svV3C3Eiltf3BL4zubnA4Rj4pZGX/LIVVAsHumvl2Klssi8dNsQfs7t
tiGSkvAp/f0x3tgkRlK8ueWbx3xzO4naGnliv+qrqzQtP4m9f3fH1bj89G8yqvVeaUG+Jl1XUBg4
JBW181E5Qrpu98fKc67E5kNLDEi5q87sBTgXvZNPl4MzaWdrYRAorULDi/QZmju3Yu8W58CGAGpX
g08VkmUdwyTm+F6C18sgcy1IkjQHNunfcklXGkhomLhzQoHq8pJxaSSD3BiOwUvoLLKDNXcok7lp
Zx+l6eap349ZEgJpNOCAQpDYvJTLLQY2Sku7EaOxBL3pF65bko5Scv6OS9I1fx+xNpxqv04fnRp2
xyY3IT9dGj+bTpaWOCcx5YjNPbaU3XUt4oDSE/sS1fzdJANnLaYIdRm4RG0DX9OvJiqRDn0BTIGy
TPUuQYnrkulRv4e0WbtTkYXQLyjM1O5gdjZVK71DVQFlrXzxogYKAHrRFR7FKEMkjVtnTwFiNAcZ
umaZtWw4aF7zQcauaSRYZeFNAVxSXL25HfVg9hmM6WqSIZK+Q+1u31m5ellpMwxPhWHdGGw9Hltl
mWu1/QRnoO705VFdmrVv9OavS3FJX0ZJVxqwEhl4DfTT5G/nyN+/BnuVXyTGbO6gkkV8bPmzTnWA
cXW9DXt7LTmkGSR6HaPyP7B+nDa/2N7cUvqLEhxUYAVc+xsaHvaik2OUJzEFUm5k2t2jnrlMWwRI
n8MCsM90S915UqOiTfBxegxZS1aowkhPfcp0TaW8GUitozxkNWyesFP5V3YC5bXYpDF7gLFaFf8l
vWIJU3h5nlO2G2XQFqqbX3OnMu+3yDYPngwr02+3yEoJFsmrvLyRMHGoC1uyPIvkF8ccZsq/PkuN
5iVQvXpen6PR0yBYn5lnMLVgPPmZa9yocYtqcekG9rGjHhnKxcBEaWxpZtvHJZeebZXIRC/kLG8G
iGvt55SgAs/MPoltkqSr532q1SfWrXlzK7n/+ijyVBL05qbyEHVdJ5ejk3xq/DDfaWNUfWknKjsQ
TsjuA7XgG7/1Poo9rXpYgGfPuGlQv/2S53+NVTl/CtCOOnoBBNAot1VfUMkAr2bXL6M1Xfko4UOj
zUzjnrTJzy9bW4lApljtcFvLpYrwC1si9MuEzZGsb/FPi3HzeMiaXcNtevdmSBtBkXG5xbwfvSZK
vfBPvqBTuKpk54XbrI6tb09RzbtgueN229c7vnnSagqbvd9pJadiBucOSx0F9GtLzWTFYp5Dumux
5UtNxhYi3a3ZQsqqYuzWfxdTwV2IaGXMVvaSUBpP7Sj/WFu5w+ba8ljwm+xj1Liu6xrcPKgeDpHC
XKdu1GtCBaQvkjijYcS71Q+jdHxve9Fw4zIK/Q028CmeYsWoMwHUwxpvGST3TWy3JkX5082sM+Nd
B6dgnD0K+w552sIEb2YOJ3UmlVS3MBN1CBVTBrEaqdgjoHcrRIdLCV6HrK1qdVl4tUa2QxPdqsnw
08h0d5+M7HRKs2ZYY/4+as2w2iVDD6d672rHt7d/O3h9iPWB5IkTlhe7WUlmSoBa3nBX3myND7Pi
5Odo5rAg+j/OvmtJUp3p9omIAIQRt+V9tRt7Q4zFI6wwT/8vJT1NTc3svb9zbhRSKjNFdVcBUmau
1asvQJ18Aulge6BJavy4t9Z9VcUrbmuo1asykauqhm0IWrvJwu0awAEXKao/13pSI67TACc6SFA2
PHZWdaKG41T9pCo5T2XFkYlL3WlGaWtViiLjLgKRw2xDPaORyOGdzJVmWEPz746Ud7KZnOteOl0F
IEdACwPaCO05Es1rZiLyBq2LqxpKMwQG4cZBBAKJeUhoJBE1pgnA/rYDg+asSxOkVxcgmNNRh4cK
lh8eH33U7uL9G/hRLsgW0HOc0sDdsxebecKkd3ezLLqDCdY7nFXiPb1Wb/FTl2yGGj9cEoK0yD33
PNuVGnByn+s+js+gddoROguYe4zHPACpO2hF3kkwuz2aZbQjTBcfdXSPFkYE3QLulmlutnvTfLPj
mX1E5es604oIwRgkWB+osXn72uszoHDNsiJUUFwkJJ3WTYx1jSDV0gStUr/QgZ5wzn1URGL/gD0Z
RiSqxua1N8twz/vADR7vNBnWZ9K4UwMvhrlCUjB43pT9zRJgavhYCdTHgcy9sZ6ASg6G1rLyXiID
nKhanY0HqwKSRg+YOzynmPaZgSCOjnZnXdChgJoCddeTbm50AJZzj1kk64eyibWDLFodbGd58Yl3
DKVjgIAEyKe3+FcNwQcPBOnOP/uYNaIGDLQTElyHCgtsSUCEzYMIERwF5knDAHvUhbSk+a5NC3Y/
2+g4MpuVKzWclWl2HpLnSkGBOjoqambb5PvoZSbg9X9L80UVXo1Hfzb9PO5+QHYEMLmoFPn27hcE
WuTmwLLkEvM+viDj0lH1CkEWf2UJqFh1KmVQwwwo1LvQ8VBkYQ+Ay1Czrxi8qpxBqZSqfOFORmY2
1Ul0mewXTq41GwJVGHA6uWE+UNVDA3VVh3ZAlaFeAI1mwmFIgcTIa+8Z55F8JfrE2VEEDNlDL57p
8oc6joOX2EbRrwqfgUU3PLIRaUI0/CejXgvsNQ7CItwKZP7s4gCdDnNKM86f62BQ0RDUeAuJHC7D
1sDf4ICvKbYi7ZwNln8GCJs7LoTRNztD7z6RjJpZJVXK/SA3ibST42Qw69kFiNNsxZAyy2ZbPRv8
vQ6yvskMaOfpvs68K0Px1ykqnODURk14ouEkSxHIbCy9XuBRejtBs7Py32yRS/IotNza/qMpWc2L
kTskivNtz9qHv7pUF0FqfzNNbBdH6LjzrOfZ+RJB2FGDWFMA4LCsrRVzYmerq8w0y+6tVdtye0pU
o1kaGgr0ah5SGtus/P9km+aRc8i09EfOQGX3I3dM8wCKHA7swLRC5tho725kNUoskd6IRwE4wFvB
DhI80FaDbBuYhVERLAdFdAAIpmb8NOCcYIzisx+4Zr9qGF6jMmSqg2lK6ufYQfLaohtS/UxjngAt
yMKpC4nczh0nOQ0Bho8zBnDoKfUWPGivljQeU7fbM+Gc/2ZJjqpoaDYKL2kRAfBxGbLGWVGt/E0Z
PZXHz81cgl/UA0BGjRY1URFgZP+mMrkJ+97cgzcYKdr9eNaDHPF3pBqvkroKr8CWf0JSbnjIxy7D
0YmSjQmwSDwnKNaVZoRXklEjpO1seaqBoWHW1hj+JKHECWLqO8EuseRT0FbhYTYjL7x27aUws2Jd
59JYgSQwQLKzm70Ug/uMWFh0oRFqxiUgpJDKTEPhCGuPHx0oAVmbvVg9ax4zKUGh3rrImqwRAP/d
tBgk6DuUrmyDW1PUO7ZkSpNvK4OiN7zwLs9fcA7Wru7MdTzsppWZMq96VPO/rey1pbtJtOyz5MmA
VBo0VtS+9mgoTLe/l5GK0Zvf7BG8F/9oGoCvBmldb55n96CrKP8jVw2E6b8XMHEd6PIedzxPB77q
n1B3Y1SYdoTNz7uxDL0VIKvZPgx8VFL9QuIxcIedMHlIFoBbgTQmqJ1Zj54UNIs3ieMEwUMyUokU
Yo90S3AZIFVnlKLDOzBYN8D8oFa6USdND+cqa5VqsJxdzH5IVvIgXbM4Fcu7icnX7OH+A6grIRNS
wT7p1cPfViKVeREyaygCGuDRCRzYRwkwYpyXsbMX6+ajqxqG1/89CHsAytnWL6BiVWWGCbI8bCBK
4yknUJp6pZEwvPYEbJ1ngK4hVN+GIH6s7TQD1uQvgxTLLWyQi+3Igib+wQkplJXGd7ixd1tklclt
X2vtwlYbN1Nt8Kgpg5QDtNbeur/LSY2pgiaJHJxZP/LL5JqjZnkxxla1myfIAHXx+Qpo9e5qdkcT
8/qsAKREDLoAcPXiSkjPNVDgoy5CjokEcT1tUjO8S6dqcdKbF5oXB8BBpOEVBJhWtOasQz3HQsIh
ghUtil+wEtIP48OI7fLW5HatwI9b89AJMJsC3FM9VtQYMV7zQMPesAfviKNY89DzMd+j8g88GqaD
ulVqSWlWN5xhXIYDgNyGoQSqeq7Z20o3HmiUYduMY1Y1AXpvuwK5ObrUoOwOJEcm399MxNiOT7Ok
EuehfyRZQsZd5Jv7AeAv3ZsX0kvBof3q+t4ECGLWARxheERh4cnN5FstlXYukoPmMfWqznSPILN/
WwOIt0O0Gs2gX0U1yCmnLBo5BO2iZ3mA195feTc4FREezq2Gbj/E4z7UQMXyDCQREIg0YbCRSQrQ
FlKnPBpkcOBcFjXSrHdYcekBv8i5FhxHpuDIU8BEGFajAYTc5flJY0i3WVF3khqavNStU+ycasxP
QyZzwL/OXVFWzQan/785qZQnUiJH1JtlqB27MJT8725Es1uLBQG222/XRsaZUz7w0Qn2XghEJOQz
IBs2j/TgnNvHG1FEqbJFyc5RGGabNCjAWt8HoPAjC2o600mB8JqmW18pGgk434MGOFFu1TLAwiTs
FOONZeoBuu7J11qw+r6JEh/5masiz5tTyT9xzta6lnCc7gNquRtwpJoZabag4Th2/FG3UFI2jOCc
JRk1Xuf0S7+SxXaW8bz+DM7Z6mhJDVCggwQXDh/qB9JwUiCGFa69n/XbxhZ7Y+y7aS2asLvGxFFE
Ya3ma8LJODh7kzDYkUrgAE3cD6xTCSylYzZq7S52+I5GQonsvgdtKOuS9qjlQ3OkGWoYzVB3cGKr
WFCXlDjoDxceQiZrMpwn5uG9CxpTc7MsvhXNTgUNb9YCOm34H09ilEDePYkN03Y83eXM455iYrlL
Gu9tBJoKszSfW+AYrbGVfZBy8L9jg7WLygAo63LEoTKKjSOk9u8DU9EO9u3FdZmIFkmZrxpf+j+d
WN9nvDK/F7n5CPzN7iur5FfDMosLUGR+iK7JLzrAl7Ad9xMkpMgAcLqoxuaJzJ8QLM2fKr8YF15Z
lntdz8QTTbT9NkQB9uM0QDLKweQ40p6NHI43pKgAHVSCFOiF3RZsB8o6/7Gyyi+pzYuj2SH5aZkE
uwDvHI/TnOnUp1gbngzcA4BiGQGsECaG1JEELzIwUzmjGy9D19aWIKM0N41d+o84aNTAZiu+OG5a
Hruqyjd6V1SrSNn+6R+hh6dpbW66r34d87k0R/eBTGb3tDqtoa467wABngAfuIw3uR/beHfxbRWR
cBgw13RLooDbDd+J1qpXddSAtdAQAAkOhnxTMYQEaQhi5HbXcT9cDQBofteXDNCRvmNiow3loMU7
qD5qHzVdjfpUPgLjfENz1PBLozP+Qn2/BCC6yA5tXxyjoeu3AJ+zDo1q7FIAa3BM8bZsV/hnthnu
/TQjqtFnSwQlMJ90stJ3NIdUWPtgFlnN16Q2dZNRfkEOtree/E2av1ab7W6W5LoZ5Tg/UsuTGFnm
6X/9Mibs89/rKcBb4VkuKCssGxUVdz+NELSqNRKfmveGRGy4kwk/Ak/pAyqCgm2Y4kXCNwFy9nUw
emcL3ssHXpv2EsGLah1ZevgMLNzk4sr+TKOeCZQ7N3jt83GyuyMZVxrIKZ40DCuInoE5DZSGOhx2
fqiL42t9/7AE8wW/+KX7swZQ4gdA1LNdVmOTTEMcf9YrzWrLPWC/kHiXdEggT4yrkXD7fcmXJHXM
hl8G05g8JLoBgmIX+2qaJA98zMp9WgBNp0Y66nQII8ELuCpj0JxNZzQ0zgzpTu+/rakomdqArSuk
Xy9qBZsHiOxjxrTuA4tKQECHLcgm4th9RJXJq0ZmoAKLmdEjq/VDqyCxrAHv92ZR/jSLGNwS+Iqs
igA4QZqvoAZBsWwubU/VKitMrV41IC1j+yJu7i3MDC+zExnM2HjlVssN7So9rTjpSbavKs2/UkPy
BjB2AK3UdIQjMDEUpTbN+uqLGovgNMs5kkoOeNh91JVWK6W55HGWoaqrTEGWGDugaHbLJ5Yk5ZOe
gE3Rkrq9RwJH+VRGw8L0hXEZUi17QAkCOEf7uN36uYGkw6zMH5ChB+RGJzyRxixvkt5dBKxst6SW
tj0DdKgN2h3kjK3APg6IHVGkp7wJcwA+e87Hqmv20uPx9wHAjOAAb6IXYBKP28ZSgEJR7D3iboAz
R6WSePEy8J36C3kzs9o7O+aQnoCtAGJr5a2AtwRwVd9Z7QGDQYTRS2prQAnNyu8Gqz9LLU+v/Tga
7yN8RTIw1D6LmgUvo2EtRZsZ7wPvZNY9tl4ucu6jAd9A1XSqyTuFqhihZoJGYC68aCN/1UjMJEZB
bpvuplnkrzMwe+PYrogQ1SUHNBNp4QsyLPiBwCtMhJ/0HrixM5RFEUlwZyQVA3SpE2gLIDWiCs9O
h6URJWqs2QJvc/5pGr658WrLPU8yP61AZunYbDu7rXIfB7mOtjWBp/oY+MilRxKE/iVK8o2rgVhr
DOPHXJbDx7oDjV4pm+AKAtFxD2R8T2Es3BuBJMj/4YTpY2MNqFeoHMPZxkP+sy5YtSd810AC5wlk
CDOUa+8iy7qvcVOJWpwOL11850CBG4b4QqYbL0+tK/5B1rXO8/QI9qALsHOsa1k7bJKDwDnfNGYA
Aui3CZoFuBIQP1Nfu3FCE01j7waA4pxm58h7sU8IJ25IYXbUlYCo02Rvgofo14WQiiHA0enkvQs6
+d8mQFb+xAGJhZ/er8vE/ay/2PzLnW89xO0rjlBgFoBHEizt6iOFVduvgO6jCm5+2dPHH0v+owK7
8P5Orsc7RBOxP31TL7QoPRh19n4WkYcydbp14HLv5g9FE9IBdoS0SgeExr/WnD4kl6so7crz/BmB
22weRYxKKvWxZzmrAh3pyUF645x8oHg9XZaiHu//C2OmH3mRGeB1+vUHzDwVuxHVav5LAWw03pQp
6KBQc2ieue990Vu8qmRVCNoRkoWdgW71EYmc3ZkkXVib50nDBj/eDvV7H0mGvZZ5NnEgOqxG8Fat
TFtGq8meDGn+HxeaXfjvaDESTNegLo56tGDF3I+zw75oO7wOhbjteUVyLiMcly5y433oAeuCRAwZ
kRFYMgHWWDjNOUFwq1nFUZCcMxliU2DaYLMAexgIM+YpmqfGxe98USXgb0VGHaAb5xnqSTc4In28
308rYycILCiaYUbG8BSrp1Hqe0tEV344npVu6aZPD4Kx52sDQZdrq54DuQQtmPVQVmN5KMriU5xo
zUPsiddGt8eHnBcNopW/5L1kCQqmXJyOkJqaSD2NXTMglSpJFyBHf1CNX4DGwIuQ3jJP0ErCrj7N
i5CBWqkNRqz0tnjgeShnVSuRN5oIKxeQmwLh4BDQG44nxqc08oYnZCb1a+YHAn9X7AtJFoT93sNu
4kKjHIcUB0CfZAsaUtMHdobXo7bckRX4zbrHwn2cFZDlEWyBkQHGc7UKNYijfTDaSJxopFWokstE
8kIjuqAiAngfdgVIvHwzinm+GHKk/JBI2ra5Q7Yi0meUBll1JbKJvTzMDiRLwJN77c1uO/uYP+P8
uV057KNU3n7GDHvim8/o23q2ZJ5R7shKy8r+ETfteeHCMIOtloThzWfsY/3mM5qhZZ5KuQfue+m2
x0p8s91nx0Qigq+gm5HohGOdSkh/Gjs89aGEYZX0Y7TKxIvBnPCIohyc0UzaZNjC385ktZ2cbWN8
qREGG7DxfgiJ8wi/M+TgI5uUhp4z6tdUi3aZYkDyFYsSnob9wmB2caChh/3LPm3A1Y5QtFcs9cxd
G0VSPGgBKJR0IMmjgM4EDKeyJXe8SHY0SSuQu1a+XlDd4aCfqs8DB9m3bghCZCown8rPozdhN6DS
cm0E8lVpgnBNWrtciKkEwZADquQvHbfCbe6CscXNO2/f6M2uDiWOSZSImsSIwpshqXGUMtzJ0zcD
sgIfGLx55Y0aYOfjbkFmtETSnhFaBFczMDgj8PlwHh8IPUvE+riznEIuaQjmOeMJX8hAQWmRBGho
bOGXenwAbiIAtDzQc93pR/kTqVITWQVqq5X/v+n7ZWeAb/XJUmBck/8QNC10PdwJ4xOP46c2tnxs
5FLDXjpWgdIJlGi6yBq76SPrwT9Q0ynlxG6HRRm14+pW6c9+HobaZHY7NzubFgp1F4vG1AKm6ise
gyjGccEbBcYt82irBHazDs2p0d96JKNZ0rsbMk+Ui5gZyMBXFn/To4l/XwP4S09DmTRbWra2B6tc
kNn/cBmkV9Qom00Lcz9/jL+t+DcZLdHoSEZq4sP/8CFmlapI8WuYPnLMxl3q4XTsv/+WQSA2pt6U
+1EBWhmqqRUQVqA2ushBODQ+G3Ykosk7NZqoCbJqto18Xm5RXvsyzb65m71Qj5aYVWb3fuw1i7wy
6/U0S+7/3Zh8WTpywPTsOl/J3dXOS1DPQn3FahhrvomMcGs3HAgGCssUZcXl0TSK7zfApaZEQScw
wDazjDXBNsE5/N+MBHjul5odu4sUpF/nXDWWrXVn0QAt07BAD6FGKJfsz2Y3Wt2KWfWuM8d3QDGI
H2JdxA9AvCqyrsQBalI+JqB7fYiQ+KkGJC6GLn0sj9WbCkmbbukJ5j2QHrhyy40t8WyyWOsgAmaN
i0zd2KhJVC8wS5AG/226NB3c3yp193RjFm8AEA18Xifiiqe8/zCG9d5whfG1iQcAXGMLdx2HWDvW
obBXTZ0XX5t0QQqdDjTL3OMNWIlYdUWuD9KQNFv/Ojhg1zLK7GOB5yWwxuxm32d+9oxyp59kGSXZ
19T07WccpgV7WjvXrI7Wdhj7Y+28j+wViuTmtYGu9ro20LCra40w3tJo6ujqukg9DioAOuMQ/Auo
oxGvqRp5TcsyOVhGjnr1OhcvTmcmiyBB/ajRmZMuKrEZADWjV13NtcGDrvtPlIXgSwDLjVHi7miY
4uhrJYIateVjA4xaNTsPhzpEvONNebZFhpi8NL3mA2VfiFXt5cHnXgeYBGcmIC+d9FIbKUdyGuQM
gJGLOterC+dcPkot+1YqOW7nIPQCcvMR+/7sHWA1cCgBeek1fC3j0N6lOFn9hLARiS2QLW0RCgDF
qoPCOqCylMt4BPe7h1r8lSWwxeJRa1/qvMvZAulg1VkgoWEa0kyqtC2GCg4wAWsIvytFmmlRdnfM
PeNADklvmvUtQLH5BjO2gP0vOEDQXb7D2dKXyVeVA2J4cKqXsjFBvBhg29cXRnAsltzAkUvbRM2T
0UT2TtaFt6AhNcDO8MFRnZg7Ty+tVRa75qrxQnNfy3BY0j9GAFl336ohZYvMQ/o/0bAJslvl3gd0
9mxLs7MyuaJZ0HGb+//Btg7SVSdD69FEBGnX2Tze4kip/ih7f5WBb+MLao+TlR32+mkMBY6PgOuK
jDZMaHbxwe0d77m3U2tfAHhlbabC/RwNyInDvOjA9u2nXQAmuzx7inu2FlFwAdrO8Fm3XbyMDzUD
kpqZPLp5DTx4BXYg8iQH/Vr0OmGmCL/QRBME+WTBA5xCMdQkgHiEFSwE+rHOQO8CalzqUWM2Vb8q
GgEO2rcJMB7+oTcpJ/3PqDS8yROp/c3npOsdI68PT6Tl1wJRV5LPDfA9tC0AFl6syGuQBgjKNws5
KS7qsTrgWfrGLm+Q5bPQk9a7RmLI1nZXFasqsr0rNQl+6NdRY4/dWLiHWV77pXGUujyRiMypl+Yg
5MahqAmC1fjaVJ1iYC5LfaGFiJmYTu4lS7s9l0CowilonIOVJwStlYny+mmoZE7QMtBJjt56lnV4
C3S7sj3ZKk5iF1l0ReL6ZlYItAil07Fslx24ZPeI+AZLyy77I67eRxZmbH5qnBCEQAFIvmphtg9O
3SCe1hvGp6gwshUO+OJjbBjF+9zXViTXRyveDmGRbwtlX2EDrgV59z6Lcu2QSgYIMCV3nTBEsRkI
O4DNbAGDShcLESs+6wpY4ukIJEeRDeJqtLl3DAwX+RclZ59t2waoX5V9+//TMJQP9puPpn9sSsTn
iKMqsSskJ6VIqUXsQ7FUWcH4ibu2vdHVSOfpz/9ALPuDQlXHnp65OhCXGHOAXHYXJigyiwGtxk6e
25ptMiQPLc0+7987WmBtwlSEGxsh5/eiBuekD6DYHc1KC9DZVWrg5VTN+n75UQCr50qTYjRX/hB0
z2Ls/BcnCxaTuKuxbY+LBzIZ8Tg95VoP2rOCd08c+x6kFYLBMSktnDT3xgEP0/CZmtIq5dIv7AT0
NJB5VmRePJyz0YiMXGQ5LTXcaXZD4PUraRTgPPt9h9QaiL0hBWLYzBO04cFBuahX83RFLwy0XerG
IFuPAbY1upeUxyZoy6NUDQ0LrwDXhBzsB4sZxXZWod6sR2Yk61on2mmDeZh179Qq8knTfGAPeJC8
Op71XpdVl2G55Ya7rbsDKh7SMueF6JoT3Yk2hRmNVxQMjdfQwLPQckKxcfSojdehJn4AyjjGrRcq
s97YA7HAqoaTmfrusul0fw2msgpbQc3ITgOCDWPb2ZsSgB4naqyQP2Hjo9BwA3sZqTpH7J35QfNs
fcuS/DiIVrNAkoHSSZw4ZT7gwKHTUQ0mSXMDgaDFvcIQgJdzR1Iy6HG6XsvMea5YHZ0Ryf2SI8f3
xSqt9MUDt0CvB8UTiUSLnxizeHaQqNh7CUoOCg1A3bGOhw+Gago3bHB0XDXLru/DB2qCLo8etIg/
ijHyUV9v5BxUZDI8IOvj050a8uY0ADi31//4ObL71DIDl4UUYNfSEc8G3s0dVv84CJTEowr4GQiA
7QkhMOTXs3rvIU6NcL/oTg6yaNsFjd04R1dY4AsJLaBAzErUQ0Fad5p0uLKczJmzA0ZTvafRLJ9t
pwXIa+MjF+V+VXI7q1Pv7TqLDlVdgY0y85Dzn67wvZdUN4ZNZpfjQdc8fmEIW6yA6u9/rlPAVdcg
yIyhauk90ulLPmwQ0n5V1TUBLneW+J+NrFp3fuZ8R05UZGe62u64qxkgJ5F+/OCtJ8AbBeNKvdyO
rUmThoSJk0rsS141JQHnzFq+5l1ezz4k2P7WWh4XIJhD5JMa2wzPAlHGC40ce5Qo53HEpBGqmGmp
aac7DaH5YhkPBdhr/zJLK+DcKhHAQfnDO9kKSwFQODwB3tM7C/wXyTIA28HBYwGehFoYPLl6Ezwl
WeCu44qNi9AD4IUEiW06AuLPj3KkoKkhsdmKPhiraXzTxbtAFK0qgNCCvkgcSL0HbI/xSN2pifp6
6SUoxqFhu/j3bz4z3T/I6m0PR6em55rI6jBAVvE7AGCXclEDdLJ4tgzBD74tLJSDD8YqCZscmYKJ
eaWmNcR4yj1nE4Jc8jqpGYXmb0U2NgsWS5GsezfuVtJGfh2Z+H77aoyk+xwlx3W7mx3SrFoImVp/
LBQk2Ci+mZMRLQYM/mZBw8r5GreVPFGeI+VDtkUojgn4vUlEzU3ip5FbOc3OuZMTZyON32ZvLNgY
A6CdmSAWVpWRDHx6yB9QXeRzOgehGupxRxVK0kymA7VOD/nN7Eh1kagydQ4NFVuS4SQl84FKLmef
ySjeBTHS2BEiF2dqht5TyPpWs/H1UIunGWGC5kkM3o5UWlLuXa1ToXVxLvTgR2cJcA5qcttFdopH
aC8ujWqmYgtVsaEmmzgC6LWSm8LHUUIDUJUuRwGl63vjlnIFWIoHUdfX9ZmGGY+XOC/yXnpgcj4y
nDaARAQJBrhbH7IO0EukRT60rtYnH3Gd3PoYxwRswcx7KVzUPUwIdKwH+VelAMmpIcjxIg2rNeht
EXBSEzMMuVM2AxhpFIb5DF9u2L619P0aYGvIN18PJXi3+9YB2h9ZF2++75zRkExitdSdV4DLYinS
uWkqC5SWiIqDv7ra0ycuBv9TJFN2DWzNfI9bJf1ZUKNmX4KqBuK0SsMYdewl9NqyV4jsZVetCWsc
gPDPwSjzT7afIou8KJoXHUQOOAnpkocw1rSN7sb1CXl79j40eLLvgNpwTvEitQH6cPDIpChX6Zg3
76yiNRd9nlSfE8N9acB59yNoKtTUIxy26D0f+Cxt9NND6hYSYU4RymaPFCbO4gCn2BVSmKagMACt
rQV+YPGeAse2W/LHNgNsBAhBySCSst5hRxTj+OIXSSjQE79h+87ADtu7YivFMKyIXie0eISk4HpY
ERdPYTa3w9ys3I3pRdlW+l394hfAScXhzTc/5x+xL7BebFH6W6Pnye53ha74BOwhdqyIClJ3weEI
jvvozOKvNyJwCYtLj8LGhdUimdCOv8ogANPKoOcgjh6+0nwMaEn8bcCmSPcDcLl6NYBPp7uISsOe
KFxp/Gtyulfc5INjAqhtr1bzfYaMEPCwADI5Ahoh0cZNhG05glLgPVoAECg/gfNVnBxUEpeIPBwS
mkiUDs3muh6swf3n4GUD0Vts7LMeDATIXyK7sZFcP1OXN+Ba8nVr41pIKQo1R3+X40+7yATPf649
p85+yr6IkR2Tj+9iyeo16Hazc2oXHGxzsbYxMgtJbviDAxyQoa6iqssNQYWaFVLwbHkKRkVqOIOL
VrghrSqjtJdGj6PglSy6tZEBoh2Z1KCGNRVq0NyMCuGHhjhcGxcRwJVXJevHV8W/2tzM33TJidNW
P2vmdgBDTH8imX0EbQLgn4868GujDdPC9Kj5EvVUSkgNyeqwqdwldUvqAh//CoBckLK2Hqp9y/Yn
cc0MmheZmzzRUMLKwTV2avKlJuomw6uUkk1KYY1u3RcBEkKbBULaaobmJ3vOI22fVYDAd8Aqezvj
iQJb+hwVyYoCLyYWvZTaP/v1yLHZCBQPnlexg2aYEUhWXaQVoggGuEtpWoLgXk2ncb6t40geOJg7
8a0WPMO2zEhWyMxkZ66yf5Fm4Q4LGust+Iz0KMQBX91X21wweUyDdpV2LR+Qm44s36kbFi7DHsL2
FtM4JgVPKXjg5V34jpEvsFMMl2wIu2tb1d2VeroNZNXRRkyEhh4eTc5Ca/OfAR/8HemhSA4w0Lk9
PMihMg6TCmkjqXYDdJ4eMOK//JFcA/1vOwyXWdxkeISVxbfIMeXN6mbl5SfkvAASuw8WRpOUC4pr
xWlYXKxIPFCoi+JpbZg9G3HlnKdAWWc4ayDwDmsaChfwaVVYPpAqGb3pkygFxcjaH9weXF8InpG+
8u8QdQ1LxTPgE199J2++p0AbaHzxpm055VdTi83lYAxyGXpajxMpVGJQ0wXyMOLo5DyNgK98cSok
5ysFKrXQRO5sgbxVIuvhl9E/OSoFeNbICumokyO8zjorht3huvWDndH3NtLDgY5CjRL5TW6fCR2F
sFWUqCg966wN1nfc7HB1ClEl1rUtV5ozMMvv/thQrlvWAsxZkTmkRYL32xQnx7RZoKasdaCV+uUk
IvxMkqsqv2UNRNuNJkeXLwzhZ+cEpI/kabYnn6XSmzBDyR/OPTeNwzSxBoz965KzHakoV+Rl2qHM
l3anp1yNfvCuE9bFiwt5dJN2XbY5QJfEADKJ1OTFwpbCA1gC0t+PLPaBO0fdSUpGNFaWfQ+4pmni
xujVi8H3OmLqR1uRi+Kriei8n/JtZ8kuxMbj11g3O4TA61JRixp4V0RamLudhKHdnvrMApNKkbxL
Tbs9UMZi1uhIahxAR9Zx0NWrTEawB77mOaYcL/L4PWtTiuM8ERvVLqgNeZpF3AaYAmvdL+TDGlAs
s2hNs1l6Gi83tIyZ69gSgYEDdM14gjQIfZ+o1zp1h4sDdzKXerKgCdvssL2m6alrCdzYrJhFGxLW
bQeESkffVcrN7It6d7LBauqNr1xHgN7AgWfcofzWQv3umqVufOS5lz24roELA3rMt6hL1unvGo7w
m904lOFJB/jNgpmZ+70Inv3Yr7+xhOWAE4wZ7kQFku6DzALoB3efqtjuAH7KnDdVZOrnOP/fNB4i
bt4ibEp3VdubeKibr33p1iu/MYIzsCuji1cIvmTBkH37TQHwwih0cozra8oCKHNN3C2S8SPicuBH
q8LvwircTcG0nn0owuQ76AXcDbdxALxiLqtXg9DLJSn7vgX4hTc7UqRRpjjSQPT3a1bOXeUxS91h
08XrMXYHFPJm4wP1suA7kJiKKw2owVk/ilndqt4GSmtS9WSy68IYjwJlPrb9+DA4Xv1gP82uSN2I
2g7JQ2O9mzV55CbbHGmQ2HikwPDUAQCJwhoUpaoFylZWCNqkOKVGPrXcy6jvUYSBqKWruNaowdHK
a2/0eFos5pm7aTkaD+pNfXsnp+G97ex19kcy30uHlZkIY6nl7hn3l/gk8U7mLyzT0JdhVwImCJAw
/sLoRxfQdbmzmMYWjjQuyIDBblqp9y5jD3WI275yQSNqZjeTW4B0vLppmeYgzxsVv7rCGJQoT69U
nTrhiDa/jThK/BxV0U74o4nzqkkjZefK+rmvpdyFtYUbdhOhiFb1AH46nOMKOI2+RIYPTZCMZqnR
KuglCDStmqZsl7ODO708yGxEWtxuNdvODiQvQBCUf3CSGvm4fm7ualtkT3anZ09Ijl2iTCV9IBGo
iNgxbgFWFtqLInbWwAnn1wonr88qmr3NRpxqOQwsYxWLQDVW8LVjNfxKolmDDEj25mPWyLvm1ceb
Bvn42yqk8a+rFC1OuE3RFai91MXFbcP/Y+xLluPGoS3/pdeNCM4gF73JeZJSsmXL9obhcpXBeQJH
fP07uJTFdD5XRW8QwB3AlJQiwTuc89VBGdeBVj1ygoC90Ap0Lc6KxuRA1Owsf1eqzliD4tHc3LyW
zK8jss0MAHS75mZ+MXETkLn4cZLHj6pJ/L2I2n1koRkOJKROskF+I9yy3BVfkRTcpWD0+gR8ITx+
C4fpf7LoKyiz7fVYhOO5n7zitUyAe6nlg0gqAP2LZHY3lYpXTTMAdUA53jP3u0+0bT5k6c4Fauqe
vN6vwi0HXEaFD3hdffXeBj2y+u0qJKer4OV5awXBEZnMryrv0g9hH6cAUAvYtsMr7IaWs0JFaOMz
RuD1axPUpT85QxRcWv8HgMTdJ5KOXWqBbST/GqHeCnG9933m9SiybhXVlXH0htbbsgBp5VRGTznj
5kvRdvHJ88GYjLtr8T0xR9xIQvF1Go0eUfdQ7bvQdr4g3L4iAwPIiluA7hSnrOy6FzfIn90kzL8D
dUut866qHpgwR3zHwa5LiomBCE35hvMUBwCFcfp0a5eIMtRKFt9//xgmAmpbkuuP4SPGfcmHYdg5
vjgl2aCuHH+2j24wtJsCLa37eTkYERhzXbmiJYgSQpxLP0Y8cT+QpAFJ8TrN6/ZIS4liqgNCPMOa
llUaO894Y5xXJJpcIMkbBsCwTXflDkP6aOuBZqz7ewpEeKEFzrdvYqsEdAgbgdM0Dc5xkZMZDbI3
gKrlDcC117Z3/gy96etY9sFmUSx2LMeZfWLAq1t2RlXviNSqCRhZ7lk/lwstJgz/j6dJouCbPl3k
Tcb847Csjh7j/WIZAw3hQYYzHGExFfII6DeQ2IECKVova8f5AUKDFj3pZcVwWmMZN3c96xoctzRc
ktuPYD8wG2dDQhqcRPrmLsA7d1omW7QPoUAWx9bPTITbQfP8htzBi6SW89/kwoec7KWNcP04IbKj
nYCuM33j3jQiWSHHo1+082YkX5zeL1Lg3e2cuVO9j3WZr2NXR+l65qXX5cIkGkNZb/HG2G5iXVlM
siGq68dR4D6fKGDnkCyuJhN5XRBcz0ttzPMBp+QpTlfgbDbB36N31deI0tG8LHYyLuotilBwDf0p
aAgao34EaBZyXRC5Qil8fVAuFBmDBwDt/h+04SIF4fbBc+d5H0svRitKxNXOrni1ZwpWedk9AGLS
RGpUAco8bh+CFMjidP+WeT4eurEo1+ZkIm+AwoqHuOXpI93J77XRVN1re7cBzfUY6Cb9XzvXMrg4
RZldgqFrt6ZCL3ivAcInjRxOs7j42oYiunbx+Caue1D3LqZkJbJJbDPF+boLWgPsGVMMUjk0NAwr
3OufHRyrDp6mnQvaXMX70UQwwncQE9R2N8Y8Vl/brvB2Gc4LM6JzKTiIXnoEDo6uMDcuYTsTGvPN
tGfJ34C4NncIKPUXYNr3F6MuzZ3hdQInXcThSTFObdjOaz/M22KTes7nJK+nPbmMMcC8xLHiHWhD
c+cH8AIGYEKBZZ7I400+yfOQZbhbWKB6koF/wFlseGr1MOIbto8MD4RWekkKpLIKHC5Xi4RmASK+
KzONrP2iwLbDITDxdPBwc923qYM+hDHbmAUHl0QRJyv8N8kEpF2bNvajdIXacFPJDBIURiLnjj7v
BvFLvxwyzX7N943XWv80aXUZg6D8O6uc57pn/l/lWHxxCqDRlw3/xxma4ptnIsva9naAbyPQsxox
yXXI0nA3BG3y4qP3m4KitFIoj5Ao5fr0rqP46bJ612nL/z+/Jo5XnizkGekmu/5LRUgmS4SkAP4A
vF5NHBPhRWtd5554UIUdkjztgzc5wAmif5X7AGdd9nEddr8P7W+KANRCY7JnTnylOid36hL8q8ZX
KqDievW7TgTiSkA9ZKlXi19qplcqnrImN3nSumwc7IuJvt61AqrBemJm+tqkQ7FCT2TzF27X5zSL
gU3bRVuwdKHFTaH7si9z80ceoFnKUfUXPPWqNWPu8JEBP2AlMtAVDvEH22z9L2kzBmuWZ9WT7TQF
8FSn6dhmfvc4ILW2SdpEfS7D4h8Pz52f6KoKo/6n2+Y/8abefe7DgG/Q7pU/imd83XH4Gl37yUBj
8DovLe9VetN3fbP+CW46lPQhS5Cl3bNyO/srH9x6zQE/+UH1Tb9LnCC/ACc/xPnDvt3HdRL+GhTD
+z5mP2KfGtEYk3fWTsWtOkQdKirBp8S/imHIQH6EWaJlAkSqXxftMvtvuzvtv+5HdqimQ/dh74HM
2PEB5lQGGYoYAFEmQvN2uWgbDY3WNO6blpaLltUTGsRSPwSROFhCjojbN6e6AfICvf2iJhF4hSm+
9kj774mwkwYE/D+hsJCdFw5Pr3sQY8pwQ9ZEoZ7VPfBWneeVxiTIAdB3lDH6nW58hGluRcOQ5dZe
pCgNnq3pcp52I0XfZ586AB7cbBfzC12OfBpP9KjrHeeP0wJv9WhOZbqyR9O5Gl8FvmdX3wRwLAl8
L9MUwO5fTdKjMphkXYHvH5L50yaPJEtBP1/+nAAIeRzbJky3b3twlcR89e4/my6uA0MJmafaI36i
9EyDowPnHoXTBYhZzrRe1Ep4CLSHAEA0VWkfSLHYFa30T9JekXg2vbNYdqLZsjttcifrATeJ8Ejb
P3lRvaEADL7U8SppxPgSD9zdBX1Sn4TjF1fkVvg6U2P7PWL1hiIweesCcoCr4aVMY3SFgaS1FABx
QHqsTFFOi2k25WgLKwQyh07jzWqSkRb8qOmFZp3QtGHLOorNU4EUBxo3zS9FnXfzTNjV2yzWs6Ec
zS80IzvSglbM/HJnt+xSxNUJXEp/c6BYrfPcsnAcZ3j2UnQmpICOIyK27gZmzQGdOcqD5Amq6QQS
rtwE893Uoue2zAGD4+olyZzK8UCn84kkNdCWZrFRNwGq0EDGRYoBWfnaNeUD+QQZwpmRz972Ia/R
i7nehxZxX7ygEmB8Yc/EDjJkPFvVA4h14pp52x6IGJc8adnZyM0IsCLO9FIVuoYrMM1/2HOlKe8W
n2bM+BbNzPJUDOAY03UgIIdWYJv1+JGWCg/hi/Jxz550gQdwXW+1ANMA7yzPrsTTbuf9C57n5hlk
eGAt6lp8Z/RyYYsvDHUjIicJK9NwjLMrK/lMptqqbvtb0e97cZlmuzoyzU3WARGxAcacykT9VCOa
QyscuOcVYXX6RTOvXI3x+bvl+4p075bI+PibxCrFo2yqJ0N18QtvXXD0hmh8D6JcfdPytozjl6CI
P0d+lO1HIIs8lky+DVOHpDSisQA5GwQzwPL6S+O5Hrq3QYuyXmSLM5MxWqTdJJ+1pED5e4A3KhCH
7TKZBqvFGveEt+uhXGvYTcFvVyrTRB7RB/0x53n4WFimXMdj4m7nZTuCElIrnHhwD6GQP+7ktKzw
PI4Q97oIV1Qo6w7GgwZIeAJ9M87wMWtXtMT9bHqiWRZfgx7taSSJXIgnG18HOSEytJhOLBsPUruT
yY0CJ1SRZts3gpyqzT4lmiRipnhA5O+xdIvgFGmZItoHF7LGB5HLDTXEuwyQ0z5gCMxvroXObPBR
nbnnyg80tEGAFuehB0bVu8x2ys9+VpQImiPV/rsTiSzTfnOS+B6cZeGhZGFTIhm9LipUCeCPYzmX
ecoTBnCGvOjXN0LAqgF6L0CTFk6nziV+H5hKn62skAcyNkH5PCvvlqbZM3BsBzuSk/t8tbvtlovH
FsPnIsubz0EXQPrnOcDb4i6r3BHYa8LwfVSduu6G2V6wcxDMfClBUnOqMgmCDb20TDf9kIKcaSwL
YO7VsvnSsaB7MJOheLFd5W4mrm5dpxDdgOQKIgb1lHby794xmsvEZf/i88napGOW72nZGT3qAR05
IaQNrQ2Qjcc2sp5pRYNRfA9ZGH9EiRP0ONeiu/vXZkXtvG2WSNG//Gkz01MIAzOG1zuFghxluqhS
wDfD6CJUltWhETzQOnOQwXT90NwHTo2I8LuCZiUL2G6qcdO/cVauiS24RLiEi+A870j6zkSxzcDb
fBfyRiDEAxaLaZJgMnBjgFCyIkcRn4+GRACVpQ+2Dzr4laOnTux8iC2gb8sBNTho6IOs1X3WeFA7
ZzesUTKPlRhMuz95LQCueGTVqwrltQ9kXEV5E+8dw0JINxGgKqfLzFdQ9aBpbzpn14xlc1J5avWn
BghEx064x+Va87VxFMq3cWeGq6QAiKzZuFer0jW0aIHqVmZgaJIIULLSQBpDq3n+d4cU97kHM2cH
DhXtoQcyW5Yo5YhWosFrLtgQYbhs1XHwN5a8PKGwPd8nQ8VWjuCINeohEUP2FHb+pTI8XUr+S8TQ
dLkf0OO8IovFIQS/mNMmwWkRlWlvHJIIhMZ9lOc3+3JffKuSLD6FmWf7aLIA1sZgTT8tfRmRa1kz
gcTWcf3i2BeD468yHHlPHTBIaHvajz6AL0Sz8kfUU9KSFDkKks+TPz2rNMVWJPNbjjgO8tT7ZYNc
SHYOEvfctl68VlPW7ylPXA0N7rSAxptjYSHgT65AOgWlbI/bLWn1kmwpXewBrpgcZgtaToEzW5AZ
7bFs+b6HO0wvqRUanwcbsdNeOtFn3qfonXQ640kWI9sh3C0uZSH7U2z0xcEF1sKjlbbFdpA+/4hc
PGIJBnO+al4/cH4O39I8LVeeL8edGSfO06BTL1EVu3tTTEhqUj6mK5GCd4tu29SR3W6NoXrgfMov
s9b0QcpFOwC0DtkbVsK7YkB9NkO8ddnTaO+QeJXXm8HCaX7qsnAnAoX07TR+8fx6ANdG1KNCCKEV
fJbuQkuakazxgocSAE7o1BR+i/Ie2M1TMhy1c1/G0cGoiw+L241JLqvhXKI+RCJPi0AR6ssMaZRP
RtoCW7nj0V9G474kQCl86dIgPyZN2+36tu6/miICCUy5qes4eO7rqHgZuujCfSSfHaBQvsS54yEE
ZpYHUuYTcIemFt1SyViicHyKoic7x4a00g7v7mRvtwrIrnVaHSKE3hGERxFunfCzjyLxD8gQ+E9J
Yn+2lJl+idrE3Dddwra0BJu2XKVgEH/srRGQEb29crRZiSqOs80RtabjOjoP0JtoRbiCjdaPC3e8
c4877VPf1D3qnlL/QTCAJpOsBFDeE/DfEImUiPrTkhQTw/0JSEbfcm0xsjo6NlnyjelCTyrmFFUM
ThuXykYtNXkn3P4bZ02VoGQlMhC61wyxsEJV0kEnBVxJPTtNqAUJtvM2tONiQDMaatr0z1cpJhtx
CxDNpg8jFTcxF//dekjEGJ+H92XWc0AaWUWPWxMUCYuTc52UNfjUyTr2fk1TRJ33zVi9cj/xDyWQ
4Tepho+yhNeBCBPR81gvkcn53irZXasyEK/FZ+bJ8lX0EVonzeQf8mDC4DcbFBUDibjegLSTwecN
hAOC5BBt/mulm0ESarlgo5XtVcCf0fhdn6UeSEvDnWz2IA2+QHjtWCxnod6rQUH3Ip9deOqcgOHp
7yO7b721j5thuQqmMTq7NqKeqhrN7SysS+TNdtnUZ28Gtx7znPxmC38E0oIBBLE9cNrOb7Jlc1Lf
SufdUakZnWmXec31B1k+jQQHOA5KsLnxJzWtSTM7kpC8Q7ro/CN0niG9dY5AWJQg+tlrfK0uMsYn
f7I88IyMjzNHDslCF8AXAIE5zzI5AY43BkDVptVu5PtvbkMhnTNZkO3IuI84rMfRvYmL0RD4zDuP
rnpcRGSrr0ruaA4xzuAynO+JdOujEDTd+Vp0j9sGCLvv5KSkIDXNyMGtXLVzeRzNIetFQb7LcvFN
2u47AoXpXhUF2szvrrFsn+JOdkR5M2qift3FZw+67p1b6nUgFs4RnFw2WH6gO5mDDlzQVh/uPl0o
PXyexYsu0fAakGjIEM4Pk7AadxLlVJdWpyCUiMer7x3m/ALqhdB2E4TdBkXAKditcOYGHIo94OF8
DLoSWspZLCbkVzkJW7sS7Gv08IrQw7bKwXu1pyUN9KQLAd++SoMUIXn99Cu5y899UfOV6Q1XLxAK
qLZefl0GnyUo0YiMcL/IaDZ5ckTBGPjJFsUAitOrqZJiO8ZpCPBPLElLiqrDS17gATD9ziND1QrK
qYtPd3LQYLsXVUybZQ824Pm+8pJnR4nqkbZV8dmuhuzqiKoBTVq4ycIuvIJgLbzSLOzaaYtEIVtP
xqBy0G8YH/ETq9NiV8lanZs6uET2q5O1auSnWiIK6EUtGHBCQHQ9LIPZucC3MDOGLD1OZ3vSAJTZ
PwgUSYS5+2Ycla5AUrrq39YAAHvzIw9fdT+qAWCEpgkkSDBd2dsqEvyIrrXq0uM27h4dry8vtPby
lq1RvmiuUd9bXhZFZzI4L2tSB9JqT45trCuhumyDmqhi43pVvu77ADHEUE7I6qAY69wpoEkfaEpD
ENvGMZFIB2rDloUwpOliQjPUp/3awu7Tmq8X/WLuDAyaBPQaKLZyjmQyW9+4k1ThuYG+WP2JyH22
Ao1meibhpIynKfLwpCHD5RIM5aTBgdbzTyVwpDFRL7fPOQ4qzKgHvLyOnnemgRmJf8qsV1I2cdeg
FQj/lOg41SbSEr+msy4zwnInbOsnqd1+UsD90ZbKd7ZDgT+QnaT1xdWDfjGZhw5HRj+uhtOdvEZN
9o3Z7KBlI8poV8LzO3q7udztCYSgh64L04PPc+cs0asN2DAT73YRWLXOYPvAm7YYTqSgYbGjZY56
tRoFifC7UztZiWamqanXpKD95q3vDBdnslmWDb7PGYImaHv+7VPd7EIepCe3HAUDG2VmF0eg2LrP
hulLjH7TTVy04ynu4umLVb9KVmavCfDgLkHWZOiDgBjhqTcrjn/biwJ+xFr6OC+7jYy+gg5pANAi
4BbCnDcfeYmcrJY7HRAg0BMPuhC9zPPy4vJq+ggS6foxQ1BqBTZp8TWbsnKTpqCx4VFnfEmtWVw3
LD71bjhuyApA9A2oF5xqPYZ9Dd4RV16mafikwgKdNX0CIGU9kJyGLGpvlyQzQpzI9fv4Yvavtl5t
ReemBTeIvhQNdAW61p9kfTEmh04lz/+65d1HKkfQniNo2K8WBVgMik2e4firPlaACj+JvkjONDR9
iHttNyRnmuWjtA8eSLlIGXa/zGjZhXVbogwewjs3kv3JZbFLmCPfnEcgWR/cKp4vcrffskwmFLYy
MIwZrRGc+qEJTjSb9JJmDe6KABbT63l6pycfXge33gbCSKvErO3NnYKMLRsn9dVyQbK5W86X+nfz
Gz0fgcRhVKLYor4fYN5IA69KTeDWU18B4C9xZmaaO46kEQoF5tms/+O60Du1tQ0gaHJPqadBmJoM
jhxovwBUHafBO2SMI4LNjfHYSeAeedIFqAxI38RD6w94U3vXzIaksUrwv4GAWc0+JKMBdIlQZEWY
7uN4SlZJi8ZqgafqCp2Xsb83WXmsW/QCtkFvo5nVCf+XmtfZhzYKUceUTujNbGS/i/Wr+XKmQTVB
vJ7AfTS/sy+KwhjEGm22xqzIWomy7NjxQ9xpa3tXilKePXAObcBl9aXWENGId6FeJcvxQK81Sbte
koKjiAXt956/c1MGmVbgCfAtrFVzphXJ5XgJ2zp+pkWSTs7FqsPr2DB0ZqkiARdypYAHqb3JBGTv
7cYKg2TeNu6rEhXdUwHSA+MaAnoD4PLoXsAfod8Oqedva40q5ogc2B528JGVwB0j0bt9qQ1cyW7t
EcQGPOME0hS92bs9j8PmkVZkb9n4Y2fDfImSjxZdYkorwEDwYLgm7iQRaQXjuj21/sYZUxtVVoMy
zzQAJsA6IxA7rFuWe+tFcWMoGxvc16S6kS5OBvrCz3YfoHspnoAh2FQAiiXi9VbzuPfA6F05WVCh
McgF3D26sWaCd1oiy+tdwuojLch+saJZGIEBFt8ToNDa4Q/VKLaj9CFlF2mQlFNc0pC5TkjycASd
NnMOSxZytlv8yqjbG3ziALxp0YBQM+ToPBQfoRhmTPvzzXS0x3oTpQFb4XjWn414ytwLeRmVGtcI
/KeIuAIIBscpTbcAqqnwjAAAYAFpakZPPAU6MymdDKREm8WOZuhdQoHFuy8cKolfW1uk+Q4R1rHc
1wB3f0iN6jEvGgmwsByYTogpoT9zareDbQOL2PLaAyu721ncxt0sE++zO7vpd9/B7PBKUfTfa2VU
G5bbIU7gBiKPQQfWAWMIfls3ng4cZQWK9sg+7u01Ou4CjT5YcYRYG2QRacXqEVmuJMq385K7iA4q
4H4C5gNVI7FAtWeZdUehYRELQJOeOk+0K1qSB0BEwfyEt4VQIx3GDOdO2o4sBqObt8s0cGKpRnBn
cPx2apmwI4qKvjTo6uZgxEwCQII2wTrPamM7aSAaQw+kGGtjh74VDzBZ7pvo3Z8MFvmyBylahZPH
G81NMNb9aWmnzQqhwGxR5p+jwW321Px61xtLS1IsbiTTXpMh5P5OftOOS3acGw89iqwOtEnA689W
MzV70s22NF12sQSORrkcEfS/aZjLMkvX9ogjtcDRcNNUR2v/vltu7pxbdDTTGxVFLY5zR91sw3V/
HgjrEPPWjJP/3YTP7Xs6Bd8CEoyJfCk3LDew7lrw66w2B1QJRh8qOaBCC/WC01YE5s+qGZ1veoLQ
p/MtsZ2fiOi6L6kxTht3cosj3h3sD9Ho5DOBe9s0VzFG42fVevWODc2+rqtqvcBXziArSAi+wVl6
ceNt2igDDPXvsC13YJeLXQgmoa2Ju/a6DziQ2dvA39WtXzw6RNZHU+7E/cox+zcNyibQl6dtuG45
jxuAL8XOiAoDsGgRx1WK2+zFG90fkebamjm16tcmsIIPtLBytHNYouYnWqKDptuhvC7blibwQMq+
FIdMN5PVFZe7dkLvHCoDEL8QBjApqmbYWpbTIl3mNw///Zfz3P/1lwP5BHqKwUzlB0iuaFyRH98B
kCnk//s/5v+tY14mSHIDYbu0/MvAkJgBE2AFBmibv1Y5Q1MQGnnsVAIG1bdAl2CUHqBUuY9yYMk/
RKjOR8VwWPlnVLJ+6KhGwVLCP/eufI5SSzwFEUrPaWY1Ch0Z1EoFsO4nXw+kcFH35ABMJugRk12F
Ga4z8KZYk9JrpxS/iTp+dYFygnycXgLrlZ1qkGOHehPeSYSOwG20InZY4IW0e973bOUTOyxAW/g1
6Y8zdaxOqQudQDdKt0fXa9weZjNykwP+IMCMAP5+FEvvytnstvha2s0t6vbA+0pzz7bgm//vv0pg
BP/rzxJ4jm+A1tPnAZB67/6hfISvGIhDxceiTfpDrN/weddgkODTXc9TvV40bqLf89LySMpFTksn
KMdytbiBQw5rgPVinOeLbr5EaQLeILENFKi9X/zWi+xd/RH+vIvtB1m8I4MKdef7mDXzT4C2BOfo
g/cyV1Z4lch/Pqdx/z3N0vprNwz51mpQTU3LCJnkEFDygy2KkzGwaUNi8Lak6ICN2FU0TrZ4J7WV
b4F6Ux0bjlqdMMDrPTL65kpFItgTvvMMA92K4sgmH0drXYe9KAB4j0hhYV4WeWk7KBVvA7khGQ2s
UUAb7JCkN3NUgJNsvk6A4vzFLkMq/5grHCQWZGvSFoY8+m5gXBZ5ra9T5WA3WaCteyus6TrAucF1
6HOOSIevpr54u05bfwT3Vf0oTEQiNb7K99jiH3UXyIufpvKYI1axM0w//yaTH6RvXXSgmeH03Ln4
XmnwGaEH2eTW2vINd0+yVFjZVVsQOweJam2Br+ybBTMEkEbb7jCqVK1S1+8BI6EJZOzuH1xieprp
YxCnexDB9OgMmpDGzya2xx2DCKzZzEvj5ALQogUrdzOnjCaWaZn1M5mYfSKSGJL/2naW2Lj/J/H4
SPQ0JEId4dvW84VRnvq8bL3s8/vWJMe7eWJmAAaOe5B5eDQyByW94HsA6WgbH9s4Ni+zaFZ3rWNc
aMA5MboM9ZEWlQtwF7wLWlvux9llQGdUFANLD0dpnIlJpGfu++xOFiJ8cA4k8E9+WS0GJHO6HpSn
NKVhaqr2lLdyzQYrAFX8YHxrAGESh1Pzrep6tUaiwn7K6jg/SAZ8UR9t8lcB7NIN2h+yL8i2vJhT
hUbbIm53YNnI9gMaIYC6YHiflCy9HXqVjG3uR/zTxKxuh9a5cNZKF5ioLZuqHQthjESfu20qx9iR
b8iQtp/cYdy4QJuxMpE/2JWVPbSJ46AHVU9JqFrHX0u8PG7sqAb7+bth3aQwpHXnh3sQ1aQnQ2sX
k3mm3QZetQc7dz8uStquVYP9tglK8YFQ3qy7HxOYebYtgiNXI5Eh+F4K87VUBUOatrevNKST1V2R
SJ8NyLZDQfxRcee7La3AW5GZypxsC7SYYnMjbDukRFkk0wPZYPfgIbPRNJHmYPMtxHjKeFF8snt2
om6YfBL+BqWbI4BwjOJTjjCKjVe6M9qXyk0gpdpMdh6cyyj0niRKSVZyGOO/xKi+GKpCDUBnGEc0
3SU71Xf5t6BH9b02IE+Fn3r2ZBOeWagjjVF7O34BC6o/e0Z4H9zFFu4P2pMMyLPqkm7nAAoSRMR4
2uaSoeGoqo7dlEdPNNgVqpA5sNEamclia6OVAzCpAMhfTGiGdxMdYDQfcWPFTlJGxX4CfR1IrxQw
XGeb0virUZl17DWmGomyOhvOrRc+kGj+FFniumugh3AUZP6yCwVPcWxwGmEdvBJIqo3yGFt7rW+c
GzMzAXWHMNQKOHHoxqq0gKSk96pkm1pDd1xEs/X9evYmKW2RFdmHTiNkk0iBsG6LWhYckDiQQmw9
1F7lrycw9qwXGUre5ZmGP8kMDSuCEppzI3i4R9/QVM37kceyqeIIoS6y/96PtIsxXfdumSbqS4qn
0qWqEtz9lJeZgCjyjQtOsskpz4MtrUhuD5MxK0lmaDOadWaSngDBtQ3dcRVHOz8Df0SFd5nzmKbR
PCOZpxU0s4IwLld36j+53Mk4OurKVeX69TqeTHNNatqR9lLcSPDWD8Y4JDnbMw2BprEDbLCpm/Ah
pDXTwmW5WCO+nqIAJkk3ZIfOMftUAUrzG95+fthRNHyUdoj/BLSLAje7zr+AWw8VmA5CWoEDKrks
Q1FaPHkfPJSB7xOVZqB2C+0nx0fhdlIO/Y+RPZlm5/1Npi2KBW5MOa+c2TTNontTKwUCUAKKsdyy
sxViAzHu6qAOtieUINGsAsD9lo0lW98pJvRjHr2av5AtADbBQkwmVvCKFufwYRZN8fDoRZ06jUBZ
vrkCmS5XyDtk1RYZzegK2RS8LPLlc+EqFpBIH0jH3axwVnc/Qy4jsQ4L8Lvt6grsHwCUetD9ticC
NyJkpEnDI9EszPisXESLGThZZyWZLnKy/X1bUlYZYFFo9q6csZcW1/ctF9Hiqr3UFIpTb6CCFnnE
/IKHHjr1GUpuSg0uPDj8it629EXyuEZXG9ASSA5co2s1tuMDcnTBmsA7RaILPGh6vyaUzhucT1r7
ITe2DpBp0Yj4C190gfMk2Yz76XtdenTcZCvS3jI+kV+DrvoV+DKS+OjY0V+obhnTeN3GiE7QcWZE
IdpFmGydoXr6NJ9/6Ci0aLmMjW7lB8FsMx+h5PvpiHZI/Zbt7b7ywQ0Wyd2YVPZrAYiBFSrn6odY
WfarQugV6e/X2Jf4W6BsEZhSsPJBKb7/kxNpkYL5k1OonSx9JeXg3N75w4DS7F+o7xKVlScvLLcj
8VeQIjQ1CDxpXDTeJDqSkAZ1J/YcEX/AQAEsXHo4aMVJd6IZDTJl+Ddc1jRLtGEDojr0JSVqXwYJ
35PfLLuZkvndlrk1tqf7fef1PM67LK5S+la2uvdY9GnkI84fFcEmT2X42NjWE6ss4JvK0LVXJAOs
KVpwKjufTUg2KwBUcR7L8bSIRnliOdgwUF/QhmvFrf5cVlaImC1Q7tANnlQbT4jhXJOQ9KM2yqpQ
hmtSmVHhbqwp6h/tfNgXURmJlWVWeMliIVrHKrXGfwqg3hx0kVuhxWNUxz/5UYkWbRf0TakNkoxK
eOExjMP8pFz3dviTTKIVF50Y5psdLRc3UtzJApx+UIOBENGdgtzurrGYzNcorUvIXLYDmHlzSqyk
OdkIQYJyV6/nqYx4fSpxgMhWZLCY0nKRcdamxprURmQkb9N5E7K63+TGyuqD/VAyF7UKXDwBt7E8
Ik4mVh2dnbSMFKmd4ElQgwS0obOdVvisQp9ybK48OrO1WpHbLpDWWkC30QZoRkekZlDqJCInvoiM
oWIDaeUr4lZXvNmbX93GmlAQyPLnth37fZNn48mY0uwB6KRqawJZ7yXhHu4dReH+AAsBHmpo6HOM
4aPVi58SxbsHtOShnLTjyEChCeqHyvrkOC9Jg1jz96SY6ltZAsjdxi3GYxIMCokr3c8Q+PLVb8Bw
T14kivFmd20z+Um5DXvzJ1nQdx9lPOUnsqUBzDASrED2c5PzdpaXdXH674iP5eqIzg3tJmJnNjcD
VGo6AUAVfeKOvwnEZVFcjA1+oc9e/blPkvTRcIr6FEfo/I4r2XxIG/BMcIBe/4VsLZoqwbWXifCz
rKvu1R9TUA4bKU6/hdGvUoD1X5zYUP0qLNC6nLrZN5LRcGMzT2vja+eqjyFe4tE1GgXfka8CXTYz
P+OVPzqUnif3OMv6r12f4zUDQQYD2bk1XmHCS+G0/OoDCmNV5Lbm2Cz3aQqq9nXi8unkCzWd7LKe
TqChtfqDp9ckpAFl3j7QWNtrz+3izQXlxnWOJwMMuzxs3C1txCXyqutgAAt9PDjgVeg6eS6a9rG2
PXY1EdPGq0Rrxxs0mfTgsnfDfNvk5lqFofcAekCGqs0M3/hgKA94wMrVbALybQDv/Q9lX7Ylp840
+0SsxSjgtuaq7urJbfdww/K0QSAQM4Kn/0OJ3ZRrD985N1pSZkrgNgUaIiNibErQOBRjVRGI8sES
3uWtA5yDlmkzo77flunI11bgWGcqyDHHSECvV24VNbvFvcRQra5i3Hkgb67s1AxVm5/qgR1pTDJR
IUixDhnj5raslIENWFz8KoZs0gYmH9s4SGfUIXU/WMd2yH4EvmboH1oPC+8aim5Tq3YCr9znJI7k
KoUY508AjHyedz+QeORAFBL60xLZ3oZYTyY+hSEW92qFVAOc/8kh2Pp+5PTguTEaMOiU7VkD+bc4
R5LrsJzac5w5Zr4P8Zc4INPjczRAYfNkQDjxNrFOc2vK5A/Ok7cq5Bl2hWwoyoTpeN+USJOJesUf
uQlmqdAxTBwLNNkm6rzyGZx9/VqApeSLyzqQT9XhdDa8nu1GI2r3XWE74Fu1xoOyeHkDQll2hGxX
eIRCcn6TstQ6dFL8jO0eSvVTJE9LYRYFMhXBRWluFyMe/1QeljbVsBmipjVVqdOVe7G5SDcV83UK
N0rFanFdD3QRelG96DVXr7stA17c+VxdXBf3u9zqxVUuqin9e6nrxQUvAi6qNNZylaye+K8/1WK8
uPRFz4t/1j/e0DIyEqeC43+/Xl37b/zoONywbN8LXejQhcw2/zznSFk+eNDFqJ/83tVATiO7U9hk
uGt8A/o/IBLc9LrpqbK1N15ViJ2voLCJ1/VkriiS/JWXlgejt77RCG4lO3sT5pZ7mhjgssjLhBCp
HnsoXMCP8hAUONth8H66SAi6M233wW/q5GTrlsEzF4dOqLUyV3sRjBVQyxF+auShmNJmDzbOSU6z
g2xR36o9mzA9kn4H6P3H0J38An6EMM3PVj1tBmZlb2NYsq2s6+lUg0HpUWZghJlMJ/4e8/Tkc26D
ZADKwbEbWUd8mqqnOPblHCHH+AFTN/mlZk4B6hiRYq/LboHGcI+jj+04osFaCqLLMspsPBs2R6KE
YjfkJDuIP8FOC8GQ/hxuXbcG+SvZKaJPQ+Ah/B2b8FqxuKPCDY7SQPQ7Nt0Ox/qgSYMcp7Py09DY
92Gc67N+JFnqCe1ShPy96QU7k6X+CKCRinzqdkso1aoJmqA02nxJMjLzbRkE6jyfTSt6DqrSvRN4
8935yX01qODMtGUxgxseGHAJaq0Lm46nuLGZO9EIVCBbzr0bQXS7SXUnsrlO9tqOhTiSk0zoCL31
4EwN6EIHp4zLG2rRFeMahGAU3jmRYa/IUzvXV6N7oqvp6ch8NQolx+9bTJJoQLZqnmVATMY4YppE
NtN2ZkXwLe96if0NkHKGcVc+QoKVGlSA7BBsTQoUh4utbMEZYVkTNsL/ZRyO5LP7mmOPUzPb+EhY
gcTknWex7g4b1/1dVZvt0W79Tx002a0Veamw6rLYZi6ylCgO65vfbssMMZ1MvASy5L/HStoGB0BB
ILYeDlRvoAmruQbbMK03VgziTmrOfIG5pg6ktlWCaaPxBCg9dfTMISi1e66SlQqGr+lF5MVAltmD
q8ht9kswXYDG7jtkaAEgK0A06rzTIhk7ViAaq+dDBbJcrbRpzU22GtPhj1AyLwtuCd55ucnDlSN+
JlNqYT2vZGve+gIsXKL8BQEjMNg0+t4tfb8jW3mrsKwhW+7kGZLh4ABxzLavSnB0jk2FRP7JvCG8
fIX3/Eky/5VaM67eCe03CfgpdnncqkYWPSDaz2JNdVsbuExeLDEGZ4tFw3PUgDDPa8R4KKrsUGJD
796tAEE30/zBBuksqLkgcATxrszdeTnUHJsUkpE4+nXsIXgky2gqew/GpWlNzUoHCNd6s3vBb8lk
W0Vza+fJi59MTr4u3c5d9/bU7cmL3C5r60Dlfp0HRrJ3wKo2o9VDjTpfoOczjr018eo0Cu9wjUwn
PPoywtKPHFTMI7imeLR47B2KkH91AsBrMi3K6g+QFbZKsLFSk2tb7Y3rIc/KB5UraM72njyC4slZ
kZNseQUduzaV6ghiQQNTdpWsRCeqExUD737VvEZJgb3I3+0lJv2IXrp0mDthN0N7rtxLzDJC4AXl
aVKpvR19tzgGMkIK0mi265gAAUmF1OOLdlM3+b4TQwuCCg0YWNpyGOtHV7MULGOAcaZ+bJwqw9wQ
am2GgGBGx6bPIGrGXmwfTCD9c4t3PuVP0HBpP+XCqm/dXPPvaTtu6y8DuoOPcRGmdzXmsCuytwxH
SgIrmXuITGBFUHXAdyMp/X3E/wOyo8LhbApmPFZ2/NVNhuL2v+cgFs5Vr9d4OM9nDGf6gckc371W
qrCY5pRgontSdYPjMt83TqUulO1GxWpud0iJRFLELg9H40QmFynRxeq6PfeZfXN99DIQeH90o5ro
A/Sd/XSpznLVMv5Vl3k0uij1vm6Th/r8/eo0+lB1XyFW0O4MaE/s4qiOV0bQWWDuBdfrr2pelPGZ
rFR0oYTcuut+4bWNkxpXS59aYPSMz1RtmUTPJE/D/ZSnd9RFlF1cP869Sxw3j6zfzUCrvjoGuaNu
2jwHauV3i3BZ2Ch99zqeY7GZW1uQFMiDE9fjq+rqU1lL8xPos+R9n+BHQHYKqz/CRqM52chb+YTp
0GWYY2dr1zSxBUxv0cxFXkpYlbeuftmmGnSb6MIYQEyv7ZBabA42kO8gsMCTLzOIMTuBH69ags5Q
G1zi8Wr+oSxtCqdfhmWXv/pQkxxkA7QqXtFvaRmbxqImOaoc0nDj8NO2x37nYdPuE687+Zhhq6B3
GLhIkqE1Nx6YCXekkpVpr5UPgF5yeFPtpb6xj1O1rGpvPLuKPzlOxg+jgvomNSPbjoFCaG5ky/BR
1xFqTLqDP9jlmpxk83t+l3uOcSYTcl28A75eUCuhIQd3rZCLYuVWsS79Qr0AcmVv4w4Js3FpqRdo
6uKIQqTdncuwP4KHZyun+OgAX/SKREexs1NVnMKa14+glJvwv4pH4v8tQsQsOYyNYd4WAFdkzZi/
puBk3Nplj1SnNGhukUBVb5F23L9waT66mlQ5EHIO5VaTbAslLkPxzp5DS02qrEM7kAmPTvcCnLO1
Y6wekjUvRnd93U6UREpwUp4MTM7WYC+3H+0xZvvY9icQVgQZ0tPzfAPK/OwNBxDnkvnuzx4UwpXd
Ve/26Lrr0pP8ITWc8NA1XnewuObvioN+3SD5/6sIgl1dt/mBYYtkE9fI9UhsL4FKTWGVRybyA9k8
nVNFNUfXqGlSBhYZqWB9/M2BZMCOQsikACoAdT4YeKG3hYQr8PAdO/1+J54aFZm/bfT4L21yUyDZ
wNOZQVYyCM7c77CpuO09EyR4Q6QfgVbcQ2PQ+QT6+qOtf9Nx6lcHaZQTIAmhegV4ANk+A78Ic3VY
xP8Ig6IFYIgj38b4cB5GEyQz3PH9z74rvQOzsfU5mTL4zEHdiz+JUhsweASfW0NYe8wNo001WsFn
s4W6TVfKZkt9zSwzd17Tsy31LeIa6RYQGNqRN5eYhjRVDlU03ddjmNqGAOTuyYtMPbYZB7AiU7MO
QVjJTODORNiXW6f0jHWbtjhedbkGK+iTVtsyf1fLKdfJvPrAVRoWBJkj40DhFDj3ue5O7VRn0KXI
nsERJ9jZUw2LFh8Fd5xih3OVZDVq0DQ5nAbJQxdtMiL/plmR2BVRHjnFsOttz7qnFiTfun0FqYp1
phToJrW3/fAq7YU4Y3ghkSV5v6sUtJyW/o6OwH4z3ksfowsniD812XDZ/8/rk+AWd7m3K5EjGEhz
D3xi95L0BcA64BXBGeXUvlTi7MVR8yWvpvE+V8ZXsrYuKH3slLkbaiJLNwVhW8qOcx8+Pam+ix6m
omHPLtinaeQs9NdJGzcyO+YeRBy0gk9R1r8K2aQ4bfOh0bQ4sA4ETRe1jb4FyReFK1v+isz9BHRf
H+NQk0IWW1x5kEATmBKNtftGmWC5DY2CNI+KPTWDoHuSnSY/9AbvQUdRVlkI7uGLqIQ1c9SYBN4D
5HHmsSgqSLExwMNwfP2I+hhL6Qw1uiJFUfPvUdS5CJJ7NQ57pmH7y4NGj9c/2focqFunzqDg9PFU
0kM6P69kbOjRXfxB6HfYSsS3hYadI7lwBHIbMrYakIjwCUjxJ+DXnbNMzOkTWAKw/EtytiFnO/ne
Q19Mm6RDzivyQzsTHLH4DpN3SIDow3IrXg+JBn04WQXsmIAioB7KA7X8ZkLOwJ6Cq8zzbnM2vM1D
6cs2ZeaePVb8+2Vnp47ocFhzcWm/CKDJNxrG/I+gK+jL9xJU8l6ZdSfq+k/30JfTG8VDi35a/vnB
UPI7GdvHTudhqMbvbqjW6OZ/24YERCaYYCKNWXf7/+r7T9coG/wOyiwvtlcXZ5QuQl2qQAFgabTI
Q/VTTJv8lj9gnyx5wibAp9wN2OtkFiaO46Zyr2QAWp6qyLC0DZ1d5uMVamJx+kQFcMdQ5nZ5emh5
ChBIUyUnBwT/59Kdkqc6gQihCxnaWrfIhF0grAmzyAXPOAYRvDeQ1lfyTRgfipSBpdPrq707pP73
sm9/Shx1vI55I3EsFoyfjBD3UYiiundaT+0TJNfcDBbSOdWETJIW+Ji7gOHD0Yk2f2o8rJm7vPa/
pMqEKocVp98mFd7W0NKIV//rejKS0yee82zb8qrecK8DA7Mmo4iaCa89qkIx4zt4OMUuZH55QwXZ
qeYUye+4xU01/yN6HqtxuNqW4B7BCZi7tmQiHpgNte0Y6hMHYPrKh65w7HVXyeYdCo9HfO3Cn7Ka
bqvaVW/Mx8FSomLo82F75mhOA/RszSTe10Oxw4E9hIt1Yemkkd4z7G3WtT7mTX84poy/gwDQxxnW
b3s9RNHtn2NEehMyCdtyMxSJOgswBZxHXQsEROPKzv2BE3II05ONQpLQmvam8H+IIUohsfbRrSmx
J+I1OuECXXUE+bq+QtgyeggsJQ1M11rsXI1IqF1G13dCIYVvIc3o436oR0HXXkb46JZFNXizsOwd
gWHGhfRthONQeqePAebxMjMo1jWmFOs4gFKXydyXsgWBqJl60YPfD+V9jLwIapEdT230YHvDLrQg
/gO+N99YYcXCgeWz7SPFUcHwXls7JqRQ2qZAjCjyaocFg79eYvgwTkc1GSl4s3A1ctgQqT6HUbib
WzS+7RcrK1XtPV2cbqMSyYuXTvHNHBY048E1IRSTDZAVXPV+JO4K9wnC6ALPSHxZGKo4dkE33VzZ
gwwpZ2XqYH6lOxReZ4IhwS/FRvYh+EA+RqFBgeZiuzrmbLU4QNQ37Ns8cs+TBXT0VLjpnTDd4ZzI
zFinbeZ8M90foVtH7zWz5Navo/wGhCE25MxTezUOlv0NUN3btOm9L0I5+T4CNxpOqwr5bDr9W6JH
kEYN5mYloNmi0uGI3HoQ5Le9eAVD/r4cq7+wKHlywJD0wKvOfUh7ptZTY0+7WDfJppQ17sWEjZBe
ee4DBRtW1Z+rNNtTy/EA2LUGB7Szoo9OSH36VYyh4xU6gSo6kcf9cFPTrsd4z0f34aobgL7/MsrE
kVmPjERc5aI6D1bgzBs7W390JY+iTlTNVfyY4ux5R3GmI38Gk1DbOBr7E9KT+pOvCyhdYmlAVcho
oEr+lKoURW3yU23pPscs7iX6wjOPeXGl5crU8/pCy3BUY870E/q3LAL3LnfZdkn+nfOFh1a4Kw+n
urOn0JnEF0nDmRvG5yVmziQmY2KVyB3+d/9yIarRGM7HdRavNYGt1YWQwrpqkWxRjnj6oO2cHIW0
0r2TmvkXPwSNVZzm3/8zYjQmMUeMZf3ZxSfoUGUhSAPGpn+3/PDJDvr+Uxq30U0IHuwNICH9uzM1
XxrXDJ7iCktt36u9NdnLTLyPTVo9QS0yuG2YodY0zsSaH9LznccsAuV9AdHf2W5JD4zZeSEeR2t6
Q2pTvgKTZ32iwv+o/ZPNL9wOz4+OybLy+//YCbTY3zYCXRbYLlJzwQKNO7tSa06RdRRGYxc+YjbQ
3oZ1k56hNZSeqQYCq1+1HNhQAWXaA9n/NcyW38VYg85ODyFMpxlWQW6n4IXGQFLUzamtcN6gW4v9
ajQLSdZ72Vh/zWEQ5RxWFLJ0s1hqbooCvJtXjqVJNUs/vXkymduLe4G4VbEGGK7cBMou9w5S6zez
1ADEv7ep0h90u1VPAvqdleXdUGHFxnDMjXJraRV7MglSuqdqlns5iEg+XJLH7Q23No4DONGqKePx
RrTFgCdFV6lIZJfsC8t4nvryl4nsVeTuE8/ipxrzEhAAOV51bg3TAEJYzi0yKQPZWJsSszrkAtc/
8ZXv9gJ6e2fyNp0JQkpqOxAagpgyhMTmAZXM6n2agoAjGsvvY5uX973I5cvB8ePyJcPn7j6N7O/D
MMkXty3iIwOFO0Sv4KwcG8mifZEcqVk7/yN30/KvUwBt7ArYzDQtFIAeXR+Nh8rMOw4A6KMAI++q
a7qWAVFYpCfPdD+XWWrezzaglpK9qiTI/jgYvLdtkpkbP2XWprD4cAwy5MAim8AV49oD3+4DVFbZ
Pcert4gs7Gv0wI8YhsLRj3ZSIQ2HPzjRAMLGHnnbH3YnAghHpHjzkG1KIPC9wplPs8pHXh2WwLrM
ndvIcfZRrq/BkEm5kpkNphBM5YHiKL7EMUdNBvIL8tTTdQ6i6C9JEuJYzFfNF8y8foROvSGG5HlH
qs/LjQdIENQMw3qmTlbaBjU+Y2vQ6QUOBcuNa9cQ76Fdq6FOfvWhcYhzebFdjYOcNWNLcUCneOue
5dWWFbk6VxIg4M6Pqg0OfYfzRSEHNTcpBJtz1cbVPSiE+k4DjvZXbWv9GiH0MzZcjEMdQfH0R8fe
xPS01oNHjRGvjdDKG76vsMgAbwQIILDLE60GR4KKClDLewNrBRQqPLg4ESQ7FWRPSolfW20ehW0E
7iqICn5rWeHPxHKRV2KU6cHNbBOshrV5J7Eqvgskd26idNpd2akZufgngq+731AHKlrdlWqxbSGz
3IxuzAE5fFBJ4chsTCLwzCajAclHGewSYCZXhV+gqYscCkeTllIwzrOVqhcu7OaBF50DhEDGIbXH
lRyQKWcAyvzUVNC/AJGeOgGyaj31QS/u+hHsq0025eu6BYV9EyIhfm4zUa1bN+4fqO+gsHlYgdJ+
VVUZDimFXf8P6KD/t4+JbYOH1XQAHgyYHXhXHxPsB4DHo8i9B28cFXhye4ji3JLiZxi1zcYG4hY7
5mC9kLXtQWy1SDGdBOMF2Xo33hWAmQLx74zonKr+aOF46kiSkSRd2TqOAyo49Z2kJclONSREg0TQ
jBKoxE3MwY4gxELAag16FQucjbsqHb5dMKbMRCpEwRLoZHSqUTGTqyztJabA2hdEsQDWcSN9mLQa
HDeMO5tX2YOlWzFa5LO91vlssOTe5mY6+3SrcV1vH/jptDYyFuIdZQyQrq4BzcjrdFszVz0XhW+v
8AZsv0qvup067JiCfxjyPLz/CzwWL04B4ZPIxNklpkLdk2FF2W5SpXFr8To9/PfMwL3O+7VtmwUB
YyFSf6E45V/9X4LHBHlfbdQ/FqzDcc4qUVC1VL21jYK0g9SC8I95HNaQjizqe1E608bycvEl9Ayx
CsOm/GEF3bqHaku8ckCaKxUfvyZSspVdK/YptrDfbI3mN9+HCpEZpIDdh6EDwtC0w2tnHNgtfj5N
tcmKBE9FLE8ukyUApX7ObucgUOn3oGnE/qMxhF8ld7ciE/It7hx87tM2OoW20TzgLBUwPQN75GWm
+s2Mta911j72YdRtlewu4PeO/+W//4qO/fdPmuu7jondec83kS93lT4dxiqe6trlj00KhqqmArFr
56unSOYAXntxex8OnbppxPR9ZO13j7nOX2B2lqAnyNPvbRCnL2WEpXfkNtn9UJnhgeVmdFBBk96b
Qak2DIqwLwO64s8drnww4xwiM/hueHb3ZiUhKAnaJDxWtW+/9uGuY7J7E4NMjmFfdVuKyoT63A62
wITHhgirDR2kXDF1F7sJ9vKlOSHvgZebIiyL5xwSnndl2T02Q5g/O6nKn6vA3LbKiB+pxYQpsNHr
dMdOR4R4Je997OxsqIMxSQi9yOaRBqMOvqch2OBogn4K3tsaq2R6sr7LkTyF7H1nxhIRtshKymIz
yMC8QA6RwwBTle4Q8P044nXHPC97xMwge8yEuVH4+kNPLVDxusqyh1QAJU5O0XXZYx5D/8K0sUeD
ZRpCjDCNVjaS5vapdlMM83ukFEZhtnOaaYyxWzHhUCUKtD4BYuhydgBCmiB0OlAQ6HECzLkOUSLB
y6Vj6IKjWUcn8Jy8zneTTG15bvIayYadevhFWp5lwcEtKxx31BIzkc4Gn7jlRXelbpFpKf7JNvf9
6IZ0sOiGBSK6cbhp7iQz/FUq7PAzl/3aLUuwtanAOZrgWdq00Ft+5SNAPRLZ8mcKKxMwAml7kpvO
EVIVeCRydVogQAQQmrE+rg/MtW0MX8kLGt2W7fyIZ8hwL18kt3/4mPU9Fh000i1XdmvKOtV2Bwi8
f7LnbfyP9siHeoMFtfo1kZkSt6npcOhkxNn9zKMKtiXkuPWlzn7AjGw1ZnV4mJJAIvtBt4k21ciB
tXGhgDTb/CSR2Dav+QbprT8gPmW8FoNzC11F+dMwpjsQPA+veSpA0+u1AMM1QYJJvtfuCl6Zz7Gy
sxWoi7FgtO33jg/+51B0clVHffh9CPhGNYlWEmoSaIPx8GscAuY85WP2LLAZua0jaZ9bswHZah+p
QxgG/D4F1n8TDEwec79+zQsAGSHAzW5SzWBINbIFsUTi7mA6wFH/drDcLrEjpbvMVYqk9sU4I1Tv
2chKvGU/AusKgExgWdYpLWoSvQSqm6iooeOIKhVtAQHATDJkm5p1kWwa030BT2y749PknVQXeCde
CXaiZiYh0LZa2qlhod3roDnyo09CHjIubmq2XottuOatsYrwYOnFSDR537M6L+5pLfKDiyh/4dgy
uw9DkIToCHtwIMTOG7WhxYyTBeMG0HJjXukE6A8moPxX/5G5BTb1VHkfyQx75GeXQVOpPzGbQxUl
Rm47Fa7pWcBRV/GvdqazpIpSwkj+8ipy6XnlXhw0BDWXYScZjev//hKF7t++RE4ANJGenYEexbTD
qw96CLJwnH6n/WPC4wpJABUDswyU7r+B5GRTaeEY5RTPbe6HL1OVjZt08gwII9p7fMBipOqjcIPq
XYLj6OgL+5eJ7F6DTKrGHorNlUN0ZXzCptHTlT2A6M49ZJU2KoREBo3RcnPrJPYBABgs8yTygyKQ
ubxC/7vbDcBA7amZ+eoltJrwwXXS7qnwzbskrKvXPgFqYBL5tKVmldTtKgAg/M7u4v4zXp1QgEdY
A2Wh09hlYEccveq1UsjDz8qS3ZDXS9clprYvbZd0oJFN9n2KB7jY8EA9pjxN98oeIc4CCgPzJs37
uxTMew85BMjnooOg2YpZ3XComBThKreG8Aj63G8UMtsS330P6pKDMEaHZJCoPCCBqV0JPdYyoPC6
s1/J7GAF5jPvGWBaifHEmVuf26wUQL8I/83g2LktfXBaYK97fMxS76tjJ8FbjGStjY8MsdMw4XUU
gMmkmib/DaRZ3i6I2h3gJ8Oa2SAQ6mPwCbW6oFoskPHCrKnfXzkomLw9ToL21ONqAGQN5as85diG
DlzryO3prtXZl/gbW7edpq2g5lzrSwZ0uim3i40cjY6jGhVKKHWwodjSbDOQCz8N6VQ9YbYnj1EI
Sd+gG0EuqrqhX9dmbu/ntpf366CACh5FA/TaH2T+AAZAaJoBlwvqXd8BpqRNihsrrr3D3OxbV97W
2DkAj68OojbVwkgg1yeooMLlV5rmV7vnyMTqpkNVJtMqdCxjGyVieFWevyeATzZZNhaCffJYVWl/
mlKzXvUhSFEwucD/YGr4d6C8t7Bjg20CSOLwb4ES+0QACo9zz3rfAExzCFUhvsh6uqWAqY9zJJtD
H3bpyc04/YScNqw/YyyCeif5y2qa16IX0Wsk+hrcip7zVPugHwRooT87bVAfzSAWR+wrumc3n5xt
Cw6OT70P5kJvqKo3jv2Iqseiwwmfh8ke9xJIoyNAihuvm4rXOgbgZSrrcY9syeY1w9GlF5jd1x7p
PRtTWvmNmdQWYFDYb63z7quSk7MyARjFnkfcr/H9xTxNo7batEzsTeCq9C6sQbcLPPWJ9yIsbpBq
1tbYDiAfb6rY3rSuevADQJm9BFQTkCwzQpxi8BznWMb9BGHlrz0ECNeDY3d3jQ2S9SYH2hZJYfZX
3xgfisg2ngUSRI/9JIudZ4Tmu5/eGl5jf00DQECidl0AJggWIvyuZtp+v0/jbW2LZpWAKKR7II/o
ITL8zqI6vcmSBvF9UbCDM1lIy8Lndz1g5TFA8GuPteukN2795jRCnbz5YSZgzjTARrvurKwF+0Yn
2CfyYyGG0I7lD82Ux6scJ6NMcRwcp573bBbTj1IEAgpigj0D+KfWZRxkx9mJk94tUCbhFqIy7Nly
gvxYNPWwDnWwxw15npSFLx1avltnTwx0AtSTTMCH/PeVghBvexrL/Lcr0WgczKb/dqU5QAAy9PFv
grDTDw95KcJh5s4uoVXq6sIAVHGuRaDfBFWqblMxt5egCamQF+FyXHdjwy8s1OsiCiSh65kxLK29
ZwZM5VZqOV8sbZBlkMVf2sqPT3/aBXeMzwoztn+yN+AePTllUmytOv6OR9RYJayC8kQQYdTIeJUt
1nlhw9Vtqu1ghoTicMPfwMU0/pM9GXv11ADxNcd3WL5YODQFvM5M3HidY06+4iYAph1EZ0HuY8di
Z7kW9oOobQ1dd9sNBT5uVI1J6aRVArmzstyRzSky8cstJoZBvJqDkZpf9psdFE5F7UT1toKYEbLI
oZ1CtjmGpFDmK+ZT8hWK3dl+vheKrLEHi4shW2RfNNHTDBXCl6mJkXdUE7CIbFQIDUNamhc2wffx
YDTHHOIr4Hp8b2RaY60WNq8B5JAmLBKRFlO5d3jzyRXZ3TZ3toFdpYfcrNvXsPaxosZuWds2/QNO
4r9ix7x9lTZwF5HlRjvqVPXTq1AjgwauXT5ZI7svu4YD/98WO5mK6YaKIB3Gw4CfBLWSCke5WZcD
va0gvgxYcQkDWcFshHYwOL86krGoQvBN9Ua2mTuRMXAa8NrTePiKl3sPwMRxWBWBeLcmq7z3msHC
8SG0kUAN4MTbHiyza2EWOQQj4V4KLOFCrNWaEnI6jRtvY9lbm7Qte1AoNF68HZC7u5bgg91E+lwy
A4pzXwXFbQCcirsNofF6cqC84m7JjWQ0pDcZ19ZelPEzBVCHQPnY7smndhu1obc3/aZ/NH33L6gB
qHch4nptjkZ7Jo6JrqjlZgAyZsOSoL4flf9eeZ3xBQg+fgoaSGZQs0X2/RZwA+RCQCjxS+eANiCS
LjL5dbA3ifs+LPLHceLhZ0jgejqIBixi751aNKBnFmxNTRvn+/OA1DRKkLdBm3pFg5JJDyqRMfOo
VB9+Ltw7uvKfdzmEmLXRoFd3SU3Ij6YXd2k6SCQB7HEe0EVycFXGL3/eJU+maJ3xvIdKEpbnadF+
HzIx7WjFTmt8slPtf9hUdd116Y93LnRyPA8nBqEcwRkBZHtnVUA6dgqJOWPs3ohKJcAA/fYaYtCi
f3lqbNZu0Zdvg8/cY9VE/qbK6uot7cq/AIfB15iP40NaRj8NkPq+lZ0IN5gYOkdqHvBq/NW1j1Ks
T3VXLAf+8jqhHkA/NRxB9Voe8AewTksxAYN8KqveY1sy4icJfnyqJq0pawgi/Y63LECEohbbombP
HRAkNOvQAG8eFGaBNClWElu/N4GWdska/Axu8fYHF7syrXgXC6SjVGNY7FXh1/fIKCwOIPvEM5FA
KHiFU/rmvqzy6jAIcFokOnVfTQIeqbz2ALR89stIvSk6RdIaXsbpag6kIdTgT6AOSCCaOmBzq8zs
R1GU1cvQDUDBQiyaM4ttU9MVR2i8XNjTCWgrwDfEkWn7hDUsFr3ju9B2iu8Yr06AwgQrYhttgY/m
tuEciY90ISAd8brDKbymEfkIIT5SJwOxvSNazBxWyNoB0/sGxNXWHohytglSK9hgLtQ+tInTPiAN
sjlrWrwo5BCkJ0fQQmihzi3zIJwGlIDcEvXGbyBiyVV52+YyxxdKV/uyBR8Nwxkd2dyxgLvCn3Vz
EZlE4y3StqcDueXEkJ2gO19H94Ho1tgILjZx4eMK5L+oUifqbkkQAYz2N9doPeDNxnHtTmN3oObk
jyUyrz1zRc1CMpxABO/M99qnq3jMpr1PZu//ik9yxdcA+1c4nZog134U4Tjdx5lrgJE4uZdOON2T
iYrABcg2QP7HarFRyGQzgHpAwrUhx9INb8dohcc23C22XA+qCutzB0rS0zJSq6R5b4O2Agrd8d0y
UM1ZcMuxNb6YqBb7joDStvNjGZrsHsO+5mTV7ZqaEwfSD4JeeB2PyhvnUchDF3R6DV1o3e5ANhqL
7rAc+dEHyertMnxg5v9H2Zctyalr234RERI9r2TfVWVlVusXwi7bSIAkOtF9/R0ovVxl73PXPueF
QNIUWQ0J0pyjse4Ydl+//ywmsvAhTsTd8dNfylzagqfOBpXICUIc4GySOo32mSgATgLB4Ks/0V3X
c5g2QjFqoZt0+s5Li8eOBXUIGsCiOAAA6MxCEBL6xoK4HWoPx8ZuqzWzUSxRYV8tVMWnN6KdS9WM
fYo6bgwGEIfWiw+Fiaz0X8FQHCEgQL2HLlP22u8DOO2WHdyhhrLdWIClnIc650uJrRYt3WEjOnjY
uHaf0dicNoPY+FGhDp/68jlmhAg1KaV7MGH1rPRk+pH2LtcEfgzYVU6LKITiMApIYyzKxnqjhfcl
GVr6PmXNXgXjlMZIRCD/VLkwbU5/tpA5gGZNx/YJdMDfk05+ibBx+9JCTQ8oeGbf1eAekpnkG1iy
BKqC67g1FF3TmZt0OyV3Vj5V+6ACl9ibD1oR77/UBl3nP2RFPOiJ+D4Eed0gguXvX5UQ1rpZRqeq
O+cESSV7ppuXGkoViaqgwadJHm605FvWOt2hrTR8rD6Gk2JiDsqiDT1ip7WE/SAEkZuyXw4Z6a6s
94vLSN+wxe6uOpHdtUUeZuHVebc1TUoH72A3ETRn5lEfGvFXyI9CjpJFJzMrV2W4zhryjLx4Fpsu
JYW42N6raZjPGZvh81UZngTLgoI8zQqnOqq2rdq4wTrwGCKxcDRn2TwSifySeXmyMa1bnJli2iYu
6MsvinU1bgprXJcFBNtKbDTfbMcFcKNoXlD80PtGkBFp+pC+pdb47tG6eHAqVt2PE/ZSbq/pWzb0
zqKGI8ABdMLiKXfk1lzHXJYARrpJuqdA7ns7t6Z1NkGjfcxcebQspO5ruKI3UEGiJ9NnDhLrUdy4
M19xDr7NMyNmslSO1cTzbJlHGvaZ82XLTAbbKYDN51gMsDhEamNUrY6RDbDOVq29g0rxXzQDofiW
TkDg2rxha0d6zi5yM+f6P0xsqOMdvLFFsrJ0+i9R/x7xKPaqid8ZeG01i7VDhiPa9gEwoR+QWzMA
PVOoFRYhctS/sbhm4M+LmEE/0snfF6kdLz+oMP/iYF05gGnzoieArPHux/57fpfP/d3c38/94R/9
H/FQzPkUb/cueSkn5KStoLBWRRfdrvMRb67vC5fhxxYoA3peKZapKzeCeSNklLyArg0f/GZbPo8w
tx93huudtx0EQLWDzF96dFlYvjQDG9dD4dg7yUp2EanTxHzwxPvviCgA28BEJNh3XiSFaL2JgLrU
EUmQf7mGcrJlOhTHLImCnVkAAXILH8t5fSQG+QyQabDrqdWx1dws5rDBODz/DvnUZ0yhf0+7WT+H
2DisEjz24bLgeSxf3rzVYBRaLjNgY1ep8V4rrErcV+7FEMON1Zrmgzgncxibw4p28E4QY0pB0s+i
ESI87Xg3qqi1rpX00y2oehEWg1Np7cM/D24YnEBOazYf/a6EPg3ks1JQaEGH2/tVAeHDZs/qmUVq
hDnTaGaezvRT34iAmk7TNmehOvVj559g/ZM4NL+rJ8+5y/BqggBHlLrLwK7zpek0B6gRYQT+K15X
53dpBvEO049SG7Q85gmF0207zfHpv6uGZgtBR8dDHQdl4Tq+nZtu4VkCddY+WP37lmMsIedYd+Bg
MlrMQPGx1svJIT4qbbzyIJCIdmV1MHi0EysGIhJSthCKB4exG+IptMKVnStYM5m2GerGsT6ZMzwL
9SGMhgU3o2YAWs2/Rk0TMPZL7SeHkOVAd/H5iz8fpNPNRJSkJwvAmJOl6XR8xe+6MsIhi3u81fD8
94qYZ25eLyD5A/VBbPaNfwqdXAnylGo3pkkAsjnY+ArGDJ4jl8Q5JUnR1tA4AQf044BcYrWUiZcv
Uuv3cFu04IlWExbHJtK0b2eTO19DikerS+tNBHm5/YhaO1VICQaw/EidIxlb+yh7DkyXOUXuQS1V
RaeFDW9gIOE/xmvl2McKUMm4TDqy+jQOeaZ/5quCXwI2yu2nYTPxUxtFk7iHdvOh8AzYfv4IMEPt
2w9jPhHeX3qfRi6KRL8vffspOwi1boLef/trhmmW5hdB/SVd2bJOF2MDYJLj+HYMYW16bw4O0ckp
q924HUr71mX688BOd5XA0uxjoJ5D/LZRq0mB7RaSyfUBH0JnICMa87GDANN8ZYDcq/jfq2dB8DdM
1g9hSA9nZtv3XUL/hskOhZ/bDYAPZ/CwQbiApeO9A3zKtvfCHuteH1Y8coqWudtkzyJCLbqA/tmP
FAZ2wN7+HDv94lI/fbVpWix7jSdg6rB8UeTIZLtjW5yyWXtycCCc3UTPZAjbOz0E+FLO3V7vZkC2
j2ptmmYS//FLI7PZVQD2Po1BdWh5EZxrlC0/WmaMddDzncdUSNkaiyoAU2dOuDlEjf2GZUG3447y
90krhgOyY1DfBqMYKWYNTXwf+no5bbPvSv0ARLv8Rgc3gntCOd7xKRpBZnDGFeCC1gvu52MXhdl3
K62B0bL8R+2Mj6PP5PAArkG/8+gIeUsOZFASCgoI6kSOkYzI8a8mZIOm/wJosv8GNLl+EFJk0h0f
8ADXNrpMn2TtEjrgFse64nEAJw8y0fTI+r56w1piWOtoAk9l4NUbaZ1VKgl98vVYHOFm1C+sDmHB
jJwoAJE5jREBwRfTvXLaBYOwq28krbGWHUDfCAZn2bmd/STcIzRWmzeUZPfI+pZP0cD7fSF9eC9N
NPwv9ye16V83qBsEUICCWQ5EHWjkkL9UpeA/7Kcq0eljUNYrR/NHHTocfHnZXlPibJHTCV40dDX2
tnYBcIDt4ksK0dVlC1uHvRnlId/xeqyuQwOcOgFPy0TVUzttxwQiLI8awiznxpnEMYVr95Jwwr45
wRQr4bpvgUqrNRDezW5Ioetm8erZBCiCHZ0DI7Ez9OnFsi2g5V4O+ZIQoS5O6MtLU7B0GyiiFh99
2AdlC590sJWeQ8zA2GWLyKXF2S5YvWFBQ2E/CJk4CMW/mwBVyBEEaEXjCI4ZxyisuL1GfXZYQ6WY
xXgg9W0M5YsXyOACAyJD/w0iSisse5GxJ5CXD2wYD3n1GD77BIztuV927rQKo1bvBuEV+4oNYFAO
+3z+Yo6TynA7YO9nmgGt5Toay2JjRGGrtIE+lA/ZARhR+c9Qe/Pwgn4ZoRN4sPHLJkP+LYhgebpi
DqCpyayLyf3kvY9yeWGyOXMKSR4PgiFxWebksZmscNmpsb6vQdjYWCyI9nri0yGt+nITCC7ONLcO
qQ3YQlpX2bEfl5p43VH7TX80Z4C+/zozfSBdIdPn2hCvjkQLsiD0vv/9uQmn5f+4L0N85WaOAcGD
8z9ghM1QtKNSgj2iKi0OsvDsU+DobWmspExzzCD3xBI4RyUyc06iabdiEM1DDu3D+zRVCwCnu7MS
4bBSyu3OaY7/mTkzfZ9GGx9mcHUXLlpbRNdCtSt3BoJAsH48TnBOj+252UBSYNMAMbk2o7oZy0UV
QFXKjI5EH4RwxQUsBNQ7R4A2E0H3DbfpXe367Frkfb4tle4WvqPZldVyPPpV+C2pZFx0RDwluvYf
Cpoeke+1nnMCc+UcxuSxaRZeozc2ZHNWplkjuw0RQz7BpxbBjPc/Kmm5UL5Ga74ivCfCfZgFxfTc
l0g/PZQAu7U7lcxyTqVemTcC4Hr5IvSm8OCbO6xvFsDWiqd+5MF9W/tfTZQ/NNhdz5M82sYTfM7a
XRP0bn5Crf0qXQjGpQlEUmHUV+2xj4KtFrXVK8XX3xlrCFYQG5gMJF9g3ROUr2oChoQkfbMmYQf2
g4e9yQHmS96BdhxooWZSJXQJIF2b0Eiw5ce4kvTdzkpgf2nU1Yc29TZwBAKDZv6vRzyoH4I8/EpF
AGeW313J4H0FZwfLayNQIS371jSTTNjvrnFwgbs27kCjDKEfW3bjroRfIORI8QkmeEol2Inj7EI+
f6ACOHetoUEBkzUF34Kw+x5ZXhWPTZ4+EYAzYI9U1CedMr1Hwn/YwClCPtQJG+H1x8O3XBd3oSjp
TzDKgBdh8j0XwHkHwkpgb1BaKxf7HEAhhuIg8ZheT6jzXrygQjUf9+/XovJ2eeYGL8yXe/yX3RNr
C++kywBnc3MgMoixj45Wps9PgYxNYRuOBXO48ieHvvpDViGNlzmz3mx/GX6WCUp/cDPxvkNUaDE5
vf+1rjwbEhzucO8wwff44WCAjJLgo4mVLKviKrAhn9K79ZHMh7IOdRt3lkY6Aw+jOiPZxrRuIROK
sL1M8+EhCWEACUU2ez0IRy/NN8V8P+xWLEhdhWfQc6uH1txv8G6Zfm3VwBpcJVPRnT72alAHqdfg
Z/ULs2urxrus95yVRhH0hVWw75hvRjfH3sqOLAX7gxLyU00ZAl5uK7kJ06pe3z7H8zjZBV0OJ5sU
PNQWqlvLtCqmi0ApwrWqR/OmLty3MhQfDQgtVI9m4YQwMwILzuboCzF/YXgUfImsC8QwoAzdMNhu
DFP103WxwZ7Aro4C+ewJrb96NXClSZ4Vb0XyrO2j007+Iqrycusn0FkYRJ2saYWYXmfTs6JcL5VH
7ft+GrMtlU6+hz0kPyF1Ga54l7RXrcCBgK8Q/9ogkzffXWVX5A8lz5wnVgioUf3TGkm+VyIi8AaZ
8HaYqxc2RIhWYZKyJZ+bzrwl/xiYwoIt8T5BgaObd+wf0SbQTCnAf+JZNax6FC32MFiD9uJ8llZd
vZxmmTqThjDKch9Cc7eshCYHP4e/pOkPC1su8Au6sdXjkd7pPt31aUDefkZhP70NpOc7uxL9ymIl
fcuL6mFyFL82IScnCABCXWAOLuqULbxRDSckxoorHgxw90I8rG2HVViUeRzkqQd8LjK2zGblYprA
TWuGZ8uT/nfWwL6EVml6BWLU3nTdqHY+9lpSkfZgZW4BY5A0OKUZADnmzPT1cx+f+8yZ6eMhrOMA
T3/4X8T++zWtvvr8ieZ6VmY9C8GAXZ8FD30+9vccVom31ixn6LLK3uYSTo2mzxygvsKWdFYV+Ogb
XOvszIamgH4DqC95CUVDJIsHsA4SbBO3wEWmWzt3pkfRRm9NX4n3/xpQAF8Hym7sSzv7joztjlVI
oUPiBpAIGuRHW4nkRNJKLscsa79aMIDtLJF9D2qUXiassh6k6qFT0AMjPgjFHyMBlmTjMPe+TYgX
07r1sPFAcYULqZ4kSx08Lt18Z5oEPt5L+F93G07T8kkUSYaHd5Guzagr/GkDszl7aUb9BJYxHZK4
C8lB5FfCT1D8wauwxJoa37lhRP1wUN+gYhp3ifC/wykVSOck968K0MLNABm1nYmNcoiJB4AW/hVb
AkF7rebYbo6NoipY//tayv97D4r0uePBX8ujYehHHpk13T5tYHRLOYmYtq+3dxuKb5sSJn5r4mn2
WKE6GkOkPv8xZu/gu9Tv8BzAH1y66mHIgShGbRuEk2qoHrKqzRaBDtr3sP5ymwKEPhzqcuvqiTZc
Q4Sx2Tt4ddy54ZQveVtnX8Ku2ZpYa5T3I7603wYOo56wDusrHai3VaW1zSmFfwOUHglkQb/CceSx
o1Q+JiUoCBG2iSvTb8PNs6Dya69Hhjeh7HY6Co4QymSHPhncFZSusrPl1r/OxrmvTy1+lrnrrsb5
LE3elO2getza2cqIyODe1XEd1CUqHZ77aIsGLl5wHec9sqsmbGJE/5flLQ2jP6sanmNH1CcBgcQe
yhsE/Iw//ymkVwW2mh3eezrHrlb7ekfbJj1DC2Ba+PC5+Zo39RJ+38UP38t+5G6rnzKX5esKAmgH
zKan0LadpRUCXD4V8g4qht+nqc/wuIbK0ph6/IVCH3dVjhB7Mk03gJ4R64LmZJr4vixlGFrXEtmk
izsFtyjWuNXR7X0oEvgDXA0HMe2a8QtoUP4TyBDdGQq9jyBhli9DLZKd04fQCRC+emFWKaDQSXJs
vTBadvzFtq66ctg1g0HHlVr37dAzvHjR0wL9uKbDlK6Yiy8ptmy3QTJUYsuwRIkju8iP2Fj9Ogzl
8FJ1FO/pvMuPUA3LboOAJfZN/NE2w2YaMHtwdXDSYFV5CsV5Gk13ErDhBfD3CmtcIRawtgufB1LZ
sTcW06sLsWDsvNLmi9X278Rv5DclyFVPTf69LJMDIwn/2Tfl2iZDxmIREMi8u6jdZwKLUDDKW1LU
+DJN/UsI8Ziqgk4i1Iiti0YJ1XQDQwhs+WA9E685dl3Xq43nT8MJKHS6m/skKvX9EqtcGDQCAA/M
FqqHNHkPk4QvvAIG7wV8hLcZ6OxbElJ9CaGYFBszHgpVOYgj/R0aDgKPWkjagC2FeOCe/ooPWAbB
uvnSNg/DrQ2lp9ul/wjNnNR7THX4zqeaHJnQ44roAIQ16fxUUeX/8PrngnTyu9IpBVWEFFcLm8i4
nPjTwBxU6gI72tVpmz8qz9UbPoG02gFH/ghoEAqJtnVPXHtskB9iW5A5y3PpabWw3UpsUD5r7nur
P4IfLQ+mFVAGT4Wy7LC+ap0N5PLfisIiz3QYvnqzswBUWfCQYe470ENO3NSaX92sCteaiGDPVDZA
rYhnUK/BpAmTjB3BAAGScuh/TerTDm+KFiloo7+Vd+ElKR0Jg2zFrlhTy13EpvA2+GeEjaTfCQ7D
59Gx6LEAelbIDqKhv5tB5WLfytrSPvp6OBGbDc2SlLbV3SlOywc3azu60RbsCryqwmZsIP594vvT
AQDEo+lCrr6GY2LRjCsYhUcLri3/Pp0PJlgGuEOh4MR2Y180QdxbdYocDphwyHU+GENCiPnviQdF
FNNlWUiBMjx8zJjpAtie7xvYW3yaRMfIXdUgywEMhQuRtlhC2xW1/UafiJt49xCo8PCvxKGyWx/f
vcZZgD5GtwNFFsU8CXibQs5tCPTaKmt2DW1WPTioMJsngzkUMPFaRhHRazMhDavyIaGfI8w1hFLe
qhNfbDxtH8OUyX014A19a7YtlDKHBrZSEuyqiK105eWPZsz18ycN5NKdaQX1VC2wJdu1sNE5wwEm
WWH1AU54DweCRVCUbVzDcmZ3a7fyzZvy8Dy6VnbJtDsdss57u419zDWjQFHnYDD8M9/0wbt7vEfp
BXBwAimv0P/WK/zIWZ/Wlzbn1QZCNtClnZz8Dl4leEIDlwxehfdsblDkEIGM+2eScEh1SYoI6WuQ
LLHGF3d+aR26NEENaz6IMFPLyZLRCsSA+o7qIn9mYbbQuvKvzVCxZxgB6jF/FvA8vEK6Cd6XCJHp
2D6gNLw3Ewipi3sf7wkV2dl1QrXomsxa6Eg9p3vTLL0wPNRl/t20hjmi95SIM6BbD5nHl2mn2LoN
MxAQvYI/ZN2ULUhQBe9etjPPLqDVSezUXneRk22BCYBQX/vsFqpQZH+Ppq1u8xwgqwD+Jti8SHik
rWQJDHYrbPtJ0hH1wYwCkv179KMprFnR8iN4nuuE5angKShRXepDI8Gy3xwHjGk8gtUJxk31NZPi
bPotOoBqFcps11ZR8wZAAMwQsxVRSm61riF9N7IagHVrC5ay/bPyxk2TE+9rk1dWLIcquAxRPa49
yA3DchDWrnpQWICkxZYnXrH1JHGe3DDpAMFlYmvX0nlCDhMwhXr8NVqIvF9KZMSXJLHz5SirAdwt
5OzBm8631tB9bkZzs57z+8prf41+NM3c0i30VZV4OfYsPDiOcCBtzaDVNLLkjUP0C9nB8Xungh/I
4QaP4E34a65Use/q2rkPNJRLoGhrf8v6HybSLqoxRoEF/0GVOBt4MA6LGqRCKAODCVWBnLwo56bp
S3P26+zf+5BLi6cU4AmsMvwFMjsMj0qwpiGki9PQ86tFLwdoGaI+fUpBgTiZM3MQWH6ughFeCKQn
zUXb9p1PpHrtK6vcUjCaVm1J1WsAgE+cVSo8CVHzZxDFYxOWhsoF6hFJwW6EC4Gp8fZVSWEIDGmO
wPaGL2Dbh4AwkP7Oht/X2QwYbiKBhmMcNtavAWQAqljOoHEz8DHDDETwrMknVzywsAkvwD7vsHQL
70wrgS45JO2RvzZNc7Ca9hlLx+cRj/m4ZuKnPyNv8IB0bwr/hgoLRyz4k2i+++hveH5WAdB4xIJ8
g0UC+xFJLtAWiO//gEYZVckPD64zMe/c8JFYMMJ0OPIpCjvkLnIXrWTWa+9FFzCVgp/R8L2quPXd
R+U3rvG3ekJlIF1BpEreKccbdtDPXYRIGu49IcWJpyzEmlRMr01Ij72V+N9JX16tUOUvCcfjl3J/
77B5+61KCZ9ftYWM6awKLqBd1yuIAuf9GSny5At2BgQJElU9KTfsliPWI2cx9EVst/ZLA6XTsznU
qO2ug6KqFx995mzq8+UE+/LTR//gabqScJ9ZVr/nm1GXH4CE7O9Vh3s9BmQ6WkASHWZxrr2g2AaK
RRQV3wTpHbh06umS8LE4WSBtT44/XUwXGYheenbaIWuMCDOA8kKsu9E50zmshuHa1nNpMm9hO8h4
4zkkIN2Tlhk5kx6FsijRyTLjgfzGHpknu2984N4SEnzBgQ1Vee6h0w0nK7v7RnqgARKf7OuiqdZw
WiyTBbJ1Giow82lO3Gxbj+XBIxzNBMvMQzgfzJkJNGe3YUuN3SEqwKSDFn+ab1NLHrTr65WMWHCy
WBUsxsJrV1MOpBvSLv+0gZlvVh5QvscqmHV0QOY+auVnL0XNt44soouMRnJtKnuFd1/2YmmWnkCV
huvk3Axy6iFTUsCsa5T5C6RZ+RIgYHtnRm3H+dJmvLs3gwEyTw58hXorYw+yz8EXIiF/kg2BPYdr
qXOOtRqsn+z8mEha7NvEAfK0K62TznxvRVGnvoCDQBaVK4aXjmQAyQEJ/265cpsNwYgbsNhHQQnQ
H6Xi3h5p+dWHD1g8MO4+8cYCMl11wXnyIrq2+p4cpwl85z4N2Q7/OX3KFBbxqhH+Q8b8YDE44NRr
KHuojDXHVJDmaM4+DkESVOs6whOjQZLbWbqsASmPgxHRYb9FNlBb+dUuNVF32gSZTmCz5bKeO7Fj
aI9NXTympMTfBrD7CwF249INwVcuemxk0jK4TAEAc7mX/zQtcwA414sdL6l2Jj6Dp/Jd4hS3eIC1
ggvyXhCMBTh8I1XQLkJICeyhZzUuSUXUHupn3avXbI3JeePZEP4fWrnqshHwb8W/RiBHPwQZ5G4B
pBnBopA5XHR99YYaK11q3+H7oRqiV97Ewdw9aY/sxrBMlrcmaX+mXdKdO8C98VSqv4dYGrz5WnDI
dWaoO6PK/9Z5qyFi5FU6tdrnLu4E012jRg3x5oDeE01GyJb3r6iiN9i4hf0xdEa9mlhHtwJb8dck
6VdDLcsnfL1a+LHMfsnV5L32QSiWdqCGfZcz/3Xsl9CuVK9VRxQQ4ymAXHN3k+TFQiMFcuR5BNlm
eFGtEiRJnwe87J9LuDI++FN1b7pcBjKZjb0VZD8REU5JtoW9VXqbwBsO4gZe/VszauL8qaw2TQDI
YFJNr5yxAbxuG/fXfMhR+pGpVuc+58GDr1t5xyic1n8HlHUb7AKAVsD5/mcS7HjqNfSLIMENhku2
oEOOJTvt0o25igkMcvFT6cmGTQqmmX7m1ktp6xoMO7eA+7UPGm8Cj62jjy00cirgE6/GooCvmG8P
cgm1uO6I/C1z13Bv3lJvGnamb4KXu3U7NXOSDOpfZsRczZz1HDrJAjsYcGr1ORXQtBot1n9xPMEX
+KXZXdrT5CypC13GeQCOYGoRUGs8aUDbH6Kp/emovv+CYoteAGSUn+qwtB5qbn+7XUjPK2tx1aCm
s3C6Q/7LXwWZNecIhumuBjAaEivzaVa2z7IncvepL7UEPMLD9GDmjnDv85ckc1C8CmzYl83TUqcL
11HdRPg+RvUDDYIFbQS7/9BtmruIF6Rg7sBLwvQT2NiYKNM1eahc2yg5blAyU1iONzS2myncRUhc
X2sCr0sobeH1FNCsBJhTPVPLS4634EA2W1uP7SJgOi/B97GXuHJ3NqOiDNI1XO5ylJRbdRUsKy6u
CwzQHCra/hsyyC+2n5e3TxZOre9c7qFSjg82V6hV+euHuV2QcnH7YUzTHMC/+vQD1QDDgVFvtwvz
keZKf/5QOtDHtE1PE4vyMxQxijMYDFg8IJ3V8ak4f/TrhkJtQiTl+mMgZGN1x1UYmzDTXxQkW6By
asNMA4/EykZCsbPCApsYNKPJEyewMy8AO3eoNNRYdiIfxLdmNHBJci/aDNZP7UHJvt4LKJjGE9TK
V0DowoMO5MthxTIWbPSEVXqiGF830oUNyHwYiqRYVtA5+tRXRDRfZoIVa+jq2vfhWKygIIsilFM3
z35rX8Es5N9dTh/hjgzcI0nhqYHlzh5IGX7mzMG6eo7o8QuVirzTxpvdC1p9H9lIcgDIxtfct61n
lTnnOuv5d+qFLx6ykk8ddO3WEBCq1zZ3zpVq2X3oleUyhSbGq+Te2e5Z8qN26rUl2+Fr77NqAT5r
9UCLKtmMhRh3ZhL04MplYU/gwGGSVEPyo2vLddBU46dJwuHJpp8nQWaN3fecAHY5T/r9ScHI1z0Q
ym7x1kQjXdlWHu0DG9/1qsdauuW5eO/TaPXvESMi6v/fNRJgD98hdXy7Rj5Yy8lPC5gAvg2FJc7m
YIMseK4SLpeQYGtXgubhbPmr2T3CgFnDet/ECSYAZKpjaKC2dyjrApuj2uLZKiAMIi1Kf2TFXkhI
8iAl/9J6KnnxJlIsBxf0QDpazZZaQEmZ2cHv2dE8m5DC/j07CgHiGpH2wONv2raAtsdQVwW2BDRv
PIyc4kxTD3T5eSCbaaLlQHDPwoxBlAXZWDrzVqjOZYu2sCtnaV8aDn5Abq+Z1+RbQtv8LQyfzJal
HrCAUTAOx7o7yN/8z91/RJt9jInOegrd8aZ602nruTs8T+WxnQ+ustiqgdYXRlW9pSLChinF4wPr
u7y40KxxNt4gvY0plk5UvQcET3BTVIXj0qcWrJfeIZSc3hl02hxpWqzWw7u0rhG2IvdAVAEkpevF
hD3ECwq29gHgMnVr6h6uUSN0eLdm1HLzp7zog3OkpXe1tdx0duS/cDgv7ku78he6yJC3HHy66Oef
15Q6TS3THEjLIWtNnTzu6IxGLh2/ubVNoKl32iWYEzDfwwoYRh9IHxYeElxR9kBGtQxzz72aLh+w
PKBsRXnI5ggiOpSd/pyQemLZg4BwTT1WrzIbVpIQwZuwIiTTMU1gPww/d4rEFe7rVlx7p/C+DsSC
Hk8LMWpZNd0dbgC8MZh4672xB4aDsCvSFuOycaJhbVKWdiSyh4a5AIzMLgQfo1BZ5CufO+CjQ6Yf
OymAF+BPWr5Wun8kEAR+GASxHsIgOQ/QA3qFPFGEEr/lrUyUje1R3EGR5q5x8wmmyABs9KMDSiku
4UsohJAgrJYAB5SveWGhAKAtZEXmZvAQ4WL7CkDjpUaWcF/26tehwuIJUr6/21T5v0bq0MUOsHLE
Cpv/YP8xTzYsREZouLMlEAkVcmcgCuT1pcMO6CESl2To64vpKVRYb2UAhX3TNAMTbEbjUnJ7a/rM
QYLQNmLj7OUd6DbQjoDZVaXSxRSGcqeqroxTmJY9mEMfJvmxh0B6FqYldKTGpr+3bSy+TJOCu7Mu
chsANrfxlg6HRyi1uTvEWRm1J3OolNQwZyfDJo2i76YrmY1KP8UFScYPalZmmWNNSIFczi4jKfYf
NNxjpzgBlp4n4d4cwt9nf4+YcOaPxcLD+3Bhok2fObtFj1w7mzQI906q+CGFuurBnP1Pzf9TX5R1
Vgzntmz5cT3ZA7RQJORiibE/mQNSEv1JzQKTpYNfTkiIcv4ejH6fmb6RYAtbWP7CxJuZwBVDNNKc
kh5oN6Hq2MSaqb2X2gAHSwamgEipszIyJO0sSJI6U7LUNWPAl0BtxG9m3/iAd5MGp57i3AQgP5je
AtzK6ZCKdkJwJGXSnrCxERdOrBxmYVBoCENgr1oidgnxSWy7eXDM8N4vUxUBtNuAia4D9oqi5RTr
OupPPRKpL0lyaPDFhJQGzY7/j7Qva44bV5r9RYzgTvCVva9Sa7GteWHYnhmu4L4A/PU3UdSIcp+Z
882J+4JAFQpgW5bYACorszTVZWVcJd+GEpWyOtjVD2SGvTijEkh/6qGFhs26odKzHITEv4WWGB94
gbyM20B/jkynMlI3CHvtW8JAZ08+b2Tjg68ablUHDWmOE1nkF3HGr+D/DzSABb4mSR2fJtSHrMjs
G8bWlc6cPTaqFlKQ+gu4S9hjCU6a0tPXhswZlIPKEdrt9hgeUGj21JglJsleJKAsL44mSIdPNg4h
+NoYJ+MERQv9dMua4Ws/QA1cWmP0BNLG8QZIg9ay6KlI8uipTPv4hPur32l8VEF1n+XbgTH8/FUE
DcTgDDFuVeq94sayegS4OPpSiudMZTBR6VVcWx01vmRKvSv3EkCZDZm+uoiIMwuQKxWslgAx2QC+
zdHfJLVRrqHQZ3zTMjHvnqZ23FqQDv4uIAS3cpKpvIUi0nY4ggkU3VrJQ/YxCYQr86RSinmShWud
Ajsv9QVA3xgcXHKmH/MbWVY+JuuOJwbyofhOcdhQnFD3WwU0gXwFCMmWCTJqHmd0U2/z1y5Kf3I9
m35rshCARLMD1bLdOzdcZf1eqZtKDwjP1aB1xWUAj/Wtj60/KN7sjGYVWUhvTUU03GoGwQoaiHW9
WlWiBbAmqaobVDDjYErAKx8XzN8auC4/U1OI6AopE+QZ2fDuIj+ZrVOOkPGSRbc2OEjg72JQqYza
iXCE9rzL2Ybm8axpgSgC3esYCGb8kFMHHLzNv/Wjq+6NsFOuDQOa2cOoH3ii8WvkxTjkGWn4yvs4
A90Ta//odGyQFeD+l9leY8fz7BgY1U+zhy5qApw65JouYcysLq+JHZbXRhomqACxuRwA1jcCuo6p
u9jddJbxs/MhFwTNIe8hwUF/b3Nv3GPDhJS6FeN7GoUCL75woKsqDsSr5UC6E2rmxlujJgJPjUQg
9KvniXEvh0c/xbFVML88lTm0QBvc3hsor4nxSbzphnrWEaW7au+ne83s65Vv3h/iJ3wjkwZzpIkO
kZ2O4PLd1AnzHmfEZJp8tnq21uqCPS6ISHgkRMDaMakewIacghZa5+8CdJaQmxY4nVmnrg/1Q4Wb
92cKC0tkDYGfhIiVnTmrqC5XxuCarw7Hzza25HimNIj1q0mjuLIczyIrUCBi9fgG4PYXqVfZK/K9
2FnaLS6gijR+qQrrJ9Bz/Cegdl+s2nwPMDVQGk2JBRbLqL3VyGU9yu7ZbQwI8n14hhhw9giKZjQO
i4Zaow931ii1gCUewl1cDAHNUuxzBRB19OHdVyVVsScTAl2ffaB2xe1VfR3HlD0lfX4cKyS/yRJg
dt03IsFXYAfi05Uzsrcp5PxMo6bXVkBlmrjOdQeAjlRuZ9ClcSCTNtJkxh5GF5NGCxc49tbJLpZl
Pjqx2T5keMzJa/o98YqSi3qgM9NOPII+VwPCKq0Ya7yq03gPSoZkD4y5ePGN8rc+Bk61zNlb0fnT
CwXoY5zsh7qRLzjmzQEQO3+rgcybA2iFGGWeQdiFxfk/o8CAGO9x6nxfxsNziA3rY5klgD4I+C9/
My1ePeNkBVWLVkOBWp5D6MtyM5zMTAd4DdSHQY9JOTNhbqvCqQ93fhok3zyN7JCZu6kwTXfXc8NA
LQTU52MXexMLckBvKA3zAm6K7OoPKHTE1vLbiCv5/47Zuit6doDYtC3H8lBzYngGcjF38KDaraWB
uodk33vyK1I0xwlkiI816odYoCPbG3SdWe5mG3UTxVnFINP2hgOhi9RBbdyiSIZArE363CNfafNw
Tb24bUPU4IV/jWY4UiZjmm7ogCsznT/iRAT8hubw/XJClpC2OWW8faKIlrn/R0EKGG5/Af47luF7
HmO2ZXgArQEadVeQomnMagQHCCSpdOMocoZL/TbcGGZeXQsU4rN1h6uddRuWErhLZUvwYV2K8dkE
Y9m1tyvshdox11duCAai2fYT5CB8fcJNev9XTNN2EfQZUV1nFZV3jVEWtm8MPu6GMPNfoByE3ZI2
/UTZykuOvferrHwf3839cACC3QUBLBMBEsr6z6jrwBUQt29hbFabqU+tEyv9ENwKLdR9p3H6yXA9
BVD9TzcEQTpvkCMD0Riu/m2Hra3SaX6rVQmsjadlUesGvjNqj/gPz1cRMHd728+fLZ5HR8vKU5x3
0egNJIfjAq/8XkxsA6B/MvtoFCnXHsghK0LR5dDZATljvHXBv+pcZl8hkiwAstk8RCP4jVGckGyL
IndBR4PdQGAlIzQXnDq8UWPGXtC6PH4ka/JAseY64rRARZwB4phtbvvBvIhgMSAeVe9tlkUc/PYF
Bm6Y54Xzuq4PbgdeiEKiFEYakdzibtuw1kVqVFfcr2E3k0FpgaMK81opX8dTbuCHjoQlBK72czSN
2F36NfR6H6pVaq6aQQ2Zbm9DvhSagOSaF6EudqQHY+iso+5aWJh8tIpvWl9KN0GlbJqehimMr+Kj
MXGxdtVGjtLRzuy3dwNkxlEHiukagGUyacYSZ7sgXOGjeb3zL2YPggrPL+zz300fXaSlHI7tO03w
eqDT4xjJB5JUokZvPJDPx/wUuUoAahFqUgOhGlhcsxyTc+G4Ki3037SSi+8oAXaCtq3Eg2GD6w8w
/GFFAxPHXXjGilfPmWpILOa4GTAr/p0XAY0z0HyB4MLa6+CwvWZcdFdPeGjwakFRDQqGHGWyNGX2
GgwabqB7Ubt1osyz1zRHr0HNajTawWbMNAIKBxy/vsY7Wo4c8xikUtyD7XaPcxCtUQCPt82AgcUW
Hg8fWp7vCwsatLj36dLnath7pv5QV0DWt1np3CbB7Ftm7SvbQNZWGcB8+BfAYA5k9SrIHfDHh28V
DlEJmOSzB9fZ8gJHSzJpAMmcCpKFYb5dfGZejIFmj8W8Hi1agXhFjKV2Xh6BS7oe4LhbY00OsPnW
dKmi4di5yTGTY3aONTN0cQ6M5WZCvc4KiHrrYQh164F6NYeetmsyuYOKGwLJCZrMbQtU6Hn2eVra
AYrm7Ghw9qEYAZJyfWGD6Vw9gIZaR5grkBQ7GzI/PSUfXjSRNUfomb4/nU9j8gB1l0o02ApRaFXK
+mAN8e+zD5S3l//+3ej/WpDpGD6Y0R3X0FGXaemoX1SlY5/wzCYoY1iIJNyjAaJe0PPgy3Hw3CP1
jI/e4uuA341A+bv/u9glbJn/P/lApArOjVwcowGyAWk0AXXqC6gDkO2pXp/mLzjThNs7P0WQb55G
NgO1Lq6Q1GLLOC0zuiBLDNRiQ6aHW/JRSE4PJTvvox+On3YdFMMLPVoXIMI5Vr82GcptjiOAGPNA
1yLzESwxNGLVlnsQ3evivptFA+SjHhhM8XJf7H+ct4Sw0cZFWCfktlG8BRnL2k0KmeNVKSKQFLh4
BcUAg16Khv8fOubYqv2qY+6gqNA0UTlkGSgwBBCbxj/9DtliMgFaaTykDIG0i8S6GBz+e1qEQK04
UQ0F9dzZWz7AzCJ0yifTBSfroGArwBMlvMYtwzScHNO+lOq0HHUpSu5w2HsE1IdfkxCXRDSglREI
xfL0fSDX8veBuMJAbIbjY9xDLKoChDjTD9hctZA05K2+rqvSw4tt8h7ttmD7uKmgp/rhq5tOuyRy
wm5N9BrekoiTELizzdy6kEWNl8e4gpK1AWrh0Huk+TlEsJDqxrGNQiw11eo1b34E+Shu8IZbhMJf
QEyNbaYZ7DmKYu3Rb2LQoQrr65AZ3n7Uag/5H5gpLolWhSfCI5n/OQlM9l1Q5OznIuWdl1skG5xH
qC7k59IbvuUa6DZayDyC2wC10zW2yevaBl8mCIm9bxnQXmDsf5PQfYMyokg2VHkNqZ2f4BfzH0uc
lh6BUkAWRVVk02wlUBfYumWvG7+Wl9LRQEpZVOmrhWqtgLugVx1xgUeHf9b4N7fL0rfJ0KBizQ37
0es0ezfUnB97Fr1PB2nA+/TJa57SjOOKA/QmUPK7Gbof3UTi5a9phnO4cifdIC8gb2mCuWoUl7zY
thfDhkYbL7JX2Ao0Rxrtwu5mqTWGv9YA41cQJqMPbRIHCYnU6vX1gNT8mliUUciE8z6vvfIKbBp+
aew6WjsgJNv5aTRoz+BFh4xrdES1B3+JVSNArhgIaQEfYvVQYvA1RZGcF1sKAYKEnzheVQGZ0B3r
nk1UBqqZFF9HgGIpHZtDSA9obTZu+1RkcxG8N/R7w2/Bk1rn3tnUimJF/xWeE+Wr3LW084jt8Av+
JQf6D27wStsplaQdldSr6bY+2NcYCAviiiY66SZVNC0RNv0Lu3SMJN3FTL7Sj4ECrBr5BDKpibiP
Hw0r7PepYwOYkDu1w0FzMnGhxrQVYnjih16BsBf/qMwsxgY5dTvUENggxgC1+bSjH4RR8AEMOmCQ
ph9J02jxzYYcKVkUYYfipjNsP8ii6Tzx5Tyd42bo0KAWL/DZsJmYf+R9OTz7fdvhQtBLQf1syW+V
5lkbpPSA/qwgtmDF8UmhV59LUFA/xHWYBshFTN+4iyvqfwqLalxv0fRGrYZavVyGIX6TYivi2xLI
lZPT1zVbARtWngx9jKogV917u7WTuApowtxFXc5r1ktrXmT20UwgwSoGVWMs8mkS2W4BvURAoBLp
uJfJlYBE6oBEeB0IbBzVUM+scJZzu5IdhZHtFn9v2C0yWzLqVrwN0w3F2akFIhOaB0ZocbEUmwdW
F14CP4WQbTvIrvQgRAH4AfWU6ySLy6PohNiFuC/2VEFcrQrl6gT11VEjIISuTBoYe70I6tbMjnOI
GmjFDucx3H6SEYbp6Z/W6aPfuylsvnrmhL9zTTdOGauaLy0Uh8DcVb8pOrl95gvA/JUJkoYHu9OS
59RNi+tYYAM8Sq96W6Yz4bTPQsS7qC/+4Jkncc5zsnMVYZOIWs3sDPgxeIkWm3oUo2ZUbjxtKY78
meFi1+aA2XQ0Qc2RaWH4TL2uarS513z0qjhDfiF0IYIbZYDHNS1AwkNlfcUvzq4dRfLD9U0Tp+5G
v4hqwi3/NOUr4nJwavts9W0GzlbG55lTCCKEOHsRAuKM6tPf/TsWk0ZN6SZ74U+XfKrMI2hpzaOf
9IW1KpsCG488A+3ONIQJCtsxPjud0MYQxRqKHnS23yd8LMOsFIrIovudtCNJqLIB5VVgpqLdLnqS
pEh5Z/Zx+mh77pZrYKMWfVReqGmhmDf3yOzNtjx4crjc+e9ibcUhHkPEYAtW9c/zWdPae6ceusex
RV47c0br7PAsfLHacEev0a4P+Y41fbilt61fmOD/dPuXRse9Pm8U2F59IS7TE28MX0BsvovD7wUz
xBMhyT3sC7Qqf20VrPwvg2DjMDLTzF//CrPs7puo2Aa8a5DtsdmX3JP8ZoDS7QmIIHnoDV0EZFJT
abJBrisPdyBK6p7Ih0nCxVU0KFRBajPa4WqoEkAb0vhLidvEZzCQZ+eE/J4Jnonc6tYRdvFtkIFq
7txwG/Tqvi1AkhBGAK6YUbXSlKnLRNuNBXuoKIR8FGe3OaYsNje/hqgePZGHFp2XU8vf+eanQX0T
iie4GALO3dX2AOjLEzVNhpuIYLGB0/vF1gz5HilB2whMzvQHBS/+eQU/LFfgdPieNra14shXPw1A
HDxJsDgHfuqURzJ73SsfbYDqyaImk3q9u5sFbMJvGdKYQImP+CIHz1mWZDsXTDMbKVCuWhdJ5gBC
MG4TTYxHrWs6eQR91QYamdUtdQv2rAiqwU1ivX5YprqhJ8vCLb3+i7WM/W/zyr7GXZ2uQfhPpTa9
FFBia/japQa/5LEHqLRyt+DR3YArmO8pAepM/hNz+/6Gk9Pw5GbdhaKwaWV73ek0MJhgEnQoE9Bs
xQ1oTOalbb0avtpa+L40pAvyZ1OT4iSBq72OqumFFUK/ykq3eVTrqGVTFwnpwNpraYQvtRGVh6K0
pbnzO3DDNF56oYg5OIzy/iRxUVhMJaB/89x68sBUYQB8Y8a6Ca5SEW8AkMApu58MPECtTc8vIHA4
P3p+wscDKYSPDcpUakvbYdu3i6IINTyMJ7c6Hp8dSP5A4IT5e98IHaD5W/vraA36qhomZEjUDr2C
CDlNqgqZ3IrB3LTim4tzwd7ovL3HIMmD/1HJTgMO3nODvxgfNE3TBAUK5Yyo69bmGWxx5fucJfx+
jdkuwthf2YkQUIrEGrQm9SwAW5P1Mn0Z+fhU8wOXEOrNy1J3Hm8GrzvpEGfw86sf2tpuUVRFXhbE
Ikpg9c5HA3e+j/m1UkuiCGpwUfUUsRS69p5lPTJRVSuIpkU7Mk1Qwz2WkVuCWajLVuSjxkhlcfH9
ZA+KHOhWky9iJiojkAsVHn4JA7/M35eiVWoDbM8ysm+OX1rbPhYTlBDj9Dag1AJKMiRLxJB4NHBX
1arG5659As3WHEF+3Wfsauf4YatJ1JA/SX7WU+Q8LO4h0VDn64vz4qp0M4WeeGEdaHkakD3Kc/00
rnbLc/WqdtaTF5UbyE3V0cpSn9eZQDi3rEWfF391bbD4MoAYTmni3pZ/FiqMQMvfQSoh7b6G1Zi/
mT1o+M3YAruPMt2+WunxOH0xqtI+dSBHXDHlr7qOBU4vUMiJc8ZLhSXIn01dtqv9OtzS9LgaT2Fb
ec8gDfdwEENdM/mhyeGu7MgeD9UQBprCRWioxX+A7kqDapuab0MFf1gGOqhHB8ZQazsaYGqUetVo
vTpFEQNm89ci5E9cFCsDwXa+83OxK13hXxd3NCX9pbeBoFArzM9VnwWvlOjk193VFGZ/MVFE60FG
6lw37eeGfB5L3n0MqKlitE9/F1r+zUwmQUfWs3q7LLuEQZXFABb/16eOIBPZNfH0due/MyXNpVU5
+GTWmQWYCZliatkxBtE28vTNAXS4aUBabNR0XBOPE7SK2ryU18WPlMewgqjGhD8MXTwOKiwDZ9L9
fG6nYp0BubCOoW17RlqnAC22zKLtaOQA6UiJ2mrTbNwz9G/fGxFxpLrS2jgIQAoPNECz5+jZHmqQ
vQMLTbg5bfKtJ9xTkEHAOpRONBsT7OAb8rWisp/y/FN1cNFPzQZ1zjpK3gHEs/FOflL1VxaLnisd
isWosemCshPhlQM2tk8EtGFtFF/ifYZ8QG202P2CfwxlXmi4iqunBuxXo1Ztyde6uEjDOQ2TIzW5
Jxu3qUkQ+yZO+bjTRyVVyLPT0pi/mjTgh0N2qlv3W9/jdn5xLbOM0Af1tApbfNT7x+VoxhJMc+MO
d9leD9LVVi+w41E10lCsHHZA2iIDTkXSgwZZKQf/i6vCad/R1N2Hj8DVNEA+FDJALnPfJN5l0qfw
aKgG9Yi6s6IuNZbIPAjLWXV4nLvL0BxaeJGLQ59k7wt8ipJT3+zU8jQHb3FzjyKSLXdQAqHhOxW/
tY51BksiLt6oWyUJdPLqBLUGU4rCQy8BwR+DuG4wd1V4JFv77IJl6JiCusFBtgG/jDiDbM0R1w/E
u09NFzOAQ4CdaUw3hdSHZ0cX4ujH0yLoBMP8CCE/ubzO93fAxj75WoxDkJyMY+3UBjTkYVKvVCb1
/s78F9MswQ0O3bXxax+Wz0NhGfsOh7UrY6O2bgy9egVFJt4jvV/+NK0G3xoQyA2GlO+mSoofGgMp
rHQG42V0vHJj9DZAWj2vDghje6kVEFtWK0F4oXplCYOIdl46+EHhy8U1kSarOvHeQJbK3CStJwPy
0SgyaX61JhtgdvvcQdEuQGGts9U1A/9PbookSQ8utmoteh+IAUitkkUDtIRoqwSBvy4+O1FJ2eyj
eqzBw9AYpr7uqkgRJETDSWv/LArQawfkogaQshRwBXBfaHhhJ2Gln8k/x2XKhl4opsSgn/KhAXsk
n9N2dnKkyAzXKAD/Zods5dpNf0y6GGffAdUtRxzGoRfmFF23b6NoPILaLbQ2vitVgBr7Dy85egDb
jRMFLMss8eNg98aKIn18tpVEof26t4sWOm1+MzcDspndBMWGOz+ZYKwAZ6KSkviIJ7/jICPF7H51
5ycz8TvwuyTW02y1yImUoIsIpxW2+MUl1qZOuMArRdWB6hTTyn3QNXfc3RU1Wg00b7ZLaeNsU9Gj
bOyHtod4wKdqSAqkBSPQkoSru+pIdyjBK/ExcS6OpJi5SzNpDWZ4EPj08m7+Bgg7nFkh2XOlL4ep
j5v95I4QWVNcEvR94NjaqbUkX42h027CqB8gb82znSbrGgyL8fCcx9X0JPH7yV3cF5InxxYxsVvo
vSkzTML0jDK038mKYizhV/XzCN14VEcrCwS484Jk4u5fnAAS+4aaOsg94VoMWkHA1ToFx2Waasik
ZoxQi81UiHA5hIXnESW9TiMiw35Ykob7ssQycVl7GV0esKwggIKSOJriQ1BDMVI9elkh041vorOM
HUFzGYrq9gK7rEX9704MkMC7FItqvjl2cdEsMqm3oH0/YslPS2b4szu+X6G6fToeyqR9wa0PSEAn
FoPFLvRPwg6rZ8+rXqhOYvGXhqyeVTxVjrsoH0UxP9is3Am1kJW9a1ocYbBUB81U9Owx609ppZlV
sNjUm500vswhc5IAzEaaDh2nj8VowBXCel+nUiM0PDsXm5wUnlnC2DPNnD/T4r//OPRp52Ucgb8K
3bdsv1mlRm2gn9XgoehBLqwaMqkBCeUqRK3oYXFRD3ho5DYXZ5ta9cm2rPLdSfYyTKvS+mrBFljP
laZ/0/Bi/+JLf8P1wnnzhtDa1ho3dmQmdhfw0ra+thqPjk4H1SHySzP/gvL75qnV0+iKnw8DoBXT
iwKYfl5q4FnyDPMJNZkvppO6bx4Du1irvitGw7iyuDGu1RQZ16TTf6+cYthHeA96ICsujKOVJ2Dz
RMTs6127g0pIIXH6d3UzWFZA0WUYo0iQptqFqW8mV8OdmZqLq0PksKgL0Ne5SQ1x5ADGQMNTPRdU
lXIP2YqfE9Iy115HCY5Answ7AyudnBIFz5dA0UBv8MMmZ5GW2H1SlxoaniPJxomiXqWJVNxp/3aN
ZaEZwa+DebrIIeM1aTLIcCu2AWtkuQK1Wtjs0hEU6a5rvo0Ftmxhq1uXLPMtuWZprJ+SKllTRD2V
9oV6FEK9QfL3pcikpqhuifklSfT0qRvaaxWjFB/0delT1ZrxA+qNNzRGTY1vr30hIbe9+FrZu6su
juPd4vt1IQObrotRuDvQRT5pY4bUFdh/T+PgZyd3QO5mRd1eC1HbQ10aZ32ToSQJvJOO5P5ackfH
Rd74ufmffEhIvM+lad1RyhDf/R8r/ovFqiKaODgb8SFoNZ3h/N0Uw6Xzuh7ViAn0FrLQvXVh3wMU
MvGfdZtB29IZv3LUmGzdUDeBjDVw/2UWwEXyMT4mbTS8ZGFYbKMeV3UJyFxesjJChQivRUCj+ogL
O98HxhB6by/UJJ19QNYhfaR4HcCfYDRxlqZBB9uEebU287tDxMFO4RYdBB49iCCdJk1rT9RbTAAI
eoCPwXtGPtMz25OumqKHXnYNghDp5FdqwG5WIof+VLEOuTlyNWke4NTqnmffkDUH8MRbR9+qsLtj
BVQMPCM5ZRKwBGDdornphbZT+naA6sBfhtO7nyIAf0cFcItCrQRS4BFqOn60mQT3U9QWDywX9QUQ
NW+F92XyA6qWm6Id8m99UeB72s2GPeTIQdOZySsFAL34PjMEDW7i6/WlUopAJajE9sA8fickN+G/
pQJ8e1YpD++pYFDnOVrQ9T1UxUjDUf1vnLH1B7VArBQa/Vz6u8nOnsnSErg6Uoj8FDiiGB/w/2lY
fxoKO1Hv0xKVsyoRTU0ageVUtI67o+T0MkC9wWj+YKzJ9rOlZITnWTownlbrfe+0rJ8HU+Vy6sxY
Rw1S9y3q5vClmfrHwvHalwEQ2g0Q8e5G1kP7Ar7qEGmhWAY0muvMveFVs5JxPnUrc2yvrDLTh7Ao
uxfbrcXKEh7bUyyKp4ddDcLeNZKSuHOp40NUe2YdTG1snuzMNkCX/asdNx5AYhVoNtToEjc5Hb6I
yTk3fgVFKDeLz2GpZ/he7YbyBSUDim69iFdKD+KyNBxidbPZ47L1BB3xOWLx38cOULAdMnvHbfw6
/F3Yv3iW3SEjCWVBfVVOjgjsqU42Fv2jlQIJyZBQQz4Iy+MHs9h3wyBKEIGpVqABraIfG+QjQc4p
NL5J9OZrhnQGVMRdzz+37RCei8JBxr/lYF0YbVSATHl4nruQxQvPZGeGttK1xEf5M3bOa5r8Hs6m
P1D7ku1mk1ach9Vk6hkstlY1igzWtKAXGtVZr/ejb45lANr77NTh2FWCDQsva7N30hM5DTUiKYic
NJw70x9GmXmKLh+v/79d4tNqc5dikwgvA4gB5dva7L8QT3wdmz70hWp+jrtCw5dV+yVTcj4DF3/r
/5t4Wqf8WCe3puZQQ417JRuxVhmHV/D0O8gljevJj6zFApOS9crlNI9BPuzd+nUekBN3qyzz1Fi+
A7XctKy6PFGNLrHq+Yv1MUafzQNQZDCLIgriql5bmdYHIA9DqUs71fzUq8ZwijTddhLgVaFP/EQ9
1ucOeLc/grxCyB1y3BeXBrx2AsZsCdchX7hipkAlbje2l9Ia+m0GTAEokXl7IR/1ROu2F+q1qJs6
aQ0OgmqCqxrqeXUuAf9W0/R6Olllaxxm37IK9ZoI8vC8gPrI3cDyDPoYHveRtlfrLQM0g5758TEa
H/KwQ4XiqnDS7aPROrW+py4qPNBFoZB9hOxM9e6lIdQuJECbOY199HIBqBp1UTjRQNtb7+qVKJlY
0VTWaI4GTTmsMi8I0kjgxHPseSM9Lh4HlvE9b+QQ5LJCLQI5AYh+4p4Wn3xp8kdy4XX8HkcmNTQa
gxIvBePfafHTmj7rsabRFvN8GlWxHFm2UwhGhdmP8+Ffz1ex4TChJv8jbpnvVn6+NxxjCOipy8BH
7OJf1szwwt6g8NvBNyU4HJvNOI4ChMJOh1+Awqs2A9V981DdDHyypUqbgOJhDUDIBv8cebKTXp6o
N5tiyrTVMqIZIwORdIvXUc+cY1bn7jFRDZl/56OQ0ZavuqZDi+wj9m4qmTSfQrLIBdUmDqZ9esiq
KA80yIri7OVeWNHEgNzEn5tPvtGPDrHF5gg7nU5t5TgrvJvx1+lYKOHipf6YTNOGpI+oYWaZBU1S
mKfZNw7VDgjKGvI/jfOsxXp7iCFqUjONo/BEby5ILJqXyRhR16io2bNngH3DH8t4VVm4T8WHxalS
hpq9HuOifCjaqti5ounPzEybQ5I14YENmnUy0s7eSYMP18GM2ab0y/FmDiawAQX3XuKEQcibjcO3
0s7A0sDT/occsmsnR/PPTsP/tycEcIfjF1cDqU+gR/xojLr4WWvih8688S2JcLleQPsN8sGev4rx
GZ7iSnab5WMB9defwbJUzx/LsJGxaoGgnz9WG6JUuS5MCABAl/GAykX3yTaUENVonktldYnlPtW1
Fa2NCnIgOcdr20kj88bTFxqjqBRXI5sMArUbCqABG3SAUIhPUWeLdaK2z/eaXbYregj5Ymd8NVvg
3ikee1l2nDxgGWgNiughLxG4AiUhZHZ9BaEs3K4uT3EKFoHZJMl3FCGNxrz55jOS4RJc3RIMmjou
B7+aMsQ5PNVvsYBEnB7nKaDhSLTjOx/6eFrLdx8Rdj/kK8g2+NuR5QMInm1V81j5zZl6pQAWXbNr
bUUm8vPtPLDE9dC0WP13hLkBPPmvVUim7oExGyhhy8agC+DSrxhz/NY5TMcB4bFx0r3Uoc5kMlAZ
DXGef3cj/3GSqBZ16zQop5TFwAlOqLXlyR+hp38b6lx/Q7aRBaDgs168ZpjW/WSDpq5mHtilR3HO
YpTuCRGWB5OBvwgldgSABE41SKs8+QrCLw4yITdak79pdOQLMte+yiYenvIkfyZEj16G3sZozQ7F
eXrAXe5CJIhL8FPiVgnXhT/6ZkrWGgDV+HuX5YNADfmqUQPcnE6Ai01fCqj/4qykH40cSpkAkrhI
pXbFg6dZD6lWuC8MFFgvoKVDfaj7Qp7Bjs+4zg0fytZzXvwE5IrjFIx1XLy4epRf87J6JqtXLhNM
Q8jtNje8C/gLyoyAyHBj89BYXfEy5Xm30zOjW9MELwNJZiqb5JRPTnnNbWsEptjhGxebf2vta1l5
jUDYuMqV0+LT95IVf7aZDT5iUDE0IWqHBy3Qu0bfm4RNcg41dGSeUIvQPdmh5e7TukIFnUIqUUPx
TjHp+06PgWWqT5XByyc+4VJFIgXocG8FyQ5QfYoM13KVbOeGzCjLcBYFegJn0cZEtxjkn33ZQ7ZD
BU5qgEbv5v2jOS9F02g9CAn96et/9IZSju28lemACcPwNfdTs/iQM0cN4H8Nobn/Iu5fhKDErdvh
AHv+F7HLY9sJX9vBbP/6Se+Wqcez0Qnr6BlddxpCrTtRj5oMBesnMBt1J+qRr5K2v81b/rq47qYu
A3dTKQ5f97hsXVZ2ImglesbvQ5LGSvgepR2gDYEUBRrq/f/4mspfowCSH2qv+4/lHJ67mzZDITbI
E8ZV08f+b8OAXY9iVwIn7rX0m/KNQbgJlIC9eLCFARKJIq/2uZ64j4Xsr3xsz5kzbBtwbkdBAhJA
t9aUtmm89yfNTYMoxu97rzwYm6OscNxWoGb/08rdUxGPYPIWzlMexcMP0Nl+l3jh/eYXMdg++zB7
wq5FbMGFWV6WxqsG8OZmUXIRb3fexaRer/0/zq5syW1cyX4RI0gQAMlXUbtKpVpdbr8wun3b3Ped
Xz8HSbkoq913JubBCCIzAcpVKhJInDwn0dwej7G1HTTgfaSRQS78AZRKNF6SnUPd3o2b2pA4mOhR
RQ+R6mBtxJp+JJL+LnuR2DB8QLO5fNCxPgV5Nbj7Kcrm9g+scOUs5GBYvu16JiopYqX6AKUfb43i
x2In6qYAdykUuGKeOmAOnPJ3MLGBfBvEQvPYOpdXEQga22dxhIx2xFc01nCQVfK4hXyHGouK3hAP
RvktmzLnOzfERZvwQI8FaL4mKJAcke2y8XTlBYQNuf3dGLejn8Xf227gbtF04rGo9fFUQ6h9jVyX
ixfngNcqlOMdHe8dJE6dJ5wPpiCIDTaLCZxyDkSsg02VgZyDosjp6S3YitQci01rAQd0EiwiUCzo
PFFcWuKtLJnMXIqj6brUyU5OLt+WoXYki6cg2onY/t7YyHgypFuwbRmmMzhiORZ8U19vsD6KADyD
kZoWheTDuimF6da5h5VCmeIxBkIGLPjBK7S9j+Ra8xZIx9jPgSiPWFeoyTlRHO+t6Qy+Xb7vhJAq
td70+VoE68CPw6886vDlBQWaC3zi+DVlpnCTsI1P1JXp2pF58FU3A+s05mAChMAeSMAr8GclYRcf
6x7qOnif5xA38UD/JKH5wvGx/WY0/8zKgLtSOO1liUUh4TUWNfHGRx0Yh1mhDEVc0bpOegi7KQYA
BjT8cQAAOT7rY/Ew2P2fYYzFcKwaK2uuTedrt13yUhyF/K5LDgqRWiwOIRh0hxaKXasxAfNQJ7FR
trMvaVHFDwmSvjg5V5cVKJ0eKCLJhl1WAyY8WA5kUlea7UTPgWdFa/C9+GdqZAyh5bVh6sUWjLuK
+GJs/F1Rxt4h6FACzld5iqLqIYb+Nmu6U2VVpQctNVzapQYo9eKa+0Vus41u4bOSZzZS/E0fykbt
yo4mHJIZrOpQFgGGnFYR1JspKj1ujA5vrAdyax1rjhVSJHJnWx47GMx5JbQxtiDNS2mh8qnywPXb
0rseSPxzC+maM4X4Tj8+qAEmLRyWYPKOGlaoWWUcFxx4H5dI9MaQB4jAnbxZsOF0RXEsh34hAHX5
sCo74EkrsFjjPD8/Far4YmnIxqgA43du1Pddo1GcbK6ifIKyj5phCcZpx6nH8np3Z7+fFCSJvwwL
9XSb9H38lDUh0Pw5/1HgQuvBXcf1aIff/HwRDLB8xihXb0njI4UoLfhq7Y7bqxlR2VU/opiD1kpU
EHNbMJR3kMo75OXnWF/3cuxuf4I2b2bB4T7gd9hyGI980sojEgPDiZrCjIdTEpnX7pgDFBYXip7t
Fzt1aQDF3nWXmarUBPsuuQVg6UOngfpF3QxnENdbUPd3tiVEFqMLzrv8WKu/tag1UOtoATJP3Uz9
EY5dCHlm6s+XQ2n8YGXTbcmmD2xv1yFo2zqUgnZU+wnUTHmiPl1BIa48/auN9TiXst5/F7kMBONq
uxmkaPDYQP3CUqIAIoJh03SWde+guCUYKpabOvJNZC5+Ga/FEV7soZqlRPnRPMsyFkdG1X6w00bq
G7tPDBdQtvoB1M/1w1h4bGt63t9kWhrITYBZT4UtjVAD6gJ8gygXAKb900uOpXs3dgJaAwSpPorl
1AR02yV4Gbs4fOykVtB2Bvl1VmrrqJ2sY4W60oPRx90WAhYdFiHVSXRW8r1KsRuBNLn93GaOPHi2
026xEew+mFWc6h4SWRQBYH2/v/4BGWCzdj8BwwQVnlHD/woY7ghAfIc7JhQxwZDrGJyBAbCFJ6/z
nZODfNiJuhbK4sCv8+nxkP879JA6XUJoBDUANGe73OHmCula6TKj5I9N5GDdPRog6Ryl+MB/5Wxy
Fv6ndoa/msxzwFAO1Ao3s/4A1rrkOeEJcLoqgmt/twAh/oXUg+fKBokakEx4R3Cjd+s8C1IwbFja
HlIeHHRt6EbQND/VkQC9aa8n7ywOh/NY+P8hZwVZk6faxgmWCnX8JnxtTQnd8yZ9J1PunbXEhASX
1tTrWHpvAvnKc6hKGXkxYBUCDppdo4ogbTCUHwIjdlbk7dNKgqC5c/EanPalQiYW2NduOxxTr2eM
Yt+11z5BDyGfWOPw2f52lZh3bIC/qHoMh4nDflS0GFQrRjatRqmDBp7vLdmokQO/ADriPVAvDNLy
ktvaTRna3UQUBn0g0AF9TgTO/43gnTb2K0g4ZgCXZ9MqZHH2BGIwB5te6V36LqoUTxi6yCJ5wFmW
15iKgSiNYoSTguGwAPFcvwJXyMeY9OPXHqJZwJkmbzl4hh+neAAKStnrXK832lhP+151x59hYEIQ
j0E7fEM2uzvdsWQlaWQek0EcyA5Rq9CASKXzUddRcmplFkOhPHfm+tkIFMrbFDQm4M/3UWUr/ciN
LcFm1dUqig8FFI5fnCEuXzMj3VFUhxJBKLeCbJm6NEcQsmY79FP+YTpx5EYOD45gul5hlZun60V/
UBp1v8uq9ovncSSkSHuwCYRlbOnSKEC3MQJfHyR16Ho463qiZsjy6TI0T6AYHZ8CgYbMXICoW2uQ
TbgJRTXlDgU8ITJbP+MYzqAvnM+DyCyEiE8g/nu0iqlVbO5rLRybI8Sj2wcy4VeCb7+NP4HIdvAA
pz4yEtNOb7Iv1LuLW2zkoKlirQvdDASua/Jyf5AN9mO4yXy5jHHaeP4I/4hZbkO316LkC809fy76
iMs0gfWWRU4ZeMA6F5m+NcLsCfwe8Tlth+alicbgPAr+1OkJyp9U4/l9ucnDqt5QV0pRv6RB8SS4
fx3EgHcDQxObB1VRl6wlNCtWvcrEUyNUOp6uCuR5T4ZmPZq9xnZk98FapoGgT4UMYMGexwWQD/vl
8nPQMqNn18Fq7D2s/tS0N0MoZgmc56VbxLEEyig1dze2m9uiQBcfZhnZ4iAdWAEPh/Zxc8B2HtVY
JvjZDWw+5y70CkyXvKY666Pu4qXg/+dY6HlCYSrPwcsFHOlAZyERjtEvKG2YcJ4OY64l0OHCy66+
JDXojjqUrm16ZLAuZFscFB2owf/dUahKinqCojAUY1DTiF8BgJgbKiNNzwzFLlC9lfWm0mL9KNqs
ezGROkQRaxj+5dtatALaGemJGu9nUQWfA6EvAO2D3G/mgTmKxZ/M2obOyS7K6/bMc5Rg9JHl92vq
dyNkI5p0PE66j+NslOKChZUuWR38J5S+jhpDZUscrVsHaopoSFELCe7wzRw4Gz8nNyaGlENtVS7d
a7nrEpcBzYrKffx38knHXVWOZyd75+82tqcTNabjAe0fxV2xiSOcGFYy1nGw5IzTSZCLLlkA4cpt
o+W7sPGc/dyl8Sg4mjRQ1vycT/Y6dn16XhQbyAw2K/LMxiWoA4b2dDOJE0IgaIWc1C5HMmhPgTf3
pXAy6mXUbfth+jYEOB1kii+WrtoQB4CLjQGCMlksPpBpsS/dTo1fur8LIdv/IY4+hbpjLtp/3DEF
/SoOjNXdBK9CtxVBtEEdqX6W6R8VqiseqYFaBJ+vDLCluG3t+Js7Bw1y+NclVGa6xlZeULuhjn1B
FzRgcoj4gbSvqSGpawtk+ac72++6KHFZs8Iy5/EtYOU3o2hAXIh2nfDO2aPi+y3sDGjN4MDgrOt4
MSZK7qr268CF1Pp4tstJe6nb8IXsE5iwNnFfVYcx9bWvU7Qjs1324E9qoJWaAivwB2gVTyF2DG+x
b3UP+CYiL0+zVi24OKvMv9jIET1PkQlkE+6G5Coqc6TVoxK7Cj9Q9DTH24PX7OqcoUxHTatD5Bmn
X9GXePIS1MvXyXrK8eesiQJUpXGVbsHJqkGoyspePV4BIc7nzmBk+StvIGJVaSVUJlRAgCXiBSVq
+5pP+SuZYmhKulmr2XvqGlHcP4CI7w/qUZOBTWxlo1znRFNOk2kfcgGOMvLmQ18+geUIqwDnj8wu
puNEJCxBnUGjKhHFdu5bIQrRUlaB3ZllOJVoCqxakHp6Jo6VpuKQFbcCcFGB6MU3gXQwkqeFpkVN
LvVxOpKf7HFcg8gYQOIt2WaGF3UTBtSPu9joRng8rhMkS0WBiobYAwcimIi8E3UbY5IVihVUS67Z
L514o1X6BM6In2PuBlKXmc24g27gW9eMOE1Ujah7gWQNYCyg06g30sx/2kAoKlskSpXfVKDtVms+
aCAUZjjKschvgupx5Wits67Tnh9tvFnmZkJ1/zHFXiRb0SV5KMbJoTk/G2/8N5dhriNzt0xlF6jp
A4PPR6Bzey0DwFKr9MKrIQGm00rAZ4uGrpaujttDLRrYJYorOmlCzkQNCSATbOteepwdmgf2S+Yd
lumWSegKQD9tr7XxRY8gaUWm0H5lvpNBE+WXu9/dk+KXaekqCiEbm1XYOtmymVZQTLCAGun5Hue+
79QTPLfOvdA5Th7T4Ycnsdaxkq69BpPbBvkqjZiDq3g8YxUImobmBVCSYkWHt4kuzm2Z2F+yQPCt
HrTtgSIKvwUfqdrLfkbwbORbK2e3EbQfxnLgHEXcup9D13B+KoYd5ewTi8m1VQEkQF2oFKwNPtXv
pR+Js4RSz4rsXgFplXi068Og9hs6ZIPuwjpldzgS//8WxtVsNJxm+/Wm/eA3800hrH296fLZaHJ1
UwqrNBwqgFu9BycBNKE8Ix+fo9EIjqNW4I9UlNaHJZwDqVc0NpKAQ+IMNxEyAXdTCSJJKEMAqFyx
DEwUkINdLwjkgSFLnjcTRNQVspkazwTDUWZOIN7HqHEYxKnXo69LQIof1f8y0cBAkFk00M0WzJ4O
qa4rYetGvErVtLEbdFb9SpYObJyupkFePculeF3iOzMQc4iRz/FdY0ArKpn28dQ2D6BiMiHzyfo/
u/xP+q5IIEncsAjY478EaKk2ugGvrgESG+4cPDBO2QM4gCOBF1OAOKcJ0uF7bk9HWVfah+1P2iYW
uXGEvF/1NKXcB44bEbVI3LGNvZdcD58SM4oeChPsR/Sfov+KFuW7DgvkJzIBgTuuIyB8toHHIL+G
8/+NFaOS1rNSfgpaDYwHS5+M1Jiihzpb1RqQcELg0miNGkL9342DZqFYsVpMCQgFdMhlAqwMXb26
2seWBz401ehy4o9OqkWHVEKvSpmA91UH9erSMsQP7BSqPYU1pof1hV9kMQWDLxUP3hZ1r/TUTj0f
T/vlyX7Tz6sgQ1X2I70g5kd8nVr/fEH0zDu3oneOhWG6Vu5DdElBwghIJcc4QBGqBeEoXfuJC1Nx
4MjyUZWgbFVuSBD37Eq8/d0Wb0r9sfZSqC/KPtwaVVB0R99q43MGcQq/7yA/SraoQeV9baB+NwbX
wmwDHjuBeCyw3olhPv139AfOQP/BDueYtqHrpgVRYh1CrHcctDxoQGA1NP6lgxKQnlkaZHNzYMJS
JtNNo/L+qelr2laWvo8Xh8NcSxuLtSlbH+n+gWkP8yX5BeeAQQbQdpiNDsOyfdBs6EiosuQdwQQI
ErBgBf4VOtD2kFPFWW7sLiPuJpihCHdzgdi5BqUmVDJRu4839ZT+cXfFzS77I6iVVCVURu+9dZm9
DmGWbJkWaCdt4h7gI0XVbcu8805kLLQC8IPYX5F3sVOXGm4Ml7pM2RMbN5Fin+9LJ9jxRoK1W3Ps
Pyy+QfZHrMagxjaMF6hlVtAxwo8F2QtIXYwXspgSS8HQUek5FZDadnSMg9RcETatx9vrxNv2bwHd
JGjOJwUH7k23oIRoZhsyltD6vDjCCC84PjR2ASCzeBDDNkcnVRKe9bp1yTY4DpJR4FffFkDRPFKD
mmruThkEoQCPKdgK6f6rB4WXSJla7WkiB0XrTj0e4rx6nW341Y1Q6kWDHJrnohDMWt9PY4MWIYlj
IGGCMgY9Z1Hv/Vj3HzunuDYVNnZeW+PgFRZQqfp4qalLtS9dqcTeuiiCQwAhpQwL4/eoKXuIqoBx
GGfh4zcOlRS91vN38Jr1x7AHH2CicMfK3jlYIdc4/t9V6sdrgxQeyAhPP+IsVLyGOrQckEgDRZ7y
Fn7lPeesX+nC014YCjb0rGcHr7HGteXroSuhNgdUTwjCEIkFEJ2OBUaBgzEzq0wQZjQozlVFE43d
40YFRPJWUPCu98kEgU1oKolDEAnxNrRhD16IGmTLqgu+4GnPLPxa874Wb0xXjPEZ9N+oCzrF7HnQ
9DlWCzEgGVsQSed4Haj4nkVfu0L3zjQZ3SotwJVc6daZBISpGR1/itYtDnylWMeov3WJJx1IheZi
M5w4gWPlSCad9UiEaGAJPBVpO9uIWN0MWH3JIZF4wlHDkUxZiyfcAObjvQf6/kDV16QxIFb6mBiX
wjdGVAJO2WZQJTgJ3lRbCfmxldEnqJ0CrO7D68zpQZpt8GplpThMmQEvkI+5a5vDjVcoL43VBwdj
Jbz4cU8PFZe3Y+2e9XjrcrbSDEhAQW9lAvFY51gb4TGc4jSK0IoapHvzc56POZDHyJ6R1y94uAul
AG1GFEw7K4PYl6ZF+hcPoniWqmuBFF7pBqzsH3UoYDzWYTW4VAkz1sZeDmP20TYphE+TbtrOe5NQ
bVjoVUQNTyCbva6F3W/MRj0+aetimuOjVSpyLBykQbEyOS+FOaNkOLOmChzdR5IYQMTZu5TnFH0c
9ysKKdUJ7RTgy9O2IGKoURZ+MdXDg66KMsRROhRcLZGAKpds1LSoQPZsIL2WWLJ7RgUiGMgIb5dY
ugryjIOwDbdQWedDkIPHz5s6ULm74N8NN3UW9Q+tavpc34K3SB46FLU8dLroZnthVJBZpJDUSruN
SLVptcQ4PXQ7bvrAvU17zqDlkSEBth6UmogpoEDOmQ6uC/So4aL5q64hWAmkMJaAnpi2WVj9J2jT
91ngZha7wXEkZG6oFhZvXs3EeZxeQ+tSbzPvwQYDvxuZ2fBuoIwLWQV9eMe50vVqUrYGoNVjEzN7
uxTGLXVyiT9MoMNQJXWLuzNb4K8HDb9L5biprRMe2NCu4ctIFLvjq8DZBnpf4yMoR8fHKQy6TZTZ
yDZM0JxFPZsyKnc5xd/AhSn3ZIq5iQc5qqmTh8Dj6yWMrjxUCRiQnaTvCzVQIHiFFFW1j1QlWEsP
L3Is38LPkPm7tnz3KK5HvUvVdmKfZxY7JthIQ8wIV22rSUhjqMt6uSR/A/0ZnDs2v/FP4WCBCE/N
cnM5z3Uz7TJNnmYXP5QaZN9+vdPNcIoO0+zYYaK9Z6fGgzdO+gMYFa6Npa4gUvAO6L/ckZ1MSwQN
oKGzd+zvY4MRNCAiSKetUhtYAeAePdZDVnxE8bcaBEHvrO/bJ/zM3siKA1XngN28D3otmX+UE082
oV0me/LqFktXPQrUkc0FtNxxXtgYo+QBywXsb7Etpg3yvBnOEv9psKLmsGyalzgmJuw8UJSyigDQ
grQj9HSg2Klys94lI66S8tduxPzZyyJURLoquLFksnIMCfWNIgJKWnrQpDz4eA7gZEkmG1uIIl37
SXUOJsXQ5vajE2+Jt4NIPYjGg0ELBOFBvWHQE67X5L5ygIBRcXaRkZqF+mOx6WqK3sjqDQSt8ZZd
Jp/7KDm+nWc20kRY56LETeDkexSxD8TFqB0ry9IAwMAV2SCy86EVvAHeEHacx10jBsa9DMQe/xzG
x1LLADxE5M3lMvcyR9dUEGHukrIO1XsJlVNqwQkQ3SYyxv6QZY0OhLNajy7NbGSxfNH9uNqZQVuv
zGAsNgtF3x3/3uJYOPl+F9LXgFbFyC2GLQgLITryphldBi2aMV01qptGgfNUhNauMHBU7Cbd30DQ
F6+6GIGU5v6XsArzR4qsRx7inFvzjzRPnDXlBmTFE94ZlXwzo7jeCx756ySaxksMObdwGMGNQPz+
oR4DNBmGxRYVp2BgUA3QW9A1o8sqxuuM3BRNjay7CGXjxruPpMHJ0pFGBbme8e5Z5p9WzcAZIfqd
NojoG4vqYg2gffHo5EgElHbzUdq+VEWwUOVTV0tzYzNHx+1j4bvC5+I++CbucwLwyd5O9bt7jNLD
n99yu9/FLFNbvfx+LRepctTr4ufhr2ifgRP+wo36tofKQZM+h0dTFZzkhQ8KgCn45rXQ7RjA8HLq
8kZcuDHGrmlWqIjUlFRuC4LVRHGrolSF7cc6PeW+oltVDV1RM0FYEbren0YaxgwBGOPPEb8bdmcr
Iv8pBt/UxU/77FQ2EiK0suQf4DlSmtCZvieVtWpMv5gQdkNaQ8vfhD/i49fBpc00sYsVgaWdWGDG
VFfU1GBWWg8mg4yD4sicqTCJ7pL6SyCNm92ttmODBQzf51Q3jJp6IkPkRFAnE/Tjkx2eWkBGr6LF
VwspGAulZdzgHFbFLFrH4zWGtJDJ7KTWEkOWnzM7kf3udLzymdp14M0ODdALHmIO0AxTcRqt8dFQ
psUemxlbe1nB1y122age8J1zzvwGqheTBNM9Nw8OVsuAkINQkQ5NqeugwgE7SFRBNqOezV46cCWv
TOKrN0KdV+GAtiZlIMMciuQgjcB25w0DEC6Hsh5BUhdZyfRFA4H3GqwO4sIGg88NZ8EzKo0hW/Bp
d/TBPvMicClqsQ9N5uziMQZjmRq+OCB2J9wxhExgbWdyz3LtK7TtWbC1IGF8stNcpO+DZJULKkV8
FuoXSZK5o+VlcbyHOECJYle9PULzwkpWSrQNiGwv3wy+BGxMeP4K9FsgLR604OBVAoBjAUoxLx6C
j77ptL0JRWsImqLL8KjZ5BlDyZEVBR8Q58JZQB6kZ+pqAx7VgHu9mmWNupAAdP9dsIKocWCg5h80
cB1b5xFgnRWkityuswLX6ZH/rwZDid6q8wCVEscKpIrsDV3ig0lzjiL/HEquiLL+dMl9rIdszsPN
qMa3yIXZG5qa3AHYaoDoKqKNJ3ss7Mps9E+B5ufSvb+0KcBJLP80X0KF1DlYOPv/fSTj2oczhlZu
vmj+kIH3IQB0KfOR/Jz0TnOxFM/jdWMx00Wppnkq9JexDsCINZnyIo0u/NZjSY3cZTkh6aGX29jg
zQNzTJyKxMm087AffdJTHq5Tf+o/tLj7rgPg9TfmkWkJiKu1biBS5Yf59GooxIDq9QBPLr2RxSh/
A0WJrkphQpza7PEZQRSsulQtM4QdX6EWLTyQjQM99Ww767gujMuE/FOCFSFOxwO8x/Pa1I7UzH1y
3fRbDgT6avZxJpnbxfi2UVSDDNppiV9sNHxx5NB1gWByALqCbeaB9TLRjW2N+phvzI7ajRmY7DBp
ooNK9j/svdd5F8uPy11MoNRAwUtHxQkKdjhxou6Nh/pTtm1SUNBQWOhlryP3Uan0GU/23478ObxF
YuTmBsLoX2oj8aV1yIJAX4H5W0JSNKc/4GlVOLoowEsBoxDTrhsi58CGiGfHIJb+0dCyLVVBF0XX
7sbSfJSGfS2MBtFdeqImnwqZryiO3GSkLl2RLRhMVExTn+qi6YoauxOBaw1lFqyvAqhONUbraIC6
LDVlX1+v7mzeIIOTkVo4Oi/zAu1dOPkTpgN9LjyQq6t5bgLnkU4Vfc1REavEB0bbgYYDpHtqlMfR
o54a1F46FyMekm1gD/3sWB79fRH9CKMhhzQE3g0Um6aTcVZzpFp7bCIoT6WKbQHZ9uoM/bNqQEYX
fRDhrXmNF9qNjWLIa/Y21KTDzt80+VgjG9KXGEh+pR6/t8zkgwJH5oPVpmr/XOC1A8F2pzYbQA7y
5Bst+IwIv7uEED7XRu59RvJSd7HNQ/D3sm2g9nkAN/EdPokMM/CoKiDwOzj3iCfCEjHP+gvkOt9R
8mqfqElkc726t4UQcfYdVIwvcdmvwf8+lqbXuyOe4CigU727WDE6ycb38nZ+atBf+PxkmJ8S9Hef
qgeKQc8WCqi2vdY5x+VxQAEUevtsma/vHimW76B+JME5KRhgkfumIuz5UnKGWsSMH8jmxGmECgcq
3Kafqt0BjpNJ9t2Js3Fnp23nForxn5pI10vXQNJjJyfoB5AtSOTeNMDHQqZgks4586ojsg5d7NIk
Od7AhQldMFOBGVEAXW782PZ2vcIlgnFenboa8kxecJ9BOqbp3m2t5U+pqb34SlDE4NAiGGMbdYl2
GW3yyPT99qIJCINQIrIL+u9liZQXJR4dSLIIsO80NzYKo0Sksjc1kmeLia4+7RRFJmrU3Ev8Mihj
SJCF1dGUndjSefbdoTYdW+ejNT04FrQVfzlpJ99yzF3KJthibwcC+V8Pxpc4cjiocV7RDX0jDA+8
tr7gn/EWxTnfYCkRbqXq+ijdBkVsX7jkhdR5/WiM4Au2WuOt88vqbYQ0i4okyyDlkw+m3UcanLZj
6I6jhkIXGxKxtQENqTLAG6jV+w0VsEaABz9ABDdc9diz1m5Tg2/R01+pnLVuI5yilWV9oi6SY9FW
pNUxkoW+mTGluSp1TiV44VdpIEYQGqK4HZ8PemzKQ5DTgPezg3pOKYpDopvqPN87hmlQapsm6VGW
YzfemoyBboG/lC7biHsgfUBkmafXqwlHhtpm8dxMRMZBWMOhr+xZl2ERZ1h0I+5sOSr014UNSnpy
ZGoPRFfU6LQxWvqk7AAQxu0Q8lptItc2CB3WVlRl9oF7LaBuPjRDp55XD5kC9xchS8UZp7TFFouB
eFVWNn505JdCIrXS4RE7u3QQnIFpQA3t89ExtjQq18Z4NfdlENZAueK4YYwB6sU+xz9ZtNQDRRuW
ekufOUjbrGYfmSlgiOPgpH8D7E4efVo4LuOkGjwPowH2FP8NEEa49b0SD3N64HT0lAmjZyMV/OgQ
8PPGwXWvcKvCSreRY3anAJrNKz601Ss1Thy+J6JLz9SrR9ve1ZVnutRlKqxDNsowJ+uZTKZEkURd
ogpRa0IcRJm2vECAYUvOyZDIZQJbuGohYXkgG91UR5qYdePWR8YRGd+ADw+j50i+FZ1EvSlHVq6J
bY5UNTxZkGnZ2m8iyDzooPVSthtH2UKWnBnB+JAVXgvhjqBak61KfJyWRfbKAmz9a1RETw7qpl6a
oeqeU969ovYl/4r3idw1Gvie4nTKsFIw8aflQUpXGxr9PQ96LF0wOi+d8WhHINugLnZ42CgEU3Ca
uwFKkkK7+BIDtXr2BtRu0Ww+H3HW7/vZnrrqIwApHyFBNU5bn0tUGaomK3oUH3UotYfmm5wdGpIH
ODdJUAhdS5zlqZBIcpOt5mgzKtZ57g3YikYwLvNMNdQN9SE4W2nC5qnJmfpZt4UMlbVqGyuCXKOJ
O7da+jpOvYHng+rRVKKuISqYhx90I3LQVKxwp5G1l5y3m9ILo7MJwcyLoRoPJaeQVNWeydS3RWVB
TRMQxwbvkvUSR1e8zf/qKmM8hGBavbTIIV9A4909MmAoKGCxaxAC3vVBrSQxEbtMFEVD4tpeYGyX
YPJ+frjAGx4HVALvTY9VJ9AvXhvk8BXC6LNPV0uMMSD5Z0NYYDEtsWTD4dTtfHdx5L2z0QR+aeNX
hxLA9TLB7+K4EN0hr8yNroo/tFqITdwpSCalfpf+nCgGAaLYBGbcrrEVrZ5pDHSy/mGjuAarrbUW
dfUzBdNcy9jx836L7b/PFwET6eIEE2Vea0OX7EZGiwS1pDCLkz94WxLOIsK2WViMHBHXtnMYS/PH
RYGrs1GL9jlqGUpXvzppSsP291CJLI7LaWKe9RAOy3SkyX89YcSKqWzBRwY9tsJg+8U7nzhSHwXh
t4NZ0aHsiDxqHPBHbI9jvapdk0361g8T/KslyAoj59yHVgmBss4Dj48iGIgUmQBdQXUY2oN4SIH0
+9ZOTmpSOwJTwN2wxU1T0WCyeShgWnleA2jR5z2WYKluvnRNIiGg/r/eHmVKWo+jsCXqZtQy1d3H
+N3NG3twUDnNADT/9WMswdY0GNAm/PWT33WXT2o4MWSL83a3zEexy0+DHGTL6af4r+5Y/Ro4fg00
YgIDBrZu9Yp3oF9s1P7RDAfQl1JfYw0HdaeyUnPTNyhqjtWqVnfT0axdxnHohwJ17zpg7ks1txdp
oEqdh5HBGmQRbOlyuTmWdeWgJEfVkHn2ecjIS+xLx8HaeCm+vFY2PZbR1L2Zhj26IBq08J1Ed4xR
mMZYCXVD1Y0TVj9AoyUEWZXWvfHQiV6RiCcfNWqyqmsgZjWzIfWjom1oc/OZmkl6HzpAx6fFFGFB
4ws/umijZj73siyfIvZj8VtYB2HdmjwtpqrRqsPUOA24j/TrzAzcs1tsu1CwpuahYHCBdeu0tx0c
XuITkAOCvHIF6oFuTzaIH5SQdqRMowNF0hElMiVyfiG05my8qud+m4X8ZHocCTAwrJWrpU/GkHXm
yQmg+75qk3WRF/XpxkQh1BhqBrqagyloGn2+u+aLDMcxV37+RVSTgwVejnUH8BTQYBnEAHBl3hsr
CW22Dbbv9gOPZV4cbfBibEGp4aOqihnpa2LMo/UJ/JcahC7WoKsDqfwIkZ+HAG/VB7th9iZtFaeB
pl1tizfr06hbUaDvT+BysExAYgCb6lYUFAHbUKy50+UPQK7TDLO3Qln8yuSD3LS0hu1s/F90v0s3
tlq90uoWBAilwshKc4VCxXRjNCiXm9fE5PeaMDhgpfFYJLn3ZDQ4dayKdO7xdvKexhqP4FJnKMhT
EdSYUKV3DQfr7MUWOwx1oiU3XBpmW7bzZEER+Mj66G8yUSzv8LUXTHPnnroDXflNvJFdyn5+i6G7
ZK+W91w6gI+3bbCQpdceveeswfBdQ8OzYHlvik9bOEJwoYsdgWNVISBcWUsIcoWoO6e+GRq4HISG
42q1wKAueTpVLaFVzFw5wBBuZTJmTx2UW1FG1VhbHPACrciLDjT+2yxixh/C7EtXhkb9Inuj3k5j
Xj84ojWPRVHoO72q9QMQuKMrB31HuJwZnFOmwp1SU0c1LLA6kJ2sL0Y+3USEyIC7g4qgAZ8Rfi1j
t5nAZL1AOyTrfeC6FDiE4CCO7oVA/cT9lmKuyA8FFLmJjEwPxLB8fFzmwS5m2F0rr0EcwVwD0lQn
u5+ujRhi0Jcu/dFi7QlAbQozP2NvRpk4bddC0igdgNbdtA2HqkEYGg+NgLimng5HMlEDIQPgBVSj
cQuILIorICh4KIzueGObL8Hlme76AnDeZ2za/qQdcJpD7Cz1x4OF77E4X/fI4A37dPiJHzYv/0Pa
dS3HjWvbL2IVmMnXjuogqW2NLXteWE5DgjkHfP1d2JCEdo987j11X1DATmS3WiTC3mvNEi1MyoDq
AY7LAX+zjqE4zZ2SLUgEQNDqt/2B3NVi3ET25hiCMeSq3hPJOVhF8h4ZoD74QFS16BCC7xM84TPq
jQUSbhKfjecQNY6nyUx+k8XVdCZt1EcjHhJoqCdAUYnqIpCz0xB0j/jjasMm+bRUbXWuZ78eNiFm
R6uUg4fXkIg7ORaToDiaQERmxuw+Kl05WarZDqhqHqioTf5g+baPd12Q/6jbPf432u8og+7Bgbm4
+8rqOQIBbrvGdHMBHVID5G2z3qfIpUImIFC5SRtXALJeLSgbvgPP1EdOQ3yDL2qyQV22CYSu2NmQ
IgQBxt1LIgOWLEg3ljBYPlIsDtSdghlbXNiYmleJBSxsNSZVhqTNAgv3HgRw3bCLxzIF/zWaCD95
QE87XQVSbHSHoYk8nI0U7DAwb0XqKMpx9NXKF7rqas/lMXIBD0IJhmXjT+c82r4kGsqcQ69zSyRU
SMWS4cHrF911MuKrgtwVpMeMWkfgFzb2PkGGihfk0ckEgMrOiot0lSQhsqxJ2Mo8hdtxJJCoQJos
xmYQ+dBQK7TzjUzFmmxn2SSu1dbiCSVXkkWmrZ7CxNq5flYcOV/Cs2v2TYsiAnRNBbErqQZqy9pe
aUDSYo2rwfTElrHeApeizRvlH9uYbg0dqgdlCGoKbESvfH+otrSZr3bv1cY9bfar7r90hhlFe3w7
x38Zydmamc8LTttkV7T2UeYT3+ksjlB+V3qIpagDgHVs2ZICk3x805R47NYNumRJY5UhIr0r7jlg
nRPW+kahjQsfyAjuSiW4EdcDwCC/OxkWF4ZlIt3tOgGO9BnjP+YMaMPXetKUoPXFXhKOHekJ7fs4
MrIX84t6IKun9k2CHj3PG7d7xgp62uuntH7O38jCzFxP/ojDsBwnyJ01AZuhMevN1MZtuSIhNf/t
mElUOe3+v8UwJdYcGdEtZFN9h/0/LE0iYzhpFhQiY/nvZUPRLes6S831DZsLhfrvZXh/v8RT3Cxp
PZ6KvMC+b+8eaPtTb5YuEeAq68Dtt1oBZKvXDdV3N09pb/VW48wNaKfaYdkF5ZgfwqwOTr5sGs/w
r5r3ZJwjNxBVeMAN+pPxf443Bnw3tn4HIOjXi80gJpkLq/k+ldnHRhIhVbKhnm8B55N6dWiBXNyx
/LWWoaQc7Ec3hixH9ucYxQeSU0PxTOJUojFoTpoDWAyPOhT1cmDR79ohH1BgDqj2ztpweSRbuhIy
6AoZKMD7Z2qzdJuThoxUlxgdswKb6df2Mgh/c9KBrgIrH6TIo/oyQS6Xx0WO1yJw2DvAmfzGCsYl
QVidh+KFO4zGRAo2Vs/lXAA+QrKLKb+r7rt+pCdnV5SLu9bkYsCIGo5gWEIB+7LhIbL4CXSc4MYV
dHgbSmRyElAzEeI4UhZH0ExobHJyA2SbsZ1m7wdZEug4yZU1CWmsIqN8MOE7Lf1XTC9PH4IKR876
niimdpnlS/diyBNgLNFw9kvduLHLly6NqUF+AQhJSBMBvfZE43hmxrac+Y8bu7KygDijhQWwRvcv
qCSm7Vx8IIQ8Dj0PHjqwn8pB44QA1qNeUES7acTSgRRm6DF/leY4/PNzEC+RsIjABWT2wu3wf+I5
NVDfK+D6xPW4oZtLaz9OduojhS2y8Fd0u/qG9Eei3tUnVh+RzLNitpA+iqBkVCBt8WXq7RfYQDbG
7DSCYwFU8LxD1bKT4Z2IKmylYXM392eSkqVjJPlp4UBdXZMQhDVIJAe7nGhR8Ax65OlUONEC1mRM
4cKkxX8PTdK8OBr2VQ7idyXUUzya+jXF7AH+Lg23t440boJvfVeJs1HlzVqgxHHDUed1muXZbha4
I3bU38bUo8YeWnDvhABClkrdkJuQvjcyPSy9udyCIBTlkm924OLGCZffI7XXY+O4zVPmFUjzbZB0
6ufBMwAjyvFCE0AUEvXIQ6glSQ/W5VSWnzaOA0I4cGtjzgZcTxIGPMpOWWoBQGZwsc/OM8Dr4uBC
GaZkSEJsGwKJZbFfDAfQam+jBQSFAQBi78CgfLkqX5lkdZgGifvdRMvJgxE8HGqAu32abUTTF19F
OR6ryvZ+Ijfzs1Wa0+fRzNzt6HjWCSDm7D4ZFwYiPABco5a0VGutCmfIFQqmFuyRtcVBr79mZ2Bn
E1srLC9xmBhb1sZB1dznPMn/sZBA8k/dAJseyG74Hv/ujGl8Loay3WRDPz72c2li4g9s0VYUCYiO
qk08j2Dde4ccDIDUIOzC+fV6TExJzIfFMKp7XgnEyKWxvEmpbxXSmWR1YUxruggFfPdK8iL6PtSF
3wLQkKLQfdBQkZKpW5CGpbyIVqsIksdMx9L3Qbelfcnk5la19uZz0YW4/Mq04vZqb9+JjqzjKeO3
D0xDraWgEeoqDsLDQvHtU+mLqT9DQ5/t7UJXfxsdS9/q1belA+nvA8jQoDFqJdjpGyJHjNwSVKIh
g1aKMo2gocA0CG9DdZVO9UfgUb8gbZDfDTgIkFpwouchQw6wKfdiBKUpsr9RdChBDJrRasYdjV2q
DPrd5l9qsozD4N6UcZQLyVD/iRJGivm7DbLpopMPQiNQmISqPETVg0yoOcqXj7OFhbeuEBFS3EW1
tS+8AUUYN3UmeVsAAC/zsXNE/jZ4ohlbgGFhN+EM0IA6xxQHGNrqfq4+GHWpIaOmQBoL3VucpqiI
oi6phyL7yMBfs4tMFPC5ElrZkjN66t3IjNTtkZQobQAsO+x7t0fSGUbajoZIFHsJRcP/j8zhnb9p
sfOEZSbyjynfGNC0xjFZvpNEpRwbUqktWoCodFcecY7MmawDpUActwUS8d/ym3HG/prVTDHsFAwV
U43v1ZbkTy1vm304Jx+CMZK0KpI9SnVJfSWdgJ9W4z0ZGdsQUMUrPm4dpH0/JjWgOuK4KJyVX9Vf
a9SbH0hGWmqiyKo2HopNNzeKVPTzXYE9qZU2pp5hyxqllyuYgDdOA6+pkw9zwcWW8FCNGHRuq7wK
fzDsZu1INnf+cBok2ir1bmQAeoaH8gtqUCHPi4MjiXDB/ns7IdNoQSr4lsa+a0d70Y1DshU5GH1u
9bfjsRvKneis+FMkumjrm0Nz50x18xUIwqAQWQASUbH6VKIwbF2OdvMVDCET6phs9tAuoK4ETOpH
HCwGD37QzNOyM6YKGdLYBfT3Ze4Up9QNNwwb5QcalcAOQqaNVCwFCtQn1/KrlVJJ4SSFpCEZDjsi
zIs8Nt8N8bBXQ9IYZVOeDCt79SbHq+gGoGJ91MchpnBq8Jo3PgCfbqLnBrZ46GoqMuk5XVOZ0t2J
Co9H0cXFVl1ExrwKr1z1PZORujP1EeVF9SeU30eK6fVBhUhsjvP1DhMUY+yRP6xARAnsN5d4omEW
cqR0J9WONNSQAsR2WOkUfgJcPQlGqtVd4fFVDT6snbIhTZtGX5rW9nd6D5h6tOOLJHM8pqIOz663
HWO9FXy1d1zxBT8prSJz7X2j0Bd4L2wEvrJVzeJ5w0LwSmryR2D7/2ps29iS/JZDUtuR+sZXD6lH
ZJLUk0GFfADcyDWTpbYlGQ61wV2p1dqPZCFLn9qpis9B5jpPYDhokFrQ1vuJyi8L1zzZRQko5DbL
W5mrssW/aXgcI/ODiWzxe5Y0W1TIG9W2G4CwFMYJViyEp+CJRqkTCcNATSFJcbSdMSKbaoVc5RGU
Yu3aXBJhtt8y4E+GAOk6qmdBGoinqyGIpJ7AUYHDLIODYB1wwaMDwEIABb3iFitMYRASQ3qLL6zG
4Bc6BGVY3mmIY+o5RfX3iAo31OWhHnVAhcHrkg0wadGGB+m0uVnLuQ675JYwjloeNpN9ihLMA6R7
w5t2Z43IpokLHBGatNtsy41nq5jmY5s+kZwRoQJK170UcKfIri5icFpMkayZsjJjk4ONZ02VUknV
zvfUUyVVSSsBX6Waiq2u6qxU8dXv3lSARd6kTfy8WL8sW412rHeGDX7RRswPACjoL55sLKOqN2O9
DFvTQdHDKrZAvQegK2RKpP2FGjKOOLAAO3PsDlqR+aODtPTckYeE8CXDmAeAeGBAnvGwIUK7IrKZ
HQdo6ClQ+khmzEuHFbD9PeRmcwyAIH2XNMiVRlLSggS1HvykdSFW2P8AxKXXVxcOehYJbBm4RhkB
hCVlqxGwWKAUgEUejYC8HGZrz1PgsJJsjs14azMkkdtI3Lrnfu/fB+Ah2PoSW2EBLqoA74cLVKIW
f74uTetzneQYst6r1hNwQu6NNFstQAHnKxTiv/SkbAJX2AV/6xSLRMAc98S5GU9FjoUpxroJZ6/1
AeIMIakFilxWVhwUGy171zrgeJwCUrY9LrkF7vHFmPYWMHs/0RCzt2lvjh7wFqUWZavz1ZC09iLa
T/UPHTyTFcx0E4UfFWvRlYG6sQRfJebC8h7J5ubOCipvJsd3P+fUg1gV1BezWnLpaT2tGKYAb1QA
PF/eWz+QrIzADgX288v77Muv/mrl4AMHSEzhYSh6/2G0bf/BIYw8UCusezkkGWnDIG3vkW+xIrl2
oGEIpDG5627sSBG73WgDrqYw71yX/7wxpphTjEOJbAJCrLz0UmHrJwTW935ceIPnEIjfnAIpktiu
Sh5wtpuzVSS7LER1dl19TniePLh26ExIQEZ2ZC2yA8lC1D28OGBe7KydZnE3JPRD0ZsbHbrA9GyN
2U25pu+YFkjqW5niGugWY/h88+Wr5RRpA2jp69brKm1sdkkFOGxDWZBZLUGDk9o6gyXIP4EjB1Rt
DJDJCVLwYtlQbzR7tistjn9WqTX7enrQdgyIOeu8r0PkBEBBHlobJtXRxpTzSHIdeMg6sTPTYkR5
lI3iYpAhEkM2kWOrIxJ5fnt1ZPJmdyW76irv11gUJhUVqjEoWNe8XKTKJpxQLcvcWeu+9LO7tjaA
z5sGxaWXDfUAz/U1itP8SCNUdpcXBxnXd1bDQXL/ZkaKaW6+GgtedAOfiwuJ6pADYlraCrP+K1q8
+KCe4rqEdm6Re9lVvr3VbwJ6oFNDz3cyMfvEkQwak3pZkKJUL5QpRvWVKF/UL0J5BTLXF6AhXQVv
9UdRB4+ZYWCCZQUA4Y+msFqpcQI6jPusti2xqgxwQtWVd0pZC0uUpQLCRKoDq0kAU2f3GxqSQrnY
w5Sd3LLfXQej63Abx9VL0or9VbTFH1G3EP7D679pJnM1rapppkPTH4e4ua/mP2RL49iP8MMaf1yZ
uCk2oRrkgaI+Ke8ZdnLn2ltlAfZ+K3rip/LdkMhmmsGBkfbVHqR6/r2WU49kzI4fGY7LGZJDg3OY
9taaS2DZWDbDCJyZzGkLQF9jaEtkWq1ofSzPSUbNKIFqW3+q7rSCjMlXK0pCuSWXm/hkDUjGL1OU
gUAWsPDxpp9aB5loaMBN7wCX1S5PHfuXcgA836mTDdli9YjsZBqThuEsYAW0m2xHam2oh37lw0WP
qUeN4bfDVjhxpwJqhTZWznG4/AQXjrud/EgcqcF3P2FrVY4B+D0WgMQB4fTkW+ja3BLyj/Nq8KKC
qcOabjW2KOa8UiunQYWW/hRVO1E4Pby6PGmU++3lb+wHujFypcaPdoA3r4+R5LD0FfMlEnGOoeTL
vBq7Vj7vQd93UrLgxpzcyYd6pKaeVjgZSNJwGo24mNQAY4K6SqqdkOeOikTH+ksntaVVGK/LCtnA
CyXG/TmNTekpMW4Sbnssmwm/a+TFkYtOmHs3gW6i4JXrDwAXzU8AnnhearwwkaMynplkfyamZ2qI
7pl6pIgAK3Nsm2V9I3/PlsKNiRVsQIFjrP4Y88b37XZAClGeUUXaGwMQ+rKAn7GzPc076jpznp67
wj6DNam/83g5cVnrytesE8tGoPAErKnSZzGnDsd50tzHWUK6mcw4B2BXmAKYyhbGBx3ODfF7Bo/I
ihdmYx6cyTZXSHONgO0yYX8NSXz2xq9ROKDGN4+gxPwrt2z/fPXcoqcSuaFMzV7rBxf1QLDn36te
8unKVZuRa8cKG2kKsFWXpYehuvbLFfWNKAucPGKjAi8OAw/TdZMsxn3pl9fNNKXO0RPtnZa7QxKJ
FY1bd/qAVUJ9eM+17Q1z03LhIb3nt5hkDEQTWwfO3ywWjjyGle2zDwZKdA7aVV22l0F5M1wHPbeo
f8BGpAVMm9yzrCMq7qzjbKJQELWD6CpVEQ/AyHHtzt8uWGrc+U2xtQK3swGfBiNSU+/KJ5gHFp60
StmjgnYVN10SNmCgNm3UWcQgII+xYDo17rgFfEyF7EU0TR+UDzR8U5KpllOPlED02t7IKQYp8SJR
yht3A2xmqzkYWmSZ+qvMDvkl6YP4YwlG+rPnLo+MV8lHJRJVv1+MDrwD0oIag88CCwggKuJQ8MWO
e+ZlSUwbbNIw67KsvoTmtNJOmblEhynNsKC32yxbA6et3lrdUgAY5jWINeBtjTIf90B+pDATf+Vb
VXoZx5HhWZKV0wjabpn0iBTK8yjJCAzsZd2VrPxAo6XLa3tHWptYBRqn69ZTknbYt351cY1xDO7t
YN7ZKFQ8KEPl0we83Cyt2+y6KAZLReH6FxM1/JeqRzkNKLS6LcmUopmKO8PFPFjLKsdKAaqQHrRo
Dnsf+BouCjln8UByElk8A1YAvpFDLC/jDyvPnICzJ38ZbJpzPBT6eR8XIE9Z6VIHS2pwWDbvyfBK
7S7sNx9miBjlPm/SXga+qaogrY5Gl1EhSWMWWGJelV/ICGSjo75aV7hLumvXZDNY3X6v25CO1xHr
fhUYcYdMpTfAM2zRgNQbz2RCLdMKIF/b96WFXYjfEdJoiKLqJxQeRQcaVWLCXjkg7JCHCAT/LQkz
oxR3ncpht/LBBQxsjHmvUz2EvRccHQmVhwz6CWTTolGy0gVRyAr5bMrOadLwSF7UvCMn0VtcsieR
jksyNaQrAi4RKEon7I5VJ/AuskdqQmSTPw476ptR/yK1wYF1CsL5QRuS0hqTYQ+8bWxjvEUQ0sub
BoG3iWltbhQdKtXwHEqXvY5OHgY2/WoAj55wwt3ct32wWewqeRJGjXy3apiONOwYYH+LcfqZOCx5
IhHQKJEGZ1jXFnkhfpIShD/xU2chYYZikFfSVu7pzYLM2iq59KgWrQECMgID7uDmeBZR00TWS0/L
+NgmwOxAig7JujeTG+OqicpdzSsg0L7F00FF70iibg5Eax+5neSrQ2k77Yuj8qvbE/P8/JLrn/N4
OABoHu8KemHIJpUNGCEALUZC8GDjXRPVSHIEr7wakcJFGhve+m+OOk4l31GkINlVsE7HxTliY69v
TMnpykhdqPAfeQtKOVDz2keGMopjUr/2tMwExMimNQfw8kgTrWi9ISyUkDQ36v9KpqOSWzbG0f8p
tAkmgclIkERcA4SDIx864dFnp/D6QzUyti3c7qGvm/oM3pQzYeP4wTRf3kYAc1QjgtFJYjyn8wJ5
chafquqg6mCBG3TyRosfQpDMkeiqfLbu7G8ZKCKb7MSxMkaSGZ5zMQP4VG1UBxrpNzK9jE1ndJGK
3iBl7fXNrl/0b0oS3bj/MSyLxAH/p0Z/iOKw2ztiQVWQbMwR9UFCNjRM4/nXnOTmlkYMWwxKTkMy
Iwca/h9ksZM3QFSR4V8uZGNMjjqOvrrlYnoigAwEgqcZuTugDAnzPAKuj2Mmm0XKemaDHwnnFP6J
msUbqn3YFZ+0CPmMVrJREairVVmJgiQRD8tGy67Mp3Yx+x1dB2nrm8YOsDfNAPGecSTmKNgSwiDR
2CVXOCU3UCfaRrtQbwyju9L2qzuyINGNK8kI9qS5gUrRLu/avIUm7c0dtIOHil3b+UbwLb49YmJJ
XWpKYE/5Cz/ToKqDekT1rOedVXew23Yzl6gO0x7Uuw3DQVNZYZ2jzW4tzBk8Be+Foss1rniqJOle
F9bZ/TKMOHQV8dcaxTp8bzsiAzgiGitZko01snhTYUPnPszNGci+QQVSMXIs/PlrayEVj6y1Hym1
7AsvMfci4VUcGkdiWMDghZnEuvKd5ji13PCec9DpVlkozjzBs2Nx++GTsHE4iYPi6BdQ/7ASyX/l
POhWbhLmf9UiqHYdAJyRYc/6fTxzAexEI0cJD8ChtrELioaYFRZgj3pwjQMD95tXOYACQ7o8GB3i
1t+qsbSO3BR5uk6Vboqsix6QJx89UI8bKYqtkMC2I1lX1S7YN2vMw8oKkILaUGkGAF0V7fDQygBK
RBEMnMfs1JjCLhNmjBRBCXUcvmzBrAf+ZnkfdCG+ACx9U7fh3mMdP4MqrQOFOYrVTCCOnGf+fLsM
pRVkhtJCnDrNDhBwJyxp9RJ0sJYSa8ZkWfltjDIKObOgucBQdfsMk5hHEmEzS+wz5rtrPb1IgG6T
lx3ob+VUgix0DPKSMVJpQaM2KIEGLK9i2pJfUOAE7SYBLh24ebSAYkJySp2jxDhqtO3vZtoCK+YM
YEgo4BjCEdhaYHXeIXVjQLUzdwUqe+dgxwy7AViVO093OXBD9mXt3nmLMI/UdLMIZzVmdo3swr4L
TACwcg4khTcrbU/qK0vVJT2ptCX1Qnuqg5MW2g3eK8BIiv19bHl35GILx1t5DVB99dlPsJRLf9Zj
fbAFQCOkf5JGnRp1S51tcxPpHeqYaCzAcz220QYggtjR8IvoQTc1jhLu0+ULSZayRP3vMiMP3uob
Y0/CzgPJ0WpIQVkJ9LhoFcXFwxCVR0+COlKDg1zvangj63O8Yv+zCXksaQ9kRx31JgwNnbdrjlHe
HozaVw5/DJ/HKCxq5wosQ3LHD3wyzrGVN0RDCzOzcqU11CM1GdKQGi6d9ZC0SGqBsza88WMjdrJH
l/2tLW5CtQvDDqG+G7f75trYgqMMXV1V5ZnWKl+QzaGqr1TRVTc33t7ym5+Ur6tkSt+1SHJuxQDG
JKrl6gGbAIognCfXBIwyGkOLrb4qAcxQhS2GCYWfGxI6KX7pO5xPgUVcUqemRg6KQ18WlSor8gJO
nb+6slfxhmbZZRam01MN3AcgUhcoE8PpU14140Miz6ZoaFoM1NmYI25JRlptZ7P+I+8sAZbQV1fq
LQVATQYzViG1kmLoCw6tFyMTsSr2YAL1zmOWl+GuTf0AjKzLXmTp0GxQieOdVderM7FqFm5vzdmz
64dJAqwxkF9HyTIjPwPPqpXZg5aafChky3uUoC/jx6s/3ZAKM9jqP/LVb+pK5Yb8qycEspcavNfW
9EdXQW5+FFc+6gdWuYCgNuMl3LQSLcXJS8CueEv7yw08f6eGpPG8bD5TL5IwKzTM4wIvsyoHEcmb
jEzaAssvFTHmgJJp+N9kYQJPd0AdOa6kPZoedVZ9xGajwOuMlQcmEXQSPHX61OiP6ndCvwPAYaM0
MoWmQxLa8epnskgXGme4nW0Cou0IvI0oZGR9vEYuDN8vS9StcQaMsYHjhAMwj8A+TmOLt6Y8wf84
mWEXr0dzGh7KyN3Etp1+sNsu/TDFSfqhTfGRavMy8XaIgQbJ9gBDZ/ekI1MWTF+imUVHZTGMbME7
my13FIMaJLXjwDfs5p26Vos1xLZFsoS6mIG/xEOUhCurtsAQhVoH7Jz6LdLlYnARSpnfd1DIIfVI
VjfY+Fjs5XRjRkomvfrcmfdTxr7/MQYpsklEK87Yg5sWA74HA5l79syrjZHN4BK8GS959jPggzjP
XjNcOlHfWxLLVMjR3LaY2oEdsotMpfPahJ0zfKOgrjSHfZbj33kI8YPd+4FoQ7A5mkhli0EWYCwA
/O65c0bCeHCHeS6w3yOJ+k0N0nzYWURpvosm8ASDEqJd2U1t34WUJQJo6HxvA85mbdAYsN39Y2E/
+3wGnLXnYe9zTJy/iipot5oOd25m1CDN4yOJXIt75xwbmzQiDt3Smp2dPfRYS0hENmo81/XxRPCQ
QWCZmHQseb0bkFd36WXKFJ9Yjzk2hiRDYlR8KUb/qUgmvPClnESDA87H2DP/IlMlksoK+Qpr2xjx
WuzCLFiJwI0eszUZjPOcXAyD5/cpb7e9bVVHf6jvWY3frR3m102Uxu1uBCjs6kZhSjszBEAvB5bX
VmtJQUPQ3zzbthXdUeBg9vur6L1z37qM3d+K5c2A+uXe9kDhmKP4fMm4D07m3v8AlKTdiNrfBxqx
QojHCLy2QKXp0zWPYpzCDsZPsvda1/8wmGO8x0JPnovAnRR9D1LYOpuGXYmt/xT/2mBOWnKWHskF
fAlYN3i+u41AyooFqt24R2rmIAH2qxAu8GfRI1lbB/8gy2veWtoMdUrAbpd22o16N743QzLRYbTv
H0MFLA+whi8ygOOGDaAWqcRGN9M0rkGaMBx4VqF+mhRh6TrhHZXleNjZrFYkdahbdUjGtobyczwh
X7nsOIqZZPG2qtamLjUtthjTCOdbVMVNIiwRq3ss8JvNgCqUVYPio3DZ2zEKl/H24s1Xf5iBBMWA
Q9wJVn8Ni/oXEGHMi8CT8jIV0T8kNpnrbeJh8g5uZedfx20YsOKAbBbkToBUZlO1paRpcexnANPf
u6PIPobNYn60++rUR439nGUtB8UqYGZdv2o+hSBFFF5unpc8YGdUVDLVI5mfWdOJhT+0zoraZhuG
pgmKpq68WPUz0qLBtyNzFSOBxrLdbjsLPM5IRg3WN79sMbn7GmBch2QZz4XvxPfUoIAEwPV6PJeT
MgEvERTZm+E7JlpEvdTkyX2bjC+RKdKE2nJRA8QEAAu9bAaJpeAS6gKNVdeb2n/aVtJLUiXvIOk5
yFL7kKzEWaXkfL4o3xjA00gpqba21QL3VTiYrXQhyhss/McA433x6ocsBF4BEJjJxJR2Hs5ftlgp
WltD5iwCLKMwn8qmZ+O2qI40YQcszIxNVVHsi36+nusnIBrci4nNKzXRv5reU5fMx7pcsXD+YACh
AtyUwP41/BD8xNa0JxBgEnFUje/qVHQbGpKiy7MfAza+tku3JNvRrrrdkJXmMzDujtYCcPV8GnG8
Jnz7Q5Gk0eF/twDITLV2mCn2TuaYJ2pEl1iq959lg+BPOPRvrlzNyPjhGAEDHC5/qZr6vcAKy/jP
1jjOn5cxcrbgkrZPcWD+UiWyYeTy49TIKmQLQIVYS3ln3aDsC3/DZcFWzoyqgrPoQHUO0Y0FkLOv
ZfbEka8Td+V+SNgMvBFjviyAQ9l3seutejkkBeg2ygvQKWgQG00VIQMDp6plEqZ3QBv/C6eCT9Yb
mvjoVh5SPQzUuL/JqJdMDg7+LMMFjPsr9Dj1hrJfV6Byugd9E4Ch/SYEjmTOLyMNRZSs7BaJ61wk
1XkGBPG5dPsKJwLJJpMikiMNqcw3V10ss/wVAynlJuxDqMg0rTMDoE2e2YKtYUQiYAKgw0FCeque
fPRfDaWiyaNk43dOoIyrVgDUkKzdpkqRJfB7iFYOSRYwC5C1gww5ek4IIjrZvZI2FEo7sAKoGi8g
RV4E7E7a21P7jn+ET9b7hDdbi3pP0Kgwgc6MqFm/Zzy11joY8uZLl+JkIuzM5zB3vGlTcZ7sijia
gCxUL6cbGoo2E6heLUFZjJohN1ypMVmKBpXgO5z9CHDrsuVoefnPsFiiJyTg93dsccx9FyTFpzGq
PqdxWvxAXf1PPkd/NkCJAdCGc3dfRuN+dAfU4Dhmmpy70UKRjezFcZAhtehtTELWgs818+1he6OY
eZ8AHhYN2c0UkcZjhvUFMof3Y9cNd2MSHIOJYW+uAVOyOtJXYzrYV6f3dJpvNKy319TFYQHwFqir
sgNUV54A9UzmFCi3sUd+x2SyCFOUNwfVHczevBuKCNOfeBifgIcIXA6Q0oNUHtiTnRhBcp45W1J6
c2M/hra7J2WcwL7MHHDX4jd/JFkZmv6h6gIbWyfQephyWXWyvVpTRylW4sJDxskZD1wTxDdB8ikZ
d8Q8QIOh2hHvwKuGSQz31wFpPAGshZKDc9EvexQsIbsPbe2bNmDCcQoThwBToTInKnDKsXWcHsax
y7aVsKOViRogEMGBxLdeCf9pFDgHc1E2s3IlPjcNF4kqPiwJztmklpr+racVZBcOOUDF/7MLxedO
cmjLakSGZ7x8SYMMG7Jt9cBx9PrQBUhcAExJ6ZykAiChODJvQHep1BMWlaccigzMDvs6jLOVD6TZ
k53/ojJXXfWqkIM02tCr2RW4ECnJjfCHaIjNgVFGs/11janT/W2yxiCWe2M5vHc8ZEhd418dOmnn
GOdj9356pDMnkAP+EH0KwFSJk6HRMcq037rMLg5apFEuwtySJV3VMoL35jc3krWhy9YstJ2wBZbK
nEhEhfaDkDCR9lB/mwZk+PrY507WXtxdD1MxfDMX4YF1Cr+H9ZtxUwKiEoQjrfavrYx/iHJUeXHr
MIYAV176ofrbsn8lg598XwTYpi3e+KcBCS+XgSF3uLK75PsUxV8TYC48OdirP4QfmnYckJkF3rGi
T9OLhQ3jHE+aJxIZwvzHrTqQrUhRj7Ks3YTDAiQUYmgATFnbkwUfnCv7zmDRzo2QFRaAR+k0NUu3
9ef4eRr99txlJvso/K488yL7UrnhUqwHu3bXEZJS9macmB8T4C98xJkE6SaHAzZKVtqTJzWARH+2
vXBeV0Fz58vqJxBJmyfq6SFbYlQNOqa7vVHooTaeeF4dEzA4USY49kEWnJT+lVo+iDFeR21ZzxVS
T+S/RVyvCUuTUjp0XkcaOyvPBri2zijRZnFrr8YuZ5JsYAHJAxC8hQgfR9lYAFIA9LFx9CRsAsln
7P+eIss4kUjLm5hF4GAbpg3JwsVjewGi0PlDxkLriHoxf8vNnB0D4LFdZityVr3wih+Rl+xbVnX3
wGm214pmATzH/SbywAJLZAnEpfAetQJptclSmmLdZ8ge06hAMcEA0bh38JfG5rqEXbIMfzN0Fvh1
3+hKNSqQlinkID0OUu/FTwMEUQ8YuTKPcGQHt3XTSxz2O5Gy8Qlb4+OTAByTRGaODrOUeQEyzt3M
EyullTI+93sHRLKPJCosJLpjPjRvaZj3rYvHcFvf9Qk2qLuIfaRmDNt+B864adMnFSvWpdk81Khw
vB+rxvw4ODYQpp2WX3k0oVWsTSBa3VEALKSSDzLm4gpz3QXsaxxM1sZPbOPEoym7uHPhrSaUSXw3
ogTHdU732ShSTBhEze8ASW9+Sqv+QgYcP5hVwhrnUjrhcOpyEW9LFiTfOxTayggUepl5uJm7QeB7
+m7knF/UsyUOv/1xxMNvTd7zyzIkeEbBz7T77wHQGnZdDTZNQLhW2ImSkyIaU+Mt0RycAaryIArX
3pOsGXpK4Wy3XeSUz/n0F3F8x3Yijolnc4CrhMsX3/fz9VD63XkGo/yzE1xZcTeA1cCXL1aC6jBt
1defSIys2+VYO0mqrESZvVgVIdiLfFbsZlOMoEDmKFdv5uQpsmzroR6WI/PjPNk0EtkeS09ahKpl
68iKZc+G/Jteot4udMlExNX/cPZlS27rSra/cuI8N6MJTiA6uu+DqLkk1WhX2S8MD/uQBOd5+Pq7
kKxd1Nb2cd+4LzCRSEBySSKBzJVrXbnQ2RVi2tjfacEpVIIXyM8ghpHcU6cgpYwCQq1IsYKfTjks
A3pRo8oMsY5dzBPGV74sVxJlj2MO6AzrNgs2+Ab+O6GOFyXuw5cbCDFNiFGliZeSKF6jPk9TAULK
IQC7NBiNVzdrXblrU+ghyOYcad6yNhIx2RrFcNiOJkW/soM2egCZmIv0dVt6I9TEv0Hu6LWe0uLZ
T6GylTGHAc4AezzmO9m59mcXUIu9AU6ebQJl7G9T67lTp38F8569bXRe7CFDZL4iSrKmcSgCRhsN
QeJjl1XxS+82T7SeFaQgj+3S9JxVlvOg9Rr2O+qFDL1GjXNgRw8onj1maQeSpwmJa7soxre0qZ0N
GEejvbDi6Y2X+p0x+cVz2VjDPeqikd8OzXe3seqjPXX/6qYn9qNVpWvsAbYIStov7RAWFwQM2lnD
PvKRPw36LDjQV9SCG2RFGUC4Xb62IlN7drLqc5hN9reCQ1xZWIl539d9eh4FbqU0YIfJvqka+eqW
k9il4DTfjcIRr8FgbchBFlGMGshiOoFYpX6wciSQxzG2vwHl+y1CgfWzYcr6WDtIp5PdQSkiwDnf
glRzNoVd8ENjldqzPTSffSTawwxP8wFKdE+NNQ1e4QKWHn0I3I9xfKf30EAgU5OF7aXADUlKAzoa
WYVkeIfP14shfxwjcY8FUggYXy2AKNn/ywK0vN809SWykm2tOKijBvvq1B3vgErPz60ykZ261MgS
5aANH3JvsdHV4jdOSXUadGj3VmvX9/vjssmE1DrP17TfpObDhZO2qoPbLEg+G5RXLZta5YM43nDM
rfBfQewgbPuxEacteUSaPrQnpz04DS9dupp9lh18kPiR1/EhXC+ONM9yfMhuzfkfQwOlAc9QLxy4
dbkJVUWNpSpqpLqy1QDXoDhFA2Sj0WWgVwU2ZFsGAOJ4nxFEXEE9ZYxTWW3lAP5RgZBhxtyTkDs8
xlrlPlR1jOpWFVMyBkR4eo29xXkoNr/yCJ1qV6AQ9s3UHFQwR1q19n3L2EED5tDX8QSR4c7X1rEb
8k0IHs0Ue+JinXI3fKjKmD11eRYdxroEboS8AYUsgeVp82PQWvpToMnhotYKxgx5rCKrt64K1i7h
3DmmKw1zywZErv2PUR42YDRaHEc7uzgt8G5kcq1eetmAgKhjIUUfKbFSurLw5WmQMVrMEG4AoqNO
03HdYrftDaggmpAt+XMaZqCCDjkmMaLaFjs2MIaowW6o3mdUaoSGacBJp7f34wP27WyNz8O6EEMS
MDfmOrS1eI3j8Z+0SUSJhOxLFYFDmNxmTqVYObt2nKzJeDUDzqPtJ7Mz6yN5eS+ITstDUxvtDidw
bNzk9OCmlvhX03/jbmArkHG3QbX18BNsT99sl2lvFQqfvbTpg5cA2zzIizvTvZ1EOES0hY1677g+
6pBy2E9GgTKItHI3XZx3W7tMkTyNGeRDlIYIiKzcQ6H5m8VEdmoGiw/N6qrfdBMeoul5MRHzMs0N
dWh+A/E2oKQcKPsg0aML3nnyqdViqEXZ/dugyfrArcpZt0PVv+lgewYNtJzOOnSHPrkDUq3KLeU2
VIikC5kILR3eclegBFGzKsTvUOl28J3c93KwLpxlDpCsHuFm19YMrFTA/rpJFh98vUJZB7lQo8kA
wf8yNr3aqa1uR/PAr6lu7o6+Dnvjklvicxnifu+2eGoaqpY5mXBvpS5Tlc5Ll0Zz5ewrZ10538yl
0TCO1+BsQSa34KB/mNsQqJc/r3sn/7hOod7h6AawMKJld9SYKvS7dBfb9TyyfkyeX+Nv4+QkKxx5
xjC+C7PAPLOhQ/xQD8KdYCBAwa4IRmpcRYGbABzZsNmwWAlyERcQNUmQvIeU7y9mNj1H7BOV5nhY
/rkkQTpSHL5HoOsh226D8oxeZnFBNXG0CSyU/fS2n3sc7HnIKkC5IynC7l6qpm+RzRcBOIxpgBpU
/HT3WQwW8bBw2/3NjGiUbxKP/cPNhACpcTfDwXhZg660vtr60difqFdLJDZXEY9XDkICl8U3MxgQ
QkDgNJFizVcNYmSg6MV+du6SzU9SxdOrjDR85Y0NXMMhR/+hlhXoIoOAJHKHJJ5FA60hntsurE5k
QvW1XIsoAD9N5fCNaSGZBFKe/Iy8CG6mdLk0rNV3LNHy42KiK67uwbNN6ter0IBQo3G2jxDDeRJ+
h9++ViEjrA52OL90hzTFXgZymhDjEaJbM5RzPtDZT0fwfuOEHOoAEHF9tliQ3aeTOIRdC7XZm6X0
ouwOXW6IVTPg55HGhrNLa38PDFD4DJHF8NlqHIRxoNezKy0HcP86je4TzZ09xuALKuGcBNxTvg8i
vwKaYRC/8cHbpDuAzue6f6J+luDza0XQbahrQCFV29LwiE3wGqHd0qOum4WYyNXEZTbPhx+WpVX7
BZJIYEZhGPj04jzf4WEKcEra6HLXc1TljHmozXDFOoBqVt4nb1GT4FnRJaZ1wZnPutgi/RcAZfWe
eos97YbogF/DF53V1sVQjQ9d2HNQ8vRzztvPMZJegAGtBtLGzF3zU4WdwZvfaJNnGNH4COIMgf+c
P9210u6hFZBp2wozH1FmjPPumJtv2VB/HsKwVOt01eB8mTTjmUIKwCO8llbvb6m3NIuyI9kKkTmz
ROSNS9mI2/kO0KktKFXpKOcg8dSv5uNeJbVVVgFaQiPLERBBOu75EIJRMhz1vWEBDmkjLrYoq6E4
lZ0gTbxLDVBWaFXq7mZZiBH18QFUWtegWO9enDFmZ5mOb3oe+Y2HJ0jiZC+kJgF0Bxhf8uJM88Rk
/nqZzlVaUpVIDjyu+33EwmmH3FP1yWgr6IfGyBto8g8WW87z7OB0eIw4CPHpptwxUf0gnXdO8JBf
KcB/+JEKfA1w2HpKKxtPgzIvQ0huSOvBVE3Gxj8sEPAcem6aD2T329xdF9GkrRfbmOORKUx8sgge
aP5KT339wUUdMyb13ILFatjVQq4Nns0BOwgoQxsT3zRTJI69YbtHuqp+0V1cyA8UlO8zlmm5rFdV
aOqHxZf31SvytuUWx3EdYNu/vsTiR6+4dOnq5l3Q3Bu/AQJwK7Orcs9RBItNjSxWmrnO1lJd6Kb1
c0OjZFtc8JmB76ZSjICLYzSCL5NWoCl1M9UHfLAQIxncaT9qxXjQKxv4EtF0m1ro2Yu0sIsxzST8
zqWxb3kA6VpLAG/nMvsHpJOh2zRw81OJd7oWidAutBKoQ8dD0klIVYis2xgAv11EmKR7uvM7vpAA
f0+f6M5PTW6NxdbO/Wo9KyhyBWWGTDkgaXbYx94QmitTi/IH8jbrLF4WYBJ0axp4hm0NBFdOA/k7
/KfDbOzPa6LXoOaK8CQo+FejTfgl1gL2BOn2tjTDZ2oKHAM3trSMjQSc6Rl70Pq+yL7lWeJgN4p9
z7rxwSo/90cbpOwD6JqO0A3FOLgTV2Ps+PduFGmPI8e7cJsJdf+l/yhbw390c2jvZiayMtSlATGl
0zqpbbGhWVbF5T1qJHVA8pB3DU++4MkdjsMnM7fr+3po35vctZONSONt0ObsxEt3XHdCut+G/rHu
y/SHANE73nHWXoTlQ4bBwHtPQ2ADGU/K7cBd3OYdgQOqzyvHW+BroBdDLpkwadRkAGaIaawO5dSb
7wPQtk1nJJzRj2yLj+OzXhrYRxj8DvUeCuiVNPzOwZvqDpkDVmrqW9AeWY8tq728BhK561DWyf2v
hRkj5jEpHCHJ9NFVBZnVA3jMzkEif0JYufpUdn611abRRbi8AJdeXyZrhwf91yzptpr0nZ/K1bac
cnaNunwCRkzaR2S2uksvwUnggPj1tRj0eCfiMdsmk2G+TgIRlGnK5ZlG8WmmmXA+L5Ni3c4fpqkI
UYisCPfAOyeKVWs03R3iQKcUjJpA7H/YGkXXN/ev/efrAQwGd2EKTTzTrexTj9+YF8kp/VHGn/jo
Gt+MCVv2PMqGUy/ZcEnAieWVoKnf6nEIumKVExKK0tzucrwJ6vsqW0RXkBeFAPjABm8ZcCmjtPTp
6naJogzGLZvKH/irhChKB43O0pBNKBLcoE7cNZ7B76M0IPXoMeyacM9cOSLt39pI6oCR5NSOBSSn
SqAOyIZ90/sAXU3kTZf5iKdKasdQHO8iEIWVGfKXSmIeOZLqUSFRZ5ul9OUXG7bG8tAwB+msxYeG
czfVLnYWANXkD8/gbBq3Re8jsRnH8qyVbgnFJi36LB35R6VqTjTjpbO0+meBGrQVsFjjMwR5xq0x
ZNldHCOvDGz/J0Pr6/OIxN/y1pIwm03LOyNT4bgHgW3b5Z//+M//898/hv8K/sgf8mQM8uwfWZs+
4ONt6v/5J9Pdf/6jmO2Hn//zT0AZoctjCe7iXxMS4JYa//HtKcoC5f4fYVJVWdbk5iUF8nVHVDtE
q8PMZKsz1DguJmLeWboz+04EnRbcy7c8bqKZkIc8bsh+OiFA8MosA+g+Pz7ZDngOImQWPTxO4xNi
zPiY6RIiDjFwYfChLjWQuoi9NtYfo9GyvBz5ym/QKPfw53d+jtAPWqWFVrxoyEFt9dpOjkY6Nvem
FeOeYID+jaR/NBvRfZz1gv2sqEd9nCyDfULZy6U/K/BhJ+OvAicK9ySON/qbSazn558MYrktNF2H
ZkQBQCL1K9UfndTu1wBLa6cYNzcUXT5mrms8RiGk0KuR31PPTKPhvmtajwdIGHgdKN3uUDb+svib
fWzvobOIkm9ySesw3aaOn69pAWqgMSTXxjDU2/rjdXQImq+MkAeHeekos55AcpacaGmdWdGlFxEY
qkT4TPmFrswvCXayZ+rJQmdQ+0Hqgvt97v3+m8b1v33RgC51gRdwhMWZYTp//aJViR2McSCmi86N
4I50lJxqKMJZfGlWV8pR3RdFCK/Mw1CeuQOTbtbO/bBjebj+q48+FX69RU0m7m5EYajj8XpoxiZY
+aORPhCjIQ3EzfAD1GHmAekCyDWNEduM+FJttWCVypF/z9SDzGis4hxCuv4smIn3AuAl4I32dub4
tsM2ujjlIR9QkrULTDDTBbVrrRuwh29N8Bqh2quUmkfZJrCCApJOqaXKSqAoOqb3ToI0y9wDn/C0
q4KkPEE4tLw0BsCCdJhTp7fczEoPIqPNfHz78NBHluZeEtYYtaL30cD++vuPCj/9288KAj+4GZgA
fAgwj3I1fnVT6DptyFPLHS6AZfreMLknLgzt2Shr9zS5VuEVXcC+4BBqrlC6W1xaMy6eHEP7RHY/
1ORmys3pgCih8RZqR6tv2ReU9PX7MTL8DXk5OH46ZcI3QVs3eysp6vsMuJONSrR61JViqu9D1bSx
eT1QoDLv3E7IIFdMelI9cX0o322yoAj2oyzM1z4CL6EA2CarneKT3oKrUXmN1aBBKwaT/HZ6Y0Hd
oDQ4BnxKx31nrZmV8GjLmwsXEdhQpOuauSef6f2XttV8r+a9eR+5VXiA4hz+/DjNPjBWonasnKav
eRgdCnXzzzP7ZI3ZRmohxnu3fhJOGK9yt2FH6jIxWvdD2iEwCjy6V7lpsEMxiw9Jp0I7aJIjYh4Z
b2Phy+/qAny88fcIF72yqAuyfAxl+rT4YGjHsqS8o9Pi0tC5EZEIvoZyT+7RgIlbzfb33x6LW7ff
HtNxgFCAjIJp4KlCj5yrb89oxDwOQlteNCDuvNJxrbNtjPhJCWgvNyb7OaiCJDLRINmpm0k9vTND
fXNjpy41Yd81a97m2rzur/waFh8GHRUluXrlZSq9wjhAJIjH7PXGTu+BZ253lEWws1vpHk3V6Cly
Y6j8cfhx0AZc0tB8SVbq0xU4JtzjYrv1oeWWYbpCseE+QHXvPunDZ/ycjO376/3bpa7exLLWzdK3
r0yO9O7m1cl9ed8pCGZT9dqL/cpveZVlmcU2aNEnp2vqrY+P7ijiGIJwdEmNhHbSEcc7/bjY6OrG
huz6AEYFtQQ1V31aYu7zMgJDU4Mw1K/W+JWNXgZgQOzSb4ZDkNStSq3KtkwA38By/w9g7pCOFNPn
JqnAR2EV/dkZJn4EHBOaflyLnpEGAE8iEAM/lHRK0lj+H6xg38CbOn123P7PSWqTUhZDt20KfsYe
PgEXKUsyj2f1hPoXBOy0TAsvcW+fGd3PRzWat/H7aNoVEY0iUxw+04SpDa/nk0eE+ToSctvejaPt
AFjFiRtm4uUdqLOrCE/xwYghv8Va46VtTUCOivIL9ofRLjZRs92PvPhiZM7eGRh7oemjC2yDrdyW
6QL/Z5qOLFYIkWWc62agHdN0sYaoOP6vHxi7GXNHIy4ztiXP2nVn5cmbXncXXhvOTyRaH5kW968W
iHk2fWY14JTO3FNqmuEmrY3kTQzN4lpKSFY0ofvJLQvrImoOQp4GvJ+ql3DfBNHShGChMzLdAyi+
3JAfjVCD8jHUpGPGjX2C1rinj9W0MXpg8bUxaOYs15I5WxJcvWNjR5piU6LyYHP+jPw6E0i81pfv
c2nGTXJMzcUTBgIcWrgjqcA41VA4SZcd0mvNitnBpm4ieSRbXgiUvtFAwSftgOeGA22WSRQA3qiK
4tIu2ZGubNWlq2WgVfXHHdUf0yV5W1Q2TE4opUYF8TKzLZNiNYoaAGsxdVueNj9stesqWf/eTF0E
VSXq64jxVatWiV8u40OeANmQAh+TqQoKampVGlFRvQX1B0DWVoavO5tYwVcWR1QQaocAgff5f0z/
+cjF5sbBjWPWSkzVH2T+ozH5PkJ/KeBRmCcbhQrr2vwua5L3pvQFmKWXPg2PhgKrkpH6EHcxNtgI
Rqt55P9njXk1p662UtPN+OymRYKwMYhoNSHEA2Kl/ZFhf7oZGcAcQGrsCEBNHiV+Kw+GCzoe8tBB
oLkqqixdAxlgn0C5euhF1x6oR41Q9qWLYsL2WAYVcK6oFCysIEd9iD5sRrMtyxVxnThRO97NfboM
SzsrtnRJTYo8t17m5hbksW1+IButRleRXyjIuFrdBrkvwqxOc8pqHMplDazMI40sr0NzEKauAPDr
NelVPcsPBLMcQSFwKDk0xAmlSbZ+W9u+/kzXto7THbm7iuAcNVDX7kHd1Z7jJ4UH2mjhGKu2635O
zMQrYb++oxLFaAL9GHWZQjqbtZVuGjU6qS6NGjLJd1TBOKZ+Cm5y4zdzF2ea69rGMQ8Sd1WhzPcu
Vt8zCxF5qEcji4+KH2XViylDagx1iB71E1RXop5LDVEjjbTb9IGNJKHyJFufRUG8pT4tunjPU/y+
W/9+a8Z0drs1s1xUARqGA91GJkxHbd2utmZcDzUHYQnjDPiWbA7uF12+mbz0FnTpDSh1AZv+Wxfk
hrWDWiQ08KttfGgH+909Ykv5udOTBvXPrjjFon9M26F5IlNrFPnGbut2Q10a+MWkzB8fyYGaWk3i
atKy0Mek3urKFTbsyXzsKyywz+WJ+53OfymUJECbPoXhCvfh8kBGZuCmL4euQ3Fc6mrB5m8yHnja
CNwvjz2JehAcPiMkPF0a0FXbcksWeKBlyNfF7k+r4NgR5ONrHoBGwQAnyKMJku9tHLTBqQYnIfQx
G2snJ9O+73B2B4iVOZ+CYayQguvd760DcmkEkQMg7N2V6HcCJ4w7lAlCoHXJRSYyFmurxgkxzO1g
WC0JyrnfGMj5qokRxLd//wUSfzsYWq5jOa7u6Iyj9sW4iRZJP29K/HS7cyBA+hOYqPBdlVOJmtc8
8UwzQFcrU6hQczcD7RcqTsD0XUBILUmtNRmp0fDL1BFemvw1hFtrz8+ZueG2OWGTBB6/FSWwZAsO
5TabJo+6kH0FZkg15L0M4I/Q3JPLMkB+NGNZKlTSXXphZ1/9OkfSE5Uoz32kQV7ZjSA05jgooEJR
lufrNurP0jcwIhR7G2k7r1bh1/ZDMoWuyIY6k3jnaPkzSaks9l/5XrkkvrHt+m5ayXGMvLFO9VPh
WO7n2vzDUbi/BNqkx4wjY9eMfHgjryrs9RMKccRnO/vDUl7lCMhcYCMhR144iilaU6xFXliLzIsX
TaK1GLi2Tr//ZjDLvr21IFXsMJNxi7vQo2c3MQMDhJFtKKz2bE21602KWZuaUDJICjrgyFlsdJWO
gwcKFnkJBx8yE+TH8JS78sMJLH3g1YiAVC0vrRsFh7616lVeJOkzfuuUZqf0uYuTtBcZ0tmRDdh8
/cQ7+XXOvE9O9apVpnYi34aBgifBx78m3yory+fsNHv2YSC8tqrMeZ0WW7xTLZsvbgwApTdG6ZvL
wRpN6+itMe1Ko9HAcsOrdT5a9aEGXTqAzUwcRq7FnxFn2eWlMX7t2/DaXqA8iuyiyK7tyl/q8fTV
T8Yvml0/N7Z1Qel584RzqP/gsvw1Qrjozal5vlPsg9uENeWbGVjnd1CUNC3AxoKfOUgbzoS7Ub0p
CPwzgXI+xuypMT599AiS89H7mAcKwatVaM2PeWBb8M/UywI5v0IaA9gZBACxqqX+3eQE7r97e/Rm
P94CeX68vcmtvSFrURCWcFvJzhsFh2Csq91rXZ9CidkungOcqhC6a4rnTHfebcvockV+Wleb/8tv
QdyGOlVQ3bU5Z7hVIvxh3/wU2h7g/CDtk3PBUTHGmg7bfMpAzWkpUJftDKuZIITwZ37KFCWy5PZw
0qYKGQhUn3ggzXJeNC2Iz/hl/RFI236xRtd/bJxhzVnivAjVoKwbmhxj+kQOgpc/pO6U57k3oOi8
a5v8QK5IfQLTGLJgS11mxOPGsPov4ClJVmAzNB/brDUfq7pOd0OoAVarbNQ0YSnWccXbzWLTWj/2
xpDznW3b736A+P40WmEfW5Mj0AxI6y7xg+JCs9I6Sx9zbIPUq5AFkbjyDNDm3bKC2SXBcXlHsW2H
gCgE2XHSUQqa17X9gFK7XsVKJaLh2fRtbIHfq/3kVcgo2lddlO/KQjfeEl/3yAEq2cZ6sFF1MCDU
8mS6+NrQAC3JXU/TQgSiV5mf8MP/clc0b++KBjMcXTcs07Is1Abo6qtyteEquygYIMKknUIbbOpL
EYmNLJ+NXM8sWL3Yl2KSGxvkuZu16wYoYUEV2ypMg+mKznUp5glziBPowhrn0WWAOGONFJIINHcZ
MAHCYSsasaOkQRlo/dAQcjnXgXyKJbBStbq0gG7dCisYVzSsIcgY7+gSctMH3wiCI95bd9QF9gNp
rhVvBTigvDyys23edpcct+6fgV3dXKihQRb1z2lqboYGWCY19Bcf5ESSlWkP5b7aOKIs7omu1aWd
Q7kmy9whe7Vh2Kbf/8UCxJpc1boCLuSi8TJV+p4qritqsslhJwmmo4bYrBCXBTNJzI3vZa7x/ZWf
msYBct50LGy9yQUamVUV2/QRiqDM8bDw2ERF0TYrokciXpulUdWdU19sO4UX8IsqfLZ76OlheweY
q+pBsWLvI86DX3LroBwVysxJAinDHhj+akWX1GTKSFeuO4H0QrbO5nagG59//wV3zJunvsE4bnC2
g8o1Zpr2babAqSew+XGAAbIgR4QIBe2f+tx6K6Th1N4TVKiSlwicSC9txlBLa0v7rjHb9CWWBdCO
srTBd4KurkGRAhjMFIAnB4UVrVCMmA2CCjLRBeAgcbmjJA41kGWPT2Ep72gfT2kesutFfkAhQzw8
6on0d3bUak2hqHQ2ofZzaHBbwt3vW2BLpHeBPkbh4keXRnFg/9Z8JInjPz3mfDB5gIX4McKZb87D
gBeIAZ2JlBJlblwzY6deJK8Dxfw6s2VQHeveR2UzsFOL0VKg5Ob3nwIi63/7GAR+08JgTDDwH/8t
ueaYtostPyIlXWxNKEMEM/nkBXFXh+BF1EtU6AT28KMcdXmpcKR+NpJ0A65WyPoAgvSsFaGJo1jb
IftSYusSsWmTi8B9khlq5oeMm5AoqN2nuNC6U4zNFOgvu8ybRCmhhiiMPTlnOmgHwfSz7+JyyLyq
G9N1kQX+dvJ1/lQkpr0FVJvr36Yo0x+tqWu2IMBr91PkYzcL8owa+cuvYVg0CEUPiIxX/fiGWrJV
gjPabF/8E8R4Fvtf/WmdrI1/9i4ENKieVYfW8M5CZMizqZZ16dNwloKxz+4MHzq+Q3EKJBp7zCAo
NTlopNYf8jzZkYkGFzcjwU0TiG/4GRGKt93Wje/y3taBZkRjopjm0ub6S1Hl3aFPZLGzMxPH1CCY
mpVI9Prk0uXQJHLXjtW3uQuNp8d8KoPtmIDaf6UhonDMJqEfcVzAlSVgpP7V5ZXrfHnlME9TCyxL
zVNpJKxbCLyUQE0WJbuLovZLN4bmtpENeJyMUUNLIwBDsrur/uyu5tBVZYKmoceNazN3afq8CARK
QctVrH7/1XduH7BgtLNsF+kJji2XpRs3D1hAGzpmJ6h3qIYsnICYRA0eVNMKqPwy65P8uMrH8N22
XP1bv9yy8NlEfveY+S84NyRfphQ1eSLqjG089eNXt/yUO0PyhSlzhHT3VgvN8tzFGRjd88CHzpqL
00ZhNZ+tTgc0C0WBfhdGR4ZDwlqqSkKjcr+7kW3E50Qvx3t7wu3TC3xIXnItqM5BCoFqwVrzwQcH
/aUDpwAynXhpkRcgogY5/UOLQq2rAZoBLa73GaMFSlOaAVR1ugo6DExg/Zln+NC5/5pIiaWQ3vj9
ZyKEyuVfg0ocw2RCdzniBDZzXOcmTNDYetebTj6exwToHgNC3IiTRW5+R80YJwUUqdAkDVBDK7oc
WbsZMugpkYuWtsWdA42n93lX/dlbzSbPpVv7frO1fC1cpYp/M0Jed5PzMr+XA8vv6arhkOrLQz9Z
3wxM4L7bhgVO0DQQqx0DXYHAEEBZHMURXv1zqUStF45+dJTm8LysTh4COrenzJy2V2uomQ4Oz5c2
3S3utAzNqfrMS0GdDoXsmN3JbBguZZFGyDrleFI5KTBbypYYdWKscGopAeAGJC1lSEPl6Wj+HOxo
VUnLguhS9qz3nfNW2EDIQJ5keBh6lF3UkALcsMC/Q763NtdVlX+VfY96bgd3oN0vusiwjHuorWJn
COCJp41QnwrTgu0GYejYXzo62DRV1bfT9CCth8TirjUNEPrgmwbQ2f3sAeYQtmuLSV+lgw9fmvAx
a3LbadeAjuwyzfQDpvmDUwUbBBsQChpZtiYwEfinEUUjvBH1l+EZqpSYrbPVcCprV+DEnEBgCjpU
UMyIfO1SXdw8y+XlXYHk6Jc67YRnAON75gbgW8hAVesumobvrbEmrHKrHHTlAMVe/8Bk4N4R4hMy
k3yLSg08FAeF7FqwoDNAdILuKYDsyBgrIC01V47hx/Ai4gaeTKwjrQTl8RBN8zKV7wiC8FULJ0gC
UM+aYFJNS4mh2QXFmHsjSO7FYPKnpMoiSNSgqGHM8GAexqTcDGU/bcZeuk/kYkyvJh7fq8i29qZt
2s++a2nrOkcBRQkmn+cQyc5TX9RfQaAFJdGsQ+ozi9q1LB0HkRUU7EUJyPdAyTAdB6d7IFMooCu0
KlLeHC3BHnHrm5DH42CNk614WmbR1di6Etxh8cuNva2hKYLyv09XS4JsAMUejfuZXrQgAa0KN5xD
m2RvZJsXUe8LQkXdQY+tL3YYgE2qrgHRsVj5rVPVg4sbkMTJwbX876IUwS6BcMHKVhm9WtWzQU0B
dXOaD8CR5ng3dvIgWxyNmdcJcDhyKo0jY6jK7ToGiUw1l5yvRufJTvM+j5xpGqBS3APBXoZa4QgU
CnX23QxsiEmkrf6pCbthjbSOdt8P7bAbOgkd4xxnWFCLlTuJDOjDEAz12mr84HPp9pD+ygr2PXGM
PUiAonDVlnIVJ732h8jMt7iPxNuYDZXnxGl5QSEkaBvBMp37RnVoR/OVGKOpWUo3RpFudaQJTmTv
ah/MvhVIxzwta6rNUrkxD1ttdeC+/Tr7LeupVbK2e1/FjrdFuaOcto4nECpIuT93ue2KywRsLw1a
lCYvnWsPp8r8SxC3hyUvrn14kO2va1SqLKYwip82lEQQu4jvgP9FGB5oZz02UXmX8mS2EQyadwPU
4iHwsrK60QVJpuKt7E1jg4qZ5Ki5KTuJJkF57TzsK+JKNZwO4M5KwBCu8/TMaiWHHadGdGdKxH9I
fSStoP8pa+dE5ay5DyXDXosktqMohaWGBqQBEvMwQIJ+6nsEwd+rYv805vQbMDJw5Csi1Zk9dTlH
9rr/atYj6lcX5t4/SXoRZRKZ+xoNdrW7mjdzsY6YyNTE2RvQ3nQF4TnQvXRR+NTEYGUsw+ylVQ0v
2WsojeFsYvv50lgI6mt6j6oZs8leKpakR501oIRQvk3Shk9lEwHiiUGa8NfpWoRSiigAPN/ok40P
0qF96w7jG9iStkk76C9+q9cXPAUa0HLBzpSbq9x61a0rexuJWH9BRbWXmkl/AvcmCAR0bXxDDCBR
rHJiHybxvKJUKxaO/74i2emFyU1LgbZKwAGL8Fj3IqNQlZgXr0yzg3OMaMHK4kHxagR+teNt52yo
y0uz83wJjAh13VicwZpjPNIaeRqsyTzaEowNag3jY40ox/G30px1meQa6n0QeaAYRJuDsQMP/dm0
2BGIMz3mo1SabHNcYkgBX7Pt5HXuThCAL50e/MuIPN4X5iH17e6SVVyH/HAwXNx4Mo6B3iI+rDlO
cj82+C6juHPYGTWQBusk7yWKtbtgg30FVFnCFpx8HQ/uqTFQ47wvau3/MnZdzY3jzPYXoQokCIZX
KkuWZctp7BfWhB2COcdffw9a3pHHu3f2e2ERQIOyFUig+4TUrzJVBEs3m/BOmtveHd4jvCYD0TpP
7K9Qfwt3lybNhbWasQQ2CA9ZHd1HmbpcNGbdsOtxk6ewaz815/ZnYsUWMDLwsazB3djAeAnLkRBG
5DtwWR97UO9uA5YUt5cBL+7LRW+6KFoDQ/zBulwCpBJ0JRQPCVz8yc78Yl1OQzTxVzS1zKY61G7g
7r2VgCLsB/o6/Tzfe/Hwak4j/Wo9SCgP5enCTafftb2E6xy0XSP5FDYFW9atDbA7oOuT8qPG6gCg
GcXWNaLuOOW6IspQrKSEhoi7fmGD+r1OqIKZG80l5pr4gPDgvEECBnYCGkOfaJj9JyH8wh0OEEOq
d1flezprAVnSfI095HLvwSKbHgvwD89xl8C8C62+k9PjIONjkCbDibrs1gwXfKxDYEwwGAAdusJS
zV7R6BzXqFO2+Y9SJgXkbpL+teknrLUlDw9F0XnPvSwWrZz617hg3qZF5XhNYbEb3uCeHD4mdpce
URhPLmHMa6LF2PYldneB/ZDk0LTM8QUuuePskzTuzmFlPPUTh0QTuFlnjgTV0eHOTYqbzjnXB1ZV
fFX0Mlpd+0yzOZuhlDcUkbpgj+TwPwb28zCYXD6NDm8fXeOVGj0kBR8UCAPUkvhMHoAphWq6sp8i
ZQRn4LqWl0i36c+4I+GXHdiP2AVWCbQ9InAQShZha+oWOUTOTTC9aQ+ZcBRqQ9zCTq3D5tOUwSQj
KIT7hF3F01XioQgTPI1IzmFwoNodbEkOAo4ELRa9RiU2AEbMPlQo71Bzz5/jwohRXgBGFUbE7Czb
NvEJd5IE9p0AwPI5hJrbJaKc0vChaqv/OUK/SiDhimcmvFxNoK75UH7mMO1uYDPUt5ABUuOwlskY
gq2Ih/gSBaRp1asxvrNUBmqicuO7bjc2LTtRLx2K3BMrbmLR/X4hHT/FcESNKoiz69YlLg7khkGL
2O/w6ylWU2y/pl2q9nTZS5wdF/vBsF8uEWWUCj8bGKwkwMZ9/xOHuofcqL4ApEXe/8RLm+2LLmKn
6+WAWxCreuQoCtIEZrebQv9RZjqGy7B3qg0r+jfHwKOqhHX5k27xqvrQShRrbpvMNJ8sOV7GmqAX
T4XV/Nu8X2NQbSr8KGa7Tjr4zrXDt9jrsQfQLRjWh1s3APebmqMsnjMXpaJ6WuUBEnWTVo3qmwL6
6kFdbnpNR57khN+Rxx49qmXWav6WNFl90+rBOEzfL3gZHaxV5Fm4UMmHRQ5RyI1d4j6S2NNFZfSq
N+o2MRbOZXRDiqTUXwloOfCCqxWJkFLf3KfjgdnDHYVd+39NTwMGEmJWDmt3HBI40c/sdZjN97Nr
36ezclbh2wwFucsMt25OTtYc2rm04AU8mc/g6sCbgo1ncFqRtRlfnDo1n/Wj/65U/KHTMRAYEocU
mh++bcf5MVVGswK2uz4X5ngDCW3rBXZ0zm5SIXakWtuYzW66NALAtKiJ1o0dj905q3vQcKHPbfGo
DBbEiRrxnwdPYd8CWqDcYHFhT9UiT7aTA1FNpKjADuHt0dZ/2MA9QLFsdbatkj3F3YZ6Y1VLKJmw
E7UaaHzfKAFuPzVT3vNtiRvykpptmBkrvPnFZWouS1Q4opLvHVm7W2ZjkwktHVP4IDBgQdFA5GGE
kLcHdvc8QqAH5ojUrMXo3SrT+ytKvHGLex64VzA12fceZLWGuhlOAnzrUwz65qbksKzudN91YMJH
CNNxqJle++gsrYZmaUAEdPlpwOVDvZjcNl3TwHVUWL1WaEYygV6SBujVULn75iVdtaP+yHbmo+vN
80pOrwGAWvhuO/kNnTVweGt9Og07jCgPhRXfCrJkYczeBIUcdNIwHWIaptM+k0jM5T1bCl4ATgqR
7Mat5JZa4TAl0HTS925qi9HxDuEc+pEeoNEU6mn/AeQyHe9zhk142O26XEpPeuBNfcqwOa6nrKGc
oiOvi9G/oKgG+FpigZevr5iptoDkfsWHW4JMTaBbaqeut2tA9v9MApTIXrcojsNAIMyWQQry7lVn
G7kSVL7U92sPnV1DAyjbuz6Feeq705SLWEKDajLVKWyd8LF0IUU7j1AEgLu1ekStikM2fwJ4QI/O
lhc8APShh6gD4q9IbbDG2lM4d5sU97QY/64Oh9OGd1u19pFaNAtewMfem1OgOIThD2EcwsgAX3k5
5MG+hhL9UwMP0yU2yNG21U1YkYJxbUFYj4IN+NpvRT7JBTVHDpRBZI/gIurgsjGr05zHd5fYBvgR
mFT6uIGEw6JL8RRDDfVMLzMb2ZNkwXBLob2B3ywe+8mBrmMr22+g2ALYzgwLeq2ZgkdquJx+b9Io
cGTmZZTVzsdgUNI/Nv9tblVAvSDpYVMecCztYf/zEA6VPHiRU98jIdbc6y6ZKXlIsKu4p/6Sm5cu
r22WeZmAy2Q6UHuDbId3GkKYprt6dZ503mnWBxUVsOEY3Z8UcO3HXq2HTHmQrWngcpFf86/BqoG6
xjjzbnmBhbqA2SRD/EbyndQFZtmeNXVxIqBo0kwATqeyXV/jAZd4o1ZVx8a9aEEq1Hk4m3jrxOwh
jnrQAy+eQi4WDGGdfaOgvDW8dY+9z6IrVHaSXam/OMX01kDrEG9fN52gqJid2jQy/FxjelokRS8D
NCOCuP2HGfBunwBVy2zk4BTfkO4u0htYbHmPoLiYT23+ofH3CIVVbEthf88Zm+gMjIEHfx1AwSc5
iBcjnop9lSABREY82BAUW1M0MjnGM/9Cj39aGYANvGY2D07UykE3WtGBmjSgI2gJQIsEMBMMZHm4
2lOTzkCwB6KQFg2/LkevABnB98tRcIQv+skNcN+Q+CXbqsevUhnurmvtdIEnh/voxNV8zMT4lVqi
z6AhafEZqr1OsIvYFD32rOdYYGkAj25aSVaeFBYXedkBJ5jM0TEVsAEQqMc8stAsl1OWDZu+YtHj
XMM3Iga51qepIsnym2kal5CiKw6hAmSoKgc4oLC4pOYUmMiysDzPNn+ufxhU9f6t/uHYjuGhKg5J
GRN4209FKVHGpYHsBR7SISv3wsTWxS3ZDy9gazb0EGCBZurYAXeoecwglFtQG5gFGFvYEH/H7eGr
xbzwzbLw/UJtSz43PEamIWfyYerZvMyBs7ovqz5cl27T3cZjMEO+347x8K66XVjN4d7wrP4AZ4h4
24/cwu4z79YTY8UdALDhStSqXQCSDGQBlpsLpx77FxfwZeBizPKbTMMjdFGn0C+6M2/LCDqDQ7iq
vAzuCja4G0IvuYxAk/+c5gkl72KZBFNxP7V9vo6qcj6yghlbNRoNypUD9FXm0dhYYcwgCYRChJlg
1Z22ItzZUpoHcLw93whq89kanWjriJZhbYXmyAHsTrpRwuMWTVjegy6LpNmBmp4nnq2yMk/Uit3O
h9qo9WjXffJQq3hN3aGoy9sZ3NPLCwyFsYfHqFV9k9KC/InfmtA0RMkZdaYugUyDBsV1Xiz9wp6r
A4HQml/NQSHtiiTjQxBk992YjS/pOIDG0s2gsTiRe2PCmmgFRGbyBcWBW8Po7B9IcN0D9jC8BNgV
rHpIv95Aw8K5saPUWAoN/xzqYWNmVX43JTy7E6DDgF4xwRLbRh4ALODsjnnQWRXwSdlQk4J/xcWi
6jacBRGMv+JxxXLU80wJ5x5qWpDSAMcJOPjrKMHiXV5Dv4dFyQ09d5TFFiIs1QO1OixTry17Dpcl
XHQObsItoDOTizRvYuFphw2wC+ntIb8ZG2EvxzHLv3Ljf46IS7cHMbb0/u0aMZ+t/0BKCOMzNs/2
gEdAyVjYBkgYrqNLlx8AWTwASZpVuHAtBqhKXoUVSHwhSoxkFbsxRBRNaDE0+nBRWaD2RYKBJhmG
4Dk0L6C9QG2aiR1+B4WmX2INIJFHixb48GUgQn5w9QEbyvlATWDAAFqnU+qk4QR4gqWd29D80oG2
8BBDp9eJn65znexZrIKmSRqCqo50zgySuE9Y2y4SwJhHSb+lJrQF87sxmcRex1UUZ6dTfkdxAzLI
20snxUBr5/GC0Y0AD1+4g94iBNNPAqqOoqkXphG2R6jHAnmTDJf+KUK1gfpnQw73Op4Ar0ZrfOzX
8UDQviksxLd2mRtHVo/Gkc60DNBRdStvnLIP3XConZFMjbx+p7L6lkJDFsDwUDh3gJfdj3Y0OsAK
tu4pQ7V06UABYUlNOpRdk21DNh3g754/opQ1L5GcSpEZH9A0Ue+LvcDzVSWyR4HNHuQi5MLWsTQB
GL8npEDt43V6UrnphuKnVLEdNEvfpxsKyQ8XtKldV/cwzOjgmgGxt2WWds2BgxEwoTiOVVRUyxYi
LtYLhfWjxyafJUYw+QK7UCyEobxPk+nwIQjL1MvFqI+udY2jq7qV+UL9BneaHQutG94XRglla9Yc
rgcRl+2HpqQmHyskDc3lNYzOKPYSoS/yaSqFfH4NilFN6K5knii/z01e+teJLbUbFqOXLkxDU6Sw
qIGVAnav3TlJXAFKB+/9yuXdudEH2BcVC+7MyZaaNFB0cM9o1ZkmaTeHbSlk4M9m2F/64FBiAfUw
JzuKZxJK97K5jLkVkOGxI24FVqPwn2mar4kp9oG06tB3OfaKudf9CDkQmB3sM55DU46gU0f9Kaq8
YjtjEbzBn70NbWxJgNPS0PCCvXGQwWf9NCjK4KdnBu5jVmfzOscaFtsehA7CZQu7soM3qMas6MHh
wo6kRcG0HkrxBIWL6ZbX7pfe6s0nO4FyNdYRX65joye/VNw1n5hZQmLh78h/macj8XgGP61Rm9Cx
UMxxoukYQyIVZEbI7FHfdUDqUWq6kHiGwWEAsSyw0bBX05O7kLmrqq7rFTMydw1MnLOv8moA7RI0
Wg5ll+emNb62TRn81UWlrxLL+u5BYRBEkSJ6CIR9yvvhSblQC/Un1mHFoA/KEM0+GlHI9j+f0jgI
d80+ofHLpCpsLzOv0z/E0GkECZA/r/Tk56eJwy3LNkGJ8WzDAev9E5+qn2wJcSW3uWlhDydMV+1z
o4v8i8YItYt5/LtdZVhWl3p8Qp3onoRFRBqNW1Bj/doU4YUd7LLJue1rB06UKbjDFnyvIdvvVQsW
DR7Wjgw02EVryfV1ZwShG+UnCWN4RINDlwVxBJ23ZLhspQAdKO6gFYqNkn0UcY3qiXYS+6SECLOD
aT1lorwQityrRuKVYBTAxg9Odc2uiS1++PN7+Y+UhoPsPIAHwrAdDpcT49OT2YRKjgEhvuzmXdfN
SKD/dHmGuSF+ermXBWuoLXiuP81QnXH76f0pRY8u1Ff29uBAXuNEokuBq4KbBA80n6QfQjNJ1lPZ
ICumBZsaT0A3BlvA28nr5+d/TsogzrMY1FhsBw0JDUyQzwcWFrtSKwhRn2xYfemTDWSEaCAUv8V1
eu61ry3NGlJgCt5pIEa77dpxkI/0wuwMbGd4m1ej64d4f16zPAGGTLguKq1tdR6q+Zn6uyyVS2Qn
871ssuLF68rF0AX2q9Hofww5zQ01OZ+xi5XRi6d4tY+ACVvSdP1yPDPSc58odXk5iq9TuETRy2UB
8Ld//mDxIPmUrHK4DVlLzzWkAIHlHxpDSV/ZlgNi+Y1XD/7sWYt3zZ3YjE4jmqTQQz8H7//pwhdv
cRHmoQh9DfoN0Uz8cuKTjqDWUAEXjs/5gOV0sYcWebI2gfj6Ajn3rY190HfB4a1gu2F1H481IopG
a3rlX2zF72dVNfdDGcFywVRb+uKAec3xq53xinEJqXfYSMBA00p21ISK2odJRhhvC8GYD7Z8u44D
jcj+/dAY4CL51Anz6Gwr2+H4b3HXvornR4AzLfsNRajBj7TXTWxbYlvl8xdqXQn4hgM3HKUHseb6
Ak+I4pa6rmE0c8bgpT8Q9yNAIr7b3ZLdhjt3GgfL6ltU18QNL8W4rKCI8W1OLgEN4M4LZVf1rXJA
nPlTgB1U5W72vGUEagTPtn/+Vv0DY+gIA3JCknRGLEvIT7eLHPmbdnINdYDxDupp/hD1+6xLjOfW
cnw35t2jkxTzQxCbS1UK/jxMMGM1q/xbEFf8ua1HD2CFHDooeo6XgQXqOkkNs1nETlUWLPEK8fZy
RQlmM5fzCMsdzNUbTx4E/PTr5XjgLMUIs9MrSD0qxnnpQUd5de1LPdM+QZ2Neq649ZSbH0NpgEKb
YUGV3n6ASKO0QEPFz6eENUpuwd2xL3kD3i1wCXZlvbY97mHxgP8FhTnqhcqEdRv2yEUP8OJ4AZTb
2M4GdJ1pNP39EqVjXC7RGSNdwtAXjiz+fgmawxuHXy4RanTE9a9I3PrnzINwd8VDgS53Z7o2QEEE
lLpCqJRnpng4WTAy15ir64Cpkv9IxLj6O/AxD+PguewCDS88wzY5oMK/b/bsSln2XM7NHvkm8EB0
CrXTG37o+2Bzr/Otze9N4FHfR2XOxYfgpra+eRxiQHFp5auW83QdBp588FgAiX8reQGFWz5AJk8+
QFnl6MgWUpC6Czab7/E0mAC+e4zb6IVav+JzLDNuLxes6gEWQRP0ugu7M+BPEERbIrKYKQNYaxRv
LbRcTrU+UL+o84b6qTXItLz1+mghWjdfO4OZPFQztjNJbIIrBcQGQMnBz2yCbgiH7UrQa/OZLHEe
TJa4q8TukZroHL5HgbbbZHBC0LdDiLrYU/wqsumcw1DwZ5O+qSLO/hpxE/alaOLnFPzZZepB3gvW
buFO2Q67g9XFl7ZkDlQGgnjNI+5sin50vqRgpLF8TB7D2Gb/8ZGLz4QU1wAD1XIsadqm9088eDIO
ljHnqFC5vYs00MSOnQGWQqpavppyl8G3E33XQ9BpjTcr+nHtojOGlP/SBHFiORTT8wBfo796L4Dv
Lgr/vlc2yza2gx9TbbwFYatezRErFOCXrYc5gslY0zXJqWau3PTdmB5UW8aHSYkMyX9AJov/uBci
rfjpiw66reAOvoAC9Fssnj590RMpeqREi/pggTV4A6qGs+2Aat21YRHejq7Uq3OjfWQeMrnQ6Im/
cZjWVVXZIS9WxkvUzNj3PANtyGyAJzQF40veNdUpt8t6O02uC0MepzqCU2cB3dDNDyPumH6UmUhV
zshX0ZVUh80D3Ln/motMQalHus9TKMulwFt8x83B2Zh93O+RjDPBfYuytd108hwkMAYLAIh9cx3j
JDMJ6TaT3fVuoH56afZNKS5fYDMWLOgSEXT56xN+iT3sHcZpU4DtvLhajjGz+kNfo13JKJjiyigD
4FbC7gw0f3dR1QqIinGoz8Aoyrk27wMrqc82buW7hMMnlcbUOLm36YgsGD7K8lmh0gGI9NR/xXtw
qnrgvnzDewqMyMH3ZEIZvXH7H1Ab/hpU+J5gOx0tXNSJbqGVHy9UFr1dF49F0wOAYCZvtJSktePv
XXkC7FkBOf9NqOpFUXF8F38/i0UCeuNYVCD/GDj7MLrCvg1YGLMemjNtI3ULgt8fWjRGm8q8mFeW
jqRN5a95jd5i6jGaR2MlWv/bvF9X+TWPrgIqg7fzOjGu6miaDo7BxkOZ89Sfu9K89IUgw8Je9e8D
xV2bdEZ9fQpBb+R1twMMdipQDnC9Ih1TSHX05uoSN1U/XO5MO+6M+dkB8WwTKdUgi4BmP3v5OYHK
4EK5c7ulvlb34Sfge2ZW3lEX8kPlIbKa79TqwhhMAG7wDRTukA4JYaehM1d0MClZRacNSoybDnli
bLB0niud+ZHTMLU7QwGuPjURvBR0gut6DToLE7DjINAUbSzQznZIrSOdCCzw0QbJ6QCNc7mXtbrw
AYs+Cadd25V8XU7QL0g8AZcmpy13kyggNBa66bHLywdlwf8hFW74cI2gvkxHAFD8QPF0wH3nX68R
O8Utsl5PnYyib0I0SycerS+w/5brwbXktqyN5KkM8nsKUHBI80cDSfs8dqAlyNpoCYNd9a0y2iVo
ataXLDJt7GmgHoPFBxiRYReskXIrsIpE07DC6CED9sKtM0DQdRfuiu8RNEh9v0fQNSZLFkuAz+vb
mtsPwIxCXcOIkEKM2/ouBp5mYY3C/QZ3LqQoIPzrNuAbg6dTwnxtfI8tJyVvxjbbRmk9LiYHa3Ir
bbesCNlfpWUBKRpUr63XquWYy+nUgJuyQxWw2ppeCac8PWnQk1qQ2+AD2Z5tAJ7xwSTJY8GyHc9t
+aW302CTyFGtayQZIZ44v00zc6Btbpf3LrNeqBvUOAZMI6wfYCx18tJhkYrKuTdjZt+3hXT2ZSF/
1FAejCFeUQOvDy3RwI3dnQID7TWBU4oJ9a/MmneGAXRyCnOKV16bP4q0FHes7BvkC3pkvHQYhNnl
UkD6cQdmYYTJ+Zz0L39ezRvW50yKC1Eaid+m50gT0jSfRQMDGcCn0DTiQ+v1AtIOxqCdKFS6grkZ
BFFQtlq5anS/20mQ+LXVmM+8BeE/NJLxTngKrDphNYdg7nFAEmOjjbjvWiuFbcCMMpuZNU9WhwIh
lOPzBUgmzZPTz/0B9WfuJ7pZOYDi1nKIfS8P26eWd+Mt1t0vNNXN2/yucMMjzWSWZPdB64FBiYkd
V+5DPvxoUc1ZNko5y3IUBZgmOHRzWB76aEDi69o2swi8pmubyfaG28lQQ9BC9cai16oXXTRmd61t
ZhswAZhPfdeDmdR70cYlakmIpcOHWJiu31Ype4V7lufHdQSKT9aaaq2SOPBRteQTlpUTW14s5CAM
Lg4V7rfkCkeykFeLAWrSYUZl5cBALr920YRPsRQm4a66lGPKmR/Uhns3GeLYFEZx42LtwGAWB4ck
0BFcaKfotg2IwQr3jel9jhN0bFuxBP41Hf5OPyxK44ic/JoudpmDzeEidMR06/HQu6MBqDxHPo9y
AVDW2WrBJ+CEThiQwW3t4Xxxq6O+HGyapcyg2fehsxsGUIJthsyBxjNonAOg+5e51y7qrwJt6x07
5n+o5NKO5OOOxcU6DgtYqAKbKCH/Q6BpACMuFO0UH5wsAwe6QjIZKeQM+1RVQQs1j86dJooXTNs9
55COU968vJCeYaeOGX/+XVqfd1BgVhrQf+UeKtocHrCfFpZxJGWJBBmUixye3kyAOOCrigOdXZtZ
UWmjqxIpNj2KO0239tyyRnl9gp8CSOS3NSyyqXU9uHZ3n0UKdtU6ig4xKKuLOkb5NsoEMs0Ds8tt
Ds6RH/VwTkkqDwXcVOvQ1e1obr0ERM0SRM01ca3IB5XOrgQry+J/h2gNfxr9cNB9gxLnP79v+s35
tCT3HCgk2choGq7EcvTzO9c0wQieUVvtcxvrX4l7qVwFNh+OjYaJYncS+tRsMyBDRQ0ZYmEjbd5q
aGgOa2U/ARd0WYNh70M8TR2LuEWhXmQHN6/VkbpQgAOCm9p2xs48Gd17VQbeZjL7fFXLjj2bfIKi
A6zkd9RkDk/8xJrAAtejKXxOSs+tH6umnM/Q097aymXIhnJwWwrcGanpRt85rPy2lqrTRdyAIGFD
KvpUAJYxOQ3oErXsH/EjW0SqY/cUEPZlA3OXqj/QIGjAUMNN23FNo7ORGGBoZdCVyJkPgmLxAl5e
sK5R3F8TacIJ7HzRxbiZ0yj2DvuoTOtzmOTWg5U7K+JS4HYGs0idEIEbsDgoECQX0Ktg1ncUPn/E
QwmnCw+maBMR8uuXOK3tM/GLBEREVn0Akd+qE0u7TZXGET+HtjCBhcrVnSoGLKYmEb4WObgkE0Bw
OwAT1SsD/d/ss/il6SPjUNamsaDpyByoRZHVERZkXfoEDOoafod6Y8jCbT8E+LkOAKRYA5wQZpYF
2y4aUiiIQ4v6Ik9mNMmrO5XZ/oL1h+Rn5Me2G/s188oNyCkTQAXWPYdl65lPoXnH2vGNumFZ1q+t
KAUvTPOM+8y+F1EYYdGKKNWNb4Oe7GRWv6ZrdWraBEg6Y4+l2VdNai2YNhtX2o/cbJeWhS8TNaCS
nS6toa831GTNlB8Bc31KuA2PorFjX4dBtDeBtjrvDL6SNlS15ynG7ljLOlRlVNzasXGG0CF+/YHL
lj3KtfeJVoTgXkH7n3nnDTnoQk3Zb6YBjieRO90yyXLotUejBRXf4TmY5XhHBwZbyLsisbfwVXJv
LmFZJACQb9W0Skf4HxUiklGIxX/17GC/u84DGEXBXtd+Heror8KLk3sYq8BVBNwX3xob59XiUJYM
LTC2W5G2D27U3MFJ0HmNAgPiTHXQ7bIx6iHH/ESXieLC2zBhj2tqhgLvvme4Ty3AZIfEseCHMYG5
pnCj9JE88AxkgitvPXj590szbEsFz0lIxxR+G7bGzugUGHmpmvCINoxH0fXeNgqCeQFPVePRbRQ/
moX3Si1r9NoHVT6xGJHUg5/dDRwxzBNNllYq/TSv5v0lPJM1LPX6hYUi64rDMv5caqqEARJKDdX6
I3VxOxxvcl48Ih3GIUidGOGKJnh2BbtJx3oOJ9n7yBrgVcI8OpXmjJpVCr0GGnCKUJwm0H1PvBEf
B0w9gzGYUX2acR2o9aUSLfHQxOXK9GrV7WAEtVGJ467DMi5ui4L/4yz+NTraaY83u7CT4wTY9QJL
eOT4g+YZzAM4bFUm5JCSOjwgZ48SGNKa+IATAzulUv1w2F8gcwd/KdQF+j55nyMKEPBRmQuxiKst
+KE2mCNdDssw6zonaZPv/dQE+yFAerh1Uc4Bq97ZMbe2wQGDwWqjTVNaV0EwwR5frhFWGdr3PAo+
R9Ry7lfAx/+sR/gSKXOAiYe0nHbdNUiKOMb0AMSecUpAejl2dg1nmE7y1yZscOfpyuE4YVf0IIL5
jvU59NaDfFrZ8JLZqgFNbwlnnfHVZCLeuQbgvDQZm6976KSHDwMb7wYgMdZpIzrwjTz7ITTwkVeO
FD/s9EhvU9oAqIa1gnzKPAWPsGHEHk7x9oBi1HIap22Nbw/2d8iC9vrQwOIMxq3yjrq8riqWgOE2
G8p0AoQ2HSYHWhhyML47nhOvLKAH/Qv/uBDb0dbmZiO4ydxAusNBbnJ7oSoH0NmAxMBWelADBFAf
ylC/rEAu7S4cNVpXO4fAzRKMJjGk67adG/w9Qzw/g2sJ+IOGSbHgbMBk9ZHUQXPxYHbTeyOqH4Kh
1s5o3Ky+lc0gKjgWOen8HHVF+Zxn4O/ITqgjmHXipS4gIRdaz30ux1u7h9QndTtQWoEIVpKtBzGM
+KsVvEUEbnF2OU23WW6YS9Dc4iU1Ld1HZ3RoreluSDxvx9NIe+HoUeVmwb4Oo/2lrwalbSfBEd4a
gTSw+sVeOlLmY4tawWPHhgwVAq9b8zYG6cqGQKAOaGAFvnTAjr4pwJa568HpHccYT2NWdQ9DNnQr
8NSwUe6CcWuYTqTVHYcbkE84vOra4r5qGOwM4Iv0DPngDM95GLXPmqAXNznM5QD/cq0s/hmm7JlB
tPvVSuN0kaUFVl/TGAA0hUVDlJQD1oOMbQFT6R95A97rwBK5pFHoReZwnI8Sn0YTVnnnsEdiS0/t
9UE54q4PUeGARtQAf1lkcTvcto5JKg9pXyfnSdsDWwzE1qqBmgA1LwMuXM5pAvXRwZyhl4Ua0C21
xhQuhK4xRD7qllDTBYAByfywekwNCzpEIJgG5WxunbyAE60mmFpG+1chXwwlgwc3t71VBoWgGySi
gj02DvDJrg15D7xlvbCKonmL8+4G/i/WTwM8ma7O1PcBIH2fWaG1NyL7u2StfHC+FVjiPtC5Fw7p
ApD/bOfooT4ah13UFtDV1M1y4N2Cd2yEsgw8vAbH7BdliX3odRFMC16r7uDM5kLJNszBbw5L0MTh
vfx+FqFvAOQUAIMYsFo6u8b9PhpZteVbqm82TtVY2zZlp6u3D52Rjw/Z+kDNUOxqR27DDLZpUV0D
wznW4IwlIvut3QeNs2oEXtuD3ersHV1QTY/egF036Nrh0U7mollGUKDZ1bZzhJfIdyOI65dRzo+i
5cVDgff7kGDhtrwIA+Fbwgfc7ufWQB02M9QSlrDxbgAMYQFQS+jha1CoN6sDYfZprMyvsxO07QOE
suHq5HUZhGxQvRfh1G7n0hU+LA2Anu8EsFpwohFQn8TwJVV77SPzIJpDMXQJN4IJWqiNyKvYBhRf
o8q9ClVoIUEkEK5UWxsudMs6yKxD1i4z7XVU6jtap29gn5o0cO0rR8BYc6PfNfByhx74wJ48gMFJ
A0k2EDvuIxHuB2DKrv3BBInka7+r8i29Zdd4T0IKpcGtGRqTJxJSDQMIZ7jVsKMuklX91T+iALuj
LhNiSGuuc0pQDouRfGhDGPCYyb0hza99PFWvMO1LV3Ua1ruEsk7NekhhX4E1cbZ3GZ+Xo47CJjn2
R7B+6hq6+7I2SqS7jeSuS+OvyIRByLXG5oITsHVshW9kqj8QXp5GqYkPBfLPOvg6murgSc8VGoNP
zSGo20WAz2NBC9O4aSBGmyhUw/Q6dUa95UALU2oWHMhze3cROINwbOoXeeYd0hDJuLqAAEpUQQgC
yrbyMOsDNelQ5lXpt5M3r1LADWr/OkKBNCUN8ciNs8LCylCUvMaeC4azLxLInyPzmO8ADbq0MywZ
CZsAhufRiuIYNNhQnG0bxXCNUeijJt5rENCSoqCeUi3LuLqD287/UXZey3EjS5h+IkTAm9v2jk0r
kZobhMwZeO/x9PshW6PWKGYjdm8QqKwqkKK6UVWZv8nG59tWKVHdxZ5rzh9K0uRbuIv6GwCudqUq
vfe9C9O1zWr2twE+Sy3N8UvbYZs5Nlb8TNl93ENb6TCKLr7ilWyRKMfzAAAZFnHTxVan6FsVTcOG
asWiWR6VeP78M6ApL1E8xN9ms/nXAD15GWebt4rn5YhcFPlbmPSP8qlUDXwE/iOu9ciT8LkpwOny
H7WMl0+9pjTdJnRZaQrfnRsdSpkbXQZlOJN9Rn5+KfhIJWgJGWkBPV88oH415wWelViNd70p0XVZ
lz+MfsYRhlrqN2S/V+qC5oOY3IIK7IrXTlGGPUzy7uiVQX6YgsyGPW/VNpZ7rWZap9LNf1/Z9XTY
5Y2qn++Lvaz9CQcg5KmLzxI3AuOfZR8qrb5mKU+38qTcSStewOa0kvePO/ds73As3d4rR3/E5EVk
/xonTRn8Z4wtJroy8J0LwE/HuVK+shFtHm+aFNkSmwz3P2PDordyF7WIq0Ld+8Zrn/PJ6V0v/tay
UQXrZv+wphGJnHH2XgO7TfZmshApbd18xCNgXltuebR6y3jKwPFs8qlqn+BAs4raCRIraN2egPAo
HEmn5FFJYSYUcEPeEAFyUB6f2r/aQn+uo2ULrVk/9yR5E5w7s4+/dRP/sjAcnE/jnH4efRNxrjHt
9gKRD1tcKBqcffayM5Sm9Mre8N4UAH0Tez8H/3/NvT9ZftB9bvjvX0N+Ln9C93rbeDYkDQH/Naj1
LLAJoBW4WZr6mD9AHfsDSXGDXIxkdtagsMeNoDI8sC/nyWwPTaNYb7NGyqzqyufZmqy3xkYtJne9
8dItnfGM5E/fzupBmmh585Iey3Erg70+MI+mX6L/t8zVhsx7SFve4EurjXP3JfXHlcyUH7VYNA/w
c396D9vOm7cc5wOLk7zcuan9tezN9OT0Jad+S62VbVIp3tqXLIBtJNMD5nq7pletE7gla51ZDdy/
ZeeVOYYNaTcvHhS7iT4P/Fa9izoIKTn7mCb25vbXY7F/bqbBhgMU8DI0HMc+hT4/IdHn+DUv2mA9
uE60LUq37ElkMjL1HkwbWYUyGPfYXSRPmJ80G6xD889U6YpF6aL6jtrzbgCEApGkizYOINQfhTei
uRjqyXtcKcHGwq/2aXT6cL8ULc6DZkRneabb4+vdKJ5zyf0EjrVN1ml0O/2oVWRyqLTPr5ARKiQ6
+MJo2GSGejE8Z97sr61WOztIdVzNCic3XS9LNOjIfYmLm1w0E4PVhQ2mhGX1yUvsY90H+bOw0AcV
kUIYVs/CNB8089aHgHa1i1o4HShVBtvUtrLzHJj6s20b+UqKdLXn/oC/5L8YTVCeHGegmuy25VdF
w8+B8p/aQNBBVefZKFrt9pVCUYJ96NKUD740p0mluSy/96Z8pVBAdDdq2Fa7IsY0ewFaijNiFdnP
voFs5t0nkbUJBs4UXm7ujMvQJaTBLIL06/2cuIRkIinD8rHWok+dAsHPtushXOtNEe85k/2rHfGW
WCk91TMl3ufNRP4tn37e/Ir8fqMUqhezZUYGwJwfSMHiRKODBFPU4Cq/rvw2EiIPfA1kD+lrjFia
938jWn4kvNzAo+6HCtlcoQ9MJtPZYGBpb9sAYfp50LCd09N5Q0rGGm6TzQV62sT1dg764fYT5aFL
qIaTfhv1KyQT73+gMKq2EgqX/6ZKUUG7VuOa45bxzhKB5SHZwYM0Ean6RBbPfvJxeoTAm+4kjN1E
dN6kUGYeW1tbftvkZQYY9zLxbj0ABnIXC87kRS4pwq7rDnbO7h4Dcv8UhbkD7JdZeRgXj9pIGoSv
AeDnUFfWI4WEfVaN4auHPe4j+qlLmgyKheR8uiJ9hmHNB34um0O28FeFxNo548/YneZqxDXJqVGE
Ihu2OoaC+c9MgpYSR/2ljZ8kDVWPmXULZ2Naf4HvLWEZTTLPlRSACp050rQfzcJz7kosjNW6OSuB
kn2FPuORKptGJNYa/u84hT+UnheevCLKDmZkz4+Vo/YbE3XYz80CoeoVy77qavI3fCzzOiHKR0LM
d/bS7DMf44JAUdSjPriv5kR1TzrkMvtmukkT9c0tvPnZq5M1CvYJB030omGjVt7pdoLUBm/fW5Z7
OzIiOxlsbpkQzjM7Ac5qieMdbCx5V9KUi53OP2N3yHqY1z9jAtkl543GfdKFh1o1LfCJFP0rz4pf
5OKr8QZxQPXx1lIQzWpC81laWN8lL+1AinYcUO28x4wc/ZiKr0FKVXQXxS3WvMsF+vrPux7SfRBZ
D5EJcgeRDDp1SHN718MI5z429SK6+5JCQL48yjLjcZ0O6bKTXeTM8jwdLzEUoXJRQ5saY8Ccvim/
xmYVHEXDrClKxmVhrm6dCGSeBJNksne9VWkHz4nig1myadFmtX51+6J+HfFtN0o0dVKOS69GxBHM
J1m3lc7K8VE2UZWtdMokAMjR2mqM6CgjEG000EJedi+/Hpm5/md9BM9uLz9AWX4o/z2XosrhBOuR
unIQC9hUYVs764oU+dlpgq69GEqYnt0c/1eqqUTlIkGZZBQl5DvHz5PkAJJEPaboxWewINNoV0dZ
u41MjFRnk9pjYvn/KzPr3TJVkKTWaG+UMg6ubaCiRNY7ZLhcpX9xsxCgYUs+wx7KdbdQPszJedfb
vHivKuiBMik3DzbJ0cmAldXgjPYUj9Qi5KJ2fO8KFcVOItJncqrcZikKOC5Jg9+GakjJ+kWtXe+P
CNPA24bOAEVtGesHFiBpLcMzCDDza9EjiLkgQMd0/K31q0/goJNu/mAbxK6+4+vTJL3+Bpd5RmZ8
ih9G7A5Ps1IglWYqw7NVRN1ay+r8r0zTL4UaaH+roBQgZlrfVNhgK3jHAOWiNN3NVVxgR9F356Ab
jF3cAaQcazdce6Y+fG2s8uA79vwJR5p3p3e7dVGz9yL3bL2aRRyfUO1Fem9pyqVNnl1P0V+kcR8f
lIr5qi/jI43shPTOhvfa6Gr2AJp6OzeJ/2guynpWAWBCS0PMV5emiOdV1G8GDLEfJeSngMyaOAup
ZSyeo//RWy29N3+75enN3FPJL5qvKWnbXZ0ACs3q6cPLZv0HXjunkmz2lwJgy8oFQrMyKHseaqdH
ezCvPyWZbzwFSpW81QH+oEu4wf78rPj9sLbryHh3Q9vfkOuzWA7gOlNrqtiqAEF+h1hAVkGrB960
uXsQYzsr/SjKwXmvlVw78WUCxbn43VUD5vJZ6zaPvC3NZzDQ77ZVfuDB/u6ZyfxR2BAS8Bt56Xxg
FdCyf1TYdn14o5PhEwvLui/CZpVmRrub+2umh/aLvF0p9qKxYtb6QZqZE4QYFszmajBC67UobOuV
8fmwo6ZdPSQ6e9hT06fZJmmaeKWnYHDlH6mWsBUUgGB7+ROUJERXVZerV8sa1M/RfJUwVUwf/SEm
QeHZOSygw7Tz5gsn6qdK7+F8IkyXP5lmNa0cjkGHFOYNpBkX4vsyZuFErDFUsW4C6pES25Cx1GF/
h6Tzx3DPXfgT0B7oY3m8FWZqu+YTAc4CRa3o2xwrkJkCpXgpPUp1mUkZSzLMwUrx8+BbqvDtRX9c
P5HKrF9kYqBTb3TyPDo2tVu/vJDRpxq11KUA0hgH6PmgbKUKZVaDt2rZVx1sa7aerXBnCc/GLEmm
+f3DLR9X0izMaXiQ0+xsd+amnOcJ1mdW4A/IRe44LCfryIiM7T1WAZH+rddyChI/y4x7hwyWuc7S
Kx1yocDwc9y99/5k1Q6PRk8SJSqGD1fv+Ab5MSZ4gQmMKq7j6LXxq+GSlObarLVupWRmfQOkZ7Np
rhBbpDqx4NOd2kWvb+mVd5c0770y+P9hLvKb4MvuVdSQl3uXglhz5cQVolyyHoBJ76S8KuM611WO
A57J0sI1KcFlrnmO88VFqcwz1Jpnd1zfrJBdFVWRBJuveraMa15Q9kk7BUeoJnP+YbsI8WXsKPG5
BZV/ZbT88TgWTg1tp+jJ0oxx8lmQTE02t5i3g1mUptcVfHrL1j1r6MveEE+NnmH8m7bTQddqdLfb
8kup53jD4G+0sl2tfJGiMhLzxgqsDlTBJZWHHr698wa2utLL1+YYNZRSROrTMfRuk2MbsxatT4n5
i8inXNzlLrLN+NA4xvM0VT6pGw895dJ+7PzM48AG2ecer3q96ncS9NWx2CW+lsyfR7147PLKR4oZ
gwIj4P1Y+tpF5yjw6tZ4AmPbhuqCaVJSCBQLTosfPQhbBFZntncWsJQwQu4MkrKpTsv382I5VX4w
3T5a/ZEglhyyxArX/aC6Fe/vueX72LG1gBSSvNyA7e4fh9D5mfD22Y4/1vxv3L5vDlska2fHnUNO
AHF/q8SLqi7VT1NSds9trZbPzdB+lnBJQnsDF+IQdxNyeWprZK+NG/RPXpHubNEZjkO0q4vJsZda
K+sdb8V9bUftRus4JSIS61jO8SNDIOhTXcTscXgfR5k34pKcGWh502wzXoUjDPMHjbIHyrbo+SVF
FT2UarEutRG6r1pmwaOnO8q19KdPLnCe4z2EEGLw6DtOv+GLOmxkmPRKhzHMbLy14ZMJZAekyTJY
hgyoGsmPkbEgNwIypVw4NFirzk4t6IY0b9OapV0sPb8Ff/2S8tCcj16HwI6dlO65tBXnPKetc36W
23tQmv8V+2OIadk6X0rUve4d7q9H32N/PI8d+njgVH+JesdfoSxs/pQ6vmWcUtXMUETwtpJTusVu
6SYZH0aGeeu6BYXdI3Oo12/DRSj5Nueesbr/HFLd0w4Bb3XV9KPGLmYI9hAO7BdekbByyrr7DlqN
zBL7ShsJErWa8Uzz0S5ti9x4iBotAzvJvrCuyuAdathB0WYL2F+ZvmV6vBHI05yl/oPJK2glzXoy
vEOckYuW5li1ybbqPQ4zCz4q77OJRE9sX5I6dE4BfsbbAHG0s1xcFUHxwMkSxPXpGOwAGREJ3m5v
g9KUtL/cOuNUnREz+Dn91u122k4fi2DD4mtCifrn4OS0XbKBKDTv5JgkHZ3evDRwry8SCpPABPpr
r++T2oENkDxoNsPnCCjKRVbFICaJgWpatlbMpYZ1b3dSr5J2mRYUxDC7uXJ42UiCOKy7aS/xe75Y
xqI+ma3l0X88X2pibh2TA6dcvyczq3F6qOpdCN2bBEdiacdZ8f4e62p6usUaBym9UElRxweDIJfJ
mq/hYrkb1yVSCKlcLWtM1knmtdth0VG4BXm5IamwXPSsXYekoM/Suk28DdQxLe0196u0gghQiJH1
wbrNSY88NFjrrurAtbaZ7UThNurt0bY2pooi8b+BBQImyFnBT4NaIx9Fje63IbmuFIfC0v4G5jzt
sSXz9zUv7c+okJyCzgm/qQi1rEO9Gq6qPwZXY+rHtZdU0Tfq4gfo//l7kRUxORvvydb8kD0QQlHY
uHhPhhJRYRm8NwlN/aEtvORNIk6SXQEITI/SBRi8W/VDpp6l01I5VWcJLobS21h2vcPoYN5Kr9Zg
l1Ohg7iW3ooX1AWr63B1e7BxBDJR+s7zPI7KdrSz5gLLBROjwHwq+3I8I9qCvhE42svoLj7G0u4r
HlcvhUuWw32iJMBWcMVV99J2VU61VmGUBnLA5O4MlH5WNan94+R21uccbfKVwoccIAvNuO8OeaCO
Lwr/MZ/4z2IHS7iO4unRGYsPkoXW58RrvFMXg0aTzjDM0n1ZtdZWmlHXlZsgUpOjGyIll8Qxx0U1
2SW4x2wFk9KiDXJFTxt8C3iVYKH0+eH0uW67xYKj6s5m1OAXCV/+Nxb80uSUuAZIWZ/vcTsUmbql
t8rCZDuDvGaf/c/crLfKo6GO5x5kONWbqJt+3vZuMlEoHNsDMLKjtFqYysXxNoZd6vmWxjbmbtwF
dtA8+24S79uy5wDfBCQz723QEcbV94y1slTOpXwul8xI4xNG6/t7WV3iXWr567IP/M1MwuGxBdNs
Dpy91hGupafAxOsg6XT/WS6u7hvboinNTfQrFqak4PumVg8yRDraKjzF/UyVfhkWx4V96LL2f2hW
bYPOVF/kogScrDHqzQBRuHO2nhR/P1K2u0qvX1ne0dGSfnWf0aaAy9A/QMu4SrSXYYKEOxTdNg70
+BzF2ifZk90p17+xrSXIe+niZHFz+GOc1VnuFrxHtVILj/SN7o7VplZSfX1XVQaAR0+nOx83oHWB
2emxMj330VkcLeoo5Jw/m8PaWpoSk17XDf+GIlgc73ESd/B/Ym8tA1hsKW+o4xUlM41zal5ec6VJ
T0OtthzB2+TFTpBdHstu/qZO4SYvRv9/XjZ98rTcehz6yVjLwU02hjrQsk1s9qgEqEBL7x3HkPLs
01R5Fw3ACQkqzzqY7WBecV3zNpOb959SCs6rEd227xo6aQB30TxBP3FPlb351ik6Ht5dNr4pXYTt
dA2x0IytBrPCcEZDkW1XjHKhIG2tkr8meli3VAJ6Fkj+I9u2BsEzUiEAZT4cdb9U85OrGt3a1dh6
dWgx5ycsrFhrByro6vghjZAV6jI0kbOqMlI5qFfqLSBz3Gfzsm85XOR+t87aGEDSEhwrGJYb9X5b
D4VzlosE4Vkc/CpSDhK6PU1ubxNvtwEJMT2aH2yEJuvVbw+zMuxJuzGsN/qShUXArV8HrGRbScVK
TO6iDNtQfRzXreRubynbOv2uxzpa0VY3bJ2xmb64XYBCbph/Z30I1mXqpk+g/5Lzf4wYnTRY68mY
Pi2ky7Ovz/Zar9r8OiK48FTXqcKiZgSgp2jKRR3RGNIS40WPYvMWkvjc+ytd88g3/4qTdB9XMCS6
g4yoiuSqJ4td2iJMPyYPljokN4F6icjFTWd7VSm1trP5LHobBGSNPaWbcjXn+eht2mz863boiREJ
hxVTssMyuZMCiBL8R9vuJ39725B0HOE2Set/mlgObksLtvRltrmtMpmHsvHY/QhVzLh7BA9Wmsr+
EqjRka+ucWJ/VBsbOafzTjuqS0xT5kBb3bMCOoN5cxmn+2F/liHLDHlKZGSVccsj/Hry/dj/7yfd
foShwCLV+dFFmeFrz6qvg8xBaS9Mr8aA8yHyRc1t1YfjdFKr3voc4q+yV/tO33t9Gr33TnLsJhd1
KL16Nnxbv0ZJ9nFLTvaDfo2N+LdWzjo4UdU7GF7Qw/Gt0CKPzbDZqph9rmrdhh+QlEZ1mfLHG+5h
dKy1H81sK8UHLeV9cWtjP4UBVfer/4aJsCz953hBTEB4Kp58/eoa5ox7gFzlfCzHZTPMvT1S3m8S
6rp63lIeyfmTIL0aATpFswICrvwi95g0BXIhMXwj0ML6hdGwWttYSUx+gftcp+nQWhOnwBmHq1OL
g9w+SaNhJ2dEkPF/ZbMLAJ5/2EtQes/ZlIJRviEzCp1jdg30QPgIFWnPA0TAhdMHaEybNf0Kqvh5
WFoSmpQfgesrL9LgJQ82aS7KG/0hDRNzE9ZZslcWXZZa6y/uHJO+RzfztwUCkUXrIcbzWNaB+8IR
eOjI2QNvsT862uYlRlJ1YN15KczUfh5d8yl0+uiDFu54/kQqpfWiD7uwWIDzxr0sSrjvGVZ1UfRR
KY12iVqdOtkyp49aaAxRoB6kl5I+KydP9su3Wx2tdQYzeXCaDyxllT3Oy9qbZfRfgLJl3/ma/DUA
FHmbobgeMDKbcdzovubLDkzz02I1tpy+ZUPWUYVJHM18AQTmvHUTif5l12b5sLaTyP0ic9BnM06D
Mze3XZteheHeaD33tmsjs4b8Z6mXR16/Adu/Dq4V6r98qEEYdAP7gjEghdkuWIUsypMr+t2f+6Xl
p4g/6kmKNpWSL3ujah+ZRfgsnSnSsKuiqOuLNBPS4esBm9WDPMhwlGGxD4OJlhfY76agQuR1qLPd
XgWjg/fVr5cr5DV1p7hUk+5vUaMK60vE/z6ILPPpHncKlxprYz1ISN7STW84G9b44iGcq69ZnBt7
cAfFA9ugJOHMi9fGqJvvMsJfOnzxgB85KG7YVTnrsE+/+hwO9rcOGSiXPuHYG8TOO1KxqIfeniCT
g7D4GjppQ0o4A84cZJD9dXPKj5UPWB2863Jo8838eYAmiV3tck4czfS5BrnDdp6SuutRlPYq94zK
Ob7zzeIRe7sFMFBulXFkRhcU6Nxx6cRC9j5m0rFidiLWLrdPz7Wrzo/4xHh7L8uyQ9Gk9ZvnTF+R
u8u+h8b8UU8t7sag7hfgwG8DRKamKscPP03zl8HLkm3umBhqLBe5m+B08tbTovABRmE8Zf0FclWA
+8AP6gdkovPxQ8uVauv64EVNjc9P4ZTJRtFS/asHM6AstfgHzuwgPL1SeyY5kBztQkWKPVdKMgnK
37rX+U+RD7LQc4LPAUqmr0CO04vVIvquxjoqxJxaE+wwGyQzeX8N1niiEHiVGLJTOM3+ujjdcIm6
CjvSXyEZ1npKs/EKRL2lw0CmBzLF3ja7CpOpPPmeRl97nCZ+aNXyLRv9+FXRqFEE2GocNcofT7hO
oBrmgrOu7P4Bl63yFcb90VteGjkGL0cdBYGNNEm71yg7+vpZmlX/NY776XOOxsGDzy0cNCZBMsDx
BLOcvYxCCu7dNnrtKUxsNhDO/O7HZU/RRulQyuGOikN/u0P44X1QXWMncUvU8e9DPFyHypVSTP05
C4fk3EV4HwZZeahEsBr1NmsFQ/xf7Zy0wibqgR53gwnNv/e0lWA6QyOcz5a1oOEXeOi9KfBQGSy9
VRYY7HOiT8JvjzFGiNmucaSFVJ4MU3/0C3Lv0imX8J8R0jJRYzvahvpzRJi23SEZY+BHwfzNTarh
7NhW86KEvXlVI2vfqWn7IiGgAPWuKu12c48tk8rO3vTNu77YDfRm94UUTvoEsd9+y5ocq3psB1Il
R0AUQ5y10prGuwlzbquHIwzJUHP2cTE2O76ZBUoybbjTVPTubhZ+AXQNvEaW6JKZAIHMIDGElrsY
noGNFci+jnFzGxEs/Yz8z7zH0XfYSrNYXslVZrVHadoVeAdU3KbrbbA7rUKy4W+wHqKXqVNOmt8H
7zUnkAuvL2vl+fNBq/rvvpEoeHrAf+wmT90ohefvhfDYKxGqWtJc6JDSHGfNWM26ihPcuazSl/uG
S+4QNMf1ZLDmnWzgTPEqvPdEpA6ojVPMSesw33VFrp2rbDPPwfDV9v1xy1ulPRUxCiReGv0tmzXT
QAJZjQL3GbPa6IwZWLzNezbqNY4jLlkHNVY/d1amXRVMXqmZeca7TUl+P7g5dTsBzZQJgnPT4F+k
ySS7L91d5DdQBZYTmRIqxjVG/Uha90Oav7gdFxZbpltsKazF2ghrhAqij5zy0Q4s1nIBdwzJxsS8
4UYOsD0lX+t2EB676muJXty+xB7pQVFrf8YViFvy5e26r/t02yWG8iAxvTBwjSmp+x3QGHj/2VxG
38coTrK1s244Y5kZ7Fwn6KGrdRgieSWZTrlVSWEBw+bSLz3/FRs6Kg6pOb38MbaUp0jQzy5lVbtA
8/ELx2iCssikkl3P4uRi6zgXxvoJi2IYkFaF41rvWJdYT/KnMh9WVT5MV2mlElIKfWtbZbCRWOtN
SxapZynsyNsWTVCdR0nU3tsSTIKZf5Pc3gZFtbHm7dICg2dOoEH5WYEs/PkMCVbJrsqm8bHsHGVV
Fk32WwVV15PqQknmJMdyOYeTSBsQY3e8lSz2mH7meEVe7ou3hO/NLujyTYBW1frecVvvQ4SX/gE3
e2YebbtKHf8ElEcLEP1+uYHObyhzwZ8ndckHYpkI1tfMqZv1YbxNOWA7xcoZrAmpviTa/r5hlV1r
n4CDrFM32krzfnHQIFGc3j+rKA44qyzJrZNaxi9zmNQPGBJx1lXH5YQ7Pnla+0ObHPd495FpFXw/
UgetXRkGRn96ShrTwRbl58x5sPujCczL22uFm3wJ7IKE4RwV2yRgG+P44XueudoeCIG99wfH/Kz4
6UmQixkbsDWgB4x47DG5TiPGWiJIoibJkY3vvFXCONm7cd+eO2NW1+3kjB9hw0YXUt5wHhS9/8Cs
wVKKNzw59qUeDU/eCP91odYmCpnVfAA3LHzc2dOehiIvXhZfLpbqdOZ9iOjrZ8VrvyFI1u5RPaj3
Yi5wMe1u+MtegnrV1HsxFvgiwWzEeqfy4ddqg9U+wIhWYMqBdUAaqWHzC8AnHNv6k92quxvoATH4
/aBGxq1Z5cXZ6er4Ff7NrYaQcepBc8s8ScUgtiv/2bneywtjY/YnthgxuGlW4TXMA/xcC7feyvjG
MEc86cXKKqIChJmFfZpJ+N4LpHJ3Pw9KIVWa1ZLiCdE0FYzY/UfqfOQ2gItUUM1UPqRjwYf5C1BM
QqT5tUcrCDf3SQIxkwf1OCtsdAG6Ji5noiocmuQz1trBC5SP29odztMuBi/4KMt2XRnd3gkCb31b
05fFPv6/jJCdQDUW6YVNw+UGN87x5y696amb9PRlSrJnCdtUkPYtJnW7oUDzYmGvb0TAY1qEtqG6
GB3WOH0MqEQi8yJsojR4XUgsY/HOXU19SILxc7CQNV0/irZ5lelHFejmR9c/zB1Uz1oJu0OJFvFO
moXVX6okj970CTMzL7NgMS+zO9DAcF7U+tqxi3pZnlqGX/K6zbBE5xW9K5W6PLSBw/4Stt9e/Bo7
p1cRN0WeSprmWJTPeotHT+nA3QZm9OJi4nEVN8fWas+DkEnQCzWwdMHDxPbc8VjEHBItnaU31ad0
Wy1N9Dmms97F9Up6tUqNX0oOZ9IplzpGVoeT+6O0+CCAp0U4S58N7dK16XROHd+4ulVJyi2sYF8V
8d8SsvQZNIItHVb2BffT8Djh64O/g/IWBFFRfYLHXa39fdmV01+Ar6v90Jnd3kiM7i9/H7CK/kUt
q9rPKnJ3EiWhFfT/mxG2tkvHa3ZFGznPsHkRg/Xr4ClOi/JgRQWwQpU/f8dZ44KyE1v4MQl2TaPC
F1w6ersZLnIH4ADOgbRvt5Vdn1JHj4+2PgQozS+z73NQtTCyxaFgCGPnWe2MH4KocRI/X7lugCiZ
W+dn3rPBVjA4lrsz3KH4Cnha28aWUZwaAKSn3kJnG91w5HwXADkSsKs2qupvY6uPEJVS/3EyR/Po
Y/2xhzVjvMrYsrv6HR6SvmrhZpBk7kXLbCw6s2GNdcd4sdCtuBjLxZ7Rdt41rt+ugPYBzWmtsLmm
Hu5vWsj2prf6sUfDAmKa6uFZp8ypfmHPbiO5oIAEcJozG3yMuqTDKKfmbC0XvzZOEfnJfeST/Vq7
fh2fC2XWXOzOuLX8sEULs07qQ9Oj0IqP6pkcNeI2cmt5acfiNdftkVLob9l7Q3O686Tpq1saP1l8
EkOtJKMvt7+67x6J1OQ5Rko7hbOYBTMSZJ4ZHoBDfGSGVWFk8s+FU24zrqQ9eZRt056KjdX/PgRz
5/o2o2qnbO3G7C1/m3Z/FhysbJdRR+icFP22GEAwInAAwY0KQ1IzKY4Csukks5x6WX6QgRL0F/jw
DaKzjFZVNz8aS6ZaeuUyDF1+qJGPWUmHHlrHGqD3aVLV/josFzcwYjLqpbdNEfC43jvkzg+LU9Jw
WpXOMFSwNFyGtapiny0FDYalJXEZL81OY42aA0SopCkdbhXytQyh+dUg3h7h+H/GXwKlvaYOH+Ui
8dyCHF3iHwRW7t8dqlocrKTE5njpkMFyZ8RldrXya45nm3nrlLgz5Qf4npgTpsbhjzyuHCHSTv1I
qUgcpCWX+5mjC6YPbPDc/ViSQXgzvShb3zIp+MM+u42TbILZiq5KUgaXxPXLLSmx+YOv+clt/OiH
1nFkAixavFFExdgwbmJMASb9ufNGfSVDEAElC6PNX+VpJGLrdTv7xb4IHG2D+pLySZtjnMebLv5R
hdYaajQVmhYYFX63xlczAwRf2YbyiuYEtgNFPZEQUY2jMnosjaWRPaZqMS/wxWMQst+Lc809CyWk
nQQqGP3e7NwaGMpyVpPB0Ph+b861Nq6q1OpPSGNp68CCJ4Zt3FrYKgAPOd9YXfhm+0G0D4DBnHg9
RCc9oLo4jRnloK47WzYGtcZykTtX67NzOnPIz5PhWnX9z7h01p2R7mqV2oU0770yP9DQDWioRe/u
vfen/PqBNcfNjn35q21jMdM4bXfEAyP4UteoWCTDe8Yyfva7xl5L2OJdwR7Cqx9gBFtvwE321iIB
44040gAEB9W1zHbT6E1p1fClqdC6MB38U51lmFUgluBO4aPkQyS5cc+M/D/EZEiuz8rRKW0UjUml
3PIkQ/cczrFGJQ0aidXwgS7GExUd9tx2zJ6RPUC6+yOZrBfuOkk77eEez1NE9pbqpOzgA0vZUbyr
TnMSd9XGTWrnUITuQ5+kgMzho8KLqhdeVN6hp2il5bi7jdQtGw27EQkM1DKnp8pun0nmtGehdskl
z/Nkq+Pdu7lzvqghZxcT0w6ZdCN6FUw1l6kSu0/VMHfYxAnvAM5nP6dJ733c8lNbtTyUSM6chVNX
+iHStHFSPkiz/tUU4lHiJT97pflb78IZFjed+1wZrGZ28SAspfvgRCu77axO/OsWb2CXLbHSh1tv
MQC2Nr81wj2+TRiDuzElOhIPHN8TUzvfL3MT6r83+S1ACPwakxWkjLB//z5Lhzr30SZvKgdCoEqN
4jnUR/9kwmDeoAMy/RUHw4PaITTdxHW9l6PqHydXOfyGC5JJeuViN1m6bVsP1bVfHb0cle9tGSiT
29pAIga0LUKViA7Ui88atnX+gUPEs7QkLqZr0ryP6I32eRrBPKzuHTJOmXX/0Fvj82+GbTKkmjBs
DVPnSDboTdDq9oJbZ7nji9EkLYk4mmRssZ91qjdpyQVpRkoj/4eyM1tuW1nW9Kuc2NeNaMxDR5++
4ChSpGZLtm8QtuWFeZ7x9P0hqWV6+ZzeEX2DQGUlYEkGiarMf5gxypar2qINz8s9rhlyD3RBPu4h
Gcs9rv/K9R7Xf2W5B+QU53YqzZ9qrgUvXup+sgFBnHGFC1+iCoL91M/VTiYjsLK32ITgi7TMSkwB
qVnQ23iSkMcudz2n0Xzol4wa9TsqZsByZbYKi+ahWkwPf10ON2TfWNADF5Z2Wm19Kw//QiaCvhMW
5q9qrJk0qVv1rlCmkm2XNwEyKud7Pox0Yr1Me4vn+YtHyfBoIgVSfW8CSIYp3W7DeXMLk/KW609f
K4Mu/jwluKyjedrOMWpi84BUD3FH8YmnTXmrIgvCI41mgGb4+U4wYWkM79PQNJxzBWNGHewfY5l3
7cFbC7bMzIOn0HTiDWiW0Vr5VTYepzJ4NP2CD04f9XzFlf4Dv4P6aXBSdsq1bazTpo6+257F935v
vylYqe7ToStustgKX9nJniWhBdy/ZieM/RiWOxj3BAenhaHi8t907kIMyhDHcrap69Wvbjy/DVPr
vHeGfYjNovniKN208ZdUzc7m26nzf0sVrdB/pvLKjI4dtY+Ch/LkFm25Vf1S+zxAgki0Nn53HSOA
ddzlL4jPDXvXn6MDLCPzEYQOSkhLSpm4qzR0xm/5bKUsf4bwjoVgSK3oc2Pm+Zo+DmA9qy++Kk3o
3SLWPT5lqluew0q5t3jzP0lIwY5hUzp2tPv7gnwLBE+9l1mQi0jLFMDPi17N2cGNlrKi+2rcyLRp
2Dn7j2+XSxVPC0FWYVMjk0GLpkpDj3qHyn500816BqpAi++buuc7IUl79dQ2KGgvMcwfevMyrXr4
QFZejo1xEyl8F/IIh0Zv7ntERT9yokxVWe1VPFLXC+WfUXqkORSMdkKE6U6uqkIXpsJ0sKcE2fJB
Y1++VJeS1iw3VW4PW8VfUIe5ynrVBV7uV0F+75cYCMZe0T6g+BTycfE6HJ8YTrCZHhDJ0feougK+
luGviQSvawUuDU6eS9oSD9QIXdoM5knsuhASVR6gU+5YR7nTJa9vQDc2uQu4vu+8dFdNrn/U1Nk/
dqhCwYJfxuimn4e0blid/IpFRvWRKNmS99t0RedQ2crU9VD4hmqtvSbJlw9QCicnYmVfJo6K87Vu
uUc70PvkFMIk83nI93zZYz1PCYNCBC/69aTHAHQVwznLWaTZPipM8/M1npoDvPOQb4xzi0vxKkuz
cW8nuTFv4iWoadPlEhn9NjEobriyPH/Yy4zccejYCdkFfWyKZzHCKOusGDv838PxfImkuTFcxkA8
cqc7T8tcKtkyJ4ceCCNzct016s5dyX7R27ZuiuCpYtFkxSr+qVWqAGGgnVHASAI4h3ywHygRLOVl
rKj9c1mP9mIvoz6pKAzdFqPzrQkR/liz0ZjAjTbtPh42UsmR+g1+oe7ewJVpJUWfUvzUUAS5n9qu
vZWUdqn9WF3r7rM8VH+Tc5W7LLltmX7kQmK/5XfxzmObNDiA2clRfhjdGrQ7OjmHuPHVJwkNFowz
3jom7EJ+3AGNlCcTS6rELrHiXEKBA6DEBdK6ul5FG/ZHY77n7UwDR0/9x7oJP3vtpH6huOFvrMFG
xWzqis9Z/KnoA+1L32h8pzaQkzCd1L5Q5EBsMa1e8rGcT1pktGu52jcK+iRw5e7ytLsfXdQYhtUF
LUetlgczcNwjW2hlpS3cFmiUH0PxWbwOZfaaLKaMToQHYlrPkDHL2dhnaavSmu5AfMMd+6aYzZY3
of9TiSfEzef8cxkEiIYMKd23pLcOIyop62IGKDGzVzn2o1WfowSecdBbzoudFs0q0b34HcmAlWMW
5l9xrD04g1J9yTVPW1fYXEGoctS946GN71gNfHwn6I68+ZRDkJrtn2cJeL1jXwfK4d/nsVwqdgMy
U7h1a/UjKsiw+76PAups/XQZhGU5nlnvG6z4g8YyEK9CqRjM1/HS9Locm9Y9dVge/4Znsn6xn7TE
P5XLFdcN7QUPtUykvHF2Xuot/1t+GX6Ct7gL9cD6Kw0xVKXD/c1Cm3jdW1311BaRvVNDq7mFLJuf
8krJdhq1refZd62ValJhWi53wD5v6TjlO9WG9PGOq/qTjR9FMXvWwc79CUIfwxSBy1VKI+CO1V2N
rPaCL166ZNeDNnTPQesAvl/iZWr6u8wz3bUTgPKwgPJdFuXXoSz3ZVglYXQW2YHr8LdZmtBnWf3L
bF+of31wYRtHod/tZJ6/zV3TOzopNJYbOU2X8TCNaFDIqZ/F7kdWgG7OMSnZLMXG/DhgRpJD2iY2
WKF/BLRh74pheHaGGfGG5WCOCYt8OVVN9yN4nZbYoBhf9LLVMfL4+7LWjmDpmwFmizWrkiM6IPiW
enN7OyatfV8pKRTw0cp+RA6bBLUy7zxH/w4MV7t3TQUJSBfSmQ050QbMSnAY2LoFie3u6rHU7yUm
B2sO7lybPblVlXxu6lHR72z7UbLaX6koEUMcNuev16tlsrUc2ouV/VR0NQXSv2FfSYuHSp60pwvc
TIZLRoatc1sgfgNPCwTocpDd5mXj6ac5jbQ+3knsmpKXdMZW1zHS0PC9YPJsJbFCBJsW8eQhCeaD
i3TTwjzqKkxDNy+y7ZD4NbLySby9ulWDHfHu+3k+5mWu3KIrBCEnxrHvxtQCE5olX78/MxycBsFw
h35ZVqthgW/L4bfxb6cy5RR6cRwX2acR2I43DJvC9OPvi49ErwBNsVzwlFgfVLBSk+aAIXK+HzVd
ezH7/l0yHAdGEGLxn3MQKdu8LHQqn3l352iastZ0lvqKpQBMc9J8DcetPEFur9/sZHF4gqFlDNox
zvhLyPC/ZkXQCD4jlfqRFS1SspJFX646gTmWe0nYHyztiNtIiKA+t75mVd1DCo3tkERD/KQAsMLq
QAu/uzkAHJvuOmvUaD6iINJu+6S1vtWf1CCJvhtGgjywbrhHc97UEbt96LfQ4py4g6+3MO/kECkt
xOxU8bbXGDU2GHpLtsSQ6AWXKIlxn/pbv0ic/Vj4n/6f2uZ5rwL19uEfXnXN5Qwh1+B8UUiPKjRj
JCdeUEXdENS3BrLpiDulxgBMiPp0uHOW+jQwc+rTplSpJRBKGTsqwbFjNOlsMKBF414q1slSvL5c
4OgalNpY14FRV7l+QkRwr/SdeqPV+gSkdimXIxBFjbwDdYZWUo1GY23ZN7DLWN+M02deRPFhRl1y
G6gIFHpVgldYm6d36MGOd2PjUaMw+n04IH8vmiEiCXKNXbVKWsv/yJMUSb7mSUySJTaxSaD6t4DF
rjnX+1/vFQ/YGJZZq9NMRL9IiGHCIZsTLd60ORRtGcrEhTxW6ap6jr5fU83Kz1ajFWS7bmK7C+0r
tm9djDhWvmK1WxuI8K3E5EwOKn5ZzU5OjUjj43dND/S8qFcypXlh2i2Saj9ZplS7cOmcyyGRTrmc
IkLH5dOi6Qbi84WXRoXnK4m/5dSNT871cjmTS+Ts13WXS9gEfPwzTjb+KEZeHewCeX7lUUYUyzku
+AN5xCV0mXUuqNvlwYdB4RwziE+X5/4yzweroQqPX41jtM1t31MA+P10tI3HMvLyvY5m0K3kGGFW
6Cc51UI7OwZjNLPYmJza468SZs2q7vXwNEQt6jq/zlzWwQpUusMf8ViuuOZdr409nttqWEqJv+5y
zVMCao7IsfxDrCKfkQJZxCvUtOmiXaw43k5vlKfil6DFb1oX6EWRzkZwXPfyhgz5RGz+ZOh0GETd
Uvu+cHOEoJMI8LLT8MsYALxuJehiR7H9UG+Hul6uGwWaQRv0+Y00KlErtPahgTeJDIdiSs8UIr9b
c9a/BKUfv7AnlCk5KJX25g2zeZaR3CvylRfV1Yxt18fKm10V6xik+VdY0/FunCz8O8FjYkSh7yGb
Wqto2XSG8QymN2Y3ypeWeiexftmSKiAhNjgiD9tIdqPzshvN2I0mCPbiUr5sdstO6wDPki3XTb9u
7fEGx5LAOuijZt7LgV/AXpV9z4OyxBytMu/nNrDuPd/cml6FBsGv3BSZjdvWHG+vITkzUkpgTt9h
+bzkApEpMc6y+g0sPCCSIL70NTpw0wZNnvEshzYOrFNeaj07Yj1aiRw8Xer+xgCYTEUAW7o+07JN
bI/TQYax6b2NXRY8RE7cvCrFMVzc6Wo360DeOVX01XYjao0Z2sxTQjO3N3ow7V7HSs1sHd63HKY6
/muIUuMoI4mXk7dOcpdd3HIRaoDOHRWHbWNZLX5iOuyVUCuQNVsulwvoGY+7SEd2Ua5w256mZRJa
bP3TPqwOdY4+2Aq/Z8zSl8NlbMAntxQY5EAq83QjM5fTZA4LVtiVubOq8D3BWJJNyhKLSNqZZa7z
1kJbAhDAUn0VtddAt6pNEyOedo1d3Q5EH1ZSqiVltjOeMXd8CqmeHWMXFqpIeoNL/AROJX0Oijk8
ZZgYIuWIPveveOogs/XfxFHZCk9hm9yVY4CqmgNZt3P1rYjBXgViG+msytj0fA03Nd57Cgj4YH/N
lKt9FuEbyAMutSCVvbRwMj1wk3q7NnM+N1wJxlY0emAb0LFIze8SE52eXkR+ah9srznpJ7uu9E1c
TuYRG4EfReCV30KrvJzEf5/8mlpO8AKrvklEt/KvlvO19IdzuyAU07puH5aRoBnzf4x+zWXQM9c+
f6fDBahg5ONfCur4+JAuyl5FjBrtFJufBcsQuTYem/mNqC3GOpKLQGu6emGQ+ylg/V/iin+HJUey
JYFyv2SPw0D99L/eQDKbEXyCU+R/1cnMytWEguiaZXqj9iUuHNo03cqZaQTMXnJwm0iVtYSbPDFv
ikGBrkK6zsVUSlLcVrHb+7jhbxdK0vVwvbvEINghRpp9nvy2PkaogW6kmdZGOiDDCgntDo/GZ10t
zxIPx0wBI5SEPCL03EzDOTU+Qvjs/vu72h7p4y/xJOjrjTFX7RGhZOXzuwSNkJ+YJvceZfgY4iIL
W9bSWFlY7EMWUMtboX+ScD5BCUmgP19+X/lBL7+YnF7+LNdf5PKn0RDuXzsGv5Ak9SgzbbWqyVfZ
EA3tah7M+mTEjavtDK/6pEy1unfDqDmlJbsTG+V81vk7VFCsZ9yR0To3PGcFesY64NJtPk81BPXc
scu1zLYRBIeu3FLQt716jSAVAuCnCYHxk2b55tr3G2tdGyqqwb8mrsM0D+ZmhbPKfOME2jHAz9he
l/kU3P67UxfRfNDMQ1yswPnPx7nbSshe4nImt5CzSkf4FI1OpIFmNLk/+C9NtANBp5yk0ygdyMjo
7QNa4l9Nc2CLJRO94SI7GZTG9hIskvjBLFsMbUHjVhsUeld5vMkzfJpmpDDMVYhw8308j9/51YND
M6bpfbUcLD5K95pao6dgLZbzy9BpLbDaBT4m2wQwH40Khx7wFBu4Apv+jz8upq1gg8lB7zEBwL+S
WblNNXpr+QkkRMnmgJ6FejI8Pbw1CnuxsdAe+rHQ/JXrm5tO8cO7VoZpPqfrMinTfZH56oOJCOID
ElIWWEZ2fv1ynVyc5q5/h5zOR0iuLcv2W+oM5VHS5OBS/9jCI9E21xj91MtPAUpm4Ux5r2NTo9Xr
Gfk+Xro2NboJaflVohiu/Ioatl58TVR0fSXaldGSO+u98oiVeb1qCgRemnHQv5Z9fW6dACxDgXA/
brLZzz4ChQAK1X/NO73cxLGr3Ed27+F119XHsFadk6PX4C5wHniWO5kNK8q0T6smAjELkjpcWiYJ
NjU7U3HTF7Y36WINY723xbzOu9n6NiisFLwsHu+bRXQ3ivvv7chGsbZ1FFFNGxSfEZWPadEhfhSh
cLU0BHFdQdptyZDhrwwZyUVDYqibJo8eGkxRLl8NpeK/mu2cPfLxGx6jJLx8Negt3gh1pFo72SiP
pf1qZlX+GAEP/SML5SoL9yPcF7I4ZTW2fJeHWfCkJXmDVgsjCRnL1zrNk6eu9+vf4lmPAlYzYDYw
LKaC0xTYw2awu/GMvvB49jI0XPPIpuCJ4uQWl6ExxGDPeewCo7jsT64bkN82JHFm4Zokm5HLaZYs
Zi20tVcezvGrCe77Q+1St1Mh0G1FRtRMeirIvGsXnVGz7hJEEsJ5j4PquM0NzboZFq3uePymjaPx
FrmzcbR7rQAAhZ9caPMOcZO2pIGoOY+RCcBn8ZNrEwuUwKC8GDb4CoM60WOiL0o+LiVALQv8R5Vf
+aJ7mqJQ5M/viC58ZMZe+pGJshDwVZOqo2BOcKhwW/W9mTc65YbzhfdwoThor4Pd5Ge81GBGCBPi
wn/QXkM/ynFBwSEP0b2zYApU82tcONW9y17CX5VuxXuC9db+AlFQusACb7XU7S5atXGs7JH7BIXh
2elJ2Evg8XGnonjxFJmpdsjsYd7BKMveKNac7NJizylOXagaUBcsircMQvEJQof6xINQnPrCeQuE
EI8Zi7VGHqHZy6xtqfPTu5zKgYJtBYIqcdZ9k9C6SNTqjTINTMhaOcUmgItVMsz5GteeeespSXHX
e52zHtR+Edag15tTyHmA7RjeaYYZrWXtl7Tzx4ROt+NuYO28NmszwhR20ZMtKtT3c197plNTrpCh
dt7bgaJ/kbbfFRh06z7K6EAGoXkotLnYR6z1NrAy542WD8OtqY7lRr5ezKR61APDeZZ4y/6Gog8N
519xMJZnlMXqH66Z5m9l0Sv5oXVoUjlqm58BSyOctsj5UYnLz2MNDkzaBv20shCOuQMo4t8qLG8F
x/Un3GuZDFxY5wsR5or0igavPKIokaFwtR0WbpXa0JI1cq/ECDWPb8YytW8ao4EXjPQcGjL0ep5r
v0Teaxi1O8e17XNp0BpVWsi/GDHura7o3rCz6Pc1GkjLs9O8OgaQ1mLOH8AdDKt+SosN3HYTqLqt
vWnVj2ZW0arzGusmC8aJLh5DA00lCsbuY7GISNV+X620MQIMvlzdRAgTWVBhPki7ESQUKCrdzaXK
qlr5x/hC+uXr+2P8W75uqN2Nng3GemzLCUHIGCwGkPRNr6M953RFsEuc2t5NGG6+GrFGG4I38UFm
qTEkKLfn1llmndi8MfqkfMoGx0Zo+0aSIF05D1pV3cvIsKMJTHVI12+5f9bX1FhTtHdzeBGd5XTY
NnjZs/oDgGr/3C8HM0feUkenai/DvnZnkNnFVxnJJW4TvTmmGuCiRj4Qpn4fI7O4iQrPuMH9iy7o
0oerjAL6RBJWa+nXSUz6cINnA1lAI/4aV5RQ2y0l0Isto+TKbJ4AvF1yJZSnPpjbamLzz998DXL+
U5WPE8as4BnwGI4vQzvCE4rOwQgiP/fvrLJ5lRYEHUr/zlXKV2lXuKHnyZx0K6wl0yFT0Ef/zXXL
XSTTLyCuWvTHdpGa7WX5KItGX0Gx3rHD+CTLzNAPg72Xj+NGZlmVpg+z8TboWAovQspyKJG1Pvva
sL8W/Gz0+CR0qffhBeFhZd7v/dpDwSYp0ptUL978hZmWhuZw07djDAoS3poVAiFvQq2m8skQguzW
bKL+JTej/sHCUqKKvrD48X+6w88E6MZ7puC2FM5W+YwdnrGLwLHfsgFC6S2wFueKtHn17fKHF0/z
xg3sZo0seAF8FffWWNfsvSOiM+DH/zGW+XSZ71Kdj3AFXeRv+utc98VKCHlV2DVPeKjw7VNOZwnV
SoG8Yqw/C4FPDsHSeaUMiS7swvO7HP4/LypDmo2jsHHV8N4rZn6cLHa2cdO5B1f0DvTObTcfDN0e
EPfOiT12d0VbAVyZlE8WHGqp/9qubR5Q1Zk2zcSaBTOGaH6tQ9CBKYWhjcifiDzdRXivnzb0aHFb
tg1rD5P+2TYL5xwtAl1yBm/KObcVX/5h2U7bPyYkZaDPgn+Ts5FRnuFSl46IhKSTaW9D5Nm2QqAQ
f2HP3CE40oDwgW+hldpNQ7vwqGGYNq2uELEx9w9eUEZHAX3NMiunAiWjDAC4f/zH7OUOy4xcJ7ca
nFjdmti+stp3eEmpClh+p+oz/WT0P0Ze7ojIU/lkZcFi3pDTpVDaagVSgGwyGkCb2qoJoIdn/aRv
Lg+TjEfP0DcFAG51f52/PExD0t9dBC+y0YN7oiHkEfStchvPmrrrEjN4UvEehYtrNF8Gw32KRTWa
v19SWOpfvtN/UZEm/pyGOfzuOgoeU+zz9uPgDDejpf+Yx+65FSRVYzeYizC8fA6tWLduO314jkpl
Pbf6RUfgggcd+Xut+L/ku1X2Wa4SR3c41142XJdYmmDZwmqnRmDcAHwZNC/DOKpv3YbvT+ONZp2O
Z0beASnxjDdMcNVdZDTGTmZrF5stM7SAjVgdGG2zRFOh8yKU40zsBha7aVObwlu7xTlW/vcl1tdx
vDJsYPIyNFTnI0WGcpC77IESDzfarCbqvg7tr7M3Fh+oV34TjfpXsq6SbNxUKUJWaFS3wV5I4HK4
zlxjcjYIRVxOtQ6DBMSOoTFF2lEfnEMcwsVyXOOnrqinpLKD9zwBAgODE6RZ8r1PFf2rXeVoDPR5
8qUOoMLPLagxrQFqBGMsfg18pPxGCtsvQ6l7a7tLoWrqLDfSlB3VHPK1mJXjneZZ2R0NMNqvdWB+
S3t3n2YLmg8iftTV6rfeY12uZ439BHBp3FX8wLfFxHe8XdMSFsuzVumSg6KPN6JHJiE5ZIt70NUU
7ZK7mAlJ3mAa2aFPkxvRNJNQpUyv4eD2UGe6/nmCKtsl2E57i7UjhKdk64c+KIFlCKM8vk/D/ujT
RkB4C9Q0rWSF2mlm98/o+dUHX1uaysudSqog7BONxeUDyKv2C+h6hbwGlaNXqxgM3s508y9X2Kuc
/ZaX8Fy1iG/Mr1RMjGWH54UOIFIlfJQtXdIjlwdfjcdh2RFKTEe4Unfn8FFCPKhIDGa8+mRyQlD9
BMH2FUnV/CVy8pmyE7z5PuJ95eq42U6sWYQPlePMsgYjUR0MT81eIvCv+3E2so2iDspOr+xiXSiB
V8D7irQTErs7fw6C4yXmp/Vz3g/GvbMqDbNA+CezsNCwaQcuazjb0P7Kq2IA3WjMD4Nl/ZQw3TKP
b2lHPxh5Eb70VbX/w4bYijSYNsEMh3fpW8sBOZz+bgwTbHGtj5DEszLQd11tpGv+83sgaotFjUPN
6CQyYBd3LVetcZihzLYWlbDAivgWt/N81SHuQP8cZn1Z1OdudoIHvgXDh3o5mEXkrU0LcIFMSExm
I7D16oLuWPLlFnag8gVhgOP/4x5JoX4fC087yIUyaejDJyT5jButh4lTuDj4SV/mcsgsZDEWCQ05
JHbjACxxDteQnF17PzIcLP2v2n+CMpzfXHZ4WpjM+zwY3dUFYa6NU/SQmxsbo7Fmi0YMApBLdu80
+w/LToMNDLjr3HoemsB+jsLPbeMPTxJJ82EEXdEMNzIXlFN+VEqXQngAwvKyhwL7PO+ukI88mnj8
r2OBevwGDmmb/JWmU7C/pugjdstY36QHMcRDB9ICiv6MmC16NUERYMkXqieZy31n3Ezl3OxlNnJR
rY/CCbldgOMviqVWd1OkXS6tJ61eZc2ChR4Dc42ORE7zZvFksalpHDI3+Rmii9FsKeUAyI+V8+Vv
iHHmNp3RNq0Lzab/DFAnBfP4UAZlfRfDWr/CeSSu8pvAQSPXQxXkt1wqIb/l+os57jV3Kse/gHgD
P0Ziyiju4GKPe2VSCpaHlHQ1P/vRBGP1UJtx9wSO8l7CUR1/ZAnuQZ/L37MM/V7CIV0KH9G7TVg1
BrI+o3fUfTxIWd4a4CfKZk3Fu/waNOYpSzDua/thY+hK/CMs3JkPRxS+ZEnnbvEiLNb1hLokarbt
k41q4yHsvGaxmmie5DDycmXV0at7OCN4rcYuxEiUrx/iBc3e2bZ56bfZMRvx2JznG2m6Sf9MenAd
wNUR/a5reDb9AH/k/k2SrvEictKthnnV5jrRY7X9d1OzanwIcWXhbnxQFWsUkDBAHPBYuJxp0XSH
Q+xTaiGXe43LpM4+5NbnMQ/NxYFBYnKIXTijnaP/xd62u88dkIqlDauLOtPbqPbzLeWZZI0HR/lW
jeiC2kqE2YbdFG8w5NyVk5rZSWaD2dx52hQ/dimanNYmLfxkKyWaeQjfrbDyD8L/EE7JDPtyZzme
tb48kW6g2Gd4G5cLJCUdcV5WkC3G7Bgzqdz2nbOcRUrhnodAQ78pnt3ztJxReHB/n43NV+pNwRqT
evMzSiQb8bvxWatugnp0T6NW6feuT+Ve6OajgjFgrSWfBhc3DL9prV0ARHtt961zAEdnrgOl8fd+
wAuS10J7GrBSlnervDOjaP6EEl1+lpGx+C9rI7xCeb8aizszP4HMycHF8Ap4lriaDAnl99oK933e
GY/tcrBdL8cgW7UPwcwbdN1k5qkB7nu+DD3lQBvQf5Bcq+Dl4VvDTi4vgHY+zmUY3Fra+P0jPVr8
rClbrrWuZXtATWraajWy0f603D1VfHUtP4FcbVf922ToGFAsLcqMAtnaactge+1OSk/yOrymuE5C
4VNmgNrQCZB+p6s12maaK30psvVG9RamwyNrBCrS9XTERLv8a9bab205ooFUmT6y/ImJCFi5YBXw
44zsKqP9CqEkz43yCYpvtS47B5SUV5y0eahxGqTMa7Oosvbz5PzZ0Z6GItokAV+C8pm6HuCuvLBN
rI4Skk+qE/DXNPx3idDgQcQwqDH102evWEmwdpTN4PmIYRkjrKt89r2bPq3PxqKDiJxr1a8up5dp
A1PKnucBVZAlHQY5XboYxeygdMJ7Yw7rlaKU+t5AwPF+QKfPXM0TilaxoeAetwQvicuZQff3qOj5
42/JctpYCD3OSXu+5jquYt00rvNJIE0CYYqzwF0P9JzXuUCeEPiKb2VaDhdYkyCcrtf8Bou6pl+C
ck9Jzxrku/nFvuEg/G7LPj6i6ouC7/iuLrv8GI1LRJqoNdyN2IfIxCUv+TvPreboxlDH9+GXPHDL
w3LWaJyflch4N4E07mUyFm1hOZ0iPT21rbq65v5xvRNieWWVOW5hv248xeFBQ2fv1Di9co+DiXxH
XflpXViNq9Lyy5vrRMPqYl+CW1hJrHO8+b5KzvKsF7BJsPOannw6tNbRqBWGWvdU495c7O0w107/
+o//+X/+94/xfwU/i4ci5YWf/0feZQ8F4vXNf/7Ltv71H+UlfHj/z39ZuueynXEsXUdNyzVNXWX+
x7cnFHLI1v4HoOixiII8PYLtzrZWlEChc/mQL7VRqaBL5dyAoUu5Wn8ecXpp9HR80Xl7H3ANc7fY
rM/f5EC70t1SotAOcV5PL55VI6+zUFo1LUXhv5zuNB98eD2MSOOasfoN9dOncez0Gz2ZbfhsA7SG
I/p55hFBu9vSoa6HffniKoBP+Apren9n56qiY/WXByfUIXe0tGkj4Y57qdAFo49dQAUDXMujHqzE
MoxS5JZUnCKcworXlCJiHCs4JBP66MDK0j1wh+QSi6bobCs8/5JRVLN9N+J8fL0IBGl2IzdKU5zn
//3/hqv/83/DUFUPaXaqNZZrGRr/H//830gTg7ILuItjmoDzmaygfkjduqZhqDUb3HbLrcTkgH+E
di6b+BJCRw7WVgf8WjebeEPHFX2XtBru4dP0lwOGHDlY0YL3LsBqxF3ScACl3Gn7KRqaaNs21Tu6
vZsPmY/Sbdw7pR2DdahSXUYUC3rjdUyjgQ7WHDT39XImE3pFfUBibu4AROhavPUkeLm6tFodxYB9
ahk+VGQ2jJctZo5ixlx8bDiVlnd9qhkfG07kAmNQR/VRUuWiyWzYdIadcZRXIJyK5nC95SXGLdPa
sx9kJLfsijHeyRA9v/gexaLLnlXuK7cEK21c/hm5pacrPhpvbHp1PkA3//6/Wlc994/Pnul4nubw
kTMs/tdVW3f/+b8dqV5u21ppHWYVjawQtsW89rQsxx5GU6bLaVqk9EidJUqzrz+UfEw0vQt2JmyN
rTZW3ksT+umKPpS35tVlriUWYrt0asYyX6mp4b1kyB08DIl1RKxIhWnDlj1xXyQzmqNbR0OpRF8S
IRLklM5Yh8kk3XJrHfLFcSNDyBHK1ms0ZSvJ0QhXyw3cLw4gvbVfTPaLZU/zKWgp8MgQm6fskS+x
XdUjCCkhJCNXbRGm6FqRj4DjK6TP4k5G6J2F60g342PXTSwyHN85moGHVQh4k00IPu6mGzr7kxcX
1YY/EcWxliZDVmfIZ82xd5nVA8/mNd6VB0meS2OtubCoCxqQh66d2089KGo2eWV2I0NPReuKnytl
VZ61n4pIw2Ru6ECaLsl62mEmmw2LWR5DxViUqoNk3MSaGvGKBQTj1U18dpYD4Mn4PNsqzCuv28iI
vudHXNKuMRyDoY0lPdJSTvGzK1R0E5eDHRXl5ewa0zT9YYwc5+YaGlMfUvJykBjYDz6kZVSu/piQ
WWXyI0pVUX0s2tQ6XGK40EDLQUd5tpJnCmr5OU8Dn4UyW4OdESMSKcHfZq7jgZ2v59gBryeuux4u
dzCyBc1pdg/aqH/MzoVLfwLpzp0+Z+rTRGOkMosnGSSqq++n0JzWMlSXhBSHTQ02z62E/Ah8ZWEl
j9bCa5JQTulpw6pn2kmsbcPwoejLTckDVjrBvd1m8SkIh+FpiNT0MGetSVWKoRwSU7dWZe1EB+BA
A/bJSfSYZYtU5N8Z9Mnoo1Q+0tVLzFvSoqj8aY0zkmBLSEfn6a5CBkFGcp+RSs7WceJiKzGqxeHG
Ki1vlxXz2aFjcc6isnsKUW84UQ36JKMSG+EnOr0mC146bRKTA92fQ8++/k5GLavtW+z9vku+hOAn
lRv+1q9GMrQbR3Wbr735rgyd8XlUghkSf4Y4P9slnnadjUvlqp9SZzQ2sAvCTedmX626UI6Iw+R7
p0hG4C1dSUc5xNxs1h6iwYYzasw5Ze9a/dJr0VlzM+85gsQKXW/+hgFzs695pfGPDPOW0mR/MyJb
SCUmR89hbI9jpkJlG+MbNQ/sc2D5MUqqOHjFbu/c1Z7xqagprrhtFd56/BD/l64zW5IT2aLsF2HG
PLxGEPOYozL1gkkqFTjgzPPX94LQvVm3uvsFC8AJZaYiwP2cvdf2tDo91JhRN17PFKCv5K60zfqs
ZBdsSLIDW+p1uBg0fqLe3mtpvE2Mggi70op3ZZ5SXgvJRR4nsXKyyH5SAzBWhqoMxywSKvkz2nvp
DM0PNJfcXwpTvULBs652EUYsxotwZzqVtmmG1LwlcloXox4+LxuqHuphakXDm//nWASveVPR1N98
Hes9UHEEWgQH0GzR49qwnlOT0vS+DFOpu51Jf7l9XaSWJEg3Khjgr4sSZlNrjST03XJspI14DrD7
dmaep8B9xvKoxBFutmU/N4s/+8tBGzfINhzBaNEiTlePrY77m+5HVxwTpSPwbdnXO7M4Lq9YQzJ0
ms/Xy1XL0T+XqsWwCmSf+cuTaHlIkWKEWHzeLMe+dr+O/WtcvDzLltOPl1/nv96CL6vz54H3eCll
R6dZW1ngUI5D3fzZiBBPTTJvYseK0tWyv5xeDi6vvo59nUgEyQyrr9P/fouvq/+MRMC8K41qIB9J
4Au23CcFPdCLSDtSItu/0qabbmqH4cvsQt2vTTfYdpoMXqZUgjXVdPHbMn8TJJz9mnq4MdzFqVgT
a7AvvLrYs8I2n7pegrcQTfIXES6xocW/ccB3NK8C+aI0Rb3LtdQ8GGQSMOOi+e6aTv0jHh1/UvFD
W55odyEVCt9C7HGCkZe+YRc8WNhFPqO0E1s3rKY1X+YeYAVB8n0Yh29ayzezrQnm1rrwTSe1yzEJ
VYJD33wmU7IZWlN56+up3AvCqJrB6U82xqoTqnoIvuaGyJXx4KWZ5PdWkieDQALfsCtvb+nZQUyx
cWhDKjcI1ksCjYwPV9E/lxt7rOpi49ZW7gdvPD3HnbQbWqGKJj7jSnmq+IM+x6LYR7QSryrGrxUk
YiyWE1G8BTRJV07+qDT1piR81EcQRrciI2XECOFb661u+HxuSBUBtug7zHOpUrgpcDNMSaSt7U3i
DlZBzLrA1hz7J+r5PaRtjOhD1J/bpHRuPFfWUsHjizfx9xTGT6anmJ9DGpONkbylVKB+1Aq279Ct
V15bpdecIK0rqDuKBzMWMHeVUyDa7J3OZb7PaMzvJscyXwh33HmV2GWuaH8VE07gwa26J0OZ3EM6
xsM2DoCv1kp+TXqvJORvyHwZZOYaC1J1wr2Vfqjjhrugtp4kHxgawZ5vRczYS528xnLITqlLnIRT
5jcgwrCVmjBd17phErFj5LdOMz1/QFTk2YXf17axa4XpXW1d/fB02A7MBFg74T46xIFKGzLU/3IA
Jh7pGNIlNF9cbmM48bNjF5NMrxQqQi0ZEsBnGC7iHgI0grZQ97Yij2ZP9E9tFytPpA2hWlnp52gg
r44t0qPNhC6GPKk05cpTifsi1TH41paoeBrpOS/xQTCvpO+nn6bKY3JiyWNbi+xYwhDejfH4ZrRl
9pIdrF48dY0NMYs6NWaBdnqOurzf2kmlkAisuJtKMgsb9RvEIeUYGOQRD3IIoeLLH1LSDYm92D3G
anVu4+EJYD5LoycFm+tqlKPgdp+0Z51M5yA+BL9bsmK3NXiQ47IpvSr1R/zwY05ONNXu5lgWiLZL
6dGPy5K9Rb4wKZK6vbGTsiVlxf5UGeDoePv66IWZUAOQd8iPy0YnrfbxatlVCjs/evNm2QX8GnMb
/+/of51OBcospyB6FvL/sZqN/0hpxuyxX2f5z8j66ZQWn4PIWWM414+5TPUjlGFLrnLmt2n0hlgv
WEVN8R17KOw27iJkv8AE8sj1mNbLSz3R32w9KrZRQahCHxOg4Ixm76P+GVZZeQgSQXR31Onkz+Do
jaWyEwRZw3N2eYe8KtZx3PLUr266WbooS+fkDoc6uIfOc809fkoKbu9GnGzQfD/ZvcrnW12p+pgc
qsrOtPWQyndHOniU55/A9QhnVYvD2LyVRTYcvbAfjsq8ATCclhFCirzLjsG8WZ41yyvK2tGuHQu4
CDZYMr/vaWeqEEuOEXztx6vO6n4VVf6KpYakCzXhL1DOj1gj7a3dyBMBJ3jFx7wPtpNIrmiRlWM1
0xyWTSCoEyop4blqQru+Hg+W4Bdb/v80s3y3QPYQWAogth+n7MgEiMDE7ljrmXkwrYy8Yk2yRnNq
fIFGm21MtaW8iU7omHvyu5HX1iZT47HaE16PLarM3kPNq458S6/5/Ic1B+Vkx5A5SPBKHM/ZLb9Y
RKtxnRWEJ2rgFY+ibKaj1dACSlmgOZZbHMX8/81c3t05sWBCkqnHZDaGy6poH3+mP2/En2l5lWZl
93iVIOA8NAbrvoC6HHx4nTyxnJBISJTTtratJyOXNMFDD1W8EtXHZeOqZX1sk4gSRBVjprVG5u55
vgqbpj5KEXzHvvlUkT/LF6xs1sh7fCUqT27VrtQAqg5k9VDI57hMiftumXd2IXLOzOhWmmN9VrYS
XOKhm9ZNnD3lsRywKWk/kYGjXq77kxzMEXl3iM7FztyVdFCL2e05TNTmuUzq0LdtZkSQcuutQCe6
DhMHQGRp0h0TW5Me4fuoB3JLzTb2Nc+pNtAFdB82eMjKz/RDpeALZ6bbLHB/JIrr+pbdvIx5MfhD
Ebpc4gXrStejFQTYdBuxsrcns3+JHNRFw9h9Mv0Pec565SqxbAhoDt0ib1QBmzgNJv3YWY1zwaex
9I2GF2JL/TvBP1iaPl8qbGJuZe2dDvpe7TVMDixgrpEX8ZCQT5K0W99QyXxWwsHa2xY1ltCHDBqu
Ap3vhBZkw44GgsE/Pei0gfl94mjSaDXAEueODwlI57dsmctU7V4G9zQJ0VulnrILBejy2Gr2rt2c
7QA0YBIVh5hnFhh8sWtl3PCnJJHZDmCipHiDV/hr5aaaclC8uoJ5WQmviZBAoKtK3XBvtTdwpgY/
dNJ3QA/qxo6LCDtgiU1xCO0nAVG193QIdGgoNokbvkuzreGxVmRBNMOVh92N71B1yiJYUk53nh+r
K6f1PlVa275oSoT9LuTDilm376pOvrY17XvnSurBTRUd3aBbW5U9wjmqKTqTab9x2qb1vbC8VpE4
ZJHhchc0bxBfYh7MnrnXIxKk3Lr+9Nq03vH9RHBY5096XrzqelVv+M+a9rYrrV1qdxvk9fWuHsxq
hcmAD7WEpxgJ/l+VGIaywUdONw5TNYgti4nrPPs/14JmaDoO+UEzOpYGnboiKlwek4kY1LjlQT8W
8FwLtAoW7a9Tqoq/47GVftjNrZAOySk9NCgBBPMEKv0Al7Be4rJ5+Hn9LUxGZ2UpE+Vr4EnntL3X
xLT4asHv34zJX1ZRZhvNVYyLYoHxoQLzt2fGNMPS6o3F1GmqdcS4Vh1sepdM7xiof+FNO13xLmYa
5WtIR97R0pLeLzQKw0nsbhNkytfGuwyhFiIMjcSLkw0By5/U2rtK5/jUkCwgic09Nl2a9KzPdBt6
pSaQL0coLWMvCC6preGsoUR2LZFC3yYLA2zsgf4sx6OSttPOVIrveQ4NFKBqde/7tzxNMWf04KOY
8Gkb5lH9uqqss51G1h6FOrItrfo1jExXBKWRE0+ja5xa5R76N31wa2U1fbmrLCc+2aQtb9ro4nhd
7Wf4cqqucG/RgI3EqBpC23q9WRmhyWckSJxLOanc9SfY//SVNXy7zKj6Trp+6El93bRGsdIMS26H
wlvR9HSeBT5SYscJAvGkMz+4AWYnMG7LDkNlWEKmoLSFZm0OTUlxGOmtNf9Q8TUiExqaK8KBMKg3
mo6EK/H4nEjbVglmFGQ2l46NhONI85NfH2vQVJJRrkwmor5oIi/EpSynmZ0Pgvt9THQe0XR0d5DT
t/AuvhOZZfgBqFaeH3p+yAuR3vKhiteTYa8J8mv497J2TbhzAUyXVFa0PMm6p3SzHntnOPZSu+th
W20lj+eb9OBdZ5ZoVzwEonsY5m9QKs70r68t1NorUrARt/DV04p+G7id92Ra3S4def6UsjQ2tgoP
sSqFvI3KSFDH0M6/D1PRrLTHbaXmL2nd1RvXKFs/V9ofSSabre3CNQSXr62NELN+EtHzBXut4+Wy
e/4jWOwHk9qD0s1pYhfgY+veXNeJ+zblpvLqxco9gdOoIxO/UProtroaswCCBXzVomZL/qp2iua9
thH91ZYGaZBKaB1tbFV9kjFCRBYf/LxYp/3HNEnFz7irXUU06VephFAr6R+sl11u2scBNyEuIuCz
2jSVH6FJ5ktTlPVHUfSE1Rlt+zHU/JQeMR0f1HS71cjN/iPkmU2UWjp9wA+Al+C2KpEopIhYaLQ+
vClpV0PWGR91azer+QP9YeIyhydQOR9awpoHRYD7wfSD1U8RkBjcaCiaTWozheLmH6x3+ERVjfYt
rgmUCAwz+jb7AlZGIDtQ1ORiO0nvvlVCEbgW9n3Vlm92JshLUxvrNWozY20NYfEqJHfl0Y60teMF
2X6oCcJIe9t6DkEu+KNphk+hdtFjKWhBd87dIqx+M1WOfvPsvtyGujddqxBN4CCAoXqxMHdzaPQ5
d6p+b8J7OlFlL7EV1NqxjTr6oQWsILcLY+IM3GCvjCmGdztO92NfGrDReURJSeJqTCgxngPHxzjB
j6RyW+yzGnyiUFnGivYpHVW4rbW81xWuloYe7yqZTItmSvZaJVAa4qn4loei8u1xVNc5vL00M0+2
MM9YhTVWQdqvrjbeibj7O7Nha2IlYhJcHhLmD4NuE39WCvs4sBBvyeo5TVH/Z9MlyjHjZ4Hv6xLV
nFRny4uGXeWM70gQet8iU4z73mBucSd2myKV5YnVCTRYHCGaow37jI7heqCxv3INYNEjHJ+1My8l
YsvoD2Yvn03v03VU/S1Txt9Rx8rc5PMaKftWCeNbRSTfNvWcjyAD7ltYVvvmhgRoBCRi7Lqq3MYh
JV2l0ptroBgsxuvm2one3YZepiNTH+GgUL/t9DO8+mmNtU9lHpN8aNqQ+qUnD5ZHbd3ouKEKGUVb
iRYIjY14HnUDqWEavRdO/VKXK5KbLd9oj4VQNEIuxBMPLr83CW3Sxgb3iFr9jZZSs6uchPXmbwqy
hD+HjQktUYgVXEUS8Cat20xZmwFVq06R7iS7PNA+OHofEhrrEEkI4VDOqQNxtcBQoDAJfHRt+nnV
mOZvFABYUqLxoCDoUgLNtgRxiJ1ufuq5NLbcH1/LDqQfieb9peUDv3IFlFCUxzunrZKTNDp4LgUw
xdju34a0tHdhEDR40brvap1TUgA1OdkR974h6Mj60JhU1bTQMzIBRVF8ktqSb8lZfCMxTJw8JgyT
q7y0VUB9RPBkUopikzcaUEOHB3/Z/k5awksl2UGbNrej19rdlik0iFztPPxqGUs1UiMLqIGmLY5x
5E33nJm0HXe/FJ2eouYmSE2CdgV6/UXqPwcs+NxicNTJof18cqLU/csrULnjSlhb6FjrLDwGtZas
KpSxWBAm7wmRhn1s9PF3NZKNlfTzH0S41Q1ROreMWlD0RKh3Cz2hb/tsqo818AHfxGHAAoJagSzr
nlIRJQoJRJl0ouqm6iofcOGx7ihGlhxZAebrpVLbAxPhbjcup5czVVky7aKtyvjlwOMN/nFueRdd
qkdTyHFnO38nZVAdulahb1K5azWAomOAqsNu1+i+Vqj2HscbWeSsIQu0WloU2ztj3CQ0sZ6jwL6m
iILWomldFu2IzQZPOG9wDjG9dZvMBJ/bN4FYK0nGzRJWHfWbnZLZzq8w7g94XSoeBPnk21NODT/A
OiPQbaoUocBfG6zzi/5UROQNde2d9loBJbopd40msKIZ7VM7SULC9cI84LPfROEhCpOKZS4YmDEx
y5UazsAHmUA0JW6Yvmj0nJNpwWzpqgD7GT27IZTAMmiwV4EfBNErFEZvrTvHpuu0tzZ9VUej95M4
JJAg739jox7hPZbxvlQj2mek7YnJZV5Z0fQVobHOh6ReK8pIjC2mgqKq30RQ0ZkL/g76LHtVg+4H
67sWRXG9HcM5P9bmu1gUydXGm3WAehOuPdvedIH6yTocMatsp03rBCx2a/c7+I90PymY1Yy4o3Vk
kJMjSydc4aXjc1W9J6ZNlKlT/0aE1a6ceHq1CkKDs48yj8wfQdlcQAngT0HIJsdvoZQ5yVPE2ANi
e8YC224d4TwbQ/otz8C6ifozGbS3oG1+Zynz1Db8oYrxb1dUGTMKr6VzEIb05YR6AgVy8yxxqMt2
p9rt9ANfDLpriD162oE0KVd5QylFybRyq5VGA+8/01ax+KvBNk3jKm8ufYfcRKop1PyyRJzj9RtN
1LWv6Ef6CDIBvYTa6+86h1tkOaCc0XGq966l8sYnVzjQjdIEoInbrNWR2UcHlMSbHIe1dfBdbXp4
otborlo5fU/5w8CPYz3S3vPS8LaDLKJ7MJjWyhHX3LN9wcL5w6mHg0XAIYnHY7pD0PhGLoi4TbmC
OytQeEQ1HpF1oQeeMfyhOPIzV43wkAVB/hxWyS8EHMPK1YDX6YZy+ulwg2D64OTHkFYfoVYZfCSv
S9fuwA1+z6w7OSRg8HuXmRcJh8U6h0FBSSFDrIgCc5Xg+iiNIvOFQoi5ZrOgEpGnbSdKLr6qm1j7
cpJOlldGQ7nVseNvap/330kgAHXtVOIJINkhrAtnb9u2ss7jQrkaOb+qg4HMwmfGRzg1rqUYiXws
qeYwQVLevdFlMZEm0zxfUt6NScVBFNrpXrfq6K7EObkXSmSjO0Qyc9ORVFBX8Shrh/FUbeyx4V+C
Pda8oCRAnJu254aoxm2YTM3q4Xf942uFL50nXXQBl96uzClNz25sVz5BFvxgzhRc9Mb2GxsIATCe
+LeK0IvZekTtT0NLhHVZmOsHOTUaaUhRvyB6zout1RJDWoWyOo1JyKInU2newWnAfpJZKziA+psa
U6j+GrycXXaZUK6tGD93SiF3bgx3eAnDiqRHNeq3cgi8mz0nJy8bImOBKde3r8O6oUFxmHrmrdO0
INr+DK0USHbxmLB0K1qEtkiCzgqVQm6QM+y/IEyqRl9Pa829jVXqPVfjcFkOL6NsksEfiaHzKJdl
1m2qLfdZt7oLPujxw2YO6Xh0/hKDpscMsmO2Vz+1PYKtNElOzD5ZdzqVijl2EKflJEaU+mk5NI+g
XIQlcNmd38NI9IMb5xGPasshzpeNLn+XuIxvSIh5hqj8n6AYEMevAdIxYn9i2bVhytUpKzN1h11E
7OJaLJfQWMU4jDt8uSQrpsK344RGkh1/MKsaX4pmrI4qZZeHVksLLhUy5e9ONNbbEuHgQbPCEehL
d1nkWtEIR14JVfOSaXUDPKF3VssJANofblFf2gFBx+hhE0lrkshNxEo7xYu/dZ0X7SYo9KdoICsw
yKLs3RDVx+Lmj0V9GCez+8xBmfq5YbXnNPjGjS9+zieeb7ZNNkUcg6ilHdBs09R0rsvZEETgxUrr
S6IHBH9GRpDsNE/Fqmoq8bOJhv/aSu21U21faU0Nr66rv+VoUpe9qi/4mLI3Von+3Jmd/vbfkfU8
ct4zgfj5cWPcvkwnD1/KZM0sdmlop1HXSJBYzCqLKeVfXpZ4sMVhBgQsSLEuh032QI5hUK53lNBf
lhMRBnlqjDOr7EEgyycRH5CEzMStsned80P4qjnZOqor4/RHB/ifXQSomOZsZ1tXe8dxvXuA5WBr
6JO29ubdZaODhziOufz9dSgU6O4gzeBriUwFURNjQfVsnIq4jK9hQ61GKzdrrQOd9OAOE8K7Ty6V
OoBRBf4frlpOJGPvshamDPMjNsxVv6QBJVLol37qGl9SQfX1qIpv2kyAXl4NwkDb7o7l6l8nRnvK
zomVbpfj/YMEPV9bswYvM+REy5sgywQtHcwM6EwNBeU1hnxtFFtt/GLSsHG2w+9FUp4Nk7Up3K7e
PfTnoz6HVkhxWc4SQLK2HaV7zadafXLb+ApjNv+WUO8/hl2FMIY4WVZxhGnkQdhtyx69+uJWbjJK
p8JSmPPN5mWcHyDoTEtcll3+Pme9VdunZW/k8Wj371raaU8lspHlYN1U+SWuASQshmkWRP3BqKPQ
b4dYfY/GrKPIR4fNdO1fuoffSNZdyX8o+hVz3k2iUaKfQd6rF7hf+8j4yHO9vixjVVCSftIKd7uM
tYixflzazS6n5VKWln8u7TrrcWlMxOMrlBSbFrLjbB9jqZqswIjRhJybxqXTwqMMwuRG1tMtn/e8
Qmivk9wgIRePHZmpb9yi0utyig3Ba1BDyGdjuN4iqRr7Rt0sZwWBQMdKBTsetUO7DikR3jDIX/sS
I6SUWgSZswH07YTNOWENvxmnoftWyOHJFaH91/8OtV39z9BOdct/De3H9qoV1zLB/FIgn2vD8o6O
zkYulP+1uK2saQzhUKfjoSdr87P9W4IR+Cw6GTAVofS9DFouDqBC3bP5YtiK/7i4Evp4WIZVrEMt
zE9fVy/vqedxtFqutioqdl2ZKOtgQKRWK5HcayLw7m6kkDQV0F8uJ7JeZ6TxoBtXb8rFZ1WLxG8b
o76puOdXwODoo8w2JLXrKY5Mvb5edkepiGcLrseyx33EeumSnsDecBqOdajQwo2ddHpP0pvwpvpG
tEy5N0M1XZH/imRzOVjmGTQOPDArA/vLY+BYmXixAYCvU0K8VsQTinPVe/JV6VN108SNsll2s1ob
TnGICkaPB/kaubH7gp972VkGmAVVOvp9xJLX9dGC486aMpk+mpCJd12Z+nF5QNv5va+b5htPkhIh
XqPfVVb3mTYp1yWYBn7WO+Ji5VrNMTXzOSg0ylUAqjiUEMD8MLFA21rB75KsAwT3AVN7I6C638H9
H1L1ONZTtMNsbj5bI+6bVGnrXwY3GS2r78WDwRIPd1hdIXfdZJXpftTTmqTRTLmWdMr5hdLNRwpa
If/XGBUv8rZoPCyaTq/uu5rSez0/jaA9qHu1JNB+9LLi9PinTJt8ww6DmkGRaDEdTmb4U82i8LIc
ylyaQpRL0PjNX2TdVrXjkNrTajlbZEJ/nkj4s0m+QwXcfBeaSr+E8NizlzThnXgPrJB5VP8cWhdr
SZS+51br7miwWzu78Yr3TGYXapr1z9pBBpDB4rmRy1yeGxbIWCq99pR1BJs3oEpg+E7dvtbS566V
VMid4u/eyva5XpV/q9TL/vfFPGY5MvCid1L0hTAo7g7IGV+iCD7k80yL1p9fFk37RpaUcUmQiK2W
j8HYxbYf9+QVL7v/O6xjkfcYNtQfuvC+9Y3VRxsVsC5lfnDhYIuolSisgFs1J++3zK/LK4f8O9/U
VHut9TSZ6R5UB5TgHrSSTH/61yt+vD/HjKwvTojN0zvIrO3Euut5iVCa92pYkM+1SgBpGunAUoAt
wsGC2wd9yXRemfRY6I1R2OSlPn6PqvEsI3Q3C1ilIV5+v7jjNB1wlVASqtpkfbPU6priQklou7jo
hIqxNyEROblkaoT3bQEpNqTj7Go8/xSqZ5J+VjQCkQWaPuQajbpX+oGlTuTSYh8m0lY79Awr2tJ2
MY7XxnBH5G+8Wjasa4atXRBGBXH2nyeWs0M95jReHaj/89kCzNHjDYyhsy+GOMOk0o9V2h+8QYTi
WU7FeGoA1RJ7Bka0p1mN3rkjHZR07AXV14RkZSCvwVnHoWXzAPcpRXytzGk8fo1dXqnThKVxftov
u0iZvH3r5HgHcjd4yox6q/UsANt5T9DxvsJQoBHI3rKZCO4+GDaFsK9jaKuyjTFvlquWEy4lm5Wa
yfLw2B3D9OZ02YawPWpcnUFIGea2qW0pIBcdDcxoiQhoW9ZcVa8cuhnGn5rCvTpKvm+Ws1EapBup
KwAKlrSB+f0SPepuwMz1VAEk2bXgsuzwpgyT81RSQn1KIbXvm0QgQph3lxMDzBkuDOKNlbbgKJUo
8LDhh/U+hPtFE9MM7pNlDudltDe/l/2UssB9vKXIhEG2mJ1svWGr5I1z7U2yNDcWKcb/vz3mPogX
qKUszw6hjOKc59jxd4niRH6du9zamBP6zlCC5nXU3qaviFdY6gE5ePNmAFTLU7Y7fR3v6QB0flHM
nAnPyPnTMK7JxzlN77/XBWbl7Aqpf/86tLx6vE28sc1tVFXhvdF/f63PliPQyR7Ls7YOw7uUf6cZ
Dob1lOFPschTpj/cB0qz0TUTbELUK/5iddEnVnu9Eexx6U/U7XWQJUlTbmtzhD847yaCNMZGaOW1
0PTw2+hu8bYY3wwcPGdrcKrd2AhMbvOtngf26+NG8OBEhdbQXCVpQSB3bYh4s1Hdskbs+APs8pld
huKA7z7VKl8zQ/EyUbr2iXSSOxBa0YsAxnTHmrMRYyFpUodJ7BOS8+esUcbxPeATuoxN00hdd57R
bgaj0vA2ceNGbtVttVBPVotTvRbY1ZdXy2YZUslPCVl4o1DrPoIr1y9N6ip+Ulnuu5TR93Log98N
Wh3mad2vpCfhWxeB/RxTN9tVRXJq6jjwQ+7uL2YbaochRKqWIDp/GbTBemmMdYZM8GU5Qh0/W9us
fg9ywsSah8Y7BT0gvMPP2BgqH8xGfKmzQrlUNOtpy43yV8q80AnHfwzomkm5mCHdIrUam+c6DWug
OyZ10zDskoO8tnZm3SaXHCD4ufJXQkEZ3G30HZRGsaHm1J0wU0Q+UXneNZBTxOxEq14iJvV7b7Jp
7Y6a/Ta21nMxDcnZbViDL4hN3Wm7VVzm6m6BcC6b/9eJ5Zi0cNLTIbe37gw1jwy1WUXqOC+T2V2O
La+WjTIDntPQVBGaZ9ztaWa9x7Me3bH/w5tJVG2tFELcF0jN0LXNUTiouZYRyzGnDO21NcvKFSf4
DE3iToMuvZL30b8qoRSnBlmH70VU86IyexyHPhSdklr5c9xlfDOPt+fjcj4e22GN8atJN5UXxitE
YM61SJTq3Uy/SR0SXNQL64womUJgqhjfNL0DHiWVemfNu+rgPalFmE3v1DxsH95Wv6EODc0Bn9AL
7AMvzdcNiAu/aT2lOaCm8RDGKEMT0tV17XNLshZVvWL8Hlr6jxwo2HNVS+cfxxupPo4Llev7Dl26
ndk4lDziqJxE/XQVWGzz7FrvG7SOYf9dGqW6VnUoDGardvvRrpQ9hDpcxI7Fv24QcZvYcX1D4WUf
pWtdcdL1WN6Htr4Zof44RuONCbRRFwAv1UTsLLNQ/jL4ZDWv0LWtZ71nkta2zcMPjTBDPY2qEq+X
5Wkqg2pbTa3J34p1KK0/l1JvKs/LriPdrWZV3gX224vGd/FcF17sL6CxbC7ZImb7yBJaSk1C5Yfc
4PBNzZ0nNynFT1Uf7JWKH+umpbnYPqYcESGQ+1BvjA2LIFx2DqbgtZqa0MKjVjloqhs/L5vKO1uq
gXyqypPn1iMIzNa6n8up5ZDlNHOrAxvKwsKKdHIcQJdE3GEGeV+OLXgtTDU/Na108Z6QGeUlEJfE
MFLNWEJ7XFoRhQqq5nFsyvEKREIcczVGDZFo1tPXq0kWrh8NhfUUMoX1J4vEhniUV6FZ8k41d9gU
OlliJb2z+5IDv2w8LAGFEtrX5XiXFupa90icH5D0gZRMtKexswhsSY1yG5ie8c2bhfHzHedrRBoO
f0YYeWV+S/L8MUKnyUI8oXrqZIbaWnRTu7L/sWUlTTKuJxOkzK16xsVXOypVqwAU22SM4QEv+Gc1
YXT8R4gr6KbfEjT9vhSkclHI+J2qYXep4S00tqHkm1RRurXLKmq7JMwvWfONFmsrTVrdJq5wjDmG
cQe4Zd71eTMG0BDigsdyI7C2GR1P3qrVKxwZjFs2oimDLWkn5Xq5YjkWKIN5nt+O/BVkkHA1WV4G
lHp3bkkqM9WnmSjnKCs5qsF5ObZAjZdo5qIeyHuAZLdejunYXk1pm+XPpGt+uAKbvCL4e8xREiEU
/EPYyMBfdmH4UvpnIXIxrSjjSQzcu9ahl1XZmK0xOICmqGsgsCIAcLYQO2hY0BQoQW8/TlfDuBIC
AUdtlD7oZm+zzBGUuKufvo59VW3zeVzdzbLSpWw7De6f/a+5xXJdV1Su36iae1/uXZqnXK1xci7m
fCfLvd7cC7vg+7TczUYrui1nl7FRVJj7JmiStYNMAX0KDdgCWHtEguljI+fdBAXeGrBb73+dGGxZ
P4Zo3TBtujZAQaP37TXsx00beNVTRBo9TdLllhmVgt5xbRlIoUNanl6RvU65YW9TgkR8Y16c01Yo
L2NVf7bzQr6eN7KcVlZdF8/L+EjTDOyA9i7WWwX3Drr/KNTi+zSl/4ez89pyHFfW9BNxLXpzK++V
3tQNV2UZeu/59OcjmF3K7t1zZs/csIgAoJKUIglE/ObzTMTCKdZPsbAzsk0PBPFHUYEJrpzePxiT
gCi6IMUJAPp7gmTpo2XUl86QkazqOu6ZSAwNZ5lCQ9tJHj81FwRoZXYboa+tIKy4RlSy31TTTv/W
nLW4C6rJQ09d06nhW7RoEVKdaO+bQkNsTC3LTe3Y2ko0wzIMHgssWhUv3lZWp0fnT6k0HdSFI+xD
co2LygDzthIG9uJBLB7JpnBeoO7/i6WntSDP9j1QRvtaSH70DMAJbS9uGoaZoxowwHd2pmZD4W9t
SArVzklOC13VeVKtNP9PkwYvVY5tOX3AwsCRalpbekCJ9qJZTnlsqY8+m6LXH/7WjAqb9MI0N1Il
kFFe+JKUerHKbSU+JLpOqQMXrDgoxxdZMiz4SeBOpD5INroyevtEYnfp5Fr5kPUkaBSnLtc6Ekcf
+G1PjxgENXI4oZJ+aCMje3AGVgbO1OFAXpVKCVQFb3F0HPki+8qbeIdZO8oXaxzeWigKz5KX/7MP
IbY3v8Qw2AssiplGRfUlh5SIGIS8n8UrO98D5D5iXn9zGWqR0PrXmD0VcsTL+K1Zbz+9gcZAyQ9j
UlzJcdhI6VCFEmdRQBI7xYRmSn587UAy7dwgaHG8xTOQZkd9CHeJDfRyyqWKDKqhVQeTnNFVpGLD
CGRZL5vdTiRqQxWJTnA82lJMGOBhX5NBO4xplB+GLu6WShxlIBw9f29ItfGYuqqyZ9/iLDoKzo8Z
4v+PXbTK5aR4FBGe2x8hwD2v9ZWPAPfQrkh++F3uLuUgdc4UuOMzxpvFykqpo9Ti91+rfMeTKjF6
vcGZyuZKLFbFUlbE6winrCkuQr24XP8eE8PErD+vIcbeROujdliDw7kDXQtyN0h/dGzD8XKpSwqf
nXfktzmuEx2/tWlEa2vXOSdWKvVa2EKIQ5CV/dmbDqJJ7nsbGsDPezCgCx0Q+TbsD3mVgEiZhCyF
TY0LSs7vhju9yqtZ2pKInVjDXT3dLsVAIlphb1W1Ik0MzYkVUgPyb86/yHmu7SxomQuRnhFZGHHo
DReqTtgc3MF5VbrBP+Y6Cb00cC6354lqxSiXa85FPD7EAR+aVYyfxBwSQ/9MnLerU7NSq0OtlgDT
JkvLviyGO7XKoAeCqdiImDC8hHYA/Saq2c5N4+ayrQWyBk09+aKWH/0wdG+Bz4K9kJVnKjTZgX1V
sBY5qCmuNOlnPLLiYA3Devz29/EinrDKvwMjh9+6j7dn7OuPvdcqZ2kANy+y3qaEa33tWDGWgD6V
YBaWc9K8pIY9VFq/EVnwsSDvJcUyRorAKeuigaTVVgfAWkili5ZRT3lB04BAMRnao8H8MN+qK7l+
7mxfvq8CoJBfzsiEd0pdrHtkJshIDt1y7BX5LYjTdyVUw98m4ooNcvWLHJhcGofa904FwRH3hvlU
NZm0ylrHvUgSWL1+dMIJaaBRT/UKsOktQBIbputvPgxS5XJmRjgdj0DVWsV48Z3Q3Tjc99aOaCIY
v3Iau9qLXr2zElBqtnou8sx4mbDveVI6D63tq08tSghiEkjV5Jp4xjcxB/7TeJDztlka8DYujp89
Jlbi4jvqFau2Q/6mUl0A8yIo13p1CKPyKlrikNY9abRphq31xyJspcMtriM3SkEanAQOfShFau1G
WJ4Vk1icOPNwlgkGNn23uFFr1g6xj3AhYsBDnauwTBMvUtgltQwvuCM9PRQsAyfsiRTHu5vbeSIf
8XqUj72tFNsky95KrBvrxTBZI4RSDKUCe+zy1HjO3B11FCVXIqaHk3OCB5pjNQwYzCvtqlNl/dBI
LonIsJWj43yK42x07FonOoozcTA6IM3Lue31WAN9iXowHKxSP7ijydsdnWMx1fbFMwQYHFZdwf1/
RuZHTv67DYbwfhZXZrBoiafK/2W6RLF+F0Q1nnWIa1/RMm8AglK5Fc1SUnySinRAoskPoQ4uRx8N
b0dZZIE2bH5Oxw5Jn3luhjfoCIlne5smOmI5Xbmmj/EIqnYA0eX+Thw0n+xzVycv9XSfuMWNxttT
/LBOnjR55XpejhL3n6lisJhqhdGLmDVMtyJx9meqJZx486j5nGrXyrDPuOJY1jkaKXHJomoQhvu5
KSnZ1c0CauJ0GrWiP/DO7VXuyB5F1lx/wEBdf7DNjyZnlS5GYa874o7rY3gz9YlRIPgeoQjYJ9GS
exX0hdoAYZxGiFmRMfxOYEiSetD33ZR7wmIKbl4tY/4cwcckJRk/RvFG9ImIxLJ+8f81Pm47F4Zt
0OOtEZJw6DpjIxTKTdceILXkX5u3XjFY9MoTfsaeBt96b3OFurlkq+CRCg3D67FWn/8x99a8/b++
B1K6UK2tsH8tYpk9YI26rUhHW4OVbuoaqmXW6Xjxaql7qpzKRnUfiQU9NDCPSrtooYlkde4U4dLG
AnfXSX53r1sY96XpTrGpSKVTRUMZvmm+Ir01kfc1HPjfmySV3m6jOy8jd+N//8doEe7b7zAv3Hm0
7tvaGjlYftElVO/Qzl7h6DwUuWPfURAunj34ASJsNpF61myUFOsmz1/BhltbLA0qRIib7FVKfHM5
v0byzSqRbNLt0AuR0uDXXuswLYxaDy+yAyQLo0TjWR9ZtfaWl/0y4sck1bXfqQJQxPPLtwJPiFWV
d9EdxmrJriQhjJ34X7OVP7PNvE9/2f1jiuukmB2qcfEWeqQZx9yK7hJoa7uuRd5TzPYUaI5unT8q
Rhc/ta4PhtFy+3dLyV9ZcMu/Klh73Gp7f4F/x2pUSucn97dvUhc4b3WfJAj7A/TpDIoYFYmui6Kn
0rbNJedQ62CyLGxJt6j11VeZbdaqqqP4KRpeHWBmi3DyHEdFYAHoVfpuIfG2mrKel7RV9aNs6806
yv3sTbfro125wA2N8JfFm3tC0ibfFohbwV4eaqoXpII1P8KRG5g1NbvcP4ZR9OJPIKdYCaw7MMHq
XX8InBig0+DUhNX8ybfG7DjHghac2FhxsYjeeaaOrknWIR4SiXlFD7vI9PRFiAKlFOjfPAfo1nQS
a/p8AibltyLL2rfp5L8eM00fp1l/e53/nP5njIxXXKv53oPhWu0Z+sWbEnbpk19o7KXZZVVWET6I
lhnBEgotMz3oapg+kUFm2QBdbGW7fXsGcB6ttChczpA6u20eXQuS5nRHCCnbPf7po9g89wksnuhT
mCda2V/zkN8An9IH2dFICrQOXVJIoCn0Z3OsLmJThi2iv8xLP7lGlFfOmZ6gcdLgWSCjPkJupnrJ
03YxTuzDOOvBW2QkX8PpDPTs55mIiV4xDtmD/6X39iokdSAv+UO9HyCNo8mBv7RjkTBVg3KnBx3+
0tp9Ecr1m+9L+t4d+J/FqGJoXhFfC8hLqO0FA1xlIeIUbqqlG5XqSUUC6wkx1mPnIBUcx6Xy4HSo
aJlZU90ZaikdVD2V12Tb83cvV1AFcdJ9hbXE2o64ZTtNXu5EjZl6x74rSbS2vRpdsf9M5hqzD7Ru
HiYq1tMwltna44hjzbVE8GQeNjp+uorsZClLvjbBMLNtZtbq//nsfx9nx4p8RLxwaVVatiWX8d+/
UiWjx+YjUqRPKI5KquplpSXeJqurwcBmCtWMakBXR0AscC1ot+Lzqz5+gq1UPKAx29zZdv1hK3Z9
0grqnJpcKSe4uh+iwCOKOB56ib6iQRmcaj75xGzVQJhsRLkHg6QGT0zf3UJVAKqpy+lGlNkEWlWc
gb7OLtB8zIWXN197hfycGKdU+npoo4UwwnEUg6yxZET9WbQtiRyADE9sE1sZCVFl4CGvO95ZHDKU
mM+kSpay56BI8yfekeDeKVpJZQM7LuHTVYh1aRbuWkkxjyIkDkrdtjVaZrK3snDWRN4HqCl2niXq
5nxnpDG6vVmo+Z3S+DX0ktLCDSUkFYWFSDs8qqn6IL5X2MPkxrAtmL/mwFCubOeah6wFUgRZ4Eeh
onL36TkJXtrZ3GrwOJGk0LmV36LwLor2Mqx/deHKJSroZgZmNv9bwV6MSblPpkPmnESpvrOlauXK
kbnF5fVZbSztZSxLdQ3G0Tp6ObeiLqg0Cuuq9AYM7dimQfJdsU2MwWHu+Cm/aSMzqqvdIVH4VD8Z
BXrHQNQBuOqm7G0rE5UUfN2q+2g6iFiME8ayHXDIlcEsy8OYGeeoLSCRivIOqghQ3tgR7LQxKVnS
O2jhTofOLZvrqP9Iejj6c7yS1ZdU7W149Jk+j5KnVaeWASm7xao6tHcZxe6s+F3xgLvKasfPXYsM
f+f7VQ6TUqVqMx1Et+gIJji5DMdqmavwNOO2jB6qRlV2SIhDs56QpiKWOy2Px0ChTCOgquCP7xKk
Z09iCB6S7RXNfthpTMgc9nhzJiPq1fo6b++HsRw+hcyLYF/WkVMhuBoN+7FK17mctT2cDHYztTK7
uJWTn9vs8dY4Tw35pC1sRoT3RSyBN3EyBbwiwRF81zfW4yCSNKpkqQdbG5D9kBDuc4xIOxhmd0WF
FndBVfbRLxOu8r2FeqL4JqZvzM349kRLHMR3NcUdnLXnuAj9Gf/PeAB60SQdvEylmG/dbasRZ4SJ
aseb+NOa3kPfY1g9oteBGhRQHJzTppRMGFCfRW58djv4q0UVoFoH2ZSdn/6ipokegdQk+txMkrg+
Aiw5zp9cdgcIF76796bE1iildzNsIVHbs8jBNAqcAJ9U2A6DMyABeJpSI6itdvcJGJj6awWMk8jP
dOGobcy29GfPWNOvIVoKRfE+HKOVrbUg+SYx8n/ojd9iAI9lhzTaNEiG87z5vMgr33kXwfk1UVRJ
1pUth//6cuLVnbzlJdAQ9kmYosH81/86NEW5D6A/BFsFfcwhVORDZ6q9ujcsVV+nGdZe0l2K9hX5
2D//djwIpvbw+e+ffhv9N8RxeD/qjlS1PSPV2wSUZJCkCNMLIDpJAWuHbujkKsgaTwzEx805OzVG
e2x3sQGYOjwgOANljzMSrcScUW8WnqaoO9dEjNAg17wCUqN23001/haoVrdp1Lo91n3UHmFrFuj4
FkkOPSivFkIg/SaGLpriILkUVk1r2N1C/zZMxAAAteDChnBGIgkkkZq53NoByC5F83ZIMYY8FSTN
biEBXUK5wb3EVQYVpgyRggK/1Hi6uUfSApSDy18h1NGk1gsIdebgImWqouR+rp3fqNeSZ/HH0l/b
iSSvkqavH9CwWclab15bOa4fRg3BVTkdo4XoFDEn0iGv2Db6ztOQYpDfKjzQqE+PTtPNGFXVc9eG
C83G0OT0lIXoFog0XOMDJks0ezynWmE+enZ+8ruuIDEmgVHWjAE96sFdGKZlbMUD2fNHe1eM0evt
QX17Hv+98xYvunLjUvg6tJAzZ4aIhmjbWXUBaM38EVJqZ9Erl6n2TJr7a28zNW9zRS8aRo+jhwei
6gUTfRLOuVh+sfombeYND72EeKUXhD/DwZaWZdv1R69n63BquzDCAR0BP1aKeyfzpF9y5UIsDfr3
ZoLfIo2rXU38IaDzuPVODuvxzkiBF2iIs3+bJrlde1QU3IlFfrVzrfHc+xIs4ykL8ic169vxR++i
lCRC4uCF01I6GZ1lqOXdJXK6VZB7xhMVyk9aSkdZxTBqQFwTS6VXpWaB4l120axqHiY+pdeF3h6T
5P8YJuVYjhUT4NJFl9Lq78UjJ+zR7x0C96doiUNEynXdoOO9Fg8wEcNgBmygrCaHtKuh4XO55npa
7Vwo6nMqWXyI0E9fkzBRD77IDiUILK1HmwT27XOGgSadMh3Vv+kr0cvBWbmSZa/EMxwG3BWIhH3U
uOTnB3bqQC+yyb9uxAjx1M70wN+BwtHmx7yI4QuaXUoEHm8rArW2c7QRFZXqM/Lq47ZFruQCPoN6
VtyCbQmBZUUD3pNxYf8Sz4mmHXYlZfajaM3rgDrsv8TEMgD2J26qwjO8hFgIAWKh6aV974yduR9M
nmg8a9tXO6uOAoL0byNyvWtfIa58GVFVk46oUaPUNa1oglCyT5ki77UgYkkjPmY6hrsqrtPz7WPm
CTglpwHSeYvBjfG3huVmSzEr4lm3H+0Q3rBUf3RdWj6rAxl2mOaUQ5qqvFLrBeOnOglZtGEBP6v/
OVQ2vzCzht2k6i7pN9vc8ZX29zV/sHlISv5DTp0f4qU7VZ2KDjbcBM3E8TMK3hL81w5hZdaHkgvy
YBYeJiIKiT5jTNqn1m/7Y5JqSJiEY/tUJo3/MHrycsgCFyP7uD5VSj1cKyNyIOfLA9ZR/Nq8UI/v
SzhuhwYLpk0aygVMy3on6kR+lHyOwGOnPFT/3YioSQp0DJovr+GMeb2WMSRagrmItrYSxsvUhOMC
WNYtr1L43gwWjLhogBbr+ljYzb0NbOqVXkSbRM1I403uZhJKocvQM4OT6sT6q07xKRmy5nkAmn4l
m/ZDjMq83NkaWsMkPgIfbTgGns+SLvNkNBemU7OV+Nkb2SMcF2Ie2hmbNpi46RNMWc4kvK69HOGX
P6hlcRaA97vEiuEgcBXpyNf/BWwupzODpNnKtZxk5XQwhNGo3ltG5wDoBkUC2RkvOOSeEnhDyiQI
UqR3Aw7QoZbqz5rStHs0MrLZZ71LQd7gaj9gL9Pkr3IILk4JNPkibNd9A/rm2L3AW7SvrW6+NXYw
XlBAgMFWFFCUJN/5brjqQTcSxwOY/D44cfy7UsY3KbOMt7EOGlxI9PrBZwOzAUjrn+1UMfd2Ksu7
oO06KCRavJJhGYSF02zyqaZnTGU8NU65q04xtA9YvaFk/tnupgWkGChiphO28zwRc80OPQlVbTYC
KlHHYFLU2mAhbdnuaQxG9zQUqreCTistEYowkd+XEwlDELoTVSOL67TLQba/oQRnXW+H0iijldn5
5VrE7IadFfgFH1NmTI9u45IE6YM0rBGbY34cm/4ic+0RHys3RJXEk9vw3Jj5uiArc0X0yEAWnrOu
K6Mtu1h7Epn7jOGa3h7K0Pg5BMZSRUL6mWxGcx5HvCBL/IPfmgGJVL015L3ulQM0QH4pSfj4Cd6Z
KsWifiwKy1qobrkUvDvRMpRAXoVD7mxEUbnsQYzjYv5blKRbv/9Odcw6K9NBnMm1/OYmTr3zyf/V
W1xq/Z1cOR+BVX+OqOVi2CDVxd7TwTQEx7NpwdhBsjCzgWp2p2wDMJnnuRnLCXnbLCsx5mJMip7D
nVnWK3sy+85wtOEJjEBd75vJezokBoIHY48DeWe+5D0qmlGVvEOiHXZjh5iPrrruVH7qF9B1qt2o
MXUQtozIkJZzm0wlPyNX1R51V3kfdEN96dPx2apU8yfuQ0cuO8zFI1ddRYBDzkYfW0cE6FWqN6hs
yY6mY8ZdmYUElqzHmaH3s9WY1dqhSUsNEBa03hO3iWjtNciez2P0yeMB5ky35VY4QhOQkUNScURc
ttkT68bP7MUtX0HKOULfD7D0yZWfBgPlMCtco7DV7s2Y62g7WnIAUiLK+KQZRn4iCB3i6k5jNhEU
oUVeNN1Z4FQ6LlFdK1+BHQSXqCFzLsK5DHFMaa12I5pikq9U5dJoe1x7piJZahWS7Sx6/iYbsm3N
foyVx5hb/GNc8sVkOnIoE0D3m1loj4PTf41X03P67+NHLL1WcevM8QG1ojDdqpELuV/scuNpg5v+
OaD+PW19xRHmBoSXnPcBPw25XbN9bqCsHFw0x1biv1Jqd99ZY/eMQmXxJT6N96mJTNjp6pyWbNo1
V783LNt/zPVhL+7ste5AnWssQKPU8F/Rj27Zc7LLMPM4uv8EWeWsZ6KzYsRws8BX18Hk/6VbqOnE
FQWtDrDsjPkT3eJgxqkBUD5Riw83t9x9gfbBykqSbutMAgej7w/7ocSpIIos+FO5Hd9HEuoy+H88
iVCsFBTJWPuI8TJazWqZH2ISBad/PmNEG2E2hQRQidqmK4UbWa2kZReU6gX9UCQXlZC0tIH5fCo1
3Q46bb8s+9J4jI26f3BtrioaI8T5QySrP4RvXtBk1XIosUcUzdshovh/Fs2kidH0ANu4Rdmpgyhg
800YbM03BZWkPTWZV6sPYi6UItyaE2wOJ7f0TnYmW7QJA5xJ6kdjNribTZAPARK9Hcq4BrFRWt9v
IXHWpazV0d7oz6YWo2Ko46yXavzmE/Dculku7DzZ10o1vPew4nBf0exz1bRsMxXU9INUTl5cXX7z
I1J3VKwobPgnVapelcnBCf/UmtKi9zvzwvgoQpkTJ9e6TzfjNECETMOVN2EkJavUbzQk67pq7fU4
I2qd4c0uFfgG21iODea+lUk+zi4VWvpTQiwcNx3rnq2HtS8Cq9mMfdW9qnF+FMh14GQAS6fiABJu
3GE9/4KtOCRRT3suZRXRPFoaFfu5hbzTD81Hqqd3BwS3BOCnYje76OXw6Puq+jAEwHztVJ1wxaDV
UMPclwhoASymGfRNsFJiOziIC2CaZOA8sRh1G73hzge4NzpmdmRDdUK4k/wOWS/eqe+fkOVJro3I
8HXKBqnISdeOb098Q6rlDkvNkfrt7Ws18h6Isj3eiRBiP97Bi5A7HKqwIHULRieVtBDktFGsu8HK
36VqfHckrb73S0W9WjwJFiKOdiL64K5fH+rQTN+q9mx1efFu2U+t6pA2iaPhLdZ46xIkkTN0X/cZ
eaw5bkSFvqfGgEZDaK36TC4vaQ8+9kXcVjzEKQT6QQoyi20a8hdAIUREICNCRXE2I44wy390pDkK
S22J94/oUB3X27l47x1U9NV6r3gWO2MjXvoDDbEvpge9y+IZScrxoijAXSb3d1O/VzxbPnlcetm2
0wZqTEqh3FVFEU9qusmvEquHBBdJWeqeTX55bz16K8hOqvGdg1bTrtZ0bY9HQHjp4jBYd3EiXfsU
TSoDZQw8T+zqlHfFM9tDRFkl3XdXY1Ua67YO6gdxUMgqmFFonpO0IQVhu/7ODgw1OoPkULZ6Yt9D
15Cv4hcZxuY9Pz+ZXCu/walPtIC8OQ+jMq69LtmUBnf+wZLCFXqu8kWJUvOA2UuNi4mfPkNa+tm5
iflzGtrpVbLM/MgsPjzLj/YtqbBLpoQvRpF7c8sVPudTvJ8ORum/uNQL9yIeASNWFmb0s9T011JY
3E4HjWcoLMrptAO0OHgy3zMPUIxTrbMdt80IwEkuVmrih6sMrZrNDEeaaXhWVL60OijhwGEJJP6Q
Vj18bd56RUFPc6jktr13UtOIj/u3XxAq3doK8C6qQX/vSNUc+3avPN7iVWqXx+k1nKHMNsWY8aqN
oZ376ZCUuYSyaUjBIoZD8iU2j6msZOcN0rvoEIdIzBCnyEKkyzS08nVTtp8vGGxD7ORQotOM8cNq
DH3nTgpHfluhMDldjoFv5UswHLBWKtt/lv1hK+Kk7ylaSchIiSZKXQeMasonPAjis5heWt7LLCDg
5N5Z7lTfeh98Bz4IL2h72THCYf3IFt1DusiWAfq2DVAEVuoB6FX6a9IH+UKcfmnPE770ObaMmbuW
ZzskNe2rJdV34ncZ+Y19BfJ2pxh+iTlYlyDeh5hdkuT5uZqs6rqyXNqFYTwleVTd59aIQjgUjQGz
m4NJSm2p2XL+6qIIvK6xeNiKSc1vtQFcMB4FhjlUHeOuiCBDui1yFM1g3P3p89zMnFu8AjsSxb90
OdTRupSiA/LpGokH5QAK3EDntvcewiS5xIKHVljjXnOBKjvNWN3ZBcoO+ph4yhtmPJcKRcGLOxr9
XWgmLbdw/13So+FOhOZ41GwrtoRnn4LaHOejhivu9uSDEAA5zzUav0sPSuvu0t6T3owxitdhGmYn
7J3AmrtJvtIpNn83dARy/QQoQQ1vztF4p+xG7B2PQ2WrGRKuEYmNspquBj9tW9qxunL38zKotjRn
zWLOPdSp/1gPqP+t1Rb1JU2v892XrWpAbrbXj2PNxuiQ9ypMUCM1TlqIGLUihxdxi6JGF57kbHgV
tygRymQFEhS51vlOhmNXce6a6lSG6o4Em/Zej0FD4qryLnbmlEdmY7AD4fEFg993sRH4M7QAPYuK
evA5tHJdb9Nrkf+C1vxtqNMW1mnUol9iRVT5rTcviyxdusDCt3a3lZJYLg2mAj1liGDXq9EnbSWX
ngrPja6CviJYK6WllWtrwGhWxPJUuUhSbe9KVwUyZ3kFUs02Phx+ZYGbyzupPSB99G3o+Kv6wtrX
VcNHG/jg5L3kTtZG07N1GY+BvRVNJ5J7bIK976Il5lRZ9TKEQ3gWk5zErRGbS8IV5UwZ+5hRXpOX
9s71CMeFrEW6yKeSqziIDnFG2s4/mUkCo2twhoWLb/XPdo3LtvlTD7HdVlrNvs91OKy2A4hqlHX5
Po7JWetdGq+jEpQ6rkJPMIS8H387wczDFxF2GvOJnRfWq4EvXt44CcqGkXEf2TXwwACPq86t/Y8S
Hm9T46BgUPc3WFIcVANx1Ubvf4l+MdFEH2uZ43V2Rah3b7E2fLC8rnlUJulUcf2PPAtzbGEW0uRg
2YwT5KtBrED0ZjF5VbNOuAH0QfCcyfq6TsEjQcKDeeZvy7bSWBLWzrvqz2EZGdatHMWfYUaPkpuu
C1fpkEF7rqY7B3uF5omGUEAQjUBHSRNaRBuqokfw0f9qeG6JNCVeRfcz6ctoMoB0JoScYrC/2TGC
CxE7nIulcisDAAhIF63NJ7uqfyOQPHw3FJcMTP9aYaa0G6kenrMOtPp2INbwOIpInj8NYJNgTPrZ
WaDURBPd5uwsUGpjibiY6GVvigdxGCUr3cC+qVPl5mjJpvOYhNJdwf8pPQVlMzeVyOq/iWGZ8yGP
YGDGHI3ZiY3Fn+qdCq/yFASttM3VJtz5pYx4o1v3O1NX+vsOPpDYUYhD7ETGSi2MfFNO/FqEo4f7
svkcUeowcNNpRGoOOUqN7EN8q3hC7zm913SDBZYWVGfWW+ETVproDuLYjMOKvqmauN5WI1gS3zQ2
NqsemCltcwqTEvm61qzQGgKlcp+pygUMm/8o3NFdF3kukitwd4dKwj4UUxjRG0ze6Z5Er/BJjzXb
exwrbz0WZnQ3mFW6n+3lqdRHOz9GLEaTcSuYIakZYn/ULGhjekkxXrSRT/2rPbY6/mqoNMMFtwFA
wsX1cgmt0wRlJ9EUEEgDuyN8Bh5FJHFyBC2n8eE03lCwhbiNF0NsXDX/ZbyW4EQX+Fm0Kyfbz9bS
1JWUViMJCwfnzRlDnUU4gzeKSeJFCaTTGKfDSUsWYn+byjg+5lS2lsG0A9ZqK4WXYZ3EDljsefHq
xpWkiO/EeCPEViGFf7wzkbY9UlB+R2BpwhDLxVNYNNrWyUDQItFYKUvEm8t1Kivj0qxYy81vQU3M
ERoGqxSRYUTHCcYcAgDc8VYeW3jkvJTy3kaE5NLG1gRt431LbjA3RacYJkZIibEqYUpvS62Euz8t
I/sSQwon0bV1EDjkZv6sL8UZVxF2uo4Ol51157zknKcN1V6dnRGrAPkxvs168KANj1W/0VFEp5xN
7Msh61ABS7EcFkNuHbhOg5nh96+d9Fj/cBNq3aImkhlePcMgmkBBvH/qEAV+azbwm4KWG3TzaFEt
Ed3OVDwVHY6CydavzI6LDNGuJL+iAKJvOwPqg/iD1ZDPL2EW3MF3wVi9t/INSoLG/KeTQHYuEwxa
913Ue3eDj4lINww/fVlCZn1awwco+msrNU0Qa34NQrBSH2ASB5gWbPJ9fiCrUKaI/I88wMwiFd0V
NcW5+5YcEKOLZJSXNjJj8/Zg8KXy2PLYFP/tlx0DriysCALEb8RbsfUF1inh2S0QBbbTQtroJsJy
6KpOW2yr/wHuic0uJHnFAOfqFeYLijMebotVuO98WcMhE90dAcmKY9s7g7lddUWOAoNoSlK5EiNi
wP62nUzasYF+EYeuaH+npC92t5AMNuriDX64h1r5JuJposAhMEvkXnl5u0j8szhD3Gtc6wnCUbeY
6NBVI1jmlCE3ceolRzVo326/6SpBtg4huLdguhACdMohqQqCIYQZrl6ptY8oW0bU0zOKQC7auz27
+V8m4uJZ7/4KDCh5cmdHzxjGGms106qTrAAVrXRnXGDsajwq2oCghW2GM2bMQTbqPIbliwCUCRiZ
i3takqLmAVG2X8RNbm7SRwTwfbC+WXNNuuBD14Npqe7He5Qy2pVo1iB1VqmX2zvRtFzpp2UPwVW0
0sfRMfAiFGmRsUUYqjYR5kk0FfOzSTdpzDINfbk7TeuicllM2kmJ0gYHoaxEGTFdNr66kSceg2Ar
CEaDOJsPhaFxSw+eRPw2TFLdcq2lRQnBK6suSmCu50LGP5qxV+463UmWbVJ5j9xQwiUlg+Eb0nnn
oZo8j63OX1jApn6NWv875tJ4zbssg+gqBRR4amuLuGl90CJHxz8NpzQ1l5KN2ZW/4iZ14r2ZkDqN
jPJ7qw59930EGI9CFOxI3VaOLCM/D7dmJszqRTt1B1xF2GH82zgRU5s1CgreWdynzOlmBeVc5QaY
2wtxY7rdwESvaHqOp64xg/gccuuoDNRDFP3qFUO2dqHKrlCiTe8E51mchcFVCqz8egtzG/o6VJoM
5f8a2hhx8WVoHQd3YEAvMZiQ+6iV5E1nG+lJGrvh4Ms1Zt0ulggNVtsrSrztc9t2zWJkRfZRc4uf
yUWuoSw0M81RuO1/2PjLvZZdoS+b0sYtgKQgng6FufTBF3xICHPEHUnIEvDhxg1ad69mqv7Appg9
9TQCPtMPVPK7x8jJm73jjghAq4321ujURqYBQwjjFI+O/IIOnnq2TO5lwMmlk81N8yxNuKDboanf
m2pITreIOPsyFFbXCt+xfnmLkaVaWdQE74KyyjeNA1jFMNPxscXb8c5BoxM48/jYydbwmFdGy85T
6Q+iaeaSv1dZ24AK9OtiqbUvitqVD6JTn/YifUy2WzRZtXGDG42Peahbo9MpwT8SnaX1P6yd13Lj
OrOFn4hVzOFWWZZkW86eG9ZE5pz59Ocj5DE93vOnqnPDAtANUOORSKB79VrsyerEOwDoRbySgNc1
FF4QOwchYvVwtyBS6BH0nnrjJFgvXMKxa3ZjFP0Q45eLmIVgTrYcx0hnVyWnVxmYqYWZcQS0Vae5
afhFrqiwaZ8hswaF5Bm/4mhpSHL6CxZyyGPc8clxdJVAUKlfA9NL9m4ot+tL+GskHJm6q2hSsnK6
woaYHbRt6DhAO5oK0niUOQ9hEwwvdrhOJq/BGn97TcM6kZI/vaSgkD6u9e41tlB5i7V+37EM/JWb
UOcoDSs7gTp3ROv6rsnCcAtfMiUHU3cELHTXUqmOIux4CtqWnjUgrKaY+QLNGqrFJSMYF1qvqntv
Mvte114rbX0l5l9mZBUiPtTYbWKYLJkxrLoWDZxLHXWfgXrJW0Rzor4nhh8S75mo37PD2xYY6D78
NDBxC3M8mX3XfzMT8aGKcpptDwjdhGpxbpFyVSC6qymr7EhJfsoFgPc9mGZt7D+92sX7XYwhM3JA
O97Yi/2CGCpCqbvqYdT5W9oiUrTbsTXlXYkaWLcQLsBeUFEQB/Z3szCoYZYh82HxlBNWiCovkwcC
wr9noLsKEzsnc7hqo8PowdN9aYp+Pg2KVvOK6qR0Jdq65MeXUVNK8Z+9hPmTj+h6Uhsd4Bd+TRKn
vPzTujb9qYWwgpMKfAs//O2fPEUp5LhNL5PEP2SOV4gJXZLCA20NMEHm3qTOJNugErxs3wSqfwAQ
9XZBngMrtA+ev5lHS7tQ0K2dXC8OwjQxxiQWgp9abmyrCQi1bMb0SdYzE5R2bZ2HKODiwjbOZvHS
CfjehrZxdXF3ey/dQ1MNp/3kH04XudIIXdWBuhIzhMHzpHRpTbdpC6ndvalbg1uYFA/U6mClNRIx
dutCDW1rNRifaTQxIw+lFslZf7YYwp8iC3JA3cqNqvymjrQCTEiYfC9J/adhrn7pgFytxzCxKUcg
deoALd5nGurXshOekTTVABkhL7V5299L3VfoC6JnN2rzfTtJmAiKG7mXCOv0yaIgzbFJO8sFU1Mm
1k4d4qsxb8mFKraxHoII9bkeWbO8RN4uM02+sJbY+NUN38TOhvaBF7qG3PdKBBLYuEaIRFKWTewg
dFV2Z8VaxA6Ehc5s+e32ew41gIRAolQjfdVOtaF1vxDYXVFOXQzUi3YBROSuPsEz+ncfYRaV2Kaa
/mMeFCQRaiHVvUtI78H0rBd1KJPvzpDB915UD0lL/gIMlbPNqsxbGBmIPfJewRUYPeTg6sF+HlKD
9w4xghR+jIVtGt35P3s0RvJYlWGNxGVT3Vw4fHrql9oW2Iet+ICYBfXPNAaprnT85CdPY6k8KFtf
rjjcN4G/SZXcO/pSnx3ZVFvrNiqlB02jjkTtfPengZK3ov3UehuWTqWQH+JpzuCP3hEunuzodroF
VNp1H6iWeJvTHD/NEfdxOjQnQzt4UnjAn8CoKmv4OxD4nJIATe+QBIA3VyPWSX/s0p9+H3E2m3ou
BCPDQszjMJ8ehwzxmHdfMX5x0d3uGhbQvWO3O0VpzB+RarxmEAHBuan4m6qQi0OjdT7aAKA0yNXq
r5NrkY7jwo2TX2TmnArlZauttzC7Dmve1shNKDDp8FQs78PS+Joqtv8tbwsEHHolPyO12x082BlX
IhwXKLekBowvYaW9BmGrg1tShp3sQiwTTC9FVM9ywhgoKUDRFD6kDvFDKaz2nmzpVLOSfuONBRV8
pVjFyvQLtqLmoD/VDVhokN8wE2YevIrxkECuCO4wWkUqUfMxkOD/xVA3RnScFNuWo50bB1/R7yvN
De46yv1uCOOj3gKL/2vnI9hTuEOzF10zf3VV4mRekcKJHkM1yRPFf/U7gpq2oVWnILS1B3RytmIc
jjqeg5HDIXpabLqJDQpqAWm6uSuz1j2Ii2nHLqTQ+lu3GEIqfBoVca13lxLURrCy+37R8cnXQ+42
9xWPjqu6R0lOdNVRbdnIoRXjRdI1mJX2XsnyBAk6xHSEEbkggnKGuRRGMSlqVQ9JMSnbu3rDCUYv
er5KIwJ5VmvdSUUX7Smv8Ld+EVVPZskRpEirx9ZWu6tqUq+b+Avz6WKbbnDFAyPmVWGbZ2FIZQmM
uAOfheKqVbj0J5JCSF/87aWf2MqPKGusK1fQGU7zIG9e6nUo34hVYDxTr7sw23RSk21aymSvUJP6
UQdR8h3FgSffzdJHvS2UbW3y5AjD0b0vtexvDkWfNLu0JTKpWNEm1pGFpczvZ+C64CcdsJB661LJ
H2vfgg7se+MF6mNXIcPqJXwhQt5b27xOVag/+vAIvTq1IlpXnUeKzQGrqeozPCk/ICvorvMp4yOe
x37brLXQaS58osbQwZ7QNeewnzj1A6R+1AxkdWw/t6a5F/8oKlE4CcfQIbcpyiLsztKjPKEQbKqT
MtnXbkUvLQxnbwcm5PiTETBHfQdBQ7/sc1/ezmOIBX6eZWhqtRAThJvRm+gBsX/5l7PalJQOBcHV
BCclgTzPuPSne5RDc+Bp4R4BR/r3XeaMG8OhYkbuYjaMaF7xY7L46nEeABESyhufWAob2AkS0mMl
kuedK2XdEZB8NlrOHb7coZTUOEffhtSqnZikxlgmKabFEYqWPCA03LTY7z+4iXHh1iRQPpC9HV4K
ALLCzVOit9X699WsaTXRndxy8OaLEXjxydU5w8ciA8kL49kkYbTpLUi0wONxFJD8SYbX9m4U5Ase
XTVeinEjaqvDoCMtF/ns8ut6UFbqkGd7Ye35xxSwVd6ZQ6+fTbcHFsNiakjelaIvby26+Ug+XLJL
9yC6XvsLzdoC/AofyPWMVa5a5qIMYWMevSR8gU0Nage9fBogVruGlLuGKrAIXsoe8tq0zYYtdBLB
i2pHr4qkt7dWarf3Qx7txXCtFMM+6VFyEZMKr6eWMHf7g7D+ubYcZmzZp3tWifFxbWj2Xxurbm+j
Ouv+trY6fYJ2nOoU39du0he5I8amacfR0nwYWrjIcv3W0nKeI5YmCRIz/zrpUzQbhSMkGO4q1iKI
/SZvCFaxiNm9HVf7oGnOVN4G17pSN8pKTKEmaCF1vn7s9MLYQeT6FMD6Cc2nFJM+hC6plUsDbaE6
T3dSlnP6d2tlJXwMx7BP6rFBiD05aIr9imYWdA/TdHGJ3lv6aMYrIi9povebdKJe8m32Lq3lny29
U856LN1zeoYXya+gSchRSRKQTnJrn7zEZOEl94MKD6qlL2OeWVd2Uf5IOyP8OjXy3w2dUIEYEY3R
b36IhvK7MTn/Tz7/6RZiQdClJ/6mbBEluLCkLh92bAD6lyztd3FaBw9NMmWglCBfiHHh5moQDZhs
nl54uex8Nw4fwKn9w82ZVhNuctt8cCtaiUOTD630vNr7TYcBtvr+z9VsR67X4qYGaa5VLiFf7AcI
kUUD9Q0ikSW6hl5LR5Hminm8XKyCbmG2CiKHQTL/X+eKjyFuJFYmLy4d5/vOH3K+r7B27x9jCOp2
S12htYwMG8yE45yMsNNvZMnUb0QrrNBCcSO9R6hlMrRNYC0KR5UX6Vj3W+GoisGqLFaxWVanefJ/
u+h0Ny+L9Zt54TqNELIV93xf+DL2vywq5scA6y6f9sOiCkhi2fI/flpfg3HA06TLn+Di+/mf//53
EYvaptxvxQef/83/buEP909dM1lrzUoQ4Ld+9NzkoYxsIfR7ko2GLtFOfyu6FMMB+EhKlCsnJr4q
r91zHpAfmZj7hEem+h+mI/f5j+l2kX6cXpnZUiz2Ph0FknGRh5V88hqCmOYEco60r8k4BN/JknKM
hZEazkibckIEHLe520b3Hmnnv7hGZvXm2pvU4wjXQSl+Rl231K0gftQyXV/HI6UfaLHaB4B/wE9R
q3sYp9hbWQ4dJ5JFzcP+ZwYfFCNJsq3ZHi2UKa0xThctb92l2umIi015EKNsqZ2DDVBH6fVeuIlx
yzOQ2ZFUUqYtci0NrKwH0ZovGhoI5BztN5fZ8MlZdF1by5eJBRaQLHB3itySigfP+QbDcAUxyu9u
CJw7A79qoffXSuM6I6MAh0gMYihIh0kOsrti82jcuzCJAZVDgVufyNwgkIzvCMpTjPwLjsTwgRLg
+qGUnsSxW3Ry6UkcyDNYav+0RMMHt89zBBqA798/54iNpq5r1YNcPYulzdSzN45kwXs/PP0vE//6
mdAHU5d+j5KnLDfZUrydECyQltD661fiHQaZJxuy9hkYWnJ07IFv51St4Of6Ry9FOVFT2z5zfHnz
ksfyW1yPKSg4OYDAslf2juwa92HnvpBQ8r81MpCtUetsmE4pZh9GyPsE+W2Y/exlO/vSTxOpx1T2
FeQH97Zvvwg7SJaPE0OvgA9nWrFNf4mJHSjYTaA9VaPRXlWRi5g5BEngZhQKqwxemb37JL7BUuD8
qHMveiJFUKxVu4tOnJaQ6PzLnKJ/EtIU73PaaU7tp9GpL7LkYNXauFGzXaVL6oZNR4GakG0c2qTV
J/oE6NxLfmM+WbXXWIbKhRIUb+GUizzP3On79JLDJ/CCzLy+bOUmOWtjGG3HCB1kLZnIV8Hywjwu
j8561CddyL6PbiqrV0iCd+H3XN8LJJcUxOEyCPvhlm2/s2/gld0kyDs9mrnzIjwUQ73JNJCaefNV
SgftNpoq3cYcQTakAEje0hPjmZ8hTDDyWs3lmm26hM7kRo8VdynM4mLKGtn7RDqXwiUMn3sTYW9A
EeFJqzJzX7SevCPVMVwbjh6vbSusHqoBWRwf1N5XiIdOWTmdzyLO8bou/8qz4clqo/B1GJRyGYPs
v/M0/jfrxEaspGnLjfhti0tq5j1Es/zUreybEaT1MYeBbS+zgVh4BCXq+2GA9d+5kVpCed+gJ81g
qZ/qeAWvbRg220Cxx4MlKn1hw8s3VhNK6GCO+jVpZQWm1sA7hCXgyKGpH0sPiGRkqf0uhNHsXrOV
nxBkZLdeFA3LTG2XlLaS3vuzlekDDEBe1KAZO7X+tLJdZIxD5Jv1T79Mrng82eilTrM++/rMCsX8
P9f8fMd/5eflx8Ty5OIbAOuYQhddvuNtDsle1fWwG9M1jaS56TN07mPkQJduMbbrgD31uqsi+mil
bSsOgTfCuSs8OLtkAotlESl3EHUlWw2i1XVOjgVixK8E95x1Fmnt3k/8/FEdjRMVNtVXw44gmIe2
6mRSj3iL3lOzEIY44WE79GZzTtFFPeYm0udiJcnK96DAK/jIc2NXF3q7qWJL+6Lrq7oAxAdnTLHt
Td45FPE9EoGFQiEufghIfOor1jZLjHEtKkbMyvOn8118FPj5aVIFYirzyepBGzWyG7u0vLykPjpk
rBdjHljWD9bIqsjb2Ao4O7Vfy6VdAfkBt44iwX4cXRPNAJLYVCPDOFO5xT3aZE+oQv5Mzcj8rnjS
qSgqnvCFzk+s1UApDEBcw9hhK+HJaEqFh17LQYG4prNED7K8NkYPzD4BrHVjasVrrvvbNAmt76Mq
UTJh5eOdNcJazDlK2YZKWTyg5f3TGEP31vITaI5DqjpU1fhWeSVxZ6e0H1xPjdddUeXXquzFe9WW
vH1n9g0nUzNYG6kaPBq5howsf5Lv0ugi19mR0Z5WquJ0fCN/DxDggFWtipaq1poEqnr/OvMHeDD1
3vxqcPS1eWQ+kSVvdsbYI4foVdaLTzpK3znJSUBvuz7XHhzzJNiCRQcYm7CMEKpNlg9uyUkAdPs3
yx9zVIoxqRDjiRj1cKPkRrMm1aK+ElZfieqMriz8ZYGE5+1/9hiDLD2ArC/9GuKoBfqwiIWkCEZ7
SGV2/E0gxNjYLP0yUAuxiTrqmpRUr4EyJv3FIy66g1z4+XOBmP2GEFvDjq1X7iRNit88MvNcp7n9
iPx4s41qoqZKqbv3tpd+v9ykGV9rf+weFJK5uwqQ4hZidGtpTNWDgPxuE83y7zwrrs611j2Qu81f
ZAUqMYITvE2nrkK93qJLI+c6sX3joSTAK8YztbD2naTUVJAY+QusBaSQ2KMdhdV5yeDze2kUwCCF
jEq8bzvZS2MIurq634s5lJNt1E4qHjgm5jeSDacwstbJY6b0OkWTGbTZZ96i6wwNS/RPaY1qR8tP
zQ9jYVQhx55DFTcn6tC9zldJNvCoeE+NicSX6Jp95h+b5kGhNOlYqCNBvDR5aPqcgpVpCDBzTd5l
as4uc1e0bAkl64a6ttUnQyxnHdzqiGwjdEtdSFrk/SGeLlXk9QfDptrwMhiUybJQVHsvDLOLmHHx
ExZLTJntszvIURtKB69bfVhbNJ04chYwLg6roFCMAw8V4yBa82Uei/zwkcAteUSjTMvF31zmsapy
f/vUhneZN/T9j5r6zZcSSa4CXcMvWZzIN7l+DqUefE2u6fsUKswLTGtsEgToowR9MCBecypXtMTY
5GGCujqKfK4YF5c37YDf1tnwOW3s3L5VbRquFu+JCWkX9ntULpHkqW15NY811A9R9C59VScK/Xm8
UjZOL0UXZn0xTL1QxAO5qvdjOxEIE7ndVDYs1pRJtfGWlFaxuPSDwc+uFaukTuXdIsaoRvcUVArV
7FrMCXXkJy+DPlW+67CBYx11mRu3avwX2+rCtVxDddE3TYcaW0TxMBimZ8M1bgVqnXrfGwiU3lzr
qEOZwyegbVEj+hfXUpHMJWdd6mbduAJ4Dn+O4RvG0gpRi5+Jni/8zoS8iBVgmJ0/GcQCcRaOy6od
Isj3QSsKnE8HNAzud3C31AaCTBSDM1zRUKt+aXoFQMq/ABzF2LzCvKqAC3XW0B84I670PG62aQ/w
VLHN9I46n/QuouwW2TbJ5F2WZHd21KZ35fitMj3nVnSKzjGuigRJC8tQoddXSa4DnfftdZc3UrQk
k39vJlp3FMsFgDuvKYfbiJ5YYL5rDNx9XbQUnc8M/oLaf+462YTxc/RwOVP7C2sFC2WSuM2V75QO
1baiYr1sje9ob8T72tPMhZPGykZw+zbIu1w4fw2v0rfQKuWLmfRXtC5+zcmQu+jiOg/rYFsXpKfE
y64HpLqMBgUh7USlcHDqOmVd7cVLUu/GN+vcDSbnKpWNvaVOWz+3XHB86n+Ce/oWa3X0EiSWshzG
RD87Sj3hVgkHuKVdX6kuWsA+UoNwUpk6umhN/ojKYbcYhz77NpQIbCpUEi/ykrRBHKDnI6DsLbAA
q2of4jFv1mqTQCVSeS2gdZIPlOmTo5qsCnVwt41U8tPFeJlAULxxq+EyXSm8jgQllZyJ7ye3qkQt
TZEWMDmbPWV8GcqWZeruwOWMS9EFHqecVEN5Fb1GzZv72iaSgacXKcpDprXwGcvqzcU7osYwddvh
KpiMauMX67Lq9XVARkBQKBioJCxzqy6vRBdJiLMmO94ZoaDkMbRG3mPwLhRtOJ7QJSsXfTdmz2lY
GFtn9Nt1y/vjqHXlr9QHQiUuWmbX+z7h2NjCMjCPx+8eYkxYIS5FVlN23XU5FjyX3mcIw6fuPA0Q
HcF5KvpXn/yEy3wjywR5s0h65dWlFGA7f5b55vOiYqlLtwJdklbQdE8f+d/fwpj+tQ2VbFCaNujZ
gQappNJ8SIbUXDbaoOzaSjIIrMjlRkX+Zi1TvfrgBZK6T3kWLEWXWn37JKnmi+ghq2DeRa28EDPr
abrsgaL37OIsHCTXBbGkm8MxGA34A3P+GoU0lCcg62sE+xBaHBL/tpkuEYCr1aj7ykp0hUG4qGO7
0W2wevMEX6H0mlQrxW3TIpdLDw1aWac1IihhuhNjYqXs9w1Vy1+3HVlTzhFRfYRkKlhe0qWOjRgb
WaV+fennDm8h9tXObs6fVrJyBBGenUT+lMhCcoZG4OKfSm50LEL1XiRnhYNXwZ9HmB6aUkOVrikx
WnI2Lo8C2Apv8kTpTfTjqi7sC3m3sKp1C3eiaF58RPPdUUBjSzH5YpjAtF6EvoY1evqq7fUw34A6
gLmh9q40zUM0t8q94dDoY5BvRBPo7nDwJYUiesjHCKhBSLqh1HOb2TblXYPEMwHGFcNEYj6DyKQI
FxlltQFEJUDY2xp+zHmsh7hxts6t/8av/cvcab3OA4EhJJK9SIVtlWObl2fK66dWVkXqay/ryWIs
1H9Y+2lsnKz/3k9YCVi8+X26x3zfz34BHGwZRPxTrFLwgPRGvULWICDPTrwS7fVoRVU33JVTt0or
qn8aC3F7v0nK5eRspap/Fqwis7NYjhLlN2dhVesvbLia21zR9yq63k9h2fXXVG58z+2hegrQvjvI
5gAn0WQMUMHby4odU+yJNTYji5S8Yq2FNXUMZPsSEzKAybnpxwkT4OdXbCnLpzSUQHjKvcdje7KG
9Z0OJ++t6HVVSom30d/7jlU/gtcRo1lam2cX1pxmsB3qaKGykbQy2Ehp0BxJ0CYHhM1QSCJReScH
GWcarda+wLNzsLRO/6U17TqFm/YbRfRIOxF3uteNJlhX3t1EloeEuZceUwUOkqmnSpCogC+g/lj0
w0GtyegO4frSnRhURKvrJeuqCrTtJbrkSd2wqocOwrhOoXIP7mg09ZprPRih6RzhdQyWtq/dO1Zk
glBTCn9D+IBtqNhrudL4K5EV54q9Tr3gnBkdhAKJIWfZpuzGci26Xi21SIV2v0aUNihpMg5K4ub3
QrtkHG5MCrS/mg5bh6DIzccw0fpV5WjGjZ/XOvWeinElZY13NHyw+rWqZ5RlFfayzqz+uYjdnx30
uT8qL1vaziTNoFjd1s1r86Hr2FLb9kDdzZDtRRzFidVbCGz7M8yl+f2Yqju/gZ5gtO2OMgdgsyIW
IyalKBNHJbDbcukXMcrteUWFd61ap2bw7NPczexi4UZmfRwLSR/BNeJXhJ63jgytW5Z+2q2jTLYX
CJaVR9eTf2iBh3JfPyJ673IePpqiOZhqjnByXKxji89R9tYJgA93m1pZ6bXj9AfmXeN4FeXUDJpy
zAvHrygrd/jiQp5gLV3b/GLWRX/lV6N7zsicXHeVDtqqkM5iyG8dazdSOrHQPck9C4MVN85K9SrO
29OYuOSFWSwiFxhcT14nnAQTV0kRljce1NvLROZbXg4EMr38Z4VG7aIxW/NRiZDaLoo6utbgityH
lcEBzic+u/LtsXixc+vRsO30V1sCft9LISWbsAyO8FfIPfFUuMRyA7k8xQj9c+WGSFIRTYB6CmAx
aLHZ1Yo9iZ9pKO2SqPXRIv3tyqqaZMcPgT4Oiyhzu02QocfU9mUiU2IXLGEiuTeRaEPARC7XaqEM
p5ocC1RnjbEFNKvx1o2MpesS6qXo9Uwdlf5LgnjYDaT6RzyVpERpXmyrQmlW6JMVnONRpbVKu6QI
Fsl7Eb5JFPNOtvjXzh4eNCsfPAzdvqv5z3pMO5WtG7og2w91QmQFqPfglAjvI7oNhIWfU8XSoCAq
pFXtx2hC9Ynx0LQBv6uJwBGaVO3E1+OYTPyPYqjSJGUFhfrSVxxvTUlkf6dl5XDnSxJhB8s4iSHQ
lc3B1uoffBGzBE4r2J1M26m2wle4wMKu1ICkRMcLh2KnqXD8i664SOBWYWhEWF5MctoyvLGQZZg9
0pKaVb0I/cvnUBv7OZwAEsBKW9DAZnxtKFJxXVGduGyNIPjmudJehhviiTIIc5u1hrrl1ec9xzaQ
1slBzOxcwMG13C8cfvHv/KWiNV8E1ym8RcZyNN1iNRs+kK8SVtWOar51a1PagNtEmTgNPiiN5mjZ
QBSYNVeCprqCoGtHAaS8FBVFFXo6dyH1FolHAqgFxgeTEzQqULsA0EeZfKtO3Rx10rXL84RHGrQq
s1VwBwgrLDaEa9+dRTdKqmxLMBRJXjs72fKo/pgaKWhb0fC8xLtPI5PY2yLgwGEaq6wZ7SdNN8mt
w4x5Gu2gPILSCddtUIWvFXiITqK6vg9RT7cUcp+16mpbUCjmLi/T6M5sEbsTLpxK0WgfrYdUZW+j
aaq9Csg9PGuOpa0Gzxh2ojvUsD41FGKeRNfR6zXPXfk+U9Xi3tEr/pcU6WlE+/EUovu+EF1Xb6ud
WLLU+PO+8dgGmt0dTQoWwALKzdmMk/qQdDbKjQ2s8pIKFlaVvhjQjKzDTgqIZBbpva4533IIGV5i
9Brgtm5eQlTtSTXJ9W03XRqjhILRzg/zuJ6WKXvnUKW0Al9xafvAvomyzTwiWn0cQpdYUOM5G2JS
IlfqmL+kjTqs+GPXS9VTrDFdxKWC/EnpAedHox0pD18PthlU3t2wAZdqLAQTMEQpw8GzskfRG5Sw
Ov85VE4MWVI3XrxE78+JakiYffk+SZqUCIe8l6+T8E3RGlq9u3RQ3b0gmZ05Z21ndFdFAkWQMFRZ
jrJfbAKniy3/s3OemOp1Mn4NfQLumny4EAKIlxkAuTJZsSWNoKrZRHb3C00186DajnEop1ZVglhd
fGgKU9B15sElO7jL9OokhjwJyKjRsZvxIxl536BJ9rADQBwT0vVMXjXyE1F9814MjHXjwUmJLF3X
J2w80G7r/ZVe5tlCR2b1EHF4hxXijxbS1m9jAGz+YZ1neG4MZaM8gM79i1+X37alHpB6xOHfu4ob
zn6fPo64oacZLxAb9FeZW0kncSkc6IsUqR6QXwVWMhsuXb9nxxhlACzfZ3zy43WKxqV6mocRGreW
JUpnPCGKMpSAF+QFidqhOIhW6I05modT/9Kc7Ygh1EstNLTLHGGwYwLEC9EUl0EN7F2QKbt6HJ2b
vNXLayoZFj41msk6RvVwMwQd2syTHJ5wES2/h+wTClZtNxuqqLnMbaeV5nGxSG6V6fKTIWlLsFHT
IsIgVi/amKgFjNbWKL8WFlKJYVLlu6j087UQUhwjKVtWYSAfBDGdYyQrX4rNB02ngv4vk4SXawF/
4df7Lyd5Rqmfc9P+SR4FmQLbgb2EbE6PBPmXkOqKlWNaxUmVe+1YwmvDL89XXrXe2chjE/7wSx4c
bYAOgAI5+C6SLQjFqee4y7UIJKliVfCEJOO+6ZBs6aZHZFkl+k2qNNDnqeNEY9SeGs+Mn2Q1d4GB
O+rWqNvhyXDMg3CovcRfxknQ3BT+YB5lNUvYZEfFN+iKFik3/UKaXVoPlLjsla737nlc/hQzjamU
0ChG+a5uM5Rb+9qAvzpqv+jQ9ggPgl0lXJcYqfSGJyjzH8LeuChgpErQ7xQV6ZdiAtGNKmpbqk0N
ltnJ/kMT6TsxLtwGDR0rY4LqybYC6q5BfcY1LU+s9slNUBor02p/uqlx8sLmFFFoTi830QCxnFz0
7QolMcovRFB5HhRBZRGLng0agPaLQuEcpHZCRKSTgmJ4XYb1lp/KsM2MUtsWsW8+B422Jtw/fpVc
2JsaCraOsiTlZ8NPsoVfDfJXskAQEmQw5DaqDocxiLiVmDE0qLvzm3whOVnAbnMVWIYLg4mpPlJU
4Vy6gsZr7l6YoTROXY7huBcu7L4Kq6u2u69Q91o0oZ3cmvGQ3o4RfNZguh+juByu5nENlcSd8OW/
Ff64/g+/y1ijam8+XVIMlJBpwdrtDXD3MqU4Ge+e49wNEd0TXSeweNNOl2jSbeDLvdTjMrmhkNo6
s2E39vlAiZQRN1RpxUSON4aTFiuvjptwOWZABlF+yLeXvlSoX6UOPUzII6wzGy7rnCDB2xe+fysW
pNq8uIY2aStsCk+ideYV7jZT6q2c5eOvqdHHxqXR/m780yRG5FZbj30X3MxJiMTvsz3nuq9iaBRq
CO9j4tuDoCjq3dzjg59w7mqruvGd7L8YB5oC5MOxykvyQuQeAtWdXsXKrchJXI7fIrURU1ixd9Xx
1mxJcS/KiadhlPpu47WZsmy7ZFjIFoJGseHHj36Yw8wGjF0IIpfQxVwEkU1VXve+e2VeifNKgVTl
qjUt+eQ2Sn1CkISjadD438s99Hf14u3lkVGFsAsB8GQLJ0iSA9CfKTMZ1PCQTINe1CYHcUHS+a0l
uh/MH6bP7qbijxu9AhLnD9IJhmpeYshBSqfRIezipbm0ERbbRNJgZU0ksF5CzYLwubgLe+ZqyonM
uehcRjR74UGIcuvCUAWljnUtChB8gKgH02i+zzUJJezNK/5WzUZ4jF6fX9lNcq3mcCTBlw9vxZTG
gAXtd3di0UmC8a0r0HZzVyDkPji/z00nwSk51VPYToOYSCelQ3FBRWOejUO8UgI3QyKA3+BGRqZ1
ERWkfmowaeZeH9L8SCI4AhI/es4GCotvl646WeB3is09vG9wDrjp1rILaxN4gfFojS4ZIDAYido8
tqVtPYaOb25AE2l7ar/jc8D/3iKc8Bwp9Y0OKIKvXl3Bg1MryUmhfBFGpr5fefAaf6n7asmI+T0f
alTrXSU9F12i7m2ttzZjbvT7rqYkpGjSLyaBgx9mne060zVfSwlyCotiJ7hG5fxQNYTCIM50Ht9d
ATpdXBtd/7ur5uaXVX3jzbWaXJtOfls1N/sPq8aEqjiDgHTIxv5oQeazYwdwB6mqk66CaUwYxKWX
8/4Ia2t/TExtrVQ9lTLTkOpFlFd+bg7RpHoZJP1KTP7bWpeJNqfWHXI4S9jtkJ1vF4PtxZPQoPYY
o2/CkbGJju2kWjxbhcCxsOaNFh05RLw5924erloLtrvphyaBfAQ4FuvJwZ1+jWIw1bt+YeUcAuex
SPw4hVlchOXTvA8+4OXbBXr2frO3c1Xb5hNsKqKAZmsnJZvHRpfvLhcdsJ5Zj0fRQwtCOlRa9OUC
yhpaIICNqgxbYYU5P7uDZFIsJkbiNIHItEikJeQdcgICMX4s/1ytYLULpGteTSyQNwOF6eEyFPiv
jIP1prbPdtSV2zIr6tu4hLsiCOz+adCozXX8QvseFvW6FklA0zdXplF4PxQXIdYyV40n2c9iyNll
+TZNrWRrRHJ7yDUnP5AmKLe1ZVL50WcIGHLUuBGXIh4slGfbdD2Pebnl32TO/1F2Xs1tK0Gb/kWo
Qg63zEFUtmT7BuXj44OcM379PmjqM7VeV+3uDQoz0wNSNgjMdL9Bcfd2jHjyHwPcTTrPV7bRvy8i
E6SpeelLaNv+UVrS307hoQBSc8oS+ymEltKsuyo46BHgnrFCDGRuU5NdkFcdYCNHr56uxMfZscu1
jHa+Uz3pc8uGvY5fI2WKXv1J+ZpFdgEwlPh44stjdFbvZLCz3PGsl3zvpDMbjNBCAJpd/3IdBL0M
x8dX4ZsytTP1YK/bVJyl6fQoCKPQ9yStOoy+JYtwe0TFauen6fw0kXfYII6Ltjgp45WNSMJ31sqv
aPDMvxzNWwNTglOUhdFKSwf/v7SrH8oy03/MlVmtCgRx3nBM08Gf+9Mza89x66m1cY8Fh42cOSp7
tTvPp4F19mHwfOcSLJ8cG3Cc+iRkf6hQ5DT60rlHMt3cV4bZYWhHytfsAU2arWVessKMd9i+9099
GKcbt+m0L22SoLfvdtV3p5i/BM3c/fLLHBnegO/ajv8mnhIFK0U17yettH+gj8rCRk/C9xjcw7qM
Nf1ZPrnIQLwqWqZvOnJjxqZkZY6EBy9ItenOdeuFj1ZP8VgZEp+CuRF8M6PCJjMDRz0v2x74/nyw
cEr+limFig5MgdbKEpYjDaaqVvXc13n3AD2YRebSD0bL2WR6rB6dZdZocVdr9nu7kNoMLQSvlHbG
WnhrU4Hg1aQN+rkI7fyrjcvwQnNzvL44a31prIUEJ1E9REToSHnx1cLA93cUNTNjLWy2W5Rcy82u
DDqwhQX4eaLQo1T3YTem3JPAQfJKtdZFbPF/s0BE5NAvqyZ7Ilt3G5DgYJlxG5hkKSad5V8uE8MO
PsPnf5TdhG0lzmpw8MYASpi8FciJSL/f2c6xsf0B1XAsQxB1bDHsDfpX02O/6hnZM4zi/nXIQsiu
qqqdZdDRAY8GrqXtBAqAUlt/ROsSiYplam1m7YNp5xcZDApFOaCQo61Z3jnXvFdu+t3er515K2mw
MeWhnvradJRmrei/qj6x7qVlpMVKacKMhZzqPM0QdiXBNlRdeFeGJpJrhU11v3Isll95G1ZftPiL
T/UtWA3h9NCiWPddwzt63Ta19qxBHNg1ZjncaUgBnlDmVff8ge2j0c7xpmZ58G70wb9OluVfHdJb
OOSQSULDfU0yZ276laur7aaPYUTZwRStlMLrUMGLsh3lpeLOQQDoTMLW2dV4UTzPuO9QQSsVRHnL
k6eb5n+OHiNp6Lb/cFFr5XWlsnVmW4UbXbq7rCStLTsWihLYTIxFdqia2LyT3YkMSJyD4s41rpDN
yzTnh1C34PQtuxjZ99Qjxt956B7bHkMSURlzRISs5qWw+2tnV8fu6hok8bfIoeYG8ZS8PeUQAh86
NAv/d9sLvUC8AfFUsruLFYaBpNwpjodvEfapB7dna9dVBnKBdRy9zPN010deeS9dtWZ8RITmIowR
VepdY04fo0boBYdet82zE0YW7k2J9pZ1RX+oLYPUfmmob/lUqdsIt5q9jHYh+XTHMPuTjGZR+R/q
EO29DJZ43gSxEbwYCbK6kfLreoWiydhjFC/XlsZLHC0JPk2lHufUWLQjB9KfFC9L15LGvjUlje1o
fJqMShr7U1OS3H+Zm8X8/iTJ/Sk4VFlaL5dKllH5oBwb733IV3Gy0D7nCuUJqc5luAhswe8mBynp
aXH2I2kc70FVq+iLU7PqWDT2Xa9k6xfGwQ5Qkfnex84ZQOxA0WUsn9VxseEYjXc/KnHZCtx8Y1H7
eXdcJ0GY3/SPbR2dsDWFaqgaR8e2mmdY4e1zmofxzp8TDe4qfXKwzeCbGqneWVqqZSOwzKQ050eY
F92j4vrT99dWT8fvoTIgdGgY9X7K0vNsF/inYwmCulVrvdp4Aa0qa/R+8TZC7WxKh3xllYHzGsGx
2yb5nN6hbp3cLWqG7jQ/TKnTbbMSiMoglnjSLkMkgq6b0jL2032ShuXatvMnnMi7exE5HAqMkKeW
Z7E0rdhrj7mnpGsR2cux9XzybX1bxrzhUVosnxJvoR6bmG66vx0ub16X8wK00AScEcyGtnUtB0Wr
W6ecksciVSynOSvDa9DtGo6Kj4CJgTbincV2jEvjXefBuPYLdT5LM0qLDZJC1utQokCu9uU3K0rM
d1c1yoMXeIdpcl+oSp7ihSci1kZyFs3TPoy7+nLrz1SAJ55R159ckUpT9Xd+rcBZW+bLAUaFedfH
xcnNsGIL4yWFs+hXUtExN05oGzsRlTM7pDqbyfuZuS5cLbTnsAKBliiloVusTFVnCnZLrAxKV4ii
XODaxoNnVNPjFduRTK13J0kEM/Ps/Tw3zer6Xxza2kdbhjsDCB+qTP+Kajw0s3RLdaa6an6nDgTe
VW3HLzWv/1OjOzTDLI3uNGzVZEYVWd5DXdQQ7hqzPvRfay9XYPgM/hMFFu3Mm+frULj+E6gx/6lH
XnMH99VaS5/EAg5CjbOw8730yQG9vS+B14YIFnChKVSNJ/97GCC+e5VcR1MmWYddxX9KrQ0sCDgr
JnfYx8sZ6jQfZ9J3GwXLEyNGmThnv2Xj1cx1uyXj7zzW2Bg8OrhEUNfudRb09FFTZ6BSo0tQFUfp
QgSkVXhx4dHd6er9NWKJNUqYdq41N8dbX2nWI2bhPI0x9sNZFTJ0XF8yw6oweVBr5BKWNsUz/dSz
kf3UJzGVxFRB/OrqKF5KX10Vzbi6RgaFa25u17UMXLcrpJDUjq2xqaTKgzeyY2yHKvvpY8iXdKr1
rcwznKf+EqEM2IkMkX2NaFTugJBF51PXxd+8SFfeKhvPNi/OkeGG1XSa9AA4vN4VL5UBzdUrMIzw
kBfJJudXVens04bjSitN92pJIErxRs3SU6ldeDhyX0mnp8bayrKsGUIY8vNyT8nAdfb1lrvNlHGJ
vM1udLdHeMiv3/Qg21TIKr2nmhsdGx/D4c6LF3mo2SYDzTamhK4XImrTAljdTLGZ34GvJmOMRuSq
ySvkTKXz07jEYzdFSqUK9qatD0cJuUY3FpD4xApBUzrtWQ7mCJ9lNduxWa6kI1MRVbaNxcRaOm0J
uIZdz/Ggb8/mkHTnz2MyOWIbUhZ6cPwcHxUdKmegRNrzULPxXVSONgLZToDloJCOtJcDnltA3dIv
IO6mV/cZkJbzH/0SoZloBi0zZfA2vR2xxlAs79/A67SzkWAiJWd/a0qfUjqUcuW0TDxvE4fcIDJP
SQcchib/kTdvfx55m5xbIHnXM+lrloHb6N/6NN3BaqMYd3/Equic6OSwxsomQ6y2h2QGVc3aMn/o
zME46Kwa7yy3d+9QJyz8XdmCWMpw+VpbrRWifGkP0xHHTYtMQD5FvzJXjRHf078KnZJ33Roru+yn
NS9YMH5MzwC6YTGa83Cq69m9wEVzN9ha5PyOzHxTelb8PLfYD/lzpe7mhhX5uiyCZ6UxZr5CmjxP
GJw8VCVc0yVWDlow2AfwytZKmjgwu5uwB9yPwiXP4LF+AIlhfKms4YXNef2gL4ueZUxaMgbD8lPr
95hELvPMyrn0/ZgCwDSGy42zcOM3IArzK5jVEV4NEXK46dVJc4loa3j4JBX9XaK7wTF1mnseP/qX
WlUxzgnq+3pJOkVzmT/+HisTJ77DHgDaBUlaS8eRuFOdgupei/qqdOZOrlz0Oin3I3lLWDI0bwOW
5HVVXNisJkfDnsFrl5w2UcCO+ij6TYO+KSOr/dHN47QNbac+eVh3PCuD+kvGvWwReA5y+ymAuXnG
kzDalgNkH1wszLWDCuF5dF00xePmQQ5YRzYP0s/25HxV5pKB330ScZtQKXCykDjBIAXB1hzj06+V
hi6PV9ktNyhNx7GPSaQCYwsy7bFEd2MIMTZs1UDfO/HooQxNFGrfy7ap4xbTY4jR6ncyaQiT5K1+
lkvbyHMfurGbN9ZSIC164wwIxDxXpoezxNLlod91cnUfIRu65NAt9dE6UHs8jxRK+b9jySCra5Nt
9goUa7GNAwUIZhQtlmSt9W3OjNcstab/6uqNDR3lu2q2DqxTrX+GMKOm207t2zgESyrMdR8Nk9fE
UPTZXdGE9al0gP5QhNXu5dplH0XryQ7z8Wl0wvYBmU3/EGAwsx14In4nY76mqqq9c4/4h1Jx2Orp
1vhdoT8u6uSCNNvXrsXoqlkOciYHp1dWXeoqJzHAkq7R7FQUR6mMTbWa7uSvDxEi91jFXeSPl3+7
0q+GYxQNP6ULPyEV1Qkr1dZlEilb6ZSDaU3jyo6yL8biZV83wcZ10vQSLVrK0oVVAkC0yT+gUGk6
m94aHiF+siFg6+kADY6GvaKB+iNlW+OuuIvGwcKkWCVLk7XDN49aFf6SX9EFiU6N6aM5nSn9t8YI
/9XGQXlU1RrVirpjdb+Eo5SZbpwpiM4osptvtj2t0c4evpG/Mfcz+k07mV6EzUmv1e7VrBTjDhJV
tZbpyNjyTMP+61J0SvSi+xjPLpeVL6Xk7ox2uq1zi2ENtmgtr3FFw5trUXCSA8zSGfvIZzFVGuNc
OSRRgovC74C/TZqd6ySJ8mMFRw83/5gkF3KcmXJzz4pe9+J3BUfHcxP31TOLuF9pkTU/us7B0bzT
1AccO9yLx02/btgZ/YiT/jlVm+oVjnhyKquo38oEa/6p+ACXgYAF+6jXsgPg+eY979KdzLPCaNyo
6Eycwxau+YyG40FcKdGwtikRxBalr//NrrJaOeiyPE5xU91dS8b4ceLruLx81eUQO/7ZAwh7klag
us5dgyJWmMesdbzc2U5DgA/U0qxldZ2l9o/OU7Wj9PEI8x5cXU8vZtpupWtalklsZ9lkzwaOXgoC
UPIl5SDpA7ubnp1EUU7yba9/QRAUhwTRQAOhgDQ0vwhlpgj84OF3q56L8CGq7C9CtpEW3gLX1pDN
oUTOoD/wi6tyNF71RqHyW+gTeiKF+VXSVV1dgWCnwHQnuSw/9rSNZyL7KaMWNdxDi4X5NdNVYutw
b5fAkReSjBzIPbaZk7xk3Ryc7SLsVy2oIFJvCruovkChryStJAPSBAhRvSROdzGNiZf4rNYv9liH
1EJhhcighCX7EqFsROy4gh0U7Wb28MeScKeIp3uvGe9u15OPLGLKdwp6s0MUZo9GQpZ7yM0ZsezE
e9USKz/GMe500lzkuO/QsSYzv4yaY+U+Nnp5kJYcPHPvWHjmSYNa6T2y1PODtCzbaTHMqlldLZMt
fYo2ftsBklya8sHTuLfMr72bI9M9q4m67wt8MxbcOyDKOlb3DtTyrTnG9RrrX5PlVmEjiNMoJ37a
VC8gJhUIoGU43nQN8g0tLDGlamCm9lWGMYhXnIcFX8cL/NFXHffR0dr8rYbznRbKWzFZ8CNH66u0
+mwuTobV62tpdl24OKaSfbvGLheMxvoOWb3+vg/n8j5XsMVE3KvZtnYMxDHOsRQMjRGBfQ5eGXY7
Cysr5Nai6dFqo+miU+SjfsRKBwIAuQ3AKzwEaEL/+2hKqqirlf+jaUbaR/AfcyVYRvs8tjB0M+st
W9vsgp5ueml8K724dW3eTepGuqXnNtYtAdLHfZ/sNEzbVzL6xzVucQDcMvSGe333R9ygNqDxlWGf
hYrTs1a24xkK39TsW40iiZT9r/mXW+cn8Ike2s2eCv+8PEC7kC0xsgXC6Cg7x8c7ZDtYfngZ5qzF
qO6jlY9qLa1K9RKENcZtiXTrBUKXu3Eca/465POdtZRb01x76aomes9db9i6tRbfFUo2bRrX/NUv
1muubg5b7M3hGC1NMTaK4/q5yR3rTroMqG6XIDTuZcxzQ+yAxG2nKbr3RgHr2uGDNjue+lZA5b9Q
cE5XnT6ob2WVkTlTNHMto11jWMt9Fe7soNbeKtXA0LRxlIOMluHMW3h257txudSsJQ+Bl3mPMpgl
By/t3S+/P66HVcgj/ZS5XoAu4lC+d788fVDe0snvH8go/TAX0f7ZwpQxVttuI01lMjVY0yWI91Yr
3p1u+OVYinOknK1syzG1N04xUHqczRxB6E6zWe5NZb8Kkbdl04kfIc6KZGODwN7o3dEgrwfUP4NI
NGCCcbaiDrpQEI/sTZZTx2sxXWnJpHmeRoGs1N/FnPVq3gqmtd7CdrdJYiyfJ0MjUu4sEJUS/1V7
UcfurLu95BbcCbdHu0iD9afsgZzKYSJ7cGblvZKWoaJ3sZfTRKn+mUAXXq8iXZ+yExS3gPGUSgQW
0Obhs2nx0H1SR9d86jLMkDNd1Xdl2oAbt5ucPL+XOMdrO3PSU9fO2kWi+65sYBSsgxqU89opJ8TM
CudyDc1b4DBlSx1ZYuWA5FWx86y8wJSTT7Mz9x/US36MXkuiJsQXHeWeS+ylHcu/kNeiGmT6QesS
91FCAtcIthFfES9fy3kMlsNCaDkMtYkv6nIVGejc2V8sKLe3LunXQhamW5/K1Hs7xdUOzkDIn1PN
Tzh0DistQOs3zNOTRGRxVe34PQYnAA7zU6Ji4EJuPf//iQgz2AlRxobbcjXuXdXZpI4GsOV6nMwo
OlqK9vIJ7XI95ZewL3IjOF/RLgJjSe0eCSkTPplS7Hjsp6+2ARrNQvrpVxuR4i78X21hoZDe5N0X
1qbAe3xy94iVaee6topdUMTZK8/sj0k24rCt6f/yathrZaZiOs7uahtU5nw3lNrHJF2xsrMFk+TK
1EdOq9xlJKhvHP0/efzaQv8Xvj/+mlm9SpDn5xeo3PFUqzd+WFpvXQ8l2jSU4JeOVDL/yOTJAVDc
VWXtfnc9RVlNXlC+5D1vC0A4qNOlPhL77hAcsEF1HuRK8IHwHgla9RQDUD6VofajHKb6SdjN6dKF
oMq1S6y8JWrpkpaESpfeYU3VcCtL15Tl/+Qj7pMwRHaSqMol2dVbir7Nub+pO7GAu3bOSfQ9Tlvn
eMt9DSV/aZunu8CrT4Xt6wMAQDsC8nnV5sBbLTlgZrzX0n7+wXs3wnm9n++izNQfnQGaqwxESRRC
9PeTZ7eJyC3VqoH0BTNSH6dziKVfswF1sxwi86Ge7Oi9ZaegoUG1apsixvzc6B/ruT8K67RfqKcF
zjyksV+kx66ql5RS3r3wUKcEnRDo1PVJBqsBIYAqM52dTIw6Jzrgtw5YdCHE8vR1z2aG4prMRY4j
3zpejK1a7P5sIiU6XtPWvyn/aWt96r++BxtDv/Zd8XQCs+SJ8bOd5tdcgcjktGF4kUMUKV+rqrD2
ty6WUeFlSjQET/IC5Ax6AGAq1MJDp/xmF1cYys7q2uyULIZy0t87xS/b53E2zK66nQvN26CwEj/L
IWt52CVJHJ+cJbsjfalxsJqgfZLGFGjpORysn7c5kzl8caB3hP8lqCSsBjHpUkrtXYNo+BLpKRUC
6DUIoi0mXaZVAnjseEyZavgCD9XAzDbpyPwto+lUQSYxbNQkKHu2YnfLWi4Dclm4qKyMqNM6vfVv
atxViyHQWPXBqrU684vqRMMWlIBzp7pwefQi6HZZ2AK2jPx7NOP0TRrX004fO/hHXZ082DNQsqUl
hyJNjFXXUeGQpmPE3gmGY7mSpszSbP1RaRLnIl29FXZ7t3LB2y8XUdqoxnbtOPnd/Dxrdv3iqhXp
m1LfdoE+7cV1MnetRz9Thqd0TioqjfNBXCf9NhlPWkvBSppVClevXqRr/6+T3BSu3rSUiW6TcqrO
vKp0bV2hs49LLvgHcZ9GAS06DnqaA4Kv8ab2muYF0rY9o4TzZ+zQ9NFxRiVxHeCU8NKFlsTGsUka
yLN5EiLeqmxUUHtV/ghE0d3G6C/uYFP0PHzxSklcDEP2wjpKDbzE09o+yoAdttQTb/wj6o/ZToHm
ufo08umUb30qGvKhfmb9z2Vvn6XWmHUa7qgq2bZWgAk47NMPV7y7kX3p59B+LAfkSX0j2Um35Rbx
OfPDcS0w+HSK/Y3dQHb4PUmtdcxEcwzqtDn+c5JEuSmqWTIpMittnar9eA4dAPTaiOArtiek8svk
pV74eVmeGQeDUutTD+OYNRUhyC6sNAqb/3jqYKwbzIQfCj3i+a0X+c6AYfXW996XQQmaf3k3k7vr
pndvxOA3qRv9XEYGJrXgnzYxfkU/lg+mKtcdnJIXupMlcJi8Mttamjq+TX2C8UAFUFsfcyTybCxe
skbtTzI69ygAmVHgX2S0UoNT4+nukwza+3IaW2S+6+SZtfhRQsyqSe7DGK0tZ7n8nDXaKffZsskU
+fCwU/V1ZeYH002N76WPnPpiSula3a+EwvKXws1RcfEd49Qp+E/FEG43v0OHqXX+9Ql1yJr8NdTJ
1U9X/R0aD93HVZV+WHTy7E9XzdH+1fWkfMbIotjpba7syUriYQ1qVQ+j8g0slXHGVt3AaHCovmVJ
R1Y3DNN7NHGyFwyAHiT+Nj0cCEON/q/Ta3v8mG6YVirT5bK+58C1SqCEN8Umb8cPjRERDvGMzsXI
M32RVqP7pgGShZCoMmBtdMNZBlp7hqQ0Fi0e1BO/wF7aH4E48qGa8PJpssz5fYU/PlLHlXQTgIa7
fhczg/o3U/FfxeNMNT0yW9T1/jxNxmJYYUVrbmQ805TgLGezrn+c3fo+zZZhz0VT4ON9BW52U7n5
dJ/4gYcNs7aV1u1gAZG/h41bblPbmHhCEQtWmN+QnDoV7ElrCo/cT9P9p2mxj7CHO5BpBiol72F/
RKPGQ2liJ00ZENQ6hvSfB67v5bxhb+KlMIw+7Vel041Mf3e7rFzCXa79/zAgwRFPudHLlHOm+9VF
SVkhlaF+kpYccrWgvLoMyqGZgh6bNNXc/DGQm2p1kb6ECx+QVH5BJop6bFvAtFnJ5L7AamVyY9QW
l6rX7XCrfw12QZnr1r7FwDxFWjqM6+tkpa6aHUxtpGMWK1pZTSCftJj4LAuLLOd/qTZCEh6yAJHO
XHEy+Dp1g+21lvrXmb1fJCdz6HeQbRvKdPjCiDnM1QLGZzsWqll4cqo+0+9k+Gomcx2vy+i+g2KN
e1iqh0D985iNZ4RphkFm8wxQy7PXfkevDFVIlJQxbg9dV/nAQZZwCdTJVR6LsV5Z49DaO8mum0qD
2idSBzvJuIOOnrqV00QqsOcl8X4LSnuboDB3Chx76x9ppSTI1BiYlcUeu+G51b/cmiJtLc3Mg8So
L5yW26hIW9+aV3/XKAS1npNHQVKzyN1nqK3pm/ts20PzpmVO9xy31b404+aNPHyMdbb39Tqm2ssX
MVX+DAZn9BOOKTURElfMbAIDdMI4skpaRsuRjIuiD/1eRsvE5dnnTCwdltHcwAQoDP3uTkZhk7wh
n9gjMMbgIkEvXyw2Cu8418rwIcolNdioa5DbjPxke20uwlwfGl3LiFOaHyNlpIEC5S/96PxTyOs2
IoVfudpfLyQjM1nO9dUzS4lh3uNqbeo/PNV9mmwbKEztlhtjQldSmnCSzMessdxDjBLNyliaMqCm
age3/6c0bqFYob4BX3VO0jXOFuaJNh4zFhm+A9Be/2wPrn/WrRIBRSMegEeQBIOYPmKEvPSh+nlU
rfJf1F/WAuRRlVw5s7lD/GUB8KQz4p1Oz+YOiR7jPbfHf0pLMx5atS2/LJOGqm3W9tiWL1apbnx3
LH5UYJXXGsJuy+IBWB4V4p3OnvRVjd1whW2PuyhwEDLZHTlT3Fzw/22eYeqwq0SUMoJZvi2qoT/0
E4bzDQJJXVim73WvxOc4tsON9Mv0BAZN7sQ64s3NorgcjgEy1BZya9jeImbmpPOb79n2fV/pp1gt
NE4A+/mDlhy0KIHeLunb36M+qLIXtHqTw7yMSnBgjQ1Lj5EWL+QwjqE4vSn1AP+fk2sPQ2Gz9HyO
GQBKb/tUwYkkU8ZHkjUpJRBfAx4NeYR9PayvZI6/dqE6PrqVn/mrGnR6bOjxRfqsitIF8JdzT15u
6/iGygLmf6qM12KZiconi9vjrT/miXGBKIkRMGXIW7/jd5sJLNGMJXvQIdeVJWayawN272k+Vqi/
qPOqWSAtf4lYbBSffHwsbhGaiRK4noYawr5ZdelrtA9+E0OF8Jn4hb9F20i/sktv7FArDn6qUTsd
hUQq/VTuJ2AxeXgfm8W/Ua/PP9i4QqAqq+LRCHrlLogVZ00da/7hD8NxTMoR/WUMXgwj9Xa15dTf
XH1cSYASYmddRnV4JtWiPmtB/NDJng2kDQjtqupeNL/6IVIFkNkblvhK9lTGlMF8Ey26dtEwGJTn
xAn177oZeNuyH70jUub7q499alA/p+w0rJGcSL9lHRB+UWYmW2iWpvefVWdf+8xsvjYtAhIZ2Z0n
JDYSMG0WLHe9s8+xil1M53n2VeG5HBM0XosZ7UVKzi/5qNcbxUrsXbjsR02kxR4rVVSbq0saD+22
s6wDHGZMoL3Rny8OMiJQFOH+Qbf5a9Nt9d3Aa+ZLAlgUQWJ/3gOASb7nSEklmHCTHk1ZWqP5Kd3c
jCF1n+9/RC/3KBXWFwUC6nrI6gfVCvE/H/3OA9rBQ/3aNk32Yphh9YcbACMOiq2OE9yDdDWjFVyW
C2RqrKwSRVf33qRnj8Hi9glk7dXt+MmmWpNfuxK97w/ugEKcP+ZUJPl1JkAnUNVZXvQxKUCcaJSt
NG8D0oxQgEMjy9N2Q9mEDzGLmxW2RVCPdQoFRgaUSZpuhUu2kujTHV4Uxntm/juTbXjzcm1r24HV
IAYUaci9Q58cpwTICfY6e2laav/Rly99/hISNepWJ9e3GRbn23ZQfLhX6Au4iWW+SB+yorXSuM/S
Uw8uD9KCXaJVhI9a34d3cMHqkw3cDMmIcvpu2fGpjYdw35hU+d6aAQUJXcX3FRDDtEfINkIDVlfX
sxH338I6eUyzwPxvjKO1Hnr+T3/s0OdqQvO1Uspx69swTQzHjNZ50+LRaZb3sWrjMkZpIlkFvtGc
PSfsX4LWtA5DpRZrvwQZvR6Ajw6g7Z/SzO5foH4aG89yYPyFsFGGEJ2Q5VI+XuKrwYcLeSMPRHbg
bnGjGdZCDJCBK9Ngsp1t4Iz8mniHXzJvXKOkzmurySBdQnz3z5/atepTVrCTvfTJwSo9vLISbhC9
9B+82eJx2lnlKbTm74GVTI9OX/LAdQdtF5J2ukjENaxmxxKnuYvVLHGDHen72FTxLNaD/uz0qFQv
96PchnJ7xibrmERPHBL4/3NrgjnrzlmTP0jErd+NNXUVg+y93tkyMJhWcp70gxdpJ/LqwaXSF/vJ
bFGnHUHgUY7Vu+FInv8kfXJIltG/hQzUCu9ApLNUjCnXq8X9lcOiIR91B05v1XfhPxB0tF0Z6eWi
iBN8QXbew9+IBG2MWPNrPy3soNx+C5cW1cj02YWWJGMSr48/TbSwX5pwUF6dKX3I0fV/kCGnQeog
11FnlnDVpN5uD7kH4J9rqRo0VnsR5ZPRyc7Cg5s55UYZyUR+CIrMUx2inJRj2KDgxbKJ1T7YVFCN
Lyj+G9cDgin42yludo8PxXSUAb9Rjcstzg0BzRqVerrG3uYGbbFvc+ssBVS1VEkDOT4PnqUi64zx
vs5aUBmq4/DINYFd0z1GrX6Z+75YSXNGm/kQddgMSDMdAWsqY54D0si0e8sGW+NXbbGS9T3LXORp
UvKAkw3x+dq8LfA/tT/tD66ncINwDdatM5ZRyZ0czDSampU7VhSC2hbBM2nL0MwbiUpn75rbKnbM
vaelkOVw/TuL3VYYwVgC7ROvpDk48AARLXeO/cmdxxlj78S8j/MyMFYFjioAlXjfSGcQM1Kzm78H
WlFcrqbZI6kd9kCl72Di5jyFi5TwtNQS5CyWWoK0r6fSW4s+MLj9cb/M0SnVbT6YynEYgrDgeZdj
8vlWoxyyd/zS26ZLExfmdONPWXWc+BG/YRCfL3Wq+SLNvsGLDrTUc+kiCuE1eIIukya7rh6CKPwu
QdDs0UJfPiBEFO5YgHTeecCBsB2p8oveoBy7jpraggnQvQuyThmsctNHfnfoYZ2h+uJ/NG+jRa13
B8ChwTpPKl4Gk1fbB1nYRfodmir6w3VZNwxasOYHWO9lDfexkHP6g1V33Uom9MtyUAaYGluJwc9p
Wf2BAwjW5ZzUsMiqApkaVt8Hn0TuypEVo8tT6WGazrld8yDrG6qxuJfjFNhtrGxK9mJmbuqDS34E
PIIhdubUP/BfKIKto6YBU/vosPCXMQhdPkK+Rf5fDYX28fohRkG23LGwNJevKV/4Nuv6RTEG5WH5
k99lef07JCrobYsCbGhe/3KZTmksOnhW85Sa3TGGiMQLe5HBE0U8kbzDj2GVQHm7K+DZ/48+3hLI
5l7ZRIo7rA2wLIfI6QyyqaWCKFiUBlDQDKU8Ngsu8taU/668c8zrqOAkb00ZvQXbvELfXd/93nmV
g0ZHs/MtE3sNw0p25TD7/4BjZD0HjAgiOfyh2jabe5Rpo6NeufGx6IbqXg9dvApi03sNWgeoNO51
R91PwULbMMfNxI0vAh31bTXhCZcmF0GLyqg05wV7ETiM3oKtQH2COIntd2M9INheP7FN/C67npZM
BaCNIDvaQ1l9G+wTdTzebSiADhvpKvHeXBl2bB91JXW3Wuf0xR5+Fya4GWVvNu0Tc3y4g1ONb43c
WHIXpMMGydr44zbA2cal8JTPn25jBRQwmzKmaXWwDdUC7jno+yzcWJWTHJIJLDyvcR1ZLdYvSIfN
Aw/NSgdNg1oSgnjdXW3qF9AO7S4CoX/dzahRChSQXDoUU7/yD9d2nHfRPVhxErqgLK99MhFu0jma
fmSLgIVIWUxG9z51gEqlBaS6ecqC6j0f4+p8lcNwapBoS9NXtPSIOJwKYAehGcDdrbvJ/hdp59nc
NrJ8/U+EKuTwlkkiRVLBshzeoLzeNXLO+PT/3wxkQ6u7vrXPc0tVKEx3z5BiAqb79DlKqW4kYuA9
eADkEXw8bmfMe3eAhTSqq9s2LECF+zWyJJmuqPseBrunpPHVJ4eGXc3t0Q4Ro6HkF0wxdJj8CuAi
2zasuw2/1MoxoAjyFOWmcxXr5UjR75xhQNFjh3YCALfEUR/YHNAzpvXP8kAL7KGPVe9BjhzT0jdK
7KonOQwm1dqbbeXv5TCvq+40GzPfYS8cnvWmaQ7x0JgnHVG4e+5/g+0YkukGGpaAccYmDwAW9X0R
qcNW07T4volt1Fa4zRyOfdR9krY1OFCU7prVXM0tm2v6kNwDqx5PyyTyA9o5QfZOoor6cTRPhaUE
S9eYhAfJ4QIyauy33ubvw04MSziTt7nhlOfE15L5hXqmtofhjmu94pNbgXdHsBn5zqEUnEvroRME
TQkYmwOAsp5rF15FrSnxy1NzUO2LdX1jkWY5S66pTvTraAPFDZqZwQNliX+JQtu7IFGlo2BSUReX
HmlMFYWgOoEKg6awO6OcW5WvE+FtFA47IEQKsJveu6zrSK+pcuvKFRkeMmLfLCVPK7+tNqFDhlgO
5dypbG5txWhuzMmjo85poIWkjmCbbXZsLNvf1UJoyR/A7wwwLJx0s2XPNo3R8lu//ICnbbfljequ
8psvD2riDXwtyvGwXMciL+j4eaV6G4X5p1cafbZB1qU0tWwLJje/7QRISR5oqiT5Mz+medc+JZVT
QLav058tAhIqdueq611KonN4rCZLebLaNhG5oOx7oOgPM/i+F6vI45sC4uw099wbJWqbS8w+eD+l
tgkOw7IFc0r/zW660/I7rcdoImdh82eDEgvdu6wRtqrQqTea+y7lyzUkKrUHW0H23oEVq0pipIpV
pINTrwMfarm0kNWpe8ooSNx0g68+0ovXot3qZV8HI7rIHVQLh0VhkhexdHBhYAa/qEPb7JUk4H9z
suni6t5wG5hzfZ6B58xdfZjazOCeGLS4KJgsZ3IoHe9spW8rcF/xBq2OSql93nmxgpxHUZnxuuy6
9lDysL6Z3q5OuYymDurJaX6UAcLGmVA87oS68dx77U02DfDg/s3eByP3kzKk8DNBN5g9O3EQXcw+
7Y8zGWpuCSmxSJs8FOwHL/IsjT0DycHhixy9iVtDlIFqaqJWcKO8W2Zdywo8Z2frfUHejgdeHe+G
2tQa285Ryt3qUIMh2ppJZu6oSvggASJ41NERgvNCh7VA98yTdMiDSpcCRPjyKA2WCJRn/MIUdxV0
2e5kb+nT7reWyga6QH4coIBg0Vk5OuTZ74k6pBvav1fqj3XeOoXUd7QtQzCpdlVuzYLPetDAGSra
+QKSv4+mc4yVBM7XmVa9yDLzOy32v8mRtIe6qh506P120iYPc5a2W2AiE0BW1pG2jL5BuTSSfMHG
cQEpTAfL8t0TXQT1nV9SCtZnNgNs68yr1LnyAPMgKZIMB0t6SNtH51lXAazedRZyJ1V8NUtSAAu+
OFd/jGPH3azosk91faAD2m8XZLLmO/NtpiPCIr2Ucour7inLzFj08Ef9RYssY9eXhbtDr6u/2rbV
X2G7HK5mbP7luFZ+K02msC9OEZaW+9LWgiVyndhzg3OrjuVnuYLm87eRk3xKfzs7m5PduobSvSCd
wh292ENtJ6WEIMRAsji34AvJG/9WmzQwIIXakH413K1hPMobyb4wt2yAkw9yy+DzoZQjv1fcjakF
Ji/xqLfVNoBzmGaXYfSWU+r4cGxJ63LaxLq+V70aRuM1ijJjc8et53Rr9EaxXWHoXa73hxxZha2R
AXJYHXqOuFJYVpc27D70Gv12sqw4tA5tNhM9q2qoL9Rpq12rDO+sRNpil8VAWUj8ZZemth5heC2B
tK2l2p77XodWHdTAMv+62qeeagpQnXG/2mSIDkcN4B7ly2r3XBJEKJdofK8EPhaeeR3atDz5Ynvo
JGe1O15KzTHvzFkx9n46zrCUpi8mWcQ/RagA+7wJHfzEugOi+RoKB9lLWRi2DA1AVh/4ZpT9C4J7
caUVZ4k1k4g0+mluRqeyL383mQq3CBJ5Ju2W6i1Rq+nXxBWkJkxy4pwipxLWfbmfRuCom0kZq+Oo
qtdVAgWg8XiRDGLS5iV2deysiU8zdeJlljyVh6qK6uPoD9dacIqt9gR5jDv6AHdKrafqxi/68Dqz
69q1Rtm9NbrC4ypmeBv16Z9LNEQ7QkVZEHP5Lf3cRHhAiK5hlEIoKieIQ+ulnzVug29Xe+xn/aEU
WYGxC4rL3Jagm5RiOzWk13fS5iWxEP0EqrBtrCqCFYDAxZjVXHA2xQSpqcqkQM/T5Eb65WEIQLrT
eAOfOn25l9XxOtusvNt88Gm9CbZJFCQX8s3JpezDkcrvr3HsIjJGg0Sxab0yuUjHaIV0KMjTvssF
nRYdWsvEWgRNeZK3O118i6AuOPopPUHLkq48VRrxf/7tYeF9qLOiPvUUou8mdc7uuinM7uRQnkkb
tyjwQf1TDNoZ5M+NFtwzC0SjQZw8XVfQXc2F3t3MKXbZEJbPg3an9k13LVJ6HIcsTf5ogJe6jR/9
aeWeDYePWj5SJ2mOJHLzG1sv9OfISf+UEXbu35V6lnyGihwmGu6BZM5jFHxV0OKg08WeWv/7UBVD
UBivXs9wX4MNu+6PMIXqfIcjV4/3GqjzkwsZ1k2ZlwPwvJQqW2QEX9XBuVgWKemoVbY2fGPf20Qb
0Q/Py+cKwfL91KXeWZ8qgALLeo1Rl9teBajqpmI3FcOhK6l2pY0NVQWPg9hpjiJGqRgvvLwisKlB
CUhbLmPkHNJHSKUvZKsW5clt6jWhsqMmqW9ABCoHXex+Ir9ibyTOJvgP94kfua+BBnSjt6o+fecm
/zVExqlFo1+iPgMGaPXmRtrkIWa3mrV9fidH0azTftqk9r5taasbwVSduyjifqNoj8jBIOryyyQj
pBNhkoyy+FPGPc8h8yxzN4/kGbZmB/OnqY2Ppei6GZtOCCaAqaR1/CvtR/o2coLqoWrR0hxUiA/8
rkG2JIqcbZBG7hdSqJDsBf5foPV2QTKd81mpUeqmMTUs6vHS9RUMhrKLNYarKyrzRnzpftpkoDwo
g/4i564dr8vcZZkMIhSxsjqXfNroLttKHIZEbAxJ9Yr/lDZ2DA537/TPgeZYIR3rUJ6pb6PeIDvW
MLjv1nXkY0SJaFIf9HnvyaLZCJ7/yI7FZrfBP9yp4TYhCXgnR+v/Acp2PtHT/D0yz5GuFy9N1UcP
Zt58ymK3+JSQLz8GAGZ2IGyLT3YzKiBxcxqkxbCzmnijsy+5yqETXrg5iimvOcoGTlao8KzIupFc
TdpkIRlR20/8hiv3fpn9kOaebsbD+CsKWqI3UdoQv4myW7LAkedNn7kAXsAkv67VGcEPyf+0rKWP
6qE0fMSKKiN7LhBm3ZlZGN+0XpXBQOaHpygrXADlePuuch49RBilMxCm1G1fXIccTln91QKzuCmS
fLjp6AR/bsw52PSCuXwaQzhnYu0zzerlfp6r8FxoQQRkrOWFssfpG20LSyhUATCGJrn5OPUmMNCu
8blREzdjbtynm0rUvejWBEwdQp47pei0ujlMwcWPAJ5FlFX7xyIJw/04eK9n86+z1bueQVE0PI6g
2vf/Iq6YQEFwGb7xM7PUP7ljvKUqNIFlBPutQgGxjeEz+tJr2dOCk/eqm9kZ+x/50HytFcTY9NB3
wVUE7kMJ3zu62bSRIg0QwVvIOoWiVhszEzK9LeIcm7oHxnvf2R+WInPPDtkyuxbW0KQ5d17XfIRe
6MCdPcKdg9nd9GatH1zgcV8EaKmtvOA5gpv6Ytc+xS5hV9OZq/pUVcBpi+FoIJvyOE/5WS8q68Vw
I/UMI7sgGDbIu0/FcAuvKehgMUTmk64XpTBuZPBUDVRpbRRbpDcox6e8D7sH6TT1Q8cb/9L0BXJV
bvgMrbR6NvvJLbgT6I9j73Ahyj31bBvm3FEiB+0717VStbuC5qXpzyAZ632gqrdFneuH1qCbL/WQ
1KIBTNtEiZM925o1PlV5tpFOSY1DG8w3KyDDKk2aB+6wngN24GZw6Mum+pyxdXPrfvoKDpdbCV+3
7siNNPfNOLHdcv3gYNBosl8acMaUJDPJ1A8rl4hszymtnpL7L34REmOHHCLE01vCEBlo9dmwTfrU
QD7HAiknDnKen/rcw1BYtdilI2O6K4bGejZsTbkbrLRElMKynvO6mR+gC7yVIyXChPh0EXXzB2lR
s/hZRQkU0DguXYMsxbHD4iTX0nrSkTW6gQc5lI/UhhHtTkjZUVGMc1vdT5SLV5GmBE3PjA0X2Lki
S+cD7W71GRiVC3GaYAdCO1fUi4V/dGtYwoVRBsUKPTIHVYylUe/i15hlzhqZpzaJnjm5QVsvuUt7
vW+peHM6B3weAQVqR70v41tTyRlKjzx4uWV6t5qpO7cqxfmw6uY7ejwQGJentCTT2af16GjHWX18
734TuZwOkaNweZymzTL2B2O+g6thUrby1K+Qv0DE65hbv2QvjSEvwl2R1oDdGh1GPVHyospahouQ
phzLwxIpT+uexjWzmeONbLSRNjhP3eYAdcHPhoiALu4Fg9Yp8XzrTslXiRR7RxyiN+oknQu2bPX+
cqzws9UZZu50m8b510VKUi4s4zxFR9Qla/kcwGYFPojbfrWD/5P8mZLs3Sblu9N0F2PUzHu1Dax7
OtVykk/ldYnQnSQ4IPk+bdcQV6vM+3Up2A62wCx21pyxpR/16GSSY9h4k9I/O4OTPsTFfJROaerG
Yu96dvNYxXP/7AU2NDEejVXSOQ3ZuC/gLzh0ozpce53GM9MW9GFeEu5lqRv91OIK9JVkgjiz0nMw
RrT9bIMxd+6lykrvAYsZysmDKAx+MCm/EnglPIu6p98uIdKx8bJuOL3KQExOqB17xIwl61ickFAv
gsTdyqFhJ+MuLoJ68ap9+uDbg/ZYRIr+aJai98b5ye/sh5A8CCpGsw+hORL8znLYz+2EEB+NoQPN
/vBsQwUd5ntJBb2ETrS/AMSfPrshVJ2GZvnkIgl7t6IIQwNp+rwSS5caJEBGbPN9g2U9G5TqYlqG
9QFZr4Qma6pHss2i7yDGhCVmcQaim8J2h5eyK+uLDJDxYAAB0Iq2DCgMzKs3Dxcoma0P0qRNJE48
Ldw0BUuHAmfBd3t6oJXQhFMPFh1fIDHkwVQ159gl0V+rSZ7Bd7RrzM6/yJFco+SRtpYjui/EatKB
+p5ztBrlT2mSYb+mGxOJ+eWBIUUutLJeYMwQP9nwF9ITKgHJCw55RTOrZVKdJ/3TG2TyCnBOBNQZ
QhsY9P06u1nmrljnJKMAW/LBACJF1jfJz5E2a3dF6cFIkoq0sObdJcIk/VIL1CtmcPByjFN1q4NV
/8ElQ7tbimW+Wz+/G3YGTaSLtxry585wkmM6Gvpj09GFUwowvKwtlhWfrsaJ/jas6duRpUYZLL2y
1FiLYDkXNkL/SdWQQAbcBsCCghqsDVH0VaRQ6LyIzYvajNq0m+w25+44qNjB41Egu582y5ys8bew
4Goy7bLMybiz2oZZDQnwsYyKDzKDlPQdDTppEh+Wvup1LHNRMkae5fZUb9l1Ra+BciwnSveauaKN
GsCbTB3ZKdnZ0qUYtNAPSToiX7Xcs6+5+QmyqEMiCYsGT30SLb23hqQlMi3U1ZZ5cLEdAe6dZGpH
JnPSpjXojyy72zXdU8Xjqy20Yradmi0+XV3Y3SqmGDe//J1mM17XeD9e+hwzSMTs0DMOpcUNUtm6
L36Hzqw8hGTDr4riOtdJD+8bU6tPSNPBg5oBf7tOCK3sXY38tAyWNnnWFCRXo/FmnS7PlnUbyFvY
KtaHpCKpCGKFB5MPDTvZS+9199mgmmhMNmVpIFRnBSUJv7S4490q7uTZeqh8L3x1v4up7RpP0GvJ
qRcki2KFNcSIEEnTm/Qsr03rBaprnQ+qGhTHN8rI0iscBkmc4yvIWgC3fzlQhvs5Y11KARQhZ8jr
IrwDxW2tAxwcCs1HlTyJ0F3u0o9zBUcUebSr08HFP6eq/oQU3VbrQw1huPwoMrTPMrJqyA8mc/Yo
RyBxPmVjWS/zEBSBJxwamTvpRABqgFkHzka5ameFzs7tIRWQXqWCwN4TuCg51E3YoRMTxt1CPqGo
gvBKr9kdiqF8uvUM63LoznA+RfmZfieQRtCxxXedb9BqkPnzT4PbjH/4tBUe3gRpvhrfLeMl0vO5
4m6RQovJcanV1tFz81y1o3k2U4T56Dv/UoiRpmj8W+Cnf57KGB38PbzRbbSXw3Xy1JRRv1mNXlxt
ARsEd9K0eNdoRQXqp3gaH/8bZyJJ6SG/dg4dtYc8zu+Xs9VmNjX9TE6KUHSco/X220A52ezvKPCh
YCRWGiAaOU5KM8HW30EsZVnHkCT/BC1Egi6DZQ/L4ZfX17iMUaPCEctAkKB3dKSf+YEwmgNkoQ1d
LUX4wbX/0ItYe5Tw3FLr8oNK5+ZO+uTBK7+rIkAO4IZ9DZDxgdZ/tEOyve1O9Ihv1v+6RYtlZ3YZ
unDi5QBlC+nx+lLIQFf8Z/Js1t2NDr/BabUvM9axNgS7OsiSp8F2tenWm/rq2ObzY6+I3jejuaZT
nX1OM5QBIy3wzo4TtGe3Lep9MaNlWUJE1sONszXQHb+UrmU99ZP9AQJn5wul1gBMzOweB/r9PyFQ
tWnm2fmSFd14k1EpAXdAmA2uzssRu+kyTTvRI41IvQiLCu1rYcE+Cd8tiUwdpiMZTytnDNNiMlyQ
z9lNFhjw3o/ultaaN6fd6IXbUoEsRxoXaB345vht6GLlBmjcJ4Oq3BomQoIDfQgHQxTNFbX94aq6
f6+FtfNEjujiel392DiwnV4CN/LppMns85yBbgDuRYf8NMYfmih3N4anFnuEEef8pKItfFjQCb0/
Uf0ajU+qvplorPwUO0kMUxFqtiRcjU9GW7mHDqQqqWuGwWBA9KChDjTEFiU1Lu77KTZE3z0p3bBz
kZ6KIQJDXs5FyD3YJCWv1+SRXoDQa9NUdc3DmcG+74z43nPS4DamdHPSQte6A7+X3PhgxUWXSb2D
fNP5CEFHC+OyrdAblls7GqMt7kV6sqeVRvYLChcUweSpPMSNXrFH8qPdapNzIsczNlXldlsfoeiH
IdH0a88v0YqWlWeD6oe7AQ1J9vY/YbS9VunXAZJqaVohs8oUR29i4QY2jxX4g1vJPxcUKCZ74XRe
CeumSDDbmR0qOxNU86jW97a6k/6o8oFEhs6Pdxx3cpjOcbbPphoF1hUOIsEfHox6WzDe3V4O5WGJ
mbqwENDAb63dmD2JHMAkoa1vfQHfSCvA0jF7aElQKg/5pzT31YfVYAFdmapeIaMBHapkPIXgYd6G
vjot80zBiQrQ0T7oYd/RU8NQ2jIzre4SR/kgTXIq/YZfMzOGligLQI2HrvIyQEN/mKeuOchhp4Oz
rnoYGOTQbbSPRuZHD3LkPUG4bL4kftU9ZFr3obY65SVuRu8k14MsBbayEFL9ZHicm179Lk6KIlhO
xv+w/JeYYGjazxE5tNkN4OCPqxcbAODeoF3+nFpDfnaTCHwYYKyPjRt+Hzxo/A16l2ECr/7ocsri
s+EHyBr1tBMGs37rNx0MwIXSbE24mb+VfLLDKun+imr/a+3m3dXoQF1PLpvw2NWzbz4d34g7Gda9
YrOLUiMH0AhCgN/UwP7og5+H4aqHj8IV4jt1mn+bInM3AiX7ZFNdvLXAyN5UsD18Ma0HuWCtqM7e
nPPhCFv3+DEOaW4TD1SqRgD7Sd2hgViNj7YHJNuDIuo5CcZjaxv2bRjazWZKR7ayTQfap1PMvXw7
5WdCvrtsug953JmX5b0WnxUrGjqI8kb9drXVYRLszYkqvCqXq38tb80zhR4/Oi76Q2utMR7o8nJn
7UZWDlf7UmYU3mEi0Sq9QWfeA7sqdk2glpcpDcd9nBbms1Mg56fqcfBnRoaRHyTzx9ykD0HpdV8M
3VS3OTdPj9QqQD7zFTl1tplsE0PT703LzzZhb7rPAeiefezN2TmrsugM2Y2yd1VHfy7ciipwVTl/
BTtojLKPsJ1cPZE09EU2cW7hrYpILu7dNiWH6LuZtnhgVGfsyMhOkKGIoHUieaKeXsrKvBG0Pmtp
bvLs5NiOKl1LlN3WWls5l5Sy1jjpWWPkEAHYn8W8tcInPTkFuQ2Ahy/D2AZbCb6QMIyMr9BucvOQ
76hFd11elOiFwzx3kjESzVElKhhNO3mQpjFqmstEUg7FPAcxFa43t1x+AvQgyuRGMbXqmhdq3v+p
xIr+1cj0fo+kYkg31mQ8yENJ3+ZFz/KbGgq5xSTtqTOdKu7wzpFg05Ym20RIGe0JqMvEdOmovKS9
kUvyU4Z4CH1oweg77qZ0hz0Z8fYCwVX2MAle/2Hym0NPrnXbRWP2sDr+HiudqgE40EecZSvDtD6n
XVFJ5jMki6JnxP6zEOw5g2KWkMop/U0e9v3RaMbqIXFJuqcwDz6pjvahH2rvVHuNnm+cyqOpoRkd
f6+26s9TGbBYZcAS25IMpUAa9ztplEGV79fWFinw4phC+9KGCfA9rbL8c+l+oK/Ku6CO5l3GAK3c
nSHIVSeNi37ulKhF1GM13M5G9VkGehSngWCIBcbavQvqNkJ4T8Sl0xDtLYMXScbMNFJy/crHk2Ll
6qGmpVXcpAxf8j6CGzTOvo/QYcEJnmcPDnwQ6JEG8jZmiZDgOdvR3kaUYII3BjD40Omjz5FjdoJR
27sg3Tu8uB6cDJi50MMdrsFv57Ze9NnvrWlXeWN3lF5LN458tqoPXdqpD50Zfy6KKPqMSpd2Uzou
rdsWQoyvhIxadDc4TXBfV3pyduvR3ZnshL/1YO0kIZNCqxu74pA+T34/9lIbr+4i4Lqxc+WfRlcp
Dj51A1hYTXQgq1byztcqrXP9b/PQ5hgOGvfiKAA6xTU0g/s2iFzyd2NxtfWsuEq7PPu7M8i8EFiQ
CBEOaHPcYytmrVOHJtNuxzH94uQw0QxaCZ076AhPYCJCI0bWSpxBmkpnXhN6u3cOGRwNRXeDFFKy
WWesq4j/75xkf60WPhC9RpI5fZrrtjzCoFbsytovjig3QpKZJPN92OT6zdyU8V059e1dopbdzYgu
OJyHkOCq/Ccf1RiJbXfqh29lnF+QIRF0si8V4hrBpraS+zJXg28I0+kbGwT8c2/S3wI2mT1xvel1
X7tfDo2q36MrN+0UvTN37xwJCHBaKsinRIpn2DSXiWg33hsD+L3FFvS+cXZhYYXhVL931BmZgkSp
o1v5SNI4Gdl38DjlFvA0EDQlSrqrz/Nqc/O6mFLfhZCjSctdHAUzciwMIYSfIIuGB47b43QCHibA
NJrufwcKrvNbL0ZDwW5uveAhJfHdSMAySZOcsF4IYzP95AZJdSPT9qGh/4g0xIbliAQg98XydD28
J9eK8+a1cue0T7WgAbKQnizSyP6W2SpZD8UaHk3XtW4m2FWP9tw5VwCwDXtAt/48tMoj6lA+Utm+
eQwAQ+XN0H9X4M4WG6DqWfcQQOwRoTqrXq+fkJeiwyT120eS7LAxQJr4JchyaAFN40eMCgDk209p
PeqXQcpP9JG2eTdsqjC/8VQ9I6MAoXpMev62FT/p8nc5FqKUjWZ+lD/w68/6GisdayxsTx/laLXL
2CRCR9KN0F66aD70SbADoEuThfPWqWijkkNHm6Nz4wR/ydFEF9gHutef2lidLr2f9x8MK4tvHNrD
YZbH2dv5+BQHi8+lF2o7A/m8UVLDvkcYbLfy4/qNRcfkZHtbavxqSl+IUPSrE/VUjXX7NPcvkxW2
12QOIBs2/eiWtC06xaEOaE7YVofNDc+mrupXWyvOqtyIbkMUvzdrMBcL10/Gs4QudYVlo+ITfF0Q
T+/gTBLY1MwB71zoL/inSeKnSEDsuZ/MN7LqrtiJQjfmnGymIndg4n0uASZ8sKjrPQcDMqbeHKt3
MnQ0E49mBUUT7T76HqlYay/fFFvtXxx77k9yJA8AYLRb3+a/Wt/iSTl4zRTAIGBx9Ti+ASSCQ6WL
VgPMtaAWwwTmrI0hYIoSy6g5oxMfyVA6CHEM86kyM3XrQgZ5Ay8E2kEOjMKZVo8PdHS3T2ppRqfW
CfhWJSpDbzLvSx82jKgFcLUC4+Q3dZbfY6ttqgPVjQH5kl/f6+X2VbrkTEuDsjqxaBUURWN17n6M
VjucZYUY2tp6H7tmsRSY66RI7mivpSlL1JvrAvIrzb8rUjt5pAS061BDAxXkpP4uy0MgS7+wsStK
Np2exkK3LhIyS2IpvOklzxi3soZGM1cqJElks2921v12/iANSqom285toLkVfj+KuL8R4TrsTrS8
i0K0uCw54lC1bg7H5T5NRutiTgXXLGmShxQNZ2GXgwAd5wU6UHt8m8pgulsPc1/SOBYb411Rd0VF
6yBje6gh7S6Lk4yTpnWGPPNGlUpSeR0aI7rrnLACBwr5eAdiCkmYPPwc5tlXwGEDr/Nr+5Tp1E+j
mQ1fQld04PlB8jTW03TotRBy+baL7lqvv20r09wgcg7ZkDikNM1cld7xD3VUaotD2qS3sNzp2qE8
FKHJvJOm1rPIjFGJvylML7+lNQiJLaupHwvfROl4oG69lE7kOKnLn+O4HvKTHDsVCKptJuLluBFd
SpXZozTSBNVhUimhmFbvf2ncEjJP+BjjtD95VBC+jo3gJYEu+2EsZg0dOwSVFXOOHv4+aRTMj2JS
Rk7v6ywmef8waYSdG6mEuIWZlAx4rSv6lUzdtirRP1H1nLR9zCYSEobgQuMSe0Jx6LwUwLYdJLer
LQCeCGFRPeykTS5g0aJ17C26uiuxn5Q2LRcSow5FhAYJBRppOcgzeQgyA8lGu+KKoamvDm0MVOAM
P4fkFAXz8CCUXpgrHTJkXaW0snTTmgA7V9u7VcpmgFikbOnz/7nwuogTDC5ttOfVItdZn2tVK8kx
MuaHd/ZkYPM/l3F8rMQ7atoClEKvy/J+u/74dmiwmRmGurvK2E7/azKG9BFQYn8qaYDdLHqZvg1n
XWT2Dr2T6G3a+lg/GMq4XfQvB3oKD4PZOLtVQJNWrhNEieWVzbT6xF7maBSpdVwgEhI8sSAwql0B
FdGCrKiHmlSBp93OWgTHVOZpm1hrdaRk2+m6HubBmK6Fs6+8IrrKUOmT5hms0E1c0SyyxkdIH+oA
zlku8jLwMWL+6pYrjOFBLrea5Vmh1W+Xe/dg65Kg8h/4TsSnpbIUu55zVCLj6V11StaiAIM+pTJA
VLfW8lSXmMo+CL1su5azVu9SrVrHsjQWiWij85W9fCDpdeotpN/+g2L7f9jpoJ2WWpugH6UE/l2a
ZElPHoSpbRBgWip0EGgswxXQTduw4mgPWZAH97PihB/Ngd0plX7nLtKK6GNSI+xs0CFzlF4nnqt9
ENfmQQ5RZqf2M2rWTgZrM4VsxamLrfQONJABweLjGoil+npQwF1YlJMZVWGqfSitr9K1LIaiijdz
zZGjymye5LNKNdDsJCg/jXy6aOKpwj9NY1BBa4ghGrbReTlFnolTmAvP8gwuyugMGUhLHhvAZGH9
oYWGfaKd+PVgiKE1d1UOABej6ik2VK9u+Toe6qD+z1MZusySC/zjeH0kGaMBTdlC+9yThPj5FBz5
wHLsOJOKFGS9aRU/OCcNNWvPHMPzOoyErZynhGZAfXzotcG9eRdC0TFtNkuMXELOcUYjRo0FaRCx
tJwine+WlrbVIePIFP2RGK5xWO0lydpmeZZl1s8HV8vgEAVJc4oRQjzJs38a/i+2dyv/96XC3z2N
tAn9ZLM+wf++TJINXE/+Kea3z8bTS7pOp+lBzloeblmGNoC/PfRb3z8t9/6pvo1/45NTl0d4Y5WP
vjwiKmJ09krDfzynf/+4bx9dLiOnNkmHnsG69upZbe+f1duV/ofHz1JAD+/foDfjNw/75lQ+rX8e
1/rM75XjV2xJo/xUioM8Gywrez/8pxAZJ/BkJ3n227lryBr37tF+u9S/mPtuqfWZro/22+Xfzf0X
j/b/vtRvX5dOUR4h6Ib0XLz0v322q+N/frYKaioJnQp/e6f/xT/929cUdT8yYP/2NVmXWV+Tf5r7
//l6/Hap3z7aP74e67NcX/nfLv3bkNXx7uVel7LhJIuSAFKXDtk7dzNxA3Gd2D1vraFBexRcuQbs
EGMo0DF9R7t9UmTeXgZK2+od+pheB+FdHcsKIFnxGBaIW7EMZM2vC8phAFPPFqo91CTmEsWKpt5V
xqhelCAfz0kRKNBPONMXlwJ3m0f6Rw+BYeBzqnHfi4MX2e45Th2Y7xnJQ0QbO5v+bLrJg1iwKjWK
vcwIJsBsidlpS7QMlFPIQVCVLMrTuoCtDME9VM7v1vWMGQa1FB1Qf/SCl6bR7E0+zN1dNRjhCyXg
inpybp/jsQpfbHf6DlszmkJilMeQOdB2eC9H4OBhDqShSI5KYyYDBWeQXDVIP6iDF20K+AkOZV0J
oSnIsE5vTk0/qPXtCHzo1dqvpzKW9EcDmVwMYUwErhBwuAVPMywTO9f2lRv/c+B2xkuGmDN1ofJD
rybBp7F13VMYxujA1wZERj7ba2PM2oP0NuXYb6NE0U7Sq4/Rx5GC2oPt2+AvKGpqohxaQPG6yUC3
f6Ox7TvkS9pTqMawqIeR0ELIh29OPm4pTUQ3WY0Glm+Mw70Dg+09IgynqM/NO08t9WhvKFALQDVz
XSNKiGGujfZNWmwCbOice++ubRFEFeuUveARJtV9i6SHdyEx+eIDg0BVSh2efYiBlCJ6dsg8IHJ3
JtngHExEz+9tzwS718KjN5OQccLC/ojQmQ5Z45AhEMjQtklHQxMFqEgMq9D1b4Cd6zuo5a2PtoVM
JgIt/qsXXsmbOUhymoIINkZ4dDNQuHsZnE/0ykChZL16p7k6xP0YHWRwPtM+oMHQcpDBpmkae1gM
9MULDLXba14fQAmrsrKqpfsUCpAbGVwUlbczJ1W7kf+CQVILPSUluJUrp7rX7Ng2N7dyrmmAzS56
y7i1FVS7rCok48/TRbepz88l+YRPno1qi8s2c86T/2Psy5YchbVlv4gIQGJ6NZ5dLts1dvULUT2B
mASI+etPsuhd1K7T58Z9ITSBMUhCWitXpvboaRYkEqfiiBfnmPfw2Y5j/Mo6JfZWUqYbqo10SM1r
YJ8/UC0o9H4h2ia457Lozl4d3OttH68d1wggAK5VTw2CNfcu60C8M2Ulq437PHOvWj9UT6yp1FM7
ZH4Yy+QhrrQXDqjZCWFq447LRPptzXso0XWQJW/z7ph4dg7JsewnuACThxow8V02gedTs0DUnhi6
eAuMP3hWPMt4bRNwI41mVt1RtmEcsg34JPJJQycY5JNELGnhAOBdKE0+WXoCxlCQIBzTBJFZGC/B
tpS9Degfux/SioOLyOQ3BozvobVBrkRlEUKMb44ettsyBEc3ldFBZuCjqhMPBqHpXGpnlrDKwzme
gsgWl6IKs/Iuqm31O+HF0aRw9jCyDtQWBqIuEudoNgLdObB7GJc9iaMDtv8THahKYOjO2VrP3gcF
WbIIwCQxQjzRisvoERBt7P4c1bykvYTrA6KX32Uj30CzBKKewYICj5L1pg75sIVnoUTUzHE5mIlS
0K+eCutA/a0JYKdeJQ3443omq/uw/dVEbXKGqvtbX3nZzq7AnDaKgAMBaq4j0PAYrnkHwcfxGlv9
WjR2uk8HVe0cWYc3bP0t39QKfpWpfp8j7nQdAZe9a1P7WHGFMFvgJHyWqHHfuPKY8tq52ZXl3LQE
cGZzhN2XygzJQYWJKWeloiG+GYazi8EzeM7wgPsuDQ7gkNRAh4dDxcNypzlhtgKLgnZ2LLvd9nGj
VkBd1TX4thGjMielhJe5aNtkU4MZ5K6Zol0oRW1c2Ig3tZ4nfhvBnmQA9JB3/JLlQr9SCUwMk6BJ
5AANhwZUUXl6DxJCsEtTGXeMBO65HOIVk0e85z9zyELeL7L3dg1dMQHMy5rK6JDnXn5lzjN01ZOL
CzfWNWd+DpHwJzfhTzHoEO7LtK6euwkGaiEg7aypsHoGlx4ivREDBMogbM4DGcqbZ1Tyhm3Hbog1
++yC0gBYANApYtA9TASQD4Uzmmun0LV1NHkDx6LPD0kIDAaPRDPR/a4AJaw2QeXavhuG3cmt42Na
9u6tcb0e0RKRuQmUSN9aLflWl1p3i4YKjxLEpfCCVtnK0DR4jHI2gJFyeOdd0OwsgGUe4AOOuL5u
w9H+7Wr2FfI9oN/IJo9hxUBjb/L+kLowQfA6zh+pDNiuc2uWYEMs8A1ME5nvmSjHO33Q+A5ukdiL
gOXILHZtKinX4EYUL47q1ApKdQrIHXVunY6tKtfs4AgZnDs66AoagUuWUlw62R5W6ce8bECDTmWt
NTn+bNavU2Y52wGqZD4Cqoe7wYXWd+iZUIR0jPQbNJl8L9FyH4S2zj4pbeMZ2mPxumMg1Ai5Zt2C
VPMhEjUeW3t6QhXU4DallmYrrYmfh2iyUsO9a1Z9/8ca6ndmN+arDD3g7epU7EHbkm9tAIbt/gIp
1P4SYf114HXdQ1A9MtaySJhvg73+zLIqOA4KhPWjeQciX5ChuMWj0Pmm1RRwC4P9nbcsvbNGWCqD
ELJDjizyc48gxU3XduOrVkPOwdjhS2Jqqzxn3tVZJ1ZvXymNqFjvWlrGVWq9DRwtcmFQoU3MvRUQ
xXy3lA2VU2xCQxlrOosqjHjU970BdsulDAx5xRphj2+Fjp1yAWDWc5Cmv1PRGL8tr1qNslFwf3be
CqEo+UMjQHLaezq03k1Y4mSrIYQv8aCkmudvOcQ7Cy/m1xbekKubOr8H18jf6sYINyZvuwOvWngP
ihrTWSAR0NvmD7Vj8aeqcYGtAvrNad36vsayAqTbQNNZnUC8eVLLNdXmAdTMo7E0d1pXp2ez7K1V
C+im4qDYtNujYdTqmoJA6GmUiNq0hdUDm+S4+6grw40LRMi612v70oNHcqePsYRKsWdDpQ1BRnWv
9kan5M4pZXaLEFoIMrc8/JmF9rHM2+Y1SSvY8jLeHfQ8Gx7cDtMjtdDFcLPCznvWoxqiLwgq2guj
CJ9ADfwj9UCr52TtcA/J+XiTqiY+GZayb7XrYLUJErsfmep+e7xzHlpowmA1CRLySrfL97zYOlBI
WxlQMnxi3XAOvc74Zli5sR5GZp3R6+UJ1En51s0FgPMRKPNCCamrQvZ+ppzkR46QnolZQV3dGGwc
Tl+dirSWMObHzbZoDfVgR6wA2VTtvA2RfR1VhECBzD4bdhb/GS31A5Ff5uvouOG6g+vnGpvQn3eU
pu/A2AYCDQGexgjOF61JEMzODMDPWHUP1vLiT8smenodFGqDBZaqIns09Mr+bSXWxnGY8S69rvSh
GJXddDuO97rllIdCmummKZrErwN0VLOx+H6KQLqKqmF+beQKUlI9wBEAp2HJB4batHrDuxRrEXo1
NLCr6tC0uBqwhggSqKwSg/6WgGLsCdGPDugPBAjhylpuDHBBXEw5BGDzl+5dmCPOMcObO+YIjMeE
WwJl2oVXcFcDrm5gtxRD3fpSJtaw9QTo48PArnZlUIVnxyyyPQTevZMnk/hgR5F7LAvxx7ZBG6P3
2t2EdQWbggni96I8UI7K6dBNLZZmTWS/Jwlrd0vR0iwK22bjJT0+ssqxnjIz98sx6x7yKQftyXcW
mcO5sxoIWUVm5TPAwA6UdQf9BHfej9Hk2T203YorNFBCv5Eq21E21ZrimprAt9ocJvapBRVRJTz6
wAxqTQBQQloCYwxColyE7bocunqVKObedaLtnlv+2Dex+oMAPB8fJIBJxJshXWLhAn0EPHjXMa5/
5J0BbJTHfjVgz3ayGlzXsXXJ1HCVXeQdw+7eQmC+r8f2g3RDiAvCL+j6LcTlJ9gb8MrZVDon8akY
/Cwciy20TpuDxQAvkL1bvpiOB94LBmQuZb0+bze9wp45Mp1+5WBVcTMRZHFzEVi3ag1rOCxlckx+
NL3jHMch6G5UnvDoZtmVRHQGPtJ+1zv7FAyDZ6qE9u4v0PVmgNbmIJ7vVPuSghjk2IPp0IfCscIO
Pn7u2hQq7cHwHDgyX7uR+k7QSDCcGSBr0iAjQXk6AKCGwiIKd0XEIEqPJlROWEvINroHw2vOpd5E
J6YBra0FmHuxqulXltl2906Raw/BYF8wprM32YD5F3I3gLtMWa/xNgFWpZLfaXYmsJqK++EwivAB
Uhb5XeT9llkcn9qY53e9VV2NuFDnPDQcaJwaiFU39Ge98tJLI6unwgZlSOcW17ErvrXOYJylJY0z
gl+tTaxpld+EUXwLEvZQlLpx6qYcHeIhxf9z2yPBrVzImUGKe8JxFWlztAwTgrSWRNxC6uB9QpLY
sTDi66S7VpCt/2EUrliFEP645EHzrRHM3g5506MPpPx1SBX0FAfvFFgi35RlcOQ86fcJdg4naVnO
TtUQkOsT2AIc+I+KzHXWYZvtvdq7xVJ6fwDxaXULIYdhh5gLBFf+7F2GnTVgQK82IgH9Fj6mnY3f
ATIEnLhGwJsfPLdftQoUXaDaX+WFBFVuCL0Q02jGdyfQLwoT5IPrBaCWsvCFXYHdFxDPoQz9Vo6I
3ZUwKk5MExvNtRUgGgOU6JhenUIZwC0qSu/byKCIa25zKdo/Wtttcuw/w5Um33l6QZy2daJD1wv7
BJ1qTERxees7UJiPdRf5JqJLfiYZWyfBYL6FdnG2wTOPvReI7hHzH+zG1LVfAYNBAHZbvduFg526
AcncshnYw1BWPxA4GuyxljP2kVSrNGjFLyhcdKtWFOFWmALPsynbx76vvqeiAogUSMvHYDQ18E9B
+hdzzQExMcEeWlPyHkKsxQa4GFCIqfjK9BL8AGY0vLIMEEWPKe+tKatfNXA/P7K4vYnRQRxTmZn3
uoB8jVcK7b616wxUbOkvmdTWGxOiwmY78I4JdASuThQ9ueAkhkKf8VJFtnEBvO+FcmVXKiw+0npV
mHLyKFaXBUskdJChCpXH2yHDqlkfoE6VRfpTwXt3pQuvPjUQ71jXeWBBpUYG21whhENCyG4Nxq9+
O7lpD3JycXq/ekgn38B6GVjMuZeh7a0S2LK2Xu5g0YKpWl2WQmvKBlFjr+EWLVY2KP0gPwYWPQRO
QX26AXVvC/iaXnbfgRy134G5mBNTyUeVdEbrv9voSW+/O2gMPpreh2ZDft+bfbTCeJPAjtjONSv5
z64Jyjddj6NNaKr+QFJWCNK3KzCZrXgb8TX+Aiw8DOgoCF23wSGCNMGl6hEgBPK+6EeEXaEcSu/Z
9uwSYe8825XC9V4zDxH3qhI/YEDjPnS12nOFyI2qWhPjMNEQU4pYiDXW2Xe5fPlSvDTF4skHRxoo
7lux8qJJz8MMYaJpB7XpJ9FyN3MEumaaHoZEz65mVubXRFhQ203Kd2qBHe4U+h65QCsiPDHfhixE
fAaEg65BaRowXo7lLsq94TEoK0jXT7RlPVQFzWyQP7DQRJAorOfdKF8HDwYuzxGwuzlh8ZqYWbwO
woIfqJbrzYumamw/RRq/pN2NSgOzLO8TFxzDQSOB+wDlRn3waqDWEEWbr9uMIThl4tBEGAb/CVQn
FoJ4pYOGD5cWaOkONyof6FAxvhva2LinXG4KtYWE9D6NIAfmWTa6IsT3vpvhXtOi+n20TMDPmGEc
rCjwnoqkvYDsvH4Heq33EdzSnd0hdO7GIRPr0K2TN0eGWwI2mwZirAwAhaDixxyMLtDT/neL0UIX
7YS0jgg+fDY1YZ4QO8nWkqnoR6q9IiCg+8640DYIQLUPoHfMN5VorFWF8Els1nLLbyFj/ShBg3gb
QAvLtdp6bJwaS3qm3pm0AAg0q3KTaTmCnPEvVwNDoE+R6gXWAi74uijIVyVqW6roaIAh4X70PPVS
2NEJkJT+hq16/ZLxSx7m5bMDI+cjRhiCKlBqm0lwGYPhscjxFEI7bddm2JcQndezYlUbmty1bmmd
oM2cI/4TElCIRnmgg+GBqkLFoMnC2rBNfBehmuuw7NOtPUIck9qUnQtcow6er+m0bjCa63SRqIV8
OzQsIcHwEY9l6QBEjm4T4hEhRosOQNXFxyDx3mZJjsa+aDKWCEeO8Mg1S7yKJIBUBghbX6ksN6Fp
/SVFtbm0P7fTJOJ8pJuvzEH7Jki1kVX8pHldfAEc04LtMok3ESIptmwiLRi7ODpPbYHQiP3C7JKt
RdEey5qFgkOcFAswobjrU4WmmzAVYCmn9Wug89oHSjmw7M4p7yP1r1owJp8dGiJtqGPp6KxscBP+
ynIY7fQgsR/B253thgIbuMLmULwdQYrhjEL+mNoi4pxjXzgpdGgIgWENB8acMSCuG3u8gH64w7wK
VqPOAo0Vnyqq/66gM0yhX+I2fomcGqAiEbNnAe6wHWVVZprP2O+Yu1LCm454wfUI9eqjBgztVauj
wpeFEf9Kf1sF4z8tRE9ATR7bjnoU5lEAmbd1Haa/BMn4oIWga2JB95yPmC5UzVvwujRqE2Tusyh1
p0CEZARJc01nyTnP4+iepYW64N00B60Kv7d6gBwVTYcQW4WDcMV3KsqisthHHOoC6JcYmGHxE3IF
4pwYgp/MXDawVV47u+nPgkJtEZLWn6F5gzzQI0cQ+doZBtsugnAWiNxgS68QUesbNTaIW0we43EA
WrKdAkaECRJoXnjlo2OIdmeGUAjKELx/jSdQnTsgvKjThhykBZi8ESZoPhdm66y7nBs7UkIbQFm8
1h3ocpPWGdX2U2N9alxNjZUCRN5MenHxZKCuKjT3vaNAdDIxnmZ9AC3YNL2JCnSm6LGTZlXpHKkS
qGfAcRU8B1Rbd15+HFUBlq3pVK+FFwcMtb4KWvactVq6rVOVQrEDbx3Ei9l2DKtiI610BZVMzFde
Y50QawmFzClLc5iuhVtwcXdXKsrCVq2TyEUndSbuGYnQIN2I1U1v+RofO/N+YdKbisIwZfeF43XX
JEx83UZkKUw1+VOPtdotZpC+JdQxS4MXrXb1M59wxxwdcF0oFu0o29siOdKpWg/muRzRtasIEUSw
Fo/Jnc442IWXfMbqcQ08DugPpuqlQrCsQMAIaLR1B1odKo6HkwUD2rNlYBIGJzJsFyyDACocnoVT
RL/G8I/hSO13iuBBlmuQiKtrYGJZWJ3ZIMJT6gCJZamoeMxkAifpaIe/VPenVgV47/5zDs/GbANN
7+qsV5IdRHJrA6+6YVtX+NCFUbt5pqe84QERV0/VHnd6LEvGfs3UkK11bostIVDpAKcd6JWU/reM
sKXUrgPqajtOr4PaBRJbS5MpCwMMvlNf04AFzYNaPoUc+FNKiY/UUqt18ErwWIdpFbF0dde4l8KS
HlZPYfsj5Q6MCcp8iWvET42NkFhC29VzUwUwuaNB70BIDxyB4a1POgnLEHTxBkswfPa21IAH5gBm
uFw7cudpmGS1EQUOBwc7QMswmzNUDN9EvGeSw8k0tVqa1py7q1gU6Y4qwJMP1b4UupgFcyAeoj3Q
epUeNF6ne2ItwlKn50rlVCSU8zA/espaaEGVfJIE94LaOQWIakiYc0drIeHx6Bh4hudT1nSU3CgQ
GexpEcR6aEjzATGgVOs2fzIeGs9G6Y3XobEes1RrD7knEPmddmAdQ1SBhLUdmsHBRyqrdTheKnai
cjoszSibxQkIkFRe+ksFKCHTHRNjuiIi3LAJ2jMcnKtZEJXKiBMX30oB/zeojqlsqXAjGNtsIOb9
pQxGW/3QxfG7BK+n4a302r3wGtYVgqITQp0A6wKBekfoRd5TEVVSOaU6hFaAvgdhIJ/onz/OoCaZ
KSO2WlqXU2u6FmvzbTWFrxHvYh+k5ZGBLnqhdKTyhPS5wL0G/Dei2YD7BFAWxt1f4BcYdz00WncN
D/tX3oy72SwJyLkfisQ6503F7x3WANVeGNAxcsK7ESiyFz0a4703IjCQt94WCyT9JBrp7vOh009a
G/6vFLbQ7v5f7UIrvKvpWz2Aaqq/YfENzh55p0nwIdGCxJn8EoE1BAdakNii4PswMJRPtZ3mgH3O
6y8Q33LBZYZvBZaTCIqfsvTpQAhhgz0msvRh6fO49ZWCzAJLIzGFoAD+r0F2GVxu8R39hCV0bZt6
mFuolnllehV6tuNFyC8WnGEzA+rAz1GtjLu/BKjIasA43FGlmYICfADH2g6WAvXQeDWCq1IvApsa
smBwqh9kcoNjr7pRSVLX0/cc7PZUp2UZiGo9G1RzKVSBU/6m4MOXm9acNiFuFh4o6D+3R21riLxB
RCocJE4SgEm85uxViggsaKJ9KnWGAHOrfa2Dkr063UQwmLJ4EzZoVVV1A4tix8of8ycdpnUdFAei
CW5zcc7YJSvN4XuJbeo6yLzyNDaQv47K+KpL61T+5XFNJ/4Ca/TyeyNotF3pDPY2hhP4uwsdyA4a
03ZfsG023M3qhnELdZgGxGZxlVl3HiJU1zKOvWfJwXrU4AagEP5ExEpQioIvhMdzbqqjnGnV7Pmj
JZEsLbn/1JmGxSERAxIhUmBig937fQYhzZLbEKBspHPfVCC1mpjG6dBhtfq3BSI4IVEJ/p9G8bkF
nbRcg05wNND3fFxjSDi79ia8hwbCBRAwlBy12DCeKqHGTaD1+RYGEANsEUN5ADRE+VRrF31y37bB
c5SgrQ59xCfD2VAVNa+r4qK3TnqZWxvgpmHgaj7qgR9GEy8R9BZXtdOne4fsC6WF0Fij0dXWmgLw
2HQoJzbrLnL7ExZUPuXKicJ6Tk2V1Ax2vP6EIPq/LabypBTNSuSQwh1E4fplVIKNXofUXusAMDC4
1Tto5cazFeb6fui8p2ZI9TMVOYhW6NdWFHug2ostzDcDQlfKdjIYFDeowwwIVSx0PTvTABgHqd1h
hXWj/k9FYHwDd6kJv88yaP5xEtwi8xiiVh4kLzeB3tcbM4dp1v9/nRAFo3pYfmX55Y+TnES2e1Vi
AmqzvDhyRIIeld0WR8oy3YTkdC6UD3cCh1hzjwWiGvKNjZ63tqCetikiMInAUOtLhFdmmw4jcOUo
1u7NvjcdGCPFeK95v+cc40N253btQYcRbhuaGW5/+qLT15s+/pYwslWZVXjYHxV91zX3LSYMasFT
ECgJ24u3DXxb177vwy06m+GPOrwa1ZBFV6oYmHWFSqs4GYMn7mUGv3s7iKurYu3g6SBEFAzL434q
U/DmG17m+S0YePzSVNI9glsBvrdM1ttQB5/sOmaBfs6mEBIh45ODRQSoHFi+skLs1depXrI7pYP2
F9FqQQsxvu5NYmq64wg+XtthCv9xAQIf+BAcWHCT8p4OGgQo51RdmzsnRIyhObi9j0js6n7ILVhU
ogAhMqIAUaSD7dwawVvVfR1CMwfBSCCxbrVxHfVV+WiqEjLPgV48ayaL/ZDz6lVa2AlioVufk1RE
flRDmCEG7A3QjwYdmQ+QfHdB7wnDEZxJwfcBgkHrjhvFi1ZATaFUPwMrGK+s5vrOBVHGFpA2d+WO
vDknnvOY2AggVn1R7HKYiNa5SvwolANiJnFIMqPf6gKi51QG4an+IQv6p1TGOnxSkFktEYgrtBhY
Q72u1AVr+yKMnXwD+YdmI1wtWZcaw24zEPF8iCpv2zttcDcE0D63POhz6WBRP9IhBYAYfJ2ZPIeI
+1vrTdaDicfyXkqYQlZGUmVnM8yDl9jIdiBaDRHZiCk48KI1tQo5LCstoh1XTEL8MTR6eWjlIOda
joAdqDDFPZYPuEaVGO7K6fpylZmp6TtGlh9DkNUfwTf1N7WUUUUsp+BsqnZMQOmAYUJzOlDL5cSl
bGlCKVDr54AkOsOmMdvvA+ttmNoEriJL+7+T8ELhVlwBdO04oacpT00pRWXaUCPQ9xkhx/XO9ERx
9Mq+Pdh18cQCz9wuty+SqPerAbxUtQQIsddO3JwkvgBfOHYT0J9NUHB7tH5Jwy4A3oislWeFmo/J
op5mjPpYKhdGviUfKxuUFHmeHTpAHWDmhYJgpcOHTeEBdNFuNGP1zZguDU8cvMY1MCjHwhjuFTz6
gJeWm4pHDUjXmnjvxFjXxRLYD98ac8QM2GGByF9IC+TzG6FHR4+YDnOjoDbxSuY0FVP7pSn2hfa+
16AalrR5tlcTTnkwrCzb0wOUmFprhFXiBXQNnL4QNZ0eOzgicqha5ay8DuzciQY+gql8efz0Mqls
fkVL9VKzlFFqOdB7WbJf2jVCxzuvIzvYc9AyQMMC7ny84KWZRr2C8g1QRcN80ymQn4MPz04JVpq0
BYYVd7wclnunsrBp3L8nUp6ezNKaUl9O+ZL99MeX84y2ws1DjhA716R/ijlzxw31gNox09FvEde/
Bq0GrFC11acbel0wdufH5UUvWSpb3uiS1bQCgLTlhVPN1/M811vnBUKmRGhK4Gr0QoeLtZag/8Ch
go8O/TnT1OhTAWai+m+SZ4A2Q5nlaWhhFuzl0cLcfazgvkfnnJJ0gPJs+TmfCVBCNzXoSOn9LI/r
0zCfk/PTzSt703rBxjF/Di4W+22Ir/Z0iKfnwabf+Vf2X2V0BlXQaUuWymAR+3spvYNzWNe6P23i
3c0jlcYkHZppIqCUQ0E7lKeB/K82/yoDlQRey1Lz9Reohi47/8KQARtYlbEPpB2sQNPfXt4pDWJ6
sV/Kliylvpz2r7L/81LL5b+cFnlOCZNN2K7ENEcKHZqTf5NTvp16EM2Zn2oKbKpTcFugasgyJOlU
ys8XoSt9nD4AbgE1t49CSpltOe5Uk+7p4iUYQ9cj22igu5zHMw1TmrqWj8KXsmUkL+3+VSaNKXKD
uiI1XC5DZUt2uQx16SVLqXnEL4Vffmq5zL9+qTVMMAaGzymrwcY8fU3n2e9rks79VDh/ib+WUoNP
rSi5NIpE2Y7zRN7RHPvpt6jV16ti5ZUf2uDnMmlYEyhsySbTxEKzC5VRllL/v+3oXDot4el6jE21
n6fV5dbnaZ3u738l6X0ImskpGQLqBADP+/Ig6FNDfbsxoPzDWgS/62GIzkxTWAqHWn2iSYLyGWCL
E4DyY4oroTTS1M/L1ErX+ud0O32ol4FGTb60W8YYVcShp8G/PejzR/7LOP5ybpBpsGLpx/nm7fzn
UOjyMC3eRx/kIWC06+C4MMd0y2FoQRoq9v9ZrH1aHkS0wKAbWQ50104YQ1WcbWw4N7b0MJaZn7Jf
ykx6ikCv0eJMRZG+oTGbU9IFPHrPYf3aaT3/PgDYPvq02oKKkIZwv2nUU/PAa566CKyqQrmf1qDz
3dN7VK2h/V1qprQAnd8pLUApOXfm5U0ryPJqQWPvqdOArC9da2M+gDz044nQP55fJRV+yn+8RuD5
WDX2h6UzzX3sY81Ll6efXXorpaiMav+VpbJ/XSo1FQdtyppPe3u6OWpaJ/JbCDQs9gzlep5uWYkd
HogFPKB4sYVL2mEF+pTfzbS6o5mIUlCN+JyVUZZt7Mz4EzKzPCYNrJBA5pXHAIya+0DA0nBuSxfs
OxF8MIY2gjOhLfefPmlYFePrtnwl6dPYyzgZ/U5KBLnCj7AC+uDn8mAoRQdlAf3P8nqrzEsTI3p/
+UZrADJvgVS8p4Zabxlr6PZiH4Rwalx6+iqnQBXuFUKdwMgFrDGEEoSwH0rlIZS8L3c054xViqWM
RAT5psUjo95LI9uzGnyMRtvGPr8J3zSw1kGCs8hWjVLWmpoYCtz+oEHEB3g+8Aq/X/fGmp4kHbAW
AneGc6C7pDczT1UDBHLBmuc+UlkZC28FE8vVtoZfEaJqDjjvy4tJOy2DT/wXDfFURhsjbmvciOfr
vXmkYVJ5zT5pYCIax/6EhVIGq5wJ9U35A1+MZANzI9jkp9e93J8G3PMGJBfv0EN6BrhD2yhIRox+
DRmKQ6zDXAdNsHQFKtu33vPYxlJDecRCj2/QAb7RzX/a1c0L60+l81Cj5fbSvzvllhNUApaFjzXb
8hQNJ4FnpK73NLzmRzbtLalv00W+zEHz+KbCL6cUGty2UQF6ROzFB4g9QfKGFqZBvpUc7NBQx4Lv
EOJSmOQR/bXKOrfZDn1x4y2HHQgoUYTt760uu8FxtjLAZZOFwZ0dJ3421jc7u0rhORv61QSUnpPH
cQW69G1YYN+NHoTOMg0u0EqtLKuAcJ+516TC9iTlBx5VbN6kzrvYeWVBA5HG+bI4+FLGaLdAbebk
l3rK/t8LjPkc6gZw3271RAY7Jbotosicebv0f64+bFaBdztXu3miZXiM6beqjqzd0ldzm/vADHV7
KoJHHd8TmlPmJJVSnlJ0sEMNjUIoWGD92G25OYJ8A3o+XFmbZeKYl8HUez+W3Ka0q0NS9RL6tLB+
fNghqJv0sR2uGkh7I2om/TQAl1mUBuW8nvFGPd5jToF50fK9LOr31CMBgBkQamD6IJoIdoaRbmn4
0RuHp21ltsLdU9erx3ZuQL+dwui2zmU1zktFurMvv/uvsqjxJtesuKtbfJn9orf1LVBcl3k6q7p2
C+7KK902Xc1Wodxl9V9zCl3R6ZUOE1L03YxyY9w42ghvfrobwZNM9Z++8HTf84dyHj30VZuHE/1D
y1DiOD7aFV/XlSb3i+Uja5m5bkYjX31aEOsmFDALzvO5W3/qgp+SdPM8yeU6rFljrxRY4PYyc/CR
AOZgm8bohfSNp/2vMmFT0+DNDguxRdxlfYjbx3IU9i5VfMtyB2tT6k2OSiME3tSgTq9/BNWkQVKW
Jtjmp501jQj6YchUjnD8AIy3dD/qWF+7qOqah0wGa8jT7scqmiLv/mO1+vQE5yc6ffwpRU9RB9B7
pfoa+rkf0xZv5LCWpcC097FSABrp2PLsFTM9bEFgWJuWRFZui30PQAH0IzEL0x50TtJCr+eRDXfD
dI1PyTEoYCQoAwEhP7HnYLRcU2vqwVFY4tFSvgaJ/BT1Ni9x6Pc+TTrLqK+w3FtnfWjOD4kejYpE
vS5yE/TWtKu3YEgYyuTQIlpu9Hls9lsTDmwariyrHy0eAwgzf/s7mBCgTfH905JrAHxtkzRg/4LN
ebB9D45gmHpNhYdhQxFs+od/H1XzXo8VGHJpDUrdkh4z7uoYgXt/UhTwmt3y/D0DjqR4+t4tZfNa
tp7+F8gRzdkGkhvlLwt83psUdrZDnl2oS1Bv0LxhxLDu/G5EkNAe+i1AA2FGol+2e0dsIgdMj59G
DSXng7RWqVk6+2zqMbDIeZsS6jeHAvTF0wJWq/QdMxAM1A8wu0N2ns97f8vJEE0Z6ViVTZMcvQ5K
mRVYGUFY/zGTzjdFdXOnMRJ93FCSCulAb41SDL5sP/jt1plzKxq5hgf8DSpJ5rypcwXPAVfTig6g
UB5Afav7j83OaWptp5yiMf0OVJT0ZOaVHc1HvARwfU/J2VBJL39O9q4Kjxb/UQdpd1j2elA8wEKM
2+XqyyZwqAOQso4pWDSN8RHxn9kmTIdVameA3cGkFOl/ePTUw+G5H3bW9B5B7QMQAfUTmrbmV+wA
h7tKTg2fzA+0BpzsqOl0yKfDCBK8jQjTFyqiAy9PLdQADtQ8j66eh1tOp1VwP41Iu64gNpE96+N7
G9311cVECOg6zrdtwS9tzYBs0eBWdRxgI5TR+4aNMBcsFsK03HPgwUG7Ga14hc5jw9G3wWarWWmV
Ae1MoAkvzLWTSzMydgDP6jWclLhEnI+7QBO/AGaz17nWamuvBBtwCGASjPmOgqs9lE/gTrX8mld/
s0UBZxa4iJgvQmuNuPz0GDdutGeMaTs7EBnCa+GokKPLbv/D2Jnuxo1tWfpVEvm7WcVzODfqFtBk
zCGFQiHJsv2HsGWZ8zzzbfpZ+sX6I+V7ffOiqtFAgikOEQqHOJyz91rf6sq65HkZ0UBdVknaeY2k
Ue/kHLmEhPrXeXqeNbLycnR/1yxF7qQ6mUUaD+23Xpl4Q4R5zi7CsviUTD8bdNPXsi/Nq9Fyrihp
3WHdjiA125HzqcHCukF1q3KHU9yPPNAq8DmlJnyoSoAVs53uyKk+50weGhW4ioQCECmqjk7BuNjx
7PBBN5Ezhtu50w5KUMdfS/111kJ1T+yvuUkG5SaSAEacgm9GazZ5XmqvZvilxznULONhEpSIClia
msTa0vj/2QzZHvwlXu++/qkRK6d4sWBoi9Jyg+Bz3oA0C7wqjavNPO1EIueTasefom7E1JQRiQTP
XXXruBh2pq7Hd70guXrJ9MkVk2u1MC95ELjlxM2xM21g/kbc7gXRiJs0LjWCi4P8mM/imc+jnUZk
BSfHp/XI9Vf4PQ7MbF0ihVPwBRkOAWs1v281I66LIUWYXM2y98zlHda3sdaj7fbHnONUILI9fXGK
b2OJMWdyBuslaqpPhmzxj7Zx9tAOIwrJcLYv5jDlnh4Zzfb3A/5jGgUEP9nMuB+8Driq1ZX5BZab
NwR8CST/nuXyJ9UWYEVghelmfW53uu94malNntk54yUNhe/54CI39rKqauoVd0KJxEcelYwseFIP
aXdFctoS8iO9JsGWhXWhQ01cip3MYUjOxDZU+9xJ3dTuBHmZSXfIyh4EfTQmm6BLzI0119hM1cgl
wTe4/F50eK9OTp4hUuOvW+n0zJifLp6z+8k3BDE8sNx6pX4kCAIfXz1qxJR50LsjTzpG6La2+eh0
eXymu+K7yHJRUis9fgSrSahtP/qtiHF3jDE4xEs7oLb9WEy6SVpscY1TaZC0FX1q+5Tg7LY03MrO
jomVEAIQWOSiklCCrF4JL3YZtI+zXrePTVxv+x4o3bqm5aO4ywbtmJV1cpcsi9QCi19P17nAzqM7
I1rc4B1tSP44z8mhLqzxNCZi+27AFEVQZh9j2WtngPjVAdi+O45V4WEJDglgNngG0bnZTTYnlA0c
Y6P75egq1WxcjLrfm1bWHOuhQFTGg++8/vR7UfoRTiEt2Zod2anDOLo2sMqrz1rrq/qmtowCHq/9
XBAWhJIhvThGUXu1DV3XmBPnICq12YAgxNpoZMEp1HovKG3lLSmck03y6ASyo1Vb/w3AfYIEocYz
U0ytvo/jeK8VBS5do7M/x0n0JAoyNJU56Emta2jqWbAGBiIsACyXqttWISjxBYKv5KVxIIOPVhUk
P68t8oBm3QSAMCpJqzSV4JR2gZfn89e6Fb6bppgLwgF0aaU/6UZdPuOHxZTuYEIt+TNmnRlsLd/X
3LLrvvZ+QZpRmnxV6nirmmMFgiOiLJB0Ef9s566Mu296VEQQM3ySZXzOJdOk5x7l5nGsAAtzihbH
JJMNMUXOLczah6mb2kOHyc8biDi4w+V2q3qa0IriuDF9/ospVMXNOlSxuHoXLAD3aaomqmcQBNsm
iuUlJpsjjcZnjSO3fW9F5gkmfLjTkIvFvr1vl3FAA0qY1sJikUAEcbArLHAOeheoeIR56i2RkImq
bcogdJ0Y5KfoLExDy8mIDrRzJdBeD+m9485VcKtkN+2drK1ds0DLIsnCTXLLoCnO1yfy7AVNfQZa
nuQ7Y9NmSUsq1PhIqXXULfO+0X1IhQ2GHpjakSulMXqGjvisye4tLS4/hUr7JrCznX3W9ReGv3xW
Mvgq/rmVz82sbhXYs40yoBLHKxXIwN8muUtbwM0V3diuWdCz9veM6B6nYidHCAp14/WJziwwKTfd
0FMwzQpu2UlheZ2C7VvBENCnlXR1VRhXEZivjqMbJ6WpjCtp4z97NW52lqmTa5h4WhXphzqjmhBH
PwaIzMRjZK9mNdQHY7pmui12OgkkHu0vLlMUzy6OI+1Uyll6rXpNy7L1uB3ad2knvkf9BA2iixGv
+U26LeoifjFnn/kG7X/qGIKGmNDKO2GSX50K+4iMlZqFNgUnCzfWnSqUigh5SMeix640Y2vJKAtJ
cZsWnE3X1ZexqMQtH4P6hDT3ZwIgojC8EfvVvjOVi8i+VbWpvgDWnY5hVlQbUyjDPhEUH422N++t
ZZHr3WPdVefCD+WxqUNcHYmc0PSp38sysLDxCG3b5TTbgXa6ap3QKEckdzYaMBCGEiPdrCOvIvPe
SzVArVqROx7XMo5cw/wWGub3wg/SXeLkYusIe9hpcXuYzbLwjF4P8eINI2KPttrY2egcs7rcNzWj
shoTHzOxgwLW/Y7Bqu/Fcrqm5tiSiJ105IULZ6vGEFKwWbd3FlfioVLMl7avqkczVCgLjXKTYrPZ
KgPpXnMrXxPCW3myTWgndZRuWp00W86D+jS0ZnIIcm0rqYwqgSG3TiqfirGfz5JQKDc1RvUxDeiz
+oW8y2sCHoxZGTjDCL1LyyE8WfIHOGLl0hqpz7xRhb2RqCNPgf4V2yye3sg+IS0nA+Efi9gu55qh
JxsnB2YS74OpfH7Oo0/+MPWu1sTqLvMD7c6YSGVtpiHz7OReDRvnOvePpY4mt8HmgLiWqg2hE5u+
4i80j1q3Y0iR5lML0F4jI41s4R3WK3p2BqlTfWg/2YxdC4WCaNSAl5HaS9oT2N71g31cYi836AkU
TuL0WGjqRamtepNWSukaJOXw1wkOkeqNNZfdTADaRpTa2VBDY4usx8PfT+xnbUX7gq5X1xQj1gTx
c3AGfZd2nXIiHGraiMgGJdost9lYZm7mfEUg4TV6TqeEvPtN1pMfrFbcEceiPpIVgruJjC5GR4eE
JDEvNYon0cTTJqMyaznV91joYIQwqbhO2d8r5IXVmo9X2KxeU12lCZ2nd3XZ2PdE3tkkWyXtLmxg
45DbhZxSHUp0T9sqQOY2Bdm9PdYYrGt9KE/ToL0YddjzSfQRq79ZXmY0xsdwspDQG1nzJIRZPyWM
e9VMxg/rpp7xGnhu4o/XnX2ZDDffAPIT9pAanFjxgsYeKVHxSiOb5ntF1Dd97OontE/a1pkCRlQO
Jo1A5MmuKBUyTYihqMbOP3JH4xejlF/0+Mq5G0b10sQ+on67Ak/Fn2+zHrxu08TGHDUHMSguNEDJ
j1qr1EfbKOn6tilfudG0ADiqONy0Qf19NHP42qOTXcyqt1R3VAOiMIr49k/b1h+tNJ1PWlic1rX1
ZVzkZDSZ0x2xWrQu+qHfY3RQb6bajjdrs/68LoyggaM7ULr7va0S5ucu8OM7Bw3XrYrUEfzo8PL7
gKFvg01aA+D6vc3sdj+ISkc83qOBt1XVP0kneQfEENwQQgW3jlTsXYIfe/N7m1ZXmNcahHu5TCOU
YLW9H3y7uayvmAttvjDW2q9r66JtBqrKk9Q5X+3gZtr2Rlp5dO1rcBzS1JKjxONyK/xUu+/M6WFd
WxeNAdu2wnVwWFfVPJ4u48yHXI6Xsgqe2g7TAgnM1n7dhpuge8DCsGcUvxzBYVNFkhIe3OLjiEpk
9bXRSTD7eA+OQIDdbfSBrO91W5or1SbPFH9bdT9LpbNuGEKtm9P149bOooawd/JmUOSP5Oso4eN6
SJRB5s15YHtqK9GYo7+9a3KGuSZKt5tsBpo55J+568Efi2FYIOK5fygDPNdFpz0NkrxlBgG9Zy2r
o5VFT2W8VwdTe0oYzzypcx14RGF0x/WAgUnUMZ4VwruX49dDoKckvsOENxj1Y2bK6KaUTn4SE/iD
NKmjW7wsykVaWutZQaWK1XVhh8xQK2SVJypiZUKsDCgNDPe9qhcegkL9uSS8xcs0yYixzrVnBnPD
1hAkgK57+YKcw2Kt9wpn1p6DxCzui7F8W48l4mi8+VX4sS8Zfqh8LdMcVkR6m8ld3sY/E4gNGKTr
8FT7VvNAi0s+jXGYbUOMrCnBJ148ld1TYwzJg2Ix4V/W1oVTLKmZfjl8bPMDXcPAytzDl+SR2cui
lcUO73d8/XgV4UhbbtDTdt2pEst7rch5//2WnZObLnpScVy3keo1ncKF7r++YN3m9xj8QxxcH0fY
tAdyYiq36+qoR+Xj6ON2Wz5lTnTmQ6ZEB9k5sWeCzzt2QlefyhZJvKoxMavtRDxR8hJPo8O51Wvt
47rJjEyC1mcz268v8Eezv+u18TuDIvG0bkpj514vuTDWNVtaJgImpd+uq5HJl6VW/bYq4kMla3Hv
6M1w04cR0kcpv/BwHG7rYrZjkmGMViwPzF/bSsf25kJE148jpsKmr4DOXqMXsI8tAHRhR0S1EH74
rvX3KzGlmNTvGLO1T3wB9kbR8+SiVwaIv1CIPTbs9lFpSZkrWul8narwqM9z+ZPk6tOYK9H94MRv
/sJidhhm31nLwqws361wFT9oGn2Tqiqap66Mv0ylwtcWaDNneQ6KozI3ihOFmxxr8iVx1xJBWEPx
GEVW7VRFr13dyJSDXXv5KC9VL4DJ1ZFzsJ66Lts6yld0ivoDcYs1DVqM5qMpik+N7hy5NoOd5SuV
awF26HNxs2wAFe1bkxLpNEDpAg5tUf4I7ce8B/6iO1oJGjpwDupr3iAcDtTNRGjyE//0XS3M6Fpw
f5wTeUPgOW0w3zpMHZ3x3pgrsU0mA1LIHHt2qCVf+2Qwd0MdU24octqvhrUlVVkQ4kjNtR1D/azh
FdXq6H3opHoKSuvNbpLzXDjRVs4zDhpZpa+BuVdtydiOsKyCKrDnxJX6SU0tZRfGkUXPN0se2kj5
geMRmkwVQfqz0FiGb1wb8lPhj1e9q150kU3PRZMqZClW38sxU4/JEgLBfJKUTVIkj8JqQZaBRmMw
2kk3TpL4mmMZQ7Ot+t+c4eSbJqiHPs0+FoLg4EoZ4YpF5eyuw+lUq3PiMWgXRuP8POhwDS3CX5Mx
jy9k7sSMEM18K1rR7A5ARqMfFnAPTy0j8yEHkrE0gE2GbeUPbQrHT81k3RLDCH6ILP6UGzbxUhn8
L6wldB70KjyLavRPVl+nh1ofywuo9oIOChhOxqHBk8iM3IsQAH9xLOXF6sv5pwA8Yy3JR7mf0naG
TUC6++QOcZm+2NWkb+YobA6QBIRrMDUgkLVq6hPoQYZmgUooSVKSKRj6/bXru/a59c32eVosYmbW
39a1VOZMSUN1Pq+roxTltpRlt1tXB8LDjikOAbdr8+45MZcHGv7R3+9W5coukZZxXY8XkWUSUWuU
sPr4VYaeZLtwiMftuurgHz2Tr8Hccdkb1jz6DWOCXcTauiBn7GLrAyW0ZRPHt3gEANSvq2Y7YMlD
075ZV4nCme8CKvi/3s3K9OUJtu5bP59RWq+zmcv79bP7gxlveprvH0dMWc0s3JmoUiy/quB5cUmN
/GVda/sp2IR6krrB5IcPPclqD4gWEjeL25yqA9vWRdz7YiOmAMlHbSqbCTc9uYZq8EA4MMx9CKoP
iqrkJ6vSr/+yfV0NcaIa/Tzd9S1FAnfdFvQtIxWE7bv19QO9HzT2Trzt+sq5TGOl7uuRumOjWZzQ
68Z1Qbac26tc2L83USB0LgWCeq8dY+vjDda96w4NY/wxTfvPpNJf1LrsmVjJQqODHpqXNpyeJ1ud
j/+0bcKjtGNGC3BgOSSXtXkRTchLLMQNFuPuu49VZickFWVDeFgePzSBGsND1lEx+1peozVFf6Ge
v66sC+A/7ARJQsDc1NJwWdfXXXKasnOEI0lm0rzoy+LjrRAXZ+4ghbVfN3bw+fCnN/0urtL5AulW
nnCrEXHK2rpJ1vIQ9MZ8HcPpiMWygrMz6C9Y9hkHderHGnF+e0Z9/mMbOvpLYsS7ajaL23pkLbLt
nI7zx1o0VZsmmp2PtRIlLmlVxdN6JEngbj3X01Pkl8ZLJ5k46p3zsS+tf0ifyensGPYZHFD5UmZi
Z4WjeEwHu3hR8GJ3Sdw8rPtAkMIoIzv7vk7LbKcntBt0u74VZP32hhtJdIqaaaPtVJKGNgAN6jSw
NlFfPsUzqXZNOGs3NO3MGGJ1KX1O9QFURe7B++f859RLmdwdZE9dZepF4Go2QUdaWVRHp5t4BGqq
ecWBJO6MsbnXFv90MtnBaRhhd66roigkWBmTwZqBzCMmXHAEVONBVrQ3IdLRfQLGbK9MX+u4jt4C
xn8enLLm6kAWdPHzJ0AIrXLPBfTJbmAKFkqcb0sxd16eLeaWPD+X+MWhLcEGiZ8q0RlvnB9HJlXG
S69TUwjwx4Zporwi8MfnR1bpPHZ5RE15cuOLLW09cHsSImtbqu+Jotw7vla/ZU78uVoxZBO5WU1G
XB+FVe1AMNYb4SU3I5AR1OEqQSMgkodA87V7p+TEXjbFy2L9yVZjbY8RJHZ9nF5QlfwnHFyuMjbO
njTr+Xks2mvvVMW3mF4ijphMuBpwJc9KlRaanmjvpKytzaxZQIutakI1qERU5+tXy3QeMn9vZkmN
IoZFRKgU3qRNkSsKoVta7oV99pROmF2KkvjxVO92nbDLbca9zwv6YTioeWB5pRlLwCFFvatHQmuH
3A9f8j4RB1Ni3zenPiEso9qnWRdtTe1YlkP9DFiKZ0wHtBLE6uO61jr+p04Z24tpmenLFIGFwo2E
YXtZTZSw83QxTsdxogLZBtw9h1R99ZNe2+dz1r1IYB7bRjMNtJGD+ZSA1KXYscyYazTq/WMWyfRZ
jkG0D6w+3Zpps/vzj3//z/94G/9n8F7AZp2CIv8j7xZtUN42f/tT2s6ff5Qf248//vanoUnVth2h
a5bh8KNuSPa/fbtFecDh4n/QgpOWVfKBGtUxCQ5NTXQnI9C/8rN/BJM9nERq+lddQYDSDlX2pquQ
+8Zh+lzDgWVkO//zEXwD4+cyCxs3rykyrEGQOPWwzdoo4VTmLTAGW87jZe8aBbnunbuEgd6SIfn7
YMeq6wco5ld7VtDkRUO0wfprRB5RZT1dOOIrAZrKR8Zv8pFqmk95WskO67Ywqj9FQy3PRDB/T9LB
PxV6Kh8/Fip95kaLL+vaevj60/o+ImnZwRGMc80rX2R5RrNmnTUn7MBYxgSbV4rgJrL0KJpJZePH
j8t6kFps/K/2TNCuZ/nPByxHre88L2+/vmhdXX9at62rHYXUre9TFlp3rL+B85oy9z/9sv/uvQw5
PPZ5ou5/v9/Hp/vXj/j734EhvDm0mjj//lgfL/l9yPq5aAjy+AnEKXZM/34ceO6Owsq+2EVhUtTO
h7OGAw8QEU0DGicb05koKPlqfLYh9pwjX2Mktv64Lgwn7ajzLbt+L+YQIiqj8cpLlejXjt9vMTqW
Fu7+ZY/Ro22hn0LtvMrGq9lrb1Ph+McJFLXvWlLUZLtL1bMUhfVZT6cL6mrX7PGgtfZnWk3lgUzC
cUcVYPpq9O9Jp1gfm+0hyTcmqVv7TAyIbuYs0Smfj4pzFw1VgSOeVMl1NV62rT99HGmWpX9H2B4Y
EcRNZ6ipw31jVT9CZKyk1bDGCRpPrtHJaOL5Jd99gI2/9qy7l0VkaI1X0xn1Kivq9lprOftei9NX
07b23VTo30zHoi2cyeC+B614rWIbrgbksG/Mnb4Mtuif8PMgAK/bkUx0tnOVBt1QfzNsn2kNEKVj
qunJc6JkL0k2B9u5prZBcADMACWhWEQxDQKJ5WuXj402V9YZe8x+3aaas34h2JmcvSlS6fuh3dut
G9fdVex80QZGKKmrf/xvBaiWteJDtWyWtKnCOcDcru+lkdc7noLJo0zzckMkXPNSdBkCuE4mX82s
+pTQxn8vx5Tee4QVGZ0SpWxFXBjaqltrLBqvc1R5+diW6bp0I8yw8TQk57arfu2gaSDhj0KRd+aW
s289bt24vo6B21sQUWfD4hFc4vhuWjgfQQh0ySc3VsaM5jzNQEK3rOZ534deXUT7WSNGdkW0hFY0
HP046JWnDyiIcEBrUMW9xvMwfaXPwSiZpNGzxkuel+1dGf3aHjfFdb3V//tf7vXNeu9/K8qJUT7M
gL+u/uf+vbh8y96b/1he9Y+j/uWg5yLjv//nIZun//X8x8+i/uP+aff8r0f+5b35BL8+4eZb++0v
K0D7onZ67N7r6fbOqKf9+3NrOfL/d+cf7+u7PE/l+9/+/PYji/JN1LSMmto/f+1aHnM6iak8+P7x
ZFx+w6/dy/fxtz/vo7ew+Pb2f/53/l+87P1b0/7tTwXP8Z9/DO+/ftb+zdINLilVCt3GI/fnHygs
25BHrPpvGphk4VDskZZqqOxqgAOwS1j/xqPWcmAymYYlpWn++fd/869n9ccf7L95dgup/fXhLQzT
UC2YabZcpjbSNv768DbmsRIBkL+jmHrNjev4itNZRSaZMRkagIkP+Qg5fQd3V7hqE90x2V+0dHRw
bTGiw7Czz3NqvKpdS4ojtgxfQ1kxOBB5YKhrlro3OnU7yWCbgUflxroxp/a9DsyntETqaXLl0f5k
0AVGYU8bB5psDWqz6OU96V0gDxJYDb3YDqaxlaNt7Qyp0nmJKhqtQ56yfdoE0jHhJeXGlpKN6lXA
y+IWMW2uoUeFL/YlsLUA5tHwyJXqG4a+hcz7boOsckHNEUqpMe3IkbiAW6HjYLXjd2cpt5rqfMps
pV/GuapXgrHcAgS9T4PkayDvCwcetBV0fFFwytHSwayr+NfO8qTYwOVM+2CRfwrGnPJdoyevlawA
VDvIjsrwfVIQOjlpUKLKy7e6bXxmDs7IRMl2pe0Ym74/c2KYlBlM2oUkZrT0WyO0gIFf3hJaHG6t
TccpVEJXBgT16vah9pMHo1VPhjE+9WN7rqV936FZ2WlV62m1falJkOB93LZWX8xUVcGvmM+6DD7P
4HjQwMSbBFrettrHAZOfuMwRMKUz0vBC+xKqyUvVmLGnVMq90PxHnVkM2NCJSbNP0bywSXLG07Gp
dPlWIZhY/jy7OlNhBtr9W+jYBx34Kc45WW5yo4BA6QQbivy07pMfUdfCVbO61waVF87d3NXFhOG4
iWzSX81xPzTmpaaG4eWQ9gSY2zOkzmfFjmmUwQ6j1lM/WogPnnxpS1dRJM1xi9lDm6YelL07vv6U
UaNrBTDD6qG7F7G9D0qwu5O906KeUSscu0T9otv5W1tyFsoFtZZ4pc55j8c8dA2AppyX8Sf0jPxC
otPcYRYnCP6Uduf78EvaKjsjmHMP8FR2g8Ps9aprPDMnDCgGJeFevAH2/uFE/c4pmBUWWJHP85Cr
rlVPj2NpRKQTlFuZKj9NQeipX+5tw6Z5ga4ujXsqkoVysoO+8pyiZxpgTW5RmwWzTr7kLA2Zr8ET
D5njAAo9WUX/VjRoaWPY/Dv6dTvuRaGbdeMnGdqU6obsuUvh5muJ+Y2wylOgxhvsM95ckmYBmLn1
sBPF4Xc70C9pEVyiTt35jDoWCUS0raeWx7DKBwl1xiXSGYTb2UQvziEnVqL0l7HWzoT2JFysGu6C
Wj2W8PLoLxOgoaDWSRx4eMIaNlmqSbeY/d04GZVrVnikBtt/S4NU3/fE3bqlSajAPBjfGDYpm9ov
iKm1y4GvF7o+J9SAsFK7zUQiez7Qb9TMgHxTBZBDYSnkayiN6+czyq9ZvoErF55d1BTITJcB5rNo
yKmm6ofVIjx3QCSyIiyPyZS8aVIo3qCg5LFr++tYD1eSG5/mJq+JjR6gbajAafOHgeM8TPGgp2g4
bsG5Cg1PNKkhGHFf1yQHCwVGBuOqnCog97IfiVh+DVWHl9S0uTOgBa6cga2or5lV7PVOux+bClhJ
vuACLOWEwj/fDPGp6xWqsxqYRxV9c+0My7RPDl7JyBJHyKM1JgmjV+ul0paOnfga5GnstvOi43EC
r1YsbDWUSLjDeHG9sP1LIb06oVpuTyjLguFTJht7R9Zque0NspVLbpJP3+aU6zMXE+oHQ+xqk6fD
HEXgLBhzBxEvrM1Q3yvGG2iybo+evUKp88WclEvhaHdt1T12VRTyDvPPvO53LZp/KNuvEJqh4zb2
a0Y90/PN+EJ6CXq9TKHvYtREJ5bn3ISkaBOVm9T8U+IeRMTC0T6S19lvsDtpu3Qwy10u2ug1I9DA
pbru0aYYX7rCf6QIG3pqR29vQm71PAZvcplCFJU/o/ypHZgs6aPKaHGfFAWd+IjBsSpBHiKRkwSU
YTZxStCMTAwJcek0Wr5GblBHL8nUUqttUaJrCZsKmTklmFT6P5M2/Dz5MQ8E8SVz8vheM/rN8rDH
jclPOX8VoO65cFvICEoxE3tRmUSFCHHum74/zVZq7PomgmCYSQVGE1e5ihwhY/bsDJ26McuUDh3V
9k0/iO/NZNT03IpopzzczyVXOWm/IuBsxLgFXdzk5I0u1nPjyDNPMDr6UUllatz0ump7oJe+cFXi
h1PpkJTEbulKkXnKDypOW6Yq3zRZoVGcT10cfIltXXErOmpZnD0i8PgM8VzbBsW7ob0ZSrsB/+0N
PsJbdBL1NuXYEsWYMG+BBR4XlFY9R5dKma+UbEJgEvGb06mnmBbG4FDczrv8E9aKNiw8e4jRZIU8
HCNRcHMxenQA7TUYrbteFu3eacc3ppfdJg+nlnL9niQPoLwoT7yQy36KHWsTU1Qa6vYUU5jQFySN
iogPrbrMt0SRzS7iq89K2WwdGSBcEi9R7OQbkkW+OkFwmiMq8Lbdv+KC+g536KpUxj1C2NbNmajF
xAG78zS+EyB1TUqQrMUiMkErRjjTVy3oyl0cVmh+O0DNXevSF+/Au9fnKtQDAqoBEOhc+3Gntp4c
xm0UxVT6FnUZj3CIqpS+dArCQW4SJmP1X4rSenF8dGDlgAylyOfJLRPcWv6IfnsU333TAL7NiChR
I0/4Drgr44vTtozeKKD62jnSqs91Pbyh/uSLD4Evoii13I4WoBtybEwzKLJQGDrkMrjAu9NN900Y
MQjymsJaPL6SOvNeK49InwGeUmybnQQs9DDx1A7mZKv12UViF+M+HQjzBfLadqwoMRMK0k/hsAE7
dV9Fw+OQXnr6TZ6tRnd+IlovHhfz3mRc/dQ/j63oXLQtL8zSnqWRIMESaKwJmEVGGh8tE4UfcJw0
GVKv0yueP3VqHrXGmhC/CfWYpWdRyqudJATKwI7dNvBPIbpP/r7KB+74me5vOmval8HwJS4rKgwm
YjGFsWlWJZ5J264b24NK8dYza6KmsRF40DbvzMhXt7FhUxaeKSsnDuxz8KPaY6/7lCHb8KbFdXg0
c//HmPlnrWhIvlOos05akxwqOyqxRSFNzsWIFc+f4q2pfx7TXsUPiZYOFvaFqJ7XshuMfVrIV41w
Tbkwu3pLAJP19elkE5aEPkAcMf5yo2E+7wZ9jMlRIMQxwAf2nP7bsaSCXNIi5tloOY9OpRxatYZE
q1cPgmc1gj3zVATZbYrC9L7pvyJha88Mu+8q9Or3EMfpPcpDPehgi5dHnGE9twayucZYAwJ/pqUj
sDrU+G3i4BT5PaCl5CVtbZju3cA4Yx73jt10W50RHzo7/kiwP3GVaHV2iovPfRgOeDQrBtdFa27L
+JZNGl1X5GlETEUMxQ3p5mPV7I1xEuc4nqE0hdouttVua2txDmmIa1Y4JSrS3toBc8L1kioG/6pQ
d7toROpQlADO4di6yhTbF/pdt1SYW7QUjAOFz3zBGpI94zN7W6imvu0MNERKajwxpqM3To+6zYmv
rzOfR3higZmzoUMnqc1bN6N1asD0bumLNh6DMoCnSpNs7PKdm3p0IxL5TerFfZlpwQP3Rwj8s9AO
Y9zvbAOEOSDgbqtNse7lM2FYRtojv4/VCUZl356zrARtvnBLaPa+9IXK4zbnNiWxEVhNzJ2YwqiX
IDl85nbyAueJKQsl1eNEqArSTce5Kya8sU3XPfd2/0mYDfOLNFCe0mBYOrrWaz/PX6jw4AXQ/YPm
+86+KfnipLYbxNicZRwuXUl5x8nFtYzn2BOOn+4NRrPUeVUvdeA2JSKoNlTUZvwXAY1EJVO82ek8
2g0adghbec57kEs+EP68kdeu0vuDNc1nRyT0VM3pByvilOuauS2kZtxNownFq2hpN3NH+r/EndeS
o0oa55+ICSBJzK2Qd1XVZbtviLZ4T+Jeax9hX2x/qM+cNjPbJ3ZjI7YvaEBSSUJJ5mf+hlh+5UTT
nomYJLLIUB8z7hldZy8kTvE6RYtIvdctxBptYnyB6qIf2vnanYYv3YuxtH6rXp6EY+Y+PIKnMR0P
YPIC3wy9ZusoB5JiHX4sovzcIOjt1keHYNfuxNfABh9sifxr30zvxxADM2z1io+hrU2rwnNdVqIu
WY3S3c6iW0zdjG3nhgh3GXzkJEEE22iLtyxKLSb3wY8CbTg4LGUT6Qt/gLpWZc0f2kb7yiX75uXi
iPcFFgAy+xC6qPen+Db53G/TunZUvyZ72bRthL3RADTYa2rwoIZjHmQj4qOThnhJh+2Awho2CYOD
PJhRJxXoFCfckt3FWx21pUfT/qRVZXgOrOARdk17Hez0QKeFq27mX9pZ6SfnSjDVPEST/NRYlbm1
EFCmz1fox9veIMhr61Je4xnMKCCk+VLVwt4HhaefhaheRly+DlYM4FnpCuFpyCnzZGXkCJTNWxPJ
BtbsdJoQg1sulEG80MZO7pcgOfsPQb+pYhdDxIiusxb0H4g4+tEU6wmgqT4rRowbkvJ4n8ESfUhn
49PQyCueiQRpNbHoBTDJhEIl9wLvRQUVBkNdgBXPreYtbYIRjoUoQDgGX3KhaoBVcm9pNUg9+Zzl
1vuJvEcaFqQfkrddN6wTD6Gz3DU3oPu6453Zu+phMAGH0vHTtqXjzWus8p7UNMpdPvXYbDbFuR2M
5tjZD5PVij32e6euG9CUnOXGRairju7LqbqYrflhXPzikZ9LfCxsoMgwr0Ox+eYCtgBpbq1G6KOo
hXG6huCfRnDMQHgi4GWVGxDG8VrM5U6hErKy8IPBR35q1k62p/v2akQVySlmEUQtGNZ0OjD1CCCi
2I7od1LcYbKLqR/L1H22e9odWmnJVdhmoG1MgsB6BqM1lO8yWz33FU3Q2gMnF8sGHIgRbtuupz05
wL3W3fwZnuap9na6csVBTCZ6jGOxyTDTxDnDsHlTa28lGMgJosZ1GeTvHYcbKNXVN/Q7QOvWzsHU
rHmd5bl3Bb/lN3VNq3OaSJuliXzcrK1V2IBoo+W0ls0s1xNdoLnmm4fu9xNlUj/NqGD4ZRG8RebC
WncRLkZLvB7PVd6+REidig6oHFq6tl95yElnECbwDkjgtMCFZtnzAeFiR6eX38qAejwBMIOFllQh
kG53l+9iVAFGYK5+co2qP9TRbAPcdqmWAJvZSNXK1WDpOZXcASh4J/YYhWzRgx98E1w/8G0iasT3
Q8Dc1p2qHGNV0ovyw7zdOMN0cIeSrFfi62S4GHWj4jDqfbom6DeOTheFPr5/3VbQ37iSRKhrVdnb
avawmRDZFmBZS3GDXq1WNPMO9YvozkF4dZbjPeWQjV3NbyyKBPdorp2q5fe2YUlfbMrSK4F/3jap
JoWlK/WRNMpRu83adRfBWoLvH68c1AhpLDvA5tIc7ROd0M9B0+jU0u1GkcPyVa/Hh6pDuJCA/mwp
9a4e8/SUFipd6WqJ0Soh6P5r2iaNeiKQqQJWrs2HMJ2OHSjLVZvNmW8VBMSajbYGksAgrvjJAjum
QpVMb7FpJVDX3AyrmtVkA8iJvOiJwmS5kvXIK4BrGpQf1xHa95oXrFsbSScBo11LRE5inVxtoc6Q
yCDHhXhVDEjSqGY/wJJIhpYCezydR4/yVzF9okkIk8VB3jGGIb+uBe8tRsjRJu3FrHo/xzkC+spz
V8FEQ4OG9KlqzZqJGRcqAGhHx3ZeA0BOkwtF2BPq1VD2N4wL1kkEwyVR4VNtsN6HgXVxQJEVnpCI
oSRXeGUxXIfoaxq1uwI5XNoJ9ScTSNjsKtdfJFKnEWgx2gxNGm8g2Z0bzzu4SfGse1trtM5RB6O6
gqpQdcZeWete9DVuNC71BJVurc+9br8b2+BKE2Ndzfw0lVW9xrDElnf28nAvuLnO4dGumsUG8BKO
peEH1LPoLaAhZSXHMPWulYv9e+HaZ6T9rtbYvK+wa0OevtpYs3U3xzMGB8p+GnIKfmWGTU6RvcNr
4PMQ8C4QATR/gosJMPjYxfYREblLp95cw7u0iqTYFDUaYbOzd2YcOoH+TH6v8njVUAdeVaL6lMOq
iJyRD2yI6xCeykh+62T7gBJCR2ILQwTiqT+7+gHBxIumhetq6OZ9ga7Mig72hy791o0h5WKoKCWY
0NyFoAvk0sSM2NeD6i6UcldGzbPudsByoYYSaa3hjcGA6vHJVFp6wq4EPD2/r59X09Ya3ut4Kb9M
NkTOoXxsIL+U2I8APYhWDcDYFTarexqTdCclrC1JcaQynXd5LqN1Q7HOkZ8i3dz0bQJj+L7q3jwv
ylGZrrDb+VYCPW+z9tlx4osU3nNmeSbgQgSdKQelk/kydgEfKGYN6+p3TiyPoulPY+ZcomoRgBqi
U5Bah0hRB6nNGMcqwPDr0YzCDVySEZCs1LSnLHpIkhgD1fQJ8EhzEXF+pJG9chhRquhhBI73dUE5
LK7g5wSNtQEE7psmN7SYpsd+Gj5j0nC1vPa5sgbCIK14wvtM24ypA5QiGeFD1O/pmb8NKVhgmZog
EWAKMRQSuFUReHcC29g01rBez6K4b1z5RfdYzOFOHjvTwKYJWldBMdpBL9QvF4X5uSnu5FR+om2G
B5h3SUz32XXVhWr/B4wSEE83h3vbnt/RlyfNJXvDAWmOPoIEecjEU4eVVZNTCZg+ubZ6oTT2MY9Z
trOPDfHCqgs1Jmrhfs0EpVcv0fOt6LWjEhMB3Hps/dYFuW6aiK5Wnes3OSF9OYH1wdvQF3AbfM2e
v7aQMjaI4kIqk5ZGtAtIyf5SF9VdGoYfNEFByNQvUZsvrkfZe1ScZN1HG9cYPsWw/9amwvY2nvbU
pF6BJb6Lp87XCi9fj5nNbJKoJ817dS2UNgNbx0dMqI+ucaJ9WVL1F8l6LPHSMvm0hoZIrm2ZD0oz
DtxuLwPIt00UWZ8GoLl+ayZ8dCakVWY9Ra4xXZoZKlLZnkn5qbhhT1OPb15n7yaLX8q0v8Klbc5J
nt2nxnisxmr0VbXXI+eROsIry8vzFFCxWq7PrIUPhk+nC45Xon9MMuZhvWrPueN0VEKGNViic0v7
3qfU60Uw7nCz0DIMYaPZuDderdHdaSEFFqoRvvDCYxAV8OIGgb9T2FxF5r3OBLiaNj532kByXMMa
0/vmtVNkNqkQVDqCBqclp9JWxFTKbCNSt6xYI0b+ZJXxQzuNms9IgXgcfcSse5PG1OeHEVkVu8+z
jTbA1YLQ8wVUa3zols5NUX3NqibeFRG5bNKhOFJm3caT2dM0Y+COL9+prqItU85J6e7Hpde/ljqt
625aa9HwAbYQ9MfwazhCCJ8D7Dltr3/VsW9eDTVjmBijAdVcW1QMqlKCVzNbQoyo6raOxq+bOFQ+
SWjBllKj8KCSIu6UXyXztsILbWV3tb6qOuswjcRqnuWPUwzElz4U/pNE8TkyFGswZalf2DaP0Noh
CkTc1xieQ8K7wIgQI8qybdJ2x7bx+8R+x+yYUdF88kS5s6Oxu78dBYqGXJl3NdwDkvtIoibsFlSr
5nDp0kF5nreo+GJtm+OuHZZDugeCHZxbu/mG49W5HU34OFXT7xM574f0sbXdhh8IZJ09WOXBGila
hVOvHgDVFiitHawEQ4Uf6ns6esI+EELsfvK6OaO+ER8FfnSp2T5WmaMeurD+KqChH6OqBIpWhG+m
G74IbtdPcY6ND6GscUk8liNRh5Q3pgoH2pYbPgxyDE4polVea5+yHJSHGFp3Y6Owe/L4SKtCxhMw
q7m6qx0g3gCViTWNOb02lINhZ6f3GQyxujkJelY77N/wFzcz+xzM+etcMGtrWH1uhwIYJYMA4mvQ
dpchlO1ldoMvDA50GLoouuTRaRZh9W72xievrDBhWVTNGhu3MQU/KnW0py7Sx3vAjuM9Hj9brc6n
o8w679zrw6qqppmbr7fvTE3ad7Py+nU3zW9BOZlgFzTzYA8DWZvD8iwHNBHqBhZARyU9a/SvFiXw
Q2EVztkMdiGQlM2i7UoRvQkurpUOa22qJKDQnNCkAnLbaIbzTnUTTCWdjF3W5MNjH+5nZw4Y+HRu
krUKYuuoKc86Wgby8Sll+RWOJx5LbimeAUDfSWCBMz1ob405Gs7KoW74EOX1VZ+54s1TFU4rQ42D
twmN1GnnBd+o9euG9uE+jU1nSwBrrbNUpde6S6kVDHRB7BMLfn9wNHdRSIGd1ge94+cDetUqFMSb
ePXsS/gOD13dSV9YLUxC4SO4pl754OYaPBJDck62RPTmJgtShM0sIz2Rg75MRJOHfmSltaOvA6Ll
L4Uwtmk8yk0QS8UFk9rGHIZXVVrNQ/VNLLC0wLRfyNiLB9lfrZLaZNPnHxDkF/Frr5UH29HUFZ9O
37Btea09CytXql8wA6thQx1/3reYr/s0/qVvANLbuxCcPNdSB48+1YQH40IbvzMXXfaW6WewIsTa
QF5+Rem8Z4m0n8GabjNR0lUX2rs4zDedSuNjbAjPNwsbHlwOuJSbsalPcI8WR0a4eSLdx5Z8HxgJ
5CGMwW1MrTXc0IpzGLOI2f1jSM/Qadv3IQw43XY3Rgjuhb+XV8l9W0+b2SnfQbZ97qX7PivMo2PG
6Q6h3leZHjxYCls3ZWCQlTxU3rpibENKQqrJxudNrwgZ+VVKwPoipHjszHJl0qpjHdNeySjXXde9
L/Sd0csJm8E0XI8xNbZJfp4p1/QJOFYA5kiEeFi40KK4N1uCNUSb4AyV86tRDMfRLB5xWP6Ym/m8
qfv6udDdncc7bZvGup9SMW6a0Kp9a8hQUhGCDmxZntucPpZzQPUSlmO+WCeiVUnN7BAIqZBhid7I
qz53c/cCCtTZcZ+9BSL8gobLG/YaGh0CXKLSGaKkOR4NfSkCIGcXwt+hojse6A8fLD0JKO0IHUKh
9lbXRoqidkwvie5OXOXGOyyhXsBW+PhQtqs0NbsNSRxF9I+V6t4n2eD4RkS5kOFg+a1WY14yZDXV
lrXbsh6iwQDeYSr349Bfa0K2zegtPKvWgAGOyxAfrPyUFvX9txCxoXcg4jQMxfgdanVoUGBZZS1o
2NHEX66MXfT2WUAwvaCo4dEDXBVYsxzSwKLXUUXVcbYFgLPYj8tO3wNQM6BjtsNmRK9u3fQmUosC
Xn2IDVw6DV8t2a07K9DWLXRoGuUCoEkUw6kh0kjMOtj2C8utJU3ez/iLr+2os56oEzMoLborOcsh
vn/2LoqKmWJ86Edzle6cAWgxru5qHcmJpoHHhy6tAItlOozzYJ1sY0m+WGbo3vFJvBm56SQpNd9t
+0M2jcMxw5kmLoqXsMWkCX/K6aARGBDNIKJBYU/bs3AjmYV1rPeUGLGxT4AUWmpITgFogoNdUorO
A/2eGeLR6OjYKA0eYDOhy5NAfG87r3usl006GTTsHe3udooWgbUpexDA0cJSa4xkvA9zSum8YThG
LwzL7qEI9UOyy9HsQHuiHLeNCeFvmKWiA04Lje4pxitOPqxda+cm3rTrmd5IxCoXjluJ8I3mvg/a
+tUtsL4Cz7rrR6i0hVZsihaXISy419YU9peulr4tEu9cpKN2tSiGSxMRNlq02w5HrVWfNppvJtBx
pR1GflsvbhL9F+Cf7V5BkV0luhqu0bI52arCxap174IyLB9SiNxnU+jnuJidy4xgjpuvCrjmH0x3
a6tUR2Y8agg/QBNXQB42Bl3olcHN7f+/A8D9/8OsfUYko1sQcGFc/gI+8wB7/e8Ba7vmf/4PjB7K
n+Fqyyv+jVUz/mUZpmV6ru5JRxcGD/0FXXPMf5EF6oZrGzcMmrT/hq654l/SAdXlSBdtA9vSeegv
6Jr0/uW4hgFW3F7gbo78P0GuLdg7xtYCRr+BzqGg2J6uL38I1QrTsK1fcWul3U2eLhMsQ+f3WRvW
p4nqwAkvAoiTGrKnRU2StbqdvG30KRauf9uNClWdfrzmdm5YXv3j2be9yra3ZtsNZ4CZ1b7URyA7
YwHgSWB7d/q+2+azfkqKqUQhjDXt+6FWUVPXkCxY3Y5/2v3+ooxF3R/konRb18nWzpinXX1yzreN
lEud7Lab10rh+rpMXWk2nbK01Cny0+w+azE4CSCc3LXLC+tOTOWxcA3zYEa0SZdzP/2drhgkbzba
723mbIgVMU1yPq/fa6o5xzbkN6SvWMA5um3MDj0fWorLoxXLBh0MqzlrC0tueaK+HFWNywO358g6
3qpOIQ5QTagAmfY50fuLHpq2r+ak+hBYCVZwMYpooWufHLgya8yqyg+4PX5wcFt617l9sxu1gKpo
2ucnbUjcY4awZZznp9uZFL2040+j/S8w5M/EBQbzf4whAJiOwfDRDWQgbo//RFxwpExaiJ/GxU7R
A8xF0B3TZdMqU6DdFJndsYKhd7w9cju87YEemNYeztp0/N3qeNuYmV4dszREfeJ2/NPu7ZiYHSTG
GHebPEStQKZb6BPZ3W2jBiO7K8ENAbpxD4Mp3aNLCAZCJ0ZHKXR2nkSJoggxtQwnVv1cHdxRlx+S
BgJ7bOhv9FnSfZvpki6zXTzbJgnXoD5OXWrtosSjO5a7AWaVuXuWbu+e0Qx1zz8Ob+eQIJM7mj+v
t6MfD/54riZNsEpBHNLEbA6Fk0/EwGo6mm42HXUZcNP9ODbUkKNCujz+/aHbs4iTpiOdhX8/VSyP
/3jRbe+n53Renh3g8GFmYFt3bdvnl6yl9J8M1l1XpAl5vZ12u2QG8lcNLgz9XqeAQXHrbpqHrzay
dQ9dBQ8W7RQcmUebHO7vTY6430+HMFhcP54W8P/ylGEW6GxF2CTZVj9L1JW6DwVkRW7WPjh2iRUc
+2VDC6Mh4EOomLi02mB7ldJHy5LNGKrpQVrKXbtxqq3+PHSthVLzy+znCsukWuNZlitoagAQ/ply
Q47hBKMU2cUwuR3tIaRfnganpqcw58Aq8J3kQzhU02Nazdq+GsIMAf5gEWvQQG2IjzXw+yuomtig
/M7uXLaYpQTqy/dzXrWj8mc8GsYDalDNoy4Kui8QgMFoLUCmeYgAKgHnpFdRC2NTkIisMK97VzdZ
d7mFHlEavrVZfi0sVGCJxbpwlztWeIlz5CIQl7rcjhigf74y0vkvV8YxHNYFpNm4rX9bF0DyltgV
Z9llIeUFnhadETBs4JN0q+62TR2jOveNVp2/H992w168psBGdqGoUrQ7ac84mlWtrAnF7jpRn9K4
Dimh6F/GElO0UWtPmP1hcTsL7z4FkZl5k3bMtUpbcvIAPbxldxQOAlm33TbQPQRplmd93/3pCaLo
aRVN46oZZ6qGbtdcy8U7qjeHziBDS6Q/x5SR2hrgKECnO1zGbEmjJHwuQiQbIu9rCge6XaHnV5yj
KgXveNuNdVWcjQr7NZwtaIqjw3j48+X2wK//MhAt3aRwYkq6X5bkiv82EAMkmU2awsuSMFhAiE30
u//eVLr21+FYlg7CgH8f357T307+9vTvz7ydFNLexqOB/+Xff/G299ufmVQpvr9py4f9+V2qhlaS
3gn0/hdaYNuBC0rSOtlYdK3a1aBkeh4MUiV0QPKeKhd9OmwT0/XtkWRyeQTQT/bXk0atKAAhxfvv
526vXjYWcpd/vebHI1D1Ylp/9l10+zPO7c8sz9YSzdtQUYkBppYzqzl1vRWk7fl4OwYGMR9vh9yS
5pbpnW44+eKzmSHoLruTXU/gCERJfuVksaSWOxdrZYTm623vdk5V84u7lJr7eLpTSMLXHXF5Uw7W
Xl+8tZcjbVkEbnstQI7vgfIvRJGf11bv96WVceGyuBqeaZtC6N5vnMARXykk94VzHNAjWWNqbt7D
nARJnQGIotohEBXgnDEbqGGhyOjrS22fEkxE+8cbCXhkXV1xL3LOIPqQyOKoCyTwkdsDpVVG55aY
pujD6jqkZrWjBPwtX9SVwHaEp9se6g7gXHEl5tb89ZHe6rlJEzB0ThTNByOnwgQiKdfXkekMQCcH
1/KbpnWPzWQ7R1sRjyDdyZP68tUDN0qjdvZOml15J3w2A+rcib6+Hf7YNKP711N+nCN28E7UkGeF
ISgelLJCYKm23TXd8fGclaLgIy273ZRq1rbCUHtEJI8pXITRUS6PFHqb7irD+tCMQYLoeA1I0QtO
KU5FNP1DG/PLv4/HiS797ZEf5xJY0T5cTnA27rzWJyMHcIkWjlcFOSbHGFCS4PXbSrcGQELmoepN
Jp66RiDqz5OHWLglP61iiMW6rpQO/9ggnPXb5EEAqmHQhH233U7tZ6Ax76igqaO+bJol8LodhuOd
0ytxSNuQWnG90afO3CGbOK1YBopd2PE5SzPzLtHouOhQ9N7ldmjMXXTSHLHtTV2ckAxZm9w74DdQ
pxi7otnUiWQq0JP5KXbGx0jNHp17QPjpBOp6rpyMqhNyXu4/3BvC+G9f25WmLSGRM32SWP28eHcu
ALy+R6IMG5Z+C+dteAwwaz8nTvPVAoEgqW7nLOO7xFqkphG7Ot42zrI3a7gz6OYrpOXhYi2GmlGm
fzKoJ2/dcJ6ORdAbh47yCyxZhcondL1IgijrEIY+G2TS5zy0P1KDSHA+ZwDeRmHIOPuHb2mR6P3H
j+s4ugvOEEaNtH8jFjlobwdg2hXytYa2E5kVX+Wyqafe2Q219wmsqzpPaVRswx4BtNuhEYK8AUx7
rcpG94XphSe0nidfFQMQHGqYSSg0/JANrpI16wdvBnJRLmWI24bp4yStyj3djiqFTy9ewTRgqU2/
DgjsxU3nXYXyTLBp3PzRXCfPA8ym66zftfEWW4uPgN+ml4jm3ibrARakcUhNsOKtG7yPrxR1iPnF
P8Rz/21IeKYF8MmGhaWTcv86JEqRhZbmDt0WEavoLi/C6vvGDDKEL60SfLty+yMye+2q8WD+c9os
HXRfitA+6aNF5RrxYx9R1GA9it5F7SV173mQsKc9UwsKdrEwamw2w+Ye5P8SrvGrWBL6iE4xNXmz
hJzOKsUkW9Aa81GI/fPd/nvMutztnqSWYC0LAiP/t8jMqEdidJf+VeB5qH0JVUncyuvBJ91CGlpl
zfm2SUL0BjrFd/5xDhdpw9clCgjhAMpXAHvduK5Tgj9s2oukQVRQzWe5A+mbX4m/8TyNbXBL+uzF
l2rEwamL520Qj9XZKaAhDeZobLKy7q9mCPkrAGuNS/2ASq0N/Gd0FHLvNoVAr+4UcHnbfI7CbF/i
BhpawSbRAvl/cb9QGBHcKgKaIBfotyGQpqoYJ6/djgNXou8mE0dSg3JkTXtjcIy7WauHU+oBcM0W
zWA5dua+C/LX1HEisDwQe9YS2bt1Uc93lsTVIDAqiFRd1stj7KbrVnOth5xK35McP5dJ5TyORBVD
NB2Nsp5w/UAQUMXGc5uG40lzIxxNDO0QRO2mnrJgPRduxWrZG/g5jO+TGmAb+nmfLaPYDqVrfcWO
5lqbif2hchCN75BsD12HbvI/LBrmbwE+w4i6D9Rb0/B010EF4dfrBKRWrxqJjEEfmt4qm3Jn60CC
8DEJvSudcHisgvohStN8YaKVB8SCoqMm9C98R0WchJ563QGWsVpXOwzluGj3R9cozqJr1bboE6lv
qMPIc9Gqfh/xHTBZLwd/zoC022OuXV05N9s/3xq3ufDXhdDTDUEFgpnSlIROv34nMDNxY84Vkpph
a6GS7qJmhap9k0lxbkssbkvsh8Yg1qiJYqqqFtmq28bLRgjbMjpQkIt8lWvj/dzU031DDf6iUT6A
ox7HEwTzvzeugiZpo4pt9sZJ986DSNUpicLxjJIu+mi33UmvxvOwbOah2SVjPO50Tx1HJcUFN/Tw
PMh8nQ9JRjavajTc1UX2UI7wvVIn4CrOWpnosEJWp8eTbotFBNoonRq2xWCtykL0J6N1AMh2w/JV
x1W7pAZa4OTr1hDaIcpFdMUqeBOkddOuIgO/YJNS0vdNo6LPhg4N9c8/g1gW3t9/BpOSJxmL6/Lf
bz+DoqBVaQx4WnbxNALvo4TRwC6/q7JGHPrP5ty/RU6jXYfO1K7k5gEdTPeMgKg4RWq89FQiDjQe
tIMjp09zaVrn22b8e091eJPXeu1sJNa/xzlM10pTyRl8b3JOmumpKERy0fNJXWIHyEJXGDt+Xqjl
Zf3w529r/5dvS9XL0Am/PAmT+Lc1BxiHo/CNoBcAqQGjLYRmlOcMJAZuug1PUwGSM/Hyb1MYPUzF
TuaiPic15KKJkaDNmjgkjdpHTTRecC4f4A1dsZ+C3GWq8kBQvAn6EquGHEKYcIR3SobxlR65fQIx
gQVr2TT+3PfezhMoeSNxRd7d6+kJVkR6MoUNiKbOJnzrNZKIZaN6y9s6pfPkxWV1uW1KWvUXt6ov
00yrBCXhcSuGbroDkwRpuEnfhRVz1uD292ncYpUWkqeVdpz7tjd0a7uYXwyz0LB4L6sjoW5/QDWX
mppd4kJdAQorauQL0gBK4Z+vvfWfISA6v2K56Kjtkzmbv97wFYr9hH0BNs2DuUcTMDrpsxz2ERVn
1CYy/EWMcefYYHIMBBg75OruYiGQnHG3QHHy12KmY1eXBtohlfOxEmTABHirQu/1izZTvMTqwt0O
CHF5sqZOGUybUNOnQ+/d63FgnbTOA7RrJGi4wl+2FbBtSjx+3YOPkNqIszZAKwHnYyoR/hFZzqXR
rHXd2MW+H6PPf74c/20oMus5jmELg4vye7ZodmlfVVXebC0bsoRs34omVx9TC+K0Zk7pMdPdc4i+
050RZIZvj667cz03ebTbXp2b1luHerGvkXWi3FdHeye/JUG2fW49T21m9Pspt+vw0ezyGcY7kss5
5ONR79chkM8Ohv7+thAmDDmUp3dTPImjg0KPR1EV5H6FHlLptdZBpNn9NCjjMokyeqTI3e7qNqHp
lEE2Cczme3w1TOJDMIT2dnQjeeyXTT2m+Y5+7SWuUMuepa1tIgNeDAwdc62ZxrQrh0pt8kbSvwBh
+66xA/fdjL473F5CZvPUT1NzKeOs+ofAQ/6Wqi8LKvB2A8lriokQKX9bUD2QC7L2tHprRtUB7nj+
zgmbL/kos1OsKmbrCAN4a3Cbi2XE+gFz9VODJtK+daQFnRj5ZXT3n3LQv3Hu7SqQfKAJPJNKgz3s
6WUnfunWb7KT6Zr1DGMMogfTEo8FN2lfWJ/yUsaXNNTvJYzFNbBZtWMNem1U5hz7zKEVqaFu6Id1
tPUqa0+aGB612g18O6xZ+/NPQKTGVT03LfRpoz27U+hhf9A/RmFknL0EeHximTv02dPTbYMcGS6M
jkC72VT2P3QVbpfrt0XEsWxduCTjrsNE9eutHZW5quGhcmt3NgnlIKMNBIWVUtgIayl5SFxrX0e3
fl8OBpYAVsIV7p1ui3dHv4OGcTEH7ymGAIgUSG1iyvUSZslO5XP/0JhAfQxe/2hBscU4etMS8a2D
pgnechILSNSofGvYJgkI66zWjPS4G+27Om0vnejDSxMa/Kp99TlGJ+fPN7FcVsdfvrhDXGYIQKgW
TRP998CMu6nE8YpxZM9yaxSTOo1DLQ61ymgNx/G204AzIAKD5vs02GdBe40lD2GFaYhx1BjB38qu
QgUXN5eRXnStV/m+C8V9lw76apg8mmJDNl5Cc7D3tYdFih1E2xEd5ru6aKor9ZltIkndLWxYthNg
g4POfNpVoDRop5n0UbzpM29ovo6zuW5G+hNcnc9t4zzoMbg7vmy2RRy730TaUDzmQEqW/kThYqtj
5Q5tD2wnZniTZh1tgrEk6YLjDqQhSQ6NC6LKaMqnJpLWUeWDdexqp9n/+Rrf1Dh+vcaGbju329WW
TD2/5VAm2MKk12woUR75PqSmS0Vh+WIrQqtgaCr/dkhksugJUmikWT5ZF/PhdlpHvm9e3XZvG8gJ
C1+2GNDy4Y8gO2FsKqJHGB9J8QAu1fEDTaqtyPoCMTrOUZPS1wNZ08b15uCiDJVHSMROsG3LrjvY
qoDc65mFT9ypf7awVCqhuDR1b92DhOihK2FRIklGqcrq9BuBXR1ve2qc71LXTlCi/Pd5UwQm7Lnl
GGT1N7O3hruJJYTGf54/RmRSwAo0D03MsLtEMso2hZz7lyJUn8quTfEASdzonhSC9StuwFUZk9po
IkFSqu8VUQzlHih+zsvs9vg79WZ76aOxhEAnX1y4nbtQFgm6UXiTFLNNwQDLL9Bu8gii3qCs0EOD
czHq2fErwff1AkSgoi4a4evnxj9MKob4j6zHMV3a7Q6SH8QN4veGj1UVlSYgi22nyYouoeVs+w5Z
WKHyZj9qmrOdWNff2/WzyKvmIyra84b1IjhU/4uy81qOG9fW8BOxigTzbeesVpZ8w3IYM+fMpz8f
IW/Jo9nbU+fCKCLRkrpJAGv9ITGmByX0rkBBqq9GPeFOgGDfGVDTBdAunqhR4K4hrLp3uHnAo8D6
63Xqu4ex8hFJTKDHoeTrQ/+YLn6nmV+sAEmOUBX+g98k1dpWXPTNgOUQqiruAwyFjDQsL7KGqFyO
BVmTrNw+r27YbG66tkO6XUmNcB37yKkWrZpfcJxSd3yrUV4WCRnNwn8g8KM/zjWOS/FZq7vnsVRC
SI/xN2ewnNNbrZ+l72KPP8rcqQyde1RxNFjIau8QMyoha7jZqF9d0l+4EjhfzTbobnzyuOxuAZ0u
9Aq6YFoo1kHFYeY0zoWZ9BxLggjqcz+qpwT4I/ztaeFMrQCVljq3wBLJ+dhm90UJlWPD9/pnq3gr
K1acbzpn5EXjcL6OMFzFNc4eT0B6AhafNtzaxvB5eopippweRK37zaihXDuplyCgaaGSb4PbQTjM
v1a4wW4QlfNOlpv5e9HG2aEHD3rknW5vI3cgU2V31tqsQXnzrCM4XLfFY2Ki9p4i7/VaGsX3QI3G
78R893wdJJvh2Cg1kjA6yC4NvVUokOVdPWrVydLbb2kdgD0Y3HAADlgNB3kVv18NQPv+ZTeiWf/4
poMRIQiicg6Gxusan44lmRVMnW2o3rotvX5lBiYU11C3t2kMdcXoAYwt6jAeNxa7JL4shIKgkI3K
OTHu5BAEgYJ9WToPNTKKx4+inKtYwtYHD0D7R3swuXg3YG76NlZWhZg1LeQYWf8Y3RdRsHS0usG8
kXkfHWrhko72xbhCBHw8du+FEba/V2WHbEsUXxwKiLpIQZYYtQKb1EzxNfFEtANGG2+6aGSXUDRX
RwjvDsX06mIZNfjXud0k3gdyThuPyPwPl2JkkfMz1BI3aJv86DtcurRMkBTkO/U90PHdlIdwWfSt
hQSAvEznvRMEpnoNmj0+DQMwhrBmbzVHlhuypsvUIPiDGHFlHuKharCa8QkG9XkMF8vg8IBZhFVv
MvCBC88fn3LhZkCOk+bOa3LlPBiwmiHV38mmRuvh5zWYa0Xojmzhj7knv5/5kp744iH1NWtqaFdO
gPWuJryw16tSu+ki8JuKyouGTOzXIEvrHfYIT2pnW5wMVTjWvlFYh8FifU4aaKiBH+K6Fcbp97R6
cADbfm1Aw6+8vvF3HYCINYKCxPPYnpLC0nser4aEfQU90dGbGi05ClUhx4vj1VBAixD1Ed7trx47
a+bD5lzvkuDQh0G+k1O0avIW6MuYK35OdwltXcFjzdKLS+CExqlcdYTf3U2DSARkA2zDZ8woAjWq
rfUQtyzFPr5dakGf7aPW3kxpRI8VE9GW3b+NkZdJHHrBSh8Ihw+GX65lo4lyyb88lf9cfhwNFRuD
iJtuWxYb279valkrQ1H7qrs2TawbtaDiKDZ1tbGwBqwNM9ifUU38cYqz7EquLL3Kq95b68IDXFzi
g2ii6XOURayM8RbFWDYMszenMnlsjeWlLu3WCxCmBxwJclym6JdXA4aO4DCwozMSZLPUGoF5itzM
TvyF/XvcCHAN9UzxpFZVCsSwG65a3fvbP2/A7Plg/tsGTJiWBrTAEo4Oi5UT06e3U4L7dz94ur1v
LfYD4yppg2o9BpW7zeseoSDC2uhYOsppKGIfktmEnqHtPk3o6x7Z9nqAEKhGdtNusWobZ4U0euHx
z1aa5X5wOwLX7oTKR4Ug8VQGB0AA2UXWlBYgK9jvJ1kb4ry+G83CX4siEHgrSQFjCuB4HNvz8WKX
RsvLyodklrrXVMoL/vdanYFHL+eCftCwRAl6oPF87E+pj0eAHXwL68xHs73Pjo4fa7eag0lYjlrY
N0ftfyR9o9ylInsIsvBk9U1xTiMUFiZIqLLAmmmErzq92l7RHD7aEVs04cBioGMp+NL9+bPSxXzU
+tuHRfoJuj+JBxv4IgmWv39r4elMlVC1aY/tWbH2XJGecoLSqEHNlzhtcwkwJTuZeQhyNAfFF8xV
2fZ5uBMJQiHlLEYi3BDJF3QcSWX8/Z5yprxHZ5Q2uCVEuqcZLEeySt9hdnfSJLJOtskihU8NlW0e
w9aqPgUzfxwYN4FXmj7a9Y95ctxbz3xXnNnfxmXzEVhJQePDvFpHHuHslGSWtkgql8h3R3pYVmWP
ZbnxeUx+ygqvovpSz4WsKolr7GOzv+pq0Lw1fXSyn/E2KeBwQk//mfAxHzikhvkydFfZKzvkPWV1
FGh4mzYwKtmRd7A5MB3tDnkH37+yK2c3FT2bvdB5zbvCvcHQzn70s5+y1RZtdbbDYlalYhDRhmBb
TG26kdXKgK/pxhlSSp3hHNJe2FcxwIsiIK6CWfZbQnl2Z6N/lSerfO6WYwosl0i5BgfLyO2zQ9IP
waFYa/EiEzdvVdnTuKN9xpEIAHIDDyH0Q4Tl2nbtzSoIsnDmK7vX7HxlttCfocBam0jDrgL9ciwW
vPKcqXl1ngDj4BvMJnh2iUBXeu6RRZMDQFvIS9RPLFQ37C9vbaPOYVITDVtybExvxcjioAXiYRpz
7aEzw5UDZuRO1gqrhC5dqu1JVrGGJURQBtBv5rEeL66thgAXPqFURfvqAf+/MXAANTWdBNNYsA4W
lQEacNZeQD8rY0FW5sYG57t5TIrKxVV2/DauDS9K6lawzhUPn6kWtmHgKE9A/BIUdZAVlFW3C9Ct
IiK6k1VN50+ZmoZxllUQAStN7fq928NCSGZEgyxKCUGo0zw8KsEDanvE90LR3+lomE5PYcILLzGT
dh+WGrofEMPRRWhNe9HjiroqQvVbFEw1rDObU0jf/ypg+MUanrafmu10rw7Iug5/Hz0Uz6IkASzn
cz7ATKZpDqOI7LNQdPscIWRs8EglBnRjQlY0yU4/a8dVlZskO+zG/tWdBwnfMqYYU5a8jfvVNI8Z
I+U2IOsB3GU4Eyrs3wrfomqYVb+1eW5FqO9Kvg97kkf85uiJmseIJSlYJRqmn6KYrlVbj4sarztS
MBTqUHP6r/ppL6tejyZQC7KjLhvECzxPa9hyj/U6N5HYXcKR3pTkifcGZ4pFHj+EEC/+ytrmL9OA
WYCLHoe/oQrPXqRlR+I440aY+XSPDuQLJ5Ol7iX1jSy6BqAckd+WbG/CjmDu4MMDPDcXHx2yTfbK
DiMH4fwxI89wLXJdJY+/CrfGVAqS/7x/CsyNZaBUBD8aRcdE1Q4Ifn8NOfefgjHIL6pd5RdkyVe1
OlhHI9cL/CBnyOPcNpW5dcw52ugrOXhua+dxsjbOU+X8YNYu/pfV6XO4DLgLsHrigwCM2Vppn1MA
ph6CXBPdpiVaiLwq4t72exFMyrnFDOeQ+liXEU5CFsb2IX1M0zJNEusunWxwExa8/NzSgQg0w196
F4dPSsDKNOADXqN21fVkCYGxiHkvi8p+B8NON06IEmC1M+cHvB55O6LDz0C1f8SDfeM1erhzrG64
lYXvf+2norgWE7CkTE3zf4lnfYYP6rZBrl9VST9BUAPQ+mmFNvkJ7JxU0EaviwRpRwe1gXEGlwaz
HaWqz5qBGZi+CNE0YK6pvgvyWZ5Zbc9dkbFkIA2Kp491EIHOCQD8T2Wn+lYeslwd/QigEx3B04DA
9uSslQ6QgD54+ExFTX/wowzbzNnw18rjx3hwx/0kIMZZXr8ditw9JaX62kdtsvYDu7uLHNSUIEyu
cLdy7jSNSHaH2QLUgRNAS2NXY7q6EMj4+ZV+U7jjnZEp4gYSjLO3k+wliEr9RmTaozvUw6G2cdvV
jAl1wiE5JUHTrOqhEDcFAeR951tfkLGfznZvT2dzLjxAhsuEBNZCsLdbZLWnPAcdUpqCZfBQepX/
YtTDlgCLfY9vDpmIeHyVzZj8kkQUpQNfh0lgYceFCovrzKk5e44R/7B65bnFVHXDLmrXFSaubOW0
UNB2THRFvCaI0q/ZHEarPz8Cn/dnZB6IjWkGGVddN9hOzxyP3/H3TlITzhibDYLp6aZ37PE4vhdW
hg7oFCHmkAg0USJRk0hAkX8tj6ZisLNzjnjkfGr6KERg89EN7veCYMcRAAS6Fbr31MSQlOoEN5rJ
U/wLoi4+arIQ6/78C8nw628bTn4hnmhnzuyR0LTAp/79F2oSHdfIHsxTNUF19lKBHPJcoGyEayVC
eWAMY2sj24a49Y+uaq2VtsjuSyuoVlj+epsK/ZR7FDewwSvCnVq76T0nqh4b3S7eO2U0LskXuqsw
dO3zp42JlUY/WaC9rYat8CzHaoTnpPsxhaNz4Y3oXOQVzFtlyyoPjHvukEVW4nRmj669nuTUIIJ/
HhJsWSkkMC7995poMqIpFh7OGNMf+Uj8295t842HeNwCd6/y3mhwMQW3g9Jhhz2anrPb9oDSreSl
LDrXiJYC7+zf2ixAEYRos8j8l/2//Y9IkgUo2SIbYWpoZRufExLEUfq410GKTJbq3tjJXTSm8SmN
3eitKNyuWucTPsKFX/u3XYPdsV0MmCvzy6ljkiNCokLnVkj3LNlN6zsDqBhyW8hO2t4TSAaEVBv0
o+vS4oH2wn4dFN5RjYoJz/UQ2S90q0BFoFYLzxu3gZUzQAKPzMF+iCJ/3BIunlauU2o7v0aSppjf
9eSd7V2gNd/Qn4BUKttkYVYO3thte5I1BWbeKi4t/FB9LFx9jt/rPBbinChFt7bVMlqGxnyASIFy
TQrhEEzg8ULqsRvVjPGcpbimEHi8w/YiX7CC6qt2NMJTX3btHTJT6wx3uMWgxtAC0kasqwwxJNyl
cSkYcWvLwTxMM0PGX7hNpyLu1YIlBT7HDmdUXv/fjxXEJZUoF+Ax1TLd+YP+7T2Bz73Ru3ldbWaB
7WhG0Gq+hf9PPQNsZR1YRbXlPfNQdlGBhkB0dJu+StDOsFF3+7gMRFQdZGPhYLZgIL+LSBBKB7mB
07q8kkWtuPbGc6azH1hQet46msDcuhDBRqPYBlaB8VHFUovQmbdGoHa4qby0A1E9rtsZaymL2dHi
1AP/WJQpvg2jug+F9W0YG7IFeV51J8VSsZixKWTVqqCzj9YB9ECKWt5/isnTmz15LOgXCqA3T++a
vYsJnN17+qEUmg5PyUOqjg+8F2l+KhJt2glBeP/Pn4Q9hzf+/oJzkKRnwSZLBnZX+/RJGFiT4rTu
l+Dy8fFpYQBvJtPLVkUbqCtTcfxbT3cQeSKQuQshdp6VMSCRYsUXo+iSi1KDM639oFxbE+yNhWys
giS55GllraK+M5cY8ExL08QyVI2d8KZx63pR8859ZG9nFid4SuGhxF18oTmZtemc3r9p5oKsS3GZ
Qyitn5/bqszPGFCMx0zY5U3REltlVX8Q5dg/6HZ4gGjoL4IWH7pmhovnM0a8laDwSSUltpA+vbKV
vOzR1a3wGGSRe2NgaO3UmXYqQtO9kU1ugAdkpA3PlYCYspBtQwPFrUt03gjzrI/B7/NtdgwLh8PB
dgSee00j9fznz+ofeyvCHibwWxiaqmmgBvJpg4nVVhshjF9sFBMMAT4E3kYbjf6hzSd/r5QqoLa5
Gvn+OXecnTza8qoQa2X0yWVV+aKdc5kSwyD00iTpPqSkAF7Z2YLeLRoU9WPl3kqgN0sulCzSIJiJ
L6mxCS3OcD3QgjtAjy64nhqZo3CP5U2+16eh2w/w+iVBMs70DTvF6snkY2FD06wSBRkGq4M/4ATo
fY5j2x1cO/m9yOIG+tFHoxzjNeHeEc60Def94yBpSnMhqx9tcdrbuHu9j/noTtCHCuoCy98BnYFo
YE2zUC/cJG7YLOsUv1RgvEhhNlqHhD3GzzFfAztEfhvhYljyQaTumwTV2c5zq9tqppETKUPI1mKn
p6mRtbfVzLug8ffCiRV48dgA5y4c7c6KEcxEfvjP3wJNwrg+PbIcMAzXhnVrW+IztqatxmS0G6fd
pFHmLTF+0XeokNjI/OO6nZpqjacQjokjB5VlpE0BHNZ2AopVfpd75NwJq03khA81LHiQokji+FWU
L9J6vMsRADXqsTyEbhscAoT157eoLEKRtxu7jF859Q6XZlawi9HQOGfuRIxlSnl3zR9nr+IG1ixb
A2m0EJeqRWcN0ylO81+FrKZ6fwUvhe5X3dencVa8Y1G9BkoYbq0hQ3+nT5K7AWsU5AUNlB0UHY9v
zY3XySS+Na46rAnClOjAnQa0vJqid/c+u9IdxXqq7R0fBJxZ3mD42lkHaz5PNL3mI06mHULyAss8
RphbT+G0ema4FdBrcDJ31JXvaWDJLDBGQxdW6PvmD04Q5EeFTRLu2yoJFdlO+HerYVy49FLgKG04
b87m74cGotNRq3TfxM0AYHUO4LktYPhMV+utlZc60tSi2iCblh2bpoYJkxXDWct8cepw8yrzNtqM
aBtt+T7uU9/1DjiTAY0lOIM9R5ohv00RRB5yXu5o7SZ2JCGr3tGI/QYLCbup0Oin3tmjvq+akNO/
XT8EpfJF8UDZyVo1CRTQlGza+l7gIT8VIFzBp3zsK7Ry+9qoC8L/1T2BFlQANatCI1/R0LaNnKUy
EQ1Gz/tejQECDH5578/4uyaop72rdyMJTQ/chFIe9LkIOaccZNXt09sQIRuQVsnXoRLaJYvtBpGb
Jyg/44YvKhpRVTSdJG6dbb19zNTjFGBBvND8VLBFoMgjHAn+/ET9MxcCjt02oW0Iw7BIB3xKAWCr
A6w66OuNM/CF1XoA1IaB4YIKwvjtSraRREcCJOzddRsfLN+N7nGpRS5VuKubyZ+fs3hCl47k39Gx
ErRM4bsU3uSfM+fi+45y0NVSHCdMLHd9YhyKma5ajEGyNfLswZzYJGioj+OfALO1wvlgUpC/A5Zx
U+UOGHvkbDHhZPv2599eMz9vAVhJyM9yvGFfDmjmc1BdMcGEVmGPW0MCVwteYPGc+8Uxxk4Rt3FO
n17I6yO18meW7/FkVx4J2yErnjMsWbYO6PtN0AX44sV5uDbmYBDMtufQ9419DsHcXLy3ubw+98Ec
JJJN0XyVWclz6CYKwMnurU82v8+R9+nniJNsem+353t9DH1vt/QePSkZq9LrcZeg9LWAud8cgAZh
dkDI486Ju+zO7cSwGsmWkv+nKjtMe7h25B1OnAuzO7JWzSWe1J2syVHYH0LiyUxz+XGjKSC9j8pn
updDvCx+UDUHd183LoFjU3R+Wx6buWjjzkebCKi17KiBJx5xcwwANs0DsdueiFLn68BQg3vDwRym
rE1tL7GJeKhjvBCMTwhuQvAaxlSgiDFoezlYbTxlw5YbhxQESxdOGCq30Om8WxMbvRU+kSxlc1vU
Cu/Wjlr0LePSJCdJVXb0yBO3yBXfyFlpMMSY4Rk72y6BUHVpga4S77e2astTMcDW1iy8rd6rsrOZ
RyDl9DbCNyNGRP+p5rMgsRwmmwiM3fCaqW8HEkyVrWG6LTPQA/dYaTk212YHsoFjJGnrt66a489b
l2yseHHmW9nI0eWhU6cvSQRm5eK2kOfM9tafLC07dPBJ/iVnqGGcMO+1fluEDaAM9hze0jQN1BYE
hr+fYECGDghZpdGWg+MingqIaegY47Nr3r4VWq9tfWT8lpGhxzhHe5qyig3kAhy3TSJEhkzwab6R
7t76QZA/1T3uhB+3qMDl9Llr38gmI0KKPwPtudOK/CZChvCgB6K+MeeiLtF5Q/L+JsWl8YC4XPPW
9N4eZt7cnszSM/8ZK9tGvcOmGBX6UAu8G2FW7k2rZvbSMEp9LasfHaMSb1SlU1gIhXsj4tzc+0V3
r3Y6vIO56HRfHOs+i9gqz5cGCgPIM4/tVanZwsk2tF069KKUzvNfR5T817GXqTtZzVOke8mlP/Fb
l6dMIFI3gR55dcVYLkHMQnsyhvCpy6OVqOrgVQzFuCuGAOP4+W5DycvJ+qGOQXOviKa5H1R71QmB
bq5OzbGUYQ1MRYVvyAjhp801MIu17JRNWYdzRDG02V622cnAW5Dd1kL2vhUpOmJ9ap/lf2COSrrV
3Zpc73xLzzLK+wk7m04FDh+nqGaJsNzKm4VI2Z7H3iQMwUgQdQj5ojrlmMqXiZwpJGLVRJ0q6jc+
7NNVX+OnZQ1GdZMgxljl8BWWxOa//rexcqouMAVwNJsdSzcDCVPxhJ/tHWrb0Q+YEY8G/ldPvonU
M47rYONtXMA52OdLOYLfsdN647uarjAPAq2eps51QoFvV6PovJPVUM8RRsjG5Jsl/FXdO81faIV9
G6wpfsqtblpnbBROxVzwg0xr2UG891ukRohghDiuI3Pb7DMNDdlAQeGCPXSJa+fUoXqctvGd14Xx
Heit58zLvaOsEffqri0sb5TjkddO17HrTLdqa6b3JMD2SmPozyytnAwQEsIvhKoaw/SwtKhk+4QL
g2uUR6MDknB1sNo5RHpdRj8HfkhtEt09wtj5EoSytZPVJq7rYxESR+zNyiuWdVZcBt+uLoBPgR9D
AtkUdmasZFXECJSrKbtV+UjJB5HDDebog9Hyre9m2c9P9QAK+LYlGYnd1H+e21jJ9XVlOgYiSCb+
4qV5BfUjHueahRzF1ZxNUNmZvvVJh9S5ryDr9tbXjPr/Y568p7Rd/dO89//h/f+TPxlpvOJGtdqv
k3mHUGHxDa2EZDWRDzuHqJMgVpCi896HxpfG7pfwBjUME6GNdZHjXJtRCQ9eqHUbT7X0JzOurnJE
PeQ/bL2sHoZSMbZjaY4EzILwXrRRtpAjcrc72GyQXwwDAXa9qB4nHDbh03Yw26oIw0VeZLdmjFkc
lkzGi4EeG6CT0l+8eE5e+9guKI/W0FkvEBTVpRIMw22kmO5GcdPpKG9jYXb1dpvSCLSP20Cb5jbn
j9vk1czfUyv3mCYpQpmj84d7uRUnI/kjOUr+ND9D3KtWgBamEVgjK9H1c+Ja90HM8y+fZPJ+MAOt
ikRVZt6LKMQDywZOtciBTeO04QZYe0T6YwUcEkMc9VdV9spqbQ/OnC7u9plb+/tx0sE9m9giLae0
I1oYpN2uKPPmThZ41+g9kHus04FOmfcm76cDjn641RSKcV8hAnI/S52rpZff9a4X3ldh+hp1Yvra
1bhrOGmsXt0qENA2YjSx5w48i4F/CuVpwphnl1tDvCWH7L60aOjJAYYSgqnqAT4CyT2/5Qk1Ez3X
Up3R4L/yjO/twJhUXp49q5dMJ8JaWZi4RS0bTLB3SC/wJlci8tPIbXzFSv5n0WX5neKi1BxMSEqn
fFnu8fJauGofPypzEfWkGhw9u7ewcXmMzPLsuMK7kQPQRw4INEb+WXbiiBdwznOqg6wq6LKveoG9
FJostbiyfoFD8FXru5Kwqwp07WuWoS+u0AnfvrSQrCzM6kvUDCvcv6zvJjhZONGdfhuIqtp7uOht
CV7mj9iGv8oRVjDc6WlDFMfqHqcJF4W8DTEaeL/yTeWnbHq/kKMClD6/vDe9XdzERo0+aOoEj4MB
0t322bgXRX9uMtAvxlwlSKNv80nGttriuWltgPSl7+7RokOlX7/MamVrt3TgO3RYyG4hzy2yuAvP
RSbKfYzbgXVRCx/2FYnbFAhHU+EiE/0qiihnk6rhSvPenuj8weWIj7bamk6WWmC7mzozZuJ9foh7
2LaI1Z+8VjzIOhScsTCQVNtqpZjNrzZcA5RdZiPMLIfIDqyg0rOaBPuPJnlVxN/6tNBuIOe5VzkS
Z6anMil9goL2c9dH7sH1xAsOL9bBaFk8iiT3riH75mWmKuF2gHSpLCrQQOsmIsQlu+VArLORwym7
YiEKw1AW2E3W59CLd1Bf3bfbQPtl25c0BvDli+p27TWTUC5qYq4lf6u9mcrS55pxe5UmstJ1thsv
zsQmM1YEqUwrdtybUu+yK0L95qLtyaNGIs6ussDsxzp6CMyrk7qsCn1p1Lb24EdWfYf979Kaa4Xd
aryA050dDOIqa34QgUOsStbEuTOzc3wL3STZyqqwSaioCNEgvFi+ej64y9JM4y3pi+GhEHge4hr2
I4/Bs4uufgUAbsHAnJSTW6fmKVZAnaZ+Fr8KP4OLxtDKzf7C3tJ8cDosxJIwtvZOWDZXV5np65mf
/ci2iUPW0tB0sRFu3B/sWmwDuLbmQVZLgTNBBn8xzKvhLK+CYSQ9+j4Yj8vaPGgp3HuFtUYOgci+
McrRxl9TeJdiLrwuzfASKnDxmlHKsk1eZWXrIA8XvqGXP9plp2kET0OsDvsOTyewDPPUjzuN6Bte
ZNtbB4yjjzthu2NsysAUG/jAX9N88P4atWwBHBSFU/50vP3T6B4qqg33NnAORWZ3YHHRu8CXZ3p6
n9TgoUBs0PzupWgiyEkO8nKbFkL0mjfSD71SxVOU5wvdr8aXMInygxp3xYrD3vjiFuyAw6Q2T/9l
mJiHYYj8+7B+CHQQwkB+5nZ7sLJD2vrPpoYbeTAZ9dOkw1iHldF/L7FSzEEeEmEp65WHw8WPwUML
J4oH/5mXdrhqC90EmeBEW1s1J/xAreQ4YMzmmVPYOBzWnfYalck1nOkj6I2vSr+xvk14cizQ7o/u
B6GMGzR/uqOhpu1JFOihR5VePaikZhf4ddY/AvTQXVHWPy2/flYDnLn6PGlXXRoGN1FkKBsrG1Ct
Bo2elWL84pjfVaiKL2aj5ZiAewNyDvn4JSp+yGYvcD81k6lGJnuYmjusm+q1YvX1Dn/y7KVK1AuZ
6goovpXe+kP4WAgzfXHriGOi6PyNrKIdUxAxVYZLl3blIyHmlZzd+XL10bC7L7PsxU3Vael2UX7s
Yj27w2J1tqsYCO1Hhf6cG/12smv1Hjmz9LZR+jusDI3nEBjNHrV/fRXZ2aOGUgRYa/iIaQaq2YD5
gGeUpkU3YZ4gqW2Iv2StrrrWWGRd0p11AOGy7aMArBrfKIGJiNLYHmW7PTfJdrDUQNuVDbLl9lg2
h7ANx5ci+OHzon7S62E8lQmeS7K59YN0JfKpgSDYjy/x+P1/jpo8+9e9wvG7rgXKUyYCcNlV7e9w
WrVvfdsJthbnxSUIMv6Dwk8QfgnMZvNWJ4CKERbWCQdlmOzb0svs23CsNq7otYs7N3V6q930TYuP
MX3ZBOTMnqaTYk/FVuP4fGwsvL2yHtV0FtDxir0KsV6e0idPM0Et41r+3epD5Cg8vu6cINdFX9nf
U5hti67eATlOH6toUFahmudkytBz7ey62E3s167W1GL9kPbJS6KpTwACjJ9RcWNy5F5kHgYFPTa7
JMG0Zq/k6j+uxvfe/zlO6YwXhMnq+7Bsn1s08u+6NBLnIPeC5SBI9mYRKmVNigRuiZrurT46f+Ge
qryOYoQclqjj0cM98nHEqE6OtxzDWmOQYPHkGPlrA5nNxguhsGHu+hlHThjgzn2b9xcQQ+sBSd6n
cQoVvKjCalVPk/2aq833KAmrW1IxJkuii0mcCJzXvkUnHLp3ck48QBTshW/LeTwrXrrmR532DXbw
L6L8bgSK8QqzBYXiy5A0fByebwBK0G2k8Oa2ufD00Dj6Xom0FDXZaZn1r6u6gDcU1mayk21vwO8k
nJpt2iB4LG/wMU9OFjpansTiMIgQO6MY6+NHwTun+d9VjYDmcZoLOSOPEnOPcfA6dcPvTt+rZ/4l
j46JDiJCVPER/8XkscoMa2mLytnJXn8Ys3U4jXAY514TEatNVRnZWlYFXk07R3Fwo7Oy5JG/fARa
GM8V2Sv/D1Ka399qZd8C84yPcuhool/kz6yr+bYJrmqPmDViV1CYG8+PC1SqWzICaactFV7nO1kt
6zw4t2b+JGtiHpGY6B10raseZZsb1Ama8wl7aZlCMPV6U0FKu77NKNtgAyM4wc9KEwu8PNWbEHsb
wwvdl7THDtzny3+108zZRko7p6pbca7HpgAElRePdpwW7Enz6QeWgsAfeGrQ5/htOpux6QqG9td0
xeUrT9KuWJtaiJ5BxeOlhIF5ggONYBdiFE+iq/q9H8YI6M9VJByMDUh5fyN79cocVhEGYzvZ2xmK
vagSDczfPLiom5c8C6obMWTD0wCEujBqVKFK3X1gU7roVU6AIAvK3YQ8zYUEHELoMwZaK8F2pR6m
wBZ7weeotMslMhtYFs69U1DscBVJ7wnUVneCkIBsDkNNOwQxJ005yfezDNiPAtJjnpQjhkZuvcPl
cUju4iiAZaZghSJPm7KYpmecB4c7WRnSbACS6PQ7eQD1i/HX+NAM0I3P0+eBxN6dGQf3fSBKBcap
Hexd1PxxNwbKAgjJNC490g+nDLWr39oUliFgS6JZytEGf9CLmAvZUaGrcKoRvZftWleqxxpieF8G
2cPQmJe2bTA815vswS/ScJV5o7uVnaU6RftkIFooe8c4Nfed5QS4cyHHDTzD3mAdfT+1ZnSUTfh4
/rqSbR9Vz3VwS/0Y89+mgP1QdxBz+WpXDyLstdcqxqfI0XIcmeaqr3VHvDWKh2DIVIAbOPtk2Hy+
tj74iHJUx0tZeN5tkivPcrrmDsmyiC380EkcrnKsTJdFEyXHeBJzNMta94VIHmBq6dcxnh7lYm6P
odhpcU5MeR4lJzm1FR9l7z8nyVEpkkjhrI4H7uUXpbmdpQw+qvJKEp7lFZ5C8c7SNPCW0J/NMudb
+jH4z3M/3Ure4VObzaqyxtQNa+kOhr+ZdWr1dukMDr5/JVSYKS2wsmA1xK1JNr51/TYhxXxzmZVd
s5KNsoBLMeXntxuiENRvs9y5KwplRUrB97F4Q6hyUYcI4S1Gt1cvaeBMF8fFmiNLBgJr6a8m2V5j
4rCz/Pz7R/vb1KDlme9t3mM6eugWmJmiv5BSlxU51cZwEHwVcoJkPvjPcIL4dWcyA19b7f8Ye7Pl
NnKma/eKKqLm4ZSjSIqkZMmW7ZMKu91d8zzX1f9PJd2m2p/fHfsEASQSkEVTVUDmyrUS2A8W020/
Q4f7dgr0D1ES8CRvF9l1RG8v5CFmdOchgpp843wbyYQ0dVsdyB8b5OzxvdsdwByXrDd/UPEZP5iy
x93F5sNdVxEY0nc/QrpN5/cb06QC4e59W82dBiYdo9VXt7H8hJ4U+6XJ7Q+DXfarjizbVioDpUYw
abwrIppwty71g4ZTBWfTDJ7v9YNQZpTItbKoDVMtRSHHuRKAzn5b0C7LZQ8EZMot9CnN9r7Jr59i
xxxmYh6rU3GINdXcxaXXnqvU/xzBtfRwGxV5dzb0yATbuMxGDl+fImHXZpkRmzQZGIxxNaPwsw1U
hEeNfHw/Ld7VsgQSWXcfxcrX265ikx3EJQrd6hSmMeQuv36wdGW2MRGKJ6XsbFuAiKbhdKdw+Vf5
io+EgU90BDYcGmua/iknvh4eqOGzYbomYqLLBFQoLvq4CEvJjNhsJ4MOTsYQ3y7MCZR23Ywy/3Pz
CGj9zNVXHIcg+QTwCKA8DDwvUeE/AhxqL76bli8tygcgUBfMY55BV9KXr/MMF89tckSBHgbcYOdZ
VvHSWvmwkIAiqMlK2cwfig451wH23sXmJmEAaXDySSZlka8A/FHqzy0pZ4QVCIx7uUOwD7LFL1OD
Rs9vGa2+sW528b1H33/5v9uj/df37ia9X/Z7IF7smevc9pbR7d+hA3josmtUZfEjh7D6WaIwg908
/8E0u25EOqdHwW5xBZrzLCYZSeSG6+ufFspesvOvhVkPi+Qf9pJtfnndtxdXy6pu2/93Lzh2osf/
mmSh7PXrF+pn46tbLWdKLW7uv6d4itOv3+AP+/2vT+MPe/3hl/pfH1A/qkAn7fCb3Rd7q3XMKzpG
9Yvv5dnODkzk0JbTptJb3nOS/y1zYrEKxUS3Z3Cg6cEBtYriXEzTq4xm8lQvdT7FAHLD7nZCrQj7
bTPEmda8jdc+0b1zSTB9XClqO/YbPYe7LeHbKDPCU3ibaFvKazi28jIT97TV/l0Jp/y8I21UrcSY
LzPuCNHErPXwp9nqGSHrY6S33rMTRjQdp3slq3Sqof61jSln+rLUsq24yAS0TQZs5lBg3ZYta2Eb
PpVeOZ3FFLpECytkcfRWd59lkd5ykwB0+f1uGqkN2sGEba/FJiu7JqPQMSnd3d02mx/8AH4QN0Ch
b0lHmfP0KiNJVf0ayZzSgElcPCV1tIyqXM+v//W8pbh6pCQhXclAo6X99DVyjWhTKbN70qDC4o4R
vaa9996eIGrme3NyhvQivjSZio4UQnjbQGviizRqEia3XgDObwubbLn+fWJxRuuN07dlfnu3YLHL
EEoQKIfCZPPHfRc3r9HXTc+flPxDbm5B2p8UUpoFCYsM7h4Pqc8G7hCe0ZO9Dbgx/eyKNY4zRV+L
V9QqM8rZy4KbVRwCo/b1NXiBB35Ddz8uW0VicwKXoEoTIwlKbfdJmiZNvdMEwQ0Cl7+MeaYQbwG5
5/etOhyQW+Fchfwmx6lg9optbqnIzov1Nie73LqpDzt22A4PLbeFS41I7TSAwKqMOnY2WT13+w4w
9qprG8feJ072o+S6/nCbHtEYPCqheu4LHSzMGKCY6waBt71Nt1Xin+f6VEL0rK9u+6OEtTWN0eEP
EtbOQh+ine/0KTxLcGyLDRD2z55i6lOzKtTkcxIP1kNda+GDrhaEdQIkmoiFDeEVRBc8OtBW3k3U
B4fXqh5fu3yyDuI1Zg4LehViNXNYWA4DIP92u0WloV2r8OFdgob3oGUE3a0x09xdNTDikaj/z4Q4
u5pyTuwoPerAkLSV2Dy9MIFNH2QPsdx3aywbqkfX/DQ4sBslofpRaVQYGZcmKBR/Qshn+q5Hio+Q
1i+bdOuJ+t8EMUEZeb+WyVApXGrmGxSNuoYDtENMWqBo0K4G58T0AmiGQKbdG3HTYyqr/2t32sza
8pTt1nbr1qQM95rwS2dIXGxVjmtb6gDDF5kcxp+TfALTygmab2kzIRCUDehLolhwXYa3VIcMLWV+
PwRF+n7421qfWQ1tklXL3/eR3N78QrIYOa2six9UI5xfdD3TTg7v6JXMim1Im1OCMsxVTCCCzK2K
btwWnsr5JQyN7toP1eHunw2QT3SxWsA7w5aD6bUQ6nBFavsvFgF8pHAJ+Fyyyikuto+4J0QVhI8R
1r28m1hcZDYNICayZ/JlG5nugzjbxGJcfH5f998NE/JR61Af526TRIqx05Adc8EVoIusjR2aSDIO
rGq6zuVDpFkZ5WeLC/w0P10k+WPlbrA1KAtZa5SAEBlTmr/CwXV3VRw2j/FkoPq5NIGBSiesCxMs
iUNIrM6qVrpdmcga5s4u0d1hBx2N8eZDnQpKOJjObjSoB9eFSw91TG0d64FJ+ja1LgXBhwVBGn0P
lnL6oiT1PbsIzAVKsx90RGk9/6//H4wqf3LpjHHYwbj9TbWpXwKlZDVcfn4/IaJRT+TBuGGk5Cgn
Ddnpd3ayCtlmRt3hmBeozdpu+Y0KQpUMgZZ81Ci0RyE4svnuVONen2o0htImPxHsm/ZtoxtXLfP1
TeaTWkWmDARwbWTfyEZfwlh/VYECA5fT4K3MW2snkXnbN0mLdL1/1pxxeHOebrd1iCLOg00xp9zS
ZU3Ln90uWq729zVFqQxv7oWI2LzS+hLZ5zSbHy20wAnW9j1lAH3zohLxXwa3xqhelCholmwC81Wg
rycdYUqVsPixDuBMS7zyGXXd9hk0ZEuKHJG4JYUQE+oGjRpaa/knmSPV5U1vpgcZWsD8ZFE0pe1L
aZQPYgb5/3ORxp37sYsTkJepbp1CY3wLWzf4MEUFwsBWP+8qVIc2YpMmSrWY0nkkCO826NqPhje6
Z1kVu1TLAgPY3jfyQ5jD9SDU4Xhgc2l0N9Q2dcmL5m5rU/WfufdIEQYIVSKbjghrBvU8cTvItyHN
DB5lTOCd2r2YBNrU5RHMEIuTY2YAm+9ORhlBr0kVwPadkxoGBX8ci794hhmv4oLDhbfJxq+NUXan
weyHcOtFaE0vQ2RluN+Y3Uf46GDIyqr8SRo/1/KnzMhQ56NKXExzbbXHYByeSyuqrLOdF9YuBOfm
Gom7SRrtIbJQYMjCWt9BLzh9ddyPlLmkX8o8TR4IUv405/HHzul4+tWQajsqkVGEBSnj7PjWqf7B
XoZ9p7gXuFwexKPtr20NXR5ynKWz7saef/tvDSWmD1bSb4c82Hf9znEa4297+ERlM5CbYc6vSHbn
X+08yChS0x9VZcy3o/a3Ohr1WRqFM+ytF3pBtLG0bCmaTNvTkIKEoxD2/QO3RkiewnRIAes+hs/Z
R20abQBKKTmoplDGQV+0z3NlWFfgbLcyWZoGREFqpHWUm8wHsSmBDTmeH8Gd58Lt9uh03oZzkPm1
c2tj7fce/1K9Dj6QjflRBIr5dfQ4Q1LPj65UlgMYiKg1kQUI3KFvaqWAejsTtFbQqgg8eed0KMG+
/hpOTcArMG3i22wsszK0SuV8G/5yjkhNPgdDHAB4D/4u1MhDuWEItjBMaq+db4anKc7nFYXd2qvb
OMWTpzoHmQw6TEGD+N/Y2h/ElCXRj8rIk7OM3BZiDJac8lSNNg5PUpJjdqDuwi4tHp2+ydONdGFB
ndXUON1mgxhF1SlSeTEkvLLHOrZhVEtyEDbVNzmf64D91v1ir3sYI9AeJW9gDHwOPhjeXFrE7Fs4
TEoUaJep3NGsgePr/JhSlrfmb687tEFUPw1+1qztPvO+k/JfaVpn//AaBHBMwy5IWVUkN3/55lWN
rupouOILKZH5sVQJUqJj+JgvOXSATAcCKP1XkgdAtfypf1LLBBbT3PUf7Ni3r41Jgjod8v7ZtxuS
nKCyVoKvMmy9P+s5Beut3xsfZSizbabrt6FP5cRqbIzqHPUgJSo9qXdKZMOx3g3a80w4EBGpKP+r
8JujZfjG2588stCiSHTuEcBe4uPp8MYHQG5iGUgj8XBLzwIIbWCh+m1CAuij9kkWcUgKjds+eogg
vCywIvKdrR0rVK0u6eGat69lQSAI4dlLn887imqMNxM6PWh5EY6Jl6EywgFJAaxD2vv9IsPIvJem
Vd8tGtGmUdL6Wi4Ib2vBdHs2yKHEy/pNKCBwRL3/71hJm34ja4YFN06Q1NiKTQppxHbfB1qVgOp8
XCiyRpIUSrxL2aj+Mazy8epRl2SvqqADylYMZ6XEdptQSuOSjo+3Rf7gDtfBcMLHMZ0forC2o+00
Ntqh8cIvLayh0dbQlHFfJ3BGi/NtnQ3v0tboKM+UnUGp8dNcMm0biCbCbRZP41XcpQk67dOYUTCc
qhnMx3wc8kuqauSwCLyaDOWXNPrMWWmmk91s4ix+YpOPQJwpv/7pd/s8ZWws6+6f1X2dLJG98u/Q
KStQ9kaPpl7bj2Gn2Y/BNBGovY+lpxc2WrPuVO1kOKI5+tMnWo8ZdRAc6/oDGI8X1ajIHZnwcV3s
pUmVUNlkcDqsJ5kRozQNoBtkjTxjX+fJcKm7vr/cVhvOF/S3mzVCchD5qHr0ue6eGirjAUjWKnQ8
fP5inklCb5uycm9eRPE/dkmqkAaclQ9qkJ7Eq4/LHJ4HdVrVNfq0YZ8269m2jSc7zMynvvE0KIS5
ei8mczGJvfay/YBI/Vns0pSIJKy9cWz3ZIWhto26eQeHEIQFTZ2gZjjy1YbF/fluS8asec6WRmxN
AxGauEiTpEm/dhMfGQ83qBBKDkb1tYpa6tK0RoXtYNRPRoiYtBcXw6cpNT9VhWH/KFMoDZHj+/I/
XcvB/qSgGfaDKygx3Pana2BABHrfNQuc/tPiWiy71v9317IdPKQli7UF6uFJh1R549R9vq3KgrPp
YiumqH2AyGMiGfOvDar15jyhYmgsHuImTVSNUMcq5aWyfefJyMLgNBbJh3E2nF2coN2ZwjR9zqxC
OzdVNU/QBNH1psFbG2qOOjC67D+NGYIaZ3GfYtCPxALGvXiL7d3qbmEPjz0NKjYyawCxl31TnXq/
XtN3ZHW0k01I6Sd21LEeCxgADmPQH1WXEh9oAvMPMH/6pDU0by1DmdB0dV51RlkexMYZJ/+Qaieu
h82zswyo6odzBLahlcyJVxp42kbvUmUrLjKRqcoHTfV4BC0/yisoFYWdY3f/6ci1TnttTIbbT5dF
vgnvYBG008P9p0PwsRq0Oj6qXvgaDvp8lqY2wcusKsC91bjQ3CwTOh8C/xXOohQFacFtOI2BelsS
N4r94M3hC/qn6rmxEZKEfpQyRQM5MqRF5nAeL9LYnTdeooI8AcqZhMP+Y7erYKtGiYPKILFICefl
sdmfJg10qET+Ir/rT37Gu9sI4vRxVEL7UV+eQxA4Wu+Gft57GydC1lJc/uR3t9WkG/R5ka5YtpOm
X3ou7IrIqtkXyJOGlUWQirpVO3wJh6h4bKvx6y1OsQQr5sUj4KBwFNsvD6ifwxcv8NpDFGZIUFFc
9WTmRrbywmz+WrXAgHVNTy8pdZsPVa+0LgS0RMZXRDjQ+zQgq3G8v2XQjJBYS8+17fQK68QODa7i
8W6S3lzE//RVaDz8ZneHqlsrvvEMMTXYbYpyyEsiEW8Nw66U4hugYQ9TAfmE7dXIQ1s2gEkrsZ7s
YLCevFjxd2bmVWsKxtGqdKn1evQr6G8WF2kAEsaQlw17PQ0oxjFQ49JL7rCiIxktPEtGHFF50RuH
LtUrY6NRcHdRcRabuIUgJakZq9y1hNL6trYPkd+8/h5xi6qvs8q3PKYkFTJDIG51M+uf0JhFixrF
4Wdvqb2GESg/Q5iLwovfBHtVRey+n7mgZ6b1Y+J5uhw52sd7k6VB9wjSz9N3cXN1fUM9ySTnU3UX
6cgAwDJw7Jcm8Bv+G6VrT9QASy/LUh2k+1ISLNMTdPk7J80+OYPBqZLw/6mpISJf1STOf3a9+gtZ
X9iJFnYupEuDfVQNEHvxeWl9k3xyu8Deu5Hh7Q0iyB9dLb06ddB/90quqVmTjE8VAq8n36Uoz4Gt
+HuwlfnAgy3BmVvrVJBwINtERSwohQHiVQsmifZL3k/9yRuIdfNmxNTbzc/Ju5uvjLDYhkmzFpf7
BCTO5ax2x1SJ4pPrwxQPqjA+3Ydis5cJ6UmT+TNgCCDEhEcjo90UMv7NaZjrZz+r8xOhlOCDn0Z/
qxM1yzKal9s+lRRa3s/PYhn6Xj1FsfdZpm5OMRe9eGrSzX1NZOTheqgDglrLrtLEWnMgZx5dZKTa
nn3xtWJ334ikhPMA6+Bb5jT7lkzmtV4a6VnLgY58lnmbcEcfBuU5+Qz2TSdQV9vXyAydKxSX7YFi
JeQ5/rN8glBw4+QT0rGL7225axhPISwmx5+7OSgwRjEYECNArLWK4HTaFA3Fk/5CIqhM809OQcXN
tHdDEkqvIwJhUQ5jnhuYKNKrP8xY1R4zkknnmRjnvCncQttYvMi2AsnxGsu/5PP0s2hsKRNxfRdw
kJ+eE67ge557S50HHMpJV3BIbIrvMpImddCWW0l38nvQYXoIFZGrnO8u0ov1MEMzdYYgQUOwtJqb
z6bSWi/p5K6m2jWe7WXUh6mzhkAeGNgyrFvFQjWV610/NuuyzKpdxhEiXvsuaqm8+bxDbVmMm0wB
yGz3l8hsnecxiJxrxfP15uxxCTu5SfJXIpNJ5DxzCUlhT6xeej/6lDhQ4q3UBL35haZD+DqmZSTc
HMLmkfMtoJ4iz0i7wPHAVznY3JaJTxaqf1y2sHk4uc/N19IPla97XHRbYPN+rSNQt3R1UwGln1sP
720yLe6OxuPYyz19I97S+AHo9tsYrSviMV3BsWHZTBqHUhmQE+QvYJ08Rk6XnF3KTR6cCQjcMjKU
JAGnQC9YmokMBu+vkexPSL0nhOIY74494dV3wxjVHGisYwdQ5n/8ZEWOPA5vOh6OleNbJ6VYqA5n
BIApUaKwyNwpoTk+Ilo+PupayDfu1zAPcyUH9GrHK+CR/c3RW6bFBwaGrAMu/O8ayzetbTpBotWq
CEGuZEuqviu/Kq6Q4HnXVldfbQj/jzblv1dppiZG3U1PDiAS+Q8XW29mEGx2vBfeGRtPfw2JCh1h
lfjzWrC3GwXy9yS6xI1abmZqMz46YQ69PqyJvlUrH6mpPfedNT+VZc65ZYp84FrZSgok7SGzUdVJ
m+eqN+tDNQ7FvnNi7bUu9R/iQenhieRa9jnMvH4Lm5NxsrOwIdJgO+ZD7XvNwx+lEG6qCP0inFCT
U8xXDsjxd0IKMvNOOsF2GsLtocf747+Oc4xkROXFUKGTx9nHrfVdWRQOpHEXdYP7UHp901GtgEz0
b/a7rweP8x7R6u9iioixkwsX1YRf2+n6AOQTVgKx5/5wacYOLeWm1J5aaoI3TeEnWxlSgqY9ZbDr
UYRZfbubpFePE0rknI5DeCsh3StmPm/AK/sy89UncQmy5RHA7W4tQ5lQM14JrmJsZHNjyvYZmsHA
/HLlEMXxk7XI11MQPl4qNwd5tzQ82JIN8sDaRq3aUl/JtDgaU3nMR9TZQif4OoUJnAaiweq41YPq
TUSq4C+dFgXWSvhLs8zvqUxaoHtjaI2PXRl+bsgqnS3Qsa9+GQYbYx6yhyqe+9donOx9kTn5RmZz
aJHOeup/k8mKx+OjpkTftBo5X12x46u5NAOXMh7/dgmlxr8T0hvrKX+IJ/62ZejN8J5KLxwV+3Hm
fSqbwA0IfF+26uZwD9dU+Ai6wDp38ecyn4KTixbEyV4a6f3J9ieXMe2oLIznzf/30rGDCz7X9a2w
L7W/iJnuQ+ndeJpk+k7TJFxN2ULjJL37RKbWPQLEmoZOKLP3vWJ1QmvJRSQ1HA0LrkPVLQ5hX4Bm
Q311PapzxpnNipWHbq6yE0wg2Ul68zIDgcDOdMBwe5rdQFoLH0LldBCU53mqX6g0WwJyWZ04j3Bj
QXpa5h8mbXpVSCB+SRzN2A7JUrc6MCQYv+pSr6LQrg9O6GckGxgivQ/5bO1bNEZO9dLEWT6VBxlb
g4pkSacPu2jQo4MjQ3HSQttHN3Pxv3XrJv9k2Ml00LSKXF9a+uThh8QBbgAhIKcaCNurJoMB2/JP
4zIS091PhlZnpWvF7stTmbmHprS6TwAW+wclWgqMGrP/ooN5dzmIfBtAgW5btVYWGQHjA5/7Xx5s
ZN+ytuBdEY7pE7mmlZo34dPs+BTaq3qer6HxnzdBED/esqbtkiGVdGdccPwfUQqSkdgDrmgrapaK
dWM42tqwEeYMEn96KdRmPlGvi+qt6n2OozG5AumwThNS1ytIOdtPBBci0rdBRg6WYYKEw66mCgQM
fGquLXcydqlUYakqRZR51j5kU+hfxCa9LNPeAtODgToEVOwsrx5raSrTc6+WP35KsyE/3u3QAA+P
iu/uxQFlyuHQ67BumLXiPQc+oMIY9h0ChcGwcpsBQuClqLaNwgRyIuULBeVXiBdNZzOXkf2oQWNE
lsGfd7wwwo2+lH2XhVGv1JACJmtu9Y+TD2JDhvfZvnfbRxnKrAzVlmqbrrCT+B9qKCqqJnL/wVL0
eRPmFHW6bjZAtZ/H0P9S8llExvcxcuurlnfJW/8wDnPxZmumslU5JvNq/Wt2wA8J8wTgVOqRzHl3
p6ZoSQYc9QFc+TAFsFvAjVrCiwIDmeO11o0BIw0GxK6CGOJyYcAI69ri2DnM0E3BkmGlPP+C0Hwa
Yy+kHJdq8cAqo4/gteAxW2xBEIyo1v47Kz2xFb5CBYRD6WOiFz4fsz6sp3Eedy4UsnAiBtAn1+Ec
wfuiMHZ/9CbUlaE519C6tvqh7bSd75t9uxJbRu1Si2KMV998xKhZmn7ocfzNPtQO6nAQ8VbVqoeJ
e28sNAJlMz+j+Yfcm5+pUEU64RnwULINUIVfK0Eane1GIWuuGlp0bJOIAGNe97s8U9OXOS/slUp+
4runRFsfwaF/PMc4t6MXgzMwTV4h/ITKpeic3GT7EJNEPMd6ka77Nsw3yMtDR10mpbWfyOyYHJSP
UxqBILOXd5/LN+JIZTuqBe50Gdwsf5giI5mHFTU8A7csU7nGbatcRyf8HOUxxHfLSOxhntjHmJsr
/LwFJMueFX8AzJCgYodWvTaCoZmbqk/WkftqoHvxVOf9JVAt7SFcaLsTq+byLN13TVi85R735rtp
mjl5AhdzltKGE8oD87UJeba4sTLsLTXq4m3oTs8NXBDHeJkVF+5WBPjUEExCB865dZ0DDFgXQqCT
SnIsVCndmF/RMyGZ1u54WCrPZqD4z9BOAgnRta8yEntWRSYqjY6/hsTKv7lZ/div1Srv9+LXV41/
7alt5mHuvpgWbD9xmGk7c/LLz/HU7Qoy7N9DBTZEOzLni+J59ZnqYWUt1/ukd1cJ38YvzSLxbMCy
eOzSrDtRe/I5UKA+zMzR+FZANddI6jSdEY1FTe5HG6Vkp/wq+KTFpraZgPVck87qHua+NOEFitBY
HY2PjWmGK4L7JB0hrIuPLUiP1S1X4E1Ewn4f98u8Yi4EPUlCHEzWA1+2t+XsZwfJO0daenG5lZxy
LeHFYne+vq9r0kudE6Fn5I7B8ZZu0gL9xaYS+dBWne1s4L8kNFzZ0LZVA9A9bcg2MGJDf82BjChj
WwDY1I3PZmwcBiWLf/QGQa42yJLXWgmmfQAg85DFc7ApLS4XzqKRbhJg5iQOud1RxtLLyaf+NMpY
Gnjx4y14nmtFwflUmG59A06ZpVpsFC2ON/kYQFc7uVeVizCCcn0LKmJM5uOwNNKTxjNgobfjsF/d
WKwqjaBlB82ekEsN1G7dGKnahgd57ixaVxAXjMJS8Mt2d5NVYl/2ACrgAhXsduVyhMm6TjmqQlMp
Y2lu49BuYLlO2r+EIKyCFyJf6YtOzo0wjOPIUecD/Gnko7ePftXz2U2QLYN2QdDEKbWNOYXDta+b
Ab5LegjTc/M3OmUrtqBS0UTP1WlCnzYa9ndH8fbC4q+8SfLDb3YiTefK7M194M1PhV1+bbS85XIc
GB+dMv9ajEkEZ50wIHuQEsbBuEeQT7+SHbM2ShgZr+AJQEGgibMfek3dBV0Myx35ha/Syykkv/Xu
tvJuMxpksCwFxquu1J69ZLwEdt28eT65/t6BW1WGkLHAp5XESDBlVvMGiGLRE8x61N8ZGj6gqMT9
5LVZeSWA90PW1IbNM6x27Y04IeEWwwzI406Gjda9ZADuQ71ULu2ox0/xpGbAJJrPMpImb3IfJKAB
J6HSe8fcNb1jujQeOUVeLP2eIgUS+IS5dl5cLsATTXs1F/JI10iTtczmoWpd8kB9ltFtwSV1m/41
9LJiC13qsDUhUX3qgOTsMqqdJz+8AjI6K2rs7WuQ/dCW0+hzFD5AAlesRrtLrBVBz/JqqPF4aHr1
s6jTi6nKPe+QasZXu0qLDfTBiOFlVQW8Tx0uqaY9NiTwX8TU+xPiA64bHr02jYCTPFI3kuhbV62a
ozRIY9t77tLQpOTx0a3Lt6FW+x0ooeYmbA2zwPRUT9nHvNS8Y7doXUvDi6vbBihn89z411bWsJ+V
iX6QRfOyUiZLlg+Z/3+Wky6pN8QiuSbHMGy3MUxr0rgqQK5VFc7NKuM/HPoGZkC9wQTvdAFTNwcx
O0Q3ex38pNQTdBaMhz6MF1xC/+Xu+W2iD6iVdpG7HrIGElW5YcxNVPWPcvmQe8ZsVC5PIrtfTS1x
tTJLVpGVT0+VU1P0l+sEvG0Kh1cQ44Vnq8wf2smJEHHw+7d65kR0SyUWM0XDVqoYbzaHl9AsrY85
ZeDXSVf+FrM6EwgELmFsZ3Octloexht1ieHnsH09UCz6BYUH4DXhL00FmYAr84u4iV10FaQnkyi5
fpHROyGFZblMQoOyDqb2AV7w4Uhp9HBsg+BnT+vG90OvH4jQx9EHt54dD41xoEWRXX8O66k6pH4/
PZX9Kzms/urIic6OgIfN1czrd3J5m9nNa1PmSNcSeKwPcRWQiiyMYdcByuHNZMZHylQP4A+C04D6
4KpFleCp6PzPLoWWn0FKTnuKUvjDa70I/W+9XaEuH1KamLSfKiAd5E2jz27hTacxDFuAy6zy4CnY
9C5A2ikKXw2IGDeTPvaneSzIeS09dWnutvswrXOvXN3HrHfNXF/NHPabvL0mSlnyuq+yv5oRNnVz
Gr8SzIph7nQB26gJBzv+5NNOMTm2AjiIm6B/TVqQdV2GitZtFuL9D5ntrWRSTNoQXZLUyi4+ICY4
3a24rvYUuef1s+K27Uo3EBhzB1Kk0jjgCpEucPiZU/VPDFL1L5Bqr43aDh+LAtjNiMjV3tGN+ugv
PFtl/GN27QTpKy/gtTcvOJnKeDPmbthnRu5tWy2Oth4Edpt+doKnutg0UBJf7cZLSJnZk7ZLlDZf
d1MWPjldjlHt47dqVArCeCyQRktN5YgI+fPyH5lv85h3WV3nR28Nnk4JPyDdVuyHrP0WADI6abW5
b9zlay0pLGl+Tczy7S/9f7NcMQes08wKSW3NqVo/9K714/a2L5vyL35Ochg0MGoUdvx3WOXHtjIb
BN9yqpodpbbO1tJIL3FDi7x2pm6gn7HW6TCn80qMd8fezR7qEJSl2N+5ICDg7MFO/lBj3UKQlK3e
ufRa1a5qO9N395nAJIMyzjxi23TuVgSfEbwcy4exgE1SRkY/ucXmNmEgAsRJqnhoQHQdeODHj5O6
b2/02uCpId3uYOeI0T0VI8xTdGF6Gh/H6PE2konInN4gyQC6BX0Xx/yk+7tITo5d1T9CpyboFDvj
B2fQhr3vR9ZhMt3i6vPw2iBzGn41nOYga9K4ek7Kir83JDpTP/m76qaeRLnff0gM90dOLOUkJovo
6sW13YOMprgaPvg2NEANYknbamziZ93+Dg5Xfdbr3t9q5Gc3MrQ5Va4Uw0gO0cJ2GZ05oFvPydIf
h1w5aa25V0Z/mxl19DbEs3O0moG/+rLv1l6gWUdyxs3OQiQHTjuFkypEnjdeT60m/5q4Vx9KiaNX
9PmxbOudZWnmwc8gxVU1vzxokA+uix7tD2hM4rOKDOTkPTR29GkynXqbLUlN8LPt4+y7ziKYErUg
a3xU45ZLlDTzckO6D++2oLlOZRLe5rTF63+6/ra88shpluESTwlPnuJcHE9xeYITAEu2U2yimTaH
xaP08sIghy9j8GXFI3frGQTrUSb91gM1eJ+8rUXF+qBZyreBCvo+SP7ShlYD3D8l16Byo1MdojzY
Znb+BtjyKrcAaPY+O3zVPkbwq+7CIPYPEBG0cIMiAKalExpiAU93mOaqsz8p/VtuBauuH+yPPVR9
166fvoiXYTbeQ+zAQidDi0v1xqWc5yDDPgE85Gjl8+S0VDFO3s2LdGu9s9vwKQ8gLIuJOh7s1owv
eRVEW2UurI8cysB8lmP+91i98s6z/nHj6WOFRt/nOoL3TCmz9LZaHVXjQPgmvnDM/Lm61qOU53RQ
LKuzFHKCyF6Zc/mW5Fn8SrEycjZZbO1qixdSNsMqSu3y97Kj+N+peuuiwTl5TpDVBVDHRMNfpJoH
xdfZUk1YOsv66Li19zCOCdVRqa5vqsnsr2nXK/tF8ZIAQFI+2kmh7jwAIs+Z5xsw8uv+m5PUf4HC
qv4Ogb3f2HlGldxWZ0RHI5gWWpWCM7JdT8OpH53hpHCDIhE8H2Rkgd1CpTQo4wp++X99buPbXGYk
40mmGk2DeiaEIECG/4+y82pu3Mja8C9CFXK4ZZRIajQztsfhBuX17iLnjF//PTjQCDQtu/a76eoT
ukEFAo0T3nd1kl38EnyEZvBSam/hJpGBb1P4yR5fFTfKX0TY1CGlCZ/CGXSJJnP184NBnEej1w+j
B2Ofu2zpWFWmko2Kwuc6iXuoFfQ2MvY8TV7AtLa+BUXc3KKAjp2JOOS31KiqJ9voIadcrB6QXscy
nr2zWKO2dncB94mrWBvH/ax3rv658WBMi8IieUoc/mlKAPaTRg8hoT61FqA8lAaFztFr6SbNk7y/
BWX94gFwFcCQAE+Q71EKUkVfOk2LCHYwJABtx6Bbflq9cqv8QnDQuUZ5Q/P2rACLqTRG/CzOspaX
IMi+W9M8bbsYJLGOQ6/bB3sC1Y1bUZif4acv92QA2xdyrdQfLSGmeUjdIzQx9dEHyOAHB6z8z1PQ
H0nfg9s3WWTA0sHVn8VZ4VXvYqig6JXAF978kgZq8DL+3TpV+Lz1W8hJedGbNr970W+H53d9NnT1
1YvdJzMxtasMcxOSxvlADMxY56XHzXarn9UaC5Yx6+ZterdwU8ZuqR+ptst2srlagN5SqSpsw8vr
t2QfeK2y9/EYZ3tJLcjwSB/xsSyukq1Ykxkiqxlw1ykB9iIKSPu6VrMbOst4sbrGq8/T6LQ7baBY
RSOX++InGu1eMhWnZDcGuU5lcZ1ebV706PZ+A9QLvunUF/0FPw8m6ZGGHaul9SppThuA3rZSdDTs
z6di5IsrhlqtRxihC+254LT72kXOT1K9VScNjwfLXCWxvUtiWzyl7AvU1NVTuj/fPesos49UWHhH
6ckNgZabmmh8lf5bIx2qk2eE3kGMdpZlXwHFEts6LGDzhg5cqrTq2n4PVr8d/SBGWZM4RrrLPTO/
Wob7GzfXH7rEUCjsb94GjnYEyZsXUeeKb6vEozV1F/ttcxI3vTCAGhI7aMPDqYX4g6MTBMd/Dsg8
yncBGjGJnC+hnF4oR+7sMqXdw3/jVbZaIMYIRVXgVTYVh719bPE6E2k24DJ9dnUKh2iKTL0oI0Gl
TktpLulvp7Vb0FbIuCc8BvUJyuJ3ACGBEtpEc8Ei2hCIFI1iqjQJHWjlaKEQZ6rZfGoG/ekgbd1G
ZoSfDfOPXLAHRVLLP7YubcnvBMW/V2xC681bWrb/tP5Bwx5r/5/sSFqh01xgMNTePUVO61DaYDgU
KzDrksh9gYoIvoM0u2z6obJgVhz0bjgZajLuNudtA23ZZVlL/CSjguL7xrnXuTtTJcqZOZn/Cfar
ck82iybvRczbkWLMZZZ5k/pU28l/6HSDfVx0KUzZ1AqHl9wPoiHZlX4YfAo6U/2a5jOcc5UL13eV
aF/rxRCq1a1eJPFwTTjl0twHCGtZIAMpjV3Zkcvux9Td12k/rkEQu9F/SgJ4UYoSrimajvT+qFZG
dXBVeEV21OqAlejVzyQpCPEW+njq/YrCLMGmWaf8buIV2Uagax5RbET5gHQjmDc2zUz7oqNRrd0H
Jf1Y4EK23FgKY8FI/C7N7mwPByegiSAk47jeV9LGPPJqaV3kFvIRnKcXT+2+pSDzIDedh3uQ6GZS
TE9+4fwoEq7lE1ymCwmzE+rJ7g4HVFbP02eDiqWbeH+0KUi3IPFPvbfeKxu5IYpjsoCJ0hUAIRQF
0rVKT56TfNoK7BdVsajWGPoihsqQfFIzACX9KG5pj0/a29Q2/17ze1o+P3Wabr1Kes/kWXIAlZB3
cdiMdqRRvNd5qUfKJurUIAgUzaa2zc47xfQOgI6EqwxZO/0+q4p7lgL8ZPnbqwE9tiJK4b7MZFjL
89OgIvoP/8mdrq6ACVNMjfNgUH4COYyDwJIVEDEs0tMa9H8X1xyBQzvsOVBHwBhb/mqTqcRfZbAg
LwZdBGb3lDKiVWfTqAO1T/JJPELDjD7Re/xMI4X/yStGKNqWhnKOwAK8yWNfvRoGLVnyT/UuOmnn
H3rAoPYwi4SvMhhTEL0mASHhwtGt04MhT8PsFBrkvR4MA+gnhDDIYrzvpNC9tPNGE3DQ9/CW3bQX
Eu7zRcJbmcQBJI7lYohJwDwXwx/pwtwrA5GVep2JGKjdHwVMWecHvYiZqVYvsMHQCDdQuf3R+noq
4v2UENGhbCjYL8eQPxxfOQxjOv2aWelw1HQwn2i+TqEAyf9nD9f3D3YBs3MZuC/KbFKfkpWkFvsG
OkxfV3dl3tLrFY8pKfYajFFzwU2Qwaot41q31kGlu2FViR6w2J51dJbXmlLeVnFbZpfWL35n0ODy
52XagrsAbnxCwaelHrcFm19hBuVxIJuxF6sYGs397FI4+bxBthaDTZY6iy8rsusiwmQRXdY7kUC2
Bgu+K6+tqwE2VdrMRCdW3zOB/S333pA/U8UID5wf6i+13WovddYa026uQBcDA3evuga6xaCDvQqN
5iJrvRaesxHWnqoneHwQu2xhqqqxr92YjsLFUYaxSKNpgbv5JZyLmscIm4lh3XGVy73GAeZoVKP3
DLVr8NV2/R/dckh/LUzLO+rjWFBBFaW/TkV+0Ei2EIeM4hv3QnK0EAWcMrVMz1URNPuiHZXrqOX2
zzMA6AumJsi4CnDFxrfOzL+MDoWpehTDLZBW87ObV9FOdDL4odp+NoGmbYEUWPWa7f/hDSQJxUGD
V9O1XIsGFMJIQoBtFSGNWpyXQP//rpMZgX9iSVLQKrI4+q715vhQ6fqweNtVJ1j4DJ/uWcJ1+Rag
m7Lfh36MaZYmbC1GCeGJ+N22Rvs2j1T7fawobRf3TS0Lscl+m+2v+w1qTi7ByGF3ct8CoxIdFTFR
nSg4yNRvoROEueV5pBS1Om1h1I/WbVb43e6XWWPC24uY29qgxU2mvhmNR5f8x66sXaL7tKbWt2kZ
wD+ob1FZohTZTIgrUIdZnMRHzJujiOtgK9+mPjROIzFTgtoMegD3tsyAFv+L7n/1C6HaAynDPst2
Qev+e3Ys90RFS/bSNRwcdjKVwaSQsNCy6VzaXvay6WUmurn2OX9nwZOoHteLSxvZwPeTviQhxzW2
tTIb5JIcp3ZpbKpXi3cOUmFg17nTfKiMlFcFSgOBMGFG4YpX7GQqA1kFMFYADy4W66b/0Fm28ZYC
MjFvu/6tTg+McKdG1MJtzrJWVhSGll2s/g8OoaqyB/JmvsIluhvjrL/oUgLWLSVgKUQ+5bNMxUfn
KX+wKipw6gFyBVpwUxWSITx7KLt3NNAWx6Up+7LxSgq5pAzFQjO5iR/ptmWyi7g86OBWW1ILGehE
C3el6tNJDnf3X6+5XU5x6+IIdsGwcxYUDEsxnoIMxPWqdfNPVHksUApLvVg1w8i5GO51i0/XWE9N
M7qAgC5ui0p2ktli1MIRJJ16Z/cJIaCh9whMJ3YbLUi0ybWCevhtmgbjDBQ2dLFgxYb0kDYxaAoq
8OKqMgHfHxaKRtlO7vC6PY7T2TbSf4EyjcWoOSlby/Dm2YQKTUVhfVzXiN0xc5CdF8Q8+XxKBAmv
4rc2MDN//eBiBXzRBhiUn0gGc1owR0wKK6jnx7LK20+87fhoSZUYlm3qgU8gVrfXunGAox2Sbp3F
paKXO5HXqdhnOzZLnqPf/RWr+3drxelJrKJfXUSuB8go9ut02Z1+hfY6uvHzNI3RpfOc4BC4fnUY
l5BHP3o0ESoS46g1/WLkJPLE0tU9oIZLBERE0BqnZzflKL7oi4huEpAzj5U2WNdtsHyLavU++Zli
mOD8oP9bkRJ36ypLxcVjfUgB27p+00MVC36ETpfsMCfAYkdmz/+AY9Xnuu4pp9XDOn6l7x3OZn6D
hzulRurhKTUBGRcfyKPiV2MZdHKLL8FY8frJWtHbiqtegyQ/r/dzt7LIF5Fx2m+3beC4mvWeL7r1
aSBTj1bKwxQr8f7h4TAXvMxpRV8dJrUcbwYXAA+gsnceWeELuFAjh4p5JOeD1eK8mB9EpqrA3RVd
Eh/jxSy6O7O4j2pQntN4/E2seUP1SgmaqGAz5Qtok8yo6xwbiosWhKZ5muo9WItcRHOKhFMTrT47
cZNBEJ3oJcv3rqmHkIRqVILSEQJlh6YEV5nNuh5cyW8t4KWL5W5auDnElesqWaAEJtyyKu3asUOz
g7k0TixwM+tMdHMW+ZeR1vMHfbgs2FaVo5HRRJaCG/9ng7hsaydyI+QF+vK4XWywyviJJuTfpOan
UZc0nD38IvVBNLoMcHAtOrWYfxGPWWqG3v3+VicbCH0eMd27PWXBlILuMWkxHFfAoXHsm39s1WkA
tFD9r3RJw5Din/pkmE9qWEa/+CA47EqN6DKBh5zigfDQ5En8ixIE5iXsGptYQKz81Bc/e+nCRMDL
wzKGHI/8ZaAP4T9qkxpHkVYfh7yitRfFNtiyUGQS/W+rN7Po1s03HyXx3fUymy4Gj+Gs0MwvKquG
u/q4XtYboSzbrXMxpkrXP022fVJKBwKywOu0q7GEiGUmA2w/v8HAM59EP9jFd7+7JX+Zvi9a/WWp
9ed9t8vc+cgVW8/6jVQVZbTLx7nb+8Ml6+qxCwJaFH/QHYqvFGX8Ma/14CUkR7d3M738FdwcEui2
Zt3MMbd/pMn6SfS5r9Cv7o7uAcIeaoF+G6A1oWuYwmqHF/YFWaX81Y/dz5ULMC5wDg1EyxqUP4ve
bjpn75fDcLWaH1LHSA5KHqsXGdygUS9RNg7Z7lEW0+a5mRNAPt7WbD7rHpss7o4RjW8bb8u3LYPt
unfuVRK4+5AOhn2gjw5sLbFLv6eRHwK7sUAtRydDOdnOZXCrLl+VIoulXiwyCzU4rR7XbFuYbQdM
xyb//ZbiAzML1UQq4ZJt3XbVbZu7q8pHefBZzbPt9c8k3nZZ0OmX1Nb1i8mrlrGXaavqNqy5wBpn
q4N45YuX2DdRZpWq6BeZybCuE29fGw9m1xhPskxUDYAbvAq/LxGl01g1VXbwGsKEufOWIk2pzJSZ
VGLKrLAq7bKJq3cphZvbGl/2WG2Pvtt+stUmbsud2ThXfR1Qd0196OYW6DZZfMfs9xPlNMVuIFpK
Km5ooqsfKzAkm70WXe1lEKUWjVWxA/UWlH1R6ESTT7nZ/3a3cltDnY7x5rjuf7dzSZfildIUgxKX
8Zc2ILXVONVnvs7FCz3FMJnXPCZ3m5zzJSVuGCmnTXfnIzvA1rPuIC6elGjIVIbZp1iWu4oPAwoX
SJvuP1k3VWe3bdIXsno0Ci1NgCL22jy3B5KO6YtR87Qfs2cRtEUzOS7HW/Gj3TujF9FQQEAu4eJc
zCplVaBt6u6uLdTiZYwIVQ/WaO23Dy6z9dPLZ1nCF25q3LYPe/fh/ZxSyjhqrf2dcmqqqjvk2Xka
Jv2mQ/LT5ONQwXxOsfiB7Od0zequqHYylYGC6OlabEqRxbIrY2O8bk4Pa0RcF4KJPa2OojSMoKx2
d8vvtA+brOsDrSMko/a/6EA3no2lpyeZqdGQwVyKBi1ggFZDKWScNQBGd0pxbBfdg2HTicu2f5hq
x3amq6B03JxiCQa7nt8GepGDhfgdmVD/TNOS2u38KitWnynrKd3Y3AGqHA+tDRu6Lue0D09r9PMF
3M0nGm6Wc54c47ruTxCdm0gznPVM8N42n4Ycigth0J6o8uF/wWa1TIOh5WjYl8Cc5nW6+hDDTFa+
bXGRdesSE3jvZrd4N2n85v24Y5RV5XSyabkUHzfJKjr+li0Bmh5pwmt/8uyOxrBcoyQ2qgESDnpn
hl609MJPc9fNez2lwzQ0QFOF2xfy8n4KLOtEpKUlUGvSXBHYBqh+MM7dsi7ES61bUpVD/23dRCxt
bnWX3BgXlEg2lmuIocx+NUHbATBs2SVaWPqmtHqO7RGAg2XoPQNO+onK7QaShXYnyrup1nQaWp/O
GU0lOr+sKYribXXCmxjAgD08w6I0xk8c97SruInxbf2ybLuoCbXaUxskV1m0rhfvh+37Foxo2A1O
FAqSTc/mUr9AgcsT5c8DyQT9UlvBm6HK3O/e/7xErFRAmTx1ZM06l+3Edq8dE/NqO712NpYbeZHC
TL+DVT66iiyzbdh0jjwBxLKu2UzWstHklS41QNlu03+0jej+B5e7y320jZuCsjp0yX/FeOf88fSj
LR5XqvI0E209pP7OG7qUf6bvv5i//0XdXXKo6ZTN3dLZ5SmIK3Q+d9BoQ8sFciFwEvb7QB8Kyk0W
z6knbLKTqSwXc6QD779uJ7KYZbZdYtvnbt+HK4rPg+7hUlpXOierBuFh+ZzbR/jbS4rL+gFlyd3V
t8utP//DpRoy9WAMqI0ZRDtDMasnSIrtq73EG2Z17J9tawA8AmkbjEijPUpkcW7fV6h9hOXP61Zv
dSYMf1rtq0a8HKNfdw/0vKh3vCRQA+Jr0XH9Vw40Tj8ylaFYDifVMujyPyLyLEekzU6dXXjU06Fe
F07bHkUbNeFJPGutsGyIupcv3rKfzNadRL7bv6cAxoYFa29UDrWEMdkpGSpbe5v9s06rQoA3xccY
/f9pyf+69YPfg/j/+pQPax/EbSsVDr99FKnqwY6DE4FumpzVHnCszOJpATh1AUxbvqMCGARtL6Y3
Xqbik4BN9TQP3o9zAujVrp9SUtrLYhlsCzLhpgH2adOtu5KL7mGq0t2D7KUEjg6BkVyhyf9LSCo/
5BFkD8vpUYZmOd+tlcAcw2rqcPT/iK5bDFXMmedgWf/i2GxdYyOiIZeY5tboay+x3XrufbJIYEQs
RvFQJcDbgGFyszGImxhkJsjKsurPW65txO+GocvnszFkf4CPQkB3GbREbU5NY/8C7D88OEpOYFcM
ZT700UmaDFatoYTpukbsfnX1K0iOusoIfyDeqjyPSj8t0MKgR4WWc05AtTgDmJTdOgJWt0CpiEmm
2Y5iO/6XRSdWuureXES3mgfHS47+YOs78fEmBdrVbTNZs4mycJ7LfzVJ6p5En6gEoTqDIu8hdqhQ
NLy0+2SRLuvKubyqgK5/cqkk+yT6oBn6mwJa94NejKrlQsgWQT+1Laid3tIWqFb90NBwclgdl00d
y7qoQQgi8J9zRlu6SAxbHklE1wTllpovgHmL6Lr5PrhtS60sf4WLsD2HfVldoWqurkr3fTbaAWhR
kCH9aFeZfxKr+G0ud7qWY7ALjbAxaib9rI1y0vXeX0W1DaxXMdhFk4Eknk8nETeDUZnPQ6oHt02l
OvF8c6F0JC26SwrNvUgATGYySKDKW6JVMtsMD36B6c4AfC6O4vOwZNtm25UDSkgCMCxpMpB2csNV
ypPwMQ9AZ72UtgaA0QAxvO4DSEHZ3WtX6SkRh3w4KZ1nXpKKAh29oP1qJ1MZ4OigLvV9EEeqkd50
27qihlimrsdwL7pcISu228zbXvRWf7fIPtQfFJcyeq55BFxl8JeyBNtN30TR6YZen4ph+q82GVYN
jBouYtj8PtK9L/tn3/WKhL15wC7XhbquO3hN5J4E1j3IyvZW5sEfIgn6O10przZ4fiBUgvue8fbI
m7garkDxCU0In+l2X1eLf6BRPaoq1niRBVUVR89V3IJNktjzD+kMr52Tlmco7JIvPv20r5GvEw+n
Q+lX8GqNfRM0fCz4dH5ya6ABhlz7NUnc6dSboFSJG28Gu6IY65/Npu2oszpoVg/d9nu/jiSai2gi
cCnKITS+55Lv0srUCwcHNVOrvTjdWf4y5T3n2W/s4NmCaOUmg/E+07UmancUTMPhGlB2sRi0QW9T
cKnep07WQjhQuuq+Bcuk3QU1r5p3dpmG9ENcIHXfh7oVtjvRVcHM6VTc1YqHnyhnOtR3eqeVAA+w
z+qjdun8bA11RZ07zIQvXuVRiRLp/K8ueFd5b0cnqnzsFeBKdCvgVWKl/o22AVHJ8AB6RZdIDN8u
7a93CFn/n01dEsjqodXC33svo3zLHIaf8jYtrpXvhZATLlMZaptv9Z2c9F1xJWfW7uE8pir93VEM
IpY+EE0p/Qprv4idDh59gkvXCAVHMe1v1e+KVVnec7mA4rXVaNDfNfuwhZZxtDrmi2WydId2bBq7
brJaBpfO04rq/PMseHviKPvEYE2eNOhKdysVySxkJsuwMpzMaUPwT3hNSofuMdDGc9qBsAtXyWoW
eeU+Efe3pbLLO0OK+AOp8Z025R/8bQecv9QCm0erx4sMptV7tJc01FpTmJlk/KoWm92obw6bq+gg
SMBz81nlhWRSG0D2WrejPu9ttWfphnlcnf52z4dLbOL6gQAwHMEZ7FSYUobnXF6Zl9djmckwyMv0
Jifv5mZ5ha7lTXgzyyxd9pEZqES8XE/p70BsGev+skyM21YPq0TcXOIZagWl6GAa9VqCa0shgaqX
VBMsBQkyc6KIqJZtat7ZVruXB5dksvu38gUj0wdlv27ULsvnbjJ3TQwyWmyEFl9qre/A0FhM975y
leFXd1xS1fIxxEW22D7GNGU2sDjLYlFOMRCikRlR3C2bi/LhwxlWph/rCuSD2spD41hGMaDwJlwa
r1ljtxffi6Ph36KlTYjacsOiS9K00/EAhXirB69ioy6ru2hm7z1PShP2GWVUoN5c/LIyXiJKIF7a
EqicksbolcBFoToS6C0GQMvAntX1FyFriYTeZfXpQiOEVpXb1hBYcFBH8QV85J1FCLncGY7eXOFo
aK7aMtvER7P4RFo6wuhkRJTRqmT2Hu8zcdz/nAQOBNfLbWa7w9zdmTK5H+lWUO42u2eUP4Fbn53B
Sg9uIGkHN5k9iFHKMzduu/mYRj70CpuPzPyBHONhW+NR4GpOE6gfbLqu6DjzsG5bPXCUu5bTU9sO
6oVMnwpIQ6ucG888iyT6/t246WT2kUicFmC3zfyRz4NO9t8+wbb2n3Xrx9I6OB0MlQJTylBgmpRo
rgRyJcxLuRGIIOon0cggseI4v9IpO6/qLQDMJi6kMJ/6oqZeQKsv8pbgpBGtkNBs7xR5w9jeRbaX
i4d3jZZM4C7NOVTevcjcvblsLza1GxpXVz2JRgY9ScErA8/NiXgRewiGh3FWP+dVQrfu3wTeZYFE
6Lm7cNuimeEsP3hqFT/5I+Bt8vOa1UCyvArrVbf9fsT67iv67Xf6rt9UsInWZ72DIAowffWqp9D1
7tdppQbVs0yHNr2FwNk8jU490lO0eI5OZSl7MPYp1aj871q/XKZAZdh7YyqGdafQBoB2XAqwZCUc
xVH1TGRyYbif/Sfe9uOv8BUrYCOn3dO41FiLrjPaY1LU6atISWNFL6nifxIJ6u3yJezpnfcm54Xu
aedFZqZiTBfomdnVc15gO37Tu2lPs4SWFjAoq3vni2eopHYWCuKso7p1UKb2pi0id9yvpu6kn3XY
kL5plrpLa7v7UdNH/4cgVOFUwCltUzhulPEnWZIOTnDTktnghQoj9T3grQ5jfRCr6c9Pbke/fwGy
Y7/TGte5gaTg3OyYN9Iopp0BQdSWbbf3HmLpqAIDWcbvj9tSMWzrZKZbSvGUJdZXkexl083twVdL
HEh9dPfpYUsz0i6JCUlXJUdGJ1de5ggkGKuiMysEHDVfVDIMGqT3BsUBJ/EFypR+IZkCNUx6qm1A
XhlPhhG3r27kABfhhdUXWGxDvwv3rQJvtqVWvyfBrEEt8SWDPcw6u6HbnrIUhEM6C6ZPMqQgKcGE
lhDz7vRGOytTN12HQruAu259s4v6OVD94itYM3wZOqjYI/ubm4bWazdr38RHoQzwqkwhhOm9Zn0b
Xa88t6ZO6dSyA/ynFPa2iv+kWurrGMzJc74kRGQAryoBT0y7qTxHn0Q1SH7mwYUa/rcVYgit+VY6
Tgfn27tej3ownW0CkJba1/QxFrn14tp8xWoAKPrUbA4rAIB097d6+2T7+nATEIBmQQJIq9x9muhd
ApdxwQQQZeYCcm66dMZvyABGPjsvhWbAM1WoZ8oBISyPCmq66X9IrjKUy8xP60qHwgUKVjtTgn07
UghV/TE5Fgiv5IBcd9Y5UHr6la6pLjjINF5kmYm5cUIXCkdxKniVTFJN2d0pxWlbY1U9xHiPcm4G
PzZGXpy3fR+u1dWx91xlxn5qk2I6mfEwHafE4xCSjnRBc18kH7QmQgdFezYg+8qoJSKXz3si07kr
jMujvJpEe7fgbiomWWppU30EAyHc3e13t74BEP7tgkZ6tKAKoGjcn++GZnk8j47eZxSXY3mTP/L5
rvtnFxOWnnX/f/bzfIualPWawA8cPB2OnI8+gmxYaCDPGqn/g9E46SmNMuPJJt51dCPLgvoyKyjM
cz+VkfUGKRwubTp9mms0M4GF1fbhU5qaGV507Embnswgl6YHSKZJYtDKFp+tBXA+ctsvFe0hLyJp
VR8980SibmwxvnsYhfmf0RzmA13c4XVD4pSZ6HSqeYDweTf3VfdDXJq8N/btdHWLZKK3z7T2nf8U
NESuaE5qu51MtTZ6cc3eegKSOYgusNK09HbnxaFeWKumqOkuuuHtRNoGcyHH+ltRDPwPApGZ9lQY
RktPFDgUgByOMLU2Bl30g3O182x80fs2uNDxfO05Ob6qZRa8ptWon81B5SXgXSczBcYaSK9vD+pc
d8OjlgKOJD2Va6dl0Q72Phvp2F1laceE6YwKwqWHUzzHoDmFHmd0gKm7Z9+iJpyc9ItOYSJ4tst0
lbnsi/XbnTpZqJijZRCHlIO9k+nW86YSDzGKTi+VEsLKQqPy7Pu2YmirNrzVafDNjn8n3kVnmBt4
r8as+QfF583b6yYHHNtB3SdD2h6dtO0M+uo955Na0uU1lt5NJPGL+ih+AkTLOwBL553bsZ8vlZly
gadMaUkWNHOl8uTj7JRqlnvUFp6HdKHUEMOgtf7eMn0YW8JQu8ZlpV1lZtNawl3WjI6bTgxRWvBX
SmQUReaM57Y0L6Y52vBPNUChn5XAsz8HM9wIO7dIv/mhG1xFB6OCTaEZHawEsA6OrWrHXkBVHJsA
he7bGm1TA3RoNvkicAEdiy8RPY58EyegF15q90yyGY7ueZ5+hsvtbxNFdzki8bmTkxG26/3DSjA7
k0NaGAEsd8BaUIKc3xQ9KU60KSdUbnzXiaEGC6KlIB8fGayoLm6GFlBpM6ZPw+D71c7wAYGeZKot
U7M0QF8fATVcaraaZuYVXabbkCwlWkRQqdNafEQ0JsACOo8CIbcfzN3ghin3hCDec2Y09kUa8Od+
Hwygq8iTv8syM7xivoANwCGx0b+bSxh3otKwnkLNaC6KypBQ0w4whdI1l4kf7yKzVSl28RRl6EZ0
va7Th+XiFMlOm79sx7ec7bfLBeFJLQjS+3UyXCQ5JjP5s8gsfM8Lboa/1YlL4fbhW17wYckmfui4
Xf5Dc9C43r4yK5fiXk97UhwqVAJ4PPfyZzLNqnCOMq2k8m77g955yR9TLLWU0H0ok/zjv0JMmZTr
Lf8GRHMqY7/JdkhxCeem59VbDKvPw8I8OTV+7FwHO2tg+4B3ITCCJ2qUR+Pnd1FJgqj9qmjmb7pf
06xjqTFBR5eKMMfwiC8w9CrdEqsc5KG/KqdIB5p2TAjh+A2Pwc09B9+iXmWljnGSRau/3sfmyR2q
3/Pa37dTB901He79zlgA8Ndp1UKeYINJlIJn+CySQrLqNrmJ1sO+zVSUcV8me8cb/MPoK9UJmMa0
I4c5+MpemjqlnVNmOX++kzXChbcZtlbQzboBnEHPUj71jlOCPwx96jh21TFU3fFzpnk+cXxaAnNf
B23Mnn4W5OCh8S0a6RY4YQ1QH41OlVtdlN913Jnpbe3oBxGwYSM0/3DbujxR0TtcxgUerV8GmYnu
QdxcFJ296Yhhnb7gqG07bLqgSW99PX+DCLm7gTYDneTCONIMY/SvKGt/nHpz/NEG3e/U9bGzB7G9
AO9G+XXgWXsFmJGCgLig+jFeGEJE3gbxmd4dTWh2gVaJx31VFeGXs8rj5YtMHXUOv9Bx8EznOwni
xeotqqhu/s2TP2vr4swh3vC+trYL9RtxtKYwdIqd4to5gWafHKuQqDWPGqA21/ft2A8OYZPRTiyv
1/JmziEJQvW39/PlVX21eVca8OsVTFNOAPLw344BZqOeDT2tnh70K9Dm5vdwehBYh4clouuic94a
wNE5Rq7vjaKaLuCOlJwig3kCRiKviEYvWpHtRbnaRbkNWQQ6zeq52sXVkfXOZI5PSW0dRCcbTXSm
QEG6bCeybHT3GcSiWrW5n1Toiwnet81MtcGSvbSX4ui2bt5mm843s+7gaopKapj3eaC/8AHJUzH3
suZOK/JqEi/NjFngZxw6OV4oR8PVfrNdLz7rlVvfqD3Y6wqNwSS+qcGpguecsgORasdRQGyolHwn
01bJT4oWjFcXGpuEgoEbbz0u6P0cjWSIDW1hdxvVg4h+HvXGLq5N7xollNUvp6X14ESqihrVYnL2
CbU3mU2JKxmT6rMMqetFpzEHHnzT5QXVuflIGbGqv4paL3/uQ6+7jQ0AIvYcuMcIfg/KYofmhSho
8yIGmYmOTMZIDbnLtwqPBze9HccRYof+PCjpJxgU7XOwgMVGy2D4KSheTfaVg1/NFh/rcyWdyGwv
viDa8wXiP10kGWSjZQ/Rw1vX77OmMw+N4gc3MOi1mQZbj9yDNX0VHYVgSvMiU7+w4TxP8kvTwXhk
ZsSZZRCxzoFK4RD2rzVTkDvU8i15icpuqQlv14q+RSEphjsZymj9ssqrryyTXYZ84jkKXuN86BX/
j9S0f8m6RPsGgnt5rVQz2oeloX7r1dE9z04VHxO3+80Ex/qWdyD+jdpPxkDTuAgl4G7k6/2fRGoA
0vqaxOV8ctqBMPPiLrpgVBSgYuLmKVCLH22qXqCenyCdTLRs50MQ+CyisCmCzpXt8kh70wlIBNxU
b7oNM2IqrK9F4vQgG2gUv2RBfe0WLNF+wYezBUp0k8Uslo90XtFV5bpFogzanga5fu8JUOm2Zt3y
72WxlHA9O3rwbOoDLASNkoBWrAbHvoqbwypXjhNBcG3YUAYvdlehq21IXnXLJeoa+68hTSC0EoSJ
cYllai3NnCLLsIr1gsB0Jy/uIt4t1xTdfqIF9bD5QWRLV07tf/UVUz1qHbmkNVf/5+qAj3SmpPPz
WFGPTdZUO6kAeHS0i/kw18CAeJYJ+ySZ95zTJnwoe5l6C0Yf7TMwlIgcuUZ+cRXXmI93rpM7mAcP
tJh9G2twtyTqcKjK3PxmE4Y6Try+nWqAsT4HhP2+QHER7FKPomijbuIvMmTDrOwq3zbPm06pwvJg
QDN1zKfQOVBf6kHsYfmvVqRUtLiHx9ZOlFdRyQBGVHsEIgC8tSFw4XdYnCdT+1y4QPaJs+Xl/ZNp
e85u7Ct1B3hNfyuXaF+TKjcts7svWukU32air0tIsJ0H8HZD9YstkpOnFy/3f8oC+2ga1nRri+XA
dDcNAr+m/rnzd7Xr+hcYCeebZlToOOXNN28ZxF3EelB+HZ0OwO13/d2O615xBwSP1TiURMveD/us
/g74E8d4iAj5bR9r9ReFXHdWFP40Ka19m8/2We4urH8Cm4ycuPxw20dL7SQ7J+BsEm8cXurJmQ6d
Ouo0jCT/x9iXLcltA8t+ESMI7nztfe/ZLI30wpBkGwTBFdz59SdRlMVxW/ee84IACgXMqDVNAlVZ
maC7IeMyA5Ufa+1SHKPHwbdvLHsHpsnmCdGI5lh7LF6BI52FwMDB6PX9Kc/s5iLConnC5bt5qjO8
kYApLzZko8bOxHQrY39eVDIcNFdDDzJ4DvT3fvFrRhMixryPVwKEqU/LxPJzftn9LP/Xz9ETRg5M
kwIxBgque0T18+ivHIrGr4nBxoMXy2E/2XH3x9g4b+DgyX5krf9bhwS8zW4AVkszX6dD5/3JBdL1
YK3kb54zin08cRAfVz27+xFk3+rBNldxCu4IV+hYdoDoVKviZiey+juNFjsNqYmjEjUX1EVwvdiU
XgSiJM3rFY1+v1FxZqwNUyFIv/B8hZC3PwWOi8L4f/F/kQfZJmu8W1YxHp0iL9Y4YyQ7CiRTcBnV
OYDouBBdmsA6S6YiFtXJSrxPZFqC06hGztcssJEK07FqmuVFZN7rfj2HqwcfjAc6Dvdvyk4aVpP6
oku5kZ79h9mTaDiXIfUeli42vV6lIApbTIPwo31sIDWrNZQza3K1zu5mJv0Zssi99X37OJxJfyJo
/pIzvfqcZGrOTNgvlI1QWtS3lDhAPWYoRGK/9qndH4WDcqA5gdGkKRK0Bg41I/hBPDDAzBHAPI/l
Nh2CAjAAfMckGKE2eZeO0FUAxsfSTWSDSwVHeNAe6+EC/qEhwYDcOtl3XpVcgAA077EL4sK6As0q
DUd/Ynfq5R0kbFyENn1esnuom7ysQ2CQ1FiHaxELkBED/VoCg4C6ZLs41zXgkCiVfjNzxt+MfJC3
mFUveOzGs6lXxVEWUKZDgEutRVd4WwjN95fBg/YiqSvGMoWEVgosptZqJDs1EigEqJ/hPAuW9JOd
9e3KFk5/Hrri0/8/YUyJ5VEXslVlE6/Noqg3H3hWFh3B0YcgaJBl04ZIWohdhRoJ5uE9TqfvvKhy
FEQgTD1lMVLM/x5+sBmgJ+ZGbm/IRo3se7kLgx6k6Prg3CepPj2rfuuixhdFJTgu0wQyceE9NNed
F4PIP6wlaKSgRLU0jVDbMPbAdvnL7hoQtqpsLQ49QML6YULVWruqBZyDJvw0bva54ferUPXV3QEd
9NbzAZWKLFmByF741T0pU7YTXW7MPuQY+HW1RTXyiFffaL5Medqsq1ZNW6VfYqrk5oUJhbqdZUy9
dgAmue4gvznRtGdacP+1xirjH/1o5zu6LgaFwyChkIkWRb3IseHI4K6ljjs7loNMAl0TR9WGh9gc
Ny6ipSce98PJ/tWjIU2QrRcNwEvLmKaXJcsOi416jYQOkWn+9WBe/B9+otnH4/yr0Ipl2bICjMj/
/CoPPjT83e9INitovaOp7rYM8Q/Vjdm1agUlZi/CJXQw14yZzRrqlkgYQ9vgNc4LPHoHplZlbE6v
ZFOOBaIqQ6LesTZf+wnUy7U/ljuaNHmerlQXgFPbMNNXyeqvrEnGbwEOXKsapEd3cPOZgOFcnMwy
Aegsv09Oaxxs1sdgY/in6SOrRdUZKtkWG/Viu/MOlhP9WOy89OO7UwbhDdEDiIsdtNACKHhE9GS4
TfTU9J0BlhCTISNs2egqv9ziHcs2JW8cAyUhWX/wigwMGNqdFkJKdLyoXFxyciGbVpzL8FXrk+CP
PMnSA4Wal0i0+BWTdgM8gjsL/EM6Ik12cktKCa5mGmeFpm12eeDieAeu2KFJI9QKAk7MzTh/oqYB
ae/JTutP4Whls4nsjr6QOIjVHyK85ECiCNoCKM3kn1JW50+plwynPscnjAofFBj6gzrhiQq4PKrN
z+kYfk/GMivWTgcQ6DJbjJAka/1g60cVjq0QbwavE0kHL03oRAIpTcTiFlusP/1ePxKK3Eg2DxN1
jrdR7USfyN4PdrxzKgkAxK9Tx3K6gIyMBKdxnXqbtALunXxKyx/m48nosWk3ReJLO8bZeawglwVV
DZWshtgat5xE5WhqIHmHRqvIdbrB1+kCikqg3hP9wAY1/M3XwIPcdzh4m0V8hRpcy/d6onIjJLhZ
0vD9Mh2k0LOt03tpgXZiAneGt7G9cjhPcbl3uQqhG9fiJBU6brXxkBIFq6JnTbdiKg/5iPvm2NqD
tzGRLjj4PUCANMyL2LyxHtSjEJbNd00/dRAh1uuocY6t73a3D+YEwU3Avfu1zYr0iP+F8Y7vbrwB
NSfoAkz3OrIi+ov3NX7/wfsaBcWwTjoXLw6oi60+0IFTl7jC0wbEy5ELpYHfTpORyMO7DkG+iMud
nWcbf/waOOX0SVZRgFRaVh7dwjBfXKsEBcUEPrgxTou1Xwtdz9qOLWBVIANvHPMyoCbs0gjBEPaw
wL0fpvj/7qoAhFkxgCiN5/DVAE6MXdhm3aUKAmBi9cTs42sjzbReU5yC0EaoCabFTit+Z4NWHOjk
KnAR/B+c6UficbAZh7g6Pfwqy4+gntEC6xpY6i9WdxAejD3jTZjDygZj4TkZiuzNBpfbNqxzc2sB
P/s2hVxchpzhlGOVHugbx5WH+Nqrd3fMlRC+dTAMLt+TygCgGAJNHvJHO0jsfrBDjbgHSCrMgRx3
0vLzlDUQra1j0AhCaGOPgLs64I78aR6yoMnP9QTV9GTKfkBlZsW1hIwDWJaOfYdnX3RgPCrtCZpp
4IfcDbXfnttBdmeANrq5t9hUaBYR8hFgWrAsqA8vM5M/+ofErqvk73QA+7tpQELLbtzo1U28J2ia
jV97i1UbsrvajnDnbIdi7k97ZKcGFGysQ6SqvTLq9urpLHzbGOJYWyDFI9V4siXR8EweZLJ02h53
H2NFk9TwsHt28B553GOE/rLjQSd01OHDwuc9GPT8tF55cdTtzKQBQ2fVJvl2ClFtjWBVfQ11Y8+B
Qt3tBCheWi86x3aE1V6v6n2XVn9nNmBK1Ejdy4UodyiV6lao2wL/8zJNvXDK42sRPppTzYdat5r5
GTJjxSo0A7YjY+l21fXDVqneP9X7037kQ715NW+H+Nq4j/sPMo4Bq4DGzlyg8ECK5w4SpQrJEO/B
OMDBjq2LGB7rGWanh3oHGkKXaF+VkFGiJXkmAd2Ng2NQga8LhFwXXNDYlRuxdW2J7bGeWnVEtOue
qtgBxbae/tmNOEeEDDwRQrt/WENOQsO7IlfxPQ1RoAZljAzw7V/Q2ZFQsl451VvWgHFtwcsuPtSj
hoC1Dy4PfvOGi8/vtqZtHtbRkHflV8gNl7swkwyCp4OTnuduErcZollliLt0afrrTk/N3Vq/6z5Y
vcqOECDXDk7fpeeymLp9bha3xfSf7Wmqpp3nrt5zgAo20Cp6o/nHQWA1mRiDTME/e2fCd9ec12o9
RkZzTlG6V67ipGzPLPDTfEdWJBN4tA678lSiSPFQDINbrmiGmg/j2ZOsid4kof0gTjmtcZif1vN4
mX9c/2ErvwX9l2OAAKQ0EwPsnRAvkFFd3wxgZW4WXvhsFcWyXbkWj/fLjNA+NJS9fVeT6x9phSrt
n2tpkplfyhZVlDS3rA4nwzsjvr9dTPOPMuqMHXAf/bpM0E+KXBRbxcjzCwsoak1odE6d96wEaGoK
fIQhdDP86lXQw6tWsxugx9WK5mlMPTGATCAexH1ZsmzzwU3/sCHtEIVdppffwG6U3MigzNY0OzvS
NI1pn/k3Wda0bp+uAcHCC25ClXDIgCAnteZZmBkKnhbCbvHGi1R9Idss3myipOLQZMn3xHbLfSQr
dnV6h+9GP/KPngryV5vbP8BtlH83VK8x/R5wt7bLTl2UgDALAbJvdgIGODhA9RnnQsnYuShzMNqH
wORn5o/JHd23FIjEl94Vm7o23DcylVa9MWNwudJITiZCiXZ6pZE/DcPaDjp5VIby8E5WxtYw6nDb
6uU4OOVHXhnrBkf/E73EpczTrRm3YO6t4vytS4SH6ksPeBz9TnfBrPniuu80IH+R9T8sJ/cu9M4f
VJxuJwZ1NfJARBkCgZ01rGgzvE+hZeuHK2TAy892kCMiZEDvDolH9yBQp3nsyiK6OYWNYILZe59q
1/yzGIf+7/CpkL3zd9t53zwwHc9rIddS3hODex/WsmCYNr4fzmvxRxmtgAhBxFKjngWSz9s+yvh2
QT07HlAPuFxnKAO3ICFa1VsnzMZnWtAMqDtPlPuNdckE9FzxFURl8Xco44AMNRzEMy7kFp4vsQ0G
D0wo/p7UyngDtaK9ZpOpXkH5EZ556fyV9VpFY0jq93wsnEsA1PyraUM7O0bg86evtllNsMravnpO
66B6NfiE6AF4sLa0gOH08JRItXWjRq4LM4q2bjm1F183vS6mKvRBknpki7ycrUddekUTSRBClcHh
g9es5j55Ie99HLOhPC77UG/Z24zd8SiQN8RvXIL4FcnRDk8fESFUlgpcvajbpZ1soJ4+lBcau9rZ
tnK+Stoa4GQ9JNt/1tAUqklxynIRYvmwWq9phw4qbY11IN494uFD9Qo/U49sC0sfc9oS0n7++4Od
fH+39MHmpF/0KfXcgMi7RzDdQdgI6PdVLyvcoJyQX60iFFAbAUP2PF58yMbiFFd+4K3+N2Y1ol9r
2/AT8qXRDpryAtBBE4TvjgmkZjbKE098iPPp+yw1RmF8BT4yu6R2wAHX9OQJDKE/PXwj3ZteUclv
JvRyVgVwoxBOLBOcrpR3WG4jVmoj8EvjX7N0TYF2NSQgYjvA3z++6ZBr3VlIgj7RN5cbDYKnAyvA
uI7JpLedPZdpCuAfHhJW1LMbUDT3Dijsev1rKfnm+Htfy6YpjvMzAN/jvSGrdFMwD6KHRnMqhJW5
V5wZtonq/H0RTPvQD8Inakxbgbirib6Y4/DTZAPxdk+dbkUOkAVDYMPomn3oGODi1ivJd4A0DDSZ
w+JYQMZw3m2MZAoabStA8gvUBFkg2i0VM1HJElU0ha5b4SRobhYT9cjNp0IoGpt4jM7VUGaCR1jn
cXDP8BoKdFGyRQw5we0b/Elko+qa6dfEXE5CtTWe4yRb5UG5Ou7zdeVV+T2UPL+DwSK/9z1kDhoO
HnrbT0JnVehpuwRHeZ4n38kPEVpMGJmyzkbDj8ta6mW6PkcG+8U8bwRt4k3mTu6Fdlx+qmFkrwLi
dxAHxe+w2Mcpr1c2c4EP/TURd5HcGxlUDZltGudMluGWyyZDWYkywLQPG03QcGnIRrNko2FrlOPa
4W24JhtKsAw1b0NjBZ2kn+NlYYWSbdVU9e53W4Ndqd2WGQNfuwSI3Cm95t0KTLGOpnR8a0TYItbP
xbONA+DOU2FwhVR2Dq33CVwkKGI5REzdCxb5q9Lu8qeYudkT+FjyJ6/2zjau7heyu3jYbqGGBEEu
UrMLNS05t00UHEPxczsbZePWW2UCMEbgiBaFMjf5D/IUb/vghoKpEWSqwBTrUelvge/0Z40VqLdu
RT99Ix2VRTPlw/BBf4Vm6gnxGPyrob2CCvMCyJkp2AiRj6CLkohEduVQr20XyebOUuaNbNQ4eha/
Tud7cjaTQw4m5BuoAUBECoaQ1WKbd9N7VDEChRKqmeQL0KJY+8h6IBIENjRqpiqU5a4+JSNdtZ2k
3HUFbgCBV6agE26dG6qbEJXi0TeWgDrZENK5LfYpAvpR2uIHmWiS/KnXTPy7rRctJnIrSnvn+x5k
FXToK9NBMBV3fO6RDf85+0KCApgmqVl8aRiW1mer6P7Eiyg/Tm1WQJrP3hRmIl9BtXUCfYB34chz
XRCp7Q41Y09kWuzUM4YR53jymzIoeyYeOIFopudZBRCi3mZZ43O7O/im/b/tVVcSVaRguN0YRn6e
8ZSTi+Ilb0zelYMUFx8ihE27JMieBvA9WxFYWkaZ508tKC6fpO8XO/IrJxMJZfIrWnf2Ay2Cu4mM
Ucfi/mHCWNgx8MQDJ8YDC0bVl9U2iiIIMWoajWUd0WOA1vdFRqjd+sQlwJPcqu8WHyp7E5uFCzlR
1h49PFKOAYQnUM7EnDs1k+bMUDbSrhVSgZuHCcMOvlkmH49k91nl3IsMtbQtvr2j/a2XhrGvHJxg
WR/UL0ADNi+mIxWQ5260Jxs13PhjlFw+g19QgghtTx8FfVIx74ZL5MdHMtHnRvaqjwRguNN/fMEv
OPv2KGgDrl6GkMHws61qeX3wlLA/+8x8h8p68aQsn71BFRVRmc7+nKvc2KOYHtIn41PbQ/TCJWJv
RLevM5s3CBrSKyADfD81kEmZjTPxN7lSk8URMt4D1N/meWPq25PK67Pl2vElk1CEjFEP+F5EobuJ
uZTHohDivZo0aLz0X0yrF89NJ/8gLyCBon3CIKlMQ7sqJlDVtf21kwPeSUYaHX2WOwC2lHI/n7P1
YRvQoWuMg+yVztqBYwe3rKl20opaqEqXTXGoeH7Lw/4G9mhQn3sVaC2Ws6RS1WTu6CAoIey6Y2aY
r5YTZCMNUb6s3NGEDCS5Amq3yrnnHv+fDC/E9UJMMIvLCM0Eo6/MmVxmsf/Ol2wdtOmiEnTnYF4v
mXP2G4R47QEU424NFCACPf6ts23/5kKIZgWZ0nY/FiK40QQ1VSPlAaGmZHZeVjR6Gbg3UYThaUld
7EQNrY94eMP1aaqttQnIJRpLbFEzgALGUkJCzSEFRF9rH4pqYJATJ3M7QCuRrPMYcpA7vx3FkWxV
Vv6cndeQNxlNKOpuEZZDnF5H90JPJEelsjvY6CbzRLYuT46+NcWnD1G6uWtpGs4e2ZwNOfqFQNTV
DF4tXOI20jfUEWw/9uewDe9D0bHnrmPy1U/K2Vz5Zn3qnQFMGtorHcuPi7LBv4cqs56jppwXcaMQ
KwgQZGm4B4/SmiGs/gWFa+3Kq50AZId9+ZIk8Vs9meUXCGu5Ww/x5sOk3dyxXUE+13zmSDKOON0O
dnOT/rTrgdr8GoGBeNv7LoMUedN/ytn40+6DvApFvOamjl3n1Oqmy6DuMPeC2P041BPdg+1h+Mvl
Yav/w/bkgmxtjR+5d5PeuVNjGp5zbxqcziSuVYeHCW7/WbZVd1vMEEqqToPy38jUIhp696rDg4SH
TGW5V7n7vvDBz5zxi59SWigkBzZobyfRO3HEl2SjLjVW03XNirrk2DN/dmz0t6o2unY/GU38jE/f
vTkTWwu8vZ8HbaKeALc6R9DjvpgCWzzjPQVJyl+u0nSQk5EBIgvaRs0onHCNq0yxoyH9lGrsg23R
2hmSCl3K16huVYfWQ7mtU5/qzjt3SVvsgz7g16XxqyxGpLzFFXESzp88Y8WebIXn4XJIjqqQnyl9
SalKymsmNUClppIx0AnIfNLEYADJ4Tcp6mphak0Dr+G6xFk1qVQMTVGd9fRGgJBBmHLElwHT0QTP
ZS/kptS14daGySy4hLpKwQm64BKLsoUIcP/SFsUh97zsjjBqfqfeOKTp/c/FyNM+m2fMKdxPNbDM
i4ncgAL54bsRcNN6J2rIY2iQcgadEIgc9MSySvB42EDXYtwsNvoFZDr2O9V0fL1sleq1pmdFh6h2
f/SZixQ6OQNY5J0hNnJ42GT+Bzhti0q2YTzWunJv0tV8geUbt66SKHcvwupgyy44lE791sVAhlLD
RTjhkE2Y0o7wo45Gli4Oo3UcvLhITQSGGGoBnEI+91CfO0CtAbfOxJTPZPOsVKvOVO8hS5uTlM6P
QruiBGW4ykge3DpMnut4TJ477rdPjTpAdLXlwB3CnvkRUOGJXGd1h5gZEGudM4JSPS5uSzEIFY1I
++dcZD9nQn3yqsB7Ll3hP1XTk5O2TQIoA/72gWf5Yx72UeXtlZ3na/JVUe4/K8XtTVR29paGNIHK
2QHp0iA92iBbBvg6LTZF27K77YEeuGnrBlIMGBqFy+5xiSbo22lTs9TeuDlEdVgNYg+layeyiNtI
Y3oBkCx6jDNUdojt/gXY3eAogqmCRJNMM2tVCV6fgW0aDmxQByMt6zP4TYDwsfSFhcbUkF8TDEM5
L/nd9GLLzOcyQylCCimQNkJcP0LG7Mo1ujxv2M8eF+mAiXZtZKCYQUEqZoHLQ5d8FIT5cNv2j1YN
iCE0sr6gNDR+LYX8zKfQP4X6yOVOEtUBqJObBltdXd9uhxV1mR73FePrwJb1FkVJmCEjcpLIcukG
rE7GDhpgEqWR/9hqR/8v0Dg2kSXL4zUNALQEMv6XGw0TJ0YSXYwpboUIHJQQvl9NLO4uWaG6C/WW
ZrGBVi/fCZmhIBKQwNxK/wb+AAcTXrvnXjfUM7xWK/mWwATmtnBRNSidrYsAD85VZgo6T22cGxrP
y5sYU9SlqQafDfgd2nJL9YHcSPZ5run+qh7FJWRjboTCEaoKDHVpIPUcsx1PCb6nVoa6+wXxEkgx
7SB6CACdRl/QhMbNbyG5nWxYNaXrpBTWASf8+BWXu+gKLPKNaplrBn1NZE7A3RWNB/BuJYCdCu8c
5uA/LQe32U6eDSVcbXMyA7j0/Erv/dBCCXcXduzJ8i1chGNQKIAxffxKEz6USaG2JPZNHYDmTmrK
nhjBdZTM6m4h3M5/VcBFrya75bjMxwbYZxEwOC3NKNoA9Ji6lIqMuDaKVc5Yh4RLWZzLgH9sGkeA
p2sxPvhkesnU+QHw7cC5oBptOqWuP57iqpnAUYPhYoN2Bz4RGheyuDcxSkV+57fYpKrsYxF8K3O/
vTZF3l7NYcR1isYqQYDdU6A+zgdkn3WDN3N+Bf0sMPUQw8NjHggdFaOJh2tOAnkpkDLXyPbd/eAV
z7XodkE4QuJBGPVrh9MCBCeT/kg2oMQhiewgNZyN5TaF0OlVNgYEkmwB3eywBQg/lK4ptpHE6XuA
WqPKBnUDAgvgv7ZLV43tpweTRQgrji9LuIPCFKicUydvsq8PERAaVhoANAzmYQwQy6lAh4LsctYX
d9Ta9Ju6is1NP/r4Dw6HxN3ivd+vVeGhzs9w8mOaGe6Lmwd8ExUiRYRBeS9uwq3nqXujATkkAHZv
JaAXW9VVeMGHYP3TcN0kczN8p3Q31gjdAGeEvWM3T4spcxWoeVPo8B5xF9sRfyg1sQQv7jyuy+At
D7k8JVaWAECAmicoiNeaNuTna0nmAYALgXqjlxTZWR6PBxFCs8nkPS4xVQQdIUS95YhHE/Wa1Prm
2rVzBOgg3Noh+FqtzpDPkDTFe7HIrLXF+6+I25aAocjhmXlO/+y7uQ3yx/TWsNA+oC6wX+eml+2C
2syARuA924PlPTqGRnTK1GiuPSd8C/2s0yD274Hjm+95BYqEzjLYHuKe6Usk5Bl6wmyTgw9no0VZ
7rFuxrju7hB2QCUcUwwwFdgSwy7P0kD9QJewY2ZE2fs4AWLkx568miJLn2vuy1Vs4cwMQhNUreTO
pahM+0PTQMvjEuFDdx1fnZdJ8mWcRe0q6/0Kug98S8/UMJj+NtMIyWP9hKWHIz1bR3piLo/Zx2nt
raR3czq5gVYp21s8SG5Tkckb9ajBTRelJLLjW1PP2r0CitVz8z2SUcO16LMe51ygsxr6Ekr9hSNZ
SqVQCmezNrqXeabTu1N0piYYABw6UhcazeCbN2e70B7RMokq5OhccZxP2yF5b8zyjcpKaxy3IXYn
ob06FtFeth07U0kqNWSvIjtcB6gJ3ZIt1740gdpU++h46o3sQ2334abHJpnehDyWnZZNqqDbVGbY
vLgFQ5FnDwFC6MMaf8RAWF9EXoyrTA9RhRyecgP0obWbTEhrgGIH0IxBN9RzgNwGUViSbRebMPP0
UqAKA0yZvxzJmA1eeqmc8RlnHH9Pk4udeo6Jx6WhUMqMuFy7RuV8twEJh3uRCQpeTRAk5mWowHeD
hqqjqYfv/t9BYLDdgx1/zX2zwkkALU1lSfslkFa+X9YuS4RnbweGymaqGOFjhxtMXhyAZBuuZPrQ
gDLpSh5lkB1mOzBVG2Ts1WZ51eIPCwljPpYQZsbr1zDSzFmZDgp/WtM691CodpAY6H++mA0/2fYa
ZL2Y+mz46g5CHd0BOk8R69vDUilIRYaQ+/05QQFymqUJWoHezxVz5SEZw6j4zzY0EfhZCihAF0KF
SbPt2Av7Mj0dByLmCSrEGIHRB4mH5+PZa0vcFVhbH6GDbp/jKbTP1MNdy1O7EpFVsHGpA9k88Emo
nYs/2dmnywU+NAQ21lSICUi5uUX4w1/NtZYP1ZllXkIXXIKfJCpFdBuqcIt4oHuCahD+TKhak+o2
M+FMq7QGhBSnphduWeXB7kZk9ADjhxpqXANvKHx7p1BZe6S0QxRk7DLPkhoqjWnm334fMhU0u+n0
wabyhyPqZ0x8e7LslH/uUHu7a4O8yLYNQCslMvRXpoWkSU06Cez0CP0yQB3JJbJ5tzYloJ3kk/oQ
WVuNDoLPeG3+dl2lQrnpFdgsqV4k9Z3mmjbsOFeE0BCPouNcPkJDHNCPs2Y0wKr/cdZraSdgb1fg
xV1NOsTtpWP+ZCK5Vk1+cSMTNVlRBVuzcf01DQHOy56o15fpB1+yJ4UNYSswNfk6uUMf2fx56/8I
+pAThWx4afygD3/52Gk4u+r/Gq8GQ4/vIs8VRt9j6Cpex7Fgb2MFeD43/OlAQx8aVdComcSWhixS
EcBGA6K5QIO8uYYpn/q+gXo4RuQxVTm0IqM7cxXi50p8T9NyXeAN9WXqyn7H0zQ94j93eotY+kYO
IEDBHcyqwruT39wOHLlLkoWSKdRwYDSdFKetJaMy5BmQSDIytoEzxJekLmKUwjgAEy7jOAIled3+
SZOGUeHdTt3HcUHrkiLN14PproDjBE+zO/VPqEYs13GSpj8m6wvDo+xPHw+0VRFVIJx0DQ5IdRi/
TswBUgAHlC1d0JKUs0sYGoXEszVFWYgGUndU54UjVZwa7p5G1HAq7FrGjoZn0zA2e3Deo1ZoTYkf
1uF03oQOLhH/zRuRbXHr8eBd8kaDCPkeBNootumM+tJG0+v4S8oclQcdOJ8ysNz3TS/XKB+0EDBT
kF7RPqRvjngEhAjlMzOL9NLrFHswpdXarGV2bPXQtgp/z3iYgCcd+XhRuO4tzuo7jSz2xRVWsE+k
HO82d+JNabPyy9AEV9/gxl95oA5TkPtfCyWGNYKkxi6EOjX2A99lCXrjw4BSPTxChRgOAcKjq2p0
UT9IRn9C8ZGJ48SYRfCBgpO3ESwNNm7bNk9AkbZPlYU7Qo7StozV29pAtkCnTj80rdwPZmRcSqtD
NCv4XLLkMwQnk/ekER0SLyrZ4e0i3sWEPPAECM3NzZrsU4ykJnDo4l1zw58zwLnW5JamY7thAYqn
aTYJh0PHjbObBs6GTeIZ93J2AQsiuwAAjCiER3BtMvBUVAftA24LPFLnefKPQAyd4rIExZsQKlyT
vIQyhQRq2lviBtIkw/nTsdm9diz+5BUAOQdmk1+hm2n/UZaI7dPQzc2PQ5pdnE3tvAzjyJZ7nByn
TTmo5qU0hx41C5N5NG2jfgl7FPVGzleaAzdg/SJ7HoE0jlfezcsQhxJxsQVDaffmRnZ75h1ArzSM
WyN87jNvTSOh3O5NVKAqmFCZhkRX9zbYIl23eOgcfmadXebhj+1X5pZ6rAKVngCZxBY1S+MZik4o
j0ThJsIJwHwZEL4Lxm0eRs0qhqLrlZrSq6orQgHdOgZd44ZsJn7h66ibZejmzD/mtnEkO3nQ5MMQ
pTlfoKAbQbcZ+5LHsgf5NuBS2001PriHCRpGWQkST4izDcCRNmWy5rmb37horY3BkulzFsfIS7rR
X74HIT/c1r6HgiNalxftfZTia+9Ub6N+CRILm6l7hSxzSJKPxZZsywSYrY94SuWX2W6aW5n27Ahe
DXae3AaoY+rO4zq2zrbpAQI9pZqaAy7axCstGvm45HF1X6EkO6rSE61xGE+3usR7XdSgngDI4WsN
TM5OAplxoCFHEr+LvvDaqg6GaRS71GrFV+nxXdLHxSdQXYwnEP/iXqXthTu98dGobmIa98pN2FMV
AXxY+UgumkbLnozUY08ueAOOY+5K3H7/sVEPN+UWAlZPtNL0HNwNCxPFHLLcNIpD4jhp2EkTrnzD
uQmBM3DAvdqgvdsxwBUvIG7k5xLSsHtbyvI54765zlnebUyUAa7pg8Hx8EmqDBleH4pjldXivDIG
eOXpEeRm0k2oZcYmUhjLeJdtwQmHmhwSJCMvmm/w34R64DjbBInTbNrM5rc2NdVZRRHfIYPCP1Wt
A0VKy/vTqyacqAP7y6DCn66pUAp6bSmOa9rVjdgXJct6E1RNvW00CVyqi/GYGYNjJKttqKzopnW6
6ON4onlytSw32wOAfCfHZQlNzn7uALX1LIn/CI3wr9To8pdhEuw8tLgYBaGsvw11sxtCv/wMSpDi
wMNBy646zpdJfaX5zkYdJfYCD5bomjeuome/nepvE/QD1lJN+yR3GxTeTD88cFye0iGrn4lMU0jr
xxh5iMEpZe4dtw8QPBfQlUjCPDjROC7Nd8tKug0oPY+yVvF98rs22oTjYaqBQJ5HYwNo5phnDf40
8fjA20ldi3H6ZJkyemmGPL8UkN1eG5bNbnUw/aBoCDWuzPBnaiGStQRMRGo3mxIJVHzwAPxrIeCI
1H+p22htOOrhSV+cx/KVBmXZpcfetf9oCub8MaYGOOY7S/zdf25cUf+dtObf1f+w92XNjfNYln8l
I5+H1SAIAmRHV0WMSO2LJXn3C8N2Ornv4Prr5xDyl3JmV9X0vM8LQxcAaYmWQODes8DJ4gEF2wDz
22Dt28ZMNlKO47KCk94paHC39DikL10LQN50EhggqxF2FK+4H7lTtj4/GV4A3l5GUb4tNJjVMqsG
ZckCC32UfXVUB6sNjW0Gx+3c9hp7ptpANAqRNS3Ldd1Zn+Mg/V5BOw0SCdc2NTjyUtj9jmJ3bc+K
jkBrXIfyQplWR9XR5eRtrArAwqAfsDZb4JYjCK7e2jWIC6aZTkJ9RJYuqqT3TWXSWQFAL3YeQXoT
lfFEJhu1FWAawU1axajuEOE9tJK9GywnP0cns3LtIWh0qLNDFRoZobo+jTIBGHxIt5rp1yfVTnn2
pQmcswKFFmhTqzJDPeiu3SYwfYxieuNNhzjQhp2OBJ9t5ozP1DDIHCKxx1FNVONU2+WQoGgcJCbH
7xnnXgYnZoBP2rXLvAOTzmYx9sRxdyibFgljDgYaVBj0dZ6FZ2RSPpuunRWBJ7WAlIgzGqUGMd5f
Y/QWKXKCNOGyMVMILHvxh3pKmw3+VpmCaaqe4OoQw/sT6DAeblTYQjbySKgxU5E6q4ShxxI8jq9n
FSlkXDUkEKC1HFpL0MDFstDjbN2joDQT3KzP6jCiMuPkJbAVDUnkpa2rVpFI6EkNQFU9XdMRMyAH
xTBx0sFMHEmTzxOSIfqICpjOUxZMYnCTBNyXl8UkD3iJeUXAfTWeod87nlPJsN8VJHkPutABUQDc
PCKfAqwj8GhKjjSAcxH04AqKRLmE9fgUhijDOXicM+fyo1ROj+n0oy2tdJ5kEGCDOT0wFOqHq6vu
IoI8aJ8ZTtF7Hqhc2Q/SYK2Jf7Z+GHiiH/B11w/IIDQLj4/Yg05tl7FZSO6FVR6tWofHISYKUDBR
QCtycSyCYkD1lUIi+VebGRfJsrL9E7VGueyQVH5kEqKQjQjeDPD7HBYQtoeCtHHwixqikEYdvBWW
ti0hpesEUtobrSTYTpA6vPGoht/YuI7aJJxjwmGxAzcUuB/xHipY2HGf0xy5U684VVOgWmCfVUEx
OwZTtySFA0cBcjZ+jpQNH5EB8YA44N0dlLPDhY0fl+OxIe0OusigDpwbzUJqXbqutaHD3oDdjSEB
OL2gOrISbQf+Rvh0yaaEJhRDfBP02osSJjKgwUz3hv8e44OcPRNAGR4JtuNTgnSsC9CxMtmzHYU6
Wmp7xqaYIoFtb+GqMWp0ZGFZKMZXEz9dpGdoUW4G2mZrmYAnJjRsQ8sqnxPaQy1qCssGLB/1Sh1I
0mN9lcvWMeIyP+ieAa3vsQIBl1vDChmlzNVt37iH7eTXUAaQFbn2BqB/z6NmeG3aqp11wjCOehix
Yxr3/k0P5YFrkzG1l6V5i0RXv5KJxfc6N4L7Ml2UxKL3YReH93m6qKcA9qnjuW/v6zrbci22juYo
6f2o5ZeItpzeZ2byJfrVp8VGfDeABZEDPVUZ2kMxFOKGd8i/kNh/bNug2Vh6i0Tv1NnlUQ6xl5At
wCp+o43FXcAstRM43e9E+MOLybQpC9X5e9XOy/g9bu2v7aMN1l/X2x0mMhTPppuW+Zl2BtjcpQGh
94MvPBWBvImdy9T3a6TqmyKK9es9QQpsNw7Wsu2F7kgLCyAfOLQnsqoqKZ/GJhu2BdSA0dUPT0zG
OmQPzBq4eoQoeMRx+zTSsN/GWTw6fhIPT1TDlsXSfX9p1Bo2eHDdAL8KCKGtikd8P7YFTKjhRDH1
f4klDe4SPP3g3FM9G2Gc768HArzHlxCEiGfpB5hEf2/HjirEwwJeheqBhQRcCzbxaCA/99dD7Np2
fYqNPYSNRdY7DHogz5U9eU7Q6rWDfuO8CZtqA4t67TYw8zu15ArKLncI58kBAtYVAN4+n6kOGmhv
cJQlZ477uiUeGPvetIaDX/o88oyjHIEplEhV7rvG/DzooNzvowo7WtBBhkVSFRr8+dRRDcq3+eCT
ywnq1MrAEkir28uUqqbdlo7RbqteXhdIX+bdLy/L2MbQZEg/l1HX8Sb0YARhcGbxrec07Np9HqHQ
lQYsAjGJ+KtyCu2+9sF2Qc5C9fLQalBuDV5UZ6RH2Z4NBIsjJxsjeIkJuF9NJQJ1aJXG5Vgh65uN
2H12qNzOVI8nYfXEwiiYqzBvpQDGUAOjipHe6VgbrXzaJre5lQUHlpEDaHTJrY2q4K0XSzEL8bhc
qzZzDORu9OMXFANcsw6sc2cDvpi1MCzQStt45KlXLQQ+xVKFoOKDsOoPwGuw6AmaxSFcTKxyFxJ7
xfXcviE2JwLTSlvOgWOEwfHUeD2A0Xrva5S5YQR1fkMzxD4UUgCQEFqXV0k2EgjfxMLtShN+Cqpb
DUy66CmFxrETpWOyqyG0t218yhZg1tdnEzKgTmKa0avJjbVgOfvppe2iomX+NkxWslnZE1CgjRaq
ywpwog6xQfR1a7bHq3rpFY3SRLm56rT2J/fzLIpnPYFbdltbFT8ADBKBpol0GyjL7ckbJxDPWJTm
ZuTjqdGxJMp9O1mV4wh9gInN4mEii/WE3Sgii2bb9XIYIMp6pbroOWzP8O5vgokMo0ZkRuo5FzmH
X+dfrsZovfyjV0QcBD4UyZwrjFfTURTLU6NaKAjvpWM0273fF/MrtFe9KiExcxmrQi1o5ArYi9aB
PxjoM1gtzsIuJLccafxjp7drq4m2HcuLh0aM9crzk2DZWR57smzhlD03X7kvGxfrDn83QkL25Iuq
mkGCyF9wZOjcespOqYyUOlhptA7KoF1fU1dyEhVQnartGk5jE6Q01tcmNUxdsqv0n1WK7R9K2ROv
owhhPQcvFzHzBCgOJohg5iyw/XJZmzHB+meK7biqbmDlypbw4ZSX0JqGq45cS7OVhIfRTLUJdUo4
6BQbO+5/vYQVk3SN6exNDVR/UF1B1pyukXZ9vF5UtWcGyzbm6N9erqna2iGClkV3g6RI+hIUSF4A
NPSjYVhHtKZn3pqy6ZdYByTrvh3yE+o/9kwvw+oHkRu9Mct3ZOoa0O4y88aAXulGg4IOuGSkvRdp
9eJPF8PGbtelY/nk3WgLpV2iVEtGyypXEjnyq+rJF+ltNQTzbwbkDdJzswCo6llnQKTyEqsuQPlK
Zxhtc1Umw63EZzgLGXj7vMd6WWgjeYaiUuJomUj3pjX0twEURlX7QAEPCeqUraAApj9jCZDrGZag
Fb+paiTN1fzeTE+Cy6yvYgjTvIQBfmnXR8TlaZDHtr5tdety2qWN53xRmMTbFdW0JtC01lGacUrV
Tc8FdJVcc+CsRDbJlk6g5bhvSlpuHCtzA8zJvRKUU+O9LAl3WgDW5oQvuh6udgCq7Y/w2tZXUQC8
aHJveUuIIDqpKWty5EWeHLCUhB+cgEAL/k9Y/P161Q2+w8HR2/3RXiY0P+QJ1BGmTjU+KTxfn6mX
poA4k222l46K9do8ZVx3gGWPD6Fn7lojoZkTl5ICO1fSZW+W9rkSOnYxCXEvvQVk5dzczGrMUehN
oJt7HgSoiwguLUXP5rlVBXPtVUm7dFMxQh0uYQ+x3Iu43B/daowwzBr0BzuftxrsuPH83waTqCwU
RsRB0yygxHWoQ2kCGEPVlk76tOpV6CcNbJBsfCOnM9Rg1aHCLNccAXGZXVwagMuojkaLMjeyQgMU
ElyZNcnNILm1K8qUAFVUvLO0089+w8g5JlAZtSIhlir0g4qfAnCMpj51MIDOXsBBJnEB1NHPxIaW
dxtAZzdgY7WTATRSUShNp9K3alEHz2PYwAdiuPdRYtOhg0mga+VFRbvVPKzz1Ct4O06LQQoTSRuK
xI5qtKYxFy21a8x1+qbTArAzVbah8P0BPy5fdbCsXsMnDVAW4IHhqoOizvWg2n4NCyLgG1ivl3Mo
8Y0OaVDkUF5pVw819Uq1VTCkIhFQBqpJOa8pDzYVWlLw1dhat9d2UkjgyQHB0UjqQytzHA4dbCof
ekAWdNJ5dxYkds498oXD1JxSMD6xRoLG2BQWoHUvrd5q51oBaFToad26mvjF8JzZgSHKbgdaWwuW
GMQt+8q87bJOu+GBWKoIrC/z9vfxgYDDrxqvOv2Ke1il2Jfx6qRpfDxdX0XX8WKMw0Xa5rC6mTLy
md0U/QyAwXeMJUvVljICGY+plzFwDGYNBZgK4kH6rCUUseq6HngHItXnMjA3NzLLGApA0fCZzlPr
1C/xJSsAPjNES6ehqv+yZB0B+YlRmIceqoSuDEA1+ZoziMP7ZtQG2FH9HssuKNaYpauZ1Dn6r+O9
NsQC29D4ypiyA7Xuh3ufQQhoivoE/6fZlKxJbHDkVDqh5J44JhE4/mMKUU7VpgbbMu1d0vdyrtp6
S9/ngOkdpcTjLbfucYOyUw+UBRZ72kNDSmBVe3wRVUgGyHwnfPDALUVvkPQcsm5dsBlSBgDtIItP
hfkKYohY9u+uevOpmv5aH/g4GyJyf6CL1Rpv6jTTkuxajyZLIFeRme8jiLF3NWTZp1fq4AEWfWnr
M9Ivwy7YXzv/5dh/NsSy834RNHEKgIyNtXtTgOwSknpVhDqyXBCA3HUkqxZxUQTnhgGrldpZ9RRU
sC3pJf1gExuoTOGIDATyeqwtfcmCmm7szoKIDBmey9aCCzeUnKGcaNR3YVXeEz8O3yIJjzEjs8tj
7rXlLom0ylUdHlYOOUmHZwNGD4va4DnYLZG8nmkxncBiEVmzqiblRjMn+2bipy9ZIW+k8GsfxiH3
YMrCPSfLftSUyMfa5pEbeHl9rJjUl32vkQ32A1CSC7SNn9ooKEYZhY5wQLZRBzYkq2EA7oeyWxc+
rKaKia0WxgQH0yjxlAKXTbWpQ1LfyQzzCPg+KMM18gRRaX9ehUMFNawQC/AM4jRzJHn/iq/9o8mB
CONxvycd0DJCx6xS0q6HGybPlgwlraeIFuch771TAY1kfKGtZ9V8HSUh/fhEWXXWxsQ78XA4BFFJ
3ito5d1wg9hH07n1vMp/gFBSuac29rpq968jN+CiOGOuSWd0bkK6cSs78hGA/3nLvAEpl9rul5FG
5D3XbPB14/T9nwxIOZuMUgly6Mjz7YbEAvu2Qyojaz2oHkyh6jC6geyS1H7USARTPK8f5gQreLCV
iXmbtqnYQ1/+XI+C3Y4iM2952R4Ngu9joZSiCIy6VjDFDeB8Y8X1DFpyAfBjODA9Cna08iwI4vbM
/aNDhWqIGtyaDaASKoa+R77xDQBGSw61ZJBqehEHC7vLsjuJOvrWp8jjxbFI70qesttId1Sfakkj
CpVvO0p2qk0jwTCnaRWgxIfx19MvVxu4cTvC7sJo0js9atrbMJpj3Rjv2qBeQFpsWKfThh5ftnin
2lUISAKm3LQHQxj8m3ZWTlm9vqati3mycWDPw3a6Btz5pUdMKcFLXFvGCSCxcqXa1HmDShOKKWOo
4sTOw40JVLe6jGoK+kkID7YNbjFmAIOVmgcJvwIIderlqAgEyWmQQG822Cb+MDLI17XduyCNdLIB
QBafAbQ0hp6+8AO9uh+N+FUDRupHUddbpD/bJ96X6RySWdUO9UYJqYHo6HFsOEemA4xaxvIZWm8J
NFieTWJHq6FA5UyFYR0sImT1HtpaMgBTwV+LpmFQx3zqQpEAfDiYe8uUvqPGg2ZKJ7+18aCBTnYC
0v+Haq8KuI1GNCMLXY+w2c96wGTqsV3D6+LzlTm1QR6xXUMV8P/Wa07j1FWIyfZJSSHSMuWz6gye
GFHUQznvVxYMLPkAMm3XuHuT4GDuVEsTAeiT8cLfpTI3ZnaRyGMuJNtiV8PdKObN27MQXv0mSWq5
2OlQLEVzoHITkMlVN6ttgFMr7R4il9YyoRIw7VEiURlZ22yQNwNy5Ed1MIOUHa24dHUhC+Tr/2rH
r8zAcrULVtc2pJBL6L62zGkrui+S4VnR+pLEf4xybp4oaoo3tqZDRXei9dldU4BE3tJN2o7mY0Kf
VTNLa7FKKO/mKpzOTkXCT9iFVTclmPtfzhZ4/xu77KpdTMdns9Dr+0S0C6C1y+e+iGCZELd0oSV2
8dxlcgtxBB8y1Qx498qH/sTUHtW6dISByrU6HdRmpGpxehlZzZfTgaPfQnjBvxv1GqtiJA5yTUCz
hMTLeDD8Z6uytywxyW2d0uKQhSUYyVN72xi5Wxtev9FEx57qN9WaiiHd2EgAuCoMPQEKgF0ahxHf
ayipQFNMZTThqGnto2KAJC9utYM1i7VPh3F5zWWqEZUgS3McwHjQ2azMrQI6kfTIoRS0BbbnUZRs
IkNEbbG1WPVYZ6w6ZWZdnVSTh6ZyahpF4c3A+AGMqQE5QXRDvrXNACwG9TIZPUzaev38pU0N/BJf
XqpWM40ry7EGkW/NepzlDIQKe+T0PWhc0g3he2SUlhOi4n7wIY+081IQAkidms+1DkH9pqLvuSeG
mY2i34mnUgIoVAdLkK+0O8kd2HxVAAub0QloOR87QMCJkkSarylEFIfQN59ignxOhEIeABrBsrH1
9J6S8AxFvOLNtqB47wX2cMzykm9jDhlK1YFvSwDg7avokwpss4k/hDXqKZK4C2pAEtNnwYR1izdS
rUP8KBdR3WpPUm8uV0i9mjtemw57OEBDQNYrK3Biq4PAzLsEDB/EeRMWZ8uhQFGRp0UCX5kpNn2U
Cy/xgCrq0pjiyyoQ/mYApPdg5jWlBf6WN443HUmTG3CndKwgUUa4dgAqkdxEXqPPqqT97GBxMd4k
U8cfZ6gO3xPoKCodAnSoPKhLWaHU3QqaE+uE6veDpvFnHRh6F6o3SEihaPPIgLIxwkY8N11RLaMu
D5dhaonndkBOENZtDxUEkjeVtImr2lnZPxXS8891mSUHkA/4rCoG8NI0rVsRg2krEN4Gp7NK/U4T
Nt0zL35WkSfN/pYADjV1qUNh2DvcfnKjSUO/yyC6P8sjG65geEiuG2oN0+zY7/VW2FtuAeI+RRe9
SVAGYEgFXsMl/H0cM7VuD4vTx3oY5aHvQrYKJ54KAZnnScdXeJZWbbejU4gymCdtyEzAqxXkfg8I
66kZEIt6jlRVuVJh31mngItqAZe2dpkqJo3C9ENx1cHWvdu2qd7lyzAH/ZBDcxToM2w1vGKbEeCB
CNJz5w7cK8j/i3yPrbm+xlaarZrSqw+Yg4s50JvJncnhB8uN0XupI20vbECTZ9WwTIqiPiYDUqCg
AIIY2XrVMbWtYtcVce2OxhC+eVxgfROOz5qlf669/ToyjtNdGHzwpfJABzoE9+V68KNy2BUm8Hd5
j/vb9yDU8wTf3uklNyx89bqkQtE5kzOdNtpJ0p6tPRsMUhvAgkfKgUK3KuMtgspvCjQNVNPZXQN1
/jmFx8Ku0vx019DRnkdBKu7sJM9m/SQe+7OHjPKHXQX5jGocxugBAFh9oT0kvqc9gPvXbvIEXyIV
wrkGWoZdZCxUGBsNtN/Dplwgb5I4lCTdXLOt8DnSrNe0jLxj1NrjUUTZD4Oy6DmSspwL5NhWeGog
RJVItGn0SPFFhpv9yBx1tt0V1gwqYd2+EVlz14vP8bIy5LIvYrJQp+skuSnx0LnNuopCNAVFM34e
kHA8B23Lzi2MZbS25jsVlX4OmswIkWgVag1G9Baz8MBqg7U6q+8E9MyZhWnhr2tgvW67moTE+VAL
drl4D7eGKi0XNAggFcfGp2jshhcSZqbDed7uoCBIzslf7cPUbv1qn8Z7lje89EC7O70cPsc3+CUn
8EbaYLFeuX0r4UvGLGhuG532EOEp4gQmC7bZ9D+BO98ZZf/x2FTl8FBgxTW15hBJuhk86/J/64f2
oGf4DZtQj3lsLBKDgEaBASD68JBF0GClxiPVK28XNSEISVMYFh6wX9DMgfM3wsoGHeBfnNQY3qTn
jEurk8yG53iKFP/sJJQ8+K2ni1VmDdqyNQPoX0WpdtOWvuF0eAC+FIIuwj5qPqB8el80ffrYRCFE
F+I42ad5OG6jhEWLOqbhvd2X4cxAof8jNpJZU2ja3MwClEg0YUK9GgdTtnwHcBdIaaCYOANN+M72
q7J0VTeZYo0IQPkBuAsZ5Qsb+a3zWHXgkwLg+caGfk4AO4GibXyogER8rjRYUzVp1x8LM0tWhmH2
wNjX+qHLOzqzvehkJVl1kwrDX0PRXl/lyKTeQBk7cIOC06dYh5UUGeqfnY4Cr0jz9yHCiR6lzS1K
XJghkESe6Q20iIbatwJHJL0zYm6CCdUUxgIaeGUDc4uuPZm0yk/Q/SNmcwrjpD0ZMGE9Zp6PrdcU
Te0RgZ2OUUos0viKEau6A1OvuquZXEE8pjxemkbguzVAutaqM7DgzweQlXBVLxMZNpLE/6k6OXgv
dz9UB8xaK1wg3XrSW0NFVD4Eetatai0Sk7YLTI66GmwIOb5m8LWFQojubbCxYGeGHbFqt8cU7ga9
nwCvyOI1QBZQ7pH93SXfRAgj25SMn2Eh20t4yVYFFip102DTgrpN33WuYXreJiGDvouotOcx7bVb
ybESYaUOnn5KXW5AMLGw8UNjVfViW3CO0IP8A/bT+ay2sHMOmAGJC11/1FrNOE9Ul51qz5tieBka
/mhnzFyIukvdIbGx+Yn4SwPvBtiVeTH2/K296OBissXyt4LwO35EBrGGW1v6bMY0Qs99RGD3ntlQ
8Kay3erQ+gKpZHopJ7nlIQW9XCZaM2tz71nVrK4lrC8YbdUTEyJdEFYbR4XX0X9UyFSYToMNGn0d
/KXCRusSupNR7Si2myK0FS1UlacKOpLiWq25PXiPF/6b6vbzroEn+0R9y6Yx1jSm01MYDvM+dpCV
McZZEHB7rw6lhDewFot+jr21t49IhW71stFFvYZg9vFL2+WlZN0ZWfl4/efFsKBloDlkvqOunRRD
t2+juTbp9xsQ2oGzavmhRPvVYZRwcq+sAEQGw74I/Kv20grneRhlh+vQLoCVT5FFfK0upk5IDWRz
RWIWC9VGa4YkagopefD7ObiP0y3Aj8rDOgg7TWGU9idpUPWwRBtD99r/5SQoMZtObtUM3MDGwPq6
9rYFCdIjs5k5A7WkfeN6sTegevGgcRReBshkrVjVGPdmER/VAAla58zCxH30shTCNZanuXX709dr
OqdGbC36iqLMFxEYPPNxQwBS26jQDJjl6Hb0syiHeFaEkXHfkyzeq9DDT+ZO709I+4AqC2stVw+z
4Hn0vXoGRSh+EEYHBcZQP3jgjD13VcEXkpJ0qcK47VAlwcqHeLAnvdxceKH4cV5fbrW6rSwDWQrZ
MW8djpE56WVYzBntyYRIxXjvpg6tvn7QwVvO/AS2FZ5weKwD0z+1qYMuyuTGj+JhEfS2N7t2qDOw
tI032IGeVbsnM3PWVNmwaLHjOXDT3IA4om/6KVJN6tWYwqkozV0VhGkvDyESpwcVdmmkrQvUg1T7
ZcSvTtwZuoCPIqTcf7WpV2ow5rrYtTMIy1/b1Kukhp2rhjfiwhogm3GIsy4VkpJ4kDaeIS0HGKbI
Zja3w70CX146wFila5QfTxOp0nRVDy4Tz00WAVJrQ/Pk+7f/+Md//cd7/5/+R37MUVrPs/of/4X4
PS+GCmok8o/wH3cQrc9Tdc6vMb+f8Q/39n/fffuZV9/2t4u7fzty+ZEfXtOP+s9B0zv6dXW8g893
6L7K19+CeSZDOZyaj2o4f9RNItU7wWeZRv5PO799qKvcDcXH37+/500GX43zhx/m2ffPrvWPv3/X
TVPdrMu9mq7/2Tl9gL9/3+cwW/yoqlf53076eK3l379rnP5NZ0iHE7BuKLFsi33/1n381UWZTiH9
aTEmKDf5929ZXskAf5b/zaKGEMSkSK/q1LK/f6vz5rOLC1iy2iZkM1Ci0vn3vz7+b//K67/2W9ak
xxzu8fV0YeP7NxSLp3/59PlME7AL8MwpN4QtDEFsiv7313OY+dPw/1XzJJgyjb2LbcwN8KgolZXz
AvtODYL5RiEXsggWPbddiJC5XvOAyhu2WGyZBBYeWU5W3GQeYNn6AgLUK9EG82J4ZLa9qrr6Js27
AwO1AYjmbQfaGugyroE9lUnfoD7ptHgCAMm3b+FzhETpoa1yLMYt4HSqOYvbeYhteTZY8wgmM8OP
xKyW2EMt9Lp/HGoQRasWiPF0FfJnaWEBYdXrEGbAwZjtPK/ZIhu8gUTjMGv0YNWEYpYwCF+UM9Kb
e5p2x8Cn80QTM4tuQfc8Z5F/Wwj/ZyFAp+nHGR38p0JzIjA8IozStC018aAGjAb6qms5wTv8LaoL
ADIBeM82EIUHWDNxjQiGgN2sr705fHM3dZmvR7oiXbUNGEQhapcOkWMmAZKUwVrvsI0qtx0kBkza
HVpMcUYVzNo238bjjxRW6AWHi0DRAGgN3d8cupgk3YEBfehrcR+n2mPYkancMYN56oljmW332l1H
7Xs4vQM5DZwUEzchbieE4FfAWO4xR79XkTzJirnMz5GDsndM/IRXyJz7+BRldAqT+MUEW9GjeMoZ
9MlgJe5hAosO6opY3mg9UABadCqltrDS6pVm6QnFkUNmhRteSwdSydh62kvehuceUjszUGafNc10
9bJ+EIF2x0pUO9NhR63u9v/PVNXwP5upKMH0gWn9X8xUt6+YAL4dQ0xWH99ev+3DsvnADv/rtKWu
8Dltmfxv06xkWAY1bME4wQT0OW2hixFucYK5x0Ty5NekxcQ01RF8zQSmGWKZ10mL8b8JkyCDxy3C
OcYY/y+TFqbG3yctg1JoDxNITgEFoUPG+I9Ji2mNEYRZi0xknhVzimlGdOEj/u6irFNwGyXIYsZI
ZhXQI2M+cTmDBineEOLCbchnoiItUlXlnsDyasE4IMn6cDdqtg8oAcQTzQ6DUHWeM6iCIHEMu7aQ
HpClhVBhnrykCSEosLf7vscvHUlOHzVgtwXGY4Zd7I8mouvOZg9WkEPNFPgm5M4a1zPCGYNasx2M
D7YO14ecDbf64Ea+Gbt1hLQU6/03WRRLOyBQzB1/JKQGdIdZkIw3xBv++kca29rcH5ODFwH4UWNz
75lUc2kcYh1lQ7+Z6SfcmgPQYy8xFAw8+qMKBEq1It9HoG+5kG4BHAb7n26w3nsDQjPZmLtaZxBw
iGNvNg7juIrg4Fn1QL9Dg8wHOk6CsFpg+/IDdqcLAED2kAyFYZVZPiVF+oJVr5ZUIKN5G9lMGkKR
txlasdAxjc5TGb8FPPnhCf8EwbSPFPz4eRf7GjR4MXXOPI5BY9P/FAbwlh+WB/RAm4GxF/ngct30
hXEcwXqdt9Cb7wZ+6ETvBL72E0unH4Fn3ZVQ8F7yRmwsmbgjwH3YhaAc3nVYNHfZHEsH6iSMaW47
seSgDjfTkDF3kD8Eqkg0LgSeYE8kXK/3IyeP36rUTx0qBbKQsHQCKhEUEe6/CWaerBZlqnQy/ITg
z5AGb90o1gBgFA6EOED5h3RvqKcgcIc/a48f6hEip5TODSk9J82So2aPj2MH20Nq4mshQBmFJjcq
nKe2jtyxBCuSlDVQnfj0Hsx5wY3DA6EB6hU3+aPoJb4wYLOs89Z0paVhZ59B73bEEr3y95C+zeYd
saGFGccBHDlHBzk20BcS6OsaeYgqVxDMWTD02K+BXTQaJzhsyXkf2P28qsuXIAcItq7SiTAPi9fx
w5zEcJE3mIW6ZmB3Xd8bMvshkxDMNkubVIXaNYsMuch6gzqxO1COzJU37GUd566o8XgBLQO7vhHy
PVkPX6M0utVHvkSODuPBHsPutTqaBrpoZUNCstXdtGxAE/F8x5tElbLSqOc7H+qmTjUkZ26np5oz
iPFsM4YNvx+/UZrM/Z6BHFgd8h4iynYCOeGkuAU3ZRGC6msH/hF601io4BmWdBoAnqO2gd7VpJqY
HeWHEdlrHd8DpmcvY9F2bmZyaBF7E1Z9BZPXWRJVR0GgOlDG3UM/iAUyGS9f5uHPJdnXJRim6a8L
MGRnAH4mjGJzR3U+red+W4Bx+LhA8Fv4SwuaTjORm8sh4iuk1gx8WZPLWv4y6f+TP6br/+yvGRY3
kdjCotT+46+1ja5rWuD5S2Hlk3PD0YS6kIHbykCebsJ3ZJj2NYlvIpEju1Q//fvPqk8T85fV5uXD
2oJw09JNik/8+4dFTdbIc/izQAcqfssqYTm+3EFTx4F++oApQf0vUgjne8nOytKdNorFv38L4p+8
AyzHTTI9N8BKIb+/A2aYLIXPHFQJ2nbPaLrzA74uy/T/MHcey3UjUZp+InTAZSKxvbie3ovaIEhK
hPceTz8f1B3R1BWHjO7ZzKJUUSVKcJknj/mNN9nppvCTb164Wv6+kyd2TJPTzzB1R/DMf18vR7eo
7ol/O2vmUAmdbFcnV21JJKmHNsahEPnlcIYOXUGWEsOj0xg3udWtKzM8durnRJtAtJiGPnZV5Ckl
fmbdWRX3j6pQdJCSvVVWYBvtnZ0gd1GlLUZtJfLphLq8s25In9VqHpxDZcevjRHRDvhZIBEuHB9F
Pj0aPOGqDTXWzzHV1Ap1hPOpKnBWnWYYZNlD56ZIe4Q1LZ3hBYPQ+yxA6A11Dbwz+IQbxNuEF0WN
l5n+NThup6rx/VA5McRqdmVn3MCrW9d1emEb4yp1a5BbARj/P9TWSt0HynxMJnVPpHFbgQZIVKCo
rC6xPp+gkjqHxp+3GkdY2tVeQWhHWyn1/qyI/1F9exG91UVTvLenNenHkvT/uQr+/7DAXdbj/z1r
XP3GEez3X0kiP/9fOaJy/oPalVji4hLhokhKlvZfOaJy/wNatiPdJa5J5fx3kmgo/hB/zDUVumUu
hM7/rmzFfyjlGLarDN1x0Sv7H1W2JykiYct1FZcxLSpcV3fU3/uuMyPwW2y+HRp5B3+gvim7Y1DN
34QTctqP2/s/L2OQH9Omopg2lvL6Q/k8oeUPknBqdh0lYoeuk7LDbW5kx8rZ2z7knaXdaR8+fIRP
orj56VWFzhWFsnidJ1dNeDTDN+dm5wiXs5UmaNh0P9xmBP6IRL1LJSbbYBXgZNgpNKxwq1AC/efw
mi+gr7Jq8ty4e2BefGVm5kvUp1Dgop9dp13BeLwF6mwYyRP96/vCqg6aH3uO04Ae1R6/fpAl+H0I
jn/eHqcfiTk1Bi2Q5Tk/vD29U6VEwrHZpQSGXPoHFWrPX1/C+uwaijkenhwsBsNZfv/DNaixfXOE
cQULJf69JH0CfZxVa47bNtz1WeuvrBSrSqn4BQgTPQ7rxkiIUaEbndtd7i0QqLmT9xBVbqvproJc
hGNBEdtnM4pItjaAgztjUrCpR9A48S3CG8ubNusmWrVzjMlKsZMQQFYtGvPfPNzyof95gYZrcL5I
ijKxnHYfHi60RTEnsmp2MnUu22K48gGndPXWkvF9mVo3qoh/JWDZLT5jkaabLKZl3jq4dyM7DXQ3
U3JbO+4m0sq9CVdYJRL/puzchks8l+UBPQNDSrqkabBKRfUckW6pBG/WSVxG43AFh+1ZH/LLrx/r
T87zz2NReBIndJpScsliPjyWhpask8Iv25m5iSovZYho0BtM5MxA0uguNUHVJ0yAr8BzndSiowMx
0DrGfkjxo8PCRCbDG8x+8/WNLUHj430JUibdXHadtKRh2afrdYrdIsFeYxflm0xXZ93U7M3yvgFz
g/TONtGN1dcXtE7D2J8rMhpnbKcsRU3+95uQrZFNcR42O0E9k5n3M1QZRyR3dRbfDuG8NSb9OTBu
OgqdUNbeHN9YqXtmzQjvFemDjKI7v273RTOtiyC7xTrrqo3Sa5EanlNgnejHt24mDm5xnkwkGlV3
RN176wbumaFNjxi2xCub+hTE5g8/qt6+ebiT3IgSXjdgOruWbvKPbZ2s3oGeaU3Xs94xFryngbcq
al16B9El1tpxRb2yG38r+JC9TtE2G6bnuIh8hrtlCLSGFTt51hwfczu9GPN231uo8ifyh281xSov
krWRq9KbAzR59P5Hh9wYfTApV7pKjnpMDZs2cL6/fibjsw8mTcs2+Fh0aP/kgx+Wrm4VtVG2gHeg
k2IpUer7Ilaj1w0ICkNx2mnzhJHRTD/ASVeMeBkiFslPzf1RUaCjPZTjittffXNTaknrTxeuQWjn
7NXBAtvL73+4K5Hhm5EmWo36l0Y/NlPlKjfnn5NlP6Hl7xyGzj+PACivMyrpzYCUXqoG5HCl0pCn
KWCF3WnjGV5Q1nVo98HKiN2NSVHphTNyN/ocrvvE/unPUXQepzFa2XGdrqcpiFFbB3ChI1SQM7hY
tXXpoO5b/4J4TH1KVEIZNl7JvLuFyfEs+yZd5cCIN3Wdo4xinCOpzK5270NXMI2yBmfVhsHl6LTg
BusUscJoNxvqJ4qAv1O/2PsjQii1qLahpR5K4eJRGd0W+cLyy8HhZc1LPFvYHizzf4km74RqAutB
PoqwohuQQKTP0KLcMjt4J+Oke4IelB/HXp/Jn4kmm3WfM/DEVWs3x/1LkoWtZ7W3g5M1oHb7cVVZ
KmG2rYktEJGfurZLsuQil+ZaFA3dh268VkODAmfkvIlerXVQZyuz8CHmKCjC88Zgi66MYFzDc2GQ
2jQouDjRr7hDYTRCBmjoVmkUIp0H7a8yHsdY+wlI66KRxTF3bXtVL5E9HcuHIdyA9vw1jitZ+ney
trYNcgyoQj10osNhxsmukmuk3ctNtDSKY6dmClyW+kpPAINaXtPG6KBpd9SFM4iAkcWQDBfVGJsr
5OAsz4Rom3VwJO2+x8VwgfI24Y2f5o9SU2j9ZsqTI3V2e4WE9LhG0C2n71JBBdHbHVagZ62PPvng
FIexrCovsaTa9uVDrj25cY3sBgtM1t2FZua5h3jMfurpymd68hoEY7Ou0EyLeQOdQC0QxGhRvIy9
+5Zk7kWhtwdUYzaGmWxHE7F2OSOn5Gys6MmS4+1c4KBl0Ev3luU11XgaD2Z1C2b74utNd1JoLsHN
NnXdYuTDUfFPIIBFL9oU1/TdnDvXAq26VZnadwEZqT3b15Ff/vr6eu5Jaf+f0dQmE7Udg0bC6eFU
ZJ1K+6ypiY5+uCmG/HcyyCNK5YtsDlsyta+D8rYckVGrYH44U3Sbp2G6UojKkN8hOhMG+wJhnnWH
FEk9FT8MBxORmYkKQpKrHFp6lnKs5ljUjLlYgym6m8fu2tcWiWtbPTd4JUCoj88DEu9VkePWYKXP
4Hq2IgsM+nN9sQZwnnt6BHoAaYihs9xVY4cvZghmpGk4zPUeJMy46JNbxd6J4uecXpfUqjfUjtEF
L4YLJ0h+4zaB4mapvFYzn+uBbzil8x2Au32URO/uLK6mYdwnJTTs207KfZmDiUUactxzr3tI1JeJ
7C9A/DwLmCdE3C1NxMAba4hn4MkqNFORXYzi2yRio0fBbSfMEaue7iGGrWrQLUnN3UByNDez8krJ
68zq7uHrD2p8soIM4QiLrjqLiUng30Eb6tIoYBDWu8oun7Jhuk2wva3UmdHktK8TDZbyMO+1Th0b
3rXpXgwJ4uDg8BjrCCwT6fVWmH4wlvr9zZ19cnBLpA0Fo0ldGe5S+X08Tgy30rLWnWvMOwqcHmht
o8NzpF9904G/T63kAdgPfWLYGnAUvr74J2+Fazs6c1G6NyQOf19bK5o4HaOBpEGb9q3sH2D/7SEX
nds4AK9Me8z/F0e6NBnVcn4KwyTt+/uKYtCUWyUVR7pT/m5gEOhNeF3HwyaZW7lxRefFo3PJOZau
SpALc7prsG3lnPndGvyBLPkmb/r0DVj2Ukc7yO6fpk0SvWendkkxEDXWc/gVZIb5QphyL+Nw+qbA
PW3ZLWFFmoAedYp8m8Tm5OndLpWtj9r3rhT6c8KUAVTyOapvNJ+1X7PIbmEEPw1D9qRoimMLsS8D
X3lff3Nr+agn+YukiUaJSOcQfabTBWdU9Tyi275L6iHnfF2IP13/KwEXU5SGZ8m285LUPFQSjhAy
910TPwI6fck1pMOViTBgH8czw18q2Uk/lAxg1lVv3CUqfbINhgHCjY92P+B8XTA2mi7kjDTODAXE
iiZnB1Zt20ZMN6pUg0CiEX0Un/3rh/wsdZSmizuwFKbzb1UvO61UOVTiHS65d05IvBtz466yULfp
z4cuQdZ7iGjPl+EbHhHXHFn3cmLJ+8GmDefLwgCR9vUtnfYZ/nx7V1q2+adfKk/atY5vxaIe3Irq
I75t3WEn3AbZQ/MQJ8XzwJRtRCRulFH7zXWXNXX6uS1HKYoeUmh5uscnqQVUDqLapbMLeLB4ouP5
zSU+KeWkReRiD0mXxvtJKRfIuEv9eah2eqJdqsII1nbb4zsaOu26kfmhi9jOaWYdvn6j9meh88N1
nZOgHrhhPlK4VLsgT14CG/GWQBVPqveZnM/nbQ9pr9F15kwSTdK4e6uluGwiQ6wcEVHWmtZWAsFD
Wzy66i3GSZC6qJtQ6dgIlWyz0mpXWafd1PSkVrFfwS1IY48K6aBlAQKY8RtCnqwhu20w7r7qRPZo
otS3Kj1VTDeJoQJcw5oLGO/7wi+mrR2mz1+/gWWrnn5byGRkKNJYunMntf3UGLme9x1bWWOPpuPF
YFXYb4U3X1/ms6X78TInSxdoXSglxhs7+ia3WR5XqyK6G+dHnDA2EdqtcpLIVHTmdwXgZ+vq43Wt
vw+LIq3diKyILdP31zldodHfwN7YOmV88HOYvqr+5oV+Gjf+pJrMF1zXME6W1ODoZoj4dLUrioRI
1hyLNrxnXBqu1M4AMd5RhOVXjCGguRY/xsHaoSG67xUTJkcEt1+/d/OTNFRKcl6mHTYS6uLkBeAh
AyilZIFnYNa7PmipA0mahouaJhzAYLQBM/9Mk6XHTJaxY41MDCUYSddk4dC+RDYc63JaZ/nvMob3
bGbLwIM2XPPw9a1+FmU+3unJyYZM0WiGgV7tJtV7tIs3U/DdvO2fTu0SQZUNWMvm+ERuaFmmHwrv
XHYYD5dOuettsc/LftW0OoVsUuESnd9ITd62tQ9FFPrMYP0O8QNaTUPNbJ9EVF1UcbApq3FdhDJj
JD14LuRay67uRI2QdsNGrkMbepv9tDinclK9LRup0uOz2r7++mX905P78yQOYVc3LNwx//z+hyfB
Woziesz4rqXxk4DzJLRyW5r5NgyMc0Rj9p0WvuXgntDA8hIBcNqtEXi06DfgY3hugSaClv7NeO0/
27cn4YQGoWtbyDTSBJUnix9DSVsiPVzC1OZlIe58FQb0q8ehcTytca5qkEbKKcx1AA8FJQRiQMMY
HO2ClVLDe1xHqILO7lb0mK3bOLXkVd+vw9CaPSgeSQ/Uw0FzaxUCWwKyQBt3dMrHoEFLX8e1ZtXX
vSf84qfWNXd5XBfroeb/IhoPGk3H9JdyfmwZILtW4KF78+KU0Ysy7DcosBsmzfvBpNpuj1Vt/BQi
iylx+OESuxfYVhi3gQgu0DFOOzj4CY4OvYYH2KRtixo2Y6EPwCHEQfYzvY24vJQxnZik3mbpfJEG
k7nNNHUWt/qm5xiAFFYkW4E2HCalZ3kEMh6jgGLntv1W67Jnv2uZ2OX34aKwkYhBrFrJm6yKeNgj
iHA9j+WFLmkaIRM7op1owt4vbZftXZMcoa2ejihqlelWCPSxffPc0tSudnilRZVRQgIUwOHsPRBi
IwpccevqV5Oskjy+NLvkMs7lq2OUWz3s+VbdPtXC23wIF753h45D9yObwcIZIQ8YSf66brJib+5T
/Oed7kAc8oKBB05jOhH9AGwH/ZB4NYOkrSv3ACXf3FpdT3f7dkiLd3+2rjgU1lVtvjqI6a8nQO9+
WooH1QE6bB6N2cXw06megyjnc8rsEZPvS3gjZ+3QlJ5jh+5mgOE8Ww6afAvOv1KXONej7am9Br18
HQdM83w7wBCMRVGo7hlS5ntS5+/II1xi8+5FTXJp9SA9FOJl5o+0cgoKZltHvq1/rkTvepGE5eqE
Kyf8Zdhx5akwvjQ01X9X4HwSCFGSYfswlUPvTT85K0FQQ3yrrHIXQYcqC3MzxRrpXgZNdL4F9XSt
Z/2F1T3SF75TIr5+aZOMMQpb6JsYs1zoZDMrnULLcBCZJ/07ich+DFI/06dyVxgAhDLHOaMMPCvq
m7IWZ1ACj0b/XBSwZLoCGEe50sYf39zBEi5O74B6G0wGOe/Suvk7XjvKGbU4rMqdOYibUMU/CxVc
lhDpDLTrwtzfwte5taLy19Dm31Ra9id1nTLB/QLrJf1HMfXva9uox08YpxW7Yq7M9ZhQPtOLqLEP
06/1bnwOrPIdH29crpv3KDI9A+36VNIraV4mHUu7CYzTs9m0yU72ibtJQ9Ez5BlqaMLB7dTL91hP
k/Uo6ttC4D5Iq3oLiekB9uy5MZnuWqTdu9LKO31OrTNfWrc+suNHu5H1GmrEGiTUeV3R8TM0rIWV
u4t0H5Sov2l7uNRVbF9Y2pRtBZp4amnWffNlPns7lsnhwyHKzOlPnfrh/JlUlkyuG5S7pszOpzL+
Veua11uC3mVT/JQADzJR3ZmCQd00/5gDicIZgJow27jlWYSyvxel4WvKS/umkvjsxoROKrvgtRc8
4slnGyrLaTun2GVmBrSXqqjsLlGQR2fuagis6ZsX8Un+DPhyOYABlNPoOznwrKYsu6EYi50WKIT1
0w3SGVvHtb6bwS152ulO4Eil9kfORZqntV8bulUX132x063MC7rorDCSB4SX75JEO6JO/zDP/UVn
iRzuoH2R1fgom2d28u0J/9mOlEv+pAsBHvWfDCpBRMIa9WIHlzpd+aj21ciER/YR1ZnrCfvXqZg2
PTw9OpT9Nz3cP6nzPy9BMFhdSnIpnZNvm6gak+cWS9u4QeU5xN7GlAU6ANmmN4yrwm7gIqbvuZah
1jJ8c/FPKhgod0w67QVh8c90rJsYaIzKLXeId19rMV7hdpctjfKzEvq/Zjt3ViXv4lD/BpD26UOD
mJDKlIZDFn+ywsTAWECzjXLngIo0bP0xSn30ggGERtbOLoAvlpWxETArV4jXPn29z//M409eOUMq
eAlKmXSz9ZNWT0Kq0iyUTjTZxSNNMLmKyumKTvt1X9NWthvxCqzjQTZ3bvAjMLt9U/ZbMVurSTBg
GrU+YsxyM5Wj47XOWyNRAK3SxlwE6x5xg003YzVfu3IQnrUvQ9fcNpZLO9UQ6FOZ5lb1DVIEJGR2
WK1y4byGNGaROCe1ETE6KdL0otJ4QmeOzORXWc+Po+/uyzbY4q/7gozFnZOIVxchlVIXMZq/0/ud
6WgEJ4hM3SKW2Qgg8XGxXs8umUQxEcDNBfSKYvKx7x4Cxz7oOs4nO1zrSPb6osSETgiGTtxQPrpr
q+ue+tb/JXRrEwGVRG6nuvv6K1ifLL6l2wduhu6L6djLSf0h2orUliU2CQQ1JzBorbVIF+GOg1gE
Yp0qoAmVlmstzrYzLiQF9Ot1mYpDXGa9Z2jNc0vDbgVm5kwv29pTtXYQ8EhAnInXes4XU+viwmTA
GLScJ3rXURtAXo5EvZdOckW99DKWSypbmu1WMQmI7FfkZbFK7WOsJ1E0mpTX5ywJo3W8zqmdb2L6
Z9WOq8A1KYuOpwW25+/nbwMRhUld4t0dZa9dZB4TO0bjp35gQJGsAdfgWBZd6vb0s0Tckx6YvC2R
kAxrRo7WpVkj09VkmfbNbf1p+f+9OQyAHqBZXCklOMqT5kmajtB/Z0E8yhwy3sa67EYWuk96jriQ
4QWG/VoNQe4ZAoShyWrMhwKhAuYIeA367zMcEJEVj/3AoHW6D/nxeWzuYtvYAvnHL6rjVeqJ2pnN
8Dzrdnrs+/bZkLQKxsdqguyPrbK7/nqxfdLAWLI9y5J0eHHJPA04AGyCyunsnO5uu8tEp3lRAQgx
mx3MN6J4mwzxk0zRiex550ZKFR32rCaQIE9taj1GdjZDz/a/edmfxEHDsMlCXd62C9XgpHYvOlm1
rhryXUefLTX9nREtsG3M0hBUZ/Hrh6Bgfj0hS9d/10b6t+1u6bqCMsEA0XY5fZc+04cNCJYrFKKP
8Fs/pl3JgGWaYP8cB53he0jd0cpDU4nzTODXsTQG1PANaOCfRtbJDZw8fUXTMcz0tACv2h2BgS8c
ilUzEvwzfyVDcUhs/3+a2vx9ydOBl+rNNHSqhATY7VEWgSCbc+AWzTeJtvFPcFuuY2AJwClDeJMn
ZUagZ7KzYt5t61cHZROyRlhqmKEcxUJasPHK8McnNYj7uJ0esyh+aXt7bytnHVc7V8MqJi1Qu488
ROF7O3v+Zjt8+uZNBTobRRYKgpM6wJxVJ5URk3lhtqc0ed7U3YKc2DVh5qW4zumRtuld93pe8Pnx
nlCwrqGQTniwY3q7tZvzDEVWt3n95sb+ST2X97ZwghzHoET5A1b6sCZLVGsBAQTFriq14wIvLpEY
B9a8DsfqYFsYM9dHvI88o4nuq7Y6uE38XDQ3o0weajqi39zNP1Xryd2cvKZY06IwZF6zw7dqK1wS
YTle0EBHvOVYTHJtSeuBTsE1sMUjtNdtGBX7Kip31dnXN/LparINB0gYoymwTH/v1CB3xnlI3Bxs
zWs4mauusfatsSmCy9QoIVyAWmIu/vU1l2f76xxYnv3DNa2/r9kaeeYMvZPvKhe1YoWJSd+tBwxq
sAP4f7zUyWbx0Vqid6XyXaPnDKCoBbCwMPpb89sB2IL9/eSphOFyuhk2XeS/n8qyu7KSYDN288jp
NSKZG9cjakfAW6sXKzKu7GK+8DmDMmxKw3Mtq96QBMPOOFx1Pm6Rafas98Gv0RFba34mufacOEAC
Zjpr2uq7gtRccv9/vgFYQBrdynQddXIWZzWJHgjWfAfeYD+aSBfCCNKSZls2KFYQRJCq93qpn4Xa
zumdQxn6mymlfM6gabf5n22bhijk5P1T0MG1ReZWAHCa2fXpEOLBosVbzfc3Vkejreu+OXU/jTIf
bv9k2TqIuHVmxhKSgtkh7eZmIdmf9X2+z/UEs/b5f7NPiLhQLKio/hmjxxNjOKwp8l0xaccFj1wq
+7L2m2NpWefAd9cZ84Eiib+L9v8MJJa98odwAmIa5vTJqmqAEAE14kGjiXpNymyDPLcRdOczdLMC
ITnofOtS/KDB7UVdePgf79RliSgQ2UIBBzqpIMdZJGOZE6W0fNqkrb/x+aJBjU+O6r45sT8JCkIY
GD+BUTAUNdTf2ycwC0POcUh4biTIMkG9aO3DJtkkmvNd3/2To0Aw35HGgoow9dMJrU3zRW99Fj9i
vOinhCtSt9RjcLAGc3mwKs5WhCY7DROsHNMIG+HmEOWeIMUasXXu8Pb8pl/x3Q2dhKnOLu1BH4nC
VSTp9CB7g64OIMbbrz/nZ3kZm4amCJNLJtSn/KEUOBxSDaymPoEO6kYQ0goRryMd0XRHHJiuFghz
ZM/KLH7M2aVZ5ZuGocg3d/HJml54FxYcB0fxIU5iD8AsLDgmypOg98/rCPgx8myFeq6n0Bur9pgA
CZ8ASQf2sM/d+LvL0wX6N/gx1VIUI9RHBm2iv9daT3mdazH14dhkPLAJFjMvrkaNaQ/Cq6SrQGnA
mRo7K0O32uCX3jH3DcdyWYl9YFf3mnXn93W0Hab+ySiFWtcNA4/SsM4gNtgLaWHGjFKmmBgcBmle
tZW6Mmd/DU8VvMbcDIAxGHFmE5P7DvqoEz5oabDu4ffbblXskbTdFhhqeAuCqp3usNHa6Faab/Er
PxoCzcy5fgjDkSxLrTHuuCw7c7fofUaWf4McBh1XQnBpwOHPok3QpRfKT2BVJfaRRhSDi5oTp47u
7QzQJMKslwh8v2Sm+TiGRbgzDZs+RGAd5Ki/lvHZyGxjN6Gu2FidOujoMxad+YgzsnXoJnWHaUSy
KfX8fBgmvFqwZNoF40Ua59NF0oQX89CWqI0ieNUhHcAb/1UPMTDt8A6VmnmlTVa0TzupX6Tz+Fvu
DDP+aWkivOmrmxSBVG+qcPJs3S3hrUDHsd6FWvqmRLRUM+ECBiB5yocGUDKskd7e5H724iTDptVo
qThjEW/r2sIdzEb4NK1fUVk211WIDDOyhkdRtwfRGNpVphVPkT+y5U1awMiDr+UIybVEzqzwxXZK
nqrBfoUPcmfhzbmvrPgZBjWCCjS6G+qslYtE1kxdh4uYhnir4U5QcO3R8/lNpIWkiyTRpo1xYhg7
9zeuO+9Vd+toatMlS7NmhLotO0jAM54DfQGHtCoi6LL+uO9mnHBt+doaj37FfbdJuvNHqrZOuZgd
gA6I5n7yygEabAqcjTXwmg8eyKh3XxvHi8bSX91MPsRk4vlkHzut+F0m/mXbxy+pX71qe2Pqr+sW
YnMhfzpR9BwO9yGDoZXIuRwGb4wRnYl34Bwd3zh0TsJa4bJ2wy/x2NzHUmBQxn/o8Hq1vL2LNP9S
RJm9xibt2SiZzMCYnRCLAYI5JQIBCR3cK4Nxq2QQUvKNXB8AnGXVRFg7Yco+MXxKmDZns8/gEDIm
TEBmUYEd3k6VfZf4561crEYDY1i3eAaPg47UcYG8r04/Bij+ShQtGl3JG7XS4mHMeqkyQEB6bxBi
o2dfGOe4ugE4rZs1psCANRen3ZbdEs6UqcAUdRW+lQvIuU8FYmP2lcxAIwRehGTfmv9GbJ3544oG
w13no0fW1xvLBVQEjAIkipY/SS2uV2UyPLZ5dz0ZCFZPyT0WdnLjzLmHJxZ2ZS7yWSJLh0MV+edF
q+4Ga7zNLQOvafnsXnb9iHAjC0q4oYdiQI0Tkbgayvwtd+glYB7x6uoIcKnkLc8LRDCgX08U2msU
zB8Kae1a8dal2cZi3mFUGRPgDsXwBYNm+Yxjg5yuQNcsEPPkLazzjn4A2H6jHX4A9Af6X2WGJ+ub
HkURULmroBr3IlBHOrAPUXOLIRgod5iwYY4iU5CyBMYswemn38mWa1B6X5LdMkFO086rk/CqMNTR
cZx92es5fl75mUE+sTYnXJ5yv0MU8LLGBtljNh/TG9PXRPF9mU0sS8BFKrPUdk6x28bPZ8VTThcV
yiBIxft0NoEe6MrZNgaqnEN9bcZ26/X31l52FV4kiMoFqtk4CGRn6Us6DsEaF0X0uefdXAc6IPLM
2DppdhOI1Qi7Y017xVgV5iFUOGUNbGLD7a/12JQrhH4vB8ESqn6PvXHB7kONsuIAgFHX/2fwMIPk
pSCA+qjG6HP5xL+fNMLnSjPrHgyg9cqwaG+gV7KysEOG+m+8MoW9kpO2kXbpHkzfeLTaMbkY3I1T
6fdobqXbklLVceVb7arbjBYHea9FhEEuYAWDx4kA8ifSpZCzNw74obXZqGxdAg1cNU1/XUaNu8UA
Yj+W5rxpHRxBo3aJVu6qC5PnxAnpjwiUafrFvLqTpPTKPe/xRGUivnzZ0UbRs8gxh3ApBwTj1hA5
UEc9NNU0rJVhcrb1zpq2aIALDW5bMQ4MBT+HUcLZ7HTTvhxGTE+QKbCmgd2evAVBINZxU28ANQy7
IUNXQbh2t9Y62wRGndUIZFQoV+A6iV65YVCeu/pRi5CpgZHGIs5I35qpTS4QZtNwZ3aQtEkCddW5
lb8acIPboTWJHFwSmgtJr9pKWv9YgkfjprIGkzZ7fGFwqhwVSgiomL7PRj3smgwEAezfea9MJvit
5fxCR5Hjx2Fn0XWlld8/xvh4F1r6VCTAdi0x4QE8MGg08Qpm+QW8vzDI37KgeyglP5ESixDvuWAS
+ttx12pcOBr6eFUM0rPc8aLMDbnC6uCh9HWQnnmUrtUUudvGXrbbuhvlRRI3140xXcRFfG4mQEKN
/MYVU7bxXcJVbSJfVkwXKJyojdTCjYIBuDKlsw4AjwOrjkDXNXBCmpfCtbHBZQzDEORWS+zHkhbx
PrbCTdKXv3WXE6k3CMhGtymNrsNb1Dxg34jOknmDYCormLOS1Dl6x+cIZQKrJMIUPgcdkglFm7yA
5g9XDDaMrWHFF7K3jZWrknQPAWo1lFq8H1zj52iN6ixqG9b0G3hthMMnNEKaBoH9zm2mHWiK197B
ThLt2B5Ned86DAhqAtWfzuWkOBx1+rz4tjDfBFNb1zcxUmxWDHU1RUTWU4lzPvCHEid5mKaW3k6t
fodZdLCskLQH3WTXWE7YTaBNqCc8Fkq7lgNi1wqt7nbiwokp2VE0z2tLf85yfwY8r41rRyZXyA0R
OdPyRm9iNCQsffaQyHiq2/qxtVF2CnJcOLJHLSKKNEV2ZgzNfYBctZmgUTVN/jodxD7LInbT3Efb
2kcrwnXie6cr3pHn6DxdTPV5z+xsl+klzPI52uQzgRVIy7mvpeeOyPTj3J0ZeTgda2UfciZfqAW7
v5HFwoO7XsF+QEelBaJRT/19iFEFwL4ddEMOajuTWxw5sVPKtQU+aXs2OtHsSW30nLB4d7PxDnnT
jl2QRd7IeW6X2Z6q0/JCSjUv6cZtM5fGLoKtuKmd8hyRF44ROSGbOde/M2pVDycttUYgpWzbS1hG
AJH8JNnbEfsODbwjBA8UvMkLo4M2cYg5iGyAe+o8OafPdfmWNonm+RGC9qY5nhlpD1CItnrRp9e2
ghtMzP1hDsgGlGVC6yFozhDWbDZuSGodmj1ZhsTPIrPWyZz+cqu+pNMSvguR99tOP2s529aoel2L
uGF3Yq67RrQRqSyJaZAcu6Mv4vexsQfP199FKcPLNM8uWtw9MuBLWHYPh7mLGHIxNEe4w1gNrezA
ZbnrPv4z/8IPrswg6PYtaVd3yZipk2nrzYAGV3OeGuvRfXDYc4BoUCmOx/ISWexuNTeY1gHnue4K
v90rEt52TlyCV34WgYTCyC2/kKHPgMR5t1z//zB3JstxI0u6fpW23qMMcwBm3b3IBHJkchZFagMj
JRHzPOPp7weW7JSYzMPsqt7cTZVEioxEIMLDw/0f7gp8i10z+iH3Nc4cPmVWPxhmveudXcW7Pu12
qtHbC9+XvgBziOCpAOwDgY6e3HW1kfXronuVxI0X7dPYmSbH8GFDLdR2MeTXZXGfeV9HYqr2Q2Nb
enaDJsvDaF+l/Z1vvkwYaYgUu8riuzqgoIBcdUuLqRh8R4EX5iP0qPXfvBAT9wdTQyBlgt47CVfx
8YRuM8zmm22ItbhvinUib6O6PsBeczQadVlt7TnlL9HcXgCT3+W22NeqeiEN2dWgfomn4gqXgp3p
SdsgjPHUabdwmK/8hFDXgJsAzzDcDHFPmw7zBz2iPK4eFC04KImyqSNclhRprbHYgAXQNVK3inTd
IgE3G/QIbl3UmLgYi12ijttMWUzIURaKva/zcZfPojzxK8cp11ZppVfCkThRraYnKxxcPYxXRYY0
kTG5VQ4BzfP3qYYfhY4ouW7ehR2c8axxUvKcLGw2njVwedFXbTeHvZWqGJsYMzvPr+8b+0605avU
eVBAtSvf8O+abjoouc3Nz8N+uNtbU7LTy+AuFtGlkNP52uOOXr8caTXGqXGwx/GWsvhFoxK9JLwT
J0n9omndHj39H3aDZ4bd3ZHaHKAxFl190AJvmwYJcKp4aYftrW6W+1mkONDVy9DIl4W/bdhkRuzf
dEa9sTRuxKZ1G2vlIVKNx6xJt8Iqdr7uPU1V+piwWZXU/4If3FcZTqb6Ja0PsUbxHw5KPg47L5Dw
dqhdT5UfYOPsZLm/B5AiCDy6a2OKOIlX25O3laGty3i68XIJYxm8nDh3zDEnGlnL2KIESYXcC9Xv
hWw5RaS5CFddjvbkoPx/wAcBFazghgomRxmaRuJqyLlu9/LSlKQVfmeLaLLWcaDhwIyLZAphBK3X
klg4mMBrE7EvkSLvGhzKsU3D2GxZwalSRefKNkZCBjGzTJay/tNQd7lRLoFjbGls0wWMNskkrZWK
f0X2qTc6is3SF7ld6tbssDEDkWbmLMEaq8BemYWVy31ccPbaSXYXWPp1V4hLBJlKgCptIG37vgDi
hj9bMu2QsEDjdrzXbVoXw9qzCyyYZNShwF3BTpvNEizzxS+zNX5Vu5KPnrbYFEnxNoBk2ICjinMd
WApUZCE5GYUhmpyOIfEhe3+pd2i+qO0y49BIcn9XCbHyUCpsOBAqStJ6gHJX4NhhtlIqcYklys5E
ckDVsm2Uq/sK4f2m2mGOtKqlakPvZ+2J7FbTBI4ZGURXe9vX0gY/CMcgG2t8PBskUNd65PbwOTXE
qrNwvDJRbV9w2II4MBaJIru1Cu2AKOZxRpaFSUmg2ZpxuzErFNKUbGPU2mqE91mMVD6UwGm7XWtv
WlxmLIg/Ho1AS3qWp59tSgmAS8VsT1D1xgoIqRtNeMGKFKiy6oAqdHpKUlal4pZdrmbjePnCCuZr
rOQgy+zQT1qnYFxmEZxdVXGx0Ysd7QGYmZID1Q4xxO8ByUHMuEy0G6KhIANEaCTutcVT3QsHOII7
Nb6LkY5LiwYZGmulau168JB+jiLkzdKLSH+q2eweLz2UVVJsfyOEtrQoVCB97OZ8onRWYz0ESb/k
xr5Q/afRQpJKbERtrquiXxWkz56GRjguu+lsLq/eJm1CSaaWtlYo3FFNH7zOW7desuwa+urduEuT
EXRDwwshbgSo4sTGUrVmAU3EcCKIliSoU6mt4tJaRGhL1oQzP8R9GV+M6N7I/dW01KJp18EelUzZ
LVvXgzXSZOsotnH+ZuZDTJ4KlUtsufBS1ZU8Kkej+gz7wkW8zkWnnjkTa4BcTynC3fIK1x7Xly8J
NNR8GqdColeDENxm6pZfjHoEcrWlRLqDMEaOnhtt9zYAB+SnaygMWsgnmXU5cfGtZcWBi+a0dra3
oFXYjFVw6EmliVl1vKzyhtQQUbNc2YRFvkJ7DMkix5tKB07PoprUJf4OWuq03vfZh571wHFHXQ9S
qjfeKtmzNSiImDidjxSAJ8E633eazUe1HflNEuEWCmrCVbXrQyf+kbbBKhyNTZWREOVUXbTYkcMU
ieDCiVNE2gQXUB4NlOUiC3qAz7pTwspO4sJlFazlIpspX64A3DzpjeNrIXpf8tIa9F1RS24utwtv
qG6TOiNVxpCnjmUnSOE1A8SMy/Ai9qebEMFmFT2VVu/WRhzeK+m00VQFyVBuDcXwNFnmFUpk27DJ
F0UfzctghSsBNFhS2xDUp7wuFWwU5YKeJhIFLQceDTCvCdeVgocyPuPoIDnKSI7E85n5dJFMycbU
lEUJk16UbjvhxgbcO9FjEivY5La3nAMoWeaF0mERrRAt7RhGugdOHdg2gGJ0rybE2rNxXA1CQxll
1Y39TvZ+DlaLGDduRjKuCJ7i6DgEkyqibM3WbEOnE7iHEdfdAlVtqTNvDOkJWtJOSaNNoYptXU2z
KfM+pavnt8R7fSawo/7WwUqSQidbmRGVjGl2UyiBQcc7VGDv+oFbVxzLkB+SJdbqr4mgYBwNlxSR
92Uuo1bDTVEaNpoeAt3+VgTWZdz2TkCl3fe8bSRnmySzVl4IUrVHNFy9QRPPogKNXopr98mhlIN9
Mal77jjXmBUhqJxuuuY1BYRSdOmVFBs3JLrbkHJ014VuEbMr2mzj1U6TFCuPHCMW5R6v9m0RyZfm
96jsL2Wmzecs7AsQAkO18jAw5JIt2wPJEkrVV0hzLLzOjfwDtf2Xuuzvp2ZYNtC58C9ctwiQaTWi
k9a0rhIdRG2HFCBiXpEPBupWGttFz42+bet1p4Wu2uSrBpeICMKghgJmNHJvj/r2tq6KalX3VbH7
6z9VLBe4icZ3aMyWK+hn9S60A1pv85/++msQpAOF/H/37bdvHP3I268Zs+nXLxxVuQdZ9K+/v337
r5878+23fyhgYiNDaG4pkHV724/7/duf/vrP0dcKL4Q99PbtqqHooOAE7/z1b/Spp0r319//7e85
+ie6Om0t6FSbo6//NtzRr/pzpLcvvv1MiCj4dgSq9teX3v7057+jDt7kfgOYIuG0M4OLUjcelN5o
10YiNRdqW93UGqzjsoiHReE1P0epu1d7KvSfN5NOdc5mXRBk6oD5gnR938rR5aBEZga4SW+YW0vB
2TtG/AfB3s+HOdFvphEqI0IBtl/DQf39MEEUylmdEwa6ut0hMkESwh6KFyF3v3GoUX0/J57zEVc2
4yLRlQFKM2OYxYzc+A2voucYHzeCIXu/XdmItXrI4nUtKtPYfAc4ShWTuerU9NribO67/jbMrQsR
D27VvUzaeK5rdqJn9vvHOZaGydPK467CRANf3Bcl8NMSOlKcXTZesW1VQX1nhltTqOpoF1ggYIt6
809ewr9m5BizUEuDVKU9LeK+L6807yqInqyJw51oVaoQcYZm9/mAp/qlqBLOWotI1QLyO+q+ywgr
qFjp5WuvSl0Q+AtT7tCUSr5GRr8S2fQQtnSqpwo8XyAgN9QWod0U50j8J0A6jA6xwtI1m48zv5vf
lkJG9ptlyISsZTW0KTNwzy9L+1muEvxvsrvWSBaaNT0mMi5In8/AR0IkWsgwFgAGqXBbZPtoFWKh
2IVDRUc8GRK3NZq1itAwaY0SLy1T8TkmnDiHZqYlxqbGBjbWenmhxBads7ku0o3F3TQ15NIUcVI9
um6x9y2SDBRtGkfYZQVncBpzp/wI1/Lb50Ur8/1UFVLGBhZMlait7Qw59yz9DHbrBFJhxoGwKmwb
ZYHjReFPZpkgr5GvcevdZyY34EtN0h2DXsvnk38CowPtElqgAppZF29g899ee2pia+X1RAArrui+
IG0U6zc5HcOy9vdk9mfAHieHQwzQBDuM8Mvx9prI66tYBzOJuNZySA5jnjn2iIrmZtap/fzRTsyh
jTi3isoU9gFQFN6/pipMphEHqpktRMI2edzsk4WBaYKh33w+0okFYaugJcEjKjP15GikAZFouWBj
rIcQYYSUho/aWPf/tzGO8AS+OiAUZQOTiWDGJfQBoJidib/zxzxa1zwGMBwD5gyn0FEIgPBFYtZJ
eKbaMvKp4Y+u0DeBPMpnNvzJFwM4YmYpIVphH01XR0tskE3GycT00KXRC6fK5Sy+h5DIP3qkv4Y6
mjWh+12J3Qw5a2Jhvh13Tm+hip36fz8kMGV/jTOv+9+2kdSP2iBKHklGCVsW2o2UBucgjSdXmYE0
mYZckm2oR9PWjmZl2t4MlBKei8fJBm7mP3kzsPpskCuC4HOEmiys0QKcwWOU/eydOTpeZqyU8Tt3
uTPn7InjBtA2fCFUJw0e6SiGyp2dJQQIsG5T8hqMnTNB4Ma+DZXOVJh3JSr1k32OtHFy4QngzBro
JOUDrBkvt8RkPWRozBV35USbdyZnaYkbdd0ZbtKpoaBkaeiVMJ/iWNV4TFREeGL8sYvJvrQlagS+
AsIR9T48ac8gu04kjvacwiG6KBD+Ecf7tm8Sw87lbN0nqNAr+wV2HWLyr2P/DKjtVIDQSa+Qc5+5
sB/yM6XKTd/oZoBieoFoOVap8UUqwjP8qlPDwG5C/BaWK+/qaG3QJUktn5bMWhOoK+bDsqz8pYko
/+cR9RTKHTUIKFyyQfIFqfb9pi2zgWCXMU5dzxQcKouMZXp3edJfwgxBSSrZ+3K48qiemnVJJcz8
yY2907W12qYbq4Swroh9b3QOOihntuIbf+E4Gts6hjMzHBTR36OQMtXNZHkJi7WlqDwhAegXLk5k
a1EYK4mqHYhNlAcNkEUmrQ7UtuqnGHiAFBn05QEQJcu4sRZ6mS4m1V7HeeGQX+8wcV4Mmr/LuOZL
IsbtDs4CxU5LL1Znpnd+TZ89wFFiWwe1YdWzvJXfQVUhsaVnqa519cegQRTS1FlNwNXV6syxP8/L
h2EN+J/yLKYOrvX9W5XUFKvFkp2nYcBjTVTbkNeQaDYP+asAnf35U55aq+RP/xrt6IBJR8SdiojR
9FZla0OnbcWC+f98lNPPpFHWJUmGAH20UrMgbmprYCoHY1zM6lGDHKx9/QJdh2VuijNL71TsQpDj
X6MdxZMONFBU5IxmGK8jbV6hjWtDegjUM091eu5g8KgzdRSZmfdvyuvoZ6QFBSVLGl0pu5HtHG2G
8h89zV+jHO2jpJvkWphqBuLwCQbkAutv9B8NV9H/j49ztN4L6P7dqDFQB2TaSr/jLG6U6pn1dnIl
QHDTKKzIcDuP7koc2lZHjJ8Tmnot9a+aiaqNRG9QGUCP2WcC/smV8Ndox1pMkEfCtu4Zzddrd/Bt
AF9Igloqq9w685pOPxj5AKwegMPHi8Es5UKTzZFwpz21ARobX4OHeS9h7nxmCk8uuznz+DXS0YJA
RBEXUzq861GoTtjvrHz20P5Hyw6dSfJpDmUEWN4v7jrTQi9rWQ1NfjOfL2ihuFr5ENTpmYk7+Y44
kS3OSjTWj/Hzvj6KzBSc/onfO0VuUcijMRuQTaVnriAfXxHazgo1gpn2CUThKLLWERc61B2ytYcH
/SyYXSP83UCV9JxKZH87QWQw1MdwoNDeBJDfz1+nFoHSqgTWeTCwMg9dUqwDJbiU4mCdahdqvc/Q
0f08zn5cGgxKqc/E/0JFyuIoIsWTjVdlBv82jydXFl8Rkb3EZ+bMAjxR8mEYg9PJlMmBuWq9fzZb
Af0pUl6ZwB2pcdMccBUC1OE3+QKsh2dvB1KMmP6SSOoz5aaTT0iZAKEI5Fc/iESUaIoZfsk2azBP
U1AFSmDrYdzr/oOJNBkEcqYFk+UoFvZ6Lvk+4Iu174GsouU10QXC42z1+TAnZ9JAisTWKByhkH00
k3GserbXJRz2agOKhzafBMV9us2rQ6at5S5wJupm4lX+mpd//xEVSqeEKmq2sHOPho7UPImDaExJ
hpEWz6UL3jR6u9mZEPzGl3ifz8AeoCWuIwQOp/D42idPulSHsZWuSz+VAUnpOEAVNG2H/EqSwSBA
fjro04R9XYUmUmxQEdPDOgDPAjBcjVSwvvDIm3D6Hmpw9GPrSrObr0nNvNT6OQrTx2DEhyXztIHX
otJ4XMP2sy4JG1tP13h83eo3ulE4FOyvVS88c+eZZ/d4VqBWqHTy9ZmzdBRe6ewmWiK0FKVk4PuW
wQOHknHmRP94SVUMBXAJxXGkFkgn3+/TxoqgcTRTulbtkV36dSwNcBvfUhnE6li6KjCOTM9ePl/T
8y89erJ3gx49GeUW4ISAbLiDI5iP9oFm9CBEAW1wDbHL0Kny+unzIU8EdjiF7FXWM/r9x4opYPpk
tTM7hiyqJXYha8+Y1kFGczWk7T7V5+LfnK4ePyLeRiiSoc9C1eQonR3tOugrOU3X/ZQuakWswJcs
ZFSojal0Ia0uBeYJuGW2o0CP+Ny979TT/j66+v6ttmYRT9QdEe/W+mURgsPvBjcEsuFDp4hT8884
8bfcc/6does785z/vT/s/Umz2f8fzXNmub9/755z31Zxjdni8jn8ntfvXHTmH/xloyMUrBbf6Hrs
RiQQ5nv8Lxsdof7BzoS6iAaqSvifw8Avh1hV+cOmqA17XUDCQ4qZ1/zLIZZvoYyMkAIOPADGjb9j
tfixhWYjAIPZItYB3CK04+LLIFdR0tWjvxIGWJlpPvISPQSgVN61ZgTOw4i/iWl4MPVhOyHm7ft7
zfAV0Kbe1eBpN3Ehtr/N4fWf++gTvzQkLgVdtLmAS/0Jm6CjqCUseWxAjeFSERowJBDRt6TuQZAm
cus+p8HzpnPybi+/jUa5EJ8dCkPHKVNpS7O0EF0aZFDANrVgr30f7azMRhKodrKallUzE48Ca7rV
89AJfP0m7HRk1fvhQUePcNEY+pcyCO5HCfOK2nOmSn9FdHZAlA+qzzCmr1OtOOD/V+Xo7VocdCXt
a21EmxIl/YWQAXKlmokALHgzK6u+S4DJewPYTEE5E3GgaKfi6kqVRhvCK+SDuahr+fU/mXQbKXKN
kibOoO+DCoCWLuzKyV/ls9Bk5AtpocnRa9VgOHNO/PdDAJunXEGcQUa1j2bxUQArA68pu4El52Vu
gynhMh41aZEGfrFsaly2++H75w/3lmMcvWRSYkGVwxCkIMdLqooTdKxkRpTD4mADqAui7LpGineF
N/u9nAaQdX0nKizMMyVjo+vTuA+D5KpIIfkh+3MI1PqQyuU1dsH7Nu5vy+oQ+Plq8IeNlbj1JpT0
cjnvjc8/uPIhTUC8+PcPTnz4vS7f1/YIt4TXYrTGZWD1D6mEV8TUAhzxsH4EB7z3fHWb99omKoU1
y6ZEC9oTjUudeKX053qdpz/QHJTw8KIJdpxSeGWaoxmX+KvOz+8JFP1iQpe0lHZNlv7IMmMD0clC
X3t4UIdhlbbjhdTa8Mek26qV7j+fnbcL2/FrRS+MewiLCc+eo0gBMjb09daADVQWX4QqXUlTcGFn
ymEsE9kVevd1CPV8gfYhNJ4gtNdts4pROF80UfMIduDQCu/Way4QxwHoXi27NHnh1vHYWATAho3v
JaXbJH2/RbXwLhcjzpdmBI8FmlP0ChHmQfMpmVkeAuNtxjaeEtBmRvVjqM1LHChelN66l6XmUVHR
1PLS+JtFsd5vrUvoga+JV637rLmFJ/pNyswHFdcqSUY2VsmWnp3yzhFojEZogT5MIi0CS8bF52uB
MC8ouuC1Fd2DWRnrJjAeERRx4TRjsOglgfP5NH9I6FiDdBu4cnG1pHFzdKksvTac5ESTkKJKv7US
1N0mmh64++Jbq7LchkC/aWRpPJdlfai/zuPSgcDOiSryB48o0bYaqCrGBUcZQeVtW0CVMMJutFBA
jTF3nT4uQec5IzPz+SNrH+4B8wUAA0vMNvBip9Lyft914VSUmR4Gq3Ewkn0dN06LLaqLiKiDMi9U
VBA0qCkmW8VoAZDe077Nsbl8HgGnA49W4pWaQxqcgNAXNdTpokLvV9OLyzRSnahXCeVXyeAME7Sr
KuIMSSLgAFIN3NaK5SsMF6nEKn0D1m8f+TD8R0x6HLsbHwyl46sZzpKfP7Kifbha0xCRqWS+qXMw
9/P3f+sBBlAqVMRd/BXq1ziv1DCkQVPrnb5KbQXnSLE1m+pRKJyFWjE7JcveSyetS4uzQp2MrY7H
qmS2qJpW1R3OP3eaeCm8yl61Q9GBjE2vK91Yl3LybYw9HjY0VxN/WyTgljNRbTTNfyljcZn2zbDV
LLFummGDSmGESViODU0fbgJ6T3aDlz16vysAxDsJ8TqpzmCHjo4p2oM8qShAhPGNJJe7sg9/zN5n
ceJ5CzhHb+6j3ne7gsA6F6QdTTKxMCnE7I33ZMCnCDqRrI1MvCa6ATMunmV9jbhb9CZgwp4X2gHi
RfYRzPiQaLddo10mPs8Sdp6+SAr9vp5G19ONYUva1ixLPKrcwZp2kSw9a0NkuqWKiS1Y6gl2FKY6
/GiqahtVopeXoX4qK/DHIWxbaXct6uQbmlc72feuVcQm/diAmKLuqoXkgbXFd9hpOhsu9m1QgxMd
isReDQOHQmA7FLnsRTWwXypT3FcFDR4avBB2OeCkMH3rFwalCJfA2DdCBxKod22/MLTISYnhbQTo
2AyDNTeg700c70cDiWLAsC+x6aHZZkFZlNPb2fyZuLExYn0fp51LqpYsI1O7+Xxlzmfc+yhPkgsD
j42oceE6drTVZd1LEkXz3MyMAqf2ccWGwYtmHn7OhIjHxHvFLnt6y1f+7siEHWoWOJGQrHDTe78j
Zu3GIRpnxesaZcoqu9HaFoVU1kEtBofaHzRvfa30nBSfD/yxaDLLvBNrqRySKtHLfj8yX+1xvqlt
V+pp8aoSAiZd673GSECLKtfB0gXLvkdfvZbbg26UNy1lkzZFVMcMoOTpE6JlUv1FBVBfNBPaL+U1
rtw/VHV6+PyTvjUz378dGz1b1NOQ0NNIVo4SR08blI5tI9w6JzDZcX5RFwDkFZNGCJ/E94yMIG1q
rigcP5C7pfClbOG10mViGPdkayG5F6m9B4dZdOYW7PXdfMYKhVUpp0Q9Ez8iHLF/qn1502jeUg2G
A62Wuy7vDuQiiCu2/jI2DYDQQIDr2HMkHr3uh4UYS23Rp/ZOikBWTXwiO03ONHs/JrM8P7BKVDJI
QvBref+malZAiRSLcA0dGBccxDrinKDaQdZw3t75415gXVAN17FRJd85bssXIV4SdjfZWFGqLwSy
/WwnjWn3XSVBMAQYZJKEDP3f1m2bl+Nvwx4dDegFZ0z0aLuBDUo/qUfAdEFybSnwtD9fT4Z8YkIV
ZVYJRI+PxX+cbihKM9RVpdguDD1ILs2TZNwaeF3o2biqkNYIpXTZogE+BJNC4I2e7BjLz35YTSpG
8oFCiPNKlKtLKNFQMsOlnylPYZKuwJ1/DVBd6sfqDgkmCM6dby9kg9PXrFgtRnLRqUTk0YQQrfnK
g9+iuRxoxtMk1Qgto0e99G2R48EIhcyupiu1DKelL5CyM/MRZQO8XGwLlk6C//jg65sY4cwGipQa
vPqFfuMHwG59ayVQMwGmkkD9ya4B+CzNsbzBnNNycqkLIJSJtWhfY1M19lPGB7L1dWTULUmQ/SSX
tjwT4dWFlaw4XEkZ42tvjHVEkjvJtQVnokGXOA8UA0mI9EcDPKmCecKVul+GymAvDex0DFcO9HXh
26vO0pHRoNuzxEYqYCKzK3RILaTI0W6XjQpy6YTaUBaW20TuYSInmRu3YKrmW0moI/nf3Q8ZuxBD
v2+pTp6LVsnC87OvYOcfsoG3UGIIvUz88QYNH0Qp5Hph99FLF8Q/dNOVGlNx29kpOzwkOkShQOUq
NelwDiVOP5vbbh7heF0mY7FMffzlykpPXcvubzu0taAsoFdaFDZYmPniWqMAZU/FvsqHRdtn12aP
4YKVRitNgoQwDE5q+C/4KvQLyNxOUEr7boQRFLbha2yhu5c8hq2JCkaGOYwZ5deNLe2MiTTB6/VD
0PBoVcJZUA/jxkvkBHkEeWfX2nUSZxdW0R96lfqq3TpWWN+VNPIX2aReFYVr57eS9xDWRrXwDSTB
YEZZBa6HKTNXmHh1l5iyr6QcZQwF5m1J5iH6JnajpLzO7ELf6ulL3efj2g5a3p/1Dbu0dBEOvIha
LVBLTimXDDBeBh/DKvUuzqVbvyiuLX6t09vtS2v66DrE62aY9GUXNPVSpNsxIVDK8bd0yGuYH8yM
dhk3tnlZ2xLu9INBZgdAdCHsciNJFfwRpYUWO6VXTcApaPfisrTUzQw/aiKifmUgBBBm8lUtpdjM
ih1UFGqUbIpFK1okffl/RVwPmwDaXED0sEqK/mkRb4s4OBSDclNDdiH1Tb9Fkv4ALmjnxaRcnVk+
Ury5Jy8+qKPJRUvadZJNSgNQ0UdNGCclzVjWWfzDN8PXQkT2GkWMnT/bzln6DQQ7nxzaJIxEpK5m
9zNThu9+0Dgk3psQDMRyMChCVEHzs0QiQNT4rYqafEMvYZiMHFldYK6swnLH3sKXLVadDFmFZTVJ
lC5mz/SkL5/N5hD05SPGbJzGE3mx1ANKRw7tVm2mdmnoTESAX+vSaJ+MuAeSriqIa0jIkUTewcO7
15OiH7V2XyswxHDXfMkz9HqCsV61PcpaaSLvRVxeDYPlRL7xo6lhP3Nju+wSmPHDLJwq9Yzdt2jj
eP2PKAEyqhcypbxxbYoeGaTuodCLx9oXey45qdPQ/GRfLBAU6BdYi67kEi3UivuxOjWH1r42teku
bWfAsnENXQMkEcpUS/0qyig36IYcLxStonCoVtBfhX+NrgYJOOy36h6g6aOS8G5E0OzoJm8lI7vD
suMevYuHRuQHTU2otInDlF80tVy7kskL8st6UUkmqu+2dgPMJ1zHk4Ea9lykKfUl18VuyVXlkFoG
uiBB7yaztnIS0Txus+tUKkewwJO2/lOo66qJ+leEdmssIdUHeK3P8CsvaL0ky/CZigkfWp6phZZ2
rSXjjnnclLH1lCuwMGQFf93UXvV+IztSE94ZZe6aLVvHmOARFxozVto4cJc46PZZ6ciF/VCk/qET
/dcUtTR81ZKl1VAETFOOzNogmBNkX/QpcZXJ8x3fg/xW40eMjanbZfrNOEHPgAFvLmKRhmj0XBk+
BshV4aO94IB9xwYQlg8CHXgd2d4Gjrvv9ENyOeKG24/JfsjFs9lOvK4w2FsS9jtNntwgqTAkmGBI
DZcoKirGMjXM1agBakql9LlOMN4Q0dJUK8tpK7alrrALJQMIGVedSsP+Ymgd2EUiCWLIud9NSZs2
IoBtETfKui4wHi2mTZ7nd/JM5jbmW1JISYDN/i0YxKqw012RFpdyMUjIHuZ4eWjxyjfKRwSk7mrf
xKQ1aZ/U0b5re/3VLqSfYVKzn1BH0QxsouN81xoK8jxD+JJV/YsPXKme2g0+BD/sJPxB84urnKFy
E5SqbdzPT9bCWFRNrtzevRGwRgqb0GPa/SZqvqC6zbqkrm1HOCQH6nMbM2l4474YRQdJQc5wUlHg
+GcWVdBRgXwpnROYNLUPNxtbAd49C+zNLe03U7zfbtyZp02GpFQYjfjoaxTWasjk2ySG4x1zCZuS
56ZfGuBwQuxWArE2lWea6sMW24yvlJxTNXnl7j3OtcsQZQc4g3PSHSErskgC65la6ENQInXwtq36
gSJV38EDjzv+UOOUkIptKwfbzrpGnOdOyjWQONwRjOqxlevHqTR/Jopg1kiiO5PdLmeEubToDqbO
lwyNCUu0CSvx7gmhVnsh5uWuRNldZpv85nI5dlB8w+ZyGGlxiuGbkRnuOEmEJggHeZ9D3c4irrO3
YizOpOVvGrpH9xK6B9CBqWrQQDmGH+q5luZtltuoYpPg1a+47pA40WZfJA3s0p6zQ8XUMSV3gN6Z
LD2/uhaRjkFwRLDrCg9PXPEY+ZwqstY/DFlEbX8sFr2CpuWkXUdTduNZwY0aTkjftaEApyf/2Xqj
a+b/zE90Qt5QxMcPwTA6XWKa9OZxlziaIqvpQGK7pWxugy6/qFLUB1PYbt0UXdcRlIeqvE4aMcJY
rvdqda36JkAacmBuTbOHaLQZsv4ZjVeYrw0qA5Rl4n7aYou1npsIouSVtZLYqnJ+Z+TlHWatuzAt
oZ7iAQGx5Ux6/xGzanNdAnRA9RgsILSN99elMrDBFVHOdaeRnrSZyXelhlSegb5YTJVk0ypr9PAe
J0yWy2lQ3XltO9ifPYwzFq1SCCxxmmv4ptzTOVfWpha+amEln6l5nrhnabMOMn0ocADKMVIYXYs0
t3M+ZugX1yWe7IuJip4ZLGU1fSZsieVY2eNy3iuf339ODcwbByaJDJcObOL9/OiNWoWhjfpHQ8K8
sBEjdPQ0eoi6eKcP1hc/0xygKLKj9v45KOiJixdQAbg6CqMbQCDeDz0ZkRR10OncbrCJ66ZxU7Um
8i3UHId6meMpdWZ5K/PLPlre9LWo7gCYo8v5VgX5Lf7lQVTqiVYLNymJ15nNnzqI+2GSS5T7gieg
I8DOyQnewk+b2PdmlP7Z+Ppb7e1D+B3QQf7a/Ne7HvT//Ne7/vbprvW7f/JpC/zd767/520s4oDz
3Dy/+wvqfWHDZehnNd7+rNukefscv/7l//ab//Hz7bfcj8XP//7P70S6Zv5tfphnv7epDao1/769
vc/r5rkK4+fjH/nV2LbUPwzYQixUcg760XPT8Fdj2xJ/4DVlckLS77YE9YJfbW1F+UNFWot4TE8B
aIrNz/xqaxt/6DaHISWU2f+Hat/f6Wt/iP9QCWBmGNSmsBIG7n+0mqV0auVktLlT1bl9IZEydamy
pwV/oRFr6ISPLpyantuKFVyEmoHJUmXeB1KNwsZIHs79fauK8lqVcCHWwhbwzIQSCjcApAZuBsNC
DQsPxAwdwX0mW1dQ3qRH8eO3+T5xABAXjzsRJgqwc3JAh1pleo49CoCCJ3VQNqpb9LJreH68lFE3
c7ise5uhV68zFacc31fWAWq9h4aOpVuidu/i//AYyR3toa6iNI00CU7YOxTEsJUaFNupEW1fqqQQ
sSrBc/fmIkgsL8OgJs/U7b1th49SFCqOnM3B2u8OaTBdRHkdb9jTe9nHjTsFrEnKsIgAHV6FbfX/
mDuPJceVLNt+EcqgxZSgVkFGMETGBJaMzIB0wKHF1/cCbz2zqqx+VdbWk56k3ZsZAiQB9+Pn7L02
9WIHTcHhPED4qkshCxu9aNp040L/g6Fzj9Pqu7SarwhAKFFK4S/SXj5au1VWUR8mi2JI5fMYjU9u
pl0dI1Se4KoQ/OIWd5Msng+i0V6tD48jyE9lUji3MZ5NQqrTUAcRrps9AA23PGIG8Cv7bqS2ARQe
iNSpRH63tsKRYb02hcceYH1cGm9FBA8vSmBmtFOyDm3zMAZeBR+m0Jj3K75HXyVwFBi4bFap2ZPG
1zsbL443RW6l27KcboOdw6fNiZt3u26bAqGxaw8mZAgAw6uJ46KtBrJATAsAYvG6S0TqG2303rhT
vJQiArU+2D8rlTlzoUdQodIvU+mcrUt3iKqbyzk5vautyr55pyXju96YPiMfbdCoBfAsYrpEwEon
31FClHHBJRgYXWiY+P3BG6tlmITZsp+8XSGlBtUFxKcO9495qHyyphag2Ng3mzaqll7VHusgfa0d
cUQ+Gjh6d7R7RQXb8T71YOd1ooFoyZom2CEmBbIFQNQJoit60gEXGY67hTSjZOVpSB0CI4LppvES
zCb0lYy0uyDA1MHM5BpMxY+0AbVkSTc72Ym5VdL8gl7W8w2F47kLC803vXKpibbdxQLOS9gzFok6
VewtK6XzkENXC+J9nZjTkbRyQgA10T3F2OwBhTKfy2R8qQcBVSetEEfJZlN0RvnDbtS1o9vJ0spx
5RpRZyx1QXJAKvI1IsSEW7n4TQ/nNcXy9NZ8W8g6GIpejELzx4DytxVhsgbtwd02qsXKyTMqFTcO
xF7TRL6forJDeVt0+b5t54hdPWM86Y3LohiChdUMDGyqrK9XRmV9x1oQHUpV21iORoRl7y5HbT/S
aD8hOqnPVRU6u7xeAeB8wuKabsbROHIe/sGg4lRqNt0k7RWg76etnxWSaJJOQNExbnaFL9WeXQ+7
vjtUUxT7rQXNLIJsBtSSE+EA5XAYPRqR1VuQmz+lqb7WMv+FUjRctPJaJ902brQPnc5S3davYUPU
IR7vnHCKHcZkzU/U2t4aGb/Y4d2uov61L/tt3048Bl7XE9ZCo8SeyYLLLqu4B7yrmvEhESVRco5j
GtickKpdhzgtfbaDjaPHu6YYj42mAGk3i4NKq56VSn/HoGaRLVk/c9wbfS3Pvxwqo6bwuzJ/q4Ry
7YdPnIREF1jG2ksJx3XA+uSB3xqYmjI0vrhNEsfXtOK5gNnlTNrWDHkKhxxObwFcQx1binwkzX4g
PkLQ5hCd3K9QfEay31SBhCmr/6B/sYCl2q80XQUbDd5/8pyLLWxgThXQ97bcDpl2EGWCx9v87Hr5
JCqCM2rZrIIq2cwI1ikgV7xOk2br2PVtUBxgZj7xPpuiVQvfZv1Z2GN/zMEGSlaMdZHJ+8yNiPSK
kNHRufdDkOIX733YthWgIfOuVv2n49hfhUgOTgUptS504pzslF7d3Lxl4gsIz7ooQXuGJCvXRelI
6Mf1j1J1BHpfAVAlmoj/YhWiUWUcwrQrt1UNlNBONpMpw5te58+KcL3VBMnTf+yMjM6NHeRmeP6u
na4TIKmkI5j0bZthn8WFWHZAXKnbGOFGhtPwZfSUw1RBYCSzQ1E0E7+x717wUSOBGmvvSMAGzZ8h
Yk8NI1+O00rrhLOIi9YBSCPFLoxodioQBj4hvnw0HJxfCgiL0FZZSCpl+pUmI6spAN2XeAjsjZr3
ynZyzOKqp71ChHZAtDYaHSzv2l7QGrumerYLaznsXJX5gMOrwc8TPeWTuKAt4XFk3rLVPINUvOYm
Xe3Cw2QcIQntJms0LiKMtqKU2lW6bYVAgNAKJe+MfVghSYHTZLw7JCoSbB/vDbgvG9jjxyhQGoDS
tBDn6uQWeflM9iLDvqu8eFmnsn8yZdMicy7SzxBtnq9MYjy1nTSWsZl7MGPjbgWReHyypGGsuYe7
UwZADqAf2E+txW4COipZaMDMn8M0ZHWSWnRvwN/hRVS7Z5mp016oNRBnh0CoiU4xzTn93ELDfM41
ppyk0tyILttNfTC9jcEEoQc60HkwFZfxa0lMTXZRgIJf4t4wFwz17a0G/AvnePzUdEV4SeDVO4HQ
nh2NVXboJ2UVJL8mt1Cv8VTqz6pJMVAlq0GJOGaTGfskynFiABFNqx4lHaTO+FkP42hlqHG/dCqt
utKqg1mXB9HKEVczm8xDPqWS+8otnsQkKh9p8KarzOpNpVmmjM7OlCXkN9NtdlUfgUgPUDMCMIbn
Vl8zeFIEdR+q8jWXfbwTJY83nhc2gLh2V83Qr4vUDdhd0wDtf7pCkHhTerpLlTxzo7orJcPhGxCU
NhXEuqpdOvlJA364cQF3yu7YRAqs3KblEZxl1q0bAf8NXqox30aTt01EUi0EGJiFc7bL+miHKu3P
dBu1Bj/MIQHNjMXSdU+aG8/INcqOsfhBj2DdA671SoBxVjtueE0t0gxvZ0XDgs/MAW5pXawh2ZW0
PCuvgEyndwO066xi/3Xutd4eEzmdQl27u5Jq0pPItkokyx3Ar7Qs9toAeDCxmnWuZlRXnQomUwdr
GbW/GhNbdQcKfxm4cPsjJUawD5ndt0tiEqhzVMJj6Xrqp8bM3tquY8VLXrQ0B66qU4q09LPSxEQG
HtA0aTnuhXG4arXqrEmTwfqAwKKDpl8a32bKpEc6DklURNtzj97KqKN0dPtlNXS3Jk625iQXQzUs
iiqKFmDLNm5Sg5yiKzwq2IdSkgcXquJuw8Z7bsz4RchEh8QeA85mhEgDcq9HLjPaXBC/p/4KuvpX
iv2N8V5aMG1MTqPm/JS2pIuPGAxdDuEpZf05IY6Zkqch/y2CliMydD2gf69w+o9ukm6LkB5qGI7r
1pLsMXby5YCigBQM0Q/0Y1uMmj801aqVxVtmBmIh1OR9UKyrVvfbaizfiXlj6hhYe20MfzrPpVYw
koxtIIhN8DPvhpdBbXZl9Yb06ivGRMALHW4cd56gbj7x1DYxrZ3UPDExZMzEFpiGSePHEx1vO2aB
CLdeqtTQ+2Zt6tDp9LreYbzHq6gw6HkHyVUmT51avk0OgrmMy81LjQZkzKgCVN1WUyA8xpUgnNnG
iliErCtZs+GUSOmVUizTx7nKmrlPHok3vKXUBx0D8b4Zn23TujJGrnedty4ra02vtpor8r1h1nsq
vHiJf4s4iYArAb5g7KXnrSy0ckFQm76OW5vgPN2HntlXAG8n8ZOBmbrIS1CZ+Sh3LICabq+H+XYy
Xf4CbuoXYkCc66FOOqF7M8ZhusQpu75QOJxUXTL5apmeqBzZ2lpNWQ/1UcXYee27UF1rlWsv6yAw
Dk3HFh2Iyn1vjC5c1UESL2kybqderDRHFr6Xe+UxVdX2qhXZKSJLaQyk+ZGFhb0bSbFdtnVrfKTK
tBEifwfuIU993jUXaRnvBVCiImBiqoUnYCfG4vG/QR9oK52DiSMiun9R7jc5Uby+oBc/oto5Cw/G
plUG1wAs/N4TTQxnX/Gu3gSUr03zcaNiT12rtlouK84AV1Ke+INy2C9qxNXovX7bdgDHbgyPoaO3
J6U3zyNrtjv25UvV/WYoXe88jYFy1F56J6xf1GDKb94zGJRf6PbS85h6yqvjljfdKYgXT933sLSL
faUP/CGS33mWk4Hex8lzqFOcT0Fhbi3RJs+Pv+siY+lm0wI1VbuITZM5bcywxQvMrZcY8oy3nAUF
BJ6RTdtu9N7twmq2YTCBxi3cJ2eqr53pfdUClATJBT9krrJFTvYmnABcw91Wf9ipqzGNT9oz04V1
NfaYW5ExzPGmHFDj/CjtGlXKoGW7cur6pVETql59FH1pn/qK9rneK+9l2raopiSHDQNOJoApWz1C
VxzWWoewBVi35j+qI4J2WYjFrIjSE3ZnaziPZoafEWJuHtTPCrcRHnce8bRxjBcqXtvu442JIoJ7
1Gem2O1qUhtXSR7dErkqRBqvm1CcnawZmHYTJ05UfLAsRwZej2/Nc5kvk/ZbL6OQfey5qEW8UR3F
2Kl6fiIAtV0/qrXYbLsdH7oT6F88d0wMZGav6zbq1iG0ZDdRgcLnpO3qpC5r6XBl7cz9EnrxesxM
BAfOJIZlwlzqZsRvaThsujwRpyDXKB4hX/kB+P1fpczphNdknFRmVB/STlvk3D25UK+8Ge5SYbC6
MqIhXaf2SHoBcK5Np9jGrutda4HqwjhXpvqkavqTN7dgmqHgBDVWsJSd8KSR0hAsSiPVN7Wp2LD5
Zb5tA8KtXMVwVnZGYEGXaB8oZ/iKXEfSm2AHcokyQfYh7rmsfhWlRWAXj+J8XhWOS34MMrpzw7s4
SOIl6jh8msk/gB0FvyVZt4Y57cc2JD9+vGShd+n0rjsEZoDkhBlH1FSbx0ffj7lYdJYcl25Z/cqn
WK5FBJR6SDWxZOJNKRlU8SZmBZig363bBsNFKnntf32OBsWAGJz0ADgrgkLY+rGOSHGuhMNW6f3Q
BYEeVs7l8deubdY+o+Or5g0mkaTcX64HH0brEK0kgRyWcWb1GznOMxk0g4PQfStxkrVt5N9jN2R+
PiEWCod5HCOGsz5lHqmC5VdNbsBSVW6VdUNrykZZehxLMvI4jLCM/rrnatO1QNw6DIHMwC/Uhpmf
ghBeItFd2XJqtn1GuA6lAr2ncohe+ipmYx3pS4moe1MMSYlQZh8mcTrPamYt48QMlnkaN4dkRPph
aKVz6spxHylTuWnROu4AwAcXZz4aDCL/oh1JMgn4gA3Sx04N6icP4hQBvuY0f147pysSUJ8cqcm2
e5NF5Ox7Ldt2FOlI0vR9TvzBx5hV27qxtNvoFb2vAQQuegsAr7AYh7aqcXYej6ZTpJgTiAZBq2Hu
HkuCiPTkUAUQSJsme7HFdxl47vHxkEMnOlaGSI8JjTGLtvOlNL139L9bQ5HtSyR5/iuLIJRqEETm
9FF3GibUHrHhRCh9GqJeEs3eKUr++3H9FuLyqxJbKyE+ioEzT+zE7UIz2xcn8pRjOz87AlAU6SIs
S8Xgmf4QRFynVflKgQhIAQl3gG2LEKJKUUx5003pemVfFdaq0A31lBjqOlaa5DjYL2G5dDvD2CG0
mpg+TwZtIN5EHIP3rB726ZBYS4Ye3hNLONj2pDUPhfKSwtxeOWrd7RGLrzrHrLe9m3HallcDlvBB
DcZfTWOqRxmuOHi4vsxSl2zdQm4abXR8vQ6fm1KNN9ZkvyAxFNthXnjdaSmUTNuRa/H1eO+5z97r
UTeu2VTOpzPS6cnquuhlz+HTI9OTvINsGOJNJ8Zz6Gnf5BkVEPx5BahYjK2q5CqXVzu7EhqoS4jU
CR3YRqWIvhrTtMpz4qHZaFe6hofayqbmHAzpjdg1sSjisV3WUiaruMR6184RRmETbiZtQDpW6ZPf
ZeS8JI134QDNSaTYOtB/waSzbptRcXDdiOOa1RCpEoSmH3vtbKqf0XghLgS9ZpgaTMHB0GtSEUWw
S11q0aYvxRfqn5mfFgXJ0VMrbTHKpKYdwwpvlHC0rYQmWZndsX3IJ9KmoQ+G8CSHfjyUsolo/hqd
j4KaDt+8SlBgyR9pZx6s0cp37IAefNnvrDLUY2qFH2XW9FvOXslBdliv8DwUvlo0ZMChs/Dzvi98
dEkBp2XjpxFk9VMIR7+p9PBojOq2oV951UPOnMpweazrDCdXlZpNGzYZSXZc3MGp7Rv/8YE+nhiF
ujrp02e1CrzN2CXZBufRq6HSnyT2BoINEfAa+9BSzg+Z1XrH0DNTYMQUpPRdzd0UD09WWnMfdO01
nwl7ZQII1svZBwPbWmqRktMCS51NH5CgYJAXsRN52NNMMCpIF1G7sjK7Qjob18ceVHLUqJGkeWlw
8o1VWHJuQlbQfBuJtmMft4eRdOB8S4+QdKYkZySgibsLEnmlZS085rSX77qzD9QRrnFTJy/93TAJ
DmlzJ7oFxk+tsdzFkGg1wWfmD6eX9b5hI0XTiKyMfhcLOzd4PBisX61TbbpQ3tOp007uXB53Ga1Y
j/7LvB7pk2MtGs7+f72jStszF2ggzj5KCpIxenDRrkfYJjgZOVj1/vFC3CxD3h1ET5rd1T+iZqCf
6unVip0JQUlWaPukgnktGRocSoXGWwxG9KXk/uf2K+SeaCD0PLyT6Heq4twoWblOAnYKxVB2A6D4
g3BQDyADskFG9RwPA0v/tnIxnMrc7U8FjN71JLqWAE2z3aZha5CPbmwyQjefFNaKZ0VWp5RWY1cZ
/bEK5xM+x3s/qVR9y23E5xPX70FaDzdvF8xrVmhql5L4lcgNzpHDYkJD5inWHWc/htMzCRzrR/Ey
mPYPDurtgZ6/gWQn6lYFktArS8IOL1V7IdgrlAa+gqAlaa3lCbIyFLUZZpSvtP89VQXYjVKqF2SY
gEY95S2VybTwx1AtnqMRgjimkGCbqfIznPMRlG4gZwkWfEd446IW07R/bPiAejcJMp1TfDdAD5+n
2qXUcRSEN1CP9rlKd8ZrkU4GppKvM1rxe8+gMiCrFGJjQDD5oPqBJQl7C+j/29qYrbXYm4HjfX4m
FSjVSu1IksevDO4fFMqUFtIs2WlqrmXeNwxHkuMQZetMzIKt2uBDr2zf7ohEMavorSKOI1VORazJ
a6PImyBtlTCcXt2po3QI7dL4Jb1FiIJsjIJeO81lbE8HnDPVlvyBp0fhOSZefWCAQiVAGF5nK591
k58LespkjnCb51HoHb25eFTMpNopIf1VV5FviYuZIiWMdhcjY1CGsfxKMrZ1MLdHevzBayHFmQVO
PCsFhzcDisxopMEHzXc6+iSVGF1ln5W6R0UWXgTt/cM0DV9R7ym7eI4ksImIeGJVpd4IybCJSg2d
mUJ6WDmJaFtbJg1M1552sdk410SmNBPxn3TGe+dVDRkLaA17xjM1/Gb/UWJoXmi8WiW/jAbA5dFD
bZR858Uk0ig9lgwr1Rxy2+TSSck2gz7RrZwgfxZef1QsS+CXG560jnM0Cub3x9LclJKeiRGKIyyb
OXqqnnmi+Eic+qTokgAmCPVVhzHULM3hMgzEt8HxQyqYOAvdyMwT84SOvniiLpNRK9BpJfvHlUkr
NN+8vn4J+/AS0tQ8xAnBBmiozZZgg0eplHqAwU0vPDVrc75XzE9mb8ehnrxDRiidRgTDIfUYhkyO
lBeBSCGzDYHVgLlXE8UczM1sA4dvuDQx8bO1xeRFlKW1Eboas5HKDW3lk5iaX6k9zdwpjkJ9QfKb
Qg58LvC3FzFH1zo/cNIz1pnCfdnVAfyUNl30AVbMSqwtk+6+1asTU8AR4YCGBWvKIrnFLmmrkpwb
LKGroq2LdZ951rZ2CpomUM1HfIladXwU7zgbrPXgrhKnDzeWNU5LPRCHqo4MToX1NyGM+rY1nefY
rMpdSebC0oytDmAmGeFBFRwcXV31ceuu0fW5fmOgq1VoZ7B8MAadnzVFK6IlU8qAdoMdbh41PEM8
lQ6KbKfjaDdksyRR51tKtrI7zXozOC8vB9FU29b6pJtjvRbzbKJK6asRIVbuOg5Dm4ykxZ1Lsde6
4bDzRIofREUnac0PQZ12L5z2jZ1W9lezGK9K5skfvcUxvouyRV8CTI/J/lux10fYfiq54PT0KHGj
hoZsN54NiUC90C0el/nTKfokOOQ+tw3kpv+Er3kIPv5REOLgkJ9BISawCl3lEPGHBCUElZJ2Ltk3
c+LyoA2XirGBZcfXyB6t5aMWDQ3vKYXxB6GewKx83pC7uYh5XKM6H9N0lMqbgfkV3Uhjb0+HUTbi
GfzzXw7F/5F05H8rCvkn+cjmd3H+KX7Xf8pQ/g8qR3QVo8v/XzpyKaqmQDpS/KN05PE9f9eO2Nbf
dF1Db4TSAp2GNts8/q4dsZ2/cQPAKQdGgHbD0JBN/j/1iPs3vhSZNKIsFezm7Pj9u3pEc/4GwwYM
CA5vFTuO7fxP5CNgPP7QJiH6Mh3AnrNKxUWK9YdQLY+7sCO6AadB6eDCHWgV2MuRWUnu2uuqLHcA
nHdWgaGhZQxMVV4jW+BlIgM0iWcL17le7oxMbk3H3tWgkIliSH7bbXAs22cxjgc9INCdid9Er1qX
9S4glrHr2v1Y2EtNHVaWILHKwUFF0p/GSmkicsv6dVvLY6SaiPyiZemsxrS4YOlfR8asqKTyNUey
Upwd4MWtTEidKEmXmfItksB1mGXEXImlYxcXW0/n4f4q0IZDMHb+TBLtGcyOTcvK7Z6d1sScXFwi
3buYfXBJ4/6pmU524x6HVhxJL78pYXZhf9zlKdY8cstEU+M4XwnTWlIwn/UM8nY0HWatZ9tiTbja
eNhrMRxojKlNSo2Lli+/VMhVU4XItuwb48a274qXYUx+KjqMLo5cuZMdxUA+DDlWfPjHXABJMPq1
pzApe+6j4UxE2SrHAJ+jUUkKgmxiufmHe/e/keH8iw4TBQ54MrjPdJdxv/4LDkqaWhygd1mN8c7i
o9QREk9WRMCbsR4MexUwcrI4WtR8iReS9Fmkfi2fdbX2O649Q+usIiGGQrDOvHzrsjkp5S/dvQZ0
1oexxjLLN3Dk1s1pISlk8nJcNlO9/Pev408nt2shaTQhhurgF0z7oTX6B73d1EdKI8Y8XAEHSJeh
a5FVmJ11J/8cQvvYd+zjjET/g+TzTwHTn7/0DyFW6w1TDAg0XJWNfG7Nj4FkN2IBadkJ7/bvX5/2
p2V8/l28QkgP81oAWOmf94+mZcQdMQBZ5fT0GU2IZdDvPD1dtkzGS4s2S6Yk36X8sHXl/u9/t/6n
mJvfjVsTHyQjddv+F+WmPXd2JikU2hDKfhJEvqr7tFhxlFzPVikevsOE1liG5oHUkk0aGHurpFld
ta9VjQXKS54qtP6FUt6Efi/K9hjF11ipjsId/gPs41+gL49rZZtFtU1jGW3xP79PdtFpnkxihUzf
4jjgPIcQA4lKv06We4uGiUF49cKiRHqNC0Xd+9BG96tsDk3l3dQh/Q9v3X9/OTOnisBzsN1/ul1j
azJqnG50tYk8Nkwml0UZ36MBOOiIxFml4aW06yBznoKwXWaZ+K4lOdEUxVabfOMNevn3n6WmPpIj
/rES4R3yvFmbygbAP7t/WH8N6MDmZAYUqQ2fXfkmrfKcCaSoRmi9N/qraSffCMxvhbWeTHvOBMRp
OGtmwwjTQOzM8AjuswKdVG++M+spkvTNNBLEytlR6tjdONFyeJ7c2+xPioRKDB7FX004Qm9mv/uE
8KrA3Ddado8S66aFztVlvuNK614YRMaIYxlbV1yUpITfXcU+V+1n3ilvam2eDcwOROBdcbt1XOKY
GYsiKu+WUS8HQzvpDcPjKD+3pHBVTnbPlehbJJI5T/kjm1PVYnrKIAswPRkvmq79IkZuNiH3y7Ku
PizcOiPgn8lA0UKX+8XjtaaxfU4D+/Faisq6Ig3D6tJDUHPC1xadz5AdQ9TFi5pQTwJuDlUOzySz
z3PkUtpm59ZMv+dL7+mDLOZXVmvhYUgXjcfybwjfRoqsCv1X3Xto5LSrRXyMlrPPRXw8RXnH2ocQ
xDk7NX5YOv1dQZiCha+Rw3vwo5/0k+LV5B/X9MIYru4ars0t0w06Krq7Y6H7lJ07tyrfXXfwRxXC
SpzRsk4tNMfetYmiuzI2H0HkTCveiUWSIFYzq4IuTc1dQaQQES+C2NtindQ8UGNPX5105ZOG7Zr+
4bHXCEPEZ5DrzsYsMav0gNzJMN0NBBa0wjrosnwieNgjfcvcpBh1lvq0bbrmU3rpS4Bo0WEIrSrE
ebcjZk3GCwu1J45tVMJPVZYTHRpM+vhQkdWkNPeJdZgSuRybn0rBzGV2iYFPEuz09g/sAAgPUvzr
s9T7ca2uDq+IjkTTFLU/NpjAUIMBx/4RmtYeGnziA0IwCCdCaVWSLRIOSzMKX/WAE3leirudOeeh
g4MPWtsonac6+xYYbhajzqQWdzHe1uKqEGM5lgRjJvwLCD+DQXJDm7rdOdzBOo9GamAYlYNXL9KI
2TXDB2RTWuJHWC+smVDI2EdBjbHI45zsZpVIPQLYMXkPR8/pd2iqGL/Br5cpDTl+Zt9/DVX1i5+4
KAqeF6f+AHSLId7wbl3fUp2MzzETwIWkde4PofXZpx5BJWTu8d0BXrGkwfrimClvvs4PJ4L2u2V8
mCWO5jfZuEw7XotiRPd2ePaC+qOTprIyI161yTnZH+YbUcVNKBW7Qwg3yxudgjGjt7e79GeDKLGI
kWiOtfJ7Gl5CRUtXdKhreqrebaSS68PsPprht/BwFbdu+6w5CuW3dS1z/D+xc6aW3mW9uPeWycsw
Ir+BsTj0zq+g4IErR8yrsst2itqtlSA/ztc4zrZio7P8EGaHmWfrSht/c1i6sl3cusg716QqL1xq
OZYOTpNQI3gnykTb5AoKQAAgVXLxouaDuo87OQuJaB9+FC7K6sdXN0X8aoYoy4qEy2KJi7JvSC8n
xXGfMQFhbWw4lj8uDab93eiMp0lrQBlhhPXGtlq4rXOcsvZjXlMCwd/O5BWn0dC3ZefJNK5lmX3P
2S5zzatHiH3mNxz3XuwrVb9zRLFHt0wvqfLztufy+2sxTD8NkbBt5Djl5JpQ1BtUpU1nOTvVds6u
kt8VT5A2Nr6qEz9tLqkDae+GgM/MEM6ltNcpQs80ROEzL/Vqkn579nBqKxtaVgc+rEHjizjkOXTw
qKu8G24ylluHh1wrL4nef6keYYF5Y+g8tvgYe0ppGU6dP+rubf5gCsM5DskZaSQfpe7xxOIY9Zz4
KotqPzBXBjC91mouaL6BVSsm2kdjMykIuBuhFhUaHxgG5o+44AdEDZgVK/7WOPDTsjox3vIjdXqb
d1WD3SbJ8nOpmNcmVMCU4MHrFYywDrICxkT6Pkk8onXDp9qLMVh62rUkubBOtCdoJ+e4411QEoxg
pQSm34h7bAa3yQm/J/Y0We1zJzmobfkRIOdZzG9XohJ/homksBLa/ET6pjrhktXN07NbblYfWcKL
Dqt6xRobLogq/7aY1SyyiR9NIy/qtZP6c/6vUvVusu2+ZH5KtLNXp4iwZpl4F4mvsjyjm77O793A
Aju/UrdTbqK1SGJ1dgjduBnaBpLKwY0+ZDscGks9aEnDIH9+V+dlw7XPht58hAEPtpHCCGhy76yN
jJ3mK9Tt8O6FvEUj/uAF8YP3YEoRxrIz6sXRVOSHovT6Su94mnSiMANm0AZZyD3+pb4xfpXYkgMb
G5eTswuMHjH0wnrp6vatgEfMsY9Hc5zaZWt7T5WHNF97KK3WxbwfN0n1oYbRPTe0a4imvDOImZ5f
aBWXFy9ryFUUyq2lyzYNnCz4BwhV30NifKqvCZ622tVesB3dRF98TO1PZ4gP89Y9l1shY51FiJq7
ydzdvNEnQr9yx5znry8b62y54VXSsM97+TzY2oGTGXWF/cKW/ptoChQL9UePhzW9lvSIF/O3l2Rx
UHdzg2becCmTs8AnV4XcqFKdXf71eT6rjvOtl5ohq3xCTVSU2jOR9wuByZQWFTNqAlOLiQsxDNWv
16pSNsS2ZwhGasTddm/mSzy8BAvM2DNCOJija1L/NEM+H474S7NXXqyaU0AX9hv8ZHtMbndL8VZ6
z9ahRDM6i65XxqPWyew+V+dJovxOJ+ege9yifPVj6ffIrRGoJCb7h5azvc9lvei4oWDHrGJm/b6s
GUwp/TFjREquLfGCvAkzH8uTbJNIM02ylOeGQOVE985oUZko1yS8ZkWb8A5QhTgktP6Vk0VkmcGy
Y57n1Jf8ZDj0IZBZfj/2I0WyTivubYi9W6yq357bE5ecH8c5CLwEBKEM+jVA7auFH5SpwJrQgObz
rhtJPhamvdwo9q5Pws9yo2DLnx+SYUy/se2cmzCgp4zUr6/wjFpEnSzScX6ZVfo15c7vuu5j4q2o
cwvBFi6GCisw9vFSEx45FAwY1MhaBAmbXmU3106vvmHCoqE0rZ1kmOlMtKEZKal4hxcijr8zjxzK
QVvnvfsGMGaHJGrjZsk35kZWXrT8/ojSSXPcwre4j2p32Aaqfs1SKoRKtbOVTteCIXBRGQ0G7fCO
vPOekbA4DN6GZ+4ng8P/ou68lhtZsiz7RVEWWrwiAhoEFZIiX8IIMumhtf76Xo6q25X31nTXtM08
zLykMSlAAohw97PP3uvg3ta5lUOL6aht9bgIxh0VUjzPWg94TTiTwSaNPpjWvRZrD7HDxlYJnF6h
k61vl6zGYEg/U0zmeBEFtqO83ljJoz5yfEymNTp9G0QDPNgBDJtR871mZD0JLJwjPS05q/XLaRiK
7RTYIS3S6Ns4Tr6tqmsDTEkN5wNB90v5YAQ813h8Msk3+IaLbaMrrDdd67fC4QTLiOD1wnBhy4t2
Td68RXFy7dQfdtsw3A1YWojrMc1KA/mA7IEoezm9c2a6alttjNB6tBoGoFolh5y49tYas6X2dMm5
T7xmEydc7t5cEvoVHS+tJ7aNrR0ItLgbW4RHfdINDLIVaXju2BiU8tFWNOnPMrdLpWKwQx7pWNWK
gVuceMNDmjQHbeS1KOUlFw85BDcQeXVpEkVa3IAcWINLNjmaufFYzhYcDLkdhjEjJnubI9cUlr6C
u6DD1gMrazEDTW+5OkPVWDd1e3azXMWygEG9zLixdbgB+JGfrcb6gGlDmlfLW8asZ5dB4EJvB0Ah
SRjSpijGAIx+uy7l6Pl2qqvNJH2aesdI7wYP8lZj1tdWaza0owqoVp6Hh8B6VydNxipmwB5gs04I
W3fZ6F0xsHcrQPIfXstup0Wk0/FhPdCAwgXAyZZO8u0reEu/tRJTdpkytLTlqd4+jR4a+XqznZmQ
XtTdfaJxX2Ut91w8ZD84aV5SW3s0ai7grLCg/Nl+HDdPzQDwJ4SghF2DW3hKD05Z40R3+jaoBvNj
siyO0DZKXocDKXbBAwu5xw7h41wwPlhQMNDmaINTCKlwIzSoD7b7yypF79MVZ5QpGIkxya6yfKs5
PK7sih2ZXjw4KpdToUFB2zWQpJ3wvhqat1v1hgb1yIV85hPBLXUeTuE7Bcpdq7I4ZfnwPTKMTy5l
M/1QQj9vKfAU+StAOoB3S651Yu3ThpNIJ07m0r21nPsxIxywwrzdIApyN5BXTG3Er526c6zkKo+2
Cq6vLCsPriw02/FeFhdSrphzsWtGVvOFa3ORy0BfRN9Tm34PCs9C7oCjAEpgkG1YjSL0rc7mIFkk
V2dKXwyzXmfTQINwVz3mdHHauv6yI5cBLY8kHT5jRfFHMmRzQk+6wdKCQotTEOGYbNnMRO1B/xEv
4acKqqTQhT9OxUF4GKBbRLhCZUkcf/aV/qDZEahDnnWY7Mqu3qmxEzSNsS+whKVYmleLjM63E0l7
rq3tos7IBcSqsGiz0MbstHkHA9rjdC35en1MmdPK0x3x7rol38cAvq6GTBEhOmIJfRoYqEtI8gea
MIvj/BpXeVCrfQX00GEH4Z0O82eMEqe+GD56zd5ZTCkX+Ssb616nszSY2iu6wmWKQgIOp5Hl189T
fEZTokD4Ur+iAcWtqRmJjf/Tpw3YrUs8f1X1WVRc+k7KIStVLjiOOFYhljK+Ez7uWD40IXgCIg9c
r/mD0zgHgZ9NGym/eja8uYquMdmIVdrE3wmIDpwz086p++eqV3e3a1AN+V2EGd5mO72KOdzUQEu5
ozhj6BV+2UHbN96veBb/Bof2L20DNEBQdRDBoKMytc+RKuFvEquR05kopgXG78gk9F7FpOkoFykA
4F/fh1inFcvcitJ3aJGPMXSjBUOXn0zUOIr672Zr/Ivga6s67DzYF3TVIOjRs/n9rykrh9I2dhXy
rlTN9Asrdh5770Tvwkpe4d0WK3kX/Bv17DYv8E/iGb+WJKvDr2YsI+2HP/9avTeKDrCAQkKWFb0M
Z4AazAY96xEH4Zu+l81srxZT5ilY/Jk/ocPxtUIh4QxJhGUvpaC5jmEdsIsPoXtWqEUI4Pm3W9ga
uzdZ//TJ8FrzKPRcUURkRSht4bI8zPXhTrOv+AGuYKR8KSg1k4eBoXkbCnc/x0OQRu2bx1KVkkik
uZOfkCv2dUVl5EWrMIpZCYz6rV/MR1kYT65cNaj7RcXRXVbDhjw8yiN/L9eQMhzeBgoPu6Egt9o1
ozjupYKgLPZZHqjlc1RoehCC8aUuRgTzzSy+WsQISlru1NzKMaIObwXnIScE+4w9Yp7qt7l29hLy
VojwUhblmyQhLVSLueE+5tm6TuOrHtfEodTHgcfMSnPrzc5lpBeCbdXWYf0gtYEL8Fg/3Iv88XZh
LxZNvQ2x/RHbkPsfXjOjEt+3CodFbzU5auKnchsSsGu2ImJkQ7duEvZ1EXIMUVXNbzl14z+HWsPk
ll5RL6w0NDwy7x7sCcPkDXUvVHZKpePE4LUcieOUDUWdOZfPtvKq2N1p8ATu9fKgd7yFcdK8ZDMl
yZC1AfritaFxMg/slEL5JQtQg2cqlSJRVm8OkeLaRh8pkbCKjPkcJmPHF4sn6rkMziiv+E5eI9b/
f9PQ0G5thL9c3/QGSb6rLow67a/i8DQXpCI1wVnOGe6Tkrih33VwM4Zmo0TWepcI9Z588r3n1geQ
jYcyp5xDzcvZxzTEu+Xg2tcmtuCKikBn8njhcmggc2xXzA9A6TCpnxMz2lqt+jS2yvb2juWt85ri
k5PXN8jDE93t+y4XfqySFqpJDdYbtdnaCZYuUJ6pGyyt2HZZ4nN8C4pw8SGuBtFPl/uSA5/GMUOW
mmMi0yZFEHbqpxLP5xo6nuol+15YcH5TGSsmIwNC7NKKhiND6DeleuxxifUW92c9WZh00QErTN56
DyBv2SQ6abS+RGGx8eiGG12HaZT2fsioFk/+PcyeMLL4Skaas0ocjKMd4AzB3BId0l45Ri0lipTj
SheldTSdY5K/pSbXIudTTpHShDO1B2cCXMOdkGoWTiZ7bxQIqjTotHTZjDH6M6SRdYUciSv4LPls
dRRfB816BiW3Ic4JeSbpb6HMjai8u7ZL7xv2PTX31FVnwtjoSk5VPKGDMKxngWlltlXfMtmsas/j
LjN/eWq1q81qXzXz3QCrIqnPBs5qTV9WCEO7Egl5ZU/madbEKU2UQA2Nu17R/z4T53/kQ/j/yDog
d6H/2jnw/JENH19l87txQP7EH8wJ52+25LEyesg0PdJAbHn/8A146t9obEJKAE9u0Ir7nTph/s00
Cc5wsxoq1kjZ+fzDN2D8TbrQgB6rrmaCnvgf2Qb0G4Hz97UBoL2Hi8XkQVW6kH8dq+OYyzQbi21t
kiG8EIO7lhHJo/ZVbgZkXWN/ttijgD2cuyncSyUtHziVhDFysrpUqzTJZFwCdFWdmyt1MmCqZt62
HR0/iyAT9UoNDyWp4BjR+ihsJkw5DT2baOQOyxriEc2Co82L+8PI0WOdxDpFIVPY8R9BNJwoDq0v
XDjtSvVQ7CUgU26lihu+F/bXIvXpFicgZ3/nIp8CyffPQrPJfxXgF2N/KNODq1Hk3HQ9LXXI5XJH
LIXxXfXnBnYhSsPta3otfiBDo7lx55ahE5MVTInFjZ7fOf3K6ccE+p69zmUZVGfc79Bt2lVSaQHd
G3Lj3sWdOMknBlFoqYYrY3/Q7fRD/llThxNV3vlyU8sGGqk2aiL+2dsyoJfpNdGWhc2tGoltV18k
038SXfL8pSdToQmiz2kLkluM6ySyJvaO9BqhM4kFTaH10D2UZhZ+nf+0pSIj9Zock+MqNBKwn8OF
aQWbRm2xRlnLZ1hMpwrYbY8HfQg6s7nUlXi1RwhuuBuwweXJTyU2v2+fqb34Uynfa5nTKA31reZa
ycXwJBb9MNdhue1zc99gW0Qjges2AADsorPVO8ZGSTDAdkm9N5sOCUyzZ0xwkE0i9S338mxnek+l
VZwnx2BcRU+TrxHgIVPsgrQ6aeiFX3OonASUxLWqkqYoP7mAl1WTmxcGTb5peb3XM4qIJBl/IOG5
cADfa7eZ/LzVWE698epg4xz7CPOdCy5bz4EHZnTaZ296Etmo+ptOzxqk9IaRlSPGzXmn1a4iJ9Xs
DUWf9mmY7QuyssfQKQGAVIT3ylqXFUuTn+ecFyxUTGLWRz1uGB9GxtuPFfE0muyV1gJVt2wP3oxp
Tm2rayav+9S2UQlj092UZW/T1HqykwS4YTIHuWcS3rUg+dU9toYInKNvCuLvaLqA28GXJtW3mkhj
BqlNcobm+2Axx4zkwHumoVTnBVbfJAOqhj/OfChb41mdi30jD21YfpN1tmgPloq7cSZgzPuhoWd7
p4bQoB+RgFzV8BQYr/totUxeyrlFfXt8ZZzB69TFsEPVFFvpV6LgX4+UNcYQXY2+dA09szSXPb7x
9wkz88row31M3e4oab7XzPAJdsMn9urNUEmqfOz5hRPyjufVPuQG0pdmXUv/q5ol5b7qaPJE450T
vhOIfwTlEz3b2jjDmCCIa4+iOvG+N+RBib6QjqcsRSWMURUOw1LnRwLt+zhGrwlDrMqNRVsyD0l9
F1nq58N0KViJpkp9AxhY7pivx+yCIf8a45FuU1u6R7ovjEzxxI+xs1ZNH5lBTk94N8iMTWiOvmEV
y9bphnZX1jkXmQVfcFyAoyflezfMedALUAkkuw45Zk36LvAzeEMsjN3PhVr1q8KxjpUwJkq8Z3tg
TKw6jK9QoH86xrbqk/vYyAgcKyy6XVnIFFv5XqR3XjL9nK3s3ZuFCGoRqPHUIZnNm1HJR2QLQu8R
Gpc7hheSjJuJyJ0HYzZamtX8w6hba5WZ4GxEOQSWwiJGQkDbeD2AsKHamy5aWOhOCF31xCDD2ERc
rKad4TZPQM7JGw9glBXQwvwccUID9/EIA37tSvXOnOrHwhmYjqs5K1PPv9Shy1eFVl861C70bbiQ
LZgBMyx+EEkkueR2j278IFSrCwa4XgHsu4ED3C98kYC1s405Z+vBMs4tJEE/181vpcXioeXKxhz7
mCFdy75qDfjZOb/dhVCrQS02neLFjvTwZMchcLY6fqeQwLptFUFlTbXfVX3GEUmDUpbRn7KiPLAj
AAWVN/Q7IAPUOXMePcQzE+3UGf8NYQ8uTnaojfKrzKet+kHey1f0FMisR0ChQp8iroi0WXkIxKZu
YdvhGhWrOJ9eYGKLA4TLrVbK79Np0Bu29hBZcRcQajdxRogHyUM28HyOdYxcYrvfzkCaxszcAvoR
pI7IHaotXlliuvezOT/XdfFpwy3R9VpWKTsSj/YB4T1cp3EYZMCbz6DUkRu9klaFSy5c89J7xH3E
a9PsN20+ngRQAkbHiGNUzcXGHv0mJRine+UhG78q/akbFdJrUarSC0r2JALm5xJHTTJBU3DyIZLm
uE3ax/rTMo8hak4NCmS2y6eU/DHxBIicITiNrDvP6vjD1mqxijJiypVh+LEAEGF3VHEgp/eDlWcv
3hSuXct32NBW2BmezRgOYKw6YoXdsj3OffqT6enFrlGb70ZU5d5mU7fyCWVpYVJc39MWGdCWa3dK
tiCRSQoWm9Ct35ukPXoEKkP12aqUjcKYksNoTrtWkdCY3qWRykZp2/Hp0tjxuS3ThzlP7lSQ5Ss7
j95po9frRS+31qhpTEGK95h4wCe221mxvyrpCLwdEpgvokzAcie4DOsypOXrLZA54suwNpPSCjBP
iHOBmtOpIwRk2LnjNPuQhtZDqEHhqe/VtgxmipzoYS7ce0IKZ4totD/A2ViHk/GcmcRyWryENN9x
xPRiP1v9SQbtoHBEP9NoJMxVg2qKvZ1XNRvmT6/nMopOYcSUUp1WPuAWIlyl+Tm1o7bNVolanSEh
PekMomE7trVtnHT7UofDTQcmaDZ93iqbOM6JwbRLQLT8KOzhNTWjJWg07412M4abp6at2YSnOMj0
+Y4WPVyrsR0ZYu95P6xUol/Yit2pDTCpo4gPxxrDu68dXLVZQFtgSIyMsttXIe0ERUTRxlF0UI46
6UanpfWAIQ7icv6udxOxMCSDANMaQLEmLHZzjxuGeNB6glKVdaXzXag7u406n4xA/TDaoboKOTYG
MTyBgER/u8plCJpMKQncH1Rq0zFXWV+78m5MonGvOXj8OmOj9+4X7TR6iz2rinWeqvkiCtPzMfoe
40H9VmMc86xMK6tIwgNjjaz7fNLOfbKg0c1PfRV+J+XwquTl+0Ix3ybW0zSOMCqGwsGko38tlrZT
OJwFYcORw2p+wWM6Tn0DNDmbSgYlU75atEwEx9ih15gmkOLh9Mz5SYeQHiiasorZnAgpXVEOWNmN
mBCFOTAkpD6WTvyKwaHmxCF1ocp9asrMnxqef7tJTbKyQjF+mln22aiXxht2oT5+aS7HdTcsiZgx
OmSl0nSdrYcoyi9Jjp6lA5J0Y96DCEWS1TbfjSZoxwlxLM+RxnGGkXOiXZxA3erjhguiMdYz0IQK
D24q9F9e+jKUx3Jyggppj4wnV35qAgYxeUBs8n4iKR0iL7FC6glUaGwTuV2/5BSkEKs1huy6r/19
1cfvjsJ8BSNzn5cpuZpuCrPJ2XnZuRLzvePR0Yl+WnZzBr123+fOeWBE7z5x0x+Nm+2zpcRRWdL0
Er25K0L+eBEiX3VPjdrtyoqjVdmGTI0DQ3sAXn1HM2Q4T9o00oQgRaZ1tRUk2nDSIhrLYqlPetan
h7S2P7Qsyu94M+mDZ49DPjbk5qDDq5ZMHdvVm/fAzJjwIFzaOlYxzTyEQuqyfanayL6bDHNchXap
btPovRUMZTNMCvQGL+iBgW9HO+ofB0ffKABzApjJaE83G1eMoyx1LyHNBU4gswdp2rvAd29X3GMI
BsPdGI6bIZt3vZcfc2m54EZD2x6BOOTbW/f2Jna7xvxpCpvzOUuMFVFlEc/gzC7UqyYi3racmyGz
I44axApTx7XZGmk2hnR3ckcZ/FwxLnWouFvsCEEoiHrlXU7DzpIxEMYym2V3NsNSrvGopAm2NlMe
/rjgIbl3oMeN0dk0kqt/MyTF9kHNIhIofXotQ9BM5P7uoxYTW23GSM/EP0wTha7JeibHeKyuPPGE
XhvnDY5OKr2LVIovWm0NJFi8I6fUX+655TikCDNQ5/pjil5u35tL5v/tlRjqDkJ7Qbo4vsJjeB/L
8cgcrqsQlHU2Fg56HU83G9jtZ272Hfm9uY3VScwAwOyakL9Ip7OqTERmNZWhPhbGj6escJbHRgsP
VmoYhxgrFpqfvyjZfNQ62e+UgRxbS68W3AO/mId+HQ0tc75Gcz72cGho0WGWqEX31PPwgzoTdVbB
/2au8pBNZr7GCdlslf6uyVNQ022a8eYtP0xMG49jbp5yjzdBhTCQd8qHqQCfWxSZje6MH9XA2CBp
1kszyE1FtwY2zUN1hRb0nGxVoXxSL8Bhm7Prrd6UivciiypP//7P192e3Zcx6lO/06Ld3Knq3jG5
Zoa+QYfVJFXdi54RnoKqnscDmtqpKoqUOhSYXw91wjrEMM32SV8+YaQdZ7e5gz4WFZ13srLmzhgp
3ZMip9wJQ5vmjA6vw9FJfnOfzHCbNllN/sgaYjbT0ZjP5cggpMiz0+1iCwGDI2BES8ddIt7sWQ0P
jn2ylhB2REmcwE4W7EosmJXqkn/jxRHzI1lnqaAXVF+G9Kw1Sb+CE7KOMmZUtPAkmugpQ7IoPe8i
RHlX6u3XmHxp3WivKymdDLp+b43Oz5vtgOKtJS55ijqGVAJA9dm3B3wlXDotYBo/HNFFmbAYSJtG
onRBXGKulC7PXDZB5evs4k9apbSG/Jb3IogIe58ExN24dAAPR/cc0S4GQzZ8ESmXjOoD2eW8FCgP
phT//+4KcGkVaol71hPG0HQvRf/BSAqi/ABTrBC7COUBwiWShdXLnVuqCYnG/3Sd4SMu9uGQRV5q
lwltSMY/NOF0d7sdVJ2mWd9mV6e193rNDhrXQKiJxa36CeI6NMsW4yMeEdW6uVfla+3yvXlkfyqD
iX2j9rbphHrighXxMzf6jKZy34fOvKJ386om9IlHk07LAnU+cixS0ftsTl4zDi7y4rx1YnSeaSe6
B9hGhSg2ckFUkuUs0mRTl/GyESFFhk4VaEm/zc2yJR8qFN2dAqJ8parp9eanu/05BPYpQ+SqhLxT
YVTJ5SGJFRbBgkQ9Ay+DrBtMv7cMehBUYXQxeFflgtCgYBecOpoiIZ3Ikt3nOCNlXla0y86tqbkL
pvGVkbswdZe1sJrfcg0zg3zPFYOlTjff6iR3/BsR4PZ23DxCRXwxe+Ojdvmz5BtBs/SijYovIXp1
qaFDS1fd4OBGdpy3m2SW5Dzc7QnNUjFbRlpAwMM3edefJ2t6SrBEZnl+MGnzF8mrV6cfxtI8ZvGU
BbpNKwCzkQhKCXq2RpqkowlZr3M5ragp+U+VgTPrRZlPzsRFbE/NsmEixwUBmo2KBfK2cE+CWZnh
8Gk7iEHNBEF02Mi3/7YFTDYDoTxhkQHkLzUc9D7XbR84ju5MHQDCbAgy7OEIVrqlMCohEaxKoFtB
ahZix3LOzD0NXVLeJvR3NxaOUwwtSGamExBnrFlqV8BZMa/QV1PD4aOq2h9pxT70m/r7v8reoPX+
GRLNjHKNTirxGzoutie//ltHlYZaWwlmqm1IB6+GOYEymTMEY1kRO2KUt28X3WfMBWdOzvnmH7uJ
hlkVXuRfphQ42lLxJhcB+d6aXvbldodyPkxFjSPN2ku3VIxHg2pkLeVMr5LGTO588rHnxNCf9H83
TelfGN/yGVkgk5ngawPall3b354RDmbPw3VobaQmnI8553eUMSu+do62Laf+zU4RE0fd2f/3L6Wc
QfwvLyVIc4cBMDpwpr/OG9ALcqsUQbyUTb0pQ8GSYJ2lDNwxs4pBPDcrsVxFqgXDo9zye6xj+RJf
LbxrXeW9k7u9zurRjtuXCHZsr+e/THm46bmbIxHvXOZ19fzhwKmv8swgu5cJ/Zr//on863hGXkEm
YMGXJgKI1v7XLntiqmo0x9Zm1Lnx5F8u73Hm9T22DAN1kyvek3uu+X1NlAGfAUuYbP4wNQNhj6OH
7OHINlKLrOtMzSYpz3KJl0aQ3kD7lYvcrH0uFnum9G87Mz9g/HEQInfEksTjtYb7PBcLkqyylu8l
QLzr7Zn+X2nt/Ck6+n+aQ/1/MGLqcfn+132ibf/R/co/sj/ByeWP/NEocgGNAxQnKuqadIskaPyP
RpFO9pQbD+a8S7JHlXM5/giYkiLViBF4Jpe9p6oGD/jPRpHDqA4X/IYLLRpU3f+kU6Q7qrxIf+sU
aTYMdP4O59bKwqLxl7BzOuYEKpYiJQ4yxetCFks1VZMRjU+K953LYkq2rHa5LLByKi34EHuwIz9G
WYKFtXVORH9Pe+Ic/ywUD36ut9yT55uo32QKA7X4ivT1jLGdPi2V3kB8yn0tNDCIISmOPO1ekqI4
J2lBCB2vFczSLgp6bcIkPnBUBCi+dibjUMoS06RMWciKpi8Z9WeWa3ezHm6i3pS6dhyUE3SCITP8
qB4SWsQVerssaCcKW1HuMpyUKwZUReBCQ0a6wCXPivJCqPth0Z7J0mD+6Fva1hoTR8Ju+SqQS2kr
m3bxWY72T+Q4oFTbTpeNGbZK7AJPCH7xqqQdwiEoe1VFe6ztcR2FQHvBHFvQAMor4MQVbXCgtTj7
XSp+q8rL1QJ6aGXWqKtOjfhlIDQKA6FAMGfJNZRjPfW/ervfh1JUmFEXatf84uxBC85GAG5QIGC9
cIaq31HXXsMkosUgpYqZRE1rAAhFw4AgGR40ZI1F6huRFDoQPETMltWN6sU8w1HkOJ9idaQI/SIa
Cm6euaJSO3ERUQrEFDezp2PfvODO2+Vqqp1AjtB9TrIEAqfoAjHETGZdDHYyK+t8RllFrel8ayRs
M4ac2v2UblsFYV6TtsbKTqlAarRpV30v+2pY2VIV6qU+BMe6DpK2iDZdxUFX8+jeKK6Hnl0My6o6
2Qzi9atkOipjtA7hB1O4ckBCk1KkOhVJnaqUilWOdDUxsiZoEbO6CwFhlEUkrkxqXRGi14T4hf4c
JFING6QuBoqhAdw2QipLkM3sJtK3YT1VmxFJLUZaA3BDB5c88pfp+h6DSqcRWgxi3CJVORV5LkSm
G6VeN9abdlEXf3GSn1qGXGUPI8kg+InwPYMG0S+V6p+HDIh/AUlRKoMJEuGEVGhED4sSaMiH1dze
NxBCWxNIFgfPegQuZiz5SqrB45RHZ6F2VrBs6hcrVLH/KCanQ6HHCIxol42J4YKGZylVzdjwvvKm
27aUN2Gf7LFGaQcjZNIdmJR1rSXEsRJaBWF61yCa1oinzxYyai/11A5h1bUNAKJIraHUXE3E1x4R
1kXj08nMNN27yOO7wWwkT2qkQs53aUEJDkr7Hu9Xjpux2ycI03ZbWZs0QeHSjBQzjoiYeJg8xR3j
NnmoHEBrHJMab97DaIkCJjPfKVGtbfW5q7GkLK90QIOIizfwYhJPerezBYVDqVZPTJ+hWG9cUCpN
m1CYE4IeGA/uj7F1BGsx+3ZoiaOtDxkdFtAkCUbCTTzi+phouHDRcV+5OqcNvXCm3ZISSaWyXznu
FJ7u0m740Jbyuc2mvaMiRzv5Z1YtW9saqp3uxAd3Mr4G+OJc6h29xKj3XUMUR5rga2D3H8tMMIJR
KnhDyHwxAg5KnQ5Gdiu0ipZDSPCgm+t7pi/A5YD8hGGVqETj9GB6hy15u3sq3pfQpjGmc7MBxiZK
4eGZ3ZDnWdftuBFz9GTJuVZGr+yb0DAPYDpiCjbGReI+PZUeqJcwwsdlmPM+vpUHWYdvyUt/QZr+
ZB0ibyXI9BcdK72ban3QzJHBHdo/JRYTjydGOgHjgetkLnQmPYTcJWSRgwQOBEM9MJhx1ZfucieM
6K5jqN+dFWnDOYo51drm+FjFRJPmoqYxhLVil87QJmfAprmfIvawnPcADd+HJtf8SgjlAWHY2ALA
LjaaK577xFvuMgbvQOi2n6CzWC9xurDoKtWvjtmbmAy4Kggc0x2uvxsrTI+Nh8VvcHYMVkrewtKb
j2VKhzqFaD3pwGtEavGexCEuX9s4jrLTVjcNo5jxwimL+atwtPNkF/a9mo41cQPQLpaVMf9cq/XV
ZKgpkLiM3FwfBjZjSNZKbzFMbtJ9BLN+s1R2c+J1JijQNkHRS9xBPkf+AB3zSRgqvAF6VVZiNbtB
beYN52VmxBuMkab55b22U3Zp48n7hYEh8PTyJ1P/qiewsXoQgnc/Ka3l3MWxyWKg6C+hhV+fQvbU
LGl2wFV5iavvyKWdWSpgcieAXZPad4Ga6DSmXS7TqFhTwq8xkm36eH5chgrruc3SGmcpEvi4tfP6
MOXw+qbMXI8M+arVu8JO90YIhV/XgUePeV3AczLYuzC7NbxGNbAgQhjWPUPrngWkUKvRc9iRxks/
w9K7D5MCr1b+qMzDUzvodGITwLmRIRqWNRJraVgdqtR61mSjaCIKvqlAaPlGoRtH/MdiB6JwOtUF
b0QYRkECWfUlZd1cg7F5re0oCTTQ/D9pjpedVv4sQ5A8rcrsILh8faBLOJLuzsVuqo2e6REkdBbD
e2IO6HNHw/G8ZOOH4bbGOvXCGBqWN+9mTAV+ZrjqKq/d+TlzxYtWYKvnPr+zyMbtMsBhgemF2LSa
bRuxreO7Cw+TMsabaBHnGC5dNQ/kvbrmbnaoHr0Z0GlVQBVtPW/esmc5QaJI9mPjEtWKCdL0jLCr
o3DLiDgK3TJ/mYwEC3jEFaLY03sz0Jgq+oV1sbrHjCfOujdqOySKjwg66tElz75ytVglssXKUov0
Yniy/9EO7TnrcDs0TTPsO2HgEtPBVTulshwhkuK/q6YHDmI8CZh3tjOfYSd8L7b26jQLgzBc/IWD
O9wZBCaaeXYgX+rxWwMX2R80Er3QcquNF0akUjqVvCxgyQ8suJwjBwKQYZ2Kk8auwjpvPTEwuLtD
CLEe+vila+eR1iVDpSGkQjFs2XCyRsRHbtAL9067F2Skd/jbfnJqNE+l8Iydu2hf2Pn2Ik3dQ5f4
s6NV2zo5WgMbLK+1b8jxLCP9360zR+fCJL1XReTUcTGlYBVBw22Yq40g6iUPOJJGDAE4DOo8XmdY
V52YYMacd1sTxbmL7aOXatvKi7hOAGxHE33c6gcDau8rQz+A6isgtjvrwsN5Jd44k7R+VXCmmvi7
x8m6q2rFn+36ygzJtWOHIChpzPTw9mFehDjP4Uf2tXs/2fp9HLlYYMxrrnHXANky1iqkOH1AYdEr
GLYlVmNOJDko+ua5D9sLIwKY/EInY9B2+bwQOpjPFBeBXXncwA6sXS2RPl+k+aUs37OC9pMuG7lJ
p17inokjdDDoldXNth+6x7Se+5M+Wj3jXMOXpWEChB3mpwn68zaOLq5Ix+PtH4/mIoMJux509Zyk
wW+fvH0YlaBbaDzw/b99+Pefahb+Rt3Qt//ylb9+fxnG/BadGUiHxf26ffXvn6KH8acH/u2zt+9q
5sTZayy6JXLSoZb/JF7EgI7//Ggplt8/95dviaMczsrtR/75c7fvuT3Coqucyv7yM7dvvD3s/9aX
RyB8m7QFIMbhPD8MbVwcUoBgs9/JD2///+dXbp+j26MsItw3zL2iG6nUxeGf33H76PY5rAseeqrv
Wex52AFoA3hW8nl7xNs/pc4AVvYjfo2dj3wPS3IZcMQhUGaGjB9WXf2rbnAEp65RHLpBEGyxegEe
UAcsKKr9MC//+BMxBf7joxBz0VAP2BkYILAqRy2HCz7lh9tHipxTg+4DX7KUmELFoG0o/2GwRLwZ
h+b19quAOUNzRhIFLMcvVQDqHW5fUDJBi1xhPIU6NdUhwkjGjeBUpOgsMsIHUUP+vn10+zppLb5+
++Tt/w7ev13vsu3Kb/7tIW7//+1x/vn1sl2mfZtk4bq2B3YnJkjD94lqQIXjQWfm5XYGSQRGWb4A
natFi59VDtP5aow0439QdybLrStZlv0ipDkARzclCYCtqL6bwHQ79I6+/fpcVGRURLxMi7K0GtVE
T5T0dEUScPdzzt5r397SNtb4vrq9zN+Pvz9rtXjceWtB//z2M98fZNPf5qAJau7vt0NWrg5CEPNj
uRjjnlnI92vw/SG9vSP/ePj9MoH0NgrmXUObo4u5vXDfH76/94+H3/+TTOv/+i6NNnaG78ff3/n+
wUxn8Bjpd5HNSDtOYA1os72FeRd47W086DIbW4lmmMwnryc6Ii8vUxNdpf7FhGyv1vHc2LxFSj8Y
jhvG3bKnltwTUu9XuRY4nkma9926qAsbOLbqkSVAf4Rou28BPgnLOKn0FTjELhde6GjVsQYsXsvq
K3sQmnFq02WPlja03chP2n7fW23QyyqkgRu2YgrAZTZ5AN8jyOvRZxm8trLZOcafWP3p1jQo5U1v
YezwpkHnmZgzIx2JodbafYhEKGhyPXA4z6kBfZ13Ncxld8uhwATQknK53HyluFtDxrtR7CdDjMhD
e8eE9gHD5mGc3yOBsI+SNy/waAxOoKoupMGwU7egdVmeKq8+7e2sP81Zd98PHATNNswFttQy40lQ
wai3KZZHTHSnybT2sPSPwjb2lXTPBFjvibfYR5n+cy6X5yGSH1OanNf2yxzo4cbJWTdyWqoZs/KV
imA+jZ3k/qYLWmMcVZOvHHkeln6vL8a+rUCI1zMk8Pw4YT0rirtxZCvRtrMOD3dCZdOB6nKcx2h1
X8ayenARBtdJg2SMWPM+HZ84B19ywh9uT0DOrySGV3axX4V3HmbnUJXT77zQn2zTfGk9cVWpuDdw
0bQ5FViO0DNh/Kn6kzLNXzPJOKKLT0U+8F91rd3hUqcD8qJpGzn6PWxDUSWHuW9C3Lx+QffVMX3A
r9vKN0t3nxnMmS4zwjSrL84kmxwKzQhrp9kyZYW8jY7F7I9ATF5jXPcV6klboObR09BwN7Bz7xo7
A0Fp7GVJWj1ov8abHyKjvsvJq9Hd4rhq6uLN/OtyPblvbp+HFacAZTsk3r8lamHIZ/jSjRg7WUEv
nJOJXjO3u0NV1eCWqHHj5UTFc1nMF23M96lrnPpY3Df5eh0y0mhi0KeQUvoUJ/JXggYkWyy/FZbf
DWHkrTt75o0B6cWx0fOIFpKY1SznbLnq0prFWbnGwR7SS+5aqEae0ZcR20WzOXaAlNNu6NL3oUje
4KJjuUGEshSHQRqnXBpH6A7nxjUD1/lQGlBaywCqIhtC6u312E70ArRtH6Fqtbq9I+NHkkkP+fAq
5x/Ggjyz688OqR/JbARJzeLTDbt42cZmtG2a7l6omDUz/Vml5t2o2O5gtvXRC4rbg5hcbgOOmvNy
sm7dvbE/TiYdCnkSk/OYEXqQ2+NhxSY+G+OdxW+gfYAfIvqw5uKRinpjztM5ogvI4YUJ7Pqgde4x
l8Rjly7+kfhhbERA0OK+bg8jvXpjtnxLb+7ctn8VtXsSjfO41vKYkf5XozLtnfZBQ6I6xAPRGghh
m31NV8WG9UDQXsgKRVEKo3fJ73KCbZ3kz9qDj24qUje6I9NyXlqi6ukirfFDMowfyLxPhlPs9Ebb
1b3BbxCvqTQ+CmPGYSku00oiG5rHlniwQkQvTbI8VJn15pXqIyt6Cv5o31fLGwk/4Y2YMqLEqPsK
B/98yhmVFYIO3UzLEfGG2181kroAhGyciFnr+OqW/Qt1w16vozBP3aPSz+RWHhKXxHM0uKMTP0a9
dejohcj2jCF3z1w+UIXJPGg9ejWreyafc62/N6D6Z+t5jniJhXqpKQ5yOjCetd5rvMSVwZWk6UQY
Z2Gkx3tVQyvkfivMZF+U3gWn18OQKj9HI41rF9htfkcE5NUenUeOr/eR7r6OUfQssQQ6sdpXMPxh
0ewjLbqMeDStHM9yU14A3YeSnMJ1oOnRa4ccTQpGr4BsIUJ4ENYu0dZ+dESChTU5VlDA8T3SGNUP
iYofCdu8s5WxX4t0NyRdWEY0JK19wpFfANFt1vku4zpLdfduiNILVHAGpeSUeAPpbullmrLTIu0r
kN4XM8G4hDswcIxTdTPSGvUueTSb13Rqdp1NoYe6VgjEr0a8j6JiL9Zqr0xg5/OH1o77qXxoovVY
G24YjSv7kwi+L3Ezf13S5FrUiAIKJP0I7Zz2YFQDq0zn2yOeBb0PVrFcdK6CaFwOIlt3VvdBGPQz
KTv+Ys0HGulwS9RjlY4HExHSZKGk0LpD/5QV1h7VBVYP1s1Kw1Kh/Mivyv40dU/lMJ1I7X5sEnmx
bXgGXr/PITrVkdj2VnfUC+pySFOFioM8T4+oEPysj94hvf2Scf5uE3MQdeogZrR4DrJVvWbpLh/X
tHrBJ3vOXRkIt7moIvSMU5M9CyvEmbzxpgf3h9O+TPm1iZhKQtP1rfq8xoDG+s+GoEAg4orb6E4K
EtRN46q8RwsAR6frV1T3jzCAH5queE7n+ACRh5LE2OnZHfxez6z3sUw4xt86rmPyUrvVW1VHW71M
tlECyTldj5arnYwlu7isJ8uCSpi28EVW1rYie9QRZThpyRZIHEZPVoRoDRKr4koG0ZUaPn+xI+tP
d1XXuEkDvQDQntNC1ALDng8Rp4kotPrqnFqW32Omtv0mvkBp30h7gKXksC1xxJTj0TbTqyUfW2PC
pYmBvsr9IpehJIV6MgofiPxu7uYD9djeFkwWwFxKOpcJq35fnvFTFLkVLvkxne1DNdaPJhz8uCzu
pQt8x/2deVfZW1etE0cp8sAlJqqpcSPPflS8L6RDigTZUNmGbjLtbphMGtNLCQHbXreTfZwj0gAi
46CG5VK3Eh1U/dFFzRdVcyGPs86xCzOFGza36J/mtoYv/sKOFnk90bfxMVHqtDRs8Y32RTXpp85D
XnRBQ77PUCv64HNQzHtgM7hCJf102pWA0Ko8CRvsRzCWAyU5fsWHIWGxGyo4DPXeW0ncUj9ckEqQ
zP2S7rmNbNs084uI2tBASu+5ETmG670RmCjaa+vB7sTJYUZTWdFBKf7QiMI5roK4DCOnu0cpfZoR
sWrL/BMJ6KOtVYdVf83y9rgkhIMPy3Nqr2fbpTFLH9PO7K2ZCRJd8mMrPRoB1gG1pm+uDsPh1acD
Rpv5LlrlWfZvqq/PxMqyHuXUEpNflOYWQgS+Gz2MtPlAmCELO2tK++CoW64UXWySbWKsmiuTnLm/
Tqse6LLC57nsmWKgGYvCNMpDA1i71Fi+86e51MMYTJaI1aVoOHyTrUrD6WWQbWhFKoSfcy0q7v7k
Za366yzr9xm2vhthx7KTgOneznWgqw+fnTHuRkJtewqehn2xnSB4LUeLmDwAG74mOCmzcui6DgFa
f2kzZOlYiZ215h+O9tW7bgwHGcV7Qzqhbf6hm7czBaS6LDmZ2fKY9HWwxvOZX8goJT6KmFsFxJTK
2T6nsCsZCbYENzBpGLsgqaAqO9Vu8qYdEaIIM1GXJMQJF7nPVbZbrZqe2gp53Nstbh00w31BL78k
4VMhw7LM+SRcIoFcILa5tbN6DYlMustrARaK0IWh9EGnMIVrXio2o3n1024MNUSUdq/CWa2+mc27
2sm5kuwzQW4no2dcpcJxKrY58NlRIJhfHU6vydNMgl87sUd1+OOmLEyregMZ9V57KTJqFBfRdEns
iTGEg8UEyuSM3x1Yvmn2RgiuTTTox77SNqisw9UU4Ft05j7NbuCJq5tNhAhVgxRbo/ZNPHqOe7K6
FC2s8Im58CPLC5mFjZiBWY+PdCphizNDyWsfzvkhKZC+TtUhRomyzlvPiwKzgK1g6ueUAJvb00aC
yOChOhSiP5a/06kMyLiJwLMwCQs7gra0JpROu0+08SnRk/cKal9Ui2vjcmzgcFvVrOJUjTUBx81N
2zhyVu/mYIZShleA50FYwPI8O07QGMyCEHKOHXO0jEiZkgKn5UlgQSHiZDcAwCFDLSR1dkFgLTkv
AlW5RHK9YhIPx7wNzcI5R0sXFhbS7vlHRG5kPnhH0bZvdXk/3Mojge6eA/zQ09f2hls0xhVmHAF5
LX1Kea1kdo1T+95OoAY0NxcHN1CWXaoRWM5c78ouYWnvTtI0PzVkcPamoX/e6mYYWSsnXwJWPTNk
4kxkMni6kUNUYof5dFvG7B0d/n3migvKG3oaxc7WOCX1rO2sgCqzd5mZ+suSBJxRzq086W0FIje9
WDUTX31EDqkzFrB94j7CzutCSqAkNfYjxJZa9vu6y4/60oazZ+zWpd6lcRzGRRyCVKRwsR/pBewl
6R4jGnTF0mwmy7NsZAB4FIV6EQxIgVTnbcrpM8K0lBvhkNub4RbzAY0JZj3UvcsA+iYrPl3DPExs
WOsg8dot21Q1QJboyhjmXmK9SxUAypoOajv7tzcPdSoys2lrjVNQ18gS+c3Orb0DaTod6dFq93Ft
gM/z2FB7ApyIydZUqHPSJ34uCr+bPxiuMthWjBCr3qQBxUCqOiJEzIT//en3h+T2RWUThuJi29/M
VU4oxVqW/Pz3t5Ai3MYPkbb6dgnaJ03Fja1VAeNXMTSkZXLC7/bHX7oh//ja/9RFScfkqxv4QzTX
4OTNsH4XzZ1gKJd/toaRH6yJ7tD/aaA19OW3GBgWXhBaSfqCWUsUc9h1Mhi1wQn/1mGTHbnRf+t+
4emCKl25lE1/7/l8t3RGi+LddlS7ExUsWqueGStZd/1Scl+3eEzrvpzeY0fom8IhcHMaM/uFrBys
aM34ngAtgFxQjDsMouWDafWvZRXhIF84Epm16IBznDi2Red1ctzNQGz3qYoSROD22L6npcaFGSvn
+P0wYXiUYzp5bYa5vHQJ5jT6VqChMoz/VlMUh+8f62MZ2nMUSvJbcMoOAwbWK4W1fl2n/sOTFGyk
LeXELblZWHKGCmamUO/OaodL6x4SqsGrQxD1i2bGO6e21j08qsovdDRe3bginKO2aE3NfMy7gvOK
ne76eMLj7OIxsfUoPdfZeECJPT0JpQqi1OofqZqY36weN0U5EUhTypkt7s4CUBXQbcxDnS5FkQKJ
bXiGD3pTPhE4AvqJFoFh60E+z9qzufS/jWnpLomOXxOQRogwPPooHMy4AOVep8IlibvQ19Ncjphh
wULFEeVqr9e7HoPbIG8BalhZCTwuWfgsGpwJHiU9/5kvryP+19hjVnXWb5KUYyVgVJ0XEru6cEwP
owrpFCjqnVunFPUzSHWGp1fXRYvg9wRwzRoxX2dLITenxqlS8JM0P2pUBZXG1iNZMDwjxEZG9IXx
RKhmABX/6Ime+SXPe7QOgKXvyTq7WTIOS3sZUWQgnj6tTUS4HrKcbPXlgPWlrIIe9YGymPo5+JNY
ruqmORbZQxFVDI4zrHDTYSjUrhi5FjwtqMZuaxfDQQfxYJBN7naJL0hFqw2sWp2/DBxX9L2HJWlQ
Ckk8kpM1CXIHi12X7DU6N6nj+qtog5GZCs1aWoHLvhy70PltU40zW0E4/hpxf1t9d+8SqaJWePll
iy+x2IEhC2yyNFQb7zLoNwjo4OEmIII6zEqfsscz2eBbl127z1HydYpJMKHumOZA3H42JTJuBAuf
pnlPk8P6KKMPJKw2nsQ+PUL9gUBiNyZGxFOs0wVMy92EIUqrX3TjVJsXwqp4a4/a4s/MY1NWpySQ
JU22oHJh1D/jIc6S59a+52/hZejyl9l7N9pnNkT8vMlEE02DTTc89YqVXX/P0puCBVMniJjCdoIe
+AnRZ0xY4cbhvZBffKa/cJYmjbfQ7nD9GNbRQejVxm8W99UxrYBMrdj0hHtWxrIzK6B/g41DcleT
4krkOCd1uYGkdJhr+WN2lyN96z8UVFjsXf2M5PSluJtM92xJkljr60TkXqf375yR6K/QYmxQN6Ku
6KKXXofZRf8efIrT3i/IgsCXbmT5WefAefcWSV+yev82eHLMT3LIkKl5s5RRBcqbf95EHazv+2za
r0yvUJq1Dv9KRatWKyTo0+Eh11cmrCbJ0O+xobiztXvpfArOKtV4yruOymAiTyrfDlShRPhC9XWe
3cVAot+e3HWGk9KAKkvDNXH2+PEwICyDX9GVdeWhYvouFiyLlnnx7OpZViYFd+FbogmLVTzExrQX
3amSXgiw7LBy+eNxIyLFe8tanabrfML0e0mqZX/LUu93dgxMex43zlRtbCrjescyk8s9mXcK23Gy
T9HIMEMvV6rrFL/k0zj8qI1wNcK+fR1ZTOOH262tQyEzFVaDCe/Nn0Q8IwaPdW9T3znaXSRn8kHv
CqJdEPT/tPPt9FTPW9Aost5b+qE3TwRbVuBVipfU/XCzjzH/nXF/dMLwa1WGpmVdlcs9s9zcj/Ee
a+3NOZJj/4T2rI/PC2f0rC+2xfBijtMx7bhxRRQg5ArG3mBKIjdJfG3n9TIY7rnAYMMJY9SigBDg
8NZq0KT1XirNz8mnVDna2nrwrQ+r2ejYDAmh48S8xbJMhnR/iSb3IJzq6qXNF3ZQ8aI77SdqTOaj
3V3trHcmxtdKChAuG8VuMQ7tU4t505y0kPIDo5baERAZ6PGEZMbias7uBrQMI3oE5v67OtX3Dkma
g/tYZJehZCHvxnvJJH50XuqFfKobB8omVY/F8Ve0tN4j6RDAYZxxZgmzxJdDC7Yj7k9qA3nZmjFh
piutcznQWi5tMuuxLBQ/PQf6XJr+8GoSprPbD0w6p6e5kietxKbFMkyztbh4q2381DWOLsRI6YyK
2/gEAttGtOAk727ukbbBT9gNcpzWk/VThZcIb7JItmDdnVM5IMZyjLg+FqPj+D1TOkr0CGNiFznP
jWuIO9NbnuwpvSsgJj96bVeFjWkDYJxqUNF9dCBPC8CEnRWXWAjWndFsPvJiIBdYVfp57Yz4xVnJ
Ql+cmmC35sm17YEYQvenSov4Me4t7YHGLdwNdaiWhFgopRVPbaaKp7Q7iTlpHr+/YglgmrPuAqa/
fa8YbfdcF/G9YEfBCNocF2f0LkSDUxbcPqNQA6JjY11bNOuLCdSPgWN5HxRQyG+r/u2jQLJ06hbC
2QBJPbsaIrBNBGni6N4+fH8Wa/mdaTXeftDUBMDeGv8A4mA6mREHbetJt5U4zLeVWf2uFU24RWjI
TU3jXN8+fH+2YHDbFHFRBeRvAvFeLUSBfauxzOEYBJl64bqgsyBHSLwTEdzN2hN06sJ5RhZQzkwG
GBZ08/LoDETQ5gz+t98ORBXFIxuNFnK0a5+/v8QB8DBmc3vNCEzEkfQ8mwRtE7G8HL4fGhqE/nLG
lP/9sE77v2Ve/K8U4v+v4u9/UZL/f0QSQoX97yTi+0r9Gtqv7p9RQt//y98l4qB/TOmYFgEPEpTQ
DRj0XxJx1/sPE6OEK018EhYpGf8iEZe6Y+sC74G0kHWTDPR3ibjxH55regJF998YRPJ/IxGX/82u
YdB+tHG8kGqC10H8JaUDUgTzIvgmgVeokBmhLxvoGxaoHwqW2cOO5XFSS30sTZjVq3MUtafRixig
nQblXXtBlPuQXwc9vabp8pqUgP298TKqB68h6QxrGpAGw83uy3zx4zV9G6bxA1XNIwhDjmfk7JTR
Z62vTFZnv8zbH5XLQtKu/jrgA8MaqqvXFJVKXieMNa0A/MCDR5B8aeKzTH638+Wf3r3/wQr0zVX7
J8U8E2HyhG+qfZD2tmN6f+EKpk43wWcdSU9bQE0mZFecV3a9DRLhNBbGL7jFSMgn+YhdMr4gIlWM
syldkZYDENSdnS7j9IkQPu8wj9U1Ue3rjIP+IxPWB1Zma8tv1Fm++uQhHdDpLRYDI5GMJIgJndpn
LvatFTubXDbto54HCGino5lUZ1P/Y5bLeHB1/b7I6OIbqdwuOqNfUC3QS5gUtjkjTlWBeZBHCLxJ
UmuHyB6BwXVmFrZETG7UqG4j+on5vLdobBCNz6KhNkReJbtFRvLW5cImTe72SbQD57HB1h9LG+mo
lWkesxnhXUy4ZlZtJ3f8LeeOYe7WjHvv2AhzZTaAlbwFUUAzob1zZkZ7lCQJYi1wBzYh5vh44hIU
/8r4s3PPhr3UfuulOT3AEez7uP6yZu3TtCP9q1qAd757Ck271pw1zMOHf/9ufyds/eXdxokBrYtL
Xzf+Wxhcl7QmlKU5okKAijrnn1WSUhpEzK5rgalxJlZ7qZp5SxX64RoQAfKs/PSgafTFVD96nDoO
DP+3q5jik6e0p7JwXrpi6O4RySOP7pWzadr193j7pErd/k5Hsgvo2ntyJyF9aNYNszCIUzB0H9OI
dX9YPIZLBn2ShNTMeuVg3rjYEcl9CqqyxcohIFT0K7QkG2vt5t+/IsZfcZ5c/46FGY5l4faf28rz
z8axxG0QoXlpEmo4P3x3Qo0DMSsOmUwFmusS/UHUZDh6C6VjB+wAm8tPUzjpHRaJACoSWYwDQWU4
Gei6EqhBFzcBDGN0bzLpdepgNCdl+9JqRLpHZekdJvene/P2Wgwc6NTVu//LE8K/968mGAtcHi44
idEGqhv+mr+scaqrEA23sQkCi4Bfuuc9uR+QsZurzWUYro4xnpB+a/Xm+1NsMMCinHmmXIvkqczQ
BSS1hXiz74/aPMf+ZGU11hOt8xm1qcAA12y3YCni/ir6CW7HYhb4Hxw/rbwHqRk3b4rYD8lS7Sx1
5WT2NNnlDbFSd6HpjI9Z9CcW8GyNongW6xh6OmL6NqWAh6ui4DP2wKgq4wWdSqCaLj5mxUu0NMSU
6zfvySyONSqKsJkycFpxsRKd0TRUid3ey4z3eHV/CNt5qiOq3nqu7E2RzU/Jjb+VYn1HsAWx81cN
l6eHfYy/YpcMyxm+BetE8Zw5zgWKGqaDbH7pfq+MGLd2QzqtY0Fo6k3wZVghsnJS+/SWQNxsmVjj
KUWCkKxy3dZj8iN24c10UB53xEzczWLEXFoF7g1BUSnroZu6/IyX935IooubSn3v9mkEDY4CXpNf
oon9eUyhfZjFx+qWGY7rOt32M5ajrKwz5tEb6OjvTToYP2gu4xvIzR+0E/+MlcMcyvMJVr+l2Vxp
lyF1GDQs3eZ4zbuGQFPxxXhlpyrgNdhKUjxIMZ4Ywk63Zu6eTauisvR6sRXm/FyDVMJJ3n2Selff
RJdbV/PsQEM9AA/hhyV7dSjdtaerh4odIUKGC9pFd+zLNn2SZLKO3OKnaW1p8huV2AnUAhsaw9Qs
WeyeG9ExGk2QIplJDIYW0nvBon3KjfYkV/HVM3QAstkeySw279c27gOkAhcgEg8ipgtEVXCM+olG
bcLgGcLMbGjv3ag/ovrrAcHBZu6sUEISeFxsHOaRuJbJA+rpLvCIy3UbKGMlklHZi5zn2RSHZTAv
bn6YFHh0vkohPc8pHNkJADzXhyBCAUvzrz4F7OKKxp8zMeGrxuxf25pzsmyvDAaacxirwWwufZ/t
RpI2G3xzoHlj9DRp9kIh+UuZNJj7mOI06ps/URkHC7iobX2oWmbPYiIGan6v65qUcbwYtsHkyFQl
TH1T7DrF7MwqfowtwtlloQEmsp6MlHjBa0204lZR/OALIuqYtuU8O0QqLF44ePhMRy1oTdhTa+99
zfn0YHjWCfk7EjLnQ7/Ju+p+8WWFqgSCrNgrR22bpGKDQ3a5JuIhTw2o0Spwiq6ioEy8i3VbKK2C
SoiU366lorSsDNM0Lqqpaxc/1Sk95wg3WpPfmsFevTW76qwV64McJMMbr0OIUd/r5KhubUs+jQ7q
smUWGPMG3npngbpIl50LKA7E1D41euedllpnnNAe43xf6n16WoyS9n7RyA3b36+U4R/2PB0wcY6L
AW1AEWdv1BX3+kR/LTEKvHFIm3dt0t7b04uIDAJml+WzjZaHvKIKLpOr62D1oI27ddr6w4qKr3lK
jkXjkfnuCCfIuh7rUrFt1RL77agP+9TTYKIA3EOgql20SB7I0gWvkuOpI4bu4nASC6I6DaoGmBDW
iiYgfuEm94k/UKc+5Wb6GRuasSH099CYsLOqVbz0Rqbd5b15LwFTbspB0K1attKdiAZAC+SYABNt
wnku6UKLIFLxcC89AUHJjI415EXfi6IS6FXdBwYnrQ2s5mLnmp3YezQ5Gpc6WTnxpbGxH6gB5gCN
pk+YYDazXZC4Kda44VdiobwzCMqaRPypT/NTaQpE/dasNomjbwhMgJlAWiNrg7I3nO44w9XGjkyk
xJ+RjRkIsgwElnQga6D66OoR09QbT1N41Fw0SUzWV5k+aInzixgjIpZKtL07L+7owxAyS0mpIEKV
YG863uh1bo9QIyc/0sqBU4e4ROkNVgsdf2xrtRv6jPgOJIhW9bNo1Lwdhp4j5iqe8rm/1wZ3DRH/
x2j4K7pzlcjRAQ3+FCGMh0S6VZmDvyVKXsVkvScmzR19IQqjFc5XrPqzUXk/1hkYTqIxyMrLBEZQ
MY47s+ieC3I2gbfJz0nHhWPa0KgREYnonHngKJVhbfVbK5UVkdCWKH2wJLOUeM3I51hJ49PNi5Z/
KrwegNitwp93GizfmdfUYPLTYCONYrR4dJwtAXJumOlpF7uRMK9oZblFo/iFuwvGfH8phP2DWR2U
f8s4jGAvIoOFNrZquW2n3GIiyiADMVeb+mMcG0c7SR7iCv+Zk4SdpSbMo+bLbJ8nk5uvkg3QuBEU
aV+bP6RJ9oNZ7Upt+mM63XNmV+fR0vDoqela2HgMWjpykaNy7lpxPxq/EElrW2nFZ9sYvtp48acu
/tOmp2aCfTnvOm7LLXmhyWbO7WZj9gNvdNrvG2ZJ1ETzIl4aB9LIPGpPoCxYFO3xV1ZW2cOIz04S
kbJOJSQDXbx4pJgDJDXoDRHSUxAl4qb0HjP8S/Sqcd4UHioVOKF6TaKfHaECsPNft0kC4idydzDk
ND8cdDx6mR6hL3M6NgEsYo3SHPstIk91GVjY3XK3upgXPKH+CK09LBXd1p4fJTsn2mhVcp4LxsWu
YYHcrDJ/ZOhybLmfaMnGjxqTmV0P2c6xOZdBrurmjiGHCBsKpWDsWvQeeXvx4p+mV3zM+CJwp5Xl
thWyPypG5o2RTWE01X9slX1RhmOJwWljwXQzamCPjSM3LAeoLWL12LkZ4gf+BGf5WS1BTUhPT89f
G+d6U9rTh7tWbx3RA3lZIZteogtKs7emVRz53jy6pFs2wmoz1eIe3RQnCOzUZjX5RHWzAxtsA4YF
gM7JcTci0t3F9vCW6sur0+i0aIkD2HqkzMqpxxEnxnt9SI9iibydLtg6cZnLrezsz97lkTtqbSDS
9Vkw8TViKgGxxm+zRt9vlN6J2WxCQMlRE3dMwT1OilXgKNbLIWMgMWl00y2pbysmYmxDj7a9/s7y
NA2yZthPxORtZHtCjwYn7EbwbgfDRiY0fWlY2raOoT83eavt4i4+kIex1YcSfFwrXpAML2y5w1ti
rixfjK1rzTGuS/E2DC1/ZYOQFfmLMzGHWZaZS716dBmu6WpADI7/1vY43PQeVkGKKvzPap+nyw/P
se69ZgVNW1jojAznYtD8XjwcNIbCAapuwSSULrvRYWlpXXaVRqvBnU8fhIte7cr409niQC8RL1vZ
6tuo/QkLE81wDyGtmufAEtmjiiaobYA9UjCbGEenrSH6MOmQ/7QkJxHAFdBfjTe6iy7FUoTSy/R5
JXDVXo1HqHD3Vd+ZYSbN3VQPpMbjgt4zR0BDa1ywVxac6JxXO15RjG3zMfK1HHkPm8WtDlI+YseT
qRLqjibiKNZ/unEXrB3ZLyOCa+4E8wfkzBigb9Qji1KftePfot6zdB0DfKj4n4T9ZQnscK4j96bM
BJM1fM6V9hxN2rnUxjcxcau7M/OOyJmf8j46RfhskxTIrd4cU6d40aruF+XSSxPD9o16fGZYy3FV
teVbDs/PTRbWt1nHdMFmZzTGfd0ZICpkzc5DZCO+XrWTJXK7Ye5BttGyrnni5axxgk7b3yhd4QKR
OPGJz/WI5MStm99jZ+0RQbAfTmjyei+HytS191an/Sls/XNNsqMO3jaeFGkIC9nzdkP1D3lXb6Cy
539c0otIpe/OPeemtGPzg+X/O/Lq14Kyj7t92mRr8gshwC0/xofEw/5buBfAga5K3lXWHWWWyJtS
Mcj7/mfeEkqggQO2IZ2inINHOgzN1pJrmGf7GjUJM6vUADXkfpnOcs5UelVl/0CP66nKPuPCzLbl
sDxlC8aW8a6U6aczmJ+rNzDyHEhu0T87RJOpS4UDSLN0/5O9M9mNHEmz9atc9J4FGmcueuNOn13u
ctcUyg0RCilIGueZxqfvj7oo3MosdCfQ67sRoqoySyEXafYP53wHHVKGD7m1fmZu8TXxI+Z1c1VM
XDa5TtEGQeJYkB68Jp5z3Q+RvRq0Vu7acCE2ZPbNqywd99t8SWNCxma7s9am352UF4XbDrr3VsQO
CqX82HoRznY3ftDdZQVSN4953h4Etcqq8sRHVqCZy7xXqjUX5FSE0hl2JnR80EDh/DGRJixSdhhT
zEPJrbzWOuOiEu6HAdn393ky0gKvPWrgucRPTQp1bItuLeL8jJmKbWnMr38o+o0vO2CGDHYsYBCe
mB3U4hgUJuJ9Aq1LftP+/STTr+XcSs+1GMc1+w2S4Ar4CEQV5Sp9TCEBBFkrKS7ltnNpqrDrv6D4
PZgGVaZhqGcbQmRQp+Pv0p1e+zx+o+8+D6Lmahf6HRfjqnOMEv4su4CU2G/T3nk5wqrSHI8SjtN6
ZnlHFuS0sWwFmLipmX5JRIAZNX9dT2D8tXrV9tCmbdAWpFJ95AlkCzGUP2qV3vyoGDbBAA9gZcds
UHtMqx3h2vr48/tDH9zmLEEjBkN6JZO3D2yvm0DgOb8Sy8E0O/TAI/jB6MwA4Hon6fYKrASHp3Ay
sBjkqxnZ61Q2KJE1+2I4HXmA3tKFJLdcDs+dyC0EHgY8B+sp9tCxN3p8Kgtqh7ziLchz64UMOyZ0
5iXvJwYbIMAZzdHksT8UuXyeHecRZuE1NLQX3eWlg+BDOy63oWKl0A7YNEYoTb54RU54z2f/V1ta
YqPibt+ikuI1vTLE/kg1m2j3+e567TWy8oPHr8Duw1OOg29LQjeOopZOo37oxFPK+oQkJPHBInc/
Sy8iK4iODYdYtkYadPNmihskWRuVprfiyYW7NYuR0ae1sN9Y2fL9Bh4jVv/3sYg+mjjZV5GNvQJ5
REaTp0XJ78GQRaDCntlj178pA88K6y2xrovPtjE5Y6qmXKdesvdppnMvpZf7jADpcrTkh6EqhiMn
7TmX88eQlcmaa+mptIWzlk5+y+futa8BIAh2/aZwngzX/hAW5NL5VzpHaJI7MHWuSn5rIJf7GehA
MpW/JKRIY5yf5TiV+9zmupDzGuIl4nHMEtJYT0V+sYX3MiqTKOifnTmla9+Lf9dRDKQRW2icHlyM
HXZEg5Eo6y2ecSNNLw5+shU+mdvct9Q8nb51yVvCozLi25g855iOEVewZ2dr/as02BgDN6MjHM9M
sN+58HFGSMvlvc3rVRF2lGzdzlG4vrOS/1oOw9lAN1mOPDNx24DOTsOvgQCQVTfWT6znbzI3nswp
mYKeoJeNYW9bx/pwEgjscWkQM85VW7vtTc2MVhUtC+5NhGXmR1lU6Dx0JHHDK1k/v0JP59gvkDi/
fX9rLZuOmarQJ5nq6MvxPW0GIMvUA9PHUAheZDCFkp1ZKRw7CHv12pHfDkyjpP0dfnTddER1B+ms
a/eyVfB4B1TxKGsnlTV47zj5M5KTGyda96OFttX98nT+kdxMb7EHvA4bSEnd+kO6+nvTeR/m4O2s
VnBoDltDjb+ZlyernmkJAxKPzwuz+NiZgOarcQ0KVa2MnNfQ9Yeb/65KzE5EkpIY2zD2LkqHqahp
rxTJX2GBMkIh8kf/So41hUGlzkSDelxkLvwWoDOBHt3KRtzwqXnMjEJVMVjGy6mkcrcO5EmV8OEB
5G83dhQ/hCZ8bPRSadhjFhlxa6OvI8cUjnmTJMCmkOr7sOYVriBUsV5ghKehFBE1h7p4nenvpa4e
CY0a+q7ZVJF4axIoLeH006o6PzA86yUzCZ1CTNgWWAhgLu+aXldr179ChEXLgpQ7Gv/QddPZW7rx
WkxUXsLVtn6p6fvaARtSZCgFpJ8GhsvGybSS16TlCW4IXt/0WepTWQFp6WagLIUlHunfzOPcYHGx
9XinT8Sa965DJAI5mr5bsnmwew0xlqDVmN0njkNz2xBQ+DyjmEqF+ukRHXhOor6756htp+k3woT4
Kc9nxUv5mFkZv5Uw5R5o43g/+ADLh0nIt9KyiL8ofEIueyGx+/PjhmkxB0xq+j3cv2zveMQij2VC
75n12udcLLOAEp39oDM3X8U6dvsICSkiq4CCnzqkNuvnmlV34HWxviu8un6uykLb+3EFE6mEj2gi
pOfehUyRy8+I20egIzu4mRud3JYqeaoemgi1RJZABspDzTkPnnzygjBj25Tbtr+Z2DIyNrHtswRY
uXKr/EIAMo49NexCQ2IfSBUgYK9T+zES8qiafpM4fvXh06QzYej0OxMGpMWcZac4yfzzoBTzzGyM
XzyDCSz0APNsws7fxNdasr0ZxejT4o3zrR4EOi2/r1GsS+1GrKW9clvD+Qy5bzT1f/9J0djjo5jv
UTzlB+ZU2jes8jXx9CtHS/5L97S9PtXh0WkUIxpXoHutAZfHenbSw5HjvCYSwVZFRZql7R9bZuWM
WrIHsXz5/lNcs5enB3Ro+VjdRdVl9HQGry0ImouF9Gmrmy4Yifxuln1OMPKYXb+/uNaQ05L3MMnb
fD9oRg9lfBR3CMnNiYDk37D5jXtqau8kGRXnYQKr6M2yPTTojJ5yzscHEYun7//0/UXZ8dUfot/m
uCRs8knynvT1ickCyzbirlD9LV/a6gnuZ7rXR699LlT60xiramsLDdRqR4IuK8TwlvUq3rvp8mjz
s4TIGZ+YQbKu0mO58XMDq4uCIq0KH4W9V8yrvhs5F5DHN6tM8a+MpEvA3Gp4e2RqXJsUswJwTHI0
E28ggfruaDvEgk2Rjpc8HdG7pmazjiOKNKq5JvBGF/2vlZBlYeSPmkeHNOvaHdclYvzc8LcZutsf
rnQ+E0I0tpZGxTnbPEZtDUGP3IEknNt7rTXmyW2MP9i9rNldiAfuRqSNjLNNvZ0vQzwRsWJMcu8p
iKuzC0TLyQDMhqR3oHCfQe/h8bPj0T+kPpJ/5uc7JlIYfIo6vvRg6r2uPquW8WvlM2dDuBF4JQNq
Xuw7sRhYYLxcoVhPiM9VHJmd1oXHjmx7cBHIzcsllbFmED3Z7SMgVZj9iGosEadH+KveBY2qX+o/
Ki9yjk5EkH0P9I2HKfYD0+G8pK329k2tDjWD0RM7fQ8EevUsmsJ8oerA1d5OF2PW3BVInHCduYZ2
GWx1kqVZ7McxNHC92jwsurefPX++EArwG5MTOPopTrYudKrdgAgJF9lUAqGvf8f8xlaJ4YIeMghs
FLJWO9NPznqVJqeJeI/R7BjN190lTKP6khVaHrgRCJicOrnCGn2P7MfvV66epv6hbuC/M0Rz0K5l
cCTrGkBcXmwS1hgrM8/ulP9o1et+PrlxDQJ3lA1PXUxoqV/vgMKofelZ/jFahPPNqFVbzSjkw8Tq
UjHBPEVNf/SQyL4zzDr6CT1ppY1Y3ApXg4NDtAhzm+Hil92r18BPbMfmi8+6PM1j+do5zgLlnN1H
Ij6yg+lx61cTcQmh/uFn/fvsNiVRNWQb4OrC49aa2rFF7cRTwgzcK5lDhssXA4oy+Ipm1SsL/bqW
a3uVyPT2/SW181+CG3zW0ZbjayRomVcAiByJ6H5zhi+1iSZLX2Up0mTWnUdM4OD2hvUQee/5OHc7
BugS4T4bfu2KWHjciARLbzia51aSZxZ6XryXDVuSwUzd3dhW4jHWJYT65sJbwaE+lt6DgVp3XZE3
QwHKkTsxc8HUCoA1MftHng5IvzlmL8dy6OjlnF5bczyPCIiQAgjrBNIVbBCc4XEekq09dWctZ+uq
CzIbDUvdEsU817qMRp78xrJpYfFLMXtuaNfK9WRHxzoswqPfDIGg/9o5QjzH1oylGBwNgr0Qy9sY
52CDKrFjX0O/iCZqr3Xidy/qXxVDo61lAk+mk3YgK1hPoImTJjfuOnDUHX3+oc00HF3GNS2bGGys
3MRonQKB4XdbHljgOju/lBXQjEU5RTTF0eL79RkbUIvHDY9mXl6sxNjWrZ/cSy5jS5m8ghheTI88
Dtw5aCXZKdA9mM02dTBsV5DuRq3uj2bJS+RD/ooY77iNzUnVJoC8s+g0O+KR965hO9Ub2yk2s4eq
Tf4omVfs4kEauxKPf2ijNta1Ef/E2N1FmN76OTseu4WJNEpB4uCIXjrkgIncxSl/bRaOUiQB6A4U
2RLE0rSwloyOYZK18JcYCx3qmsQ36qoFz7Rwmrq+OuZav5MAnMyF5ITRigVGAtwJyJPCrCJbN6fU
dQF96Kdx4UGZA1HGEZGovslouLa/MoNhdeylRyPKzgZqjTON8quj4bpsyoGxG4aQczqT7ZNYY3Wf
8vyPbAJM0cT+V9vIZ0tG/pvf6IrMkImld5iqbdaTzx213nocO7xMZA/c64xRsYy69JwPGBhqS+4H
a2zObaWTaWKK9WzBOoIe6GwcyAmQavBPZ1267yA6r9CO52+QyTWAlC3ZSaFnX0k8vORVan2R7rBK
mL6VZRo+F9lknmQF8VCWTE2aucXWaUUZG6FdTznMNs9PfszznnBmqFiWSNFpF78riXYhqRwd88K4
bfuh+uLHfZtTYb2OnXWveFJI6JznB5swJIeF0lZUSOiFsYRamTHzRXOcGEWTlUAjlRVAzryJFKA8
bK19EmHK9YlhgVPRjbeOHXQnatZnU50+jJp2DkH4PDiwXeZFXd1A8UKDZdOSDtD8u2LT+t2mmzGO
ar02Bknd3k3XBz3mDTDbCk45cDJR4CxEtwm0Ww7iLV1Yb/FCfeN1PuRGtHiap2GD7fME5Q3bQE6j
MsjBOrqhD8GZ95p29+bkIJ0BOVY19h0O7zDoe1UHYQVUUSH19qbxOvjdrmlg1fkLtY6wuWrlmvou
Woh25cK202guxEK7Mxfunb4Q8PKFhacWKp4Aj1fF3UY3TMop0+vW4cLQ64Hpgf78FCx0baab+xTc
ng92zwG/14Dhw02NsLT9udEkJpWIlwTiDIdNP5PEu3D82oXoNy5sv3ih/CUL729YyH9JVWXbOpqi
0wDtex1RX/ESJet2YQZaCz3QXTiC4UCBZE3FPVGcTE08dHtGobyCemA0RBz445vRlYx5rUQgD0fM
LxnvMP1/H5lL76Wg3EqqCDe7eXMmEzC+r3lrr2ps5suwK0h+o5poDrVAaTyZPkcbyikn3M0LQ7G3
oCmOffSAT67YSm9TeVjMxODHe/Y9m2aJysEyO9HsM+uOiNGpydOBHQvdjIQdYyGoxd+hOwkyEbep
n5wlkMe1l9t606OUe01J7MEDCUF/CfEZlzifiHEkF3YELW586Un8yd2CdQjGnDQXW07k6l6Yfbku
ehZ2Xt0b91xXpFEY8S5Z4oQwkf3QBgKGXJKGrCVyqF3Ch5Y6mEwSEonqJZrIHtfRElXEp3PSSsKL
GlKM5iXOKHMsNESxvCrGcfA3CD0yF+BlugQhSRKR3CUaKVxCktwEHFg/E8Q17itSlCaLgSusF4tB
sTdUfDhQxZnyAjdaIpgUWUw46tgXkM5Uk9LkLmlNS2xTtAQ4YeV5LJdIJ30JdxqWja5O3BP8p9ff
3ZIBVVnYihH+YptdEqLGJSuKSEc4tinHUNWu0/dyUDv2Jj0Saa4Ztkszynj8AsRPYcqK0R+idiSe
sd/bNIvr0iawyiO5ql0cDm1FmFW5xFo1HQFX0Gv+kCRe2Uv0FaPD8GyShqXpAFvZWyzDG3JN6D/J
kVrCvpKtTpYWyT7tqh/d341BrpWr25dxplFmWBAy+e6iL86h4UAF6gYWESmBmzzqJHclA8MIkyyv
aAn1Mpl5w/llNkjeF5N1RuUkgLUUNLJDwIjL6eYuIWHDMrvqUOEHLgliIYOKjTuwhCoNimPpVHd4
p3vIpTaDHEYcvrfM+HCXrfS4PHgc/+4SWGYt0WXxEmKWWgN74hIJxouKeXM9f4v9NRBkn7mQGSMU
oThys/XAGx0s+9+0NrqgzgJ7yAhQg2rmyQk43IOZNO9VWBtwBQeo2yaYyZIUNsfcNWSyMcN8S/QO
o4L7JIQ/IeWwiQ2qgHJSFZPMSiwGju5eUBSIqUcTnvfP02QiD5lqmCM4EiSBZiOWddJbTZBFyTDv
ph6H47JLYssa702fqWtE+5SJKn4hcjtgquKdRmJot31efXpoKhnmwQnh8/vReBjMyLGrl0A7sUTb
1WTcQSCMH+IEIMmMNIIBck5UUS6PDQhQ5BGkjU22tqOoa2AlEKHXVDyktgDp4SwBezNJe074runx
+FBi21mC+OoBZRac1E1Y8x31+sADxmYkhE/uLJMojVusjD4Jmn7SMJocErLCDZL/xiUCMHazd2tg
hbaEAwpSAr1i32VY8rvpOlifvp7fxiVSEBTfWx2+GRmWO6vFpCS08AYQlfkuUBJNxmDcSSh0WewT
w8tWx9Knx3QWj+w25abIEIOSlnkoWvOpXCIPk+UXAqkZn8USiKh54r1fIhItshLTJTRxlixBKAZ/
6+QpUn0czCVgkSQI5GxLwgoSWkxHPkGM3BqBY9vOCVVZ1CNu4/wEKZSYRD8sZFVKeVYc2G84do6D
PSMGYCYRk/5oggojQLjA7VafIDU/JpVMVo4bMS+Ry/rOCCEpLoGSiFHmEw/IQS44prgawB14GE3U
fk7aQ9uz17Qbt76QndGwsnGGu884k0l7GAxLoOXYUwaalDBu1X9kS+gl7plpXUswMsRhmk73gtyW
KT9JmS6JmUS0PrtLhKZm/tIZAGq0dxtWaw+INL8SEz4rpCUEZsRwRuRxZrWLZpCETrCX2RLYacf6
j9JBgSRNhTCQHIdW1mhyifkk68bc4lFzkOTABZeXViMSdCAb1CmoiOPZOBbRcMfAsh0JulBtDCDG
/aHK6Fc98/G4pfjNCOmPsRfGxlVZdvIfdcRoNjTvH5OnyWB0sxrllaGvYMBBM9Vh9LU2mZCz1W71
tGdnWUBfStmHtk66TWMo97Np75f2+Sys+aUdscBmPb69JGP/nLY/cVBiQXc1XhJvYnoOuJfuLkSk
UeWfXqX7t3ZR5/E6omdmGIREM9zppvar1ynPHRdHomHoCPaIcyN9XHy6o3GH1MhUwyoZpJSlOk8U
WoFRc1lIPSYdR87jQ5xq16EJbYLde6pbzByuj9RZCNzuGuIbGNnwP6OekVfs3zj+zX1iwVywfeIb
AV0e2E3w17JQ0yW6xmfUVpy3k7xWTfdVgvlOTQFuBz2LPlkbvaKr0Frrl1AOLlJQRkHybhrh9MwG
PaS/2nlF4mMFJ0Sj0m258loxbXwWk8di1M2AKx4uVZU89oXxo3VGslGHGjVQkrrX2U/vjV3W1yyB
ZpQlaz13SqDmrbPqQMMETdWRKNxgqxv9N+Xq4lwZFXnXxkS3iRZp1rt601vABgq4FrIzP5KYHVmk
NRbZqAxPhr48JVWBg0v5P3BCz1sk2E9wUo3tTKrGllXu6HlAbLEHeIN6Q821jknt+5+Vv+LfvA0W
9E8aX6ystm/o+l/g905JpCclFXVYSTJNClfc4NeAm2zepGghc1+Z+9lcSgON1Us/wdAB6jJlNJmR
JJbQkNxMylc/mPaLs2AR6us9kaI1gu/vv+r/N9h0SaeeWUP853/8Ih6pa9T9K0rK4k9uGY+0lf8+
g+GSpD+bn1H/pwwGsfw7/3TYGP9wTYK4eQ59HTmaw2PwT4cNQd6ei/Lb4ZfvEdeN2P2fIQz2P3TD
xkZjGaZneIR6/z+Hjf4P9Iq2+b8MYeBvVv3JYoBOi+094nP+Aobj/sVQ4maw4y0ssUgOHXzxvIN+
syE/AfkKWqqEBjX/iKIkiBHzDWn9KMR0Hj1qdt3zwHmP78TMH4bZBqppnMBjX2jKSGPr8+cQitG/
fLRUnyoqi/9DLfaIA7xr//M//u2NQZCrowmymBIhxdL/Iv4vHbOyIdzDuXcpJtA7yAoiWfFYW9F1
rJEOz4+dq+3/528q/s1ysPzucF8YjqX7PrvbP1sOgLNQhCYgHg1I55oogwzpXGmeI9gRDNUY6YNY
b/8ATB9UjC36hzQzn7yDY7IbnZNNpztkpjpF8Tcfhlh8AX/+zfH34oGCvEgIofPX8Iyhae1GwTLe
AhbYKihdeaRdCnDDLUJnjDMzTb6GCn70rL9xIX0/FH/91oaHMQvbmM3XJdfjX+J7bGB9EgNus21R
5iJVPUDWXOHkufaezkw/jC3a4HyjqnDjlApCLapp5jVyZ5MbAGsr/oJ2aEPvIcC8aW8efbocx7uY
FDTH+b1Ex9+/DE77IOGjmFHymDN9o401nhm6rxrlAVAnRc3R137LOFEXYPV5gqXkrsCoi9lA918S
gfDJi9dOT8PGdnKY3RdP2bsOOKo3iFXhILAHpIg9ZEes1MKTCdrSfuFfv1ceCs361Da0CXZJWnxb
HWAvYe32xj1mXQb9Jf8P+njm/sP03N/5y71aGFsdI6SnVeCvHfUrag3Wk1WNwECRRTvQelYQGlbd
H3/zjDr/9jA4GIV0HxMfr/Divfvzb0QauiEy7tft4NxVesjiQET3ZjghjAcvqTWBGwaIZzID+cQK
llz7Esdr9eoAy/Q3QPKQ70Qd2L6VehEzwoXnhXTCqv5n46/oV/DHs7DGo11CVNuQcoQ9RpaB0Qe+
dfWP6ULYu+XgP+ddJgFKUX0NtIJRXW9wzm6MajvlP0LrkiSoeMdNU60cdV1wWc5aS/ASJE9p8pAZ
68G+6vkv4I0dwOtq+Y4AnzoNf9M2Kw4VeIRmC2vDcg8hNuNuq4qzITdK32b5TsBoIq0r3zkkfo4B
K5m4fOy9w8QgAJSGfmsSIosOfXktCqS3Oxx9YbPx220IR6gKLHpmnZJ6ZXjPVQI1cGc0R72Cu65O
DbQDHx34sQKnwWrDw2TQb9xkP/HzVBjQrZMc11oITA122G1Ct9cSEbmrkysPXVJdgKdN/r2Zf9DO
T/FTlBxmPiUCYRLCfXGTBHN1nkpjrSFiGqgmmTmJ8ab723S4qObkDFvTYtCybj/jat27f3eUiH+7
BZbHx6ewZKjAFaUv//u/vNBTRBZkmXnpVrdPqf/mjk8+CmKAcuSvrBJTWzkzaWMe8mn1wOQGA5ix
Tgymj1F7Z75wnY10N4CXdBTnDvqr2iKhr3txKKG06anQhmCqjS2lKNIZIEzDWoxvjjAIk/nCVr42
THan/WOdRwEcXdDMeqBac1/SsaPLx5ysbUye1yn70pFoqY4NYvbl0kTmtK5zmgahoPQbd4pObMjI
QeyQZW21lN3BLm+ebcB0KtCtvYYYo4husvtAyanrF6O4TfmT5j76GXSqPRvZNN2CsewbfEOBB9KB
brDPrkxhmAUGwGesRbGqSLksjO2IwtT0H03/MoSPHunt9h7751y/6N2Tpd6s9NqApbfRNLv2m5n8
6jDqTUhuRxfASjGjnoJlxd4yAf+otTu7+TEhj6/C6G9+vSY5T3++KRgA+55BnYltjsLhL3d84sUy
tt0839ba/HPK22bjVgb2r8IUOBCwL4ZVnR2tROP5y/WrzrEXTOEiPoVKKZQ6G3F507vpwe/9DzcE
rd2gaAtto987Zn+02/BXNoRn2ygbwk/yxeDwa0wGbwPEXu66uEUQCptpRLdSSBXt+kJ8aJ4G0UqL
/yYXjSLpr/c1NZVpYISx8QybXNt/eZYlR7OVJNC80Q3XXBAEPvcaca4NptagtcaZRvSTWEbyzwad
PnfC0zGEPRoCh6GPUx2HSSIXLzn6K/sTyC6p3LX1ocXiQW9J0gndj2mEXuLmM6mxddev6x5VlpYe
4sh91KwRXokAH1JoB19CofbNeUf0iCAm0t+0qbdVxnsRgaOznbKDlQb1t8h5o4ipySQtSpbvayk2
dg359JJBEcYVy/omizQUH+Wekerz3MZJ4Nn1ZqhmgLympFm2yD3ljULvA9aMIQCDRM5snZAkeDH5
OSb+FNhfQ9YVWZvu8Kzn6UYaaUjXukxXUN0UNf9IV9ArFmzTWB+OyaGtQXA0sIrZfpIZQC6D3YSB
IM3h0hChQsbyR2moPtDaygvyrPJXPisx6EbjzdB04+hVOQYGX8tO3TJk9BJhPysYmfwOtOLkGh/5
EoBl6J68Y+ANStXEZ88nDJth2GOY2cajbXgvTuSk+xrhCdzPYYCdQwgmZqQOvC4CnVZruK4txKxS
s/lY7fHQ6Zpz5BDa0sl7N4nt5HFEe9UL81zMI/p/m0RfkqzYqyPc3oBvvUYmjkU48UwXm/bNzMm0
nMz+0o1mxdq57O7uXHdrI+78XV3HADZleo0N/SUyM/EB+c0+8xtaRW7UE3m5L4XZIB4nR/F7Tfj9
p6k3iNlOxvisyZa6pEu+ikn2W42YkA8CudUhC/vFi2YnW4NNz1mSbMxzFH0NssfCXSXNNo6QJbnG
WJ+JUHplcRhuZd9yYZTxT+UpyM5MnZlIxGrT2Y62BXVSrz0/XWNIgH/teqxzRgngu8l3ReN/hvVA
3mNT4ndMt20l/Z0gWImUrKOV07vncYuKoX2iiGN4aTS84yay4yk+Rk4LoEhl3L72x5xZaKpzuTe7
+MXSlQpi4KarQhV3e0iHAOkTOi+38XfmyLCrtKODXdjT+ns6kUNOJasSXkrmw72IPhAodJuIYeUK
IWKHQCn3d1pSsGellBxiIl8yCo8ixBAxhTdrwu8Du2ZFyvEbSduHQke5CCDjdcTYSSihWawbG3GN
1p2AHp7HjPsTcdRapsjYY8XYIbSvWulW6yJq0QnNvr/tSwTkmvxyvX6EPSuZJYwmVLmvus8Zz5oo
i4y02SciqQMjE7+VPoidHPpzny9lRQa5EdWs2GQ8bBCN7OaYTcYjcPyEO4rwTrHsmuzW5N3wLA6b
Ko2uk4vFJ4a5GoSGTSWv5x8Nv6eTj4jymKVDi1JOy5/KEkhW3138geOHtSevpJXbaxhSn5Ml00M+
MWHjWDiW7FgB0IlN2vnaWlfuLSy115xs7pXJigQ3kbUeJJdnwaJpF4bDvWqUi+c7qF3KHofhgpkA
cpvnXcgwYhv1XBkgyvaxuYSrhW23TcBorsjHoiZvUvRxRL02PQr1MkdkkEf1m2cTRYNe+sR5LTbC
8xaReR4UUca1aT5LXDhMyt+GVKcyjqDMfVkpxEgDdlmT43krR+vE6hIGSU7kBOnCTmO+EipvLx7Y
BZbWqq2d9nLHWjtNUmeHjsLkzSLytpuB2rl8XUdhSnbNxCE5tqpl/EkFKKsqEKya5q461lAHtkaY
BVKDKFB1lb3OwnEIIDlpOWlGMT6GxhNyO1Vg5ix6ikDWDAWwbK2qWmEZMfguI88zs/4Z9SUutRjL
CxEMHTzbvkNp3J7mEMeXUash0IlnXSnfwLHTWODDnJaBPBds1D375PogQeyIp+ioRqXTHLD+7i1f
eyfCJw2mghK9GVuqZIwGSXWQyff/AwHBPRLsYUQCyD3+UsQvU4XfSRsnAgzd8Y1jGwMiuIcgMYUZ
0NptjQFVnQaUGIJYvcMXd0gYk++iqX+hJCHBZQL+jIAKI24HkNUhqBECcb+JyhoGuAUzaizck4nk
NjJQgM5zi8pHGTcfA5OGbB3eMUcyBIEDW3yONYN9sWMZT+w0fmRK2XtmnZtqbMODRsqwzrvA6V8c
WrNiw1G0LbHi4jkcjK1ONDvP5qetIi1oCT3XnTDc0AvlAIWad4UyYtvVFjSHuxbHvxDCQMSkdIyd
kY5Co4Vku8rHnsf7pnPctRwAe2SNS+eY5IylU3cI8hKjaZsTJIDKFE/cFsEbkltXT1CWYnt2uTR8
1E4LNm5xxrM+mVfEUBsCECtSL2KSvfpiYzHStKRdZ7yvqGFSe9MbL2RpdAfG1s3W9KpdEXXFCt9Y
eIiHwWHDsgpb3XywotBcT1LYgTu1/WqMTLwa3L80nkganLPIyxlUJluwWPP0nWeFfzTocZZhq783
E7hn8ZcuMu2JJCe6Fz5WCFraMaVfvGb24JKS6TsnlSUn6ZkrT6unw5TBgA2bWRxRkYuFnUTS1CDi
U+d9+spKCQKfw1P36VCDnDXEh+fvP1FnY2bRHlsbz3Csdy6n/gafHq5OXNtHu0KHM+jVZlAOLlFf
u6Meb07Yk5/j1NAPWdm4l+8vKeXqJSJ7HAxoS+J6xiydc2J5VLr8oVu+fP/p+0stQbXqqGrN+bW2
WgimaHp/IxoV+lo2urPpcBmcxiaaA9AuxJ6nYK87HZMzddBer0LyQpVMzkXDdnyyLkbSGoFVKFid
pQu3r4J+jlSX40wV+ZGQcI7bYQ5ZftXzxqhzqGmWtXGStIQ97fpbO2a1mhfQIFeSK/chXr5kersz
0qg8xznAhaGOhp0z1mz8nepU6gMdqV966yiSzZUflDQyf0D40flrDcTImqRFgJJKW1BL8AqtvoHQ
4PpPRRdpD24Vn6RGOKZepj97f4lvamN3NTGY2stRIC3m9SS6K3su0naGhlYP715U3YRZbXDwGgD8
CjaAfnYiY4/tnV6jfMYieotiG4xNNYoHpu/dhdMI0yNB0KkCnlNS88AVgLdH/AAm4d79yPgMiJIi
xX7SOKr9cT4kIFSOeaGQtg3259TGI5rDZr66eY8CHyP4ymgTGBGpi5iUSAZfRSnVUsb9bSPZhbbJ
Sauxm57cQgY2q0OyWbQzHd18disLSUdGdlDazJdcWZjIY2M6TV2KEko0N1S1Z1z0lF+j9pFDRdn3
KvIe8qp1H1JXL/ZSmn/06t2ewTbQWvKQVNWJDwnOuSbteyHIpJfLFdlC90xtq3nuO8UzDmQ9sev/
Yu9MmhtXsjP6VxzeowNjAlh4A5IiRVEUKVLjBiGVSpjnOX+9T6p78aJsd9t7bzrsjn6vShIFZN77
nfMN62Kpxws+8WuH/lvkJOndnonJEEb2TcqrIKHJjjyFfyyt9nFpZHRbMhLj2I9mIFVpcZvYuKXy
44lKkvsj07ElIXExcOud0dK5YSRpFtCf2XeRRI/fWThFSNaTnbY8aGwgEGkY215l2DmDbR1wfBOP
S+Qv/rqZ9Y+OGGeuLy9yLtvNMASaPp18lY/XCcpPKjFvhXeTStBLovRxXty2psXiNGy5nE83xkTV
GbqXmhwTSfyRSD6/7CtBRL9TWX2pUvsu8X2pcvyTSvSHovgNmlJtgAYbee4IBPqMUNoUH6FbeS6u
s+kQAwkg4jssTfNmoqsPmskhFEUtLZfUFzl2NeMotsdSUQfhmweCENYzjjxFJYBHM4Ba6D9kATKN
FqW8uVZvupEu89Duv2eIQ0U52OAOncIe2uXNRSaiaIhIcRGhmZx9RUoYIBMj6ITdmNFKy4qDObLl
VHRFyVK0U7yFZUwHHQBDKhIjJl3cg2bUKsakWA0zm55rRW+UcX+K+F61NSIOkhufHFAV7QFI/8aR
b88HxWP7NO6x7xJWeMnBRHhWs9gGHCmH/jkyl0MJUBIDlrBBWyUzbIUdQZyI5sxPk5nXrFMHwBqX
9xCXipuiaqFVFLeiRfplAGQZAFqkUXFsAHFJFOtSK+oFNGGTgcH8/NGuImPcguaiOgwk4lzoVvU3
UhyNroAaezgYIBXoCOtv+Tu2DLiblPRx3zj7iVO+BM0RMNeAOosidijQPdMNQLogf4pAelLQHqEY
H1p6mWjybAT+SRzOU6n2e1BUUFF8cP4lvg4sBDSUssFCbPBkOngr6wXlFo51ktR0fcirZSgUMf/V
Kw6Jmp+N5Wi/gXy0Va5YpVT+MkGX2LF8tpN9IZ28HlqCSkXdPltOdq4V9VSAP02KgyrG6dPWywPx
iHHfgUppHPyDNPmijPYcglLBpuwsxVaxtB65NPyyDYxXVHnCSMTdC+RJHEyKzYJV/u2YNr/IoiLg
RAcOGNcMzqUrrAu8ywfzSi3+FIdLuEawRQCCFZcZKAy1+cYzQy8Q4GKV4sZcRZDpiiVjYrGTjfzM
FWU2GBffr2h6AOjkyJIrGs13vLsOsDhWmBq4mpSPuaLX1J9XK5zN46hmtjs9WwxAc/GrKtTC9rlR
HFwPEKcpMk4DkXPb6eDVI5/A3n+iUPdBE/YJ9ubqKLpOKs6OBO++BLyzAfBSQLwSIG/o+DWsFaPX
AevlOd3c+H0uJW/vuICuLwH7YNrOhiL9SATAw5I4bgnZADU810CBpuDYrCjBkTsFHRniru7ttWWQ
WhxyjjcxcGEDZGgr2rBS3CGWtkRxiDJvqDNWsC6IotWLdb+QJARdnBTDGISKZ0wWZqxJ8cpUHc1E
92l0HC09j8fGQhpz0ZuF/CyLAt6nW862w8pR7CRaLL4MG2ZHcZU1gKWvSMsF5NIHvcxBMHmtVWSV
UgQK5uOkKE22t4cRbDOiyYbj/Dc2Y1ioceLrpy18YnGNPfFpZuVDTiJVPXp0MCkqFDzUVZyoABjV
Y3EEhAa4AiUtFFOKu/jD1bXfRmJ26wiFR0CNLgQqawkNJJWCLz6EQKqDolXTGG7VVACrIll9kNZO
sa1+tY7mHpsuvlJXo4BOaFHBXMUkdKXIWMXImsCyPBI382Iyp2E3TyDMCwAlt5kibAvvufghbiv5
+fNNDy1COV198hyc5EMW3XfoxFmmUNfDM8IhYHKTRMKH0e/uuEMpIG3O1ku0HHVTQnun1tlDvgG8
nKdbEwSLWz/LEkefV07i7EvFEktFFZc/eDGYMbjxAnZc8GgqwZBr8n8iY9ihua9iWt5dcGVCZxAC
+nsJxuyMRz71+Gf1i1256Wqa35NSv6TleM6AoG1gaAEU7ZSaERgZVDbLHYNYXJShnAoVSS0VU23R
M5ZB0HpW82uwcp5b0NckpfHXhC+l3LUdbldbgXEAV4razsC3e5OLtUMxnQbYTTnP71SR3gNnxi7r
SA73jA/D+Nsrq1d+TQMLSHxUtHg8la8mQSPIFyLu9rsAK7f6+uSQIA7cEaNbSwwfrbC184HRyTmm
oOma9N87jx//TQm2Xip+3VIke+TPnyNou6MYd1PR7vMI946mleZbUHirYWamFjARQWU9xKyTg823
4PPNtmJaQGPEhtwkvBhXk6juvpCiPRFh2iO0InJKG0USwdfqF1dR+h0I+or5/YsGwF9rV0RCco1G
m80biD9RWKW+Fh80E/IzUx4ABo6QlJsaPUCnPAGlMgbYqAOQAuEQyJly+mgFHLd5T2B72tmslebq
biaBTmsswakcJwHj5A2tI0s4b7zQfoYHJNjFANYkka6lHKSnrGYmQ4felLCpITx0Wib9cUGF0KFE
6KfwMOMN2GQ1RCHFuBZXr8Jd+elt0XXbCk9TE/usbz1OXm2DX43yauZ7883ojAEPAG8Xep/2QhN0
bNHs1bWSXjP5PaFyyFE61KgdSqSDKwIuI6EdzjXK/xAy4l4tdP0EBnIIG0lEr2wRnvJGoN48pQki
CYQSLWKJuMuXQFCihsEY7LUeu3udj0OMjmJGSyG42fLmiR5xyA/bQjlE7GdCIuaDzZVnbdjsM1zK
KnOxrI1keTKV/8IjZm6H4U6Mubb2TOMa8cpfaUgzOjCfja88GosyajiYNZRhYww7Yu9ufNMk8+8y
jR9tvb9Vz5NR2Tl65ekQytghS2yXCDUD2RybZt8ps8eA4oNoLQLqKnwOYXkCnd24507XLOSq63TT
tJpc6x2Ljr3CEgk/r9k+e4VoXyf1iFyBdF+d7/kliFbjuABZN9NzNXQvro6nOg/xsZlzudWmGhe1
RmiZMMy0qTQ86C2ZbwQnljKdeMp5Er3UyoAiUKFUjnfvcf9mRzFeXGQp6gcWjgwLlTrdpww8oh93
Nn65SFZaZhX0T6E2pJGXWwSjRIQsNtHZSBlaDFQtDsoWH3XLQu3wNtXZI4dUxBUWJ3gfjc2GT+Nb
GP2yEcAg0KIRSbNRN/XbXjlimgjdBQtbVh43zLCmtY1OpnTbiCekS8av4tRmG8RzKSlZuVK7I2kK
w4mXRipDTTc3t7ObfY/hTIq/JQPqFBD5xZcc7ZfM3xaVxyxHV6o9M9prWXylp+FTb3YIni4CSU6L
LMdFmgOQTWoIIgWJH2CLMuskKHYyHx/MpKw7tv1bIw258pSPx+2WJ2tO02BisO5yFtCEB86PxIc0
27gCMLo0IYcbv16eiAw2GXlaziPt1DD+d02Omz4fe53tNzvkdYs0qAPtQiGE3wRmvvtwUAulyjGU
ll+FtZxMF7fViHO9Hrqee/PwoOL8qwxRkY2waMgHKqDReszpdUBoFI+Yjfh2kqt1mYMt4pAP1hOp
ZTZt6JAmr+Uop51cLKx7CypV696Wzl1bJF3ozeKtNTiQCS374AnZUj6NjLQ161MretoVaaFCy6Qp
P9OkRE0Im6Q/7omLfqdcxm4L6yBcFFcD17IZ01NE5/cqW2ROJL4GGTDfQP+s+1415OTJbW5DRGJN
PuvKIeWgI4DMnh2USP0jyPwhM/Q7gXhqJM9O4uXdmceUVVV9jX2WzbmyVSXKW0XqjuO3Lj6juT3Q
qvPhQGpt+5DBOwHSVw4TT6lvtDwPHWMVmRQzgDREFYZ1qaxZjfJnhcqk1S3tiQqpSyFrZkkiwemR
Fb889Fvo774H5eMylZkL1u226/V7cLMhCC1/3FgRv/oLk3zNxH+gKcfXPPKdUNYvFaHvN4NygcnG
/hrtiDY0nBVtuQ6VNaziVBj4yiRWR8QMF9xiFpKxBdmYVNYxG/0YOWakF1mLMKxzGS7zIQ4SdGV4
x8ugVAYzpx0vUxa+CQ6IxEPnx6Vrv4aZN7Bj9y9zviUx8y6TApJP+dEYnd5TaS4Y92c8TJknT8qm
ZrV41Qzu6FT2ATo3EutagX6NPJax5S87nFLlZnOVpc2z8LWZiNscZXBzULmZk7GZEv6leuecnGrQ
jpFnPonW4JWACC5WRrgcNZyDIq5Nw1fU4gD41dTc8OjiDZvjsFFmObY+h67krz7EWb2Vo3VbRyHG
Xt4qohI4H+1+2Gn81mx4YGsUD7L/p8s1zmx+yKjtbBR3+EjfIqmcd8jv+gbxnGY/lXTZzTHTnYyc
TJI9WUl90k0ASd9JuFToixcwoDjFRvTSUhs1KOfeEsnXBvE5g0nja+hVv4LHDzo0YDInbyudmrIb
VtVN6lNaUF/CNoluWOMEXgaeRqB1L4Yuv3XNGBegbl7qPPZXRVWesJOcIhqBNm42n1NwfD2vaWTC
LNjHvIBExws9avNl09khKVwDjmByqT100pZobPrLoFeDaYV3X0KYoFq6yZXRUEdt2CnHYYvssEJ6
GNJiypScM3+DEBFesjyU7luRgKCyD79bMsIUKBS7H5ciUsXRzz7LhWVXYUQ3M9mK3s/XgHWKJeCc
UELOQaYqS6PyNU4t5kaRfyJexEKqnI5cn4oNazjYyWTf1JwnqvlV6Hgg4Y9f/W2il9aqIC08IBwj
FG/ctpPBHdZMvjKUkkK5JRcix3xOI0TLVbrulIFyHAlMMKjlQ6n8lKMyVfqS3zFd1psa5HPL3OLL
dvxvz9qUSnO5SFYWFSXCAYXI0cbzdoth3HOGAjdVmsy5LfkhtbxuZX7UNVIRmAaK5mGh6jeoYr14
dBJ7W2GMIgDCrw02zgkrZ630nFjZzj6+zgVvp1QCT0qDzuRQ74kMdDfAudaprdt2P1dg1fHykeIB
zZQQ1FBqUBONlqtkobXShg5KIJoolaise1MNBXUCWUo0qpSjFg9bq00urpKRmjNJcOxwNpfFAmIP
iIHsT6R9pC0lLK5Smk64TSsVo46wnVZKewrfcHV8RKjYzax7Ezcq7QcJ7wc0CoWN1Fh2nEMLw19X
9vyBSPAhSfvxYRzCNSnMZb9UD2CEgEyqy8WwP1DHfJNW/tSUsLVNULdKHK6srzKldB2U3DWxySaP
Dqq+uE7fDBx3RO0JNfTmx0JEwhtZaWaUju9QZ9yjnjp1/AAPdm6d9RRhcs+ZasI16+Gc9XwRrSO9
wA7jhR9GhLJWKEVttoR3bdRwWP20lgqFrT7KlbaYqyVhMOFAUyxKeNv+9rHf9kqDm+DDpYT+2mne
xoCw9fHldkb3WsHrpO2XdN1rWeE3McjxZ3h2KyXcrZR6Vwr3Al//6aXmq2U1OzcmyEFkQgZE2tyV
kbr9VtOWveGS9TPJ8bEDQs7D5DfEXuZp8inugrReHkkhB6A5yWYuEZfhCza15AowrLG//Hbt/rGP
6A2yETjDy4VQAED0qId5MO1szLS7pnDPOtwlsEfO5KkbkbH0DzD4gYXJOFNK40TJjWelOZZeyzVc
2foMSehwkvm+x7V4Ryxv3vBIqoPR7Me7ujb5tPz8n0k7SH6Nqoc6FTkHuozxVpf1b7V+PxbhVzTG
CcXPY7ct0/a7nlsKgxJ/a0YRKU7wvtgFsvH5SiXS87R031PZdrc/UPTScWgmA8jsuEpOROWxOljz
0Ze9uA2HCAMgIPmmb4pvbrXzcchs2n/qcUdexaBxkGFB6M3dYeEd+sOS97zkuEhHd14ZPoO4GWtw
PFRJXhLte5jKlU3m34+qCVul/+FhJ9tFMWkFH1/N1LKXxPDwbFup+fiUFOA7mLHLjVvlzRZNw+9O
6SsGI3+Scy3uhjrD9JlQ+k3dOhtgAfAhpmIJfDknOKY8jxxc5l87IitLWVLAxRiCflcA1dwpHj2a
iaRZ9msxOHLjE2teO/Zu1OM93Tr8KKtG0j3o4B8e03TX2LTGVhw4JodnXvKdCuJ+Xv7oi7XmLPuo
0O9C/E0ojPUdVuVbI9YDqydVMVEWclMnIOT2wm+BcFpjNxTOS59SZVz5ynhcG1jkvcY4aVQX6lFz
0xS1/SS7HpHSfKW/cN4IXsvKUlKz9WlPixZZwTxZX07BKcEsYpwHLLNoWtTBXUCBdiONghzr8/x5
LGZCJkV/hfR2duic3CuB0EvVds2WWjtvv3BIKEm0PbES5GRdma+ek+pHHtD3mDeyFb3YzPOJ04UV
N/my+SzzhQMYS5+NY7sq3ti8s2h9xENUM0Snc6h2X6iXpZBvYDXYlTXfNSGPdUhpjZkwzLKVHZ9h
/wGmfl2P9nTHh4tZL8vFlZ7dmQ4HKAH2THJ1fPaSwrzNWoe1n6Ali6TPPO4WbndXBmcp+enSXcsR
TrvQ5xtLb+Ot62XmoYiQfxGLXIxRe7drptZe6qUPGik7x+AUozbbhsTKQoCOtfz83HbZ/SitaRP1
pthGsh5fes3niN8N3jpnwbuWHQBQRyOzgRXwbWhUz67mR9suctewEubTMkLJe9zCR4TGwUATjaym
hXzIPB0bDSvZ2KVrM9byXcwb7JqGoUPUznnMa6/cNK7RPJXDQDkk24S1FREVsvmp33lJc+4syM9w
MWlR0hL9kKfEQi2kIJY1tw82vO56maxvV4w2RiBukWm0dRuLKVcMAehO/C6mWgk8OQzvLmdUxqgC
dM7Ln7QE7qsQjfGgNUm20rTholt++9AwbtQ4bj9Uo815qyqOpD/UdW+p6JcDjmns0tx0Xl3tpMsT
gmFHsuMiTBc76NhhTp/jGclDhgnGktbXAgL4niTyoVv4rMsZM3NSEiOdtS55tPgMdw7xB8nb5NGd
h2+0O8l+BNDr88S5lVXV80LI292AUYBfzHWmJ92riOfXqRmstZ/yQIrDnGlYO/MJLkv9Tit+4rTO
hiYajAcdX9tS8bs68uoKojm2DpKs2sRkY4WHNLmt52E9apbzICjeu+n4q2lFRc9M5HFy5gwcJE79
qzbwo3xPvbdZkl7u0LDJXRKRFYUX12xSR/rA8XJ0CdB5Q/uQ2bp1t4R6uiLSEW4mmzdGQRTvyCeK
PBhflD9a42nQ0znQ6c2qqJkaCeES/4nWba+7xzK6TZKQqLrjhduyUAHwhvQUZcLRjWZrOhGg8su3
vU98heO1xl9wy348yCZhBPpIz2weK3KRQJxLdU5QQHg/6Q69wYgqeDXgbg9ozA4vC+3Pd3J4a1kf
+vqkLKv5rV8h3DDrrjzkwER6y8lQMxiX4Ju96bt+IAPIwLKME+NtCskPkNTa8uPyadBY3jpvYAQz
RF+WPpxZrz1ovizuiaX3rDp9SEe5cyp5sCwnXTEJq4+MzHYAuPo6ZlLHLdRizIh2f0DjME5J+mgX
Q/q4hBWBWIPb1s9/hwss3JVh/lurRbW3/aTek3d4MdwK05rXXOfM156k4WbHqc2+vEcZyvJKeXt3
4b7kGVNBxQhFys34211YUUGQrMPJPmoCIMJeooMjwnE7msvvskucLTmNeqW5pX9uJumfpdAbQlCM
yvusXLaeDLuVk2n+2SsIz/hlOOwbp0Eq5JO7cO35mPMR68p+ZKhBIGwlCK+EVnYT6plJ5tcIX3rU
6wzTwNV+/t/oaOTiJWpFf1oSv7435/oF6hmbq2e9ilST67ifBMyGZb/6Odooios7tG0InwtCbynE
+Ygh1aqsXRumyZq1YYTFqPVeMFlUqzYMLRRJ1KxWRUkDL5VQ59w8+AMRo3hp85VErNCM2PRyTTMp
kotphl5mCf18rRgRBXOT04nrxr8sD4fyZNT2AfZD3KB9KfkvgGyDkocV05v6Q6PuKjD30ZJwxaDK
eDBme5UjjfAj8jRGalNBytRzQPoUMCThyFwP+86Qe1v97kH/3ww+yS2fH5ZlnadmeiwdPmCGYHBT
xMVzBSdLO4N+tjNX20owEMa2PbkVNWlhnN0M9MnoGtM7M5U7WmA5YTcGy8N8oTnGxVyvN89V+sAY
9WykyuhGq9pmqF+mmUGLN4PiehmnVn2Idk5yF0vaolJcI6tkIlBjd8Mpyez72g1JdhEdmh7CQj4A
glzjnN6KUIfuDJ9yrKHFOF8S4X40Oje52qhwqz7qS/QRhQ4rWGCBZmleiOxiE3bOuZ6+ZDZNV2SZ
nieEcT3bZVWi8Op6/lXLyeIjafjVOwy9NW2+sRdqJd002+VWdaAQ4GksWNCg0D7n1u8FPwB/l7p7
Z3Bl3IVmX68MpyfDUoUfmI3vlxR7QGqZ5cofuy9eaF+hjdKHUcVtxB6EbrxVOTO/Yv5gBrOXXbTO
f5Sat0sBoIImgX5vI16YutetgKSJasYshNo5sJiQc4/YIfC51swk1nU8fqcIdh07Jyrm0iGYNWAq
jfU9jPpn0wBF6nyaeqM9agzE+85los5ROU3Btfkh4j00KXDNSkxGTCyY7wWdnT87vXkvObushE4S
OSn+Hkn/f6Lwf0EUmgrm+5+JwmublMnXx9e/ffzbtfr8iKq/0og//+w/yEKh/832DddyLeG4pikc
imX+QRYK428+tV2Wruu2p/jBv3R3GdR6+Y7tO6YJ9PeDenTkReP/+HdD/5siFD0fOQqZTF8Y/5fu
rj9hPd90+Xv5vuULD5ZR/IHNGYSMHD3RKInwQozYLHVIKwekCJ5znD268mKOuGgwk/4rTNBQPMNf
8TT1R6v2MdRlcHGu/gcM1YqkmzUb8TKZjjbWLlyK58CYnZ09Nxdt5ArM5AEh1vKc27hJIkYzwShy
xpyk+m8imPkCRTeIz+kvP8jTf+UXXeMPEkPolmW4HvSi7YGVmX8yv7S+QJz7OXmzoUXGpC1nbIER
G/8l3/mFDqvVMjN3iH/WbCdblqA8mj9kVF8QusUkDkwGqAkZMp7NaZB3NL1a4/eknOC9wPeQusuq
b6Iw2DUOBx/frJjOwbLHZtECTt9X1m1aAIYZ/V1v5zfxzCW8rKmfYTdEk2MkAme47Soeg2yccilO
rhfdV3nOMC5htW4lx8GngKZ2Zp1nzBRtcqR/WdZunN6/Bzg/WkAwcOD7sEk/DR+hcQtI0Hh4obvX
edaf0QSdw6yuA7JQWyTMRg6ooGfocisN55L9RLJJ2/i1eWgkSYemofnDjSSHC+B4rfwlzcpeT2V/
39TijEvsKyvwbbUTImU32kuLJBmwt8epi6UUwQe79OZbwGo6M63DNGs5NnnwPdUHZDnhnkUAyyUj
f7c6gyOpXBejxzfDMs9xap9RMOyKkK61qOVfH8ZsfIyhDao7N2KvUdSOBuXGJDOid4q5JnvgMT5y
GbvrU6X9SvNNJBoe4OyzI4s5URmxUiocImXkw0z2IdXsl4H52eTNV8FQLmzx/0oJbgWQw3A0JD6s
tdwIsBpqgEuDuSt6bz3EBhlJHdDU5x/PmmTjOmz+UdzyShL+1Q2JRfCTz2+oiCtSEUNEJvt+4KMV
Z262ofUV/IERTN2uWNxqvGo0CNY2O0bP88THrIh0H+SOCh5Kc7JNZNUhL3WmY7raMtAKN8UM9zSQ
agZccu1lDhagiXQBu69z33erMus/ujj/9pPqUjS4VSgmGVchwQ/u/Qz+OmHdcsHZD93Y7rQxujfH
zjx4U3iPydHbZjzz2D5yJuQJk6ydPqTmxEFqz7qlWZz+4vQVmVUX2gUYESqzE3e1be4msTx3bad6
gONvh5/+0OYPLLLwfFfs/sI8oU5Ok9cctULTNjbKF3hQGDKsdoIXX5lpoAp1dBYq61nHYM9OXaR3
S9IdU1O6K8pvsFp1KA7cetkrL9YyU2Id5Rdnor+arrZVnkz0c7r5ex7+Nvr51zw7h2VaHuuIrzkX
mISkyzYDZ/AaBeDFL1VZnVf73EjfalHKTdtJLhwi6rC/8x+96R0FApydhdvbYy9JE2HgLSk+vcS6
b6X2UDrixjVVfOqYIg7hr0yXIefMVS2pdIhH/iHCI+/qAx019T7MGPyGKR86B/EPD988sn4nhrDo
tCeBKe3biKM9tw9Gzik7tcBItKBnpNEV7WufuIy+chctB/IqHwCnZgH3c5UpOiYRsXBfIXv4lzZw
EhG7UYZu2CvDoT61GdE/0rZf5kjaqTDPVaoqPXx+dbM+PxjxW4E7gyMZdQohieCg0qpLZPd8kT0t
b+H8rBfl2pm01xCgKKgt/u4U3eIM6+8YM95zx9T5pvA3dqvqMunZlt39rcNLglgSpam5N6x1ZsXs
907RqJ0zvzg5pegCfShWkUFDVGERdeivrWMdDdc4U9XqBbr13VjllaIFKopGftGbSdukTAJI7cSB
VXpXK9PoM27ohYYp4rF01Rznxpz4n3jqsxmTZkVHcmN21jkc0/du4tkJHXcSJalM9q9GH27GZMSo
xk5B4B8kZRedHAA2zHTsDEibM30FajTJldjz81KLo9mjY0sXHgy8K/Ik/Ur02gp80nupGtA5vO9m
963UiR2Trg2qPvpMWbflk/fc2/jDtNh76jtw5AJH6LobnEeJCotAEtarMRA9X2ei/zIsd18a7WsI
HAAZB6Elk9Uc8kireuuhwMPOu2WTsAmdrGY/slPVw4fKSF5KKJggmXjFR5bANS2Os3m2PX7coWfT
Q8Rg1+3bVxJ4e3qyHhKGn2wDnBMblRvkUPisdPeqaRputpY/R9eDjM9CncXvrpl+LkhbeFxtXI2f
ic9jtfGesv4pxPVHCw5ioJA3IXMJwnImFhjvsLjAXK0cGanVxnsesxxi5IZ5lUk2bcvvEbs/oyRr
xJ8sqhIBYMPtEQgQW1C8TmYkS2mBpIjxNIfw9N1wGIcOVcfwVRB5MJ8drlpkFfj7wiAoIKT1nZW6
BXJtt45zFt1wW9/zuoJY5bdVD4vT7Ihp45hX3iqQHBHcrzcmTzBAzXrs6TtulPmyIWzUhvlnovro
BqIeScjrSTbF+8/bnuRj4APflVr8PcZ8u8Y5vJomPVemvV6AAzwbQd443DMkYhFdXTFK4qhlb7Cy
JT/nnhBNsJS41epV1qZf6OO+GKETQ9S0G5t81yo1k89mKN8BQs7U9x3ZhrH4tAgzJVF/12Q9w9H7
peeokhwjZDGi19CGVydSgiodN1OVxhRnGHwvaGeNeUH8lfnVaayAuPzmI83pBSPezxBtJPtJFvb7
Z8YUp8eu6Qn3qH9wYv6Hy+5E9te/GQdjzyH5kvjnkuzv2qxVaAwgwqgXSSddbG0qz3+z0NmvDXdY
R/l4kIQ2wnq456SckOeJwKg9TI/oMlOrOmlGfqBuRQRkzy9VAUKZxBBy7Bv2YTLc1TyhySxM/uqt
yoECRkb2q6ZT73feIsKA8DM0DO3xtOk9Zjh2FH91ffxdi+G+GNuNHRo3KJh/mWqfWkQqqdV6FAuw
zDc3mciaQB2Npp5lOk9BnqUJnEMk2HeO94nkUyoWnnEuredayc15avmOuF3+Hg7lyXKM558zQFOe
7XrnlsYDWN4HpimHZM+2rQDPtfKxFrxxpIu2m5kBUMm4nSlFShcWupQesYj0H1DC93uzs6mhT+nP
Li8YfzQCHXK1yAnwOeMZhJpx5am5TToi/06ZD/XaV0r8zx0kUxdVHZ2AIAcG+Nqq9LMT6p3NOOWP
5OeQcdt8K6Z7synfC/mYhsBVEj1dUALOk4qMB2WorCr7BnoK5XjcXb1a3jZt4t1OC+ZbDwMsv5/7
JKUEtiTGPkG4ERjKSNMmjY4gR0ZMfLi3Bm3hjjvop19WKrH8Yu0wwvEYQQSwSQlmk/+oUz7cyD25
Fmj+xxD5R79DPjt3yYWIQ/7pLAYDHCVv4DCGoemrwP+aD2uvE+VWEieL8pZgSU02OufZF/QOZ8Gh
KHg+nAC+elRs/Dba1W2R5Jx3QgV04Vr3J4e89mh/dj7pMzFzVCpal4l/8/dKbFqqo9/Vf3PT+PMK
JHTbZdptuS67cWHpf0pLzLBzDX9otVXIl7qSPIH7nFe3sPhda50HU2Z9gFxdHRmNJj+5M+ejjva7
zOn3Z0I0tKIZ7jUGD/0XMPqfDa7/+Jtx9/EsoVPk+oc7xBei7VVsgo/RS1tNL62MvoS7+JuyHALY
IIhowHs/uw5x+g2s/JowxVtPImKrCpJeVf4NJWzgpDzGa8zba9L+O1Zs4NycIoYhfXfshnpLdTDp
qqKmoIKt8FQT06GP7Z9f6P7bL8bWDcfwTXQF3p/aDW3QPcfIubqY5CHkxEGg1j32VUW8blHACn7n
6Xu/iMR5MOziVDIkblqyGxiP20ZgiMf6vBSHrOFVmc28pZzuIBwd3VlBkVriVa9zeBxstBu1PzDd
tm4jicmdhca/+EqMPwQiPz8W23I8pl2+T2/jH3fmaaScYZQpa4nZ0olD6M/S4EU/ir2WizMkga40
Zgs8PR9jlPL//Bv5X+7FfFy5kCPEYvjAVEMx/X/xT3gJORB/iGHZtf7e5mJWa9a/MAOoecNfhgI/
X6AL2+iarhpt+H9IEJahXvrJjrSVMzvbvLWPo45te+SZ+s+/FNP6Y/yg/iT+CFs38RDw7fT+0BSR
GsWym6bhKmYvyA1heTacp2qZ3wA07mWu7Uta5uyB97Rrqke6CTWDgQkSjRaSrPEBL3I+DwhzVyIu
ym3nRmJFP9uziMNLvjRbfoM4zrbxF8Hxc61I66py7mKzp9RrvBecfuOFU38TFjD78crqCDcOxAjz
7mHQnVM8iKNLdJIBffpQivCOnBSjA5sxgGjFjRy41/BCek1Uh1/SAVFKHh0lq8BgbptbHU4l1pwd
rXzwr9yu1iHl39oFJycYhkCnkn4KPX02yvu6ry4EsSTDTlTvWlRh7x+LB3Y2XB7Kg6U3l2XMvqMo
/oYVv7Xz8EDs6TUD1st+T954/zOosRz53HMw4oURXl0L1elo5RzqlqeM+3QyvMZDucJ1Tj8NgJLH
S6KJ0zt7aC5RyLUg0/bM9beFlVYkqKNvkTuoGFga9FXM1ZfFzNAUG31qiFurULZ3Cyt/0CZxrOkR
ozCqunQDl0p1SXFy8kpZnGHaFzCY2K97Q6Kzj6MjqNzFpwE0iL2WwJdHXm7o99m8b/qcwBZhB3L4
k2UXcIXeNSs4A/PCiBlbtA/d/Er8P1zp1spzn6c0u6rfgV7wrhdiOSZedvcT3qKa2lzR3HoJR+6Y
8e+0Kdm98QMKC2DfiQ4B0v0OaYCNVtnnxc43ThF9h1WxiYeG8GvYvFKAd0/xOoFy6oH6aHmCTgv+
k70zW45bubbtr9wfgAMJJBLAa/XFKrYiKZIvCFKU0DeJHvj6O0D7npCofaRz3m84Qva2vXdVocnM
tdacY3qiu7RkcupTRP5SHSEKPlZz/B4ZdLmJi8pi70ra4RtE7dt+ie5s2RdI7OzXdvmDQv4VSIwM
vuYdD5q2u8sA+Qk2KQO2TQPuvrhJY0qAJDmHDtVIOvvmGpoxWgm6EET93Kd9+QRG89buk7eC3Hn2
JI4G0VJQxSUm0khf2Jode/GNZ0byI20ga3vqQNAC8u6QDcTZWybT0Fq594ngb8OdCWl3gTiYDhUk
pWveY5L2QzomtY7fiV0KveKlM9uXOK8fyQrFQ4UN2tHlMe2pXkrtXk1h8maNw94bBfVPmb7XtNLR
oV+R4PyQMXzXVjX//87493r6P9+L/0FnnF30p7V289q+/ufvu3rNYfTdvBav+a+gveVv+E873HX/
JVy6154HDI0tWXGw+H+gPftfprO0XoX4r075f0B7/r/UsvUg6bXoyrKJs5j/px3OPw+xMtuhtBWu
Y3q2/5t2uPwNS8OBCfgOfyjfomXPN/95iyvolTf0bjgGK0RxWFRJwqVBvrIkBALfZUoVqh/SaMw9
ggJIZM4UbTRIntBuyIvqvGsfv/xaDep739nJqV7wOgnEWd9HVA1J4sJwqmdlgz8Qbp9tUyOwdrjI
wPGDYVtNQZ+uVFh+1XN72UUV6pGuIauBaOytQbMNNslRvnmLPCaGmLEqcpQNHGANPKNIpJeHPeqH
aF1KRNZBFFlQodBvCilpTE70PEo0Aj/d3H86w5qfTgXQ/gToQ1filGBmwUX79ZLhZnf4db5NBxI2
ae5XdyRe4BNqnWekXYiknJ1vt1ckgm6haEA0mPhqZLmHzI/3DYg4lDHDfBitYVkQWIKx7JoI+o9J
0QqwOSADxYzPVAdwK8gu6ESOg6xqWMK9G40os6Q1FpoCkU8+HiZbPIrS+k79sOGZ2qfqpjT68tTl
5ibxKqKvoNLkOdZZwxsqtHu48QIWvb1W7TeNuk4kDv6IeTdlO4JJM+aN3Yt0Fpgg+pQdBeIGUu9T
o8erOY+KfQLVOskpuipUoZusVt99Mb81sZHsY8+HInFuUv1iVb0BKKs7UQeAc48Rp06J9TVIx2QT
h7SFbT/52vpBuiUiOADNaLpUKWhPL2LjzXks1p2J4tttm2pV+/IybbxdZxr3JnTiIjTotff6zuzz
+IBw2UEAfI/uvN01o4fnYGq/K/OGBvNV6R7DJttG7P8bKuDXVFBNOeLLn5+IZVD28xmOB8KyhQny
UDJYsiggfn0gnBpRC7FbPBBlDGkhVkA6wujWi6jpq0LLxd72VUUzSK/q5Pu3YzF464lGHR4AmvDV
ALC8VsmaKLRqMy6VfOnB1B3B5sOONjaaaGliVdttn9zIVHRnBAX/Xt//28rsAz/10zmU36BYnxRO
V5hroGw+HXXRI+WLQVlApsEkMTUJukQlD7WnX/3SvkMCeIgXwVWbzdMmGcLbaph2Y6Z/xKMMN+N0
61QoEInFwh6rIto8JLqgtNyWxfdg6L8ORG38+aqLZWX69RuzcDHmX2aCviVsFtafV64yqtq0Hz36
ihMSC2W+GMn8o3HRYzsxr6VZvClj7FYFrGjbxPNS0l3wIw5Bf/4ev99816MuYUTJqNOEDfHr1yCD
NuhaTRQEXnW1pq37hCzijriVv33Q5+KZW8QnKc7uwLhBWXmfaqGi6sPCmVUL4pC+nFF44RpWOkyJ
+gWx2eWAQZ2M08XUZekrCOl8G0LtmZhEx8keWDZIoUi9pAKOAC0QIrb6W7X2+8pIYcGOYdkOlwMJ
0a/XIuABCquqazka8Sg0z1Fpj+u80tU2JSOB6aC59pDSbTMT+l09/4ja4g4JyGNhT9+N+PTnG/O5
dvy4Xsslo4Djuv12ZxoDPFfQ1+1WTQg9CKMyg/J11OppbnO2OhUc2JBaz19XScn+/l+z8X/YJH7f
VVkJTCbcyqbqcj6/TbExDGbRxdAh7JlipS3LNY/wDDTUmlcMKMARwsTOlf0XBKpYirhfXwo0rRwM
qPodX7Cf/3oHulE2TcHEE5s35L9B7/tOP4ZFee2KahdE5XXE8G+4IN7m2lbN/Z9/tVgWut8+XUnO
LUr6Hmvir5/uQsxOIZXXW5GU193Q3VeDd9Z4RSbfu/GkfI/i+S7wi0dhWJcDCk4V3MBqewQsB0mk
3s3l3zpO1vLIffpKFpxsx+NAheTA+bSuNRKlEI8r8GBh3hHYh6ra3tpMsc2xfsH9/mKH3SFq4S/E
47UyuktjSi47cEGE3yxP8YAZHkpA31f3dnxZTtbRzwg8abu3qUGiJLPrzBjhNta7liteEOvQevov
S93vS4z3y2/49FoxEYn6IOQ3uET1WYV/48v2jTt9+Mvt+9Qh4IXhc1zTMqGlodJQn86CysgBf1sz
9NGwfvTK6c7L5gtr3cr2MIji0dH+BaeNdwkHBgnkxsQQAbUPJ9m6FP1bNkNcDc2/PdH/+KXYjzhz
KUnn4lPbAj9Em5TdSMvap5Icu/1sgJMjgibl9Wqt8Y5m3IHhydOUujeyV+sm6u6hUm1bRMka4+tY
3Bh99fTna/UPTzowR87MC4MZPcvyv//UGTLLJMuxSSwxC+ZdO5dPnS0uG/wb9dhs//xR//ROc8hc
EM+s/o77eaODXuKb2unA7qQMRkTdILEqmB5mFLIzmSOM7dxDpvtxFSBYXkm1TIc8Tp1/+R6fenEf
jwcjblY1x1ZSmJ8eD78WQo0JEy7bD24E5LXoEI73vro0vOlORfVbK92LPrLf//y51j9/rnKF6/Ch
0v20qmiDGPlgqmvmBM67W9GpBxOFice8zDv9ZJT59TRW10OgN8mG0cTiA39hVRarzGL0pjRyWTPC
MDKOyQ9Unrig60drdP7WQv6NnL+8PrZHjWdLT9JH/vSadsRTmrrV9TYI/Rsh+7dQVE8EEBFtHKzA
m+LaNq33Tqib0CSwDG/vQ21iJwaQsGWW/A0F9aawQYf77o1Iu7e4r42/3cPlHn1eDuXHdmiyLZr+
p0MTipxSW/DWtuhsH8Cu2bZ5NwnrchLtfSWqR8Cl6BOM8qXOp00Qu5slsunP99P+p+VMIgCjLFam
x9vz67vD6pF3pJ7wRpvlt3rAAUNOBl5NzBioGG6HXjBpsTU2qaI5MerfBXN+HeIkJpkjZkTY3xKH
4tDS7knbScROE0pG7nhGl1aAOYDU2ye3HITUeqL8xooQIKKu0ayke2Zue2YyLhoSE0XMpg7ddY0Z
fbTmcouvzd78+bf+vnjRxjdtpvkOv1PYn14Z0yvcCMyEACgnH5RwxmMZ4iLzPRwMEyr53hj+dgZb
7uCvd5idVy01vSt5Z+Snq0tfVHXwRwVKUpVh1EC478yvoT3tjIKRHdEDwBbm4Ta3nHFDK8rfeVZ0
nittLGlY+z//fuf3e826xRcyoQ1YDtrgX+817WaRjqjkt1nUn13IMkEaX6UNBR/j+Cm8moqGSg2x
aT8wuoR8U4zjVXqVS7TEVsPRyYyfptAH4u1dO/33iCS7FVNK5mWZA+uH0zyO7HNKIguasX3b1G+Z
dhwMAvaaLoOFAgBmUfSNLtvRi1tasuNN73twtrCGuDiBxx7fF2sDograzL7/EIXXVcMlwsxPX5lm
71rp9DEayDeq2mlj4Kefw5S+NQTQtEa2ljzCar3582X7mDb9fBNdvCQ0ZXhsPurKz5venKCSLCMQ
b1EG7SNDoSBQqYWdAtwsw11uICjTladXKg3f8XY4B0yUt1XHAArY4v92A/r3t0GuyZyU1tNHQ+Sn
zS7K2wRyXj0vVC28Cx7BdBWTgLhsO0z7ycUgWprx1WJftp1yMw+Ae3qv/f7ni7Kc1D5fEwnawDMR
iS5l0K+PEkl0As1FjhMzmDG/V9GbK3O4kHpP4PRjKddOree/vL+/pSzw020aPYoRjWlTGC8v+E8/
fawIeXIEyiVmHw9u3S+ziHaJyTmT7/wYYKpTIj5MkKWNfCIJmcZ5/U20yG9GH8hX5jCaquCThPZt
KhBJ/PmSWJ9f9uXrUWrZS50hffadX7+eQwR10nqEB+Y5ssQ02MZ+eJeNX9w62FcpLYUBhDGthjpZ
16W9SUEYk9q7Cwy5r00a+11/nUwMfzP9pub8FaTN17ZMeviRVsLopSE+yz7++Tt/PpDzlalgWfZd
adK0R8376xWlj9EUYY21OjVAS6bZJhhDeSTx9kn43lcvvk6bcVNMkf+XU/Rv5wg+2XOQHvNW+ULa
7qfFOJ2Mrs3ILt62DkmXgAmxUFv5U/WOAfx2ylmPkbzDaJjFa+vrvQd3BZ/HGzajJ0mCJDq3YtU4
KCJoeVBfe1d41WmHTX/ZH3+r8z++p0V4Bhs15/DPU8dOywjZYkowEYJPv+kZi5u7ZIhvw44CurRP
WC5wPqPB0sDqZjIQSfO8bKqOCBB1pO4HerxQbQr22b+cHyzJ3fn1JRRLE5t/sbEtle2vd4+OdF1C
h4aX0aQ/xskUV51C79JK83GcMnkxdAkCuyDdkf7xyn44oL2q433Z5Eg8tJMcmI2vQUiVp9re903I
i5VXYm2gJruVdD8TkYQnR1XXQcXgpoqyv13cJb3mt19gCY8Jv2OyMX1+CrpMY5LpjH7bbNF5CsIB
F70scpqddKt4D7roRxbxbmRBnexJzzY38VxfCjSwhEgFux4XP7Zum/0lroCdEU/BOXw4lVG3kVYy
bSCBDwfHj3C/pRB6qnnd1zkSP3ENw8w+9nb1Tsyzf2T+9lWlk7uf8xwxx5IaHIUDBwUdbeNR7EeZ
jdiyYdePaWWs6zo+muXobuKcvrmpJ5tNjsuYZKW3MbV5Q4K5vyr9AfUyUOq1G/rmPsbZv0poBcAh
LxE2R123IjTmrAsr2YA0btdeGG+Bixxorl4QI44Uo3buTGdGWDzhcapk+my2AoIo+m/kXI5RPs5M
xPGiFu+Oc4ORnThAK0fpibBabBPovLtKzkg0SvQa/VMOg8BOSBNuhbDXcwJdKOjIPoEM0Ng8E23s
3yzDWl4s5ApMUkCUiQHcGjYXaBHE/1aIYAIE0uTLzhunLzZ0/fwt6CGCsuAnGkiqL3zUtJxozTfb
HO9GSSznmLElOXI8db5lYKCKLnIUqxUkg40C97qygrK+dhAyVxwkVlZIlzUwyQKTRsTXS1W/LWWr
UUdGx1CH+dqBIoD6wcl3ND/KdadA5Ahreu1mLn8wyfL08fS0HWnrmHZ8/MN1seuiBi++gOTWOEgI
w6J7+vNi+lttCHSIzidOhqUHiUZhedp/2p+MSU+JQ8jiNizseyeUD2PtvgENf1nYZqOS7zCi7tzE
3FBKhJPx7S8f/7mc4OPVolsg24Bl1f8sz5h14sk0q/utkXVADkebA9zk4NIPN7l7kycm4d4wNk9Z
zzh6aiuxqwRBpBSs13/+Jh99nF8XJr6JZ5KgLczFdvJpcc/jGTCgyvqt46Mmy6ftkpYY9L2FnpKV
HWSoB8K1ZlxUJLcqg0MybQvbs48EScRgpnmsjKMT1Okd/IdVtjxe3VA312Ub73TVlFdxjShO++A3
9RhbCIZRu1e+AZrDAUsb26kDlMf43qhlFPTxD/bAoVndcyRHa//xrg55y9JsRxDmIYQsSS8EyXWI
9BCm1TM22iG6wUXXXaluT7iVBjDe7+PBBNFKzjlDgUxtDdUd59G0b31s+GLwTrrUJAVAaNuHLu+v
bLr4L4f4f9iQJAu7JQnyoaup1KdFn0PM5NfD0G8DoYOtJFWvcJ2rUpU8/g6oKcv74SdRerBJ1EwG
6we+G3crOwVGaF5MD1hCPInfAWz+qhi64S+NXtyOvx8qOP14nMT4lr7NIfXX1yASkFaCgIaQNrS9
D5oBYk6QWcsprCCtbljXhrqtsiG6suuD74YWAAA17PtpGghWSndx25nXVmCP1y6HKVmP2eU42/jV
0V9bHYKjcQkahQizooDmiMAZUIzavx/I3V77dt3sAYnUq5GeE3kr7U75XbUzOU2sgA3ahylPX+OF
OUHzEeZHVzrr5d9FPh3RX9eA+mBctX2yrVqB4izCTRH4oOuoad6m+YIqZ/Kj7qpZpAskXRMvujAV
QTwc8q5gVrZswShV0YsnZCAnk4egl1RoPItEDe8rpItYSznWweabdjSPgl2Qzjw0i7HArIYrBQUp
iuzohlwKxGxGBe7dkwh34mLYZcs9FGjITKt0t5Czk01Ucj4a/GzvgBy60qk8hK6914HvnS0bQNgE
bSXj5+Q12IIyGfVlCfZ/XY0nqzVRW5M4te4q73HhPEF0LgHtNrm1rqq+PTmx9T43G1Nl4lzk3juw
PXvXz6QR6ILfayU0Tb7p2s/vHSsrvsAtZoP0N2pKxFXjO5djFctrp6vibZiXD+R82Mec+tOtYcJ1
0aLhY4s7Ng72V1jPeGEsPJ5NkcH1lWF+nEgc2KUDuL3l45KaerPwzffIqUkrbSExTWH8PEfPbepM
t4blfAMJPwFHx/jdtVg3S24z0u/Yw3tkNgeGY9Tc6Gu3cimSSp3MV6FMvpLQ8EajrnjIeoTXWXMD
Z6R9Sav0pidLkaUoh2/Kk2ASNgYJYQ3rJYMG72K0mKdzNL1XE4zEIcTGSuaVF/JSebP1ze0TWGJR
eJo9Odzk1ojpwxiuLTVT6y5hb3jjy2Msw+K2pRpBdrdG15c9ipNj55gdbFVvUJxiOIrn12k5bjaD
7bxmlouE1E0AqqcVdKA5ss5CAy5O2uDUNCG5tWTYxCq5mGEmhcxIkWhzLymaeAKj6DQ7/uPAUHZ2
pHEkhAAZmaHddRQH/mO+aqZBAXFXdwmA030alNvEX5D7Me4Pzbhim7ftuM/djbBlt3JSJ77PB687
1YV5l2j3tnSm9rkgGI2ssStPxXwO/Is7mtmcLxAGd8q+B+Yvb9Myu4xCIlFNOw/OhlXYmGTJQQ40
EaE1WsxWp+MGgLm6JChuPNXL2uqFDpyoWoFBzrNhU3j4XRkm5KdU4yhR+3RKjefZC24AlXOjVANx
C0c6h5zpWWD9WtWdgSEZtQfkAeNCdrO6MLFCcSyKzpoI8MGP5TPvuDX4NLNwNRwjmyx5yrfoCL7n
OTeq6eBYRQGsrtkTsoOpXJG7rOddXvQ7P0ydWz2NhBTzinOXolvDg2HuRsaVMzDnN1JSRFEDQHKG
Hl/OTwzurbtFFJVIea/Hsl9osdc9huitMVgwIFniKGfPUZYMh8gUZwlybtXwMzbk5vlL/VQfHYgU
H38lmvxrk0A/tRs6LyVYhQCnduHSXvEH5n9twP7IC7JOEVbfDGKR0xrqDknA0VuEZsIbTpDNyHxi
TH80LVaovDtGESAUt2JRjZcTbtWAJCujEX6Ki15Vl3sFc+qAUmuloJpeZZNa6zZs0BuUh4+j2ETh
OyQcBYma8bZEPaA5kL04WMV+khbVSBTVh9COXmoD/mDWXrhjEFyGDXS3NACd0M5AdiId6WvXzh9k
0R5wahhbc86Ip47gpsUmAuCue/Vhvpxbc+rYinG1U5OdneUPGQdnJFvFIdLCOdnA+SFrjHDTvPwg
CrT0FKDq0kos5/Kdg4YDqvYydNvxKlD8ETISwBRlXjYt+bphIcRRs2AsGTj2ecrnxzogOl36CCgA
Et2FlQd3Nxu63cdfIiAjMw/GzA52PU6MNKye63JcwzIGCuR3V5wn87UCy72T7G+7UHjuusF9OVy2
IQe0hGPlfq44YiBOxb7kj2wrKUJYg3/IECAX6ipNH7EznE0SEELH3bEzmqtpMd7k8zysStx0NNSq
W+2GBAKFMeLWRB5xz8AEA6W/4uSD1t1LYMfNaEdAfDab3qpJP6uMV/ax/UiFOavS2Q5eu0ZfEVyO
yclV1EIeJg1Af325oy5/DjwoDzLpztqirVGNKQ77JISb6exNCyKjATL/VOSIWRki0eJ8dtqKoHdd
XJTiIZ+g8yBaytbxcsyfHP8LOxQEJAaViZ2MW3r3xFDbBbkUMfTjsNPvnhLHjwLF6nsM/EtJU/v9
dQ60qCTHcSlPskQ/dFMhsJPQ2yAZGONZv2/BP6KFiQRGInWbaZASNqe1uGnkaqxCymADacsUNZzV
hd0DmtT1gcgS/DVpeUZdSLyAAayTnuq+mTnQdM2Zhlt69vv4bPn6Djmq2A1OoAEvvBNbdxILfpRA
9IPyJvElBhuBNbRr99lg2VRUIyOjBBASWxRWizu/Tw9Tz9evq0AuK/TaCVyx9+OOQGgHBybDnW7r
pWDpo+GH1RBVEZKjJbVzqgLloNQHc5kw8Lat5tiW8wEm0ntlt2zMhI6sLL82doMGAm/GVG5zM5Nt
6E7p2m1XAQiJyyovHtF+vpI1NiNQBhcjXdggaeESTFf5qxEm6T7BRo4ahm5HFfQCICBBDI0AEjeK
+YyAejMYuc9rasbnsdcbs47lqu9Nfa5l/TWD6kZe5pae8C3ROQYp6/RzFmE0LQDQckZDCFZJPZB5
xa4qrZ1fVxFhoWKf1pyJajLDE/nV8fLm+qOW9HaEU3AoQgC7Y9Q87zz53uXYn0zlHwNXf7dmbGiN
yvsd5w8GWN1r1IfRyXI5SpqjYNEkT7JxmunkOsGxiVq5pR1N7lqebrICtRNCs26fxkAwuslOjkky
n/vMXTu+m9xFnvUViSju0x7YoNald8iN1F8NZvgUNsQfVA7BDCJQ47YWI64+kIq4ot2rIXguU43L
nap8D6OU4PLi9AUnL8igFI9dB3itxQHAkzsDH4Iy5OdYqKT11shllQkPHD/YvhsodERgkZDAmHaX
ZOZl5+KImzxxHxlEE5Sp5Pek+XQoJ/m9seL8SD4V8T3wJNfO0BFg3QMv+6i2XD+mf6ysxYmE0FVg
CMKpyE6U6yU1bpQkNxCMKYtb0EkgbB4Hh+SFSYG0rzgOrsoqMPY+zDIG0oeUdIHzx5toTQ7hhYSP
NuUJeNM+GpZOsZ2g+x6ShB+4SEMiosTkV/hJAFfLCHI+vQi35f9T5kMLKba7G8P5SxkR2FmI7FoH
ccHKb+0sS2ApqogDCfWIuLo2jmOkppNXK17eNABhn+3bfqrotDKUrbyUxMzWfyIoKKcP0iTnzsB/
a2WkJZm1is6M35hwdsP1WFbUSyjZSztSN0TZsXMTDLEahmna0/vzL3sV+2ddV9eOF9sn4Rrfq5oc
L/B4pHfF6AQqiWNwIuXF86PmgCUUVXkaHzAAdEF6HZqBfWD/9WArTfWhcJ4rN2OonpLcO0SEDMWD
/2wMKeGfNRYRT71oCcCrNOFaz35IBHp3srSfrNQYTSx65eNoyvA8GxM42XBGh+h1JhhxGIa8kNto
IQhzJqQVoI3ggEj7+UNRzdtG1VERoWFJeV3CzYKfuRjQ1Bl9qHdJkO7ziG6epHOk7Ynr3EVMuEhP
YNJBKck2YNAormmSr1gRp908x8BuwVeu27S7+3gCwFgdgql9VEb7JsL+pYhJa7WXXl8m1Rc7vut6
loiyTUH+u7BwyGebcB871tlWN9R+ZF1J6Kg+gdN2qJCvE1SEkW8rqmBGoZo+4qEvT3l1iHzT/xLJ
xFqVQ3et0Gzs5sY6ijF40ACQNwSqQ/Rctge/IjKKQew7mnO6BbHQR9exD49V3DiXkd0G63iiazK0
vBxGUoXILNk7vSITR3vOg02ncXsZ4XFShV4Pug5PMWgno7RnzLm0M8wi/xrCblmpPkjWUL/DnRtB
hs4SUo0wM+0rLKoNxzl0Gw4SoeSLIbiWUWjDqzOLCxdP08kgmuJA8mlk1xdVl3ckvtGOM2W/Y9zB
OmlE1nYkiiOYhuoJltAU1OeBCc0GFlpJtoGAqOGeosTzb6chP+okIj0SyAj5YxHMwcElRpnEhKIu
LmeDsmHQmpW6iTmmK8u+bQpkHtlUbAY7oOwuowNvlXkbmqFz4RnB01Ql6QZ21CNiVk6Rc1IfdUnr
u99hg3EujCr8BqubM0qNhQ91asjoddzq3tcnNFuvAVi9fesMr9LUHgaSJt25nsuvd2hIGom3p/Nr
bzznqnfa5NwAoU+VKO4Naz7dg5mrd5UPa3Iuenx94aVE60ROICkNRfXS17UJ7W8JXYI/uVF+/IXG
z1vStxFpI0A3Gwtv3bUpSxiCOdmweQcBvRvSbwp18MVY8egV8fiQlVO7UuHg3jZQv3gGxx34KJqg
4+jejQ90VcnIiDivuorEq0L9YJbYXjCqbHY9sTzbNBwJm43XriXnS9cB82207a6zX5uEu5QAuO47
IOhBbF4FfntXzzUnzgS8pkegIEO/tQyfulQkRz9u7rwanHenQnens/ZmVtUe7xr86XLGZU6nA3d2
/RSCB4HlY/vbtHkkxYXYtoAZoSQbTYYXbA04pkMC5hKzjLYJOW5JBIx7nL/Y0IGJ/0ShOZXAyfSE
KdoUhI20qJ483Ux7m1RXESBlbhn+r8fIOrpEM206WBtV3r7KaIr2FmOTtRDtFyrXZmWDPoIEGLLZ
mi8e1moaL86V7/Um0QM+qtq+f8kEpyilxIUwU4TW0EiJYDEOXgdlw3fURexzEOqq8mo0x+EYjm95
0nzBnUUWwnM8lfi0/YEzv3JJcchaTCjsMmJqgXFosXcT48BNesMxxVXJ80NC/4CDMwjLCHLW6GLs
92ELUzDBLtGL8ylOcDlPN7RdB5KQaERCfoPJ1PqkfCyJPcAC1rV2QFWDp1rV+K+ZmeHDrYzu6JFY
XFrhuNJuhl0q656KCexc2dvlJjGzB8sDjNEio+nUc9tBjQWUcZPs7IogLD/sur3b1a+NFtM2paDG
Et/5eE7Ch5wwporEQZhRMVSNUVzMuFgJrYwIGrPLLVPzhuBq9yWk4bkqLU2fxakF4VX1sxsYiB5b
c0FLptkprsniTprntqTACZv4YFeAoIYacF0/Wu7KomkHMLDeWj0wGpComF+8amsQbg+y61yXIRkA
kvN4bat1OWyTmAZOLw/sucWupiG5UwC72RDv7F6QzhHSxkoc9yKIpvts/o5WPL5tLfIKEbXzfpY7
xKisRQEbtYcwCM0tnGNO6WQsNmCmA6dDX27QrEj8TdG2l2lsV/uAJE8gcdPd3NX7OJJ3lMMvhZrP
DuVf3UZXejQP5qIVUNQtZgkDLL12au+SOv86s7wzGO4Hqw9HzoU02ACCTVjhdqD48I1j0B90PzwW
MrkLLca2SGh5i3RLwzkObxicPhv4VEnirl5UZlsHAS26xBDtplm4AYeR2ES/mbJ9h/cPxIyVUHMm
XFHnPNYp54SEoFYLMQYNyIH2Lf2NYCJduo71zRC1/rYcEBs05C8yqVLfAzlVp/pEznxzW+byKUt5
lppgvAi82b0JOJgrH8yOD0tyW44q2I2txgnWclBlYoaRyyRfBHfVmnHIuYxsLK+tQoIBpbUgcNNG
dfK1HRXeweGejDJxqDWnBkMH7TZmiz/mI1qgUk7jTcpoh61rPhumH21z2uwHLawrg4jSbTX7a2vC
9dbAi900KoTAPF64IjiZuUuwIsNmsW+Ujo7gEYN1mdU0UOcLJyjNNdxya9/78WZwzQ78r7GRPfjY
WhjvZB9+l6IAEzMDnsGo/F4VxFImboo9cNqM4YPphU9ZRqWWNUwFRV3+kJF4aYKbkbi/Xvvn0E1B
to74IpNSvdCagcbYpQ/w8Q/Sb+kV53o7NtrmP0zZxrPLaW9NKcBhdoWo7fN7K7S/uY1/Ek5j3baK
GiRfDrIqNd+Oych/XxIOp+nIRk1yUEyT8VAM+3ngdOOm1WNms4byOy+7TlDNpWgVSkGQrJ0mO6xI
RMKWw+McED3DxPsrPS7/Oqqy76PqMKW1bEatkCwhgVdv2Rk98mo6IkxJflyHZp5eyzHfUSZWhJf6
0UOfTsO21sN3hzPOyXXNaRdJON+zon8cMwRhRPM1AS28kRUMVN+IfxAjsu+q6ZJQK5uQm/KH0SOj
mPdZT6UFCqpZGZmVbeh+DhDOnRPNuugqIbNVumH1lTL1NvPwQhTGxDilmPelVv2Vgx+niPdiMt86
G/ZxE3GCcrNSnvrhnc58eQpLkpw9DkbswL0F9LRv4e/6nXGIOyDKmunfAtwLWhiARD54W0aUsDVL
A3Nl1V7AlXz+mGiT383viGZYOyC2P07kFV33PX0r7EhpcOVTqF4AFwa+qIYX0tBmLAhfA4vufZRP
8RrzO6xIXsBVVDtkrc2kgRjbGuLmiqyufDPm3d7J+rfRgLZYsPL1uqHwpRGBBZd0PsS6K9tjBhHd
+e5OMYyuSjJpZDXkmzg1SdpxoHSTqzijg2aaS3z8AgIa6ERtEcFxa1+8Kqw3c2xdYGuEw5hXJVqt
8EHUXFZJlVpObFM1DwxdoHQ9Z+Ou7r4kdWtskPQDS4tJ2Svle0jP2kLObTuRzTlaotBy164NnQlS
LjzWVFdrD6wRd/EVj0JOYT48W/6Bd7DGWDwhRoGxyskZ+DWpw6R6bLIImbZhynrVtiDOI1U9SEb9
F7aJdjPv0nt2i5s6MWPGaQSGT7axZcUetyjxqCRbwpyDUe372jxDczm1GcT5sP1RNIQnVsAYVmFc
AobvEc8MjHrQKu66FDOsoN/HgF0BDKPgETmBIp6ELWPJAIeORoEFOpZsqaWxSysZ8j8VVfsCEQuy
qelwQ8AIsHG5b8IGaxiGJM8U+c7x+wFajXOSZaN3mcOBx+wwqtg1sSpZRV8lbs/K3OttnS+k+TJt
dkXj4GjLskMz48uLOnC8mbWMcXLEinwBK5Qcp3sIpoByF7wciOTsLndhtIO5XCC36IWRsx0bN3pQ
iOf2Bq7uU1feN7UuMX3jsHqdHMs4l3F6kkPfX1jyBiNyn5Cw3DYP9ciRoYujCx04myHw69u+LtBh
9hQamceUG/jMivq2+r/Mndlu5EiWbX8lUe9MGAfjAHQ3UO50+qxZIUW8EBo5zzP/qL+jf+wuKjPv
jVDmzehCvzRQBVRUKOTudNLs2Dl7r72f9ZpnrKX7l1Os2qxrxIp7y3zY7XX1OKbKNzUScofU8yme
g4xJAaN1Pby1oljsddmtWz2Y9nVXi81Q8K+JiWlL/WRHSG+CwX7NhmjiZOmHZBYV8gnKBODtOQhB
hz9WyWCwxdHYUSKgcE7ha8xG1VWlNj1Cn+CLn5WXSe6b3kjBqwblUSiDjfAhrplKO/renK8UC21b
AFRuwdOBAA3n+1FnsoEyX113fbuPBkBnQeHEboKdzmUHf03hmW91lriBkym9c7KV8/YiLLJiszQN
JlW3T7P62NFQ98hEYglRO+ukwQ1riCg89u9iYNtAA3mbFTxLTkloeKLp2lk2yGgqI3g1eN9xXRxN
oew0drBt0lfkFEQZrI+Q32MUxCuohX4HiIHRyYAGWucSVZ0RerXlp17UfEuc5BhIKKEROUUj9soO
MpjaDtW6GUd1bVndXueusNFk1BOqNaWlm1Wa8b1GZjt56xcApKHgZa9dNNoUo+iiToFwyt3cFhdp
WO0mxXo1suJ9FFjAWk68WTm7HVm1a4LgOZ6Qw8M67E7VkHt6WNwUacxJPVi65/5zW/M49Yk/uEEz
0ZNmgrR3rrN4mdJERX/WtEijhhCMoohE3YicQ4KS5rSFAXxvk5HSmw5EQw2cI0Zi3kfnMAJjE3X5
fjQ5B+ARYKNV+WJzrHVuWSxxVFj61iUJ1HvAVPg/ygGQlfNkzIN/HWqJ15WEy7WKRbkahpeFgHSh
Ra1OL5nWlGMXRHVk+YK0Vo1Dq6gQnArS25ziQlUENVkAlgI5SQfYTguuluBQq9Hto6n4m7KPlIUY
fZa+uumV6SGteAP1iK1Wxni78tqqCPtEzVx1SrQlUg0+T7fO/WK8GtE5lk6oHEbUAfjQ/W6TxQki
aMXciVkTQJb6L5zwm6CT1x13u5+p3IAF7Xi/GpKNE04EmxN/tnNa4sNERva4JvTaiyUlIuuXuuZX
wakzNAecK7CpNoQbTH567PoBgV8A+4xNXCJlwZNxhG9EQOsYXhCLlq6Ah3iF2hX300Azrm7yNZ5X
1poovWUeH5/sCYwE9sjQEOFtJYOvH6tFqpmcn3wbum0X7YSF3zXIvjaNVd8GmTwpqrNP63K8ikJ0
cCMkHhSvYbXup5qkOF16gxVqzC4DhuOMgmhlRRsC3rdBYxWeULOnyCDutVTwKvKRn5zSTg9R0+1k
PBiXXR1ulLzAWOtg19zOJnfkh04jhfG9nrl1ckjh6JRI/RFTfN2Lpx7O/yR1uogBA1dr3Gkyd7Zh
EcL6n7+ETlHsKd2eDHUIKfnVfTmBH6ThzOMjojOB7uHeqmMyANW6XXqPXqpG1tU0Zfd8o2T7yY4T
N5FDYOK+ljEBtLlPTmShqUDl8VBvzHnhpE+KWOfE0BwhQcU0iOZskxPfe4kgrWXHb+WKjSndK+a3
ki3wErQUh2xZyQsliPJFv7vijDO9plP2ngCng/MjLtuxtM9yQaFTyjLYcXz34zwQ1gPslTY8itx4
shc4b9w1azWn8GkadApDQO5b3lgM06mjTFr868tEG6qdYc6Pzcieb2nk+TbqBe4wiMGtdd1O3ByE
viuE0k1bf+LDkRUGTas2TklZsH7HNph8mrV1R9nlN7T/dF8vKXeoZDqztViihiWNmjJ0BFSoxhPJ
6eDMIp108moSdLDZlgIgkO1WmHnrqbW9ZTpBBmkZc/fm5UXn9z4Hb9PVleQtr9Bp2UP0QEbWjRX2
t1MryB5Vhq9pE10leb/MBAGZpTXNY7+LH6oyeWgNeYRSprmjRhRFP2LhNqEnEVbvhUGlbsyI+Swh
Y3MEN6PHO4/z9n0sTWU1dPlBr+P7wKi+VbKhqIoeBF1ANlB861nAwNXk4zZw59UCbNYULN6WwHjq
S+PRqKzzWOnPbZoe5xJ9etwR7Bk3jDtilbNdGe7FaErwWYR/5ql+W1qz9MKseWGfRhYCgAINpNjm
smZ2SsQnR/ej71g3WSbfSZ8noF6S4ivDE+Lni65nMJsiFoHPp26Usr4sLCpDetkqaQDsu45LUPc+
yTtjrdMxWynafsjUmzJIbvOBHVXk1mvL2DvvkVlqFry6NEFG0CKymH3A0YBi1yXicpB8DCoNLdxV
dbfRrargkud3gWoABrXeKzN8EDU/2+tjyI/BDk9JJSHCbLwUfFeD2Wx1PxhJcMguCT0nOk6mz3bZ
nBwNs0HYHIXWdodmYFOiAcXUKz3jCruJOpVHHZgA9JpHvUvNc5tzCm1D1R0ThNEmNExPlI5wkUVt
R0obnVncCl1wtcEWP0Cd7C8VJDmEr9SA1yIonSm5nmTw6CWgrrCNLxvNuQkjAm0Qpa5I9KrcLAYN
MykkPhPqqUdt5aoGypSyjC8N/E/uh3teKHNJW0hvXQYdzCwY99P6uhzlfdjKGcYBigSpi2NEKJyb
YsSrgL3nkvqGINNonkgWyaeTqrp2Fe+7NEcFoo5sVJk7xFh/9Ro1TwiMQO2rQ9lj9VcKGlcBLW6V
cT5McYoRMWSja5Gxir14oRBkQ7wyalZxvWH+U9KSSgOgjjwOFTDN9KGrqVMdjR4Tr8cB2HX8zt9A
vwrWwkcNFUzN40Dl1ZgwDWWIxQJQfshy4gs3sPmUs216nWDwq/KoU8Wobufzrpk0AJbUcWQQ8qDf
0UuyaGUx/4mNQbAaO6eIA7sSlpyh6e0YIzEiY0AbOpzrlm5oSpepV2jbDARJajmkYQNxFzA7ngBF
uFZEjA6GI+uiH1oopbmKHOWL1FVWugBJg/ke1cpNBQIASedE/7hqvbxO34A9Q6G/GdvcYqSRPiqY
clecL5AaBO0F0DtjHbSB7k2nhGOXp9TFV3Ld16HUbxVznebxNgm6TRPNmiccTLnlUWWqXqbiLdIw
WKDBJk8aEjPxx/1NNJtvFgEDhADsetUCWm03LyZBjkO9LzmJ06ViSR0lK8eMqMhI4eGHZgwNwlwv
cSwcrVG7DPcYs25lWF3kmM9WwRL43U7RuTZNyrApP8x5oW1kUl+R/4WWJxvoEi+dmnm+sjiWr2y6
4qrxbWrjNRLaMm4v6q68iDFguWbGEcnnGAZ8CHdouAuz8pz7HFh6vip7KohxKcKzLeduP9KMjCuV
o7VklGPlLGb2Y9GhzCpksjVSjl0aLY+uRFfEGKO4jEOzgQoZVqz05PFN6TkmXWs1lfpT0vTBvotx
POgI8ksM8iZDMOCkgsVNS9ak4zIMbHZwqXhkcm71NO9fm/LezphvQTKJdlYkDBQDE5EFnSCgeA6n
fQiTmEgA1yFkFuvEfJGoiu9GVHpTz5mZ7QcZfNls4CpcoI9MdgqQDB5iydG4i241qrxNQzbiOq1w
YhlR7iUaRTr+QWhyxbRSQ2rVms9Qx6yeTFABLdXf0qaHl+zwJuwBPFDVP33UDyXjWgKxLiuBattJ
MfkUsGN4eFNrq7emtpMlJ59Etea91jKDi6xpeLXZu6c+uUaPRimhV2/EeeiPVgMlQ7Zhf4e5b3ZT
a5qvSiyBekN5Uo+gSxurwlRVVF/zyioXJXjp1QnZvqG8ktF8zhuOLT4qqTXaFFQLkrJfgz/L9X2x
zfYb6vtnjvX1OpUAoSYCgYeJ07DV8ZAx5Gz9+Dktgtkz4RSAU97A+TJWZYeumrnwjrXkRgzjzjab
uzaJKVZVLmtvuvZMdGTD12sxhR6G8rJNjG95Fe/acT46XbXT7PEQ+JZcKQ7QVqPYlejClxN84zmd
oPosaY1FT5Fmv4Q6G4yDlEo0JMg1VinXSHu3BAy3x6keYBMDgQ/KbJsbFa0VAu9KLsPG7toHDfpN
aamunzSHgCcXMQ6D4vhbnzjXQ5V/qUbwweKRdPG7epn+B0ZzQ9ofKnOLBUxoGbsCenE8/PDWC4Kh
GS2THL9089FtZOY1ea3nugOimgWMkkv/2QiSjWVFbp+xcnYUZOXEKsK+5hpDfR8LzopzJS4ULTF3
IwNQpProcRj9HoguR72jdfeZkV9VyvTY9J1nhl7MdVzZSvlaGIJjnvmk0CwcJseTgMYXPA2D1VI7
+5nfrRhMCXzX1PPluEcWHbb+05i1u6gnkggCfCUQ4bffwka9jwLnSzkp8NGY2k4E8BDdvrOdYJc1
WAM4uHCiby6q1uhOXK11bOsk6qbiVAp1m+sNOsFRe6/Sodnog27PayMjhHYcHFwVdAFbkDa7HvJ0
QvsbiBxJsn/8T0r9/Pc/0/Yj5H6AWapNWeyNKEugjqvQdFTEZ9lhMksKLjW7EwEUCLJc3/QZu0Nt
g43WHe1BC3vdNXKCYkJ9qUyHVyTZ1VcCpJb0GoXDWbhzkG7ccDIGQm1xTlez/jKnIch8TLEPNrMW
GaFdkQjGe7vODkoPUqWnsCcY0syOulO5VgmNcw6AnQVqB01XFM86rA6nZV2DnausG9rdJDRfOz67
b11X1E0GSkWLk4ytyoztrOm3cnEBRSGp2vkgNaZp6XVmBAzgdXQwaohoRDU4Mn38f/xDXZKpAeS9
J5Vrk4O9WuHcmOh+jnxdbdluUfm2MC7zS3K8qhUgYziBgVLwRdE1j6wEAWbL3k8gHcGSSDE1jOCQ
Ly9apZiZ0MtjrCGaUNtsy8i47vSrMXifxoZmZ6upm3xKynO6JdVxNbe9Dx4oebEylKOSDzDb/ckv
mmLd2ISwal34gJ4Z7msYjW4Qc4CRlthwLE5c38xwjyIoXy8HHwGiSs8Lagj0IzCGxrtKHbnpomgL
FGIrCvLth8aZNnqqXunlm4bKFBPJ7JQNZiXzGHVAsFNn8tB/VQfDQzdzF6JtO7UEq6yqsBeehhB6
bh06JfWMFLl+DmtzK0srPOZNsOQYfE1IlaC7SgZyxGS1VDDD5Bh/MMvv9cKg5JG4quG2vukEk13W
BGiD/MOh6yfVHTPr+24olA2aFIx4o39Dw4JjVle8hEn9Ho/Ts9VDvmq7ZCuWGIDMqWeX8KUF2co4
rMFc3rRhe40RkEGeZrz1sUkrVh6TgqfPkKUX5JN9kc+PZuPPG9uJHsME3wAIeDeRzOeiWQK/0yq8
MtE7Z/F+Ybf4GzXRATJnzkEaA8NbzKYDUlhMW+ljFZHQymSu3ym5sM9Fya6GgOEwDNpV1TvOrgmH
ycU2Eq8dZjZuTeCk1xvqK3cgSWsf5gpa51uDyQSdrYM2T0g8nRCho89oCiIjG0oPvMGSyrgWIEVc
mEkr5oTYtbEbIYAIDhPTnm2I06ylTdOPwLUHEpk3c0/cj5aqB6HupT32m5C5xFYXzKmddsy2KHfp
TwRw2U1y/Wp5QTKxRl6Q/TZp+bxiFYrcjAa4wZuPVfWFUmDgwrtwNeWldM4R6PKLvtToUedHLaWc
lmHBnUdpdWx0JhY6OCiqoPSa/gxETbqS2n6KjbuSAV059PltjOHxemz5oYFalarc9OImftfKPNnL
LspWRuhPwCK5ru0XFIGTCyw3W2cyfU/pjspJzJ4AfSVXacGNaxSEsNbTC/D/Z62xzXUOFjDMVRt9
FqrfnNi1ld2gikydjqq4GvkGMBeWvXxqEIxEkZxcNM02uk4MeLOYzmS7k3GGSneV2dGTHuTf0tK/
0VRca44CTjzx6/i2dlgdR1JFVYuCfqoMxHIGkPEYACSabW2TzeG1KoBcdZS9XdPs+tkBuT+1LYN8
BlnEV4Qe4U+exNSDPqU/cf5wLUhK+RjsGH6fK/Js15nK4j0bcM7b6nmSfCwlkZ6KjmyzSO1186Yc
6leiDFPayRSzER23mvHH2B8D6lBiLnD1FwyXB2l/SXrioOuaCMXa7E4d4a6ob2g4thSe0cgOG5cV
IR1tvhXjE6NwutIFheWk0gyKzZeBq6wSYDINUt0yAgFWHGFDT7oOldsMVyYIF/36HcrZZFNYbbd2
lPEmlB5uSE46M7FI9JjiiZwtGKtEJ6dFTOsd28zQmOwzBpTvlhxQlPQ4itDHlgY/OoXhcJhmddqG
PfN/2iE4/ohPcwmipCmFFnZezkOR1GZvrB5QQqDe070GA4WY8wsZlC+WqJBhGMfWHOJNpxKxR9be
OZlJriBLbz2MlsIyN5xTWttuMacYXW0+gRPcM+cjlCkknIEvZAyqfZEvDbPMerMb7rNFa9myodNR
TVpUp9VFX2iQR6uYNnlQP/ldeMBEl26MlNeh+Uu9CaJhIxpnO1I0lcGm9sSsRJu0VS6nDvFAUASb
KksR7cjmis+JY1Ees4QaUECnoxzv6BWNBl0IBqCbZAxeBexg3nDvmiJ6N9VyL7msFqUzxpq5XQ3N
wFDGcJ5a+mv0yDEn0K+qBlwIQcckTpjJW2ebpUs+QL5OhxkJYXU1JZJpdRakCzD+svGnl7KQyr5y
CqK/O4QosRSGV8c93NfQXlmIlyxmpOvAn+4J5azO9lBFHu3e9FgPFntvMBwGOV7FBQYTI6hP3fwa
BuDuBYHV7PkN9Y1MTkMyoSLIZk4cviqw1nMEVPO1sUzg/cACW5AP3Pl0S/dOxro3cSyn1TtvCaLr
vSyMGoqf+l321rEde/WAEnkz1YG4VfQOm0rCDErYPj0eZ7ypzQgUaiac667BqRvMenDIp6LxGpCA
H0I1INfDbVXk/QEBRMaqEZV5cB5YQWdg2ZdTjX/cB0xnRE3vIS/+GuPB93Qf3fSUvvbIytcJHVok
HqTUyK691iQ6khp1T1vT8NAE0n611y76wL6eFfJaRgMJsJ+/Rv0toxrAhaB1Whp3q3BG5dWNjrqy
KSYXGLrejPuUMYhyaozxq2bdokN7oKvXu2GmPiikCZJm36AEMyTfDLaFRSP5ods2ph695XhUbWBx
dBZrcHUM8RC7wGjEuzBpRrJXisU9VC0ZAmvkBuXKjPVrYjapb9Lm1Hc0XTi/rJtAIXOokUhleO7j
5L1Rqp2sGTuHPkqKcAxeOoabVpV9JdT7MFOx+sOrY4nL4aCa2Tkxa+ykVX89OgS6RRQ6kRI9RzGB
DU54xC35xbSVhwQ7DmilQJi4APpjkklPCdS7Wqnf3LLCWDRU82vBbrlujiAWa0/JKrp/Y/M8clQy
YBnbc7NighQ8KyrNMTkgcUEp1yh3nfM1CqtnS21fpqB+EaOAAx6uDX3k3lAL8G0wA/qC9brXtlLD
pvXBysiQxs0zvZ8+4os0C+U+gR+a2+oKTdm2T8WR+OQYDU3yYmg+YtfuzRSce2P8FBpDryA9BMN8
pxntIxBURjrMjwqj9GzNyEgtwv5LHcGRbgonV8orW75GNIOsrLwXGjFF2BKu1cDiwohncCKsDWX9
OEbyxqD10M4k44bshW6o4gFqaAdeODTVOe5EZkb+CjEHXUayrMVtT59onKFv9zdzCqNuufrKwuSF
xbzClUKORxHLbe5j/wXtAwmjdbWadjGOt8jLTbYjapYdtURQU58HqBK3UQ5bO5kuqjiqd7qJuM9E
9c/ZF2X5kBJBKDrjKOvhJgEaezE2+aHX0D9ElrLva+01q/vQk0PJLE0vKNSHUVtVkiGWRKuUBbOr
j9ytNsknbDz4k3L7tprybBemS7BO21xqelcxailRK8/N9sO8QWA4N0IhbxsAxXsMXPT+anJkE5Ki
XCUDydeO7a0R6OtdbNgRDaa2pIN9Q2oCIoFFgDMqzhvpC/2WwbSPLQvpBV65zTjkJFHBJfkYdZDB
EG1tBpCF2qi7PHFwnufY28lKCbf3ahTau3ZR8udjRKUwWamrIfPzHDswNooTPWv069ZN7McsJikx
wDMtFKNA/z36DD5sLbqZSBbc5QW5zbWAJ90TWerQu3JLxKZuhUn+Y6kZSnvemXyXqw50Ms2QYTpS
L2pUdpHmHaTGUCKuG8uzOgXnijI03Au2VynWmhjZfpyql6RPPTvOnnwycjdtQCUhxlnZNLTV17bK
lt0Z0bBfgsL0oR7XRk10glUl9GWSgA0ydOJNlRvaph30u5Sh3cruIoJ1eSAIexqZWWFz06xO31pK
vnHwGLI6N/e+Tg8vYhq6IT7zOAdIZ/7eKG38meCwIMSQt5iWKRYI1I9W2UHRMfIIrdqQK0kWc64d
9KG4TdmeV4MVfPN7wC7SOvmqfZtlOalbZvQ2Zga21BoXIx3C+zhNLmibeMt/ifEdVun8UCq1ea6J
mW6DnlNb5N/QctrXIX1zBO+bvhFLnzJ67uoSm0+RKLhPOMa1ZmBu6H+Yy2wI5HfP83+FhkKuQCfd
q8QGHRom3KskysNtx+LNb5JrGAzJT+AgH3CuH/3j0jLwvdGx1bFaqZ8ui4FK2x/0RcvW28ouLfIa
3XzJ+afYNsgeslK8z3IIXIkagJzbC5re1L9Zm3m9lT6UZsGdUdDqJ4slNJOFEUIkSTbswzS6ri3t
26AUsIoR3dHDhPGF9AKgH3gtdN16bhW04833pDReDEmouB2nnM9IDIJ7kGOzVIomP/olgNy+/om5
ewHYfP7cEFRRIjgGH/sDavYdQEAXeRXM2Bc2nWFeqHPBzNcOngigxVyFgmlVNbyHv78FceT/+UWh
CYGwXvz6pm1+ohZYclY0exmhBN1NVpdvvcA0OVX3rOrDmvzRCNLCSmn6m9rXchrD2jFNKVrGPNO8
McNkQFNAAUK8MjSbpZEwWUWS8iSzQy9IEhHCLWrtTanMxiU+5wzBCWeDUfucIPsT1eJMj12/jFKC
An2r91pLH2+KcN62M0sw2XJuEyTPQVJupcOMmOq48azpEc/UVy1jmkiSMK9mLTGq5A1vRNtmNHTr
CvQvXne/VjEQjeq4JMR98dPyNNpOdgqqe6Bm1qqy9Vt4gpipHA+a1UwoTtgxwi9vmDU5qyQ5Jbl+
XdnWsYNTtq4f0McQ8OygaZpGmh6UICE3xGvMDBc3CrZr3FZUpG3ghqNCaBQ2i5IBJXR9YfqXVaYf
Sc/2V7RT+g3mr0trUC4WqRWo1mRfaMSmt5FpnS782XK+mPWZkUKHr6YJyLyJd1mkcoIp8q+KxJWd
d8I+KsbDmDacr2leOvZorsOUC0/09bGe2icEpM19XZ/+/p75E2PZkjBc6V44KmNS3ImfbhlnKoBA
DlXBNoGMfsyNc1AkDzZJZUz4wnZla5jBIqt3NWO6ppeT7KmWNRg41f0Uu7FJDHPnjxi6UetkDf6i
tGm/Won+0kfZhjAhY28yQSZBYk4JFxo3ogyLn3C0lrf4w6MGNEfTHA2QlMZ8yf70EXr+pozocm/k
ckwRKBkrozoOJeURBu1bqVTQO8LiN97Sv5Rp697+8+6X96L+5Xzr3f3b8k9finKqoyBs/+PffvjT
9q1YqPbN3/7QXZHxn88/8sOvbf7j46+JBVp4+T/8YfPB3L/u3urp5q3p0t/ewu8/+d/9y/8muf+7
m+xP3P5/1t0zWN/fIgD2r//+D0hUf2TYOr+ixDOZsuM0EYa5fFW/Q/st0mjZISx2C4P7ECPfP35B
KfsRVKv9avL9QoCEpr+Ah6FQNL9n2Gq/GqoqkW8bH/wkbu+PC8+nvvrtFuGC8UX8vz//knfZVRHl
bfPv//hMuzDNBUBv26owNYign0GT/jCNWVZiYm2a4AbSIkumed+IcpeipyDLzJfOw6A5D99dnd/f
xfev+rlw+PSqxicKSDXIhtTfnL64Ze1USE5Ff/ifvcInNFg2hE0dm0wJ4xibf3WkWbP6+1f4E45w
uXI6kj2m9UI44tMuP3G6Fg3TWndG/TbRFR7HGhPuz7BxC9Xw+yf941J99zLLpfxuUyWkuyUNgZeZ
RiJRx3t1/aWAcPn3n+Xzzv3bi0jTXpiwDmDxH19kWXmZA/IiZbdTMZfML4znV/TH458geInn+svP
gxcFyhBBEZ+/ehHHbGFOarkauQFpBj6JaWmWQx6hanRypP3swzEmWp+gNFOsMVv3E8Ms5UUJXgRj
kGXolQ1nJGkh+QVt1XiD9qjAI+90iEpze9eOwbGyTm1+TqdbxOJbZXyz1GnVA+KykBRQPMHPW1mQ
+PLMesyV6qTUHHKUaB/O8FBiJBSAM6RblxJ2yvtUMxvtGldBvt51w5VhF09DySKbwgLKfC9MpBs2
SDvM156uUjI/Din5tqcKh1QC8lRO/UbouDUhuDaUroIeAhI9kclNlmVsNPq6da7G7Nqw3/uMYyPt
H7051744DTQXkkJfEz23KtRwRxLwuvTX8LwYZSXbBAaQHPJDPhuc2hERY9w3dGU3heYaZbXOvCJK
48MCxfSb1yL/ostzEwPCIKVxQCGBn2VJLlwJ4ufi+kVTUSKcO/Oqnb4FyXGGZaAgaRaKgmIMgY+K
Svk2SQ89I5bS7eQtTOMtxQS6BZR3UWJjl5Vcpp75hXpswQBgFG8dIjXEY09Wo17lGx7FQb7IksEl
R/o477a+XE9E+43WN6O4TuX9GD8KQ27LxqJUJzIkXPvwEDJkgXZ7aRBTnFT1XlWZqhCQ0Q6P6DI3
af1S7vR+3qCR5It8MWNksXO2TmKiKlQHPzMeWdwxTTW5dZojbX5E9rAbFOuqiP0LmdZPw3htgvJL
UNxYln6fAz2w+uWkEZtuq+k3emIeQrSoeJxchb6qMqpehG4eC5hg9DiSYrG8IdaZozk0J9KT3Ex7
q9V7BkYsqodx1wsSJJP+0MBJ05W7Oi4Z2RORwggYH7uRnxQyEcqscB2xKWh6oFF6A/Dk0u/axHp3
VPjm0Ih5XV9umVATULVVUcyqI/qgXHpYN7w6n44a2DQZE1+pJYeOPvEg03XZtDdqrR1b0d1hRT8C
EOjrLxrCiNTsb0XQHSOQp/Vg4J+FchB1tAOay1EtttydB6Ut1rlNgDLqHsMePDiCOxtUDNm3GKyN
lYHNdmofIllDh3gNahqIdADVZxkjqML0ptGaMhD7RIhIFcLqTsQNkijMLE+nxk2MdFe0hlsXjIuT
QTmFEXQookyCDoUjN7zanUu0MEoJ6dZawn8hHlXRV33BhqvRRZ0yw+kUwCLEJCjknGTcXAqjQJNW
X+IMB7PO15ZbTMGTmBMO0gUiRG7R2ToaM5LiGWGDHu1VA7OEhfDAwvSeT9ej8m6F3V5FvQbL0T/6
ZvDF2nOARySpnSt7/KaNXXvi+OlN0OqajnNZnp/gG7g2rn0lvS1Im0LZGqI2MI9zcm0bPNf9Ebwv
ga8GHzHcGjoNP/qB6jy7fZVu0I27+HjWVl+S1NitBzpEfK7DYFvYCHhos+sEVZ3hYxmdEWEbyHsx
MYy3y9eQxxcyee56h2h14sTD9mi1wY0zCg8H4SpGGiO8YMDHAVUpjs79TwnFf7mrg5r9Y2n/tOcy
0tMDaDgWiq5dD/vF/q1w/5fKz7+uF//1uvNvy9j/heWntlSA/zc24k8FKMFRb3mT/Nd//lI0bV30
0y/3t//8viD9+Pd/lKTGrxSkSIME/nKMiEtf5/eS1JS/imVjdrDT6NDZl7PTHyWpTd3Jt0swOHS0
30rFP0pS61fTMjRguo5hMQ429X+lJP18G3EgM6GJS0mxrPNulgriu4pHIVhgCHLNdx0QBxqhqJPt
/+T49LkI+fwSn+odCmGSLwZeAiXG2S5C7E5uBJGH1F6S7n4GlVt+2/cl3G+vhndVcGk4tn16LloI
A0ErhO/WkIXy/LIwslNRTMSsuUEREyzV/XZO+/8W9X9CDS+vqKL6MUwVNu6fWIqOpIMgcNG7dt8f
ASmJ9FhAnE1U4Vb+tK3yZB2xFLEmbo0wOUTZdNFOxm4K4Mtxsace+FSJwEgxb7+7K/+i8P+rS6HS
LFRtgWvf/NwxVGODLNF59N0iVG5KPd2hft8QQ3RkY/S02r6HqPWTVMw/hft8XIzvXvNzBa0FExX8
QGBN2G9mzCt1+mQBfSfipsTnh3SeHgADni5GkB6s5Oj8pOHwVzf09x96OUl8d0Mj/DPhSfOhS9r3
aJcOwD92f39dP3qKn++xJTSAR8eC2f75HovR5hVY0vjG/eJqFvm33DZ2Cq+VxBdOP+3RU4L56I4N
WkunLa4gBM1Wvv3Ju/h8JloutUVwkaT7aQqOtj9+0tqQHf3U2nfN/hu5ZG4yEiPUou1q0l2SO6cS
36xC8ymIDrF0uAE6t5u+VJl9HzbtTzCe+vJYfb4kcOvpRlrkalifQY6OP7EhoS9y9eGY+6gxxwxe
IwUHfVUFKmtdDavSwt4nsAhQ2WGKxkY3bLTJODjUDm2FBDwYLxgVHOwwdTtKnhwLRSD5FnlmRUwY
b9keEwIXJ1xsBuonBi0okDZ9N7k/ubR/dRPxKHNCM1H+qsanRQQ6S24aYeHDR55dVm+qzZhTUQBJ
p1szn97SZHITusUzVh7HkGeNp2tyvoY0uf/+rXxuGSxfMo0JnUIFTDin3x+/5My3eIBpHboWSKQR
tdNAbnWdXXGIR3iEvhcPw8+CHgx2uz99mUyTiaLFI8c29OnO0gMKzrqNeYjFHb5zV5I+Og/RoUJ2
UM2DlyGZSMJHFaGyiOUh7o1DFQSeSJTTsqKBhtk4k3LSJueELAZRbeAtD/+MXkkBRTBaiO2Tgd7o
ZTGjQsYKqQN0AZAjpnFrxwGK9nQHGfWyZGhmklvGzMHVKgxTTgoMttvwviaGan9/qUnT+KvPbUEb
57AsNLrqP17smZy+RGktoJR+siNgGWkTdsdsZ+vUn/0xzdp9P1+hxnJTThwdsIW29YFDEVI/dV40
dvu+gLKiZqiWnzrik5yMA6FurJQCod7IwAWFfylRjYyXMLXXo0Ia34SqgGMZjv6TpfaeD6PbqrNd
Tn87rXXWbHOHzvFmqpNdXxdIRoDyJd06ZWhZw37RrHQ3av1mpBkSNME2pwO/fF/LBRcRkuC4W0/k
hfN3q0HBnW5hfxPxwWr+D3vntRzHlXXpV/lj7pOR3lzMxZTJqspyAAogBNxkADTpvc+nn+9QUguG
QzT7riMmuqVuiSSyKt3ZZ++1vjWsx8rAMgEMo3ALhiehM5w04IOEOfaAMM59MJxke9yaD8FtHZb7
CWMob6QdfXPmZGClkG6hFvUMuJMJdbrJvilhm5IE2cGx2FfwNBSMhlJt2ox2QAPAgDokiCmBgJAe
uimgEUEbWPVi0RvmcTPTh2pq9xrbmhgW2aBJbtOMmyoiEySEUjmqnsR817cpz6crGY6COPPtBLdO
S1dTMLiqHnljzYAAdZRKIwCNiyfxo3gpCYMDVLIjurGjTcetN/Gktv2idexV0aSbIQtup7p4YgHD
3E/tLlmQtOvxpA58Md3+nCnRjZW0Z4v2nX8KCiCMZeNmpoXcAfoUuznEDtd1nl4FiYV1EGyMHqwl
vK5d0J5tG6A17ysTmWNlXUEFQgeG9Z0dalr23NPa1pdwXqh3BNUwmLY/x2KFhJDkIIIwqZ+mhdnF
a2NjaMekthe9IIjyvizM7yFXVyxC4opX6ZlScqXla2xKk+HfpmG9hXi8iPJY3AZo70KciDoTbj5c
3bnMQtEO0WNfZCaUmognWL6V6eWIF/HCwVUtigai0fZpJLHtZdfI4Yp+3gRzc3b4aVbor+Ua/7qD
lsi+JIG0zqz8ShzMMuBegXdOzdalr72GouY1LAYJuR22reOWzHfkQnMbH0yj3Y3SvAt7sO3drg06
5iUyA6NoWTrjJledAwaYbTm2y94aN+KdDFEf3ZaBUmdpp4Bk+EZVbGyDJFjoXXiTNogPmbDLUgBb
wVh13zOIHYOUXIfxGn4sYGQKsUxyYxtfU7/JiZ3m3xg915tLwq5wR2aSayNLMAxatWkIOQmMaC9Z
+2xgzkxXivRjWhz4TC3GonyksjMWmQX7VGl2TWXin9GR8KcrBN7C/uaq/bxtkqVpCLWUpwSwqPhT
MKbAGkwrmWsxcxHTHjPXBKC2dNasC0DXFNTBfH9SIcAh+bo4UEokZ0hWaQD0fFppkCgCQAE5Es4y
6Nd2ynKpsXPlr9LkLWNOmxzdUpKAVVb99SCDmFI7F3APNC4+HH91DcsxP49400VkEhjJ0p0aNGDw
UTPjWytVspUDRBax5I49BS2ooj60GEo52JlV7i3MVrLl1cF3dkNeMtESQZKK2ZTAhYCxceRhc1wO
WXZVy3RXSKbnk6S4GSw1uID2RG9GYaBz/6u3xEgvCyX2DAVMOldX1BBJkEANiB4aagadtmmESlyn
YcBLgXbeVgRjt8hGVX6yhG+oNh5+vUj8bIlwxByLzE3Qn2+LrrnGEmK3qrPS7BrmdLsM8nHTGeoH
Jab2dtIq1n1SDnRLYSNDgtqbMjb29bSs6N2umKh6WRxuUCUtapNGTVpg9J9QRrL4Qg6Kpoz9/7RS
an+Nz2RVcVcIyQWlp8/jB6wRXrm/7mUunOHfa33yiACpxTzhYwr0ebHY7b01pmSTGktEyx+VUj8r
YBy+C5WyzZZMe9O5b7U4zDOfgNkgih/84WwQkwBvdoko9ZY6gmYVceaGvo1VzRv5X3i/6J4fFLN7
njHU6wYPfqzTAmuhf8QfVFfKzwo9x7HUH0U0OXWiEnqxW1BpK6daajooQ3lbSC0uJvBZ+fw8tkyV
0VQSmrDWVAMYfbPMh+opstplZenbnA7Wf3Bnvfgob07U2GdS1tDkXRnaeLKqAHBGUT6heLz99XHe
Zc9wa1myomNdIWaKO+xNddenxECrreYwS0kfSlk/4ulbF7W+9RWgbTYafJ67vPexrkwrWIfLDFNe
ovb4a866I7li2XD8eifJwDEdWDnFuaiQMHa8IsLuA0a88pMHjlpMIcnH5FF4p+8wg6lOrVpxVh24
K4nufihU9BILzB1XbjHp4aIAtiFu/57mpNVxr/zo/wU0/I3fHN38OHXwxyxWXRkb4ZtTJ8WWFkKJ
claZ8jg2IWydbi92MREVb5p/1Fn4yf7dIo6O+aOCwoXIk9c3J+ZRq0hSzJhqvMs6TOSxCrQXwb2K
Lr6krGkff31raPJPKn8O6TjcIbzbmE+9PmRq1jiEIg6JKWKdsCh2PKp2jUMbJxPoBeyCR+Ly1lYl
rcVvEU2NCEphpyKUKA3Px00nbhm86MvMAzBL8CRmO9iD2YzVbUqpa9LD4GB8hneqhS0OZIpD2V/P
0Qi4Vd50qB0qIguQDCxncob44xlmAEquTR0ER9vMDj2TkPk5YLxQZtJlTEDSVc1ZmeJlb2MoTbSj
HRpeC680gjmYNJHXZFSrdQydAuZab2zVQl7ja92RQYZaI+NtGd7w/pFTaLPpsnC6Fb5Ym9sLKa47
xeEa/9O2ZW20QcdpdrceOKjoX4gFXTwTogIHvrrOm24v3nBlylYBxa0kRjmEgHVMUybuUPYA06xD
rZs3Njs58eR1jiA91meJmkoqwyVgLnyC+lbUvKx7OGtEzQy++hDo0koq2Be3sReEyfeeZxXO2p3e
jTfSM53Fc0WZ1HMCMfttkriHqsamIWqY4PRrUT8r1UDYhdv2PeCBdOtTxIeydGMnwcYgE6nFLyIN
/rq1VE9Xma34uBPjvVhumMt5vvoYVf5NqpNFu2CntG8cYLcyp7twDk3LEtLbBw1gYzoexyZdpTMS
nbhgnhdsfIoL6GXrko6YDEEsam4nKwamRcg2q5ioFP0Znj81dNjjarsQCYKnZ1hXbJcslOVN6xwm
C7pxHXqDRgAOV6Jvq7Oc0XafRkYcblmyW+AHwNR082wv+kyac8GZwXnXjkPzqBnp1mDjmVnBxsnY
SiThZuRyhP1zPJRuZt/W8MGKyFjqDrsKAEURdY+aTHgtGy8zv5j5I//Fw8ouNNh0MJpbSEt1O206
MCVKB8fG2jXUVDDcFDDREe8rR1a+1B0wYl87golcOYF157M7Bt14tvLpJD6mw9qrJxRBMbcR1y9w
+oUzU4ACkjPM8WRk58a81briENds8ZpHU4EPNWRXoo8qZJuqMWyUEiNP1sOuCD1tQh1E7yKMkmsc
5fBxaMvQcsGje53ThhHdXqP12FgCtwjXtWxssdSgnUWtV81ohiU/WuhT8kDdr4OvlCbwweNJ3Lfm
iE2ed3A/9K545kQBkjnNbrKSw0S1ocvZtoL9T9btzmQFaX0eH5vBFHu6yKbGGOCCSd3azOjPBtZe
brAFFpxmicsVcYHYHhGzgkD1dgpPs9xe/fol9757R9q3SStes2wYAmxYX7/jHEWOO84PO61Auohd
S6aPqI+6/cxGQNxqot6IkuBiWXxifdo0vrGoNefm15/jrdaA5iFYDjp3tiFUnW/D+Qq5kmuZnJNV
g5wN8svSx4vmc4dOEDx/fSjSdvlOr9pzolNJGJ4qIy/GKP7mOys5/h+yR+yVbsSeNDtAWCagAVET
3mSwAGiVd2oFpoIhu55ckyS/rlhkQm06hdLXgY1nZ7TnqgpvpsK+TXreXJrqyc7t2PGCCQfYorR2
xuHZFFwrhxQAM4MORkDAOFdLcLGgcO40bCMwrwr6gdIhTiJvmJqdYcDcnNpti/sSTAEXgMZBWfJw
RcZWmdgQRgUasWEzmB1ib+cAlI6wBJvB8TRvhgHKRpElW98Hc8uGo7C0Y5HQkqAV0VjRDXuUm4bH
M6tRkmO2UHM67cUwrkJhfW7kRyexVkNykUJpW6QBgOrQRGdggRQPg/vYJknaNOdTrkynoeUFHWX9
vjQPY4KS1nAu6kzzJefdPmcHHSFtMqS3jeHmWnQtJcVVW2ckd1B9G63yBXESgeU8L1LiNpnXNtzy
4Bwm1b8ZccaJHdxYPso/+MgS7Awo2oVEXNxKdDdSdqYRyt62Lx7VLOSNHXpmjFSaF/okp1tdb5+l
Ovw2jWCAEpu20XRpJcezSR3qeYFItOhwPNwYbfOUUcqVQ7aVev9SmFTiGh4jOHiHLAnuW60ni5BG
QrKF8Rouhsr/6sPV4+3kDZ/RtrsDwZG+nV+1BvNcgxVetBPUvLga6H1pfA7RuGuC4KaCMcwapCWU
Ca19kFTnkvAx6FlfE/uDeSg9VDJ7xLpyp2nE6mbQYnVgsvMWh0Wg5fp2VNgBc6eR1LHWTOEOhdoS
PHQGC0sZeoIJk9TBjVhBrNJCd5wvhHmL+JJD6JBgkShLvZRWPw7lxNsgq3dRrnsi84pxLZ8+3Yq1
BEAyjspx5WPENLGqLjo26KIImKRr0QMxEVj6A5vyhK/fpAdr+CqHMkTUCFUF66U035Br8izx8AIo
eO4C6fPCqRBVD7p5Cxv7AMBqGdjffUKoAOZugNNum5J7S/fpnVjDaoruWo04kxSsq41vgi1ybdwS
vnSJ5QNEvDNI1ZOWptc/ekdO5oUoZNj6Y2rYiQ2fUUN0kNtnncZFOHR3OtSaPo9Ay1H3EAuyyByQ
StjBTbXclFN63bbW5wqViDRG20a1b3S4TkOLeQ3C/ESGKafRujXt7EpvwW+ZmEAxotJfEr0B8Ots
Le2vo0XPQLSPWM5/OF9NFPJ+sDbTbtkVBm2+YW2XIv2G/mjJumha2As0z+kezQj3GburqTjXUvsc
lfG1DnVdy6DmUUqL38XE0BO7evqeBwILcEYicQ2+iDIlquonW6nPdSd9tvWR0kXxwuwK9TVtgYaW
gLqRJkXk12WrIM+fZhVSVqahTTeoXvXQE5u3eB4+2MD95B1LtCIbKoeNgfxuDtjSwM6mRrZWtgOv
bTKWojwSPdEGuYloJ/36pf5OjG2byOEYdfFe01EVmmLn/WLvKkdmOGpt7mB+5PlVk7UoOEMukAxj
VRSl4rk1Cyhv6gfrifJ+7dKZRyBkZGfPmMR80yifbP6dqQ9I2ECuz0IxRqOH7sNWdHGSWYZhSgaV
kjxq8lNoxAd2lYcozLYgvDgrAWzF8M+z8VtyhWP0pcZp/r19q3B9pVj4N0QN/3V6hRd3zju1wv9B
tht0T//z9D+Lp/q5+/r0Sqnwj3RW+cTAHEEB+0y6IYid/9EpqJ+4q1VidDVixSkkuNx/6xSsT5Yu
KxZNKgJ+HVPkGP6tUzA/OdqPW+RPAQOC2zdS2V9KZ991asSs0zQNg08mo414szPt4tDOTJ89HxKF
DRyZw+TxXj1Y5/LgnKVzcgqvslN2KvhPdfK9+RDsx120t7bZtvAKz9h3R27TVXMkBuJYHYEDHqUT
WqljuweiAytZ35Vb8tVcfxvsRi/aYVfwigNa70NziE+Yjg/5aThoS5zhB8kbdsOOtX9TeuY29/R9
6rVHdZ+cCUM5Ruf8GJz9U7ePj+HR2AGu38H+3by4ij+Z7v/khCg0QhEni1JWtd90B9JRokTBBkAb
h/GLGrtD/pEc9qNDiAbFizeMoo0TtHkOYUmklhoY0+3ig47K+/4OTagfX8Ji1qrI6ptj+JqaR1oE
rcqImrOcf03azEOFbyxDI12Yw7EyoqcsQYbqVG6vDlct6zIYzZ3RfgmdnJv9Xzqef+ecQkDSEcEY
oiHIHf2mTC6AAeCzYyMWDADFUmz9s/FBQ+tdP4tD0Mmig4R1B2GP6MC8OKcSnt8Bd8y0ykQMQZuD
pmRWodrur7/J+84mEcS6xgPNg4sSXhef48Vx1DaMugzdzaqIc9eWqnPe9vdhG2xTJUHhTwBryRiF
sNGeBrM1BCcz9i91I99pSf5Bz1xR3zWBWSkYt+KBslkuYN+//jB+ZZtamvDwgr//irn3YrfVxdDy
Kx0wxCyf4MTCGIv0EzEmX02n3UyYRWDzoH0lw4SJ7OfUitg1t5s2p7j3BXPa1UfYWRLuzQVBKJA8
c93Nw+C5okJzBa4lhSKjNVKzNHOyIR1wz6sSFVAi90uVTtrkN92CtN3PJp4ZxKs2wFMHboAyPvJx
kPHM+FL5uUrVXEir2fEo4vvw9459XevgdeMRBoYK0aX20UJaie7K5PuA0UcYWWvffdsiz0qaH7tw
em5NoL9WyOeN9ZErYCwqedglraebwYOUNpfQqi/k8fQLYuTOQYyJDRP86PSXrlNBNAtQTKGCltgH
WZ4S9Oh0i7E9h1L9MBcW+Nsp0VY5VKq5T5fGrH0lhV1Z+8DRbB2c+5CM6PL7CaS21Z2UCd5JZcPg
64SKQoncOObfDD5HGTsRPGyRoYWGNAVHDjCfPyuNGk0yoAikPpQ2DEeLDIKFlhO3lvTyF5Suq0LE
gvmmfg1BUbbbcplUIBt6njNQbcaq6lFZanW+aQb9kofdxcmiu6Iv+FG1vif590SXWYPf1X3wmnz/
vGGO41EmXlSFUiK/ufXUMbSKKinG1SiRIDYlCNlTN7HKD+5x9V3nlOft5XHeVGNE9OSB3Yjj5MLh
Hz9lrbMMdfOqgI/aQfJr7HrfdOG2C2eaZfay5zXjpMhIynw1Gg9GsVHgGha+cTVlgt2VPDkmclMj
2v36zfCudhMfVEw8EHcYrKVvTkiRMidrZeISAXCLRKK1P8t3mNgXgSX/rhaLQzFsoKMi0xxGKfX6
sR/l0EaGoA8Yrx1S6qo98WUfHeJ9LSoOghSSkkUl7fZtyxqXaRw1EsZ4sYBoTOVap74BaYC8yLmM
YMGwRB8D6JljOULY4wsPQwwUGnxZUt0EdeqS7/xt5pxTzNyNPvSU0jKumv7RsGgCpv5FfHq/IjJh
bLYBUro5ezT99MkYlQMnGC5ASYhor4u6Xyj152JJVuS6bwv8BvTMTT29VfPqnFX1Xp7nQ6aUe6to
zmafuMhLvblT7lBK5epwPwItC5zYy2BJhn76rTTIJ5nCbZ4mTxgSaVBri5okEIP9clk7Kz9r9gUP
6dgEO5mQIqlLXfxpSx7MVZeqq3rsV3POMLu42Fq4VHNg1eL3auTaluRT5BN7eOt+nnjZKvZmTIoH
9tUicBqRTvTFR6yjWhmTcewB2BaXJiGwUR3egOFJp2gH7mQjzrisVdCFlbu5Jes8GMikrQDBqNIG
HYCMvt0Z5LtecAoVqVUXNZ0OFqCrOjGvCCxYIIPdQpjZB0a4bU3nmDnRxvDLm2TIvIiZk6+EvKsy
Z6NikRc6owrfKGmBf0TF2RKkjnHV29UDaA3BuCThsAJk0vusCFPHftLIHrE8rDIIYL0kbkP5EE3q
XeZUj+l0KiUE3zLAUMnOH+aJaKaYzitnpqnOIwWVSfICr8gv4u5tgJHPiQmM8mBqXEtIaLxxAGmV
blwN9w3NzqBR78wAk4iqfBma+Rj5FE3I3aL4M9Motxyli1pk5NYb3b0/Ys+wbSII7OPYNft0LG9I
JXRLRpGA5CVZPti5dHSUYJeQZhumXPcydTvypaM6uGWdfhLvNLmzr8iePzbXAB+czjk3XbuXymbP
mODBJqDSFmCXmPQG+iPRLp9rwnwB68WQqqfp0BvyISRTUtaI8M1wvSjRTlPKmzgKNz0o+jgsoPkN
KxPHjtwHt03OTyvy1MvL4JRoXCownz3DE7NHsuAHFcDE7h4F3W54aqdwp/JKZzonYcs24lXfBXuJ
tDNof1dmod2l+kxY8B+RVAKmJI4t0e9ghuF5tb4irzNWECLwBBcLXw5ZeRSjXs58BqnX1m2I9WVS
SGpJCy5o4ul4NDg5dA1Tk1gbqKATRqN0GO4VaUY35QSL1OYemLZ6H1zEO1ZurEfV7r/ZPSkZUfvj
7Zyw4tdZcUn8/louAThkbb037WhX2s5lZmTT0wMSV19KUjfwUy9TEmgMVvItKnnvj/Kh6+W7WOm9
odoxx7qae1J/eRlxM6LeST09q9fh0OxrhA2tnX0JxuKr1fyh6+lT4rc3Uu+Q4smzNFUXp8NY0vrC
P70GaovwjNWD+7DksxLQcl+33X1RoJ1klCOeamMC4maCuh3C4kFzco8+YEvPt5yVgxbqV/PY7Mtu
OMQ3aUdyY1E+wDiTFqR1GAtlKm+CJocB8VTpd215Y0f6MacBvLRSPC8xVbkTtfcmhWsvpXhd+mrh
k6A5hkO0SJ3sQU9yV/wOi9gGP008iiI0Hd2V38Yb8SfMYTqEinlFALZXF4UHXm7vRDMejtSd7Aqu
AvclUJ/ZzNEA5BtUl88KPAHCCe80Ca1FnX5x+nY/1M9lkW1V2CJiZR2jzLMjBtOWf+zz9l4KCPB1
BHx0WPTmxg/Vz3DeD6Yf4idLnSvxEckguSUwwK0cTCFxuK11wTaJv/VFs08SMv8UnrIGetTAzyVb
duDkLjpe61qNq40ntGUJN3geyqk6O9w8NI7/LCd+q52x+c8tva8aHv9t3QyxRfzXpu0n7YwA9Hz6
qosh/sTfdgv1E2ZzDe0MMmTqHMFF+NtuoX3SEdHi/aUahDooNMx/tzHsT6SP4hdAws//4df+aWPY
nxSD7obD32zNYBvzO22Md3Z4mnYMYAxcHfiQZfojr0siuZxlPdQrk5iBaD0rlVtY8nL2k42j3shH
I3gKJG2j0pBHTrGodOhPyDZFam6brImRX8O1WFjDo8OgbCCUhgzcpF6yy0R2RxI09MoX5/YnG+L3
PU2NxiJ7YtQOQvD0drcq91Vlqb6+GvFb2g+BMiwU/1TYM4XU7/pi2QNyLKpFkst1nbbS61MDZ6Md
g47ckYgnCwxZXQAeG6UFiQeG/EERzF3wZh6GUh1pheCG4Oz/oQR+sTseW2fQmA+RF0ygDkpnTIOX
xNnRicBxdp+T5xOxffv1uXxXeJtIbvha4sAChPDm+7E7zO0QGvxqHuEpLnyEuG1+N4ZXvz7M+0vG
QX70hU2x9397h4V1ZlRxBjUo1g8ASyXGEBpBTf0hI3Dpg0O92/SY4ljsqpDDYX55q4ab5i7NKoa7
GDXZhZMCYIBJe3SUYjWo5cGMThqZWbzEE/1WHQ5EUSKMBGzInL9+tup7m9C7Qt807XM73JKzqmcz
7lF2mM8NSE3ZmBBv7rP5Shu4HszIJiBctrICsodKEs6f/wxOMs2+G7D5pz4jsXwVowXqguuW+LAO
rqjUfCdVckV6HnEiCE7H2A2HdtEPzwgEpP4OkbJ11wbDJgv3BQSdqr1VSyIIaliB0hflGyCblZS7
lqnu+k5Gw5hvjeY58j9sg4n25esBLV0nBWOX2KJy4d5slaouGSyjUaC/xuqlrfxtg8uUcnGhWQFm
h2CrYbp2xqfAmc56P2wLdAfs3z+4oOr7e1Q0v3AM4StkumC8uUfJZC1JAp/0lVHcyrRFMN1uaixb
SmS4MttTO4Rumib7xF5qRNUswrr4wwegs1D073pDQyW2x89dz6/YkqswL87G6XFwsqsZ26aFsl+2
Oy+yn3v9PzuDLz46b/eXDa8ylua2cWZ9BfRkY+NEKUB/Wb20aNzAaFzaqKS03yhJt8upx7J22Lbt
6tfPw/u3yuuzJx6XF28VrZLsimAf7LVjuXaYwTGokks8uzIdRbBKJebuJs5/+x3NUdEzqAa+Gy7c
m1sn7fVZrhv2nzRbYJDqyJay7L6SdCzP+JL5hw/MPu9aKjz1NGtVW0eYSu9fnIYXX3Mi1IeubMXX
BLwyTp/Z5oOB+wgq8bP32D9HseU3t2I46EZIrAe3Yo9175sefSn8c6YdzPiDr/OzAzHZ4FgaCkNE
Ia+/Du0/cxpSvg7pJZnSEZ/CBqtjc60816nv/voWed9SNyzWUVmmFFEdGhevD9Y6yMa7nmj4of4y
xHDuo8+/PsCfDZy3r5IXh3hrGUIWlDVawvdJzAyuHd0Ith5KG7p+J+HhR5yXIScuQ5e0VNDTE4h4
c1WbxJWCf1CJxmimRTDUNI4RrEF+yM0RIDtTc6XztMbexvF0GcgInKzoQPsZFRX7MxxbpbO043LX
KRu9S2+tlld8UTzOIR3FJL5Nk+9jzsx8NcbZnonlMgwt9N/ZRg0ScjIxdRNKU6LXl3ySFEJjPWvf
Cv8CO9sNVZvku2AVPJmY4012dkZmH8nb2FlEgXZmc8p8hd25j3CwIbEabIOKDNFvrlWG6QppJXrL
WFh/DAizjTvLJRBvCxsDakW2FMgS5DmkdOeuHNtuCSxNmxS0A8NWGvJ9CkdvTDuvmMiMz/jY1bgl
hd6bs475dHMdp825xXtTox+olGsHEfrcWEDCsFim2caUwmUofy6AM4JfDbVvGQ3RqCig1ttbmSaq
MVU49vjqIRcKVmrXEhOj9TfSPLrZ9OhbxDUQxQGm/BzPIxahfFfX6S6S40OGRnimKxNmspuVmwCL
Tkl0IH3IDffxcmSniQwcrKh9nh1rW5vkRjYmes0EmLS8i43+RpWSbS7Bu2CUT0rdEazHGdn5VtKq
lVlD9VUYUOCCSbCfJciAO5QT8Vjf5ZDXHfXWgHQQoQc6W+F5QlOJZV4lrRrs6nSZ8KBkqG5svh5l
iLVKrC9yDdYih9pYAxlUg1U/HQV8gLiwhUwOpfXgm9u+ORX6pSX9fWqUhel8TXQy1CXGbyAhO2vd
xzpMgccyQy7ZJ2sZRoatXCpKnRL66WCv6N8Jw4R0JgGmrVJykq/EcS0TbH817IwsPUK92zl2c60p
I9gw8AZSgMOiW9pO/W3yA3ib3SGytrnMU9Cpm1BKvreFeYPk98roHyMcu5Uj33arSm+XUh5tIRKh
AgR7wX7ZjjbTQW2MQz47u8ogfDlTVn00uTnelaZXXbupF76pLPGVuhosymqQ95oS7Wkeb/GVbR3E
q/g8HnTzmUt1QBxBUCM3q1K7SvhVwq3RaiENMQgbpOgm+nQYtPyGFthmGsfneAy8oehOttxinLQ9
MzS3hl6TAMuERcHaVTjrEZGAndWeWtVeY0OxL1pUXGSxkX6yzW3ZZdaxZE05I3G25gkhiH+F2qma
/5jp3xXVtMRJYKAMLsKWU2x7hYgjCmvYag3wexQZEDI08Ox4k7qvcSJ9UKb8RPrAW5TFh+0dyMd3
UgtUGCbds44lr8pvctobNcFtAYphwnwWvtRtyXJYt1N5W9k3v369/qxAenHktwVSr8UyHhhyLCaQ
LuABqC1uAkLhIY9/sKz/bJV9eaQ39YxFmGE7pxypSCsg+OGqAvtYw4779Rf66YL0z6kU5INXi7kU
6QiWQYIE1ZM/Mt36YD362Qnjcpg6NYpOUflmwysFnamXRswyzqhediV53fleVH1QeZk/W8Qtuu2Y
dYF1oVJ4/TVGsr6HymRzhRPfNSWSbU0J42FIYdo+dsSZxKheLXPE0DCupjlfNSNIPwr/qeRNht4x
iBSUtObWIs1qYvjYSl/6CuvnXLtktki+4mVqs5KTFo7KvG5iea1W9lIt1FWah8SIkSVqPIB5PPSE
jsUdHet6XsSIzOw0ZwuB9Eo/jf7EHPI2iK5lupFDNO57q2c737qjbrg1tapSH6TyvmE3FSTPeYwM
23E7W3i6Cd4euoNjngKfkb/t0A2QFz1qRcIEXHKc/kR6/VYD6t9QyvxbPar/ugYU9+j/uwElVDRP
X4vmpYxGMCH+akAZDl0mwSgzFU1GSiNT4f3VgOKX2FHR5WDvr6mqavKs/N2A0j5RgQp1DcIxk/YH
f+pvHY32SfyzTeoFszRWkt9C0PFTeRJelofsExz+0mkOyILKKJ6kF9W7KZllOMsQp/vCWaXBEyiD
baeZ267WDjKN9VQMfIkFAexM3FrFKyfDNCsjMY+fC4wE1BXKF/R8rPOWuqU9vhqJ0ITa7YLWDjD8
U0Mx/Ri5uWfMtRBWz6XxOcjMb3R4VvFAWUPUzCJsw2+JIf9hjmQ3UOBLPwod+UlPgju7mlypHTc+
pPc5ldYTpr+owclYaUcJkS7vxbUyoZkd+02HSHUCrznB8neCFpm6vMsYEiXGvdPa61TK3KohiyKr
l1LIKBw5J8pVcs13ChRjyRmvZkLgdKNwB4LuM1PFGCKvZyD/UmfjupcXBIhjkVXW9WiR4ANJX5Fv
+vGGqAtzMVndYSLynhzxdURlSbzBg9Tsh1jaG0V2svR21QKWNko+LAlpumK5pY55EAtRxTwsrpQV
Mtx1AFm2Z65DIMqFf+ZdYeGcMNeEABVReMSEtixGoNl1v1Ecuh5FyuWQzw1h2/WWoJxzqSnfJrv7
Q8/ka0D5i5yc8CFMrqv+sRh6Bh/W1nLic5Qka5NfJqQ1XlRZQ9ceQZ6OvyRK1Jo6V9eWxLEuyE4g
d4EceOs7AYU7Ewi2FtuHolRumiLwQDF3tFsaoqvtQr6CnA9OBBsFkV1U5Wy6i4v4prb+BSrnNkN3
moYy63K4Vhi36prvKTP2sjo7IUNY+e2E2hYyyMJIrI1Avha68oCuFihEeye+c5eb94TXu06d7TrE
tpoOLL/emWa3kfvR7QpKenIfCAg7ANlfkd+p9siA7XbcV1RacPhjL881koaTfdXP58bONukUfy66
CT2RjWiDfouV3cwSoWDcO4zvzxM7Mwmrgqit5WlJXtfCjkd3rKnp5c9GdVXhvgamfpmrxgM0uzbM
i8GNVkon3b9Dz8/LGSR2l5301tgAPyMVuTims/9YjUDjkNx29g7yGOAvAuTVYTtmdCSClH0MXjeF
8bBNvJrfgPRISYlqPF3G1ZliPZPaddHwUBQKqgpinWR7ldQ7cWw1fC4JGqxlMgi43SvVywj5jLuW
FFjsYsBk625cFgBphnxEL3Zbzv0m5kv7QboAbnWeJW1JKtE+nK4JRzlq4m4a7XWk9Cs9zra6RTRt
4COo4TrNjceg7Eizfm/ZAUV8G13XKuLpOvIfc2KzptnZTO13OS0uhSMfUOISvwVJu1M9aAJuy3Kp
ERNIGAe56WyNyMqR8iXPFlsmmvdr35zO5HpflBlhnvQH0UZHRukrpGg1ITJWeK3nI9iwfutw1hRr
3Guav0/YmGTABBLH3HQlJjSl386pvTXJb+7l8pHwZ0OPryOoCSSErMtk2tctFHBHZYwkkYI5E8GS
7qdSGv8sWv//itpG7XQ7ld/+9//6guqnFXRYEtjzl+ujUMv8akUNn7Lp7e//az21gLMydUFRrUA/
ASJM5/Sv9dSWP+m2jrjN0QT/hl/713qqWp8Qg+iyQ3vKtC3WwL9WU1X+BDNN5vfT+Ac8ZfwWPeuH
4fPlYiqDJGWSgEPV+XNBfb2Y6qXZN3o0FxtQE4+x8GqHeU9WCeb/U5I1Mz498B+iGRB2hPdVAWZD
E1/HTp+hTQ70ChdTqiwgVkVrdjpkf2dkiL04mT+Z4bxTyIgPiWLWAjUmhltvBw+tasn1ZJCSVxto
/lJE7G5aVXA0dSc6IXDYtxWtnkHO6Qu0LHq5ao50d1IYIn0FYqBE9NoWN9kcycRqKurug8/HFXxV
kfD5DOZhFtcJEBnjhNcnsYiziSMq+YY31LDkFHWLJs7gMzjag5So+boO02Y5mDSFZHvqiV2E3diq
+nwiLrjC0dF9ICp6u5ngA5lMTtT/y9mZLbeNbF36iRCBOZG3nEBKIjXLsm8yZMvGPM94+v7g7osS
6Zb67xvHiapTBkkAmbn3XutbtARdwF7nI5SclWEiCSf3w9osaGpNP7NUv1M6YznPrK5CZcv/vTj8
XyFi51XSckULQajt0RRkOrRUaf85lMFoIra1IBd9RmwNM+OQpgpHTLg1vcL64vf+57U4TNJ8hHTC
VPPjtUimLqs6J0+ja1Jn24TNSUnkyu5kcpuV+OKbXQjjeDWo/5ZeJ+Rj94KePZjVbLRmnvmeh5Gp
sdQSM6g/62XGPKXv9X1Jf1fGHco83a0IwdKCa7Mkam4ii7cs+SNqghaJE17deYa/r4up3NIQWrQA
5J1TW+4hZucnqPvTFwRdYymyP77ffHhmvhYOTMsEAf3xtxoRP3SOS5cycLy7piUUqkhD1EVQHWeT
faN1y+OkhbS9omcHwdcGlG22/fz9WO7Hh89g4dZ3kOwhk2Yuei7Y40cFzpMPPBvhVG70oAG6k92F
SbsvRH8Ye0xLrQOu5vOrXjwly1VR7ZEswMUvXkrbLpOOeMDMlzkQVkRHFjAsTjopRBYjbf+Pf+P/
/QWgWDIXBiJvnkfxdPYC5K0dxIYXpL4YOZ/qxXPXl2LVKL9qxFc3dVlPzn5QsSDiWGowFLBBfLyp
luPJPOHE7ncunuyohKmvqes5ru40LQSBuqRRG+1vp3VPWdv8qGWE/E211hc9iwuJNuJLajCkCmxG
BpvS2YtoRW3beHaa+FlhMSyDSFOD48jehsgi6DN8mVzI4C3k4Sn6ThnwblXDnTbbt6aKXv+nN5vN
1TExeTCevhy9551ZN0PAr+8Be1239TAgXbayu7Eii9RMg9+fX45i9uwGUPui12SoY3Gzz70cA4PL
TgjauZVzHSokUdl2sK4ju74eo3iXxPKpSKovVr3Lt4hrSlZ1oC2S7f/spttDTfDdjBgpjpLbOooW
rPJepO6vpAu+R4n708qsn//zrwlh4++X5LFeyJ//XdS7aczduiGuaBD5ywjiWf6pkuy2FemDoYPu
CgESB7P2xb282LwsWBm8vMhtBQ6G862EeQuSMvrHfkyQCQdrw8b3HYz5OjGbH7J6/h9/R7TE3ESO
Uq5rXYg2SsuJpSQ8SOrlttZSHt4gIfjTOuS9WIdThC4O9nA6c8z//Mp/79jH1xjTC8gWb/murFJn
LT8D1lY8OVj5Bdz2NV05JuLXtlm7NwhB2yFHnl9M2vVo/IwDL4WJYMh7r/5hYe1m3KVVpya5lo3q
dhpBXK9T223H/i7orr02O9pj1ZzEBNQzK0p6H7n7ruxGrqIhMG/j1L3RHKVQeWbeTistX1aT+6Od
3FNXqL2RZN7N7EHF/vwLX7w1AiChRCHDY0wzSCz//j9nBKefg3lcIggJXK+ZG8XaahjSW4JTNH8s
85tajnCq0+qOv+OLS188Ux8vfX6CLM1Gy0JNVT76PNMC8R1ra7y7cn0nLPXFcfVi4+FaCHNYGVEg
SOvcKxI1Q1Nil6h8GhVXCYrdGjBgHPVXkfpiAb6AVqJKJy7CtmhLI7oAsvLxF9UAbEGhHirur/6K
qOmVyCqC0FvkQHa2g7141SXlo8bsEUk4phWNFPsIuXU8kW46zPnPLDchx72yPTMVYfRgawnZhWno
bZypfa9acB8srHuDfrQNoTo0BnjRTv9mZIGxCsNikQMQtWQ48/3nz8rlmX/5ast5i+kIO8x52z0e
sy5r26LygyleYH5M2cpRAgcRD2NbPcaFS85jqOJVX6pbZOKkJWpXSkLWnGLjzVITeC1vnOFu8Vp9
/tmWZe/De8tH8+wFRiBsfIVL1fbf53hqwllLE630EfnQuo6zHUl/5heHpn89RUtZCDwTFAGAhY8X
6Twk8rOySgLgynehwLS7OfO/NDa29viV+eMCKcGDBMYDkAOWK/4476n2tYPxNyq5mofD1cVCIMlF
cF1G0r0iWjb3RHDtBHm61xjRZUNw4+BQ4HRrrproq0PrP9YJJJDMQNAxojQ833Ycqxwmht6V3wgH
qvkyYHVbkCWNMd92TfsjN3EKzJE8GLJ7/PzW/v1Zz+4tyksqbMprVqnzMUzmlAYcY0zm+rLz9OQt
N25ZbxQIp00bejuj8I6t5+jbSmnfbcasCNPJtI/s74FlBNsZxMTGURGtv5h8TNV3LwWWtSYx5XrO
rfIqCSDjDJM8WCXK+nb84rUxlz3jw+eHpUsMt0ntx+JzcTQMszAvUwGrd5RMEEktxDs1r9xuPwYx
3d22o41XeM+uqqGypQaqZYgENo4yw2G+CjrpwR5senYF8aemnunXRWRCgjTxLw5W/cVKebEqLx+W
R5taVdqGe36ksVSva1Hi5L4zgdGxMvtUzPluyNKDXVk3KlTdF2/u3+f47OdZTDbU69xibD1nC6aY
u4Zqm3wtHCO7KnHS+4GUPL3Qs420qYACjbzZJGVQTeZkVXo4QZDs2eWcELIRmeukLb/RTAR8iOmx
6ZK1k5Jl4VZv1PV7HeiNQRtzhe304GrpLQ9KuXbdXZ8WT8JpTzm7rWPke3MwjnbO/3ly6XwO5DLV
kCMTw1j3JsMxOSLZ0BxSP3APmCtJj3/d2/e8jXiuSpjBnfZtSeG2QvXHmuzrgZ6M0SMY0fTnedaJ
mKyyiYRCdSw73dppHXGLmfMVFf1y8+HcQutomfp4dGDOFX9Z7QxN69iFb5eGX5jmjaytHg0Dmw1L
xk2aRilQ9iRB/0SULLmMm0xMbFWD1ZLGOb/GLWAjGcvnUE6nONNLLIPuLbmIpGY5UBEderIFmbld
pq6a7qVHNVkvJryxG1+jUherPkmessEhfYt06t3nC8Fl4bw8m+Lv6RdUGhOxj+svCT4x0j/ymCf1
mg7l0YP+sp5xKWY95ZbXQbJKTH2tQOnFHtoQqcr/j7cDZS+HfgJ3MIidle5OaKqwNvgEWhFYBG3z
6gaDdgcS/FcuwNXkXuR9caC43Af41tIFqyYJyQMTefatR73B/UuT1A8rlo0uYbAxafG16XKTjNe5
CA9ly4xsmRbVhrhikSG0ss9filLtv7gB5uVKhmKb3Cqb3hrgvLPTIh5/AKjdlPtBzmRN04UfmvZB
SxCoqD/TgqIt2rccb3AbGns7vbVbdffFR7jYiChsyWoymGdyPocm/fEZKKK0Y78ccr/knGFX/W9z
jCx45DB7zK4GJts+dt54PWD/JpijDzbyh3Km12TiVlViFqsxmPqNlH9kyHHJymPqiGr+Yk37xyK6
NHZs6hcDxc35LeslLJo5GXPfVP0SYaKe05AOT+hYp+UWaYX7BSL/4mSyDH//c8Gz5zLqZ5hIOhcU
5T3Ci70L5HnJr7bhGX1+A/59JcbNjs1OTKv84++f2nE1OiFX6nwrSyvGX+Wj6wZ/0i9qwAvoP4U8
zZtlC1rC0miffLwQ3u5awHFZNqLhva/ltZuSr/JA8pEkYVr3NU27Q4lvbGrPe5urfDUW7lef4eJU
yWegg0wNyj3k0Hv26rFnxaIm0NEPEjfahlAXyBxdSt9EDPMaLJbaNFVT+FoOqLbk4Nn1v4FQxTe1
A3mHQtH4Yv351wei/MZpzYrAa3+2V4aQE8vCiDK4xZmFpbJ5SyrW9s9v8fKXfNiQGXDwbi0TDTJE
LkjtYqLnqUeR2nUWStnJKFa2UctjU1NxRBHUta4oH/WMxvLn170svrmwTYOczj1HJewhH2+5lkhy
cDGnMdKeox1+1zdVtp6fd1O5ypjyrpqiJu47rvuTNQePpazKWwrrYDVL0sTGat+wMfqy0x41NQd7
ESYbNKWlL1g0V/Zkd6ukI6tustSjRhbLaW5FcNNPWycufxnaZO3mriYk2O03PBTtSk+719nhBU7B
KscW5KEWMgAMcey5n3/zi/WCL86jxtfGc3zZqR871Vmct+RuocHref0a6dYE4K7FERb/BujQfVHJ
XDxHf+1KLgNzKn8AbmdvcSsrjAyd7e3CUAeH1EZAyrz69fNvtdyus+eIv50qmK9GDtJ5zRAQfRoN
y/lqgYKZeviE0BcBZtJtPr/OP74MAYtIYyTzB9bbs7e08coqMdrU26mRvFxKNLDNZffFl7nATRA8
DsQfqc3it+HtW+7hfzolSnRMFLOBMZfRWjs61qt87sVpSiom34LdRiakowk9iDdOExjXMnnQkbcc
80ris8VhUtMqpSmAxiGzDBbOSBJvFmS/cGONPuOq+kWOEvpZFNu7SDIZ19twr4+2vMqkQWaFsbP1
hW1FItZXL95fP/vHW8VOiqPeBCLC4nJ+bozbvFLIfG2oDajM4ip8dMsx3DB170518l1mZNqTSPR9
avorTfPC27gkDDud9pPo77PexHpGp3eXifrIK5viaA8JmR2puQqN74Q1ZD03kVpPBXwvL9fforG2
1hH5X+VCZCNee6W7JOdVqUe+9ohKyCh166GWytn0ffo4NpO7igvO507AC+uK5CGOnWTHEokeYkBl
q3LD23oz+mCRSouZXpoeGAxiwFdJcGDeiNsn73/3HUDZKJ7yjR3CpewDWXzvqSk2ZhAU69gcYJzC
jzYEnM1cmpuujl/agpRvc3beOxTmmZ4Gu9EA+0eq7qG2g4IIAqv2KwSVo0tgXmhPV1HEMpRq9mvl
lHjW5cMQW8XJrJNT4GK7Qe/TbR1B5p8gZB1kQLmtZhRRWUHGbwmB/ypqml8uNqSizJ+GyrjWJK0V
Jxh5YmYAtlFdi8csgi4S1mhTdU17MLv+RuBPp0fU+uSPOztbVj89rwp9o5sKP5/bCXtu2N+JKvox
Zs3rPCfieo4ycjXqxgKNR7y9PefE740pZqhKIDeCAbOy0nheTaZRLY3IH/2ovwfaoF17ITMisvSQ
jdvf4rquj7Gdv3YOMsdZFtrejusNevTg2CX1vAv0NNxHkZBrVm2Y9vbSrWg6X1RhcNJF+L2qZ31N
fh65iCDGN3E9x9t4wHpSYATpWjwvJqHPidMQ/UL8QJbU+YbwQXeFCEw7kJju3Q5Vfura5NoOc/Uo
GrKYhdtfB+THt17ubM3Cy3ZFbARvtbgmlQNdZAj8rsx+Qg3tN1o59keHVIabpLNIT+jt+mC6jbbO
m14B8dey9RwUBjr9vnimcL9TXadWVuvWpBk4+iYqyF5VNtATeARgrgvrbsxVsObo0jwNc/Jm8fxb
ckIRFDiSr+qTkSWu7AJ869hFz12UII93xJbRZ7/nowMdwBPmC7D84DTYB4VUBUDP8q7SMcYYhHP3
IrgVZTECPl+I50LNVwQfezzsj3VR9WQheDuO5MUpc5ce4rc5HcNvfZbWV/1QHKRTa+ssF/l+Fk22
ta34tnSH7FtQe9tiYb9FedRstUwL760O0Zghvxl6Ge+VXepbzcb/7oUyve7zXZ875ot0yBjsrqtk
GF/6KNh2DpWZrLGb12S6pI3R7GaXxMNkIOKkNqe1NufHTrO+G7VpQIpxrP2Q1vFW12JImZnwYGgE
P6jw9atOD3ejTmZEniMFG3SvoPgWBHfHmFQ1LS12vZyCTVfB+IwbOlHu1Lhr3gLLz4boGAaEchgi
h0KZ6ybIDVVu2pK/KZ7j7KlM5lPv1dNemxUR7fT5SRdIb8oCLR3wQGc/lAAV4gAlD4KMmeOIEa8M
TtgQOQb4UbTHoeU5xjYGZ9noOWIoqUU3cBvHLJruYBvwE1AqblEGHyrDSm9kMQCKTSx3E5ccoTnE
2r5S+m93lEuC2Uw5JVmN6jmy9206Pamhuwexgg3FNsHsemonrUXNmyJbGoERgbD0LLJs9Oes9MI9
Sk3UxmR/w0B9tRplHGzHnWDkYkwp0BsHJh4PJ5X9XVcdY/N+jvriOzqPVZIBqtYTO9yx5kz73GDJ
cJ1I3E5DnpysvsiWxw9NXi7CFdSOIk6L1SgyQhRxvZdhGB/qnAVZ0bM0sunKqbxbrY3DY9FW1km3
q5vKPsjcbm/UlKQQoTUsllCj7MLKv4/mztXBKfd6guwNCJDnttmjCP+MaTXBGLJdwKOkvmJa1tfj
WLx5+rA3a5zOpSeYe+U81UH81SjqwhXwtwwBq4vmloB6armP234gojm3DS0jEQQXih2Gvh7XEKLM
00TRuerMa9k7ka94Uerp/fODzUVgw3JxRgm0XDngcN4/u3gPOizJSzQjbf9NBeTFxhIIElLcO5kV
7xlA48Ab3zvDvUqgVawnpb+W0a1n4pl0Ldwvi9WZwqiV33SJpLWbDXXTDPdDopGLpT0HUjxj6yBX
3phf3WB+NUN51Qf4m9w8/IZQsfsfcsr+fh+OTxzuSYe+UKS0RWhUZSX5MXEt4iAJmSLU9aMstemL
E/U/y0dOJAsF2TRsgpc+3rcZSKgdK5H5vUHXJEuOYyoyQBZEo2S90+7NRq0HWz53jaxJO51fPbyw
UwqD6/N7eNm9hsIMM4BGgMtA8yKZuSZ+qtHcMPMrLWHJ1hv6E/jvHRJmsI/9qj0xgdFqr1FKrbLK
JltNebhZ53fHJS6W7f51IgMFbm8/rwczwNSkZSkyVLXvmSVJs+2uhISL7KB8qbIvWm7/6LaAAUWN
Rr3P1OO8TmBVs+sp0FK/0AhwLQVi3DJJDq41vUzpYUGka2Z/jI1YfFGg/Ou9Q5picBRlnAOx/azS
1YZpSlvNTem0MQMr7ACdZ94CibF+VpG601vxmkEqmR/mPPkKUHCRvshzahuU/pyFkbhd2ESVI8Io
QC7mM0SCpa7tNMO8LRSkNKZw+IHfx/7VxQo7dB5YpfCRghmGsJyT9ShDa+9alVrP2Kxlf2/NoGo+
f6T+/dv85+OddXtUaGHMynikWufBrefj3x6AlpJwXQ33pSm3E3Y/8xiD9f/iytZ5SccPY1LNLTIv
gArneNg6cDp64CKl99M+kmJ0p+xWrIzCCa8mzGMbngcaBDunz0jHTY2dEei7eh4OWlx/1Yq98Bzo
hLeD7mQYidiFJIulU/WfgmyIlKEnQ5n6TZQykTJ3TsgWqcb+rZ8auR7nTTeM4xo8m1xpgwGQ0Gl3
pgZZuSju8u42H9+8Svwyugwe0UNYD09g6d5p5TBcGOIt+2dk0yQ3OgyVmOa3QSWCtecGFklmzZtm
V48jASGofMN7HYHCqsjC56H/8/kvfgFZ//stGblyu20IDIuH47/fcp66XrgClkcX88FSaIIrLeTV
S+unMTHvVC0QbgMn7JP0uz47P7gL1qoxPLjHdDxzUzwLk222smY/pRFKJnO1GvWA7lTNy4yQLt8m
/Mf2qW3MchPH20rD21p4wxf186UwidvFt/C4UfwPprUfv4jL1dOOM5VPaUtrdsI7MUs+QpCYTyPs
j7Isr1Tf33ZGDtobdShpS/M4PsWezVZmEmjx+S+LA+biYUaFieuBFiOLM5Taj5/Ic1Qqhx6TKweS
5ak/FFGNS6LeNLlGTJ8hrlXlmOue9+gK5Xke1kwJa2uVDo5D1AVR306R79IAU68qCGwp4m+GF2bA
jezBjxhU7PSwrTahp2yCnL0Ho57aNXFGZGREdEOy4Bi35luL+PV6iq/otTlXblduhjLS77QIax7M
e1KOwFOq4ZQJ8T1tpbOBafQUxjbsWE//sUD3dlYo7uOaPERas83a7oVC/CV/9aoH6B0RB5i0urrl
eK+th9GctmXbVARxCe/Q21ubIyVTZA38thY22wkeI03zhGqLyU6mn/g0G2W/ztYpNGXuq0n+LILh
j1EE74PKQ5gcDlbNeZS72fHeWJRQEmYPRisMXwYEnRSwQzb4mas1JIpqg+mg3cYwJnFpDH6rIDiw
6cZL4vbEgaVtX5o+u0uHoNxVYUdES+IQlT16P1mPvVXb1uoweGm0CurIuReyde7nwlpDv2dj8KtB
yTd3oNY4dnoHHy/Mr6LRhr85qMOMYPk0WiNdPB2b8XAcvf673Uf4kYe233GKVb4C5GTE4R2wygRN
xUgsBjLUVRa2q1n0v5XSvvWp5fq5xT48u9NNngYAGSN35YYTxhztobFVQqAnNbrpDQ8CeMTKJbxE
N+v6lHXeDrEAqSGwLcrKgD6Lg5n3FY+Ga8JYj0a8vInBUwbGPTAm5GtC/Mn0ztgJkdKnI46O6Iv6
EIeztZLRgMuwrp5cTa/W81DSXum/D1OmViXD723iIETM+iOM7HKbR/N6NPpwbRvlCSaVT42OkcGp
cDEVAr76nq5v6Vt2/hgRquUPzURmhTt+x99AN7v60cRF4he2iA+xfgzLq6x4a0SNMSO2cTt79Y1w
oOXxQDRGuK9YQmLNwMjaOx6RGKa70/Cu7eMdu32/N6qm3Hoe0qray+6KtttHvVltM13cdjp6oG7Q
2Ohtnrv+ZU6Z0usR+K7oaCcuPkxUEVut0/zBQdTM03saA5KbhBn6WtTuS9N+byWulnl+VORMJlX7
2y3wbmux9S0IjZ9GaJDsFAUTxSQTRBPDFZ2e+kX0EN+HPMy2vOgw3sfQITVDbXrTSECY2n6SiOwJ
JdWIL5el0krG18kSIMyQGq5jO2NaLsEStLkJ6bkFhbnkVhRT0qDPyMRVO5vA41JvO75gcyGyz3P8
DmU+z6L7wxNDQvLmeFPw7JDHOkY7q+83ecjuWqgl4oIEs5IKgGCsyuem9QEASNKtwkMXUSsNIlXb
pMw4Oebpj7SdN3pv8PvKCtJdGBM+Sn/rEFdAZQs3EFeRXBddN99p2bCZHQU7sPI8n0B7sVaxsmhr
lG+5QQYHIWvWti9rc623D7QjnOsm0oxVHoFypTI3NpGjfqiwQySXRNEtEUbXaEFh5q70uHK3FiI2
Stuxvpot+3VsoTXqZgFlt/ejsGMBqI16P0ob1KuOH6wx8vZEqndInAdcAE+YtyOpreagZw9N+hym
wCTSNJxu3N6xTz2T5x3BfCQjQowPiyUTYmJ1rTOLnC7aNusOZfGhsiXPSDI8hkVrbzVU86vA7XZl
q9pN0kS2Dz9zPg2dIRbSoSQrxxT49gip0bXnIUoiPwk8MqdnEy+bp+NO7LbM4vDYRqJbl7Va4UIS
x77+rXlLXOhbIUvaUiZ0WzVHxhrc5KuBtGRFHtExHzUJ9Yf/bgSkX1a/VLlLO1vRP529dUYKrRsw
ym5I7GhLVB6z5AgSSJNYhp+eqpKN1Yth2ySVIsg1e7BLKA/sIB71HIpqV3uRHDdBbP6pBdgptH2O
H0ayWBMQa30fShTdnKi6U+TaQLcwbG4AY5bXtNDdbUdmx7ckMG5Tb8zei0K/B423ispu6W5ou7xi
UbP6dlfpxuAn2C7WZNrwXvNy1q2Kt+PYUKWgt4jtYviRAigQbsREXpv57TQoStA1e5dpUtHjg4qF
QLYxJ5uui0lZIX7IS2eMgM1uRGX5oNWc6u0qehqtpjoyK6p3kvn3pqhZrJra7n0npfGOe0Lb2MoO
dmlekWU2q8OYavHL3JEeyWDiqHdJtfIEWR55VNBtKDxzN9lmTP4X65RhqadmyK6dts/91Jtq+lE9
5rd03mXmJL6YU1zq5wi+55iBpVwyTQAO8/HAIb06tqpgTH1nhChld/mwHk2rup008ikJJZtvksg9
mZRZG0u0LuqelNe36/nWY7WSQts4ciAvrS7rNfQJ96vPdzFIIZ2ZYhlr1KJ8dc/bDeA/HK8qaTNE
6IpWWXpl9ow5E9E8aOyXszHiL+8o1eUwvGrO+Oqa85Y69jepxDct/IgvT2gXBzRGIg4DSJpPy2Ts
7PfKKxfFbefEdF/dN9EO2tEhZmmTK63fB1V5KHmJdnORuyRSGHe93XwLRbYXVdKe6pisqkgqQkWL
GPTn+NKobNybXqyvU0Cypt7opKe0yU5vOTDbDuzbliGyl4jgaHcq33horEXOa2tnjh+P9k8nA7As
J7Rihhw27ZA9woS9GsyCo81Az1HmXr6jD2QOdwYdWXr3y7xyumpD+R6bVf0yJ9VXRdA/TtUYzth0
0Gwt6tbzkakZ9Vj2jSL2YVKjQB6Et06K8ndtQV/NLeDXM6aEddxwGA2Nw2RXBwtfJjm+uJ0il/cw
pGr6oj51lqP8h2kSHwZ/y/KhIO9dTJOojAfRTEbka96SQ6zabcYg4SrSW07T0J984paJe4zUlRfY
3nboGRaFIRieSE3YWUM8rZNFXZepP2OkEebtln4LuxBhlsPS3Dg/YvrApFh3Oydt3bVhhxY5c5l8
ctsWj+zYH7xuak69y3pq192LAMXiOsmBuTakQ9rvd7WR0Dkex9/xErOr5MhweZxfmP2aN3VfNpwf
mpghQvmndU4dfXNCj+ECFVV1l4yGXHXEtK5qs1v2kcGP9aUHTJN3harQR+IWP5gkYTVVWPqGSXn6
eelCZOv5L8xIARvN8losJrfz7ghpcmabKcvdpa4ZUofMxFeF7f1UJd6+iXv3xOo89NLl2DrfzlmL
xXvmhOWVwTc9iII1avJf9Sw5JLqTZB1P5+uUyn8V6pwMqCIZuLtxUt04c/nTKDUOGDrsvaS1HDJi
85wTavkNs9wxtSt1h+aquFJ4EFVpcK6tOLpTITG36+XJw2Wf1UG/2feLFXCo+Be6mYFGzlsUOyzu
68HI3xVo8p2ytX7jiYhQv7Tn6KRwj6c64ABlWyQ+lfnKtGFTmK19n3eM5AoPdaebVVtTqx57KzCZ
ZnU6bGqOE0nbHSI3M47eSHe6JOTOScVwZy1/FErfD3lJ7mXDay+KJfK4hKnTuofaJNC5jzRKNI0g
vjINbifSgX1t9sBpZ/WTKOs3uCTICcyQcQ0hQr5TTTSF7fdAWcYjWy8m+F5q+3ifN+ZtYxQ3pel0
fho2Kc1O6RynXu70kSgfkx/vdhxLmteJEa5QAxMA3boeiGQwxMGM291d2CDDbKltWHR46el5A8/p
CxDiZEsHsbux6+zGG0EWxyIeWXDKGw6lLl59JOVtGflxSdY7GVH6zgvvzY7+oma1NsRjqwSYONyZ
FsShpLxG8TNt8KtXV0UTfdfMqV4BzlJbgxyETetQj1TljT6KO62BdEfDPL6KyM5dTRVFM9wEjbB4
cusHjstkpupPuhO8Tggstk6W31Li/SqsP0L0442RkF89Z1W1QnoVVJYg1K+SxygQGCnMfBfjyVyN
jKCZRBhPTl4F6xY3zF4Cz51j/sI2T5AlsnH6Tu764UyEF2fPG7cmhFJrmgg2Nk8PK1N08uzjONfu
njSFu66zp2OV8ng0eOG9iFNUJ+IVTRQm1Yk0dkNPMHwYpcPOUjZnJydfDT0CXC1tX1VgFIdykE91
XBgHlXF/KtNPE7fiJbeC66l77gTplJB+e3IdI/2mVt7LhEb1OppytTEjhJN1JfGRV2P4mE8DQNYo
/6mHyZ3RjOopeaqLTTOsXTU4/lwN+doTvB9VEwOnNOR1pWn4RMP8PkJbtk7znAQLcIl8uii14W/P
4zoK4dWLIARXk0d+X2D4LNIsOzpDfRNJaoaIPf+KpRfWU0zgBdww/ok6asbAYuGtS7QaSMxT6VNz
O6uC5I1N2fdE9ZZFd1xwZKnVP0ejAl6ee7+7zhQPtCp8rdOvx2oc9mH+ZJhaeQ2LnixwXiSvpTuF
DdhgfCzbXWHNml/EFiLGriSYrBZPgO3dfVtoHLzcSd9YUTFyTC60dRqTEeY6zHcTmzFZBpRLpuF1
woVOtl3tw95iEe6Y+U+mVgCf4khXQBYo3FnbCCdJj1HWXDEg0F80V/wQM77Kgu1jY42Bu7JqKlKZ
hcZz6PqlR9M/nwoXw55jXBWZrehicnkLg9G2rVprW7XBXan37pYG/EM6McfzCCZc8Yu9RtGob6cM
9sBkDDAXwngDXeQGUlUPdgK1N+adkDiBbe4Yh6ihyFFRYBByn+zNTmir2qAm1tJ1pKcPTLe3U6zy
67wHXBFKksrSYW63U0T1btkHFcPyDDK9AB0ieT8iINrOCH6fDGHfXPI9E6PjjM2obIqYXoZOpG+t
BDRbbdvHIpdrD7GvGly5TQrX9MtBi7ZEx78KyNvrCj3LVvZVB+vUfXByGK8icwIUfqzZZgUhYeNo
pU4/bCQWbJjSnUnzF2O3vbDaBZi0aLJfI+byBj2UVSEydJYz7APCZzdV5DwxpPHWo908UobMiNcG
5LK2tm7UPmu64FBXUe4v7xfSfVqubcxUzx55giJHO1ijYZNhYvl0Fei0JuPdhMi4cav+GprdyPeh
Euvsu6oqwvupSE5O8gr11DzMY+YXIwzLsZFMS4uegzdGrLUIup2+MyYOQ6IJINOU07sqqSO1uok3
6Yi24jHP4+JFak61xZ/A3Kiklibe0K61N4dERxvcYTX39AvLmum5E73oBsYvhdsxGGzEMI3YMlzY
pJFOwjR1Af8YeJRygkcGvcy/0wr4U1e9zwPD9soeEjKH45t+4LlBg4FuW5ve2Jn0l1RN5ARCuqJH
N62HyRZLtHG+aDBQWs9pSIJtzTWi6sYyIO+F3KedNxvPbtp8bxK6NPXdZP4vws5jOW5k26JfhAi4
hJkWUChLT0mUJgiqKcF7kwl8/VvoN7kiO6jJ7YjbapVLZJ48Z++11y60aw0DXTcexEixAgalug5r
ep1b8UBJx8kzsrkvXr3Pc0dnr0p+VqZeR6aSSeg5XRWk04/GtrpjTx9rt+rcd9fxxatmHAJ8osLo
GKCzKlOm0iRvchC1XuHB0c2LCML8EXDWm9kJepoVS9pxFRY/sDqFH5l4MqKsZxwea0XQaSYypIJW
k+3WPugbL9S3vd9b+AIXDJ1EQ4AyGeJOj9bSeNQklta4qKGeEDkfxmQJIFxAlPPscJBHS0qBVIJD
CuplT1dfHFvNWwme1p/sonyyV1yimbHZB3A+7DKYiJzvbLhNVard+rv8JdMku+1c52Vxip+LWbT/
cKx89eum+oK1bFfbZXaQuf8tzxrj4KzUN37V62gOjeqhZx3jk9VZ4C3HBted0Jn6HmJs3IfV8k+z
Xc2benhJVB8/IF6Zbul94xjwosRgS1tS54z0Ei5dQ1oD0BsCR6ymR41D/AE748HzVxFWyAlQJQAl
89Nqukd9M5KwNYGe5rZ0Tbv+WiTQjVDUhiWTtIMzW1XgzQPJPCtB0n3l+pdctVGvieGUZiBLx7bD
fPbCmhanoVfLvjGdJ2nTT04ba7mX/YM//jSAz5wN170lN+wur1rn9UHJJf1RZ/d9iw6GfFRx0Zf8
bRb+S9eTXGPI+dQjHjDUBCRf5lc67qfRwJK/1nI48DwU4CtiuUPgsXIFdrQDt+J7R5fiOibtN887
97ilQtbsuKtikotIuS92gyysy9BN12GRXeA3bJL0PR/z+NpCWbyv4/lqOrgfklrkP5hfTYR6eBKP
QkUDeVd0XU6336D5SezKiNplWtMz+xj54h1zY7EZnvq5uLdceYG+oWg6jMheVBGSjaG2fNPS8y9L
VpSnZYNIpmm9ZyMYQwuLRF1k2mPe+2dwTeo2JdI5rLv2yB5qgo8DVyOfp8lKnqYedOe2n5fbQ9cC
NagK/+C3E4875ZQ3uY+m1z27PHYIwMiXwj65M5UVuJZ28NFuwTwl1rzWgTH1uRvSdszQYAEZgqa0
M4JiqTLSw/PvVkUxynLGr4wKxlzH6qqjG0IgF7odJ9+4Ss4SxwOXw35hyNJEBUZjdCBysWR57XJc
JjvlGF8L2auLI2o2bX9r+tYugKm8flkLtvgm8SXCnpTej7IwOcXxUWVDezuYc38shuanXZXPHPdP
a11LwL8cQn3BxtGm5ZdlaI+Jw0/JlIFttLCe+OcSQEbZ1c5k7MrMprlkQhbJOymDybLOw/JtK7nz
miqvkfFzjLNo7yoDsU9q/2pa/6st24M0MEqkzNTuqwlNXUEySGvGOeEXhFYEbVfWB6OqLqM53MzS
/lm7rLXRAvlZonsPbQtYabFWm4pxmDfmlkeiMV+N3XyvZPpLrcKFfzsvUWH4gW/JHbBJQVlmPfsl
cSwTS7WUy9mU1KjUHBe0AyecUfOJiVDpgYqqhpML9bYk1okkpfWbyHuqeAfKZj4lL0bzJIcE90Pp
akfLwgFnxeThrgmqRC03zLCqmUkih6faquCijgZhrgzQ6JreQpeE3lwu6LV6uJrgydzzmjrPxSS6
Q7M67TWRy9bV/O7UQ0p2W5qd58niGtRQ2oqh+504zv0ST2I/2qwb1RaARYdfvLnksAySV5kSnRvJ
OJ/WfINkb79zJkecV/BVi62kSyr+62k6D/GmeOiRSfXzSBN5uLdixkMzA+zP78rGNgz/oxmBY1Pg
lMcvAteHZgn//n/GxM6cc4NLhRN1Wvbkl9aL04s6snNoXzFp46OfvCB19EGmBVXq1ajV2r9MzRkV
fngPQgc2hMzK9phWv1dCD5WZNCjt9YjrNUWNnWLcX2tCooUl93gU5+NoooqcbQAqhpFmO7mI7iVm
eXX6Xid76qLKMg+StCLDdjW/VmZphbGVJsd8YoLRpz+QS9zgdoGWVS4PaSv6MCeIPpry265vvEc9
hrkT40nQjNx6wAv5y9gQ8N0W0uQkGRHUJM570vy9dDW0uyr/6lTqq15PBNeYlnwkh6Y5uQJ5HTX9
SR/L6VEM2j+lRUZ7Pg8vbRwXj5Y5fa+Taz738zczbizuR+u6t5rOimy9LKLOJPuI5KHyiFLC/5KN
mPqfk7QDPylKjihFaHIL1HIdSSaKbXHTe+l8KSRw48Zrj0y5/VDmxNzIMlEBst4kSJRug1GJmf/F
jGJUXVzToXNvTW94SwR4AGjRHG66asNZyuXS2LtSrdq1rPM1qv1nZGXdpSIYWlRgQaRf8NU7+W9r
YP1n2nJrmnURmgNVwNg6X8uh+Ua/6XbgrvxQrMtp9fMH3V6H+6lOT76VsnV405OZmks0Su4zpjbe
GoJgSUTpCSBbAHqlGyfRgCRrN7dw8IcexrrgbKc4oCdN2rF02hMOXGtfr26kFcVAyJO6lWQg99Vc
hxBuFJi2KmApQ99utZeJK0KgpB4fVtt59nObCq8fyPCT1mmOje+4UBhnzYu9l42V78xa0pnXW8Xc
8mjZZXzA1DUGootFkE/+1eACaSs9Q+vmLA+OWWknRtz78kvGk/osFtcIzJ9Nn2TfFN4K4gLVP1Ni
BXSr6EGsGL7nTDQEbZrfgFaVVwNvYVQXdXdxuCDtxEop13MwHNlU6stqOMuJUQ1stW1PzUzBlSmR
D8vq3IF7616cmO1ULgxC7GHgdrBR/TRNHJZqxoXIeiKseN5rw1zfCvVgyJu+nuVh9pwq8kdtOeZk
GwaO1yMfaqzkWi/mFbaGAY/aQJxN1rPRq/acV3QD3RqR4+ebzwf5FN05HHuoB2EPbE//n3tP49o1
l3Jo6PV8MHsVB+NKMB+WIgq/+OAAj7V1rKl/Sxz9KBDCdwaQhJ4N5g4MNZsz43/2vMRGAcjgdI1y
T4+Je8qZ2zevAsZss6AOwqfZk0MUGatxlzdcDz//1NuO+ueOyy4L1sjkaIOI894p4elUXFkp1qgh
mOEiq/Gt0F3BEJ7slTZenj9/tX83zz9fDi8m+jS86TZ7qG/++WFbfcgHpzTxZJAoebbQRkUtldcu
rm97rWFQK9HD9tajw8DlYizxt9HXtYCRAAx20bb7tdfTfSEzsruqOd+h+whJ0qPrpOm4B5NZDypY
oAcxcX6PS3ZniUKeS884rColC9tGnk37Zdg5GUM5lSXkWCzUU/4KS9DdOy132dJvGdqr6ZGW9alc
e6oCrRP0L5xXnLTtId9olXw/GYtbfv/8+8HB8eH3cDh1mDxhjsHv815CVOLbT4CQ65FQsX7xlBvU
DaE+Cjv07RwaGT5BJAx+kFnaK+LcDmpbhThywmnNMM1hqZJfsHgqYPL5r4L4rqt+xUkGPq3COQG+
nSF2X0XYxcKqjR/HIuGmuZhvw+T9htaCiJimX5j1MLW56T5joFXPBDH0kedVKeGG4sZUwv4+oA8N
6nbmrwdSvLQLja0Skj6GsR9Dk0/fhhs3Y5qY+qI5xQitw0FzL323fk0GLb9XNmBkzDsLqm0tvi7o
yEOC2ZdIFDgHlNt230yJ5xPRTomD1lRHZXvy3NuvK9IVZvOF8WKL2KYlM003yTw4VOm1cRjm5l4q
v7hlTkyrpeuyM5rmcCmIkKt99rRpNiaig6vHpU36sC3s5FBKoKdG2fWHGRDqTvRIw+FuQlcf0aBJ
r7tfm9EAADr8EOXcPlR19WQ7arpVXh7vulqkhw1/ubopjWPzIjrOaFm6GLCzFV9BRY3MVe9qmglZ
ssxNOCQDJugvRmXLky/tcW8p7yDEFGaaSCIzdfqznYlLRvf/gGyJ33IqzpBmxH3eGmfNUs1pZoaV
u3F9tpgTI8AXTAM8de+C+NhVBB6dlonYuBwddDgyYmeCjR2msWwtpK5Ez8EPl3vFcHJS19sXYT26
+ZF+vxb6Y/Ma5763K2tdnseSZQBaDSlamX6d6cNfUm2MzwvKFe6i3RNLefnK9Yr+QmX9U6OguCDT
oVFt6WexFvdzIu6SsfWOHJDVTgoDRq+pRd5cLoHTNG6AAjFcHMJmVuLfqN6bccyvLiBbhp4qiokK
IqFpnrd0QnFURA0B3okaquDb2slmuGeXQq/cqMt05FGKYSygNJxGtbhptOIpKRvrKbdmA8pI8iTp
/BLO6e9MJ32QzYLMvrLeso2d4DZGFyyXBXAUSh8amBpzmapmeP6XB/xDdQnaBmkJe63PXm+L7d//
z25fiKKFlYebSU4sHtOb/GNpTo/0+daTjyqRYcf6u029+3G1CaFL8fT0i9IOva8/xi11z+fv5z+E
mRgWAGNZDpMQHfLgn+/HGgDn9xNJoLmTNY+FPzdbonIFTKIkVmzzxg2lpV8caR/tpR1v4e2z7/XD
A2xVJjOzC/A2axeUlURLthRIz66dFfsqv3ZdzC1tICFm1TQiztjVjrWfe0+orhCd+NOFQGhv1xMO
9By7Q/ZQNXgFxNJfzU2ipIripy/77tqnmR1ZZJqEn3/0j1xCfgoEhZgd4cOQCffusuE5cc7Nkqe3
MpufrH25+a6IbPYZd5itFhTDaCLsM5CHVcPFsdP265ysD8iZxM24uldEFogoPOwjtAxIOGHc05g2
oYuJ8ZjqaX1PQfdQ9l7+l0P0P+TyG7lUcENCpIkD8L060y6ogI0JLlyHton95wHWD4okxJieVUZq
mrHYteol793z4KN6rrwvqNe+fP79bXXJH0c5eithsYQdk2UD7ODPlTMWwtRcWdHKQ2prDIxLBr84
eQzfPn+df0uQ9y/EechdDOmw7b3XMdtrAtVjQFnAS3L76LjE686L1xhfCP3F9Ft6gWto4FbQkbRe
44ULtc4eiskOd5MMC1J2HVSRLjZkxHYCfW2notpwsZzNz9pGtjbEzpYTlBobGW6T68nO8LV7u8n2
ExqU3WTgDRdG89j9K6aB3mTxDSvOsbAt52O3XQK7xb///HP/1/frgmlHUu9uK/Td91uV7rTyC+bo
2knfNZT/Jenc87LJmD9/oY+3bn5JfPPbDrBx8cS7PYBNZvRzAl0OSbuMT40Ci9fsMaHcieTkThPR
qVYTWStdtaxDuKgSmpmfv4UPtTfvgPqXYp4eu2G+N4Bos5gyw6T09Zv+VazdFU3nzxbiZrsy30mo
yrzcx1gAtOXzF/7I791emTVFXCiSbVAsf67iqiME3lsLIkqljV6Pa2rHeDsgPIK5SwFZJi+uPaq7
fR3rB8NCUGPyjvLqyZfxj3TwXw0NigZj+oPjJn8Dvm0xlu+fMUQ+DrJ5+ArwvN6ZB+gZkjSiY1ka
9P6pTIHrxEUPi9N9NrzsoTGXw4YlWxeSTYnNw1YyMydnFKqYCC8e0A1sW39Zlts16N3TCDj5X8Ag
9Rn0vT+/MOSdE13tOTuMo3ydSFat2H8+/1E+1MAe8Kj/eYl3v0nLcCtOO0knzT94roGZY2sQbOgK
JjZ/S7z7cAF692Lb5/2fAxk97ZK59bQJB9sHtEv3yKiwDQqwgdqvzz/Xf72US2wNoGiixj50lhQi
zlS0hFt3znoDofFMMfCVcfxu1Lunz1/q40WLj4Xc03HgBCLjfw8kIzkpIxNr+1gq2Scix+iS/R7E
YEdJ0xT3CUpIbNfdvmRfC7lzDbU1Xzn3x4FOJAf8ca5UTjve/z1bP90ZM3eKDg10DIuqK3D4Ip7f
jbdjx1h+tjFLTe13jqV6p9msVD2+9TaKvZXqkSO5iWR2d5NZ+a29lIjV2tbd2RuofVwVuYzMMtmz
cXTHHgKD1GjJGkizAKTivP/L1/KhwYg8x+LctBGr0a1/f2j1ZQ+0akQz7Vf6Pjdh42MNTV33qHFI
ksjJzjZoJAVXln9HWHMc6ENG7K/ThHyPxY450+s0owxrPPeCp/DRqkiRYfCDtpbOL5Hp2FcqE23r
ADlGJZGTj1FuuN1drafIoj3i1C39JXfHV5r+T0ohmNChE+0sEyTfdpovTfk0uFh9QbW4MztRLlGP
xOCKPv8m/mvTF9imjH8BSSyVd8/xxtxOm6RiMU4oY5txprZr++9Mx/ow7VuuerMGX8Nu7vKFkUlj
jzPuiPmvCLP/2oE3piV8BW6+5O+9M810jSiAn5NIB2F4j1KAQLgqN6KaiA9uJT/EmrBi4jTdg4n+
uei5vKz8HH6vjJuOVTwvhuCqfl9ZxAoR8XU0XKhgees/E10nL3juIETbiTz6jXvQnbG7M3TshPyB
DZC6LPuVWW6gpfaFoaUVjOLqDuN0qLpblQMjH+d139K7QbeFQ7PpRgYBPe24eKsNhz5KUNKcRo2E
j9UEOGD718lhMraA8u1fhCVoJ3l8ALMwlhBGicOcWF6swiPM162SizEt0wnTjOLOgv950Zwo6eJ0
T93/Uk9c7Fs0Mm5S2EGVxZtefdMF6KjZsEbMfOJghMQcYsX+UVTrz8SqzhatykDmXbxjVO4FuBl/
2qQohqOBdiZjAhTF8tWw6fHbUu+Y+2JVXCeSYZkq/hgs2ybdnkbBj8mg+03tl+1Vl10B5sxRP5an
MpueEoXHscklGq+GrL6mDxZ/JYsi3wzPvWsHMFgeUvWPbpFkMtULzQx9zajPpn3cT2+mnzzQS3hw
E/UyFu4v5ztuqu/FKhmwukDzpXuBAceUsYzQKxAJX9LYrglZxxvEzLN0vtsZ6PAKIyzGBcS2puYb
YaycgYsh1nlCZTn9KvNctbLba+1waDuN6pFZX5AQgBJ4+JNWhrKqn9mukn9GR49M7ezZqgzM2j/b
LJVd5oNKq6fmp79Y3/7V1ma2estWgeUcwF6v5yeemYYmBhFqMnnTsuEkB+/R+xe0NR7VSFU4rtob
WLrs0FuVv/9VqHUgd6rLdsZWzxZ5f15ME6tMMTxlcZ6FRjHeoDRYd2Uj4TDY+TfsthGAUmREVAlR
g1Vn59QMji1VwuZcZhYolUoqeroxDGd31qZAhiUXg/AAO1rsWy92TygFDiv1VMC6YuzkozQfNMBb
ZfnSlTG4XuHedoVqdxp+5J20JdHUpf51JIbdSwcSWvJuDYXD/w1L6Qze1IIoinWgQgwmtlaxA76P
QejFtQmAU+4wwTX1sCsoAjrAPOx9wTKuEvemWxlwjbCYWi9/WsbuqejH1wIN9kk51aOwNXWeOreP
8la7qvJhmtv0TTOyWxd/8E56Tv4om+bSL/ZwGQZCilY6KfuJIf/N5GMgVOO6ya2ZZyibeeRQMXLo
bApaR7+thsraq8ZfiMlz0U3HBclA64vhZD8JStSm4YEq/GdXYLBIvClA4q3CGGqaMMyjzIc3vvFs
3+PeJ+Wvdw9GQzchbxmNgenfrQwFDovou8Bh14Iu0n5pWVsIkjtElGJ2joA4XvupI4hWw9eMccHf
GZaIahEbQSXP3M7dU6se3RhFlm88a6KG14d/yMry4gSbJ0gN1Fy9RasJ4MMTFyWSOC2JllnrXdSZ
WO6JPQFBcOjShicj7t5odj/QHUlvMmelyVlYx5lRhtWON06f7ZuiZqTWe/Nu0vopdBDP7Ez6kv9/
s6ldPJMwTFoTDidTL47nFSuEOXGLUh4pDa33HW8YrEGdRsXYartttIiSyCgCWHC33uxc9DIzyW/C
jOHxmwaI+gPYJM2RrlBgFm+ic+41bzyPwwsD+TO16kzukmlCFqb3wJiv8uMiiEVH/dBAoTVW8u9y
XGWGtTp4I+b7rHvSknk9CkAOoirIDM16c2/LJn+ph6YLXbphvv7DmGsSJNk9QiCEYZbnbwWc9210
vS+RDxv8NyO0eb7ThyRfmCoS95l4w3o0/e+ulR5Hj+Tqrqb+iYcxsDd2uLkYjFDz6U4RCWBZ8qWD
y8OYnp9Cr5ujkUlEsd54JM1oOhukQU2VLtgd72FZeWE2EXEjmg4D2+IelOrpRBVI372ZMQO25cwg
Inu52AA/QndzA1l68bVlOF4g25yWvsLWWpwsqTu7WYI4MKd6OJijmCA9POd9+uj7Ei23SoM4RRoz
TlubRgfsgdI2B65FLOXJAF8h4zc/s27qZvxFzOlIi5T+ga38e69OA3fa3LVOieKiZ3KeEyBbiYKO
sz3iyyAeC1sfrGQydvSJ3JIGUPNsX2JEMQGNbaCnOfqKUYNDqlaqQO/cLk0bwPvkAohJVPbBOMa3
szlgZS0RpnY5KayYgsBdYLEQtfWEMoR+jLt6PJE1odw2+AMKaBL3kuXcVU2OPsOdAwTIIiIiVfga
1sx1erDSxohQUqNjqsxvUzJ9Xw1sdNXCSb+2HFDZtEZz19yuxaAjmJ0CzR3vyZo8DmY8BduWBOip
wM31xtjsR5IkDw58ovNQ/pxS8aPBjhHamrhlVnztcp33j0SV4G4v8Nbbbin3bpe3ETq5fpe5irRT
x/1imYPLYWhPl96nnz+VXjjp7VNfjGvgkZCOghpeRgLBLGl4qoTWvU4kDjj69OA45pVpKfG0RnYu
BkcPcSYiypPJA/D1cErRUOuJhneG2xk5hqYTKM+B/zYCLCLELAmBj/j3umZ/a6RLjAvD5nbo8M1o
LmQf4251i3pfOguLL++uzgQJB0kibHoArEEpGcgNevsSNxgp3cq/X4wuWjA772rR4H3DbZ1o95qk
HkBgjNyX2Qotb/vLsIk1ybx3Q23F/GWf4zydjq5FKm0x3ssVTFLluD38ETDA7kj1sNC/oWsDoWo9
YX+lFsca4eVJjPE0G3D11bBR0+wGreQPy6+dINXIt0bLTvMJWENiJUfpULaqfEb/t9LIiaENBah+
uTk3N3Pl5FHD8b8DnYTkxRzLCKFwFTgp1mo2EiMa69Q8QJzts2qnF+6NzTw1KPSpCZZC/rJTpp9M
Z37nDaUcUQlhupg2Z9n6NlQVEAHWHY8hll49ubra7eSWT6OiL+B64Fh0fGjk0ZbBtE0/CpmuoVEz
ftF1864fOCc0isDAsOS97jTMqBgJ8P6BA5gUvRq7637MxSXGJMtWyBALuvh8U602uV9lckvV04RZ
3baBZU2cgSgU52odoeGijkVrRDNZQ3jZtpHAghB5y5SGlvfipkR/MWBJDw0hrxUqpMjrsyWA9UQ5
IFboR6UNdMSe2G+43kHQPWso+QYMpxEdwkNKzMBuFs13r928tZ6k9k3YVx2JIolZDjoytPNRsul/
O+5MOBTtCj19a0dlmxEgiKaUGX1Gn354NFakMnFWvMGzofL0SDxdzZTmSoz0Ry/t5DIKwn/VFFqp
qRHG59iRSlFfD+Os7wFH46fP292o7TmU1g7wr0+djYvNJnfa0+YDiA9qO9YQEXjmckzKWl5KgxtW
YaK5qrWbTA31ccpW4y8XLnPrWvzZOLEZewDJBLOH2fL9nJe/sW4ouePILPK32CAxD9UHk0rbD6YR
JCVd23AB4LjnSzlxNTdxZnRoXTGSh9V2nLRFF4BOyrkYm/NxAc9G9wd94ZQNj2lNu7P8AUJwDDUW
21/uzR9vixDkGYtvvRKdhvl7tog9JGk2tgl903a5DvPY0jio6wsN+9QGYuO7+3Rp6NSVyVe9wObo
xnH1Fx4N5tL33yBvQng0gv8dnsAD+LNVk4vcseKqwuhqpxrQYvKjM18dpo3v6Zk1m3xlc7r3TQC0
AO3liteBUVhtKUSfFD5GjdqmO5C2mjbiNwpLQTShPEKJVzdQr0xFaQuSrOD2y96pSGeMB9aSpwYY
OyYxkJ7YORpsWEUdj6W86faN7qpbiwevmbIr50QSmA7Xkhj1YtD190nm3OWJoZ9mxOd9IekweFAb
8q4FBGc/NL54FHX5CHmOgEFrdiFXenfw8+yTrVk38+pyxUo6NiHxrNzlPPTNI0NrDguJ/rUef3MR
W8+W1sInAL5KOfaIKzg9rrA/dmYvfzFWipYuRXYJ4WRZSSh3pqHnAkOrHMhQHhhG9xTP5oOf1Oa1
tL1vcG96CqJpOUlypVEG3aW+zzOWpA/6di1ysfKl8DdDOsE9dap48ZRE0VlXInDMGV8EqAb6N+aT
NIj6TROdkk9SJc60PPQuPQOGraJUo5X5eUPD+tBDxnPj08XFEUlL94O7znPHSR+oxqIq55So4hg6
XVOGzJFExIX0WBZs0BMJbSAW8l9aDQAuW0PUsWzHiALnb11CfWkIZNINbQe8sLuevkvgMPaEdqAd
xMzuk0PW86svPWW8yolFsqHRx/Mv3SzELomTJ4/StmiJxxwGIIZTJna60n7KgSW5TZSt8gv7TvKX
x5Ppz4dHA8yyqcOsh7kP8PkdQUmvZ9TBlamiZm2ZN48W+2YdIx60150J5ob9jVunO8UkSXdcAWsm
oB69nsiGRxDiEgszaaNDdJBNdqofH3Fj303C1fd9QwqQTSPW6LhlQLM/Gv48H+ecLNRspF82tuDB
FMXPzhzUodHSr/7S1KHZ60BvzdWiKhl5AD1xnuTYnNbZQzhr4ePDAXwsVEH2Km6xuB7rW8dpopOl
OXpQb8jAZoRutRSqOuH7aYgLXb8wqp9PdtkwoC3A1vWvS6+O8TK9KMU1t7PLq2uY7W0e0x/Jc809
5VPD2MIEpKKVEBc9Z2jo8kJXG5xGnZI+J3YvnR99Y32YO3/cDFcISTSIg1hVrWioBkI4B27GsaW5
z7iFSRp3zQApVBsVDOJLjOp3ePiPummdCUGTzKI2O3w6ADp0x4dG+AO1TV3tfdZmgDR9JsBe445u
WXdlk6Ka1mskwB5Sq5qavSJVID6X9LpYwpsmCg92R6DMueOuz1VIv7E2ksTSikPCvRg5oU0Zb+cn
INqInNP+dR7mt9Qqy12R2Tda3I/H+NGrR0VYTdrSJrmmelLdW/Scb+diDmQ2pleBcSE00skM+o4P
7E24FIyEYAarLXkxVEdJXdVhScYJ42hD4c12fuZFHR/yRF6lqvlTGUnYjlEeB5tTrds6XU6K52J4
6Qvao45y7QO9YmOtyZfK+R8zWehBWzadpPRHGnsQfZc5yrN7ZhnprU+gRuis/rhHADE+EV1xritG
dqgcLmON70RNRXrjN6/8EDayRiWOea1O/crxbrZYNPgd7au0VvJaFuwwrTvtV0d+dfwwji37bBKe
vWnkbZpEkTH5c9DaS3a1BPgxUl5ZOiS9zE520m0tUk6XhJrWFgx443tpGmWk+R3SvTjXscrjOs0m
82sxmf1pgfHi6Zl1MkkrTeOiJH/E/trEBiYZjvlgzMBOuF52wF8H9M+jSuvcuEQAB1NvYQQU4K3C
IQ9zFS0GCyB27K1XaNw3Pl/LsNLUEG52KjHdRsPS/MRXVQa+9LujRcJTAvu5xSlMSoNzTgf4iFWV
/pa6fu976iUR67dFuic5LaQzVOtb2WTodMzkqfdfFzO7GY20/iKs6cnNzepsl1wtq743z5JLjIEA
BDXWVQGAHDSL8bYMBnPiVEIr9fle/mEAtNknmb0zp9328vcBhaUulG4OcDfS2ZQovTjtawcPb2dB
7KlLTAXYIILPX/ODD3o7PhwIVTRzodW/T7bg1lD0NLYU/VdEV50GUzapg87XAM3eJNKlw6+rv8RM
Ov/xQU0a/pAKTVTPH6aPveXEce/3Mlq90TyWSQuzavF2yQV8KJEPoviiaTiHcCXvB58g6u2Gn7pL
vuv9lFDg3DtA3/7G31Gy3fPMLmuOlcGuuX/Fdjj4yXd9wBSiHdPYOYzDeEONMe7aagyqFaMwk04c
BU8VkXNbzhIxh6RM169d6erRouJ7lMYrPTT+JFbNLwJbmdcj0+EK8KrWJSJ9mixOrti7XucS0eIh
IyYDkVmd3Jl5fD8qyzrUVeGBc7Xxl0sDohLRHKZDA2MpxhHTAxyQFuFlxFIH4Ds0YTc9IVvSoyRb
2RosbYUH9pNLRfqXeuE/vnqUOOSkES2L9uM9G79Qtl4bHcVkXg3H1S9vYuVnkeEOb7Od12Gv5r/8
2P8x6GDqBFELEQOQyA8juax3irRk8BbRCH8du+aHiY2gsf1i13K4n5h6vij5T104boghEZ8ezT0C
Y3uKbL+kcsvGvVcSI0R80aVIcSZ9/gB8GOwyY8afDmYW/i4z8XeD0HhRXCe3XrXfWXeyRxehLPwd
n7/If1Rp0PoM1jsABKag7y8SG2RlctuUWZlIFwok6PQjl1ckTu0zm8FrYgD1MScfGECFCUdbtABJ
5AhpdcmPfoXhkQPXujN1djtFxtDe8e0f3izF0ceywIBEtpC8JgLcy7J+cFmv4ehz0Kct7sehQUEv
yhyakN/vplEKsIAGOuvBK8cnf0ZQzcX/q5AbQbq8RXLHDTHWX02/nG7dtPnLjebjloNNnwAMnaY7
Mp73ToPVLVGsewOj9NZPdwXnNfOMcudsPvJcoygak5fBwNT7+W/wHy8Lp8Mh5oiXhbq5PRn/M/Gm
mHGpwfDBr2z/FF8TZ97mZJdmmx7SGexz1yR3VoYh8PMX/ngFJkTVJpPZ3laYoJf85ysrF7PeGEO5
5k5Oim6P2qoeS3W15gVZlZ1flrhz922KHAfmQTzkX2m5T0Fioen3p5rqxMsw4McLRxtL01k2E+yA
t3C1HioLyhGnijj1KUJVzf2rRuVjjb2hJgUXeFNA+nsvEMfNBR9dB3FmoUdGW5pcIGZoRw+Oyb7U
Ifq1Pl2deUn3S+GcbSuhG0v7am6fHYMWvqtLZIxUF2Gfe87RomkB+OwXm/X/UXdmy3EjyZp+lbK6
Rx2sAWDsVJtNLsgEmUwyKUqidAMjJQr7vuPd5uq82PmCVd0jJjXk9NxNd1fLSmQmgECEh4f7vwR+
W6vDRZvPkHKazAd3e0LwjDaAHo8rI/jIMU6l3s2CmTTyuI6zqKlEt3U3ks9FytoUUY5wcrIFuv9V
kdlYZDYPrQi4+hLYmyhXHnokng+1QgMAo+FiZYgFun/c4G84IbgBKD7bc/wf9qJCkp/WR+8PyX0X
NtkltAZ7Ew8TnJYhOhh6qVyFmXI99HQxkBG/DG1H2S2WS9aRj3DIdJ1VRkFpRUnyW0wTa13m9ne4
sUfkR4Z91WsqLC6Rbxe196uA3677+hv0MUCC6XBfIrC9Q/xjl83653xxUae05+FiscEyiHjaabFS
75PsmMZ3HCiNQ5hA2Sya6Z1w+MrKR4LiVWIUiYihOoD7X07WGoHeBFWr2suScsaMoiFcmaazCVUF
FfUU1fUq0daCY6JV69AbuvUYRstFEiYcgNT920vnGYP1c/Xo+W4s3UCOl9wITd6XdxPVVuOa1lB7
MGzq1RAzhIv+5AbadzuJL5SCZoeogWEYlRbRbRQhiAbnOhzcHuZ7+zCQk66RgG+U+zRovqVz8KGr
RiZoZN1S4sflr4lwCgxuirz6zFEKCq+mwMCqUx6/fnKi5b6LdAqJdnmZdrxb26C5ZZtI7jTpvRqX
D2lUGGv1s6gjcz0naEWCnLi3SHKxH6CMWaPNnveY3HR+rnffcS39HrXJnbNELaZc4UWqwV5/e8zO
4TbnQ3YGLMiHoIMI1NfeJAuTMC9bcsk0vIF1/uXtK73icDxfSgp/WohbynP4y7eDkg+ZcFHUXhTa
3+harbHRZnhkEj8Ih7MOWT8dL2XbD7T9RvpCb9/Aee1DXp/cAgsjBFZN69x1r6VZ7S5xWHtwjPUV
ByUpViUecsU4oajAfIH01wXhnUBf5+0ryyc7m5ew5SXEyDaoPpxjB9HYrnW7aUoPxNYKgLLqIzyH
QgV+C29fSPvFM5rslZiKag5VQOds80DsvkFjqy69PK+v62b+qJfJl9IiUVJjgXS/0a3rqu53dEKV
FeS6biLCBktJUuAeFU3d1DM6Uxn9x8uitW7AXDprlELmd3ZX/RcjwvaATKlKhRJE5dlKrchwmHd2
4Qm7vdERgDPRScDfvNk7xYR8tKk2B3BgKw09B8qqaHlmEAStXGQeutFfJsWZfTTGtioEBh7lEUra
AnM/HUn68Jwx9FMTosTTJuHkY/Jjmto71aRXI035SOUf0EHsl+SDZ7O5KbIq7FwO4zj4aNtOZN/D
Av09uxQXEz71GzCxoPej3LxZAJbfOElETUyq2kY73XrIU7KKMK/FXrcj/Ro2rYbxD1zeaXh3Tpwn
8fJOpdoukg7k1XhOvlx3SNTWKtn6gM8LfIPWKlfqbJme1hKEZPsgHW+mtMHEof8MqN+HuC52wIJQ
Z8F4SxoDqmgPCm2Fpt8kgou3Z+x5Qv3XzdnEbPTonVeLkryKbu0UDyDusDDJyIoprQ2f377Iq8r8
84ui8CmFldGWOn9ZyColKZ49PaKqerd2pv77HKASFuXBTZtGT52l7CqIUKHSe6MpuSj1dPvOLcid
8OcYIG8By1PDFHh6y7PNy7egxbSXiIm9BxqRUnIfOp7r0KqtAuwBzDbjkGjfxB00rcLJis0UUP15
5xb0X9yCLkin8R6zEa2XweOnnDbJRVg149J79myczLlFhbiU3gRjeNm0UMUXDgxUX5d4k80JtvLN
YO2s/LNtzO8R6l7RCuRosAkY+A6BjFeflYx/uhV1RBRXr5reK2LIm1i8ICaZIpXDoTbfTZ3yqLug
qVsUbFUNrn4UG80BPxdYxeEpMbEu06ryiUPJrohQLy0z+pQ4Tq16tB93TV1vwRQNHtbf76q4/2oM
saGnCGJBvQYffzaGARYYtZUwk1AN9SMKCgjVYtUZITdQLOVVrVEfHd0Jqc7oMoFzZhlXSviuIt0v
lg1vkkTbEpgo6ufxEwK1AnbJ7DyaGHssiIA0KN7b0+XXlwD0qInn9E5mDj+9ot7GeqhQkbxNsuEx
xY2wa83rty8h5/zZmmAqQuVTKSnp1rno26jYtaW1TuNZZn7lxEmL9oN+KILcb6Z2O4jhgDHfO3ux
vO2za3LaVQFLCZNocL4Xp7YdsvWQBfQpbfSy/J6ABzdiKp42ajBvP98vhpC9AbgmTU3ZG5ST6ach
rBolhc4N5C6Zih9KTWXezt9r6bx+HkzzDCaBzGjEKyN7a1SiOCcH9QSK15RIEi+nPb8iEw+R4pnd
q7cf6fUr43LsJpiBCwuS1tmsiLSsxT1IQeM1dR7aCQJeg7SDYiBCg/QpLVg0mDUEJN++qv7KwIBk
xqLoaFMJQNTLeqaE/jSUtZq4+dLmlYdINC3gIJkPY2HWmwlRU01ksOqX8ZCHFIlHG5jV4DpbA7Y+
9W6OxVMuon0y2+puScMrqWB1UaIStRp6G721erwNyoXMP87SywYfFHTP8NpB1GrbwnDcAzXxJlNX
7jQaJMWi2tjEFO5GDTr1unGzxR/C5nsyNM11bwfrprMWCKZueUzgO0DtvoopvmPI0YfrHJ7jqQw1
oKDKRyUNxGmZSnSVlOB2oqm9oQs2bkpRcS8hwOe+jDhGVx84Ls9er3WUg2gnT33i+IragOgMcVUO
leAU2FF/0c2olVnqXRbq25I3uFFGA5+lJogOPaoDbm6qV04Za1duj6H2Ek3icbGU70anQ3t1SQwD
J9s1URghQmSDkKkVwxs6rhNr0T1Ee6qRo3Od5ioUILdBy6R1oH+pUehpM2JtIV3gMBzxS+D+Vs2o
ApvrAK/omVJvsiWSgAIL8xypzNFx+G6l4JTu3EJRHi8SV5HuvkCraI665WJ4joQm4Ph0BD5CAfhh
MM2NIGdNczwz7IZ3IyJ2h7wF7mygrZMluDZVqNQgXUpLtVlW8E6UZ5lOdH/wkJrKHpFAnKQ2VGYh
5iN1uiZ1Q5qxrbuLYkwAGGAD0SQ1amp69Gky4+JqMVxwSukQ7RvdSwu7ZPCQQ9ed7sRZxmvQd/SC
kvaPglDUyhpi6meCcZvHYflgSPlCCY9WoIDtO9X1KQCn+xlZgVFziqMG4va6V0wU4YR+TzOCYXMQ
0DKKAWQGYnBzv8NkNVtrn7R42kRTjyCRIlE84B62tp6Xx8wJjmkIMr+1MuOA71auFjvqVNO2SfSN
bdIOUzunRCaVL6dFe4MxY7cPXRMYMfWbKxQem73hQM9qrbtl6ZRbAy1GCufpZ6SktDVQbn2jWcWp
jCzDqziPFoMR3qiZV6PHtu5AjN7Y7LtiBDQGCnfaFmPQbCcOlRBNk3rNah7RbNFrP9TT/ga1p6+p
i6KGGeX+Eica/R6pURt2iU9jCJgGNJ1x0S/t2Hx6O4S8jpOAhJFxhU6PPo1ln8ViPBzcOqR472kO
gk/uHDxW7bEHWNnM5Tvsn19ciiIEeRy5NrWR8y1mDPIC12wb98AyuLdngNSDsTfBYDHp7t9+Kv25
wvJyP+P0RFyH6ci5GhvVsz3GFlVLUIq9VspMxmX1McFFdWtbeSgRyTTTtGZVhHa1V8W4iaxO9cZi
pNAACqgJxKNpFKVHCQ6BrzFDo6P6WiKDtMdFE3zbOONPONTNpWumX60x6y6At46brMvAAanSSS92
vKymexuJYkFpXfY/4xCw41ArGyLo10qPDo7R4nEWYf1GMRXx+Lz7gXTN93lG0DsVmCsq0Q0qimv0
iADch9wTNLiNhnAgKgf1Fz0V0XqMqmUzjnRPU6mNXyiqV3TmSm2sx7QqQw/FrBtc4rIVGlBYxKlf
KIN9n0l0CRba6OVqe6GgAoCwYXCqbFy21XaVCdF53ZToqxQxKNTMoqc+EdfARAww0pV7WAxrX9NU
GIfIA50swMEhM+CkufDUGthqGPVejXXFNqoAwLlR2qyl6GjWt6nfOSM88qzaA5urrsa4wGs3tA+A
LoEFc07fWoMDW4DZiGbJJz0F/6aKDKZYlKuk3rmNKH8mwNqMX+pK6F5Lj/USUpvw86bQVgSjz/ZU
U2BLIV844VZKo32sgKtwxKy+z1qo74soyNYi4SCd4/9aqrfJGCZ75EE0iEjwjdy0TC7YMukuUYNB
sbXYK5r5rSMYHMwanZgvWlcrd3ZJaMGq/miJCp0vdbgqDMESqg3liHf2nROC9AwAdG0iezPrVrgx
cijs1i0qaq0fl8Z3WuX9ZSXwWNPQPd8b+GlkIRIGSTs5B72Zkc3SHFaLfqdXZooVBk00vIzqHVih
C2RLgddFCJMNc2ICmioR+HkEZ95hcVGdOjbkS70d/VaZsdt0gphtNh02YXntFDmofCebN3pam16q
gweid9Wc4tnLQb6MabgpUODwjUK5xTtROmse6HlFh9FEk7RdSNZSm/IBIRReD+cQBlDgjrmwNLQ+
xzsYTUNjcXclyrxbtS/u4g4uCMLD7NBGX69RpmEVDhq7Ulz/qBP8eoYMx8Uxrr0QTsAmiguf9L7f
tY2+X7Swhr4PkVNRaHgBPWdjSWoqGA0bH6/mqh6XH0GvfXbLOj+WjUrej+stcppgY63sKc3rZRs7
FVvOaOwLtvJCz60D61NZdeg5rNt6qoGNVkCWHcXd9bPyrZ3rj1lrWNcAETrMSBHGfTtE/VVgeBGi
IC5pGmVfcjiXVspZASIwaKUgT5V6HQc9XEhYybVqIAy1COwk4ssITdD91Kg9CKoQd1azpaPn0vZQ
S/4vt27byAKNnUa+WrY56EQksQlmiqfVEdh4J17NjWZcCWsFePorK5xRbhUvXpxvVGuxYG2bvalo
G1c49gHIcrVKVFH7lZFi+c6QkYsguaPn7tU0D/WlXcb3duf8QBD8h0jqLXkOUGMDEcFelFelako5
uw5JxwaybzK38NujT9B+7MuwJtaOVZhfVbk/jFG2m4AAXS4TALd8+G5xUPUXY7lTHEQ7c6cAIdSC
VwjdH2rXrhUjKy+noCz37RSf8gQWizEv7d41/MhQomPZf+H4+8lqq/Y02grKzApeKG1ir1WLvnc1
qSg7KaGXTz0aVoCOJy11j9MEYlngXbeJZyQPTaWlOZTFxXXsPk7ufWE0XxPSBNutFl+E+q2FZ81R
TXRnzSpH0CTPnJOORqdjgjgqIaRcB2SCi57vTA6HG8jgxyyI0utidmf0LTi3lUnTkgwAjaoUZzeL
8GEEMlTaIJWbvEOB10FRtkeiRrRZh1dEA4rftdoD4qHu1h0iB2LhAFZaTWWVdsCHq1+uQsQ6d4Wu
7ma7qS9y1Ql2yqYt7do3MS95R+XIenVww51QY1dF88HGO+DVjM2jwlrsJgbBXbfQA+qBzjKY5HHg
0Yy8eTQ7+I81qlRrs0osUkeBNCemxkGu3Busrx1E6MxMkaApWnC+KB7jIFJZAIbx42jYzzrgGtQA
+4sMvB89zB6zz6m8hTwNTrUtLuwRdJoGy+Cijhf3mEiBrCK+m7X0PnInbLuY9WVmXi+DS49SOC38
tDzetAZMt2Ge+vWYmqo/KgVKszp2zbaprSCr4jVQTtdBGwma6guqktWhM8la7RRsJ/atRIeZg8rb
EeAXCA4yLgkXcSj1UPY5a6ZO8P612YkEcEBEuud5btkCq69uAneVXvJdBpT4QnPKEbBQTR2lRWFG
0ZX5FrGDLeqX+BhlwK4Knn6HvH4XmxeqUn7p8FlZieGuUAHfo+UWb6wEFQADT9o9bokALqYNjp/u
pTFN8CQ1iDoTaIvDAApa0438cqm1gbL/2CHTZzt+1jvoGGrhvFNGVHPclBaEXYThxqSjRrX0Ui11
+t1GcWjSwvQNIjOYJ3BuNT6Mi4LV6giDy4wxGYFPgLarE39sRutrh23P1ui7FmISmmTI1KtbpBV6
LxbTw6S0DRJl+7DqnLuamLGqA1sannUoTY1B4L39Lp57YD8HY/JffDDAFaAkAMb6vCYxdhUUHZTQ
PNA7JN1gwa5aDi4bW+Z0NqWRy4i+FwL7Nr3uer7QcBJG4sW6dJrCulx695NqVhcjxLk5I9HDQhXB
iEAUWOFO9mUc6Z4+KK3fgibZw/b0Jwmd43gpNgOC/XS9EnGsWkb77eeSae75Y2FAYgodh6TXuBEO
3bW6VLXwos4stm2yPEJyg3TsNOsmYr9TB7fe6SrOGGM4q+9M8PMKO/AYmZKiQqC6kk5+Vts1xGgi
wofJzpyl8EzHXZ+y9uLa3GhTdZCW0pu3n/aXF6R74gIzR4XxFUCkhng2Z1ywz+ihKEVcHSHUoViK
Rplw0PzOPv4/XJDmFccnPk/r5uUpIy2gjHcjXvHYqfiOQUaWDya6VKF+XQ+1CSIY/trblzyPwQyq
BQHAgpuP6AQtlpeXrPnJaFhcspe2DwLkyooe23twi19dhdcmMR6ymnp+LHSmULEGC3EkUwvvmxyZ
bw6J70lUvJ6ctP0MFA2wy9FMCmgvHwXnMYzbkpJHUY1tmrgAatSIDVbTrsO0iym/kKpNyTFTxk9v
D+IvJoplcBaFJAmiCFTtyys7k16oAZJnnlnWB6SEplUwmib0ntDddaq6rZZ3Mebnp1/53pBj4fhr
UOXXzznzkzFFM6UU4Y1YaYOP39kEi7U9ktgHTfNOG+7187kmFXDquEwRBIrORjZTFxVh1gosqp5v
zHGo0U2fP2MwxgEAOye9//z2eL5qYrPAWXG2ZbLO6aOcNy60IlJRX8snb8RrauV0zkaP5y/UDw3P
jlJcGuaY4+lAEUV6TTEpbt++gddTyTUd/guGXVbOz3s4tduk4GW7Cc+nqvfNQQ02RTRvlUBspja+
1SO4GXEJQ7LW5tPbl5Zj+TLEcmlbhjoJUGIXeTmXarVuUIjrJ09N8nhFDqP1peLz+J9dfVQh6Ivt
XBn3b1/09frkGaXQ3/N1/5IC/KnuG4ZaYw0mhHwo5BIvDxK+ErX2Tjx97TrEa6Unxn8I4oTys26u
qTdhz742eXbn1hvqSDVbI9z+DgAkVnia64eQSKC/ckSimnwl5YbDnMLJlOvXwzyiuivec3z+xaMT
NaR+FNY4yCGf3RMFxrY122jyJsu2yFwSBMVBXr49vq86cUxogS+aBBMTmjgIvHyrSj7oWBlkkyeq
8WA2wTdwWKgJ6y3Wv7XWftDrY74UH7QwsNCjT64X0YU7LTMMLzU5nwbVGAKDHVdY0q+HIYiutGVd
dcV0FzSWtu6rEHWBIHh4+65/seylQibgAVCSdI7PinnmFNRj1ygj9ZP5NCmKs+JwUwCchc6ND8Sq
VPL3JHB+sfAEBiHAraX4E+nyy3GKhhQj4GQaPQVaNVTWr2YeV2vRiw9x5qnFvZNQVUc+/z3xJd0+
f1hNpdEHElFlciKKdx5ygLbHqjHSiJNYjaQFiFgpKjUWp/Qa6ai5oFDT6/AEhgHBYXB9D3XfLn4t
3HtU50EhDVO1a61ovEpgVnizAXkhFECmKZd9apdJkk/U8eOckaakDYAKkDEpln5m7LeJSzW3DS/x
sQ1ukIDCqw1iCkCReyYHyJCWNRlb6raDTQntLL0EMmCvFVWbtmY9UbTGK3RTOXqygmhdfsko78I1
8pVCm68rQHC380fO7PamDTErxxqWEnCQEkfQxfUsAYa7MxcLGGFkeUHACVJRHYQRexWKOHJcq5IO
FKQ6EwfgwNHvgvyR430CRpzuOpzhYQ2ZsLxUkKvAUlj/XvTq53o29pmdjDdKWNl7+KJoigvjtktC
56A2un0wDXdLqyLztMb44UZ6se3KJDxWabL4aHzuixRgLhYa40VlYtMXFMsxBI7mT/US7Azze6VB
J0K0WNuk/Viu1USjuDGSeGr9DdY55W1BK3QLqFfxSzTnFaQrwdwGK1ekH80B765CdrITazghNFj5
qprv3bSZty467Vbl3LjYH1U91lMgYKlhYZJVp/MtZXTtqFrjadITVPNdaoJNpR4zACUrN2jHvYQ/
ogcP1UjU5Rcrypc1DhVfdIeSrVup0L9a8alT+3WL38W2cS5zJAq0cNkqSEZs6rzVL+wIM054dtVw
G2qBH+JQsE1awpJNprbSYQhpGKb4FZYTXsqJIKVft04niCActAE5LKB3dAg2sNX7aV+MqhdzuN0H
nMRZv7aP1Q4EzsbYxU2OXJ2llHs7EGsDu+Gjms5bLVKMtbD70idgYaijYiVUQX5tjerCQqJ2PehR
yeqYlY/5EPmkA+mFQ8uVz2B4ReMPtREJ+YLFGB1aSbiJZjfwjWz8kViBfukkfXyD0LKL6j9eEmmO
S9fyUUkwc0tb/Db0BcvasIk+RUh+nhT9akhBBaL9gH1rXCuf9Q81RJnLIMH0IYUN1CrLDXoUw2YU
Wg1AE5cEyIn3SVYrJEWUvc1x9uHKe+MoAl98AHlD7gAYZodf7hoJKvOAqSNlj4TRNSuUEbTp2wQJ
4mIOtfjKACYSCOnMZzt4VA5UheucKglaPc1Wj01md1DBdAiRzoqCL1HT+ProDte9GyAMAdRm69ig
pTDobdeNlVleik8L3LiIE3jemnuaB7esYaxNyCfWU5ZeSW1Y+gbRJWbJNy7VsJs4XfclCus9fK99
16gbEMjBbugkhit2e1C8CRsFjdsVZh3LKW9EwEEcwjWG1A26O8LlnswDpcf4ig6amViRH2eJtg00
5FKpG5jgNN9JKZ5FAX9OZACdwdI1yeM46br2uZxnky3D5I6AVpO+34eFRCY7iLcmRfKhT6J1bzWe
UjnRtwDVY5su1TYaIb/aDtJIyjaOW+XDrFrtMdUEGkPZWHp4BuKKmj4iaiR2bWVhwzsha2CHwD+X
ZVguAhjnnsFJmW2k+wSSd6XbjbKP477ZdkonUEy5R07laCaQCQFEPtRh9/XtLfM8e5MP7SJFJFDR
FiDBzrbM2EgRDrIAehZ3c89mEeVgVFpgmtSZMeGOR6VaI9zTvJdZGXJjPBttFEQtri/Q5qMS/HLj
THMD4oBRAVCYh/uxAXqpIItGuJnvNWfaTFmA1cckit2ARXXd6vUug3W7KscBIbvFuXWD4EPIzrWa
BMKTaluQC+bxbRymATziDkpXCCo2LbAIAx3teF3Vgvz56uKidAHhGE0TdT6YvdHRI46oBoyjuS0k
DGy2QndVRNRtDQ2fEjGibpsqtO1IMPHM6ezoUBkfGzyrkhoHSoTOnlJDP7ixqX5Cb+zCHsQDUqLD
sRTudLBGc9c1xI8e7c2sN7RNiGqeR+/XXreTe1vlwriyh/y2D9Rpj7j8rsU4QIIr8foogvQirpad
2tSonGBi5bcBSlbsJCkhbtwqU4TBbuA+JirMJ9QmE4rZCx0jE4cBFxp1YcCXjfX8Rm+Cz4Mob2cr
x+ai1oGVIdDY8AJuzYEO+wBEdpVIBh/z8hBIxHMSXRQx/E+7a/3eAgJXVlGJ6cVFKfGMlb1ylwb6
KwTWJEK5FaHZCa3L3Qz/Zm2ZFd40UzXuImAwW23uP2PMIdaB2yHJbo7XRo52l4vDAqo2vYWvh/Nj
xgMG3iXiK0o5Q7aqTlPK46En01xh0oXajxrpbHVX0uDWT1Hf3QyK+XHRAnX7DB0YUXMMivcqSDKd
/nmegjARBuASeG3Au14xF4oIFlQxWJXniCrYLr2lrdR6eHR6oAv/3lJ8vhLgMV16XUq51pcrAsBF
U6YOVwqz+kfvGAqnRkKyKKpx9UVFJqlX3iHRvDrfyEvK9BFmhmm9rgOkdjDQfQI+Y3RZhjLMCC9C
AilayHSuVI3AcLmhhbhGHhohKshseIGRuc9IYgCL9wv974PHf3yb/kf4VN78NbLtP/6Tf/9WVnMT
h1F39q//2D2Vx4f8qf1P+al//dbLz/zjrsz535u/svnwP+9++1E2v1198O7Of/PFd3MHf9/h5qF7
ePEv26KLu/nUPzXz7VPbZ93zffAs8jf/b3/429Pzt9zN1dOfv38DINfJbwvjsvj97x/53//8XcbI
//j56//+mRyMP38/PgwPbftw/oGnh7b783fFtv7gPCBVsYmpHEYkJWN8+tePdBudQGC+1M4oSP7+
W1E2XfTn75rzh6lhWUdfgyq88QwTaMv+7x8B8pN7IU7ObBDW7/+8sxcv8X+/1N+KHg/7uOhavvc1
1FbWl8GHAdRCCAO06cvJ3ZY6mL5RC7bKiExk91iJfVkdXQjlFVI4mJlc50BYBuWin5HU3y5gTDVU
dHosoAb8I1Q4K8MjAAQ3PaBaZLBRlZgLqLB+ihOVW8gY37vxGCHQwCfVoABdg1+q/aAkJxOl7C68
StuvtnkxzBsnRTjsAq2zhpT/R5Vf1fHXzgS1c52FV5W6MzRKisZO7Ve688kG4CT/rjsueEUCn1iV
06VD6lpeh2I/TpeKdg+BDhW7VdF8FOZ1a/ngq5z8NHTXqgb5BaNiWAx289VZvoXORQAkQxirYty3
Ajb+ldF8bPTLcdqq4dcxv2rzbTk9GcVjC2tO2w/qvVF9XMRNbeJZuWnFhW3d1PoewbEVsmIF+mgx
GIQPC7CNykUU9fF5iv1by/Eq/taUbfmjO19CL1bn/2+LTZfl1v/zavswPHT/9b9++xQX356Kb789
/LZrnoqH73Ex/7wAn7/k7xUotD9AcqsU34ipMC1UKqB/r0B+RBtUlsnpAshuALP/nyvQ+MOAMaoD
eKYaawuX/eefK1D/41mnnNI69Qw+rv87SxDC59lO5ursYexgLgLEGpj/syXIzlqDR+vxlscNMaZJ
q1cCC9R8rc5iZ809EpKuP7h42+rDRv6JXJCj6Cg6kG33jl+BP4sp66RKjoMUf0bFQX7Ubqyd0Ron
fEN3uhSy6my/KR2607fyY7qNOUNcgKqzTvIjy6IjCA2mN0sfU2GdhqhDFlKP93pzY43lIZ67DepR
fj5ZJ6xxjhhpnXI9X+M+cIA2VwYzVluhlxj5Zuh2uZ0fcJnfJW1wx1GTNrKyHV2Oc/ijd+WhbsnV
uT9nSR5V1z4WvfnJqi8q1fFdtcEV1xk2XZs9BpXwR6mVBiZgBv1ZOgZ+dDh6GHyvjWUV0osnd3Zj
Dr/GSV5QUfWTYhYHvUwfo1Y/ma61S8frMcWLrzd30VgcJnqwId8hv3BCOiCySZy4qaIo1p1brBar
gFoVbOXdyAEdYvdOfrYwm/vJNo/y5md6zMi27AQMxMoydhXvLkMFZMqK9eQ4d4mSHLQ83Jcd6Ffj
VIeWH8PjFKhIitA4ZVy9sa+Fnh4EhljqgM+u0o5HItg8ZQelN45MSr+SRi4lJka8K6oCftE2a/h7
PvS+Y2EywpoAZJEdigwXKmdfGvVlTKW3gryoD/BHHeuoQh5oqua+abSTQI4Jof2dlW8hPvglMVH0
BHS01gLH3I08m/zTNYxjnHzUBEdxl4aRskWzaq8HT3CDjsvML/W8ImCmWoW3aWUxA3mbg/BrINm1
M+1CzbPiYKtn2WFMh+vJPHJi3iZzsGmtJ/mBQsF+GGJumm8M3s+smUeNGao2fz1KoeWHQVFPJnZ/
8tHlp80239RI1VbMgAzqvfx7LbJ9PBse6yX6gVbJZoHag1usHxrocnCv+NP+yOTQYFjtMpufHy4t
DwNDKDUj5JjI75CzLZ6g8y/iKG9vwYew55pqBPXTvBp120cd/3ntyfU5gKmTM5+TOb57EOD4ukZ1
7wzWqhxLKhrbbjR2YYP1E2/YhAuF39O2yfODwvgiBH+Qq0+U9hFPE8rwzlEuzi7MD/mAiiE/k7dQ
Ks5WsEgmJpCYhd/F4JRY9MsXmnkfQvU2Vm/l9eR3ytgQMcFo+vmhqzzMGoteDpFibZaR1spOZYOU
AxNzQhr1bvNTFP47s/g5k9DP+0hEsecuA5mM5Fid95H6BhNhLcxTWMrFIdfmPeYngAFsP1biR3nn
kSYQWmkc32GDlSuzLrtDjxepQZRozF272Bwc+m3VNve0j3wMfHYBT0u5Mz24k4H6NgGLt/T2jZ+f
I87vW0bnnzoWFQ7T+pJy33qG2xfLE2X+dTwpJHz/2qV+MT7OeVn4+Tqg0zTZH9FpPr+8DuJW0VCj
eLhBHeQ0JQ+xXaND5PhpTUE+xoC0204xPvdMO/n+5YjlrHA9IegRBbCRvasQZekK99h35ilNjON1
XeWHplW2FVbGCu6b8RIi4rJJnciDVngw0/DjUBrrUB0+tHlzPwriJZZoS9bfZ3lwJ39dBlicAH05
TzsreHBK63l5DaK+1xXmKeC9erSOqevH9Kq6pLnXyavCxfTcwb5LWmLeP5eRvG9nTB5FZh/lnOzc
BWCTJ1cdSL14WM+j/kHGolQv72W8yORONYZPwELRxSGQ8qBIMvky5OgtIVGd0sfGjh5RZDtVmkK2
tVMrqovccIzlJ1D3d2bDednl/C2dzYbSsP+exXJo5fhMCgV0omzNmi516xiZlv/2zPjVwiH3h+DF
MeF1r950ikUUpU2JgMkut5sw4lUT5epK2b59KfOX13JB9WgOx4dXzNYmoVzbCj3ZlERYuZH/M0cI
UzYbtjs51eTWJrdvGWrSMdiE2Ckbt/Lu5CYpN0zdsI8JgbAfzZPchiZE45ggcnzkjbeJgiqisk1Y
rBFixXIbqpmmchyf94TFBpSgn9zqaJPNm7lxkhvayF8/h9PSvUOydDMwhWO2U7Rf3pMt+UXKZYJt
ZClKCUDn3JtDU5WwKBwt2bStZ9v2gwoCFWmqrdzJYwzX+vBJqNZO3qwSCj8kaZiZCG+/jV+9DFDg
9PupN75Wa9FAnBpdj9hpx3jJuSZ3frkd0dF6Z1q/OubJeY0TIBReC0ECvEhfRp/UUJOI0gb8DtU+
yqwvQNq525vYLJcIhz3v/mQ8cgUjkvPOtLPPyZTy6i7AELJlLApIqs+ujt6HiEqm3TKzqPOCKEVM
yHLXl382hliPbfEhc3ANA4Xdsw2WWnMvZ5tMG5O6OMh5KTcWuU3K/UOmxEjcoUgu1nK+hr042oQu
Sy8PUZZKshGUSX1nTPZRhqeFqLKowVZORxnk5TWWkRSOEBcJJKWqgdwuMnZJUe6mq+eQZZEQJMqd
zIrkTg9O7q7SWZYkOXRX/dgp7xvNQtRnJeNVhABgfddSmZTXkumiUQbbSWUOs7lhDzf3R2UwL6if
buWcAuP23qyWL/HnkhjDjAeHxmFCMpxfoStS0IOdmxNJ5EFC15LdkqjrAKGztMWkPfTkbco434Ts
th2pC9GW9CHmXt+e2a9EUf66EzCZjs1k1Z755D9tqmijxvSvoRMhMI2us7bLMEF1ywsX7EPS7oP/
Zu88suxGsve+FW0AfeDN9HmX76UnkxOcJFkJDwR8BHakdWhj+gHs/qvIahXVRxMNNOhTTTLNg4mI
e7/7GdMFEjAf5iU3f6D5w2UhNSTF6LxxNBTYTmpf54JpLoosPuVczKSwYhoSXv/+0/6bk9llTyQG
gKWh+7/qPzSKDUxV+bCKXSBoJpql57n49jQMhH8XjbmEof38kFiDwEHwbuYd/1dGCHZJNt6ubD0V
NTBP6yESmDDHM+Zy6yLOPZq/0tO2rWM/zE8GD95LLjis6a0IFEI9iyMdtSBc4anwibLObxp6vt6I
v877rcidh5xEY+J9V4gCGI21nz1ya82ItO7ygqXhdS6ucl2uLTDfuZKei6+5PwmN9vP8vuLrRsh2
tHMoT/FXus7b9gj/PmBaEkMkwGNxlXXGUXNmuLfmlI783zB6/80LNJ+IGOpYTEBs/VdXnWrEnNTp
uEtLH6lqhgHMpCZiMr3rXL0HCbvzXLlzZjD9PRZj8nVewprlrcpMI++CI5sm90ejpG3n68H0a7s8
1078ZkT116qBIQ2iWKgNqHwRG/+8vw2k2eV+pFLqVxqSqMEXNdgyIn8GxD0unQA87+Wl/Y8AoP9b
qPUnnOh/B+7On+i/sN7/N/BYmxX8X7X3DPf+hMee39PiHcf5//Hf/1vVdk01/IQMzd/7L2g2+AdM
JddGMU2kI2ufx/ZPYMgHGGLzAhfCuuKfmNG/gCG+C+IhDQ4+EDzymaHzL2Ao+MeS880ByyYMqc77
j4Ah79cCAToR2Yx4uSGBY8TxqxPEOA7ppEtMJIOepEs1hpLRJsa0PbPf0L3U3fTdskVzqPUGBjJp
qRjz6yuaXeIhhhWpM++9rmBBy3BVGlj/Rp06ky3xCrS8DwLccuLyPa/R8nvZnIaYkCuQDXMSUg11
c0B0YoqH3sDS3pIHRTRqbo1rK25OekqyxiC+2+Kpy8j14K9NNQu20CrkAYEI2m02ojtbTn2X57jc
ZbN5AfnafHSUnrhMgd2q6bUmypo4+HOWyMep0vI1ljM4n4+YSDaYiRsNgycjV68CPgX6su7R9Efk
HqJeiXQ6lyV+tQaIWPndqfNHfDGyVSdIU2NSegkKbT12QYeUj587dR5ATH82reEVfOQ9S1wYCtot
8LBXLxRj/s5cd3q5G7X8RJYznnTysfeabFWq6Ry2oNoyf7eYiuIO1e7A5a/zb2/zGZubzqPTXFT4
otIvLUy/uJzO0YQe1OsfTUuA0bwWif3Jr3B3GUPoHNOrHrypLjgPrnzVWoUcKnnXavswGMNjxX1x
Jv3ViMEA8tHfIDHl4AbPNrN3rOJ2DGcPri0gRsfJe4N03DPLw3xjOmUf5pIorZgWcX+yimRBa3ys
TAysvBIvz5hB6LCf3RBTRPzLq1TP0Sr8dGxczqYpz70LykKLzh+XXlhyUGfElU5zBc8NtrPKWjnj
9ySerq6VvHuadYi4wvkbJl4Lyaxk7lBtgKJ+ei21ntjI/rEpWbLT+Oi2LSbmKeEyLsR/TMyTLF5r
VfAlS/L3oU8BMHP9i+kkx75leNC0Yp/1kG3MIP1QglCKyLkSgktBQzwc73aj2h0JZGc7869aij1s
Ob1xxm/ndAHg3rcYzomj5+8qkq8eN35+jIhrr67/4bikFegkMqzKPn9W8WMZyh+XoamzZ9zprryb
H86MTaWxftYJiVFkeMy/Tgr36vTph1nxaoRQYeRAasRs7ScE2AeWk5qfvpcFS6YXkGpJKRuT95xr
1At9LdpxT8IS6oqUPw+PnuZesTt5zXHjGgemJ3K6mx/u/JA0pbjpkvfC+jppwWr+zWV631NgrJR7
9iKhYVdeQkV2d33gHvTJui7rEOVouLJ1iVCOy9LydylYnXoyDdSi6asxHAnr+vATuEFVtY58/UH6
vFRtbf/mKF9smv9c8Dg4O7NTomGgBbD/wmSIx9yp8iQ2dvOnyarsPWr7l5hJpmllH0GmvzLme0X6
8FprZAAH1SHWnIMq8o+QFBK3yd61EQlC5n+NkPnDpOdeZR9FMJjrtmVBpggT85hXM8jVZydEyzFM
I6FQwU1PzJOeM5KH5vgx//LJxUgvaE5oDD+aVn/F2enVx+BzGMZHryk+rFm0GBTHat4s5z1Crr0Q
J77CMC4dKcy0RniBTzCXupjfbPTdd60iwGDedJx566pq98nHhDt1O9zrp/O8eTW59kczQFRviPBS
swooeS+zjm0qST7mdTs60602X7uBv5s3qE4DGexZs8DHqzaChJSNj0ViHWaRIJzHw58Ox38HTP3a
C8/PB39MXCmg1TMC/KV48eIkqto5/WA+HjpoZ+vAHx5DV3/w3eaIS1oGKCVfK1Ka8+AFAP7oK289
GgPZHLy584Eyaupr3tvbdN78ncQaV1PFE5HN5zoJ33N725jNp9GWj4Rjy9XYJbtcSqzveBlSfJVc
7Xl+/u4AtUc3gm+9IjDg2OYB6PDEz/EqzilIjmRKFR+O1uwwdlvnyvhjfkYQT15TfhCG7LtJzz5V
pcQB33md90sxZe9uAMEyYJnHxQd5tgP+hfzBpt6FV3SndS9TPzwtXxA60NRQs+P8HnZnzQvyddIW
ODtn4/7HT1lNeCSsCAjiB8Ckw8eeIY1IPvw8+Qj53/JcK93cR2WFdLUHsB4e/3/d16j/szm8Q4H0
N3Vf//WnIfz81f+q9Ox/UJAhM6Ln+lORZ/8jgCIMWR3C11wBAkv8s8gzrX/AGQYXIkTWA7iYZfr/
q8jDSwV7LjwUmezzn/+oyJth3z/vjvwGKOOuDTaCAoOR48+tA5l3UoE6JnvbEzNPtWdthDZy/USu
0g6Z6dDOArfGwMG0F0CopUkSIALES5DWxjUehXyVJL2susIdv0nyQwATu2MS2wentg41VgBJfvZ8
EOI/3dx/s28sgPXPn5zgDMefhTIocdg8fv7kSKHT1kIKs2dksQ7cwoAGGQCjdYJRoeNvVJsMe8/Q
h30mCuz6Ije8t9NrE03levTIW+fCjzJA/ewX3lsW3KwYIg/a829C6PxLFpVbZDD3epBOrzZ+cXgN
f67MHKuKNiy2y7+bbjxslT8+OVHtr8cRce/fX+VfnO90rhEKuTsPj31w018A4Tqvyimic9zV84eq
lSlgmRlkhk3NHGgEEaoXPfYdubd39ajZEURUYxXYfstVQmaGgc1Cgy/y0YPR5SXwgicQkS1S9nKr
41WgzwJSn3gUqC5REx1U7W9zwZvw95fxF1I6l+Hzfulzp+PrEEh+flhoTdxiUpq/G2Y2M0rtAGpv
Al05Igo58gftYDtE4pgdgkfdHNTd1N9XzSwZszTjRgxYs6PlElgW2xeyDq0XsyDPqqqiDSEF6jn1
s5gjEKVUXQxUNsj6V14T6xfC58W6M4dPolY1diiuWuPpRlGrtCs+qx02Yv6wXjwDZq6t6syOkRhG
2vylH6tTYI73jEKKbeoQsRFo0DmytMPHeezaL9pIVAM4WHoHhv5idTY1dyferPikVMMva6ZjUwzl
poDn0SYatvl9opiCEEWAsWMnw+aSxG+x6LGsbqGwuXK69AQr2MwsNPeP3s7fDdzjr3nl+Cu/muUT
TWNdCy0lVa3tjmVOuCk6u7Wb6PYV4OZ3QsUFh/7zGqM3xW4R+ielE3i1+8saS8oi4gAcBmbeSDoj
PTpS1vk77FCcHS6VtGaB8u5Mbd8lz53bOmfu8D5B0r4FiSWwo5KH5VVzsnabWOFwRCeCywAhfKIK
frNUkPj8speBaS0N8+xaaFLx/VJJGB7Zqz2hsz/2sondYa8PQp0tkW4hi2MDLepaOyDzqvdWPX7t
ce29V1VyyPTykDmOPEH098gAU85dahSvyqCmiNPC2GJdXK0SrW8PpfYFTerARCLRdjFN4WVZmMo1
3/CQ0zZovfBTCsM1mbmwJIegO6eAQQcolVA1w5QcZM2rjqaSr1k2saJJznHb0F/ridTPLBwyWZFh
bLMGLqbZBOGG35bs4WbVm8HGiCnUnbPypv7UW4TQ1Tre4hGqjkAPnrCxXSuJ4hyA9eRUU70tgrZf
ta7xlgg2Q92wq7Wj4v5SRdqrVXnOZhROd2mnfOMKaa4rL2435MLX95VOtEmEqeopzqmzAr24i7zx
JUWwvCw/t7FPbmo65xLBFdGirlwPRU3iN5Fi2wkTqV1u8tZnBrwlr08+KxuryOXEcHuBa0yT0afE
r0U5VhiUOOa5KS0LMn+X7H2ZBqdWy1CXLCvNDJJuRcxlt8lrDEqcWLNPhdM8+mPY3TkyntZpEEcM
w1P2dbjv2zS01YFhzrCCmcmy0sty6ycGs/Aywd1iyE9kuL2o2JL3IiBzUfgPg0rKfVeo7zp9oVN7
3kNjyW+e1dDB+vFtTLjzRi7Uqenzz4mDC2djQEDpWrK78PmwNG0ORGOWEMjK2FQxKUa2st/m9sZr
kaLnqmy3aZb7WD2hgdF8rT0sp0wPk9yZOvNFcz6PsAC8wE4vUUFEqBOEZ4ILrn5mk8sX9j36T251
ij0FRJAyOQ56/rJsXJU9tGetC29mYRNSFovkMyEfj5EpvK3dNPiRIKLGR3JM8BiAXx+0w4FrGS5u
Z1iroqqa+8bOvwZN5eLINlWbFD4Q3VzyOS8jue4RD+89AZFEl0QnmiTEZfZ0tZRBJlGn8f7Ne0OB
Jc5spqNWYgQ2DeuuLdZeB9f470+SRWD25y1pBq5xxMTCbtZVmjOb6s/zchX7WSb7Id1bSo3EP8eM
ZCEoYCOnnj0VqgdyazFRqo6EefK2QxJ3+rheW8QGgV3gU7Ec3CUm6HtD0ikwJmAVxsMpSlALVxgS
b/OgyRFI8CbA9t6YTu+dEkO5W1o7xCS4ItzKPq7ujKx8AvTYNH3Y7m22z8PkqedQv1/eakmuz29O
UfPXAQvXbs+8eCaGWASyLf987S58fzL2QoJOtJlgFKOi54TfpWS+cE6cOmJsTvRPmYW4uwDk3xPk
vEa1QTAgqix0NJb3kJCaSx+Ox0bvS3uDSJPVVkz4jkeGjS6qFm+TZ35qpM6EVjnOb9o9B7zzp4KT
aQyOpi7KNBstISrPn6/BKuwKa5ky3edh1XGq9fGWzDjTxrK/0MSXvKjvC9NDO5VgyNv0gbxV2RVj
sVulYnyAzOybPcC87xsbXU/cFPsw7l+yWZdlGWr8sYVYAkaoJYdjxrQ8i1P9gFKVYVkfr4STfRg4
HK9U339u0kI/B2P6tR90YzW1wIre6MxHrX+HqxiZTdY5ACLYLfWrlupfol6SSm76sDpbtdFsciDR
P2XQb2qFgEOk6065A+UgwvCmZ9Sn4l2vsQOQeXmX+n0Irf4Vy6bfsF/+klWFdxhrwobINxfyCyj8
06qghoi8bA4cpNrb1GliYKwuNch0FRlmvdp2RTjet5qh7ntD24PPDc8B/mtppdWPElvQojk3UEfW
Ro6vjllL/c5WaX2AW56dA0Az/HxbL7dXVDaPSF03EqLJqyP6G6DrBke9cS8K+9sQljSzOV5iehme
OyMx9kQNGful6IxyvTvG6Ig4rNjmp/jJCrIRaw1SwGOv85CClpsWNZllDeVeSwKi+fLosRvrdCc7
prdN7JnbwdI//n5LWVTtP20pBtRothMidGe0O/jFld4dpehlZDJZohg/l1J+0TJkZ3BLPCgeVGad
YZ6WSidDs0X8kUaA/TELHnBWsY94HVpHO222elXL3xDx/6I9gnwPl0lnKs4Y02de9/NqAegfvGlg
0x41H/PlymEyphH2PFh/aEV/QXqZrLm0+kjHI7emi1SITgt79Aquyr1rV96dqNJzzIG5msT0UnFK
nWTw3EVm/WCE0ZfY1OG9TclVm0Zn69it2PVY0Vf4FmEPij6mNvthi0s4uT22fpWxtDmwU/sYagkU
7BFRTUhF//dP5C8OMFw2vAha4Dk9CN/VX+pOoydP2StLYzfU4kl0ebefPJLxNNOi7ez3mNKoY4oD
eNH358oq56m2hTlBZLxI2EDY7YouDPa+VXs7LRfl3suwDhzr4htZqhf8Ut6NBEmnLvSeQhBNWjx1
t9FdTxbIEvJx90521SFCLrPVhmQgk8IFmqWUWQqUICjIKCssAgiz7plgtl0bR2eEl8EhaSHuOVgg
zUZEJRZj6xHr9hUTw/Boh859kJXVthf2sEsClQD2OWA1HWVbK0hYTQklh7ROYJbswE7xcJpbAGsw
yGudI9CdtHsHBi7PuPyuJFoL2J9YzijiSVtVGr8ZSy9z55+WBdADayJwZg9s/BLmqeOfhuiZxNJz
pGXc6biU7UAKbinE2DK0jmFEIkwj8IzzUNUSbwAmHxbiDOy0G5mweHEwXMpdn0ZbJ3fhRRY4O40m
9q9+U93KrH8moQOq5IDDGnZ87saBRVZgsOa5a6O1n4OaWDkRe9EdCnMKFqfEs2vS2jVCAlq2Gl8i
0x7R/VbyKR608EwqzjqqqSArW+Av5Vb6qnY/G3ydp5AQ9BWGr6qM78x+HFZRqeqdFrXGehlwVIOe
nKWZ76PMsY6/eZH/0pJwD7HwxmaGcRxA53wa/ukeGiD4hnRM/B+SPkBqifbR6rNjpFtPKXaB20qf
8rVq3NcwZQTkVRW4RRjbRwzkwk47l0USbrI6C/ZmTSCGNDuxU76k46tzf9Xq7VPmJdOxmMNTZCYQ
0BfoFNsBRyjRIn+rE9fcqnIkLg8xPl5DDiNs0YtVkGjuqo5Cc6MN1rQh5yCkcqzIykvDR9GHBy1S
D5NNwmWFt9nGIPzN96tbWvbfRpHv3DwY76aIY1BIzd5w3JGu2Uq+mKZDC8oXekae79i/kXcdU3L9
66MttaKlA0/aQE2c+MnWzfiesJ7e/v7WW7yq3NyfX2CqZCB/myE+M1b3l1JjNKdOdRRnO8fArCiq
hI1uOMzQnk3uBvfFhLYgw5KsDa9+zLGJuYsNPRL9hGGWwexCVK6H0dOPVRDIew0Y6iRMM7w2OuZ/
U9jH0GxofAi5k/fS66NV7hT6sQ4D/0J4YB+68bW1xWM+MphLugamRYv5VoKvlBk2yb6X2CJCsWjB
eyeQAAVzkriTvZlkPCClc/xJqa8m3nL66alC5drV1DVR+TUggflSNWfbKbSzXcNDjzAaJ7fWKiFU
2d5l+UzMZbN1U0rCBwdtOukGac163j22rXuXpka4yy2DmBoB7K3cBj+qGltWBoANlCjzW1BP3v2P
awNFhzzn+1tp491oNjn50mWobQKFwNGr/LVLg3MfUj8iEyTYk2QzJrBI08pmkueWQdNhuaMNluBV
NEK4ESnZqc2ZwBOglZj+r0S9XdZqvMTsN/Pcsawn8bb8v8rrp+3SqzPV3Sy3d4zwhcw8O7rT4yRY
dzlA0BAP4iCn+m25Ri/Vt6PUBaDcFMIdt2arTzqgcYqaW6iH3n75QYOqnkfLb6+D5lpHHdYfrana
4miL0tYrs0s0WDCqoBOt5l5r5wt5CVU4HPBsNM5mLL/ogjQAOcEUmU9FFPPTuSEQRVNITbUunylf
wPpRqIIfDyWyrPTkJXQjbecYcGpFcfI63dzpLcNvivX2HMHX1lKC4Kk4rY2IRbqJCj3DWC4ChZ1f
ryp0bzCuvyJj3Y4QCR/xOHtQtVFuB1YyeRhXW0z1RzBiDIAHWTv6F+lXHySLzM7Olrdu2hxUg1aN
UsKew70T9LCueeuw7EPC0Dx4JQFFtFAXxM/5uor0FL5Nae5Kv6zwZJxOPz59Ypwie2ouWgkytiyT
Du+QVdFSEIZB8G7ZSYJ7KO6uRpKclidT0qO14JUnr0aqQVGeb+x6NmJWoCYLoDHp0OyrDieCIJWE
cOL+JazOIaNSYn6IDjoQn3iMVy48uxWcDVrqyXu8Kw107NJYgXCwuuYH2rZsXplZoMMvs5wVMOQb
LSye+i50t5x5coODdLm1RBHu7H5Mz1pfpmfd64utkZjMeInt+8hLrNLZpe5sjSfc4vSHyNYN9jnD
Mh6uRj5ljq7WhqHvDzoGE777VGsNoe8ceMvj8rOmBbPw3mSWmo8CdzmDIelG73xMGKr+plvJOSEc
6Ullh3x+75e3safP2OH4jfNhjf0fiB9BprrklFPmITWS+K4L0CbPXy/0PNwYaWscq6g7EOPdElNk
XY0euMuoCRysG1RqMlOf9Thuz8uqNnTR3YHGsMXP25s1KV700SY4IWv3KrcN/En8Id4QJ+huly8p
B+/W9a7xkLVfcQcfYmE95YVbslnZrOk++6OG9QXpb8CbgMxxIqpSnO7UIbZc6xlCy6kYacAdSF9b
Ek1p/Lr+e+RglGjVtrzves1Ethd+ckIcaCufwmpWgsNJztQ6o7XYFw6gQi0rZHMM8vZRmkBNyTIo
/H381FvaW2f4GC9oZVEdEHRnB8fHD9Kt8JjWXHF2OxAW4eMJ2rsgzoTcmp2x5zWMTiKn4IdVqO+C
0ivpXrCBoP4XKxebC9h57Tqu7eohyoJ34kpfohGfEG9i9Fv4uX3fkPrp2x1plqM4BTWzzNJLvuT6
MN05AsHzhLjGD9WX0fbHjTWCkQzE/RoMzVe9VtebzurUqookcp3e5P21qeiGwa62riU+G3hfPgzW
QCJbANmNYza/Asn8MVhOtRsCrL6BJcJz6PgPXg8EnEPOPBeJ41+cBpcnu9cv9jTdltJVhy9xJMTq
RdYWNZTCqbQirHgVWLAhDUVwj8XSjoaA+PkoVsNDJJ3Hyr0PgxQDWXMo4PWNBfQY8vTOfiyeclMz
nr3GxTLSTqyHBT7Ab0/DLFl7bHyZk/Pq+Fs7zNubleoBnp55iXJloAUulctINcHvevm2Ps2NJyO5
SV/GlzghTw0MNNiTSfxFNtr7jw+l21GwTUssPK1wOpmRW29hGmxa2oV941feQSEuXwVdDXiaA/kt
G0BcjMxds3HdJMOz7iclJssOQTyAjYUT39CWaxD44nTjRWZ50hkgLN/m6l6+6TGvf0iig4kbvtap
I+Yu2m6YXPXS43puRPqBB0uBZGm3BOzvILVM34y6jw+s2e2tXIu2bjeEV3saOcTM0dpZFO58QkSc
Zu0Za5EW47YV0rrDl+fHRS6boGPJj9TX0K2WuvaI+0m2mvQXkVotPpTTJoqAdjyj6fZeRZ9vwOVC
1aSq/VDp+sXD8uue2hl1qygOtpwkmoXaXNlgUsuPgoX0VY643kYa+G7d4cTc45CbmOTM/3iIRhts
3KY/YGtaHxLcvYGsV0kzgR1O4ntbAGfLyoMbFLR8briQ5LkHjKP1wdm2fTEefHPoj5Zc48Gb7IkB
pzyp1KifqSH8bTXm+9pl1w7ITZXdgOe/HMXGh50MIdweDhJgazvVqtumM3CfFhY2QLr1Ql3aXT1R
fnH18JRYYC21aGy6jrYCfM1qth+SVEhRDY+h7grIYYeirZxXlRZPy4UJY/jcx7q8b7yemPKRsqrI
2pdewx9pYVhhbAzNSjZiExMtjlUhd1Z0gY/FKH7hMG4ioge4UmTIn5KRYqGuve+lab0il3nTSyvZ
LN+SVwQlYGrfHMeByPk+1aJHma277qmAbvo8So+iPC+zXZoZVOb6REEg971VOxt8o44pDqFHowpx
Gpz3RsO21TWI+RQ4jHyOVQ0GqORHElNRsuk166LGFZ0q2rtvqd2K1CY23BtHArrYBIA9Z+VD8Bm6
+VmJMT4hP9B2lpg4jOLha1uW36rMW0l70F5TAqM7Rhc2cNanwM/KFQyqDlGiHVxkolDztGIzdUb1
CcBjKwv5mV2x/xSNrblSYTHemiwj3Lbp3b2bDv6hiNJjbnvqLnDe+9rrV7Ie+sdEy9amJ8S2W9SZ
EXJT5Vf2yXLjbj84OWrNAcVlOzzbdtXtm6z9XNkO2x8Zt5e88SFgJGy/Jro2zoFpWLtNDkyNbyMV
DVB0Vk1ypzk0PVLz0ru0gNaWtCh/0ujiS29XVbQsLmb2KxaGWtl+VbxXqbyVgKIMi7Lpgt0GDWZ3
C/zU/WLO/OUqhCHTufK+Cl8rlwVQ2ai264pF1QmcWKtAlkeQE39XtdRFcfDdDaEXJjFDTQnsiWrJ
2yXpMODyEiePumZjMlKfzHIP1FbdG6PcM89O70TckwsZ4FkfjAhf+qB8oiqlro5N0rmz8rFrnBtS
tebSCv3tx1afqP6QGeRJxsSzXgP07pWoEorE5I/G1rEdjHvCkDNpr4k4j9EltKta7wh+mdzim0UW
cu8mwQUI+FQwYTiaAvvvKI69SzTapygr+mOF1f5++VMUZT82iTZfRUZaw6jaOcq72W5hH0udyExW
9inEWmob+pifewlZDRhGm4dKG1Gm078CjvvbIJww6OctWpe6A0DQ4K3NrqaRS/uJcLRpziF4i+oi
uIyO8923voRtXt3pOU0QKcuQo2ajLTCDHuITa1YGTnWc2MMBHsp+nWWpOOZVUG2ywR63cY2Dec4O
uSnTJjmprC8BCPJtnE+3kbV0Fmm9GqvCPEOcuQHlEZQ0AqfVeYMjEh5VVw59/zA67ddll1RpduPf
xUmXvPeZR+bJiOM6fTb5NjUMJB1sOI88d4MGJ0DkYJ1g47THmvSbo1WU2rrowmzje0S8d1kcXzw/
2k0zFrR8xQBEcCQrPbjguWIfwQbFW06Duu61SpwnAxkL6oRdhvX1IdWZxHpx1yM/SYytBxvtQGZh
hg2+guIYm9mL4xY877T5YL4PrlrC3YCn7iAM6fr32qrExpihkeVd8vxcW0+OVYE31gIOAae0wwpP
3O6c14GxS3iDQ1ImCNdpp006TdtIlOmnya8/RQTssEcWGsc4f3J4NlAI2zuElNNW8jtWAqvldcD8
Shh68wR/GAZVLM+yy1/zDsiCxsXe+y6Br1bhnAItfW39ttyaaRKuByXCPfMX9h8Hw2ERNvjI4cSC
9bVV5sdMpARHDH58KXBGBUzdCzINjn6A/DoIkyctFbwk4q2oZfyky3xc565gaGjH0R4WIsNbGxJH
/H0plfLipNsSfnIQ7noxvjapTK5RW+7tukp3WUVOUGS5wWGq3LvI7DnNJ+sGLhdJ2/ssc0B0zDwh
gb1285O0kuk190JU1dhNgOUzkaD4WbZ2e5ysdey41oE1dAkYZ2zInrSOtXFuZOM8wV0+LPVIl8AA
wGfgD8wL9Z2Y36NwLONrCnNnlrTghtOaz6rwjecoS9gAer+4kdezHlK/uA8xSv9RvKV2O61ttxxv
MG//mLoCVqJroo920q94er8sxxflc32ONPeh9vXg3OS4wjfTbfkcWmpeItXInTVbD606Fzc7/cDk
MEQmJQ9TWwOHzHMkn6yAyaWP7ehCT4MtPkkxF/vQno5N1u3zgOp+6SMXIF0IdyZP4BLnKsNCvzBS
fs6oxkLWW/hJo+5Rpk8OxU00fHUIxHRs6N7Si45xY5jnH31TLfKjyurvBKtawI7cUJm1/Smd0l3P
tGYfesJeFz432J+mk+Ym0x0BcFtCP4yN1Rbjhm6AsJwk2y3dm2bCqGvV6GLalMhdPtX+ZqwDb6tN
dojFdboz09o8ZfmElbqZfxpbQmC1MDef09y2bvi8v/jOBK0FTIkAHJzNrVOlDdGZRMp5e8lvoeft
vebb1IjwUznYhwLJ/tGmjslslz3UKsk3HZx9Ywq6JJOPXJuky5d0brAB3iJZfo229pCqezsc+yvG
LopQ1sl4NjvtQyUDQ2FIHisYoZDa3cm+Qqq6T8Io3LciUudCM6q1Owai3aOjc3AiUSkn+fS4VJFM
nfcKiFX1nIlmLbrVMLbdvpp0m2XffYxGMh56LYU00+kuJYulE3+cEdXSBzTQEGITyrh7iV/KMkJB
jYbL/5Afq7C8ahHkR5EBYfrdRILk4LC7ZJ2zGtSFphRMQSuPhda6z3K+qb6ffTFKMd3Ak4/KiyPC
DqAa1L3VIjtIoCLnVXXnTe3nAg+B/bJ98nsXl3zPujmQbGl1AAcmqWB2FA5G9np8n/nhCd1if4Hs
fOc77fdWr72n3LNZQ4jGpDNmN+YJVLOFp9ZJY9koFmCRNfj+sSBFsBdixsEDUT5r0v2uQUdwzKg9
1erZyhk0NNQg5JWsp2YXZQDqssjLfT8oi71eWoe+M4pV3rs7UknNjTBnQpETf7cY495EwI7+z97H
DOJ1isBhb47oeQb2XsEMBVdtBX+i4sgPoi6/GS0hXOTowKVu2ltdVt+1qGsvug5vdRyBJH2dcWDs
VjtVTZ/7sVVru4sijA0cVp7AMJ/gbbla6oGKBbslVgv0QXOLHZkFGuhQV9DBSQAj1AnOoyQm2uIM
cEh28wtTXn1a1WEUw0FDW1rWdopDFyQEtzePY0eLZs1MQ7ec69JJk/usA2BK46Q6LXPzbsAskFjw
KyE2cROUN7zXyDVpYnwv4TVvmStjCWe2ODqq6X0c9X3kDQ9eazb7DAvedRgOOoy/1N+4of9uSerm
hA3woe6pmRMhvnVRSAprLbsXOfT3IQnPG5k+l5Yw7sgTe68wE/N7k9CporjWzAXvl3bM1EfiBjTn
jTiXYF8gS0vd/jWG0LNOlYX0veR8cjhhV8vpYc0EkdwXDyMxdUfpNQycNeu+jDp7b7b/k70zS3Jb
2bLsVGoCuAZH4wB+SYI9GYxOUugHdhWS0Pc9ZpNjyYnVcihf1XtpVpaV//lxdbtgEI3D4X7O3muL
/OjmGNqGYM8+8BylY3Mcu49BjKwWIvN1ipxfxWLMO2CJzX4ZR1CcNUWsVmj6fSB9Z4tqZ72MGd4I
VVC1KmrAqxKpMOb0ZWwIcZLOxfLq7n1VYGkya7aVLIpNuYBXNTIzZBGPljMDovxsC0tF+jpsL9Kg
fa8sg4Wc7Ls/mpP1G1PPpBak9DqsacJj0hPE0uxrc7AvHnq4cK4fBURk8tzifZCZbL9oKWROfqrq
4mykRXuuouW9qQP7XobesVg8ZzeNro8Ru/LNHtYcrYzq+U+/9WsojepQtcSrLBXbI9woVHIBTLpl
1r/0k7uBYY6MqR683ZJO313pPjkpJFhKKvaeBS/llF51dLryuTT2gh7Mxk7r5zhHZjDgXSnM8WKK
qd7CrhOHrp3eQj0qiJUSOytIbBW0A8ZEVQgcr5ooYoHMjCoIwsB+T6WeR7upMJ5J0moOsjbxQ61S
pZrd1F4ziYuqEqb0ttO8baJFbLsjrL7CanY5HsmNkcxfTKaxLyijvgqTY5N8PxFMX+pyfGZueG7m
Ge1OYk9bfdV7ZZ19Y8OR7HojCHzH6J7H0NiROhEdHHNkUmEL0tSE1aMDsbcZfevSU49Bnk8Ux+3k
GlvxM2X53rd0RwUj/wo6oT3ZbD03WYyBxzGIh9O0kKVeQ7qEJcboyePwcSJRckvIcscQyxJ7ER42
8djZzCwr/bJM7MNiyCdJwCIAVJclu5MhdffmF361uFijkkWoIdWoxy9RD2KrE/nkVTwp4Zy/L1Vu
47PF3pyL8cHz+jclWCQoTUVFa2FTGLnRpdCNcst2b96NC40T9AGPrunCswi1S0nJ+mhUFq2appas
zog104H9Hq2OZY5tWKS7emaytwrYxoM2pvsmdp9dVdZ3lSrZHhWYRW0s1j+caihvMrdftaEwNg54
CYAiS+EneXjtIctefulx5Z0ijdKHM4ngkjkD3tRBVEhvbP4JZRFVbGbe9lsX1/2Jype3n4qflirK
iv7dBlpzz+v8mMVYt6tdIsroZYZxsNbIcovcC05ROl6xNZDCncfSemnYgKl8SiLYbDBps2WkT0Pe
/6y6iO20aWZPUeqlQJlwr6dZnO9LgzmVKI15E9fCvthW9U7vpDqYKovKDNndu8wsO8S/9BlT/HMO
F+Y2B6B7W2LPDlWatUcHKbghZ3bDEWK38DhJgtGcQCe2QgF8KmiLcZ8AtRai9HPNVuvVDHEHqwMo
tgQFe1300uxQpf1Ik3I5ItvaSFF6T30O/FuV+06Bi/lfryJ8vPN+dLIRzWFp3JzAmHYsjOwdGoB+
Q6ILmkHvlfMJ/dJ22jeRzBkeu4iaGHuqN9sIrHNX6L8oOOw1OcTfmmyYSYepom1pqIgbz7A3vPiJ
M/NYDsZ5B1JZojO02dSgFOZ4ltF4F1Vn72i+f4p60E8p1o6tG5BkmNUx9Ml0THaTG9m3/Cfu8gzA
aMYjMBKTR4SStrETsz4EokcTiKSF8oQmGD8sX+shiQ/rXNK2eomY0v0ZdcPbBCWJcMmuJwTRgfXT
Et2IenkX0KU4rO+c1Mo6WEINvYnxLXJkehmzJPYXafwZLDKBuWjZbk48JXc5t9MLwU3O2RytnyXk
jENfq2mvLe9x5cRPWszGyhFs/JUOLBROiCu7pPcdaaw0g8ohsneJ/aZwx1uOmc1CqJr6FITpA5i+
HTvjudeL54mYphN7hKc8bvWbTKp2J4bguD7bFPSHXR32mLe7ArJG4SERcOS7VetnLczG8zrP6GX5
lHZaeS4mq7utL7XWcoAQN+WLLGl51nkI0npgZ8o/nFtQNGx42+ew1Xb15PVnr4xiRBVTfZRD8bsB
oHPQzPiJxsJH1SDOCHuNFrkIXd5GjkNodNP6lcQ6g2udZaiZky/ZB/XBzrujNoEoL4k4vzTacMfO
G1zCxPk5ovfAWofqL8/tit7hQgKnXiGrquL2seRkCFYIzhk2Mtlj3MK5E7VohGXk7qdW/9Zacwfy
KOi34ZjMdErT31XtgpxKcIeZc8dWpE5u69BYgFq74yIuTsAJriLZpnYvWrCI87qPGiT1k7F2dqHX
i8sYOz+FkdNjsMkaWquryUJQOLqgT6eu7EtkiQfF+OXKung3q44OBhR/nYVrmyVk1rUZzK0pBDuO
haOvO+taSBqkUSzCmz0yMzsB2QZp4n62lRecWS9oA5O86rLUdvCmLcZ4pqBFEBVgTHyE8B3KCmSx
YeoRwVUSIfVE/GwM2xB/yZ5pyrnMxrSh2k6ppitPBb0tSPCaQ1XZNqAid/VT0LdPCYzd7UD05qVq
QWpbZBuGYwewkT0ECwoG/+ggC8zC+rMPZXrk3gBgrnVChnjGhNl9EQGPsGVeBaL5S1ih7XWNkLIh
Coc9Ba9hn8aDSWd4LklsQEIo+eOjt/pjZLX1pbHqpzqr5bXK8tLelqVH4V6+TnYjXoG6eduZiIO2
MufXWjKa4sl3mFO8Yei/Shn9zBBjbBBoDnvL1o7NxKzE5HxpQ/vLughbh6xhLgqdzcHJY5QX5WWI
kgKCOiJNshLO60QB3DnfF0Z8GUX5rQi5MkWV7sI0S2Gslu3JW2CBoEn38aZ8rVl63m0ELbsyCX47
NFh8ZjThT1X4dTTklnisvxFaib3Teh6IgPaol1LH27LYu6rv6QpIzdgvTOTopfzCyGJQvFF5pkjF
/KrsIkafv4aWQW/JLuaXCo3gdqg9T71X0AVqMUji1gABFSV/R3kr9pTtIdHNkXHwCotg2dH+9Jqo
ehomwvPgSp9W7bNYDJS3DvLyPBnP61hk5hzO+VJvVrWyF4fXvGJ+jT33VyyHYdeUKByRViWl1z1F
dnhdqkgyFL+Vi6Pf7e/NjDuW7MktPgM2pGYQ3MZE1sdVdjKGbbhFUZNQybDtS09wyT22YNeOlXsi
ZzE7rc9IGccnp9aGnaAutFvvWwkxmlOvLnRkIcbn1RH7uv2D5gxpYzvZWsZ3fIrkBJoUXCwvf3QL
AtcATQUPWzxtDeyjd8IpD6WdvEWBad4S9Uc7udtqzNor/t7w3jgXZG3fQlqYL/Eg++uQ9fZ2WLZt
+trExuuqgMjcCCsPyrewCunF6lQ4ZTpueuSze33ubqvGIejkfGvsr+t+YHTfsihXthJ2COuegSKB
Ekvl5Aq2/lR7OIdh0NjJJQCQGCy98JN1NdtT5L+X+vhm1IP13oT1O1vz2ne7MDr2E5YUDJPGJtSm
8kQSJnsAXv+SdyWvQWvKK98N9XcWI/UxsMLg2intdJ3PX8lqwINMsSb2UhOsa/cdoKJ4S7FnLVGb
7vq+H/YZmUFXlr7jzvAm+0kTvE1SKR9pYDV3t+9itI3ZPmMDcG/Fb+G0xa02cL52kmB716PgUBvi
qkBQJNxUL4Xu9hchw+eoM68G8+n7UJG3SaxyeWvijDQlDa1rEDaXOG/e62RsT6RJ+7PqcqQJzSnW
ZVP+e0LR9FhfdLak9hSa6YsRh89pF+c3Yxq/4NirtqG5dFf3c04M59ktCcRt98E0QkgxHXJPl1fi
57J9aIBON5Wmq87g2YMCQtgoj56M9t0wIGsJB/ta0UjWZq1+L+zAPSbU2sZg+Vxb8RRuGG1xf+lM
D6WqXvgx68yfVvPZuC3NDbf60kTZbrYH5RZIop2HOuecMq9sumUBqsiWfFujfsqXnD4bOpJHTdX6
RL4j0qbRs05AnLINu6BvVqsZ/TbXOnNnZD2MXdWqqqa8OWvGfCOE4BXSOJKUpY138yI2NAABsy96
+bA0i+RNtS+O+/bWR+7fkOEa2rcEStj6suWRC4jUcG95v7T7ZXFojlssPLxhZoudIsty6MVtaSK1
fhsK9fo2fwWF0x3s1ooeC2HMOc9H4ATWJxUfkb6ymVBJSg4V7nYeHmYWthAmS0w340Axiu3/LZ3C
U6LZFKnS3NkKgC23EVUoZuHBYGHBO7zWKrktakQftlqzu7yf/Zm18S4NYVtC8KEG5DLc+zgWV3uT
yLZ4oA/Ki6PdmPW1IBDtax9P1cYebP0K6SbaaFKkX62Bq18j9Ps5DzJ6obpEznm8o6Ie3Eirr3dz
YVt+3xUsuAz2sjgWwRLZybwJtLS8GzZZK4HOBjap2NIWQDTamhnUDoYXzQMJaY29+DDq5WftjUzz
yF+EraEfa3uxEbRAiB5325/Yd8hZmaPyrjCRRZf113BaaFXy7ZuAhEdqR9I4rZ9vZhoZRJF5T1N/
i8MB7YaeffY6Io5qCMWHXZPi3mavUOO8a9brF4wE3n4hifwUTtGLSujch+OqsTNQWxb23hxIKl8r
oaE20P2lqTV8QWoin3UvdQ79vMC6UAcXifFjlHN0WsdBlLJpL2o3O1UeKZnCtevjbEY3XW+NW2f1
4omQmqiMLsDy+9cxGIKT0kqHfaph7quXbZ/SmhpnE1At4UQjFg68tb84E+1ACjyoQJXSKr3iBHV2
vsq46H2jRD6AbWyLDz46rvXcpWUD6JmfxthMW17G9Ufdj78H9l0PM2H93Ga2sZcdZRTWrCgteyGP
BgLhrUWc2yaoSwpPaAxvAbANNHU/cq1sIJrM4bVYwLu1aZ3tQmo024mCxSuYxBiorhn6RUR09SDS
CxLabyPJP++jCUpxsPzZKaC4UjWc6ci/DKn5bCQVIw/LAeT9BOxIlEt8ZLO3yTRLY8oSTwSByCeh
JkGit0mTptcQ0lAr+oeTXftmcm5NM5BSC2qExASj2TVLE0I8QpNSNe4ujKpu34xvAQXIezfk06YY
aKA0ZXmyxDI+OzGNy5m2bD6N1zqHKkAGfPpEwNhORnF7TakZ/dHiARgcT4L6WJWhkCL8g9xYqQoR
iRlkdxpVMwkFa13Gm2n9/mkGLLR6/MbU02vwvvYORrYSW135/AakBX8GeeRO9MYqkgaJSPoUi9NT
qzb1L3iJgSBEnrVtXfm+flfTEKtgB2FKONfELrHPy+XKiojF7aqMiwup7R21POc5aDcU+xY/lyWI
8CF7mseR6s3MHp8YesavxRufrHLzOR4cuFg/bVejwtjIF5qnf1dhor4JuADdfvqwg5O+AjImHauH
Jpl6V21U3Q5bNgJxARVQO47vepD3DzPwmPuZyk1km29aLo6tR020aFygdJj31kL36PZMqWGiXUxa
A1+chkacMzN1tyNTaGCwSLAMfGXTUevd/tho8t0R6R95Ad4NRA6q3CW14DgbiXOza7aC+eCgQ3ap
U4Z2197DihHZmszJIUyLbaYUj0VeeF/x0+Vj/gZh+lE6wIBCVgX+1OBF6hRHZY6EARMF+eW6PiGZ
gZ29heS67jsXZfdCAo76g3Lwz3oKlqc4Fa96ielXm3AFg0Gi12qbN7P3fBNR+kmnorqlhes9OS5M
93UcOFP6EqV+NNn5p+iS96qf0dwF3aklLWYbNkTJisD75ZHt8RqU4yWjrPCWe6oCygQOvgEqbTg/
EiwzqAx66z5ROIip5lRJRQe6udTK67pMsj267gdcs083nYCWVt33XPkZkSeoBL+p5jyWvD1Hak+e
IAqz0OiWFTln6TzQKhg+Kly1fmQa3UnaSwyYKCNSY0g+157NIMrpbvYBsei1WRxbEK1laT5rpfWs
jR6SX4Rzm0LJxnu3+gl6LbzKiLYEEJ/vi12JZxGan+7wa4n16IcXtedErZa6jk3Q4k3VB9Gnh0Vt
CsMghskdJBkNlnCbj1Se5sQ7FeX4k8b0TCAp0JDR1rVz1gcACgU1k3RgWrMaKmNrgaLKM3mVo/yN
WovplU4xgp94USakmB6PVvojjjUQsagwEUAVflkETA3RcSLS/LCqEFfpZm/llwz9JB7KsGbKQycW
VHb5vGo4lT+g7Mha4aG/lmNLwIQQt0iG7bOB4auMQ4RKLkIhcvW6fdpH1YECbbIbleJikuh4wrRv
wSLxGuMWPWfJoTRTNqSRmz0v4zlXMuImYtE11P03plADI6pNe3KVUWLSTTdmhIi8N7rhggy3Y4Wm
JLMhqRybHOnxhUpFiSjLAeSkJL2xqpaCVOB7CF/a6LCgYN4A8ogNSShBeIMMVO3aISLyK6RtsVLm
lPZ31tJjH6T2DqGT+0dH7npoHbxfzIdsjklwPyGWd4lPQvGD8Ko9hUZ8a4xp2KM8tL6bJMha2XzU
kjA4Fm70ExUxDvXBdB/zQOpZ2iXLZsi0+GZVgCIzEbWvTm39Cjv9B3Hsyd2IdOOdhvoPEhSSuxuS
99U5z3Mven/p3KfCQplrdKP26kSf6+MHI3HA2ZtJ44fuNOXdJIuCKitrD1xRuh8V03tnp8WRoqK5
yYw6eVRO/WrUnbdFFf7bnqYUZ0b7OmqSZUj0ohcKUKQE9W2CVx8Zl3kfiuv6ZEIUH1Qv2D27Irus
k4/GSJRdARI9ht20fs5Bx2UtjrsvZDg9r13yjKU4tgoHGxk64s1AM3Q3OD36ivVAF/lECwKxvPbR
CIKKc8QO+0QYzdnTewqDWo+GXd1YBPvDNVAty6Rlj5MQBxRE2vcinb4EfjsZ40ujxct9FYKvqw7A
2yTnrG6pPmaFrW9Swzr2Q2eei8CqkCBiwbYoVp/rKUHprc57HuHvQILo9xhLQKZhgCymfueprn4/
Gx9aEuy1sj8ZpVNdaxk4j8YNKBvM2kdh98RQyJAHgErSja3QsqmsZPCt1BKXcnQV84jlREPTa4sD
jMmUwvPTMiXfSHjN7rQPBfFHw3Q1cG2XoKPW1+rkaT/0aW4OUxFNt96aUXmoF1U7sWKMM8qcXd1a
l8IeXlIWuvf1NMTYLwfBVg69NZ3wsOyTl5pomE2Ajt4v5GbMi56oAMe8joue8WJwIj9xB2cfEBu0
C4tWPga0k2o5kC86MqFl3LUuDdwxHy+lYWTYlJ32mGq99Sgxq8Sz9jNu0/wbxGCiAuJNbHXVa1x7
8W6ZtAFtn4F6wvS0O4m6/RZdwmnohIPCRLwb6Vw+xWxZdWcOn0p1G+QPl6bTI7WIwhMNuoxxeUU4
hepVxzVpe8ZNwARTf42WgyK2s+0XXtzNszdCtLBGO+EJsEHaLV0NPoUiSJ1Ht0m+hq2RPBYFepL1
lZkMapObl4d+ccmiHdNzQXdW0yLzvRlOSVHMh3rM3lFT07NzMU0ESSBubZm3m6lqbIwkS3AKKbTI
yLqhi+/2pc1msErH4pTFyzVLOpD2f6oe2ICWb06OxqoKnpfA1d7yOuJ/mQv1YQAprv7bNsz+lINy
r5Q2M0R9V6AhhWsw3Hg8KqoVs9gV3poxMETb1uzzN1evr2OFplUifjzlVazfm7j80vYBBmqRvnne
nNzSLJHbKGUvQzehultw2UYT849HJ+6AFkVuTDp/e0cmzykuhbcqeme1HFzaxIr/w6nheft1Z4Bw
r92hxY3fwCaQDL+ORRFhhLRhnPsDn9iiiqJG3pTONknTe5vr2klnAvizOOyxFey1Fh97IXgxhZAH
yKXI2YnSm9DkNB/0IWfxNM7NcwE65c83jAj/D2WChEL3NHsjBHqadbp0Ot7F65gfm6HYh0xZWxo0
4cFLzPSANMFPs/F70ozVi8ghgoBJua5LIzdw3VtmjNkpID5uG4+YuEY9sW9FC40g9vIRFjTuFnY7
7wYQyT1bE42GZe4eIK159raVykWTxuYj7WcJlDC0b4Bkd6jY+iMLXJICsvrrnLn6VaUPrAuwdSIz
PyJMUxsvn+Oz07CyURt42VLKLFD6IPvRCcRAiA7gRNvpiDuuevCRyNyFfIXiWlcps+smDmeJviFP
YnlWNGIbtZmUbUeq59VdNMQuiU9MpDzZekAYhd29sn64UVRR8T0d+kcKLzECNJp8nk6DriqJLLiZ
0wQcUNoZCmLKyeGkPaWagH6OhBsKy7nLxd/rUjXvynNCIO2hMDzP7/V7MlA0MjsyjmdhlKpN+C3P
HCwsUTtAn414EIvZfNjll4LX8c41IvoedvFmTU6HzrcCLJ6b7gYjSHsCUvdTBFb/gzgAaHqYpoTt
vqBQonjpVOEWZ8Iva8yzx0h3Ka51olDN9iArmQWbFmdYrE3I6se22NsoOA7ACG+R6S33waj7XYRj
dsSwFm4kCMemxecwhW9pZ6TPUjvTWLt3cZp/aghKNlawRJeum9n0kMGJzq5gDojDp6nW2o0eWL/n
sZJXvQvGzURkqjVFflxTGtARQTlONp2bpIMaV3kfY14rn+h8jYK0/oMm+B8crAr5+i/iuVRu1v8b
C7Yrc7Qf6b+gwdQn/gMNJsVfBvpby7WpcpC3pUyK/5QO5HjqP9loFZWD9P/wwYT9l4SAoRMIZwrB
u5FP/YMPZv+FW9xSWXHkjVuG7f53+GC2859NlJ5A/IGYk19nQR1beQ7/5GBlX4pZTqrqFPmcU6lf
qgyZOuxLSIVIumsaNMk5o1wegu/DlXAxNbA7kdhavXPHrP61OBliPoQ63AVaryL5W5uaM97XowSa
AtvKN9NxFyXdngU0+uLkbFMxrZn3autblKc3fR5Vo25PuOfRjnjT1vrFwfs8z/PFwEvTA7wavElx
Y85S6BSGW98F5aD+ro7ZyqGtfwuMFkoW70/recL/qgQZKvcHhi7LXOqDRX8x2d7LWDxsyVuYNrsh
Wx9377EIPwePQ3I6ytINC70F54NObHpLjvEjdvVtnre+oetbjzTeGO2fUEJu/krEVn0K1eReXRF1
NKXOWm5pNurTpj0diog9izcTLnYfAfr0eU8Djbd4CIseT+pG/UzkjgdPLJdlpjarxTvP+FFF9hE+
1QU3xD7AypPb2e++mC8RMAZ3ug7JdDCIgHZzlv+cnj5npMjoSkezA0Nz5s101jjcbF8Uw1vAXcQk
fAjBnKvjM3pOWnPvkqtdGjB70UyOMr2lcefXyxsG4I3Uul0ScqOT6bPTFPmkRSxQI1EX25wGYtVw
b5fGV3hLjy1TTKjBrDj5DBB1uk2HscP5bSNqUpcak83etRlf0XTIhXFEwbPVGRp00/fqCqja4noF
qQSHLJeJTg5q7hb01wrmW5O1FET1bZhBk+XOqgONZq4Qp6/uoLoEit+ubpui6UoI/OpE1Q1qCSSo
LC4wnFu91h9Tk53VEFY3zTG5jGHHOufcIu3N5HhQJ0vpcKt+bP01fYe3u0VU3e4x1OzLwjqqAU21
xo+BS7ralwHzXoVdTf2YuimiaajyfQ6QfG0AYup8FXOzIJjOIcQU3eFdXbJxdu6NxvkrW0hQ7+Os
wdSu70INzyA7hiG9lSQh56FOh+gHBe5dgfsrcrRNmv+tDm3igRF1Q3e13avhtp55Ph/SYLqwQLmx
X9+0Lfxkt9uh0zkQ7uTT6UTn9ActnLKdJmAU5y+RxGCz6J87mOYNvOm0FXbf1c+WFVeTYaLubTP9
QC8fIGhQ11zhgCsyUtRIyRP9UfCTWM93OkPQNeNzCxLMyewbjfVtlHUPmygMz0rP0iLEg/uhLrLw
xHYoG15o9d7jXnpx41tVeksaXrK8OWG3+d6Q+57XQ8y3jgrk3BnjgXolNqMMLeCMqg0AXD9c/Cwm
2UyL/laXJY7pZXI31UGNFRdw5jXM67XmoNR9UHfPsc+Z0TBDXTMoQJILRwbSXXfis7ow6oSDqdvn
UXJWpyly0oaIFVAXuRDpOahav3SnS6R2+vEvdSYJX9iMy0UdIdGy/tBkf1PwfmieedSc+Ys9NxQa
eQyN+BxpAw/Ai4K1KjJz1ma/kT0/V+GbYjETy/y2ePUm56YPPNbqkzl3Tys1rLeN33PNhP21w2ke
EWNQM/g0eyaSkLUbT5W6EmqAIHjeq9++3haeNLqnpJCkt6rVqY5RPBn7XWZxqTlgh8nGZQ46V1V3
sLx9koRrTpSCBEOA3lSIsxY3/RtJ+SUP77ktt/Qkz7mZ3EKeRCwKvjVxVHAhrfCHGqlL1RF5rl9Q
mFEZe51H8nTKGv3UZ5VRr8MkUvCIWgwLjQluYl2ac11bneNhdjMZwDrHTKvGSbOL4LlCUX8mqv3s
ulwJJhT1skDUjD+LKxKisQ/mbcccabT5LeO2RWoCt2BULum5mWiFZmAVsSlUz4DG9iUzrME8oGnQ
qXm4vSg/q4NZ1LhUaFWTp6VrdpH5PDBa1I8ptHYV8Qbi7+oLDApQS9f6uf00W/mBFgyOL8DeGVYj
LNrqtzS4v2sFkeZBN2irg0u4qdPW7eUSDda3Ohveyiy/CbZJKGM36nO5mjAD+W3QJgqdtMa4HFYI
YrhgTh3MYxTGF7jV3LhQXy7z5HyrxXhJQbipK5R6x8qdj7Ixv9n03tWHxSSPHcRsdZoQcrYaJrxp
AAZFgHtqHnU3PbPY3KuRpv5d3Y5KTG8W28MhgaVYHpdpInpkfoiBMvkErJc1AuljNxh2S0yqukxu
6gpnHU/A1L1ZzCjq7DMdaWeS+iVblaKfD+oAKBbunSrd57XEIMY8Eowv68XN7aOXn4eko6OT3NS4
Der4HBq8MXgrD+mC9elDpMtevY3VDMGy6qi5+I2IOJu85WFo2c0V/QtVw/9Z/RJr+/8HxZUgif7L
1e+//5sKRPi3/9X8qvofGCf+dTXMb/jHatj9i/Iqi1bDI3HgnxMRHIMcWxPggIT6qpPHLv7vYtj7
i8wygjUNAQQEtBi/7x+LYecvG8sCDBs+5Ard/u+l1UqHb/kXpIhU9DIdlC+oKAdi739Cimhma8dD
jWPXEX190ov0ixcH58jqhiupODUlXjhrXl6QZSst4qvSKd8Uhc5jZ5dIbtLJhymHZyltrZcFkkZp
PFpqmLrXtFssF5Lnrz5G9AWf0XsDcompWebs76sq2Nk9fK65TX/bsIMOjVhsXCZ9de1AHkh7YIPf
mdqhHLr+2JPC0k8ozTRI3udB0L9bEmtT5Xp3CNHh3WBjYoPsKj8YWJlFCKo20kOlNc5y3uQzLcQA
TuoGjJJGaYrfHQ8tZEzBkq7vBiDbSd0cRRj90L1gUJHwnIOu832BFmyryT0udYFAxBhIbOir4tzp
iHr6xv1wKo0ym+d+lRNZe8Voer4sZ8+vbCzacWmhm8QyksxYbTGVjbv1t9bDABBEce0l6kBSESXv
qhF7Zl69t8L6wdtyepAM8dXrKPeFw5Pd4q+LWueRexEhMTqEz/Rdc8L2ezhDxa3F9zDjHakRou6r
m7gIiGSpCJ5CD1d5Bnm7GCc21A09zczBl1wtH2JuNDhM2KkUAtFpNaSto36rpLJ/6sbXccF76sXG
FtWDu3MknaPUsJ1tgdJxk6U9Cl8tTPZRyXRfLyNlyYVCGc1Xj8rjxlWKo1Ioy7ilXVu5hIegTMgj
g1wTwbzazg6VsL5/seu+QW0bnr3KeQBPJwDVSZ2t4+HM9b6yTAcTT4V67fUYRZ8cA1GdV1OY7udl
/VbRePMRaakb3l8Wyj/HogebTpOM2ICsxmGYDp6PQZ08DNWyWwr3h4ks99Zq8bU0EQgQIzGdxWRc
UzjopkzGjVHY5mmlKVGvpvudkbAxqvZfG7RgyxBN/SHopSwt6/lLHqm6W2K8Bjaa4FbO35qsujld
Ul5WIVkLU2ZnWSO+35B62xReKY7BpB6o/OXNAJRrDJ4Kwh43tkdTyR1nsFGd5y8L/f65hZjR091R
rxLoH2kK+SI3P+bFAGlWyIYlKSN1vUCTgOPgUdibaqviEnPirpH+NlIapNLUAZCYxW3MqkdfY27D
f3wt0JJvbO4pqjl+Ggt5HKEennWbHXL/Zb1irVFdes8OntYr2ceI7Avk9ngPvfwQOQrQD3dvq+2X
FmJHqms/C2mgXxeUHtmJ+2NNR9sLy+YY9SAaBQ7QXS8Wz4cL/zIZ5H/hn/yd9pl1mqTzBADklwYZ
mhp0U16imO0Z1LKDjtftz0MZMldtKUt/llnJQBoacHqMuzYMPnEvdWgqTnm7RGyJEmwqdAKuw5L4
ZjuggEGMvounkTghuzw48VQf1P8TuuVsSLpHPt/TRlgtcYHnxH4wIn02Fy3yp5COVxL0z0QYzL4V
iWGbF1Z7coG47twYFWIQyQ2IiPhga57ONrUcr19Wl5/Qslc9LB1/vZpTxbI1shM2j3qboPJ3XuOM
8dHQkcmjlkwGvP/k/xXb0BDsztPmGC7konTuuVMjWboVk4eevmjhqG00hlDn8Gz/gQzp+ITWYmwx
HAZnmv2V5jDhjthihNjNKhXGHAi5WOeDIkJ8KpWkcX085Nyeutn9qXlhvWuX9vvIeUHuqdoHcT/u
JtWc+rw4y0tTgABKi8mFPjI/Mj19okNXoAVCtmtkycc6HOjIsXkJ6wv0Q9Q4oJuoRYckTnEXFRCJ
jOjfbKl/rYe7pOK9I6RuE9seK0pbmfcNR/BocnekLMsNGDzeN5S22YROU2j764CfB/VsZ8mD2NqY
9SzTJNN+5Gtt3m2klXssZH9rA1b+yJMxGJEnLx/uiGI8vygqlZ86wcRQl1V0GMAsORPMSCdtvW91
zH60oKNvYKOJZ7DxXjQd81K+9EscnSKZ33T1/WYZXWP7f7N3Hk1SXNke/yovZp+KdDfNYjZVWbZ9
A03DJqO7gfTe56d/v1M8hRDMk2b2EzEaIWiq0tx77jF/0yNyXCLoexEZAtfOnNJ9ujyJEhgqnjZ0
xFE4sSBdBKuzCjJHUMyIAUdjmwUZzKldD1dkY9jmClAgQct2GfaX2KFNC49vrE5p4UeI6tbHLtdy
Ym8KUGOqrb0b51dVIdzw2ZzRq6jo2E6AGYt5OUezuSIwo7dBbVXjrvXHPasCuspa5neNo72kAziE
y9rSbHyIK0brfWcADdciA+0PeJugVVoiOuhmmKaRBpDmcmNeAQnGqYgHACTWYPFAXaR5jpimDuuS
fhUpq7ZpDPwAc/q7THeWAxpB8S7WlxaidaQORWHDAmL809r2XlcMHMDxNiDPom2MBsQ2SnQw+x6X
W+tFi/iCCeOAsRiRkqSBMEEBnnoHa9KaYLDNu6WBmtgP6bCj4GmRWAYjxfwTgvfY5ewU/3Oej+XO
J6sPrNa+6msgQL5Oko4gxE1pedap9xRlfhMhT140F6ngzWUX9TZgPCRJS18rYEkhVdWthn2MmJOb
Wdfc+R080xSdUBpeXoDJyeewzD+aK3IqLYbKE4bTG8DuRxYICFcBcM3dqU5Hfd/r0FAJQWVglGQf
KMefIvTMAnvMNwNoL4RMrZMbRl/WpgEIgHJJYBrK2hi4HVOC76tCR8qnGWhbzaiy5Ha5N/J8V08U
EbkK3+Bn1tuVid1eBv2VhkXTsOJMGfbt0fGt+1WBL6iaCOWLCWSR6ELAZge+ppL6KjWjPa1E8pcJ
mEfllU8eI/bEyPwgUmQGUe2y0BSCGVl8M9kY7sRReqwBER3o6rXIqFxbaGlNrnedhkBgXNUeEJXF
GF2OuFHOgWw51/7A6bTEyJhQjiF1vLdQl9u2oR2+K6Zqk+WIjjhEkEeHyBtqJV7pWn10TLykC++6
nCv7Q2qGBeiT7K1DXYh8Yn1CR9d8KB3/nTR7siwmLVCmc0A97TpGrmg7rAjB2F6cbi7/aXXRsWja
0zAXzdXld3xZ4WliBflQFaeUGfNW11Bf5gB+gsuM169EVCTNiGvA5IFGMMTo00ekpTBliPdrO0s9
SlMK1ObG6jE6SRA9qCRDsVHFaN3xa7TUPIeaM3yO2D9RDwfKLpC4mK27uSNupC1gc2awPnEaroxn
E6n8FkOxznIgcfAXvZ4X0UjmpsdftVGPWTKWs0HhzKNdo3e0bvPXqAJqoeol3np1dRbVJG+1+Ybk
sTM7VIjqpthQmUI5Ae1CNqJtkwXf6TwZ3y6/VWl7f7XBotd9ugOkfxg9O8GNE6mKMKYF2vI3DNmM
EfZinYSL0U+RNpg/xwhY0eSZgOvZnxn2gDvXoNO6+YMf8vguOTHoZ78GUa7HIxSwYtk0A35WZY2E
wuVNZFo+700ze3YkifNK+BG6fR8pN75ew+5YR1qxXQfX2fmZhtVHUxb7xUw2tgW0kql8Q34z2Vca
vmrYY6gtIwrGicrDOU1uF3YG92yg7RiT0xQNivJrwWzzZIzybZH27BT1CIXhfubk31hM+UBi0xSq
OG1okGfhk+vP82PaG0+eHy3wVBz0mQyuOQIuvpn8AUl8LzNu20zDlmqtvyhskY4LmkNb11y2YRSX
W6M3OxhgboEu47gHHayfgDDBXe4bAEOXtKVxxmGTg8IPQFfZ22WBdKzmR2RGoiRFeeMC5bngGtmK
CQMM8lZQLClS7mp6P3m+s60b0qrck3ZK/ynrW1y6teRq7Z13F0yJEWFpNVAO6fbUYCiGGVPiec1R
r6ddCFxl6+ekTyEwbX1GQMv1pgQ7SFJKusuPmsUJ7EVLsqO6YUI+ST7fThNtVCm6IgaLdS4pOhkN
/iDBZdF4KZJUKwA8VG0YbkhELias6sK4PbpSTEWaec84Zj6mWn0NE25B3K5+N5bK2VmGgrheE54Y
F6AdCHJJr+tgNPo1SCKWddxtG4Q6ThmCTEwfMmvru/qEDVp3LHw23uJM7a6d5h3lQ3XlVDHqTPeW
a3Y4+M1f4MGT2JpuvzF6YuSssvqMHP9nViOjauhXZ6tO+91FZ2RYrY66JUPcuAbOXvRAYCEw2bQA
EauLKepui6W5tcyoPV4Qjsxq24cMnsU6F2prOHl/40xrh2pmuIXn5V33zfxcVsO9AuWwsyDYBSGy
f5tsZMux5NxrPR9eKkh4e69E/YPhz7se5QLw8t1EVlKAY5zZeF7VIxOf3MFJm2gwltz0bJxBzWjb
zvWAbcvZbKlF22t1E22wMNmWTH6DdureR6iNnKau+SyeCAeE0IdN7WMm6PbYPylqKp2qe5MvRbsf
jTg5mPV8WoeQnxII5mj2D0uOwmJUuNnOXqLXS6gBbnxDl74/X9hePYINPAKlbdoKquiKUD0KYy+N
YWP94LjTMcdf1y3GeFfE6/0lWi4WMowXxaAS23Ov4D2agA9GkneOhPEapDadZIC0wPRWyhNzVEHL
9D3QLNr1ucFYotVJYfXp05L27Z6SbWQQAHShTasq8NDQ37gj2IgCIdUragAUrVbgXVGynjNNC8o1
GY6VlUBqHrHTS1zjSbdwmNDTFdCmb9yPi0Yu6/GpeU3aAp3Sg0ROwePOhKTh2wjShhyjwfUdrmnL
Or0sVqCZHixawTWP0WYeLG97KTQve2vIhY8M6G6riP44QgCvkPWuiqh/9E56yjYzJYtddO2m0lww
1vHyGieSKPrqrHKULFJj9lDaKvdw99rN5ewYNS4QMDPbMgKEt3xd4UIFqdljQJPmN33vpXA8nWbT
1ikJ62LsOQSQ62FCVw7UZetqF+iIDpDs4gdrzf1ry6uSwBxPpaE9h63BBTkefEK51ph+Jg2baj+3
nMipNexwl9QPafMO/e1viN60R7tfn/u1vqE4YcZDKxT4/2OamjMChpF1KFoyvRw6QShi5T7thMpr
wTXpQEkkkrejl22zwf5W59Nt2ijc1oAGHdYajoxPep6BiUMsvx8PNQodiRSuqeNtRBPgKOnyrolY
gmT1Y+xW9FzaIGzN3QXKWozDErQZLLK0WTlv3fYBXzneU2m/72yaKKmiW9a1itWvdRou4HeQTJmL
nrOiIn+X0/gS3QZr2epG6qLhS/kB0Bf9As4Aheg07hmciKgoKWZeYNGnHt3SS5RMwGGZHmODUlNf
ViqasuT1gP49GiA0g8vGCjGuUli7bSfSaZ4XmkkA5JDS7Kr8JHD0MgwuERVO2d3IDWy/ZzluCt+h
C4PBRw3+8ltud6shzr9ZyUr3GbqkzA8lj2WXYspIgUBfhF7EiHmGZWyxljvB0iXHrF+hWbHgO4Jf
1jtqo7dVT6ozvVweSdXR5WM6YoTs9Kjy7YChuKi/6UFsOKgY1/a7CHhBIMsBRMnbREjirw/HdCES
+3l8sDxKwkukQPHuxVyQ/TDm+0ufhWOA2EZH0QMnuY3H8uNUAz53kdnAz5lujyDh5i6tjlpcbRvl
vKAnDeRq6pFR7a3Xy16jJLMD9j/bCsFZLTzp9NKM2nrz/eYbhusfWKSgzCM6JbP+hptIxJTCo7sn
pDqzAC7aji+2WS2bXK/RYM4+zbQDEk4noPjfhhgaEjCA3dxpG7fAYEvNBtJxyQ7dpL0LWD/QMiQ8
UPACUto0HrJWFHll2eLLPD1nTD5D5Bi8vAzasPwQT0cRe+j98mleS3Eoqb+ZTnuIYuIPR09lT2dt
Nh7mYhQBPXojBd3OEn4vkoD50aiww/Tzvr6Nte4DJdUNcB7t1kmNaav3CgFsaWPmXUJ7CN3hvW+q
nC5uGG+szEaKq4UPXBgrKM0GFFfOPlrzpA0INZ/6oUjYuikHPoayhqEFeHHR16IfhF3MSU8YLKKt
k9x6dbubivRoqMVCnbH/YhoJu4ABTIzDY2z4j3T8aPemH9xVe6qt7Ajdm+FYfhOGPhEamSZvGl7a
pXiHY9gxTY72yM1bqEptrYwyh84EM+lsuyigBm7VbRnsT7tm9N/Bure3deJ0tHL6bW/jzGrmnhQw
yV6b3vew68CS6W9TjhoevHkWLF5xOPT0futu0B3fD9kHRBwbC18hq31Quh3DOISakKCGq3tf0yJG
MaP2PtlN8s3NW2Abg8k4fz1Wij7ipPZ8x0Na1vcTE9zZWD9m40rGrSH62kd0DEjz2gbC6mK8Yd5x
3Wr2skv09LPXJZi7jM1t1eIPE6vkGBnM+WPttoy4L7tEDi1K2WHO2YwhcylRQ4Ny/Yq45y72if0K
e5nJOYZe+RgtOdx2vQdAut7aJA+Q7B2yFqi0iKqH6YSEZXIe3PFTFONc0DgP7M4no6k/NLE+YS07
Pd1SseycuP9a1NpDEXvVbmzKeVO71U3jqIIpLmjY8cNckqi5A3/SzMO5N/zjGE9fAc3QxmsbuhtJ
vF3Dj22jjwHZdbqpSniZ2FJ+o0N2ZcbWs5F44EghAs0Ni3JAft/3KnPj6/UDaeZDlEwfnMh9q3GB
oEw/U+/eGDyzqT6iv9mo9NFqcE1BTzBwNHoQU97f9n5H7yquAnTMXJqmJN2oLQWmbd+boEbTrvsy
ROYhqfL3NRa9rT7dhZUyyINYDSUof6uARrrk6RX+MveJxFsaZFg3L/12ClmKI9zKkuQQbKO9Mvkd
3MCyupS2g32H44F7GlM4QjIJxA4nWKPGPyHzLpgMOKjFBMklLp5Co3m1pi7d9/BMYBWSuFBcdGO0
Ba41XW99zoc7E4DtqezXN863cV+H9XuloxWQ3uKdAsTEdNNDVlg9zwKmJEqYnZXOQR9H6ykf2/V6
SuJ92g2KtDXzNqqt0daN102b2NhQhIvIdTzDI0WByuvBSfYUAzYMy63NYbCdoNBt/MbZR473AqcC
qY65eUBA7I5iXxFJLFJEr75GlAVhQjSiDhMuKNt59MtggA7rIdtB/3hTO9FnfTbUdWuZ1M1wRsRo
ZVfemvmAvrbN9812Rg5WjyC8O5S4vDkoHGvjLBaE1FJ9pOm4J2ri2jQgqmd68ACt0b/TcU0swgXx
4nf5mtO0imt0iKzYfjIK7wovm3d1a0e7ekzheyLgFDR1/OLpa3a9RtqBucBDxNv6AGNPu/c9dSpn
7Dhir4ivwI5+TtKIcjX3y6t+5gV1Gir1nvaMY1d2Vt1EsyWB98zaHbz28fIfxuzOO8iz085fhndG
ZjKg0LiAGAz6x3ZEWU6PkEvrPUjpRoiUmqe94JbcYx07HK3VpT/YkKVjrXdfMbcuisU+dH5PWodF
5V3aJZ9QiPvgusIYCf2PNuKkSOpEiMO0iIp+zXAC4wwMOz4mvovnAvF+XHEJ0h7OJO7M6YO3+GC9
xdS/LAC8ga67xnsOLQ9xrS6/gj6Ee1ooKuUmswCypcoHUtN7ZJeWCoy5vtcKFwVD07cOE7Dd7Wr0
L5A0UKIc8XomC8UBDr3CAiRQxVQABD41g+OtHQpDDIWgpgHcFimgNoJDAt3ywhbRhDNqJnQ8ch2Z
p0U9oXFFa+3SfcSEuYvjHU7BYFJwh7hMbS4TLDaID2ZjfayzkpnJkEFUYzC2UJ33CYKhlwTcSMnR
Is/ZdVrnHyOZIeG9BVnN2o7gqVHXoXNtyHdPBeWYdZqMAWLzAm2ENeq1ihNrwbjtu645zXQjoEu0
HUx6IzN6fHvwFKeQcuuiEBgaBQvbG54hu7v58n41qpfVoY4Y1Zqi3oVrUBMCHfA+YwozkfqOQmAn
XYfomAGPit8QiQ//xqzG+nUmbDF4Zl5NV5HZtWAxf/T48JuymaKECvLSpi/kxA5L7es6Z3RiIQ8W
rfu+9DPne0MCNRFC3VRPdLZYkpfksY0YlV2agwtT0rqzdy6qTg5CL9Cn0ZTtMV5GMQAgpSOrdWLe
2+T0X3IqTf9z1SxUC7rG4ThEH5Cx0rY/jOz/hdWqIU4vPxppOIYykQi2lWso23XUT3Y83eI5VPxW
s7tUvk07nHoH5kprWEwkpq+DzFNsjTbE1CG3gVYJmYZ0dvE9aBjaplP2WIzqXWfmgjNZTxru2399
iepnazRo4rpPX9c3DAfsqykw1h9gqsXIDGpxTDRLZeyIMr0JC+1eXwcdfV0E++QkjqjLtyHuzvvR
calCW6Yy6WD5T5daoCJ40JePzlGUoIMmCtqYQPJkE/1bxfzq1nuv05U6pl6NDMEXSnXegNZ8dnTn
rBbnRM7DkMRsItGTbmn2oDflidjglBfZ1lXLi4006FUxhXFggGS/chE5jZU6wVev7tbk7TJFW3z2
mNd4XgCDWA+u1ESIt7EqBFmAKDCq0nRWqFl5zFs7ztLvhlP/xXH/Gzhun439/yNZDu3X8uXLC1CV
Uj7r9OWf/5C/8DtwxfjNcl3fQ+sUjDRoadbnHzBuT2f2dlmZhrgX/oFcMX9TgFkwqUG/W1kAwP9A
rhi/+eBfwJn4MKABnDj/CYzb+DlGYa5g2b6iWc//czU/xShv8rIcJc800DELHACgrmSE4DcFRyyY
vDAFxQyuzPHfuwyYfnhQ/yp+AG//U/yQb1dIOGNQh42x5f1ksGZUejmuqkwDwWTL1wrmMtRoWVpM
dTPKQyDfghnzxnYniEPBKifG619fxs9RTK7CcXQeNGAhAyfFP4cIHLIU9jRzytwNbC4AsULKnnw6
1Cq9AL4rcJx//ZW/mFTLd7rMeh0b504bKcU/f2ddG04yjwyhBE8pyHGBiwOK2An4nT7+VsDBghUF
ZB5OmIg2101akZyihjUADwQHjcHJWcvOCIYcR+3eGl9UDwBd4BA8KG9Fbwt8b/YO4XQon+CBS5DY
/Akgjb8z2P2VC8Dd+LxFi84oGZsl7/mHIOuVdl/NUImCEM6Y4LZx3IEIhRfMGyI4R3m7EXwnE7y/
IOUzA4BlD5e3AR/rvLa6sW0Bv2CgsREovMBNF1rLgsz2GSFmjPgFsd1x00YFeJBXYy+44wD2pyG8
mqQ44Eble+VG5R9Bg8pHrloIhlzfChQZzY69QD4dOKRgDg2r3djt64RsxDIWl5+e4Oh4CT316THH
mEqQ4CH4Wy9/i4YGKDzLI9KA9oJjl2uSp4lO7JXAf1PANwJIt5NhL69Q/lwuyBXKMu8PQoBgui+0
AV6E4IoFLWwXcBPAt+ME8CLXKoj6lmvUxvsOpLyg42OSOtkWCRjePPc3Fu9vXtgKvGkc7R4Ffcky
KAfA92B3jf5VB3N/AdFyfQJoBiZ0Fkis7GX5aXnO8iAECzm2faAcUv6GEvE7eFWA4wmqa34L7nkg
rwBKKpDZ2QUlzEc7ixvEdO3AueY2KvYZ0xdwUUsDe/M7Ov8COwZsKRBv+TXSukHs31ukfIiahxaA
errHAj83e3XbofUqNwi6ZS/gdblEWRmyjIfQPEawHMC8cIEg+GVdyHMnebugmSU2wRkI+no6zLw+
sOby0ObUPqa1fTRpdNOWCQb8SgVxq0MGkPu8PDRbD9b61mAY/deb+xd3bNncvq9buuOaLqH1J4O8
gZM/rxzcmWTpCT1BQptsZiELCDOj5bFq9G0WHjsPhvntRkDQ8mJMxmkCPLbtVwl22DHRf/s7/25D
ErMfE7fvVwj03XTxxCb8/XnDLigbM30n/Oigxb1o+E5D4QUYHAOLAdmY91MKy4Olwnuq/fbvHtK/
iLo2gcyBRGTzrNyfYka9lLVSDH0ulyARQmJbRzu4eGzDV0H9D9a9vN4leZXd+PuxUK33Ndqh8Efk
JZL8UUscKyQh/exJlpGL5nmKzg8CC4RUQQ3/9du1OXt/fna24+pkk+S8QEt/fnYIBrYoIHLhkGeQ
jnK4FKEoSVgyoQbFYYvUIaPpfu/QMxDgv0QOg5VIM0OCnQQHxV5d2cZCV7gsXBjR8gSQlBGWCX48
R9mzgio3gYvLPq4V6arlbGUfG9BaLesTjfarzFC38NePWGHsJHRGIISwn5jb7Caa7gU0/tcP4Jes
n8Xzpwfw09kVu+uoDJ9TWzhMErVkebeEAzla5E1m5kBXCCYFRCBkGbHUg0giKwomhbw4IrAgurOy
uPmbS/sX69pmRbNwhP5m21IN/HAQrVTIjhdl349yCedCwcBFb1uzkOVFCVlGOAdyGch0nQVJ/tfX
8Asvjqfj6rbv+TRElHfZej9cQhRPkJjnJA1kLcjXymYvifkYZ5+FhNHBFLKt9W8cYZUjacpPe1oy
OKauTA/hDsq6/eGLE7Rg8toD56rl+dknyMY2LXsY69QrlF2LBe5qyc9Cpcpd/aqphr0kOxVB24G+
I4tSgo/iOBJiiJulZ9asVefnqTDui2Vnrhja8aolZRGai7BxXND3nG3F+iqcCOFcCbNCjmA/Ww4+
J588hrblFGJRhHBc5UiRRTkj+CT0OWW/RvN8XfjwBiA1QZHKCNwXHhInnARz0/TpnqJ3J4ZUMIGE
xdWlxY1Gorg0pGoRYtEiUEgoY1k1mXkPeuZKiARCl5DnLVQFuTgvTM9yCxJaXR+eT/QmDKwkXQ5C
1JE9u5jWUbJfVI72wi+we/4qKWgqrCfi9zgi36ro/Udvbt1vMexs2bru0iNnCCuEg0t2veQtwivI
S6h8BLFaexyafD926tjw48KkEcmH35ksEvGLZgCzpd9LqqMBYh6D9DDY0d6zP0UNgCEd12ZW64C2
SQ3Q81XyYod7QHz8aLPbFpa7RpIg1KshA3eY0zonAkp2xfO/nJREw9I0tkq4VzX8Nu5T0hDZKbmw
I/g1/vK0Lb9ftQnQ08WGDC7I5ehyEY1OdzrIrIgZxgpVk7ygg6MmAY4H8vvbkjRHMiPbRVuEdVVz
rOc964y1xWh26+M/831lyMVC8KflDQuMb5fESHhnkusBejtW4OSXEtgTreUoeidfIAQxeyG6aFDL
uDF5nyskoYxDQq+Wg6RbdZiAmbi1PzepsZO3JmlnCvjNQ6sTEUK0GgVUB0CKs8/hwyRKy9Oarel9
Ah9LVif+3WfhocoTkeuT5GSmnyb0rpR8D0xXDsTeHUijyC9kCci2EEqd/BuBt4Pcyoh9j4W5gjAB
E13f2BnYQGhfi7ZcDWqhHcE7jICLCX+R/A/BPNwa+Vq4rQq44vq2NuqYw8kSvpUHZTGGDCvfYufF
rumAsUDhSZjjrIlCIWiV1PF6ZIhlDfBM0/Wqdll1/FtuUgN9Izcny14OWck8ZSfIO4bT+dhztbKA
JREwxwxyDxZSLEx7PAjfL0nhRwHWXokiku/KjUOqx2zlVe6HzSwZ8IVfyWORHSvUQJaGbGLlIGI+
b4XrKSzAMhwRhGzxZybRFNYUSVviDocFIHQFmIYDg1VwYcURsbMZb2MLdtM0vpd8APHYs5Dv1PSG
ORkzHEocIoBkkwP3YGBrIB/qptNhmdMbqSTl16OVnpHLEYXfmVZgTU45L/GN3G7huAfwsK67XPnE
CaGxVmogWKZnOyRuh68w1KQmlM/F5+QKa42b1R52/fw5ZQ3LV3q2eaQjs2/tdt9TznluEUyB/ImQ
6xLYzBIDJSTJx0qabcc7H8NfIadJZip5tFy/JDcNZFgPLtMlG8+c556OJtrVW+VEZ/kZeUSS+DY4
q4FMceCJZSw4K/TASXV7oT855Edyj1IPSASQWkC+Klp9kKIU2PbrTNoneYP8sWxS+WY5HiXNluJD
cnVhAnqRAiB0u6RwZOFlSUkgFioWJQyfgmgs5D4qMT5Fno9UESTjnFV0whGR8I7yuXIgyLqWYvSS
W0J7jBEgchqodzwQIS+O8FsbI71JfYQm2g9MXg8SyhdWnKGaXRLrsFGAodlwWynEjOyFfDF2WNrZ
GEg6JcUDhx59gnDqgZQfJ9pu/IY8XtmsnFcSQ6QusNnaUuegDqtjYzD085W8HwnLIU9JHu5oYs4R
Lvex0z9m7alwcDnmuQuPe2gtxMvRLYzZm1ScF4LhcmdC4+6iZGNW1x6e5CBVpZlgrelZ0rU+t0nV
3lVzStKdnIXhK4vmUgHx0uT9y8vr3MPvZ0eeURQREOTlCPVSckIpbnG4RAcajiLxTR6F/Iw8ZLmU
fB0P2xudty5VtJz1aO4EQkjUkYjit7DE2In1h5tMwWmA7SgBRGoViXTyDVIugandem12ludf9m/N
smxTqHpC15OlfEmc/tti/HdajBQRf9FiHF6+fIWCUX/9U5eRv/NHl5HDiSajqxAncJToSPzYZXSZ
QrgmQhK0GUmJS3TW4n/+w3B+Ay9ger7yHaVcR0zIf+fHqd88umGub9n8hELj6z/pMtpSEv0pNcVa
yFGuayuocQpfsz+nphkytg56rx1UcP/92Dc3YQ2Kt0yW2xmBWZZhwoGM1a+mByprX7UBhT3ceQXR
ad1BvdWOCvrTJpw/L6ktqC04bUac7/q2qLfWQgKgKusCdUnb4uRzpmfMXf0eFBHurIyGIgYLme/t
NBSXz3XzFK9evbFMdTfWQBJV0d3MRQXaKEFSrMnvbKQkHNf9AvuoJnGOt3bRgSev1WmI1e0Pr/L+
+1P4n3Io7quk7Lt//sPWf6kYDGZEUAY9x/QQmvq5El4t3IdhMfaBNjD70iomj3N4xgDoyo1GlJcH
EJ9zbD9Q8rxmnbXLLTBBVeEl29LUGRXXycesA906hcDXVpjes3qoWoh+iQm35gULLwv+obqL43ZC
OKk4LLYHOXZKyPtSZgde/dErAUn4JS7cRnFSU/9shs6pwEEU5AHSBohu5NNzmWN2okx0+1Bo2lru
urUS550xWg9xzRtJLOgJPaMTa/BuU1t7noHxx6P5AH4QJw002oidySZdqmsMXGDjvkXTcoMa4d0Y
3ykL74m09Xa+niDBC//Xhnyx8UPk4TS0gwDkKSSJNCTsSEojrQp8P4a2xbB0rUnvJs6QecXLykq+
zbZ9m1nqIVSI8Or2p2rNv4V1ViMGWn3q8CgHlXYd++593/rvtRoAsj99cvvqOou7Z79r4AMg39V5
9oOa1cEaGubf8WO8luhxo4OWNO+6cXoYVAcdKsQtZOb9IM64YFTjf0x8LraLmHA2MSe1C1phXSY/
QHWYA0dcHj8WesPzwMAJUYba2lhQKluQorX8uhsPRmTjUtNVJoAE7XMS98d84UTXx+gb3ktfcDgY
qk44Cw7YA8dCqwHFzqJP0XE0ig+yULSwvO4Nm64djh8LviuVThpnTCbTQuiOePflK7gCLzL5BFvH
baqxdoYbP1Udrc3BWbPtUN6mCxeE9RygKZ3JbWIkb5fvHPLwC2n7dZoveHlM9jc01dB3q7aGgmYR
okG3gdT2DmXk1zDGTchz0us5szFPnsl8VzveK7N+HjjykRBN9k6vHvppP86ufnRLVsmM2CP962HZ
V6vx5GADXhbDeFryqtxoK7wuhMUjfDzHBK7NPB4d0Ae1+9nAzeuoSiCXGG9pJ7dlQY0ghIteN650
1d5j1Awxtql1GFNElrnQMA33jqZJJp15pRG0FtN5c8FWA3blxvL89eiOCDPGeUZdgAEuEuMZWuAg
xCGzlY0oL5X13jGbbOuAo8VxRg+QmrvtnCzZ9/161Pz0jsGCFViOeaW3CCWChqfSGu9GT3+oHNyC
NO8T1kW7rIEGGMffnKx51DhxtUJ7jqF6bErX/ODyiDpcDzwmqXGSgUBUpGL5CHpshbXqDNhNlGAJ
uQl705K+qkhABIhblXg136As96DUbV0AWsQulN5MfpfjAHSmG3oDue1jUrXMEseZQImToDG0UL58
jVlnHH0LI+sFG/Y7B0XGIB9dfA8AAuOZuR3st7xH+Dr0smyDiN1XfAKfrPSb1fjl3hkdEhXDuzIo
W900+qZ5E+hPBWOxtOc720MBvM2xxWHAnO18OCGdP+6mOLtVZX+FKGAFFYZ5fg/aCiHkbVskx7pF
dHEcH6XgtfQpChDkHg48j20+UuTEzYfFiL/ly9YbTPYLZoiUjgOkCrvNNq6pzdt6oXDvihfMa/mo
wmUW75rb6IMH6uBKhcaDs7RAHAsQNDXw5VoB0I5beL4rbA9sJa/wIgaxmyTf2AASbLpz7SRNkA7F
qRHJFOwyENrpICGpedzexo0IzccYoHWUXXmuvjRj7++HCIyf1yIa7LFiDBethLgPg7BusJQxIiQa
iO3e6nwJ14RkbZ32YN3hgXYh6BHqOmf5Amzg5Bfupxl/tE2sJa8xF7NxjmpYdApUwrEB6xiUMqtV
OEJLSaQC6YVpLxqYG6p6dLMjDg1rhUKdt4RuI3m3WuHXVtkPbQvScW6eY/+aIaW9jZecmgXOEfSY
By03ZlDzA/HJ6Bi/rJs5RwNa65FwZnXuQB1QNOT4+AK8AIvuJGJiJ15CY/+eNoLHYjGJiuAbkz66
QwsT9WM9/pt+mP1LK5BTlXTIZKrncbr+rE/V1/OIKAY5flZ9MR1sG0dKCz/fm/VytxTWe8Majtgk
01Vwj6j53vVFeVj1dK8Rtjh0mmZEYqJ8BzivbpKgC+MdDZcgTXkS6bSFFYsqc9DMziettU+JaWzQ
Jd7Eyj7B8tRL430VWned+qqn5U1i6+8jDialYz+Oy+Vdoetf7FC7tTzz7a+ziV+bs3LbMn5guggo
42e8gzEPDZYL3Da5zCZFWByPRGnBTHpIVQc/HUOllNaWCRy6qaHSAsHxkGz0fLaH5yNXFwPtZphV
ln/TN77kMT9lgTjF2Y6AYmxy1J/6xg6e11Heo3xczwD6kCr0hmmvpuehuc/aLx5qiX1XBr2iX66s
XYZY/QS3wLeSvZsd+6Z9bbL5zirM2wJBrNLJP4HjgfxoY0sxX/E/E674SKFOf/zYAMTrjzC2drbF
zov1O2kTtU11NvEcXOyJfidKgNGTZ3aQlpbrVM/v26Q+xal1HsEthfCByY72Rlyeo7Q+gp5q9IUm
W7oH1RLYNW7Qk/7YGPFWebcZR4w27/urjr3hDsuB8jZ0HtqkgOKQP8audwDiefBQtpzI4Epv3oBG
C2y0SQcYFn+9Btxfhvo8YYexOtRC16AH/RPmJR9Dv4uKqgua1EFBldZp2y0Tyt6Q6gGCYtaLXHfh
INCAuPInfNdQpJ+FaZRxJBvxc4/ucpAWn20d/lHDQVLS6hz6ICzWamc0696OOrg69kdwh4yMYhHG
VjhtlxzJKzLscEQfLCcqoFTlxBorvau67KYJSR/LkdAGhvy1MkycnJJmUwPT3M6+c+qy8L3egH+q
4G5iY1JtBgtyPFDdF6t7sgsDiVt93CYK/jhUnyl8dqv666SPyIpby3ODNxH8PdKDUN3gZ6kB5klo
eLQVwmX1cK3zxXkeoiINhzMvEH21TdwQB4yGKZ4xpGTZMJmu/yYO/ToMlA3p275J6eUgwCcv64e2
fGr3kHqMiOwe5w66U9AnrdPcrgfwmrQUsY+HsYnXXYn5K/7TcVwcemUHOEIe87m9LQY7GAvnaIXU
MiAbO6P/m4GF8Wv9YZkM4RhWUgKa1DV/vkIzX0YQEEYXoKbyUBQcCrVVfstA/tqcI6YJT4MJ1cdG
nzdrxrSnNz/EiwctAZWGTbbOX3LU9hYcDlG+56gwr7GAe7ks6f/2Bv6N3oChU83//82B40vSJz/2
BS4//3+NAdf4jXBrKRruli9Ioj8aA679my0TMnQciRIkXH80Bkz9N11QHB5yxRfFnR8aA95vOoI1
SudDYTRbyv9PGgOX0+jHI0H5FpMQy7MN3QE94vy0OXTIBaGmxy4DHEKBsZjRnarMXa9lQWLq6ngh
p+tLtHdXuPNQDlBqCOFp3heZ81RBn+YoHA+OY7Esp3iFvodZ8aRMNG+Tco9Rxh1iFWrvjeOdh50A
Yt5MuwDTW0yCrO+4zDSZrNMPL+BflPSGK6/oTx2P/2XvvJYjV7Is+0VogxZjY/MQWlKLJF9gTCbp
0HAADvn1vZzVZXbrTk/NfMC8MS0pIgKAu59z9l7b48Bhmui3UHxxASzdEfnLU9/mnOyMcvFwHAzX
Cldp6Y/ZeYLTsGoEJ+HBebBMfFwLzdApm6M7xQu3BhwGY+X/smtqWprnBaZTwWAiwmkPbkDDsYvl
0GAb5cRp7empI/NGib1Fm/GVEoR5aV2PxoZeEyFyWRfhUsZLz2a7rQMIyupPuSDohzp2T1qO8BbS
HSSGUaPt5Koil3n0BrkzbWY0bi6e0fXu4t7AGBG6VArvyvdvk1qa6HucW2IKwVqGR6foPlJqcWYh
7Mz1V0oeF/bQvR0TOU/eV1i8M5I5Z0lwpJi5qQlKI3NtEN2DB5c4nbPfVm3cYv148OilLnN/Y7fF
fWhVTFUaPIPBTVYYt36lWwx+cOz88mWw5ENk9aTXjLvQwJdS1/ZxnB6zJnySPv9XjY8RJ+bSSi7u
xXPTA4rfc9o1Dyxg3655H+e0NkqLlmYg15NBJpgrvXtGYDaJZX9k5mCYj95MJV9arp1FlCzthfo3
XpyMwT5RgYJTczhSj2nVvbAk3d4lbtcq5lXZBPDx8dv3dawutR9fOVd9d1JBmikeCi+Hwpm8Jf2p
AOlcVvaGqv4YNNYltgLSEoNXEWJfQ1F8snLjRL3QbQCKIK5OkO37o7J2tw2OHGHQ+lGchPIhv2+T
UYdrxB9u6p0jNXswKZPfgT+d0yZkVkFDPvS5RuU03QRYKtfEg9AFEFSOqRX/8sLfuUfEg+lAkZxO
fvhtZ4QKYWv/jDv/ilX7iknjyRXuaxybj2ouYMrbl27C7ppYYq3S1mdsk64IKVh2HJ93DAYCM9i1
aScR99XTluLz0AhvXoOoyIPAOeFNWTeknTE2wdfqLuafqO4+s6bHkybmrQzbbK0S6zhx+trNPpb7
utYnbAB3ddHU4EqzAS5jcA/0J13h1kVObDsMvrN5q6IBRb2j7qrArDckzFirIS5vIkMQPVBnJdSH
BktrjLrea9SxMbUDKZN7rJUBhqHJOwgJXL0wkFwJIA8tLfZ/ZDhAbqFmrt3TaHbemXwb9zg48xeW
7XzVWxmrU5lHuP8BhIaz/g7Ouivg0dMhMdU5IB3kEHX+o5yMYBUsuby6LhcjJdYhxEZm58uBS+kd
xopOWEX6oMzqjzCuh/2Y9Dkjz9bY9snyMCg1gdif3idMK/veoBhzsSLyMcpLkJfk8ziQcKLF36Y4
bzc/bzAkaXfd4FiKS9pHodcDhEqQIXd6EBXPT8NYnbrEwqZSWi/jLDfO2Gh+BYZLyPj7vBCH3mrL
fdWbb4sLeyebiVix4zBbV30+M8hqHVpQTrTxxuYmIokFzmrwjoa92uN73ZuN4ZyM8CsHTX+WOFB/
1hqn5cqO7uMU5jg27KXe0KLhaG0/4eSXt1lAc6+Gb+Hh9tli6jKwvIThXvoxPiNySGmtGBgH4whl
ldKsyYxARO3qWntSYEYveglVZKAkH7qqAfTvsKvU7q8sbrKd3S7MjIuvuWevGSL+eNNU2dH0iRPo
eoHWTfuTksnNtlh6kt0wc7NDXya6UjsgQ1vu2rG0d/g6PpWqjGM9JDfSK0hc7LqbH3q6xS8os5lY
1TKBIYVvx4zsc0vtdu6FvIOpf+1HrkLpcgwUsmXeH6X12nc960D2Kpvc3lSNc+POyWs5YgyPjOql
Ui5hD1RrmcVcqwvhA2OvLuWcHYiKys4JhvBcbNhPuQNrQb4SXRiqGWeXla3LSZROmqt9H9O9R+v2
QL+biNCaAWXP1lm2/aXLpb0mT3AbugyJWtJ9V3Js72Zikipe304sAX0sIde9Tz9EWVvPoifc4GYx
tK3FdPWiIi6RoKWGQXVwPoFf0hzEDtPYuLHnnlmvtsqUZXab9jQZC22j6b8Mbapptb3Gw2eT4LcJ
A4w3OQ6cHCeOVCTZh+XUruzJc/cjwB/bCO/KoMdm3xosgsl46CfRv5gg2kcnfuUBpEXqGtl2MCXl
5DIbr4MV409qfEiw2jHUYh2ytYlo0d6iXBuLuuH48w8fx1GjrUcRHiRPm5Gwe+5rbU+CdIqBSzuW
tHWp1iamGDdTo21NYOrVM1yTexPHU6StTy0eKD+BLk8EZA7EixcQ4ZSycUx52jqV0sUsf9xURCto
b5WFy8rQdqtGG6/Iq93X2oqlg3AMvFmBNmnRbmI8gW0rFt1djY+ryI0Y7QTWLrsCAZHdkXKptjKV
h6HxF1oUhgcMIXvPExuTEBng+MVGvYXR/ANgp81kJF6hUpvJAWpjgGDacjbhPUu0Cc2ha2x44UeI
O83NZ7Fyab6sHW1d87SJzdR2NqdVmm34hqydNsqP5c3LlxXiN1xwNS7EDmPchEMOrfJy8Zp6OZqJ
5D2w4yc5DLAwVofYTnPgpRUJObcAKxiu591Tn0DzCFL70ya17wjgsb7dpThQLnmZ4D9qp52Hn6/X
vj5t8ANrS9BR+eKMmD4i8CK9NgOa2hbIvGOTa6PgiGMw0NbBGA+hq82EeDgDsuMxGNbaajjiOZy0
+VB6UBQwD2K2x5hY4VBceNJcbVnMtXmR3NONoZeLwelvrUJ8pGn2NOB3zPE9OuiwSs++m/uZ6N1u
OdraItnilUw8WP4T7km/IAZeNszIKoIB56B4oB87EWGO69LDfTmN9Ynw2RW6xM+xmZ87XJohbs0w
rO1VXDW35IfjKR9CHJ35eLQHj/ZddM7wfFba/Cm9KFuhtkeX3P2qKj4x32uPs7aM9nhHp9Q4zOl4
CrWpVEk6+Ubw3APpS+OQ887SXEdtRO1DED1lmzx4eFQViS3vtj2/zDIcjyh9nyP8rHPj3xtC7e1m
fhsF4OZK4tqD0DNBoiMdt17ofI44ZOtsOJLjxeJlyIcQD60/P6XaUmvgrRVG9LuIFoZGpMoS4eef
wGnRGcWQGxQGGENxa5jFSeDYrVqsu67sbsKyxGebl++NtvdWuXfpa/eTlI1ym1abxc2x6U/puKJd
jLnBfiUxb+0U7Z1Mh/sZD7HES0w4yoFcS5u+jQLjVHwbbvw2iBJekTK+GLFvjAU7r4lBOcWp3OJY
tgg5m55x6aBlg7lBrg3efxzOvrObtOG5xfnM+uycxfSU4oh2tDWaE0BHirkibBPbdK4N1C1OaiQs
0GG0uXrBZV1pu3VCHa7t1642Ynvakp2nhwCHdodT24zbjxjCSZkFrJiM8FHC7Rq83QwCX0y83gae
7xTvt9ImcB83eBJDVNPucG0Tn/CLR/jGpTaQW9pKLpidwADaNgiN1lYTGBvL/uNLpiYJ9vWtsry3
qq24UwHLuI4K97Zrl6vGS+F+aCt7q03tsba3e9roTuw2lvfKHZCR0y2YF29cl5GLNR6PPLC/51ib
5vEwkgbIAajWhnowDECd5HDEOI0cfnHuURqeGlejX1D74coPcedbXluu+6h66fHtp+Ohw8VPEGS1
ybSxv9hluPxJijuyatIY1wCAUKMARAEUgGCdhVPKsuvrrbKJJR2mgR45JIEUosCg0QKx0Xw3UEAL
zo7FUL7JqeEA2qE8jqaPUuMJEg0qyGngDD/oAhgGnoYZ1FANTOgGk6O+bWgHeZjRYARCp2ZKpKzc
Yozo12oMZjBcnNqdomew2JZPHdGAmLapg4eWgtjsEVkFx8wUv6CzPZdmOK9EPr1zGDqq8UDa28bG
wZi1Ft32nIgYMy9wu3fVY1iOZNd3807J5MakD4pqErPDkhfOehYzc4uuPsSpehXDm++Fy6aqUas0
WUeYG/tCH5IZ47ltsQoDwhSt5bZVEU9RM686q/udNSMJM9GEsNXj+OwU93TfX4LlagftG7/ksS6L
l4nVgbQYe2X6CZk4EaQvhyNE0Dz1FrySpjb/9NGAg6PSZcO0iqwWNJnoSFTT1Bpw3zQh1t1YOuS4
0RiOxssceN+kyzZUBuFGtVXIiXr4GLMqgYPhOivTiFyOGola1Rf24mzlQAtUZHd3IkdRHz22Drnv
k2yY8IfJyh8aezu55IjX1ivpCuWu532sGKMSPNhoUoli9sRc81NkZUXwVb3sUq/9suKpuIqpIp/X
AG+YOIzdefJQZe6GOB3OQgdZqHFtT9TmWW3aW5Gj26ltE6FmjCGaex3Z5rwcujZ6crRgtYCgy2h6
2ckieptbRlN4BHkSgbpXdZgD3LHJlcmNh4W8a6ioHDuWWtZb2Erc6PlEVAKMwu0SknQ2lCT+Fcya
M7EAvrJMVEgN1AwNi5tj89rISR5N1a17aXibyQqAvZG/15eYSZviV+/2hDnpl6jTrsckgckWLa+z
CH/7WQ2vIc4eO9HIvTlBVwP1upoHEdw4+tHp2i7eZeF8TJg1MRLzKQncBhxoVNm7QoWgriRpj7Xx
7QNBJx4lX67VMhGYZ6Ht4CN1V96DE/TOvuuYDgbAanHIqlNFTiW0W0B1UTBtmud5YrNrxKMjHPB9
jHdvEoa3CZLZvQ0niwA05k1M5k8VguWj4b/FjGkvid08DMLbJKLlRxtfD9KmqwNNKTXs5EoFwGOx
FhwRWEIFzZDMLY5zOeUEV1fNukG9sfeq4qHSkY4JFWtZ9CGJSCwLtODVEUFbFLl/WKHyS7+LE/oD
uLA3IvU+zHD58MH5xGlZnh2fUZAar4XLCNf14ksydzcBAMItaUSc9cNqPzqld2oEU0+vYV5pjL7c
/LhoW8x5eR0OmxL+7KYszOJMY2W0XZD3ZQSsxA9/2ZHhnwBpWhtiP4lNNUhsBHrbrKcqrlFFXkEn
iUMdT+HTHMePw8jTlCMm2cs5lLs0ZkAbOcOpB6y3hXtAA90d2ss4qkeKzOJ+zs2VittjErivqIqa
nb4Ifos2okTp7LVUnc4yp+uJDTN0DE6XC89SQs3GeFN370sbL7qqqRkdPz5ljbz1hFGtixl8r13w
OLF2fkTFxP3s+BVB1Uj9MqtieBG48N/Tw8/f8CDybFqQ0gX5NEcmDChkVLxcLPcplhXDU7PBQzu4
h6Rzg2MasIQ5qBAcNHN1ckvN4SOHKNCZ0DtbZsJklj6/AfoYb+x5SbcdbfLbuiLsNIwDMt2d6Aw8
5CcNux9BqpaZwZS1yk1k0f1nyx67mcx4OdhitpEFO9e6MtVO9Na3KsBdh062IBPws032DP32yR2c
9GGEiSWdm0x5qKH4ZCC7OqvBRLjsCriVTYKu0A2tM2IGsR0NYg+y3o7vC6d3iVq8G3QJqGTaHPM4
5G60WvOw5Lm9lrlasWJMB3zpE/pWiVpzie4DIzyY5EXfAZNixDJPE2zj4Sbt0/nXYJkH37fnTTZC
vNQF+3OW1Nj1moeqjI3nygfOlBbzve124VMWJIdhNHdUtOnFbV2s1XF8Rg50F8/yAU84nLmcuypJ
eMrNxL0wFMHm5NC65axbXUJyG9MIrkA78xWj94MXdtMGe/ZNGffuyraKLRQdhzAhlrvS4M5x6nQr
ChmfQvYDwRiuK/2SNlIZ7eFO/O6ZiF7S2NrI3HU2PQ0Z0MTt7eJEhLe3iGabdLAvntNt3CBHRe8i
YW2pb4Ok4cUN5UXAfGBRpvjIxvmp5rCwKQz7he17XHVhgyIX1twWje+bQY72bjTGa1aj+I1S4W7F
HKNlCMLy1uk4vSBh4ThX5g9zmj4NWfYhG8hd6dK8WhX7oC2R7QQdqzOV3NMY04xSFm7NlUFQD+Lt
tQDUySxJnlyl3rsyLO6SCqprHe6caXBPEpZHZWckd9kQl2Kym4n9ocQ3FmNc+8Nk78s57tYdIzzU
5vlbDfFyWdLqmZHXNe398exFF4/hPLKc+aYaFJASg8FcOkpvpUxHrA2aVfS0/du4Wd48EJ871ofv
0ZLxOm2GdkNkFZA9BYPdU+prtPvnELomUl3nmkGjPvzczYvAK4A8dnSCa+eRea5qbugpILfQQ9NQ
zUCkFsO8r1LDOjqsyRzuOCCl5S+RgAwvpurFGVqPQKL+CnFWXDCK1RIeJX3Hc8gaRgODzngz1Y+W
rdRD7aMtyhGSw+0VJ9NobqEsJGc1Le+eEeQ3eVduwAzywQxTvGtcP3lMge9aQbBvXJJhB9cNd8bi
scD1wcloQM177nJgHdnkTYBkI7aydeaU5X6ZB7YDQWbHzx5rhcZpGuhrRoDtoE1j+MHVByZ5ZKFr
VN+u22hiQ5rbb4XmjGZoz9GTNuhFyiE+9W/4S3D7QQluIBGy9RWXYIydU2Nbzkml1drrc/+xIg2l
90+KdPdjzhKcWHl6nyG7O9l5fGrKBjRJnfV7vLCM8WnZ7Ic8DO6MaviarfbZrbnToTkRKGcSERd+
xr3pYjZtuysj0V9G0TZs+A1CFgiXa3POafBkNeT86LQMyllJQgJ2fumpA4/xHXZxyawywKGNED0Z
1SmdKTt/2H9WEfLAo9kqsvBGcZLEmtbYp3rwyc+M0uiE8fRiLRwuFtDJWz40knyoDmKUHGeT/NN8
GNx90WmkypCZcEvLG/bR5kxwX/JQ8p7GhKjgUUxnw+cw6BtxjHBxiVC+0AxJQrLIZXgGKMj67m9A
PMD1SRP7BGt3VejU2Jl0+4bTwj2ywNsF+kYWlfx05QQHJHhvrk7UNf1c7CZTVms/6CNu4vjFoJe5
CTLtA0b6TI3ao3iLtEW4DiHEBSq4OsUA6Mtv5WEel+Ycl+rXnLSsnqo8+fQFDLGcwlLcMd51Nmqu
6iuRlDdp8pSHU3s2T0t26Rs6HmJGgl1Gs0FM9biV7ZCclN+e6sLwHn8Aym2aLrsFSmgxVuJS935C
i6KRpNRKMr+TeIKBBshlEMZ7nHg0Qb0/3AETAvJL1i3tvojqeDMb9aGqiZOOEmYhCoknCeSo2eJ0
XmmqqMXOkYaJcygLdUsko3fRsUXVkowwj10y26Mp2v/jz45tBQgOYUfjakbOnHy6qR8+2keH4+iF
jut8CYsctc1I8Eps9Gc1LmszqO45B/oXDyDmbvRr2u/jU4dBb1tnSXU0DTva89kBXl0ogSc4Pje+
n+xSNwlurR5ViKfcihOpAn1Wud8odJsdObBkaE2VOkgdNwqZRIZWu++pvjwn30xwpGJ/k1pUh1Gx
T33mOhQ46BCZ5DBwiDdgGoKVLbCTgQr/DBcnA0FToqT5ASBaCbENXpachgi1cj6dCYkFM9YO34md
okmekCNnafNh2C7tpajeZVQ6uyjNw5Ua5/awsKFFerOf6NseEE88O4W/HNKcnO2MGxkB7AtjV0lD
3Xli0oBch17BdjLoJiz24O+ijFFeSU/BinLv7AWGfIs9q93N6rWWMJc7M72iNTyOVKmnAGQmQV6E
zfbhey6JwzZVbZxlNUAC7XxMW2Owg5+i+9JBsIbp2h8nw3r0QArsa5mm4AZEuq3mfDhMPA5zQ5eP
lPuoiNFE0WfoiTMZJrFP6S/piUNFV8D7dru8P01GezKymZRfaNfrATAGRgJBWQS5es+Sl+w4mZ3K
ik4IdQccnOL33FfiaJiS/jRcmzSunF+cWIp7KxLLMzb9kwhNNLZWXlziKjpN8H4QgFLc4WAkkL2M
3rwa76E2zZjNHF5Mqv3SYn/sjQA6FtGpZG/QBkJj59K3g7hpm3O4V5H1YkSKTn7ybcoBoxJyOarm
+VDadrIKRMxiWoX2teL9/fs5sSZ8/H1KHCGJ9yhmLd9Eb/6vU2K79kXjSN/dxnMT7S1KD7gGm9gn
xXrCcGk1iBDztGf3JPt4Pfa9v8Owfwozg3egAnR7cJIy+JyRUcy4o6Z7npQo7paD9EsELmb/Tric
3CHIOmWh+eg4ktN0SO5nEU6vfRxDHidEcab3G/CYniPuhULQvyjsDJGSUT3G5WGam/gcJdbp3795
/++yE5+0Hps5B6QTN4BAgv7gryPyLqSNH3AHEGsRUxPMGF5GAhjJvC+QnBwSShwL7SP0NpfXknz3
8U0jveGOLRDhTrELfeNQJE1wyTJL4VQafhMa7O8b0/lQDPluopoHogr5KRQtJNFAUiJ9dwcVCysT
HqD4J+CWPGTFZNuOv6o6TU4yFP5Jln8WehafWZHc2bewOp0blZNwI0SEbow8l41nZTRBoF2ccf15
q5FUka1fIoTOWgAVAiLvwD9v0rJ/CzhObsLc/N23ubo2pWfsZ7tcEAXCdu2X7C4Wpnvjq29WT04l
bg7kvMqWaWelcX1xkEv7+WxcPEIevOXu318DrBx/uwN9k0fPCSCAuvZ/I8BIoiUiS5hP2Gzc311U
P8Pu46ztcMoVSc95q9Ao7/roY2CTTXxrx8jnskT8drVutA3L78EZ8k0/M03kdA/GNyw2Xljn5Cqf
cn0c7GAtwUHEXkiAOQ6z3L8nWyB9iiZivKMcwq2UAd0OK4ADNWYoQUJsoKbHec2U0yVvxk0hfe6S
0SOSo84/LdG4CBvUB0Odx74zE6Sd48kg62IjxnDcgKn6NJiTbw3LmncO519zamIuSGGcANThruOJ
SCSq3pxxgl9X4YMQ3ns52+N6KBFrwx5OVl68ZPvCsd9K8OT71mdsJj2L4AuCgHuGKY8xM3XG2w5h
PgPUu8kfN4b7xIHgxOlmW8WRT9MDwR3zHrEmKzXhKyBtbm1Y5zD2Pi0/nDdMwJaLnTS/Rea7R2de
3jvu37PhKSqmANq2DWYX8e5S720Cm8hOovLINhYqgGdBvo7jaVh3BgHO7x0HPwg3d1WTWm9k+bwm
N3w+qWw45ZXVv6XuMbF4lMNc8oac5V6ldnI27OqmTfpjPFj+buo7DrImkeNNOY1bkaXgBDqvPv7c
sX0i1lOvXtWU3/2UMWFifcBtLbY/d+X/F3v9v4i99DL4fxZ7nT7Kj+xfU9Is/RP/lHv5/4HqF96Z
g36LkwpP+3/ZwAIC1PyQvDOf1GBMRiaCpH/awML/YPHFBOaxBujlgN/3TxtY8B+oNExETKYXYdVE
5vS//ufn9D/EV/1fMqjub//+q9PpR/T0r2ov0/ScyLc9E49aEGjJ9l9EUUG7dGnbMZnLh5Lq3AOa
euNm9VuDQWz1Ix84zpV6GIL+IXYRVPgmIRhN6T5g3L2xB9J2ZsnZ5y8f4H8j1vrflkDeGUJZ+FwA
PXifrt6n/vKqDEJT/CkMst04DSy/hwwVUonqSEMSZjk9OK748PvsO/PTa1TcT12xE0DbQL+/2NP4
EiMep3DumYGIb1vkH25MxUS3Ta0n2jE+FvBVhRNJJf8X3Wbka2Hm3z5Py/XQ4Gn5nO3/XT2Xz7yx
unKyHaDFZeuGzXvh58ep6OShDBGJ9fV4opvzmZsIKNoS4l7hyZus9Rk13UB4vTjRdE2orHPJ+KVz
znYgb/M++jVazh1ajHVWYYJQwWVO83MwOjub2GaaXZdeguEuvYRgncrB3pHO25KK3XXjl4QUWYLm
zZrODbHii3haAub0ctypUSBJQW+4HZ3+IapRDmOz8jI+KNMiFL1AcU0/476IT3FfXA0czQSpY2CX
OM6TR7v/MKlP5pTUE98njAcbS0YXAIFQZa4m8zeN6I3pLv5KhOKXScgPzYKepAB4ioxYmbK85Mo9
Woo2IidkK9socbLdYFXxd7U2ymmGtUEByaQ7X4HepatvNzUu6W7eiGV+9gq4M5ifrN3Pd7hT8d00
L3ONiQVmaQ8Js7tWYfUUd6rYGniY5sRgvKfvbSRj7xSxR6ipRJOZ2Q16mdsMI7Mr01+eOf5IbmBC
vNQBI7hokesB+Zcw+wdo0TlTs4Ppy6fMXuWJ/0datHzBYPYaauT4dwq05cpcOLW6TcZIbEE4MOP9
KQPxp7Orj96lLspurdY/dGo4AwkhZ6c1mMi3BFS0QMbDcB4R8EKjKTPkf2W7PCclLRlwEB9dhqza
94meSqNXa0kuTMvfkzwkdNNZcxQiBSzlDVQiPca19S7H6mN03HlNo0BrCGE/GIECVMUrC3wTjQEW
aLqHz9UUVWu6PwdLc8+94DOIaOf+/C4+7Bx7iIcdAEuNCEa5G835DTUr6TUW+6gZAR1R5Vckxlvb
j+4CBiySM/oWA+ZwDaIXpyBlJ4dxTncRP45Iv/gior/8BUSZuWXLNRntCQFdTkZTmJe8aZ0iGFvT
xYTc3vrIw62Q+yCsOTGHafHdurh/EvFQmjG5wj3F8aDfKWOwnFP8NvXvLQEfBVciR0LMAngbj7Vt
I2fIEC4aCajJAXvdro2nJ0J2mLPGct8U/LI+dpjGjYzyNEOfBJgaIJB4SAhQAeaMT4lz6cotuAvD
BTcQvYX1MDC36CtSSQhPmgz3xW3Vi7To/xRUqAQUESLYotLyGntdS25FObvFJpn4T1HfSSj1+0kE
DfEr9HEHBaXTqdRuqJHATL7m79e0neStGrpDPS8vdB4UYSRgOHBHMQsd66zdxaqky5V1t+RWIrtq
MdYXDVWeS1/kJzhw8tv7qArwllYxZqtsvWScakhHyJnhRjejSSBKVPFj/ji/jE7+yqD+ZpBU4oCb
WPd/BwvpU4PQ32HkH/kyv5QDtqXZRceVV0zIpsK+S8L0qrwMSSRBbsHMzBsH6tAF19ZUuiTSl9a5
whrrkVRWH9o7Fonkg2+ftjw459aq121llNvQsF6WkYkq5HKMc9NLlt8KFEUbuu5qXTr+NWss2pRA
MfAJp5pWDY2tzd1d7BnDzvBu26r8EEn0R2DRnEseqSbtSWghH3LFDTKF+yzXCFJNPiWUJEXLiX8V
q1Hp8b25F1I9RFCneUEFqtNVHhVAXzVCtUvy74VUs4QgDNAwDhlGUfySuth2aKmQhM2G0wYZTY4I
z9ZMN5qtKGiWlypXrDd6tSWhmTWD64e4x08ZNKfW+JJUB6fj0ubEhACixyOBqXgF0eBX3djsCoI3
3njd07BYd4YISvgw3pfVyo8CuivzbOhBWWteERHeSZerafHrNe78IYm4gFMKN8zlbuZyltvYOgPA
Q3lp2LsGzTfDL+5oY5KftFhAn37TX1PrvuHtTqZ7GAb+Qq6jZtosfcqLGbmkA9XGVrf01P21GMYt
nja1rmjwQ4Yjoaim+f7zscu4uFJ1J9hCxgerHB6ccT4n4BvqcjjVzHk6nmk3r5m927hsvVJdl6K5
W2b1oPf5euoebHYm24i3YhK/QSC/hIWP8dF8wYz0WaXuuh55ZRno4h1anagz3O0QY42Q6nURisyx
vKL6WF5+lJbuYJ8ULbA+45ZV0bisEh/TITNedqpx2Nf9cFN/CRldp4hPlIZudcq6s0mIOfXB8gzn
mSlc6VzG2N3HxBbgaeFBkjyYVdF8egseNif/sCaGFV5ffnDWU+s6n16sRny4pr3LHP/YluSNJFzB
lo5f0eHoWExi3Oz5yXR4C1MKMDpvBcl8sFSynI9FCokIIcV5zSGLIhzN8RAiD6MZNAYBVCleSOyH
SKhQw2bIgKmbuPxzj9ZL0IL8uT0WZ6gBald7oUN8lipCiXO0q1uiEj1edVdvasQQVVedFn+Umyqo
xT5KSAkLCO8oBOcKgdyu6MwrZQwmzpr5Ylik36irmVMRb6lXy5QpzKrnFyrJTfhzQzg1+6g01EVl
7dYkZGIFvlixqOF9tnmmgfHJnTGg1zUng7A51wt3o+yx3PJ3dbj6wCiLP3YwGi5JYfKQ/GCtM2+w
oWMYDz9/2Gy4ZTP7w6rr8uceDooCr5JzU6bx+6jGjd341q7wRp6lFDBRQ0/WFoDDa8jWnFKICcPW
2rgUyE4f36rOQo4dfccomv9xDaaseS7m+QgBPl+pvIzXVfHVSZniXP4K+H4U0tzLQRRfRmWS5Q50
uwnLO/wKex/Efppwk+sv6gUVc41AksGsc8krfTEUsyKSbvqeI9xg0dfOZP9SkpO5+lFbZ4bcNJ3z
pwwMse4y6W+HSdv4UT38RJi4kvGei1rJzebgNE/iZpqy7jBYOE6d9i0OfQzcLc3kshprxPmdt3UE
LSa7PxJ8SLcrhVic2cYedyQyuNEq1n2RHKaFTELc9NbO0kl1dn9jWG698QWn/5Z1MONwU8hgXXNQ
5soWj2IhlPDn/c3Rcp9ETULJOqLxwRg7DOCl3FrkK3gAD+bgfZP69V4ZSh3aYWF9cR8IvLH3JDhd
5gzvve08RFnFXEIFDMKQA3JyQZJr5gGThn2qyWc/93wwDtZuzAUhs1xFwRRJ7z12SzwPM0hGu10r
d3gNILN3nVYWIZ/9YHgGqwn1G1R1QE59NjPI5w5yilfUn7r1ZaLs6KFjl1rgbk7BH/cTFfIXiwbr
88QuYetsIsoJrhYUtHrDYbbOQ6J5JsJ42pC5HAVILHgqfx7GcS4/YOWc80p9O73FyMqOj7XbsjxC
BVB2dIyK8dsJkTvoesGbso/AxfVv5OET3Yd1mI88dNzUrmLTAuL4qeqRPGquBYgce63UrpyKets4
LevoFL7WScyErSYyyn+Y9DKbBvyPy+K7zhu8KkNxrjoaX+PAqg0X+C4bll88unfJqGVunD3YP0I4
A9ypluKVsKyumwoV3M8ZNUqtV06uz5PsEMcurKC4K1F/irMDIzFawvvJQ7Xh8PCntINQn5AXhcJG
MnRs3tsqw9XGoxy3EBtMv1yXKe+aqS38NnI1irkqdiaWmCmVj2FkkSccCmD6Rn71HOCtjccnk7K0
z3Y0bSMxQCsZX229gxa9JZEOvvwne2e2GzmSpelXScw9E6RxB6YHGHfS6at2hRS6IRQb933n2/Tl
PERfNfq95jNV5lSEMiujGjPA3DSQqChlhtzpdKPZOf/5l3luFmJub7rEhZXUzh4hv3+zuV+jkP4J
erXIywUTDMYFacnCdqql9y1n2NZrXvohyDhzTtwSEXbUDd84olnAMbH6Fm4aYR8/vZnmq8qEztTO
EEVxBropAK6jZhU2Z09OKLBOZbqdDvJSOxT9bjq+2Djgb9qaTRuhPPT/nImtmTinAduZLRSnJ3jY
b4Wwkzrh1hk/Twx0N8VEs6CbbL39JdZhkSZu9I2RArC0W9+4GdSiCdsNTN2ihzhSHhhAn+eSw9gy
MAwTLqvVUCCnTIzJYKJ42IFcoiJ9jnpV27m5cmdFpZepyWs00tHoRrUzB6DthR8sdgqqmuV+RNph
5jRm3ZS8GhxwodkfOQuZbdTs/hhYf10MNQsiUhQURQonVFIpJ+hXYcZCUGyKmw7bOs406VfLnaMQ
6J6hWCqTXEbyf1bYI5BMH4yGY+Tt34yDpu0Uy149e36GHcgxRor6dsaQrYBUHkIRMIaKzlAnP10s
aUyUAx62Kh63rfg6on7GBgvX1Dfv/1nXNn1BWldOPawCR24sV5sxB4PJWdkZM6ZhdfaAiZsC5dd1
j7sCbD7MNQ0KRtS1PVNpL0cF5DHX2WU5TBJtgLsmmJRtu1mifCQrF7ZaHt28JQs12w1JaXuLlWu7
tjeIsracc5yDYQ7ZzTxBXrWR/kFfWh8iN9p1id0EpsGZGBXjg5lMrJkcXFvrSN9iGmyzJjWkTkzw
HfQmyYgmQHFwdXHq+dnVuoZMoDH3U7HotPycK105PhDQeSJ5dqI+Ftu/xmy097C1xGywO0Ix6Bqq
qWFP9ANmkxN5WbsiS3cFoz1Vq5+WcPJa0NCjm7J2qkh56qAp+HHUz7ulJUF1zV4LhDFw2UkKk+5n
1ciCeLus/9fAZfC1unotvnb/Xb7w56pesCKJ+zcg7e8/eff/8+GXb1X7y+V+9/D+b/7wi0Bwv12h
99q//vADDS+W9LfD13a5+9oN+d/eBPRO/s1/9j/+Zmz/sNRf/+W/fa6GspevFiVV+YPq1MSP9B8D
l5fXFrJCkv3hV35DLi31V1tmNDgqZuiuePtG/+5gJQgdxGAcu2KkpzZf9u/QpfGr44ApupCMBbwT
nXXyO3Rp/Ko7IJasEXA9rCL/c9DlH8xVmc+x4EAIXaHzhu800q7Z5wrYT+kJ2KovOEaEZGrnkrT8
Ui0xW47Kglp+Ak3Ky/8B4HN5V4BJ2zTwycdX9p2KNKvTQlMUp2TY/jQsj7a40+h9jQwbwOwlphDH
1i3CcKl8rNnyrHZbKV8uaQE9k5j2xg85ZERM7KjxtSseNdrt5N4lUy3EzWDT2PulexgcG6eixwb3
IiLEnfijpSU/eVilkPiPn0LTNEBnoGlVk1rZ7wDWVlcXtmNCmcsq9sv6eXExRXHYXdVzhttdqKm7
oYtuHDy66snxzfUDVBKYumwqNEwMiBpyhWv3o40uxHIq5C8Eu6BcFAYCoeIYZ+UOwnBjfRLpq8ns
Rc/mQ2Njc6DjXlATxombGDYAGzN/XeIRBeFd9ol0SpIknyrsEo3C8PVh8r9b3nQ8S1SV34Pd76eb
b1+dY9kSNNdNMPkfP3TS5WZUNDAYB5rzBB5P5ZJ7hLCxsL9NlKZFaG+VyNz99buK95Awb8sdVh0p
3lZB/N+tGNgeSZgMegnFCOEcOIQJNObujbA6uFhtEsSzU4ZjUdh7ZEC7sokObqNhiyYp3QrHuDQC
+TIND+WQ7I2zDcuhICHKuhI2EVLdq4nFlgua+tdX/WfrnKvm6SaghRmE+W4w0E7jsvK5SiL7dlEX
oTKovDA/zA4Yj/Wt49zpOzzy49tuhjNQbKzQQDT5pFfPjNOw1H4d8SrXLOxhbxLcFYeFnvyxj0gH
82FKybikbSXlVArNg1V4Xftg6w8Jh4BStye9DX+y4v/EUYGrFcTiSMs7Rvvvjqexj+fZhrKMW5Mg
xgt+RtMTn2d408JwtzI3biwCbJOggFgHLMHOmDx0ype5fNJos3t6WxM2Zz1vq3n6ydRA+5Od7Idr
e7cwp8qaBrVbWZjiYY3HnYukdKUagwNM5B5VRHvpM8dTcZf6629Z+6MtyQ93xZZX9t0+0HFZMcPu
Eslm4WlwoNo1AcyFt7wx6GFa7o1eTACN+ja0Le8n7y7X0PfDkrcn4+/fyZtpynfvrqZjm/cd757V
ie92WEoXN6K8V1udKfQrtLNNRyXXJqEPfOpDf/rJBQj56P3hAnQCXVxpnOC477ZBwOy4UGtuPPTv
zYTSHNolgWLS/BRJj+sbVeFlWG8R7efVYeHpClkJQIm9/UI2OlGtJGJeazwdEt61cZPVk2cqbcQ6
aKtwlkOxJuDp/uS2/ckRpKk6BpBMDm24L+++tHFQXFUxRwj9OROT1N0RQxJcFHiRJSZ+KSZnRQHB
24Yu46BY6V7szN5QjR0V9pOfXIu8Q+/voK7bwoR9asjYqR8X0DC6YLNLX3oJRlnEe3nD9IhXjN2q
GwYR2xkpRfqs4Pxfy7TZ63COf/Zg/9n2io+GoTnwYTAzenc3dBfaa7RgjZTxxIaZFYzV5CVhexWP
8aFezwTF3YBS3LtmdSnD4qzEx7VVoGtOHgyAAI/xXe3En39yX/5saTM4ExywDjk6b9vRd0u7UcoM
qSvcpsIkWCWeDm0fH0QNj8c2L1bb7GqtOglUPfiJ4S/R3Bqp9RObmz99uL+7BvHuzoDHdi1ueRRI
8G9rI94I7kqWZU9dVO7HZbjGEAixb3MasgdoqT/b1f6WVPRucVAhCWpHakGHYvDHxRESwRC5I+1k
PbuY+UDOIN28YAoHv1vBS9OKNchTxbYyeijS9ACYHSVrtItm/dwsfYDr28W184/JpO3C9j6ZjQPk
do832wro2dUtSKQ3RASYUzxZ7lfywnwLEw2CvXY6zgzyP5lpG2B3BrmTcN5VO5fpGIzocJ3F8Fy2
fQ2LQme9m5EemFl0qDX8LJtiP2CVBAmb/HV8l1RiVoYx22tOvh/tBGdfkwrNOZSYebeOfjTW+IbE
wENlG8yJxE6+l6Rlt5Dgmoiw7Co8z0Oxh128z3R1x/DT043Qb0Xoq0y7qk7dScfuXi32XYEQyrlH
kO8vOKjbIbbaciRH61fkuJtphqeqfTB2aJipuQx6dre5Syz6yFHxe1ucIHODXmSwSb+OOBnwG0dN
K/YpwIChHTQnwoASMZqpe/JexfFZ65/U7Ett5ftiSm/RMm0NXl5ZrUPELEoFt8jQMQmFYdxEbShe
5l5HHZJstJXvRbxgpY1bFVnfytmKNtqUbgU3nyB3nwHVtouelvnSxi8SRSwyeJ5LsbfF4xC1W5xz
vTB9aTSSfQzEXKriQ20FkXch2mnbqe83yDe2nV4wBubYzmD8z6XfqcUpWrGxjCdCKseDZaYBfFNP
+sUuS/ExnC6uSiFRePNoA8U8LdMBitJVVhleP5Vblz06BNey6gZYUewwpfIFM5opLLatvBb29sHC
15q7CsBOygdmuOA5My429OHJWGzHDLkZb1cWXzKsyHAL+SBtJWJRXcA1Gcd1D5qwaW0hLUNKvdSV
eQ5VRsFaR9IzoVBqfQypRNacRn7h3lnPM8axw2ohTm63+mfzbshtP46ftSHhQ9+FcD8NIIdQJ0hF
ha6PeXsOg8vUon2ojcdi0FC3JHCtQWghqDrOldaWEIhZ3trJHu19lQJP6eQwY/ivsbAxR2sqAKMb
y3pwRONHNQYtZMNia4kFCsXcsOky3Eilw3yPBOSEgsYDagbAfjsMbcjd1XJT4jY41R037qFpiu3M
UmmpsSWipdnFwRHxHlVFjfhIGVYsAvCwtO7a6dnE5rFxZZwlLvSMzbKWnoHQA6TJfozoe3ZBKcXk
92Xt61SJfZz6Jk4rPS5kKVrCBh+bUV83dvncLLfJigvDsImX2sd4d9uawlfiV9AX4CEIE9gb2M5j
54w7B0J7jt5graYNYsVWJ6MJBzBmssI3WmfbMxVu0bqViCTbHOyV+XgybSubMhyrwGy5MXNffpMR
iyXMjzVPYVLjTYo2uOH7EV3JPHFihFViE1n5KvRg1T0X9cydtz13MPws1nfhFO20VadhMuAIRJtG
wWztS8s4YuUXchFvNedLDbqpr18olxfuaugQbaq/sB68XHvskY8CsUPJNxCfRBsdzemMAGCISWGK
rtUeCIx7HQb9mPkiHXdlTy1QV94QfsYXwsupL2NND0go27vI60cuDMLcsWBqhP8icHEVzPDazK7a
NeOwc8fUTx3y2kfbSyzu33ycYGqEEx8VvZk5aJ6KPFlfvqkZonKcUUIm7SM7mtJLE6hsbxKQqnZH
3dGDaBXEhRg46Vcenk0sMBVZGak07B8dSsieqXredluEdUDSTD8Yt8f1eHLI7gaO3ZoYurTd6GdF
tmFOBFR+iSu8jFwiKAb8EJKrcZAung9dhKtle5cYH8zw3hbtVosrhA3oDhycDWZ8Z0M90JTBz7E7
rVr3ccUDYNI/uSaZPe4OpxaGxfa5SoOWeXKb3MyrspMWxNlcbBlNy0nhZoqrYOCpcdrqktiTX84T
r1UfaghIEYTnRWOEInDoKw8GmB1mKI0DHbEji5YbaiHoMybw92U4CUPdm3itGGviLVNBaDGbVZMH
PervNFf3OXLhWiWCHi8qlU8SY+sUskYG7F/nxyh8gpiKbT2f3m+wD+3QB1vr4xJhLKAXSJSZAkDh
GVIGpBjSNOKBQcuYFASsYOZvZH6Z1H5Hen2DB/+Qm7uqQwYwkBGQ3ep1xIGEui8K8D7xSkV7Kjry
xbIhCJVwjy3EXlS5h4VokETOoU3FUYThHia/HCqno9jV4tywFYHNQ5zsCUtT72uSijsWMSL4eyW2
MGy6qUfL0/MQ6SVndK6dYjU8JPrJbG3CuCHuZ5KKGaJ2049ta1ygLBNSkgdy51ob+9At6k4ew4BP
x3zUEWk+dfnq6xxo8lRmLHzSSoI9uOkZdH2M2I9lpZ1GYJYyNL0B49BWy/Z4ZBwnuw0UjYsqwHZU
/VisbaAnfYA7os9T5xWCC6ey0KgI5L+LsJCWJ4bKlcs9snJ0L2PdGzIaHkU3/UNHb/n260N0UFX9
3PFWqdB28iAqUdtYg7oj7B1aK7NzGwNLdomcCAnMn+i+sY2S1RJF1NC0HtkICFOb5qnA6mOSp1S9
3o+OsjdMjieh7GV1M43RrlHOvaNfylw7Ny99jadEoaGyZ4fX22DuW79vyi30RdwU1J2DFKeehGeN
HIGO4jvuBYBmJ33WYRDsUtO9znv3ehjt66FXYDAxkE9eVIRqstCKYPBPXqxaByG0c4FlXDXge1Bz
043sdknprifSV7P41pr0k/w50XQmKyhmDfcBfgAqxIPZ5Pt0MY8xnhSDUE9RrFA46he75WRu6yMs
kXRQfHMJiWSdX7KJ4Z1iXBVRfECreT3PX6LauG1K2++ivdOxTmL9pKeYeY198Ab7cE2ySNIcxL3M
NsJ8eYJwfhCzwlN5rzDZWSk8suqDATxvKSZ5scWtzIexzNLTtC5wtD6wWLfxKk5IqP1qMq9GdJiV
Uz1EZn5eevgtofOAfcCeqnInGuMolwSudET/kYCyhPuZxOSUx3UxIP2YNmxyvhGXlBhjvI9a7QkQ
I95ozDA3eDtQFhJfDzrRUJ+qYfjQVBki2OYOxALD5kG/sPCSlGO4CuEocQBbIFwRPkd9xz1vnkTK
XoBaFRn214TKV0sH7BvWQAMqPehoeOGvQWlALxWAn136KVVwopjQM5gWtdNzaOGqAMZ1IlDjzhq1
Sxnx5jtjrY6JGn7Ta2pQRX2iGzwkzKWhk6MtD6+dNP9K/30aLPVzr7lnEc27FBgxa+erLplfNKu7
67L5PqcyI+65YupjPCtVBq3xOl1VP1nUz6Wyvkxxe2fgX4+98GZiOxASKSumM0j+fV+iq9Cpyzky
thEUO4SXCFy6xTiDBH7Ww5J4M8v50LfVidPuXNv6VhXzy8KbI3EcXxpVuw+5lzj2ecvwDTOZGzh/
VwbmYM76IlL1KdesqzGp79SmeYxyHrxaR3oljnb6KYVYh27uXlfpXWxxpO2+10LmMB0OQgYzU73I
buOw/KCilGnt4Vlv13urhWM0ldnHRf1o1BNCw8ToNorGBpUbl4pIFfl8kim018b7nseQ+4phAvtQ
S/fRqjvLzG7XjOWqKRzudFIsqF6gTizsoxppu6ZNXnIKLvch5duBoHw2q+RQs0zdcIk3mEnv4mh9
gtZzWhwwX7zQQ10/FYp6cRIGRiq2BISHoUmnlu838sNV0PALM7x2yX1FO3gYeWIHWftp2c4AAjFZ
LPgs4e9ATBRaNJLKJybgczEz83q0uZHNscPw1dbGjas8YXVLv7fTmhdjnhmkRV6st6cwzYP9kBe3
CPQ+zoQCER2EUnavwTosQyqzZWsQlNXFn5jf+Eb/DS7adpoVILMExyVUEltuEUcNI9IYZqqZ3E51
tpdbSLgk+aYrO45sHn+mhJiwoc0FDObWFi/rbGHCoO7wyg/kO1kJNS+9odyk4pUZTL/LoEVpqjfV
0a5/HmwOO10/wqDydcShcusuipH8AC+P0cMWJjM/eoTUPIwZuBptheyg5CEkkSRI1bR5NGn8KdhZ
spoCDyPrwtV28hxtFXFZiyEYcCuXx2HarNtq6ALmaZ7btIFYjUumhQ+9QlE4hf6oIdTK2sDETkmM
tQ+SujMVP9GxsFDd67lyDzY1fqfQZXE8u/qtrtpXlTCvdJxpLIpWx0j3Td8FmVUixSDnqmO/qou9
Y6u70lb2uDFd6Z3wjrh0HKeB2fpKaWwiOgfzd3QmllyK1mR7Zb2aqm+ycZUnaNTTIxd9QGDveaSn
clq+aNOfbH7kl1u6U7Ioz7LFXyu6Ttq8JIFtNKu7ulYeRNLetfPtMFX72A4f3BWF4sJUpyIsSnHu
rMY8rqsJoaQPZG7xpimLg7DxFXdDZvZRnbDIwrNV7h2G03H9KC/JZEHZLQczJ4ihZR+xHsAwDdSX
amsW2nbV+ZM2fiDSihYZoTBfdUWiOlE8FV3yanOXjF3UJLsGDTNfA45MMLf4aiUgofLw17a2jVo6
yPxvHabJapItfYV+NZV7XRvuoZC//Z0osTYuboPCaYNJ2AfL1i8Kmnh1crel0fqy9oh6gGoQAjmc
iThIYOkwUe0wksYKE6frBYIMD2qwFPCXGYMv4ohz0DX2MudacHSjyxoYwvblI/jKQav1U9vgkRdS
5Zj6pTHBMm0eXVdclZF1mD6xwiiR/EgQpG7pl6KmlMGBHKc3Txf6yc7wGMU2K5eYDi9kQSXkOBxU
okJnJLnKzZLlt6m5vMhVpI0FX555QHDmySuyYfHhRhPg0i+wtOy/1dKvENnuZBywDPHiLpHdZLjq
nluEfpZd9/W6kbcwob2TTxNOstuBCrxSoNigXowBjhRJYCwADwB95HGCPnYrn8DC5Glo1J2sWm0G
6/LBlg+4hhl/GwIK8eRFsX5c+gIESLy9xlslC+6BQ+U2D6/qtTgbsYpLFJhNFQelKDfFaB4WbXmR
/47Hw1fQTtq4y+n2TYqNfhebdHGm7xYDbRlXxjvJK5T3ocO4QA1RYEvEBQhpDV2/59MYVv2hNFlb
EpJTSHyUqFUUvCGTv42bf5uC/U0C8n8m1+9+/B8PVcE/7yfYP0y+/3LW/cPf/Eejc3lF31/Bb1f4
/3MgLlTA4388EL8fX/t//7dfTu3yH//aV99+ef3lSrqHfT8ff3uF3+fjMhHeNYRjM0r8XthjiV9B
woVAvYLHOLg0uOfv03H7V0NDy8B0nFRzppCMejrODhn9ZP+KHbnNNPu3ofp/Lt/pD7MNh+GAoTGd
Ryqkabzsj+ArJkCNmJnteGMobiJB5zbRlxcvFRmTSraJhs6vGCxj5LK1mke22zZ9tPnBNe7gksMF
pJiCsKUiKFbdnW1OPDHwOUlvsz9CpQuWCGJYjfmdc65DhfwfKUIMRsPaYFYAq41foz3FRsLvk5HS
8cGYrqjOPDV5iApSRItv1WvY5VunjjcqzkVLZvq1/VFTyf9WtmgamXcVfhTSdKimt7BHC/K09UYD
MXgyryZxn9UWzoYESDq4SUaw9hn+s1NrV9ryNHJWtHdq8alFCjl2yDQorrQVJYf9EKd093HkC+Qf
WJwGfD2+gAll8PnYWdBHxxSwkWdlFp0YDkQdz/IMHhzqF9FwfnPb8IAnqJZPTzZI63SHFLARHf6m
4glP4N9+as2XcCm2SXpueffoIhssMfp9/TxQmkEuG/oXQpZ6q7nL1ghfRXyqQE7LIcJSFY5jnp0R
SQQCMxLNfCU4s6MX7I1+i052nxO5UzicYpBGIcQFE6ymWIc1P7bXmroGPSxJ0n23ZjfhzNEeko59
dtTKl9JdYWTr0V04d2cjg7lfVTetCWehOzXIC/B+ulv79jqV8qMyLrFtje5GBvXyHlTjcMDv/tyG
4cUusKxurzuk5hEto6ypbGp+MZhkinQgMe69vKVLbPoLcuDaON/Ji8Vbe7vMAyL9acdYbh9Z7l1n
Zy/yMupxDeStL2MRLNPHdDICK1aCXl+8kDvTunxjjXuu9ZzkzBcCAq6HVT9qCotL36YqlRyfekkx
MdTRWbEdMyg7ZyT8Uiyf0eehwodZyJG/6tc2fbsxpC+pOfhzxxkDoc0I42Pi9qdMxUjOwt7AWQI7
Dn0RDrsWiKiOcAmxcsJEY7/Hq4O6NbAbQJp1xkg3hTrASVBytCnfknHG+UkEdup4vMTeoaJI221N
CALeCT2nRfuFHJ2tigHtFGIKnB8qbALKVd0Xa/GQNcjd0Gw4Iqf+/KhkpynBQ8x56RtzV+Sxr8+P
kNgQ5b9UOULrJmXhRcaF+KfdMJr3lhgP5ggMHh6czj31q3unhNY2UVdsBfbW2h0MQ7/Mic0iCq1N
LwmfHXm/GPiklc5Vu1wOPA+ep1CB9dk+SrWJSuNTmdaraTzps4YbDwTSKjpZJbhGuXJdmtdlUA5p
L+LnQf2q9dVmgqismvjO9GMwZ9zj4esqskMD/WxpYqjTw9Y2F5TiiLoiDB4R5tljtm31J+xON0j9
UB7E2xTCjOZ8TafbPgWC+Tau9BPk5CSfTdAgkksaZGAphjcR9OQEZK8dXkL1qawvuPtdHFQ1eDdU
8YWEmGKRMpkqKBxCVNVH1AixuNYxInCNr6RHuRQDeppd+jb2sHcOJlDcrtK2Kd/DGKj0NFmeHUYo
1KNCBllfHk2J8LBRNS3szxVuRn5LZ4SX3ctAMlkn8E1dPqkd8ZMDO5X6SU6WRZodUojH7ggaCMVm
bNfnaEa4Pi9slng8DE4QL0GtEfA8z/6EKW499jv8jX2SP/fAvX7Lhj3jO4ShI3TOdaPlRWAr474a
eZe6uIy6vl9F5MHG2nVlve0ZQ7WEi2pOtocp6Rdjj38y6bfFszpMAAZsd223k78GGfkcqetpJD8r
Nz8hUv3Z0Nh4P7OVZxMIHK7CLgwukP4fzyYRKTyEyczzlBZ7czL3Vas8GoWcxpY3CX2EMsX+LADC
+HLLkSGBzB8rAYCryHeolxODVmzpD31r7sk4kY5cHlzQszBIOoEdTubNdrYMouwGCKgvtUBy5twt
cfQBnxYvIbA3HznMVgv+aezX0HStgcNLi8HOBzb8iGIt38xaStlIujss7lXlKlJ2J3aQyYgCwWgi
pkJr1uEav1DEI9HdEhELpXIVDsqkddiNCjPIGF8zvDGq6D7ThpM8N+pJOTcD3G5S4d8usO0xfwdb
0wKHjW7BmlgdGeSzFw4YO/ZsfBUJe4kaBVi9HsfiubGiiwPVs8CRq3fuHDxm5lw5k/B0C0/3lgNk
V7gXzuGz3GzDQvW7UUMLlOPZNvhdx4bVsWnbbHZdgilfythmCfpqwJQj+yDgzwtgcts6WqpyC+P1
LlWnK221H5OM2Gl4ztbQn8K42I9Ddsupepb09nFmP593Vc/go873qmB/WGC954SsAkV29BHaWN3g
0QzNKw5k9zWNiDi4VoO0YQ5RvG2Ohb7XlTBYdANxYuynOMfZeXXT19VNx86nMSIEOLqK2M//qzBu
l3+OKUqR+tPC+F9/OQ+fk68/VMPy136vhtVfHQret2AvwkNsC67N39miUswNP1hzDFWy7/5eDxu/
appqSIW7Kah97e/qYR2hu4PQXUAVdTUbfuc7YftfCt3/wHRis3GE4Bo42yA9cQ3fM50m0Vv2lMLj
WSfTUzOLEPTnarwDUoSqU+JFhPejRq26qj+h6/yBY/TujY0f3zhkaFzGvXxj99pIn1LikCLlETh1
+91X8ltf9z270RJ/4JwIMsYIGeMTsqfyz4/vlM5molnyIw6SpWk6d4pokYFFH2qgyl5QXemSkaPc
13V5w35351i4C2mcZXl5qM3yXGv9QVEo5NH2MuEiohNBBsiVx8vSJ1ub0XYfktq9axaA8/HK7Qi0
JMoKO2gylTHuaJHPZMO12UdBqeRnMafHjsY3alci15UPzRg/l9j06nMScECOJnAXiakN+5qInupy
Bf9IP7Y2JVuNKR0ozgSXPOrGq0HAGEnFZeqL8wi5wJUMjLA7VbbyIXOH0ywo9cA/BZqT1DX2akZd
RvRAS4HVDuzak3tnTd15ydpdTI2XouUeqvxWAu9LTiODeLTR2faLZrgyuxUTHtI0URrI7R80+b5j
EyY00GthR+QlXAxECWiiP331bSzE8kbhZN2nDro/6TDfgRc47l0GzCgBjVAz9hZmmjWBL88of3OL
IbXqERa9nzB3iyVrC/4dWh9G/NE+xp459ZUckYyCaA8VTlPHx9JxHuThJA+i1Bp9rEGNovBHKtW8
AEGeScW89BpS+rUgOZrt3RJkmeT7TEQfJzXbB9AHfIN4lnliOGvfL/CzUmpZrOquXZI/x6o6y3mW
MbkP0+qcRwdQN8wCAO0G3EfB9qtkLriG1inFrLXPXjuRfcv0+KNSnvqsPnRG+4olig994hzZ2W2T
xEEaK+fS1Y+lqZyTyMT2xESIErjVwI1Lt52S3uLJv5V3qmIMXnE8TjWnAZPkhlKbgxf7ltOCMLKw
ze2AUi1Tq5vQYJSAx35sREh8Jh8weYdW4hBgXgbgO/v4WvlTFAfkOszIqkqMWEYsVlltMwdinltH
lbm5WcxXajXtjNTe51h6rqRx9AwhprzYjIx8+BP+R3+ou+WKUQ5CpIOC+KZzQZRrG/tNQHHCzYrl
Sv6mEZpbuW6XZjxVOidyQX1TMTcsw/Nq82Qto58z7oohQw2qbO8Y4PJkaH13LZdc2rSvMoKvK8AU
GXKJqDs0vXHkZN/P8/1A3KGGAEq34lvTXel2+HoKXMsnjmGIiHFaMkmDPBoae6d/6Nf52Wa8ai3J
x1Evz7raXmOp/CL/as/4TMLeS8ktdXF9VLdhFz8g8IUWwMOnoJ/rosC0mYtryR0+PvspM4+Cs3dM
TFoU+741lLPd4Ys+LcFKc5kVV1at3VBoOONJPnlk7fpyFBahRXOdW/lWZcpzxBAog/mTVPN2xmTQ
0iZfX3EZ5zrsON/38sOLOtBr8E1A/HLaUS1jC8qiT6IL6sfPb98tjqY7WWKJGjvyWPXUPGKmiWRr
jo55Z9AhYjMekcKj5HtFG/Er0r0xmq4qALXZMvfyMy2Y+ShJd92r/QEqHCNzOa1T0YTjRx92B33q
DhnVChEx56mdg5IZQ+U8TiLZOc2NA3EEwmc8XssONa/YXqF5hdw37M2PSUR+cXFfR8xfDdS8GoV1
ympOJqKALW8O04+F4MluQ/ux65SnvqLEDEd8AVMc3aKg7qvXzi6vE2Ffyla/GK79BYP5Y1NHd3Vh
P2ZFfzCK6iZSwicOViggLKbkzW7pyolouk4RBa7ZpGd9yINGgItaqhc1H82UrQPQRMnyE0AjlCPg
65k/2+hBzdw7ky1fn+ihCrdGFitV4DEseRF/i9WzApi/tuOn1ppxVSWPOi+MY5PFfseurpZYNXZX
MVtIkpebLiFJkil8UbevfdhcJ8gqc8buphQxR9aeKJazGnbXdTS+1YFyrED7fJZVMr6jzGpSple5
vss0rBIZGA0zM17lHLMzr5Z1bgfujgMBR+PTjI1736cdFiLFOc9ZgfFw0pL1Sk2opbPpU29jNMsc
u2mMHTfjfiW+0pzUc4NYUtlHGOfXRYgHvwL9DbocoUZmE8JBY3uxxcXtjb1t54QSTFcKdqlyVSbX
TZzcyrqXWNU9GMHVMJU3dvnV1uH2x9AJUKK19rSxmN8Xor4fXbDzlftQp7eLUG4V17nvzPi8Ovmd
aNPblH1tIH7K7JdPDkAJFnd190lRlqtsch4ruIQbrM7d4d4qWbp8J0P+0sCAaKIrxxABVtVM6O2H
0a2vtcW8MM/acosIaI8wtgjGvD44Yw7jwgFP6j9FbvqiZgoz3RJThHrmNGNGnXXzVQ6vikP8hKnO
PpzXYLFpudimEqZM7o3bVa8JM0o7QbQGhoTT8a7lm15Uhhuj82jaYGkJ9oX9emrDrxaJuVQAX1wz
OcRzE2hlQSWhfSxNrxzaw9qCiuev2E54drUEytgfGh2H2U7fy9qkYT6BqendhL0zJsy0WxCgHmbk
k2PUesxFvQbN5BABnynGfqji40CV4+bJEadwb8lWzDDp9NZxJ+UdCs7p05q8xNBg2q7BG6V+HVJm
wLXM6c2c+iMlDSKTnXEdpR2hls7dWIx+Qr5E9ll+D7ESXQu8vcbXkCZ+jN3/SlRE5fZPdiB/rVWD
5N932b//r19uXsuv5dv/qzoG9uPyQz8iX+T3fsT4VaCpt2kuoIU7hjR6/L0fQaImU4htGOPo0zST
kv13fN751TYYttEmaOgYdZ3/9Ds+j10Xlk40ONKbz5S5jf83/YhjOpbz9kK6hc2feNcWGNbYK1WP
vSlsnJcur77Ok33ILHwbmH4ms/ZZr8RlLnFxHesPMibvr7uFPyAw8u0dVWoeeH+Euz/2Cv+bvfNa
jhvb0vSrdMz1QAFvLnougPSGzExa8QYhkkl4k/DAq8zrzIPNt1lVLYnSkU5133R39DlRUUZkGmBj
77X+9RvHNxxCThN/RsF552dEvVI955yqfmWv+8K//vXb2R/bL/F1HY1mzuaq2hglf/9+YWM2sdUT
2Wak+qlWNm2celblkCRQnVTYBbmeny+wEnojX6Gw24lBvWDJ2BNbWadtZUVFLOtclap/G9nNSXC7
YBFuRVJKbyr7tAjXzcNIBLfdGFdVtasxUMRMluh6fWal1trO8Bn1oxVkONJBcC5VQLnsVYq4pIcs
JcqhKNo4yfVgTS9+ikhdWndGcKwxKY839CUrkZYofpxMlY3FULxkqu1AiAalBQXckGq5UtRgHacQ
1+XLiQF33wTrQkmPzSRdC6TrUvqQ5EhD7v6YGouJ7cVi2w0fIcHMHUneihfF6n6rT/oVVqhvuBXP
f30rfnbnmVqpQolmQDj60CUqttHWeag7GDFflfoA0ZN5ar3zCeoyYVj9e94MYznV1hxEVx9WOalm
WDF1BhnWDK4d8hAKOK9xtY0S0NPst3qen64y00SaarLG0IV+v8pwPTOMtlcIYZOt5QQzXBCu8DG+
w6de0hwctTJ/0ZFjEOxT31yhzt42EQWiPz2gSg4RLEKUccaXftL2BHJ6yKvfWjhlv74oHxGB92fB
AtQwTfSAjiP+/BttSOiHhUGwpzMbcZCH775MK9x2jfDKmLLPv34r1WCb+06g8/5mCHJxskW0qpkf
NBi6RiiBlfJmqZkdzAFUucaWgfY5m1pPjGguZrcIHFircbRJqJBbeakl9bWg/Ixjv4zhTMsNXUou
zMf5dejZ5KZu6np3qW14lsYq6TBS6Zhf8VdHXqVenBMUGAMUC8FBNBWaOJLInIzIFN6onfgxwHox
VsrtaGNjCmZppif6oQkndjUDgRUkIUBCmzjyEZOrou/oRcmqxvxYgU+KbxauwgFzFMOzYwZj6oWw
HWwraDx6baONw6K6RBvR+svDl4v+2Wd+VZqGl0AoKnmxRJRxSOvUcVzmCkmDCqMWepQaolUK+GyW
TM6oxQGhVxVXKLUoHi2dPAdUYGWzTkiKDmWGXUEwf4c4ogdHOg7lk0FDEzdPJCXOC6poi37ApzUC
5wSyFk1RzLSPPnbewa1NcBeJo7k0TUSDpG4REX6t+ScAo6VPM4HT+TpWSb4U4y++TlCR9oRrTF+a
ZHU4cwZ5ix7NVUbMhbJtYdrXTfAYjGAdvGoYSwtS65g6hnxleNi0PIT4wb+T5oL8oCXdfILkFlnj
LOnp3BUZH5dQvVL09rKKYpWZo9nvfDVeFkGDwX5fbHHht9boKHFmUrHM7i90NqOMNZmBQ0wmhVsg
jgpDmwwbO0gdMHtuUyo3MtTwujI8wVlOESmUXA8Jr1l9iFcDvIspkxYZ7nLiDsT8d4Gw2AEtddSu
ozwWGTCEJoYbp8p3itSTqTdcCdA7xRXNsUnJLmoXIgwyJ8756yb1dw3zv+DCoqEhr0ghCvRmLfb4
tmABmtEmzeligKbMlrkYQzESqnYJvuwt+VjM+UQpWzZ0/lghdWAnY6Ct2onrZ785QboSPUtIcqHd
X5iXB/O2xLQnAACjR7kEW+S+W5pBsowMJA7xqubeJZN5M+U9PkT5wa6uVSXa1KV1g4UuMXnNtkbf
M0Zk1jD/Fd/MTmXkpwMdmw/JB5lW643hKIJi4QOFKyU6FMBlAlFRIaLFoBLEo5IVCdsVuS0EROjm
Al74kz4CV+Orgei3KOMPpwfFCio/QhgsdjAKpe/3LtwoTauWInzLoeNXSLvEQDhIDE9ToepzsX+9
f1k/7JXi/QxVpr9Fhqx8PK0m22JFygSOlIb8Etfqi1NVX9qe1BtmLRGUcVImPaGjmuTLtYCDzAEg
gSybWpPmA6BFji+Opl855uVLIQif+cXwQh7FQWnnAuCQmAd10KVCO/mss++J4b7N8+jLbxFdD3Y7
EE7vmmLaY3q0quR6LdHGi/lvT9+bXzCdqzMUOPpKPNidpW2KbCvuR8eaCMBiBqJ0hk5mCPTUEGsW
h8OWCXFYSnNrSDGTNnkagmVdCMca9pUSJUxzwJOBkTZKudBYhUkF2wgPYAP9Vfc8TPrGt5UXGTHa
QFvDqwCdtZ7CbPzXF/8HQNl+v/gco8IMHbnpx6KtHsM0jbj44kKXMYuafjBDP+Y3d9jkzQTzTgAw
jZQeFM261WxyuJZiti76MvZ9+iw48VAJUL1BOtX3qJyXA/SDX39Q5V2N/q3SkE+KCJU1iQiRVfLR
tb0PpRihZQawVnVbQUS4TD3KtXiT+5CviV2L9P04Obu8n5Y8MDum1PNyDDdq1lzHg32nNcQVZ8e6
bK4d5tiDjc8NRZqqt1ss4rC1MzwDQZBggcDEnBWWRSAMaBjnjR2MS/HfBjQZBIFaCeNo8Uyw8WOs
7bU1BHg1wtY02gAwzTBlnOvGc6rLnAaXa9VAp1A2q8aWkaQN8B+lXUaAJ4Y57ljBMYEIOKmrUYKD
AMQ6l7IOf6CewxDILtkPzbQMdej0A+aiSbVO1X5ZAWOJbcRJ9VUpXK1K6CygnoIeYThsDDYwExAT
RORlC+xkh1DuYOyG6BYcQTMYXUFnSHQKowqETzDVoNbKRo36nygUhXoB5YDWzR0CIush3FhqAGte
37ehziHKv7MkRf2Q68hWLN2bnGmp+8FSoM29YFvw0vnYz0V1QP+xmHIoLRIRnzgcYjNrWPEx4jrY
CYSMJMSXdlgEmOKHkPYGooKBGNIREyAo8DHTd/GqAvGQ2Oz0MF7ojeoW8MuH2IQTDb6sOQ9FUH0J
k+JgKBjKrrWuRRH3GUoqES18BGDgWO4WWSHtYmHDm5q/KYNFkfVheeqmbNH4yCZNpfahLi0knGZJ
knVmqCVHvVswABGVxurXj4Egj/34NtDpkbJD+WLi9v3mDDgU95LJ5ixwYokL3xvAIgygJeYFnAUn
I4sYBIFyghsLPpHYNywgrEnKD+MA1MpZ4uQFzzo051bHEE+YjIIjMqKXAvOOGCqvHN+sFjM8pr+E
GW5KQH5dkRZW+FmP71vshseIIXAucbgnO4EADwlCDWDioNc3APk70m+ucXA7tYArNRmVCm9aGj6+
Qc26YA4zACWJn02tYHnpiT0RtrMc6QMcIaUK51KiQva8/OYWvSvVP94jBmiW9t7h/zA96/TRnJSg
cQh8LXZihmKPGTOlmNwMuC8WhKosmttwWOqSvwZ4BV4XWwRtiDKn8VStY7Kk7cU3qYlxSpyEpJdM
+HXM2zhaTN3VJWvXVtNfCSTUYkvoHXBvBlQG4sUu1eZqKcKq5yZzkSEel7UyLk3U0nIwMGyZrhIU
w6rMjeypR2QG7BwAv15A7yYYP1wDQ5Z12WK3xxvm+wWkNr3c53npIN6NiHB7J0I4pFEWcb+w5OZd
7nQhylOwFsQgIXXCpdjoBDOejHRX1G2dZeDkN0L5eRQbcSJTFwTGfhgNiNPUrJLutVG8EYwrMXAo
Rv4e46fFcH9MmQrl54iJI56Wi3cymY2kRWOzxvtejNL6TlrgYIpEEe0Ql17UcLCPZs2dqpOPS3Xf
KFCw4R4Q1T6HMoHbF6FPEvMRAsThPffhTEZ5x8BvEUDfSOoeDSM3F3xfDcHU8QrNBgY1PAG/vrg/
+MCI05TtnNG4xTwbWfz3F5ekoxh3SmJjpDg/lA0likDI2YgbRGaoIRzMGix5gt6f4amTHK1xWsZD
RphQzHGg7lP75j3XkgjnoAWbD1iL4uLbjGHawPAExmnmT2LzFd/715/+ZzuYxo6iIDtSTUUXbeY3
PWs5FSGAaAxqEAXzDItJMX4bGuc3J7nAAz4uQJ5BkDl6Y9r4D3hBdQkmdFFslFinbtIUa0dw6l9/
E+VnJSU0BBypDRtagSNAhG++ioR8goDOxJmJzOSYZShLbDQIzFKfXjaJNgUlotDBieGxfGFTYjOD
B0mFgCuKru/Ry/3m6v6sqv72I304H3IkGkbr85Fav11XMuM2PKHFkENlNEYS3W8goHe07eNlBnNU
dIYRoEDmh8tsmBd8hOXAwRU+PImRMJk9HhY58zYJ5qIyvsAQwFljIXhIeWsCGGCIN+q/2XP/weeA
GCJs4zRN/rDfABmhDeh8POjp5zvYUgOej6Kaj+AEYG/UpNS4TAlzxqkJA1qHNJpGWv96Qbz7YPxw
NXRVJ/YGfghY1fcLopCI8wo6hwjbull3GWIFf7gifxfAioEhi2HMxSLh75xAOsZFctyuxVMpqn/0
QgSNPtVdB1eZMT+btw6v69cf8WcHu/7NJ9S+/4RVXZKZRdIsmNk81pNryN3Lon4cSxxKSW7PGLeJ
ZvfXb6qI7/3xuoDfsGWBkgOmf9iwQkR8lklZi+dA7eW4oQrgREebIHpWcojFHfHZ9f0GmibxwNRg
v/4EP/valoKtiwaZHp7Qh02nSIJgGGO+NnFEr0K5LdjQYnYoLnxpdpw/FCKMen79tqomrufHb27B
9QcXlwUp/wNG2htqp08X3vgdpIEjLJiBtRxvRP0x6q0XxsFJbBstIQq9wRgbo+ciYGStzdsQGVU4
q+jj5lOhHkSj6mTZZ0EJMFtWiJXtKoeFJsiBJNf0QqPUhKf3ktbmdOu3DROt3E4/K3jVSJ2xJ8BX
H+V1yrZrN2LTb72IvwR4JppEiV6ySfC45iFK6DwF0UBUfUnYrS943jqYOOEoJQgUgjwinrEY3KyH
nyCa1KFbEVe5iHVaNlGs0EEJ/EwHGG04mEUrlylMwimFNBZ/2ebrsdppdBE+9X+Fm2NTUvtwqPmN
dDcYyROJSpt3/FD1T6LWFmWniBzA48YVJSYdRg8DK2bcV0QB/vPWLYW75wfdkuAb3csQ0/fRld8+
if2niGcSlq1jQBPF+8e4zBkx4jZlg3hjHZgEEFMcCJxMzA/hUvYhDtkQ0ScFAjrYimAhylgcIBQW
nT9pUZjxpQwgd2O99hUwQJKpS3RotP/mbYj210QzaPb2TtAxyYhdKZK2GrE3F0JbtIXLjnbWRkAc
AVM1tyXnREuWX1sCtJEOICjpTKnREMACt7q5qEQED10FuDST13TADRMJlDFNy5qZtOCgC9pDC7JH
Mb644OMyam+yKeHoChuD7X8qqnWmX4t2X4zrtVyHkAG/Iu4xOUfNjnTPr6RFlUeIB+jJR4mxUg8L
BiYNTOuGkT+1jka6kTjLcrBMI20x+7Nuxchbtu0VviyCGsEo1+1KfZVgGCGG16KH9BlsiNsUAEBc
GmnGwEJjbbQT+s+2/BxUN53ZbsXQVxAvhoLM0QaH0YkSTPl8yVj12O3woLijA2NnJAj2kDLJFXWK
wdETdgAufLpU3lu4COZT6eLRvvjNI/2z+sViI0NmQdgNupzvd1DF1wINZ2f2eMRouY2bPUQWZL1e
MCCuRPQRIlyJqWRlDb00PAt042bPGAl7O02otMP6TNHrf4mU7iyeohCMyIGRKzZ8AcWJFurXn1ns
bj9sQprFZxV5P9p7HfNNnVLbFwkjHD5ypAp1Ks3c7WVkZYE/CmSwgQv26zfUflZ92TJxRDbulhgl
ftj2aqXAkCVg26vqCLYLbQgKEDCgJx1MvaZiTfEREKu8lfUN3pyrmvNZYLFJLN1roN0JkH+qJdC5
0af4NiZPNEB0OgShrjD3HeUGSkS7NRNIP/KF7uaYMt1HZCfIXo0fLgbpHFTZHxfyfyRv/0R4lVju
3MZfiN6ivPmX/Re8YM/fmcf++Yt/TdO1T1hYchYC+pIV9XWUrn0i7ghurvWn1o1F/HWULtYtU3Th
VEfjwyP3dZSOQyymskICYGlkDf6dUTq/8sOTYmBSaRgiOU/TcR/+/uH2Qz+y9ZGJsGY9R4ztCFRw
BxJ4Hg37zkYxryqf0U0siOqY1xUx8wxvhZ7MIbiqNXFHL1Rs0A+qf5OxL/npOQtIFLAx/Ym3GTFR
l+itYNpBBDe0IVeGKBRacGF7fV5hqkZnANEt5pkZkC/csb7dmISjy+h7BC1CDOMIlZmn8OpfKmta
dPJ5HNYOEAqqKjbYYxJct/0s1yDfBRMyuARM9S5Gx1HDxFExciAOyosaePDlwJPvsAlD4cP8nBh2
+0JgQUcCYmjitXOOkEaEDcK50bUkKF0WBhAW1uHVQ4+JQXhWIYs6WYcOBaKjAM07Z+v4wV03nmr/
ZDuTN0ZYJlWteV0NxnPUKfeYpiIbR03tvihTjcBESHliXcdAD0JT59NZE9GzdUTX0Ku5mIp9ZhpJ
195NGE5xUPqBeqTG2upIisryfMnuzPZgoAlMAsC8sZ0RsUGMdULehOLGDaME5Z5RCmppM76QJPrc
oKPTDUxOEDDq5q0TgygAqI85tisPtXnqVR2TL0wH5bMp8gn40QnTSuSHxAT1xJEwJYBTO8Y4scVn
DO+hvOIW5a8qZVpcmjNs6ZnTjHONgE0lXMUamNUAj2BTIcqNUO+VKTbm/XOFMdeIM7meMBk2H/L0
obQPErhuI0nUyETbSI6rZufcgF2OCYvhJKiKz3UTujX0BBVz07YjWzmpPAqkus/masc/Yswh9ej3
fCxp1IGxZje/ELFqQ1NvkDwr+5pxHEeOp2fpwinuxuk54kqQL51Wh5bCOxqYzHLXsArR035V1Q+Q
OHWMBUIJjVFegyZhrWQzCCEEiQ+34DBbND5B1f20bYfzhGNIXOneXEyfXLPzAny8Au2UFw/x5Rxd
8NGIKRf7+iHKz01wft9u/tbuvI9eqqIu3ppfapL/o7Jl8ZH+symSRbP5jzdnt8i/RNX5f//Ln9Lk
eVs3X15ClMk3X55hl53fzcTXr//6vxAbf6U+2Z8QF0O4oHFh20Wg/3W/tj/p9DX4V8uqqQlt8Nf9
Wv2kAe2YWKjoQC8Co/5ru1Y/yeiVybQDWzYshi9/g/ikfuRomDT6QGEIknWU0Yr+AX4ZBrW9DJOm
zIpGvTfN5nWUuo06mfu09m8x/XoDOVXdzMheVCV9zqfBA7S/yVQGIgRugfE5WKX4Y7oosXtBz3pq
SoZxMv0WTErD/eZyH/6otr4ddyqCQfZdFcbH1TkLuTAUNCpS6u/PlrYnJMKwMgXZc0KRHWFQrOAT
3XZONB/DiOiEBydv7FnQT7uCQHrfSFERaLQzgVIwZAfWlBMCfBpDEs5j49IWoudSbvGecabrSr2o
sFJQq+l0cX5Kapa6JwAHBMqfsGHK/QvHCBLPwq4W+UTzk8WYISQq7Pua2KBwwAFw3JHOvsot7Ymw
PdtV2vrhkq4JmLq/SG1HSIaNk64qKn7sIHsHpWyik2jVnnEeidwKB5CFyYUMG9Bm1hQ0SW2k0zSe
rJbArrpXH0C2b6eeWNGgSA5BAXced8NVwvlHGkuNw0tYUbtdjHWAfaMfDtaq5mcSrVmkCUJys3SJ
RsHks8OWETsiryr0m0wOL14ZDjjq4rRLSzkNGdF1VqdxKgKxXabwzZTjA4XJi6SWB6HXLZGv9Rdp
1YNLuG3GgZEOOl4/OEXI00ubBucskzBr7AvMi2ltK5zxRm4sPTIaWUxipGWd2JtW/pxfSDJLzKfR
dm7GKTiWxiEIoDd3vXwbYeo6L+v6RY3kCDN0zKCmuNoR+74CgV2kF+1FNoobOZzIKEuCc5KlUGRx
cghlzuNMUkiXTdajHGPQyVi0G8NTN1l37wkiev8GSl7AykgmrCGxl2o1T6qTkhWQXoUlOHCNfn4I
u46MEc5prA5TpAxeYl0Gt7PLCkUx9kZ/fxP+b7m9svX94+3Va6svL1+K7/dRfuOvotf+ZL5j3jrU
NZGAwGb5F4XU+YSrO6PmP50f/qp52UMdTQbBxmGevBCxuf21iSqfBK7NxqyrUExl9W/RR1VHNKzf
dodiG2Wa+I5YYgv40c88H0zmm76lzpyweUwTylNzOjE9LjxMcKMmIDEQ8CXArjTImcyzr6NtWuKp
vY8/W2O0rMrmUe3xYyImamHFenQaZDfV8LBrpxqGhGZSBGHD2CcltUPwpWz9ag92KmJI4pYqGSVS
A59iTEbH8/W+86yc+OkANhdROjhqjmTpJbZ5GNAtybF51ZjiZ4bkVa37J3wPET2lrUzcxoNuDPdD
PKG4lwljVErcJrSknDcPXb1NsXZbRGYdrSIU97HjLOzBv0urPnYZYA0AJciq0U9vswnCR+YPy2io
ylmspCWxm8nTFBY3jJocLxjFJqSYpXe5+NkiGtgEylXcdgyKy5A92OoCSkpMMWJw76iGfRQ5BSlF
5iYnn3MuY6MxY8sv689ByJXMkstjeUEpA8LBY57aF0JVmNS1Dn4WOkZJ5CGOjYtrqjEQuyNDxe8d
KtFLT8BqFGJs1dQgT1I8u/Q45dZWyeYW3wQN1WJjxfVsYPSwLQL11lC/VMqeUNBuTbPVLWoS6Mc0
NkkoJawo7npGygreZxg+Krn/Mk0T13nEgiaGBjNJIW5roXxvxtoxq3oZ3KUi9lAlsBCgKzXzq1qN
p4WGZseTdGOf1XRFpdnuiTm9R+ClLxqSqVwi39ohuC7NYt368augwtl2eYOj8SaDyOnaY9VRjrPq
VHtjpJxfZT5uuth4IgNwp9VAqCRfRJqx2HtlhS1C4AyZK/zF0pDEa4s63VaPkp7v0g7CWG0oh0rm
OI8u9WPXRtY8ionZKFECwwjEs/fWwSbQNfQSx+WmJbuPLTWygp0d5W8wLhNPmvXY8tAnScRmqVd+
pyGGb/xV7uRPMjRnxfnSc+NxYSML1NDb/Qgghc3rS6YE27KrHi+1HK2qHA5gqNPmNRYLrUESLUft
c0ypMiS8vBoydWSl3xdVcbjICFbC9rGszds4z0NEOcaV3aTPkw4N5pJaNdjagLokW7F7ECYv36uX
bj/WFvNy06WzOmo1JhkaUV+ZQxvZSQ0ZwLCO+uQV0yRmmCpPF340NTNPltGIQzMD9ph8znzaNxGc
REPJdlExHZ2BJC4g01sHL1WYb9FT5Ksctfq0cYQ9J5HBc6O52MusueC/OkhfCnzfzChpZorDI1PV
uLDGwTausUbTtSPS7JsxguOVR0DdDFCFZSz6zME6S2bxdFHe40HUlyJMsYSetlGv78KkO3aMJ6Y4
dlH2LMbEejR0Z2XDyixKTD9KDIUz+pHowmouLhNKLpohzcY+tTUfY+lyo/UsXyu63EQNjnllTMed
T17/MKaJ8rtS7yeVniaqXGpc853i9n2lp3W63mdNrqL5xCBQCTbTiEEborXzgGVehPsYdp07LG8g
39Dx/s8B/N6WgDH+4wP4xy6GH//r9NU+Cd94ET9iU4eCJH09ffkjZrecNkCVnFzfCsqtTyYpKzYP
AVCVQovz9QTmj3hBg5gqTSFU3HT+Th/zEw8Lw7FlKgDGR8iuP/YxTVAXOFZQTAP4aFX/PNnqodI6
YtLrjZTDo+kejawNAMGTjW1gi+cyNz5aDRgGrjZpg+1IGFwR97vEZ2UVRs96/lCBiNhEJ/RydYKx
yOOMtYc2xRtKyl06Nhth3xGVAKqyWZGlVi0S3WT08ShLDg76zdqM5esQAFYeqmfHN6/k0F6WWHIm
xkonc3ZAn4oNSG//8ez8rR7+n3cMe4iSqDy/Rl8+dvv/CRt09BEyC+8XS/gP07A/wrS+rST//M2/
VrNK+QcDTITPoMdksv3talYQYlBhyhqjeIatX3tyOnkRrUHAFTsSY3KQzb/qSfsToTwsPeazKJxk
hqN/oysXCOm31SQkACxRFE1QIkzH/Iig8rgMVnKxNExUBkxfEC/nIgD1N8IHAfn++DY2zA7BgrER
H32/xUalVlc93gwzpWEcR+hiMh1hIiwUJfRkUtXJICDyGjeGIl/akUN32HpJtpqQBTapp2vSsspD
T2tvQnJP4xy61MsU70z614Ro14DpUVFgKAQLOIPElhWYDB3DrsVjWp8j+Flh6LmwBhy+OSnVi7yy
O3y0YeB+swAOP4IGP7mYtiIwFAMkBT6qOGi+GdxIlZUM46hqmGcRA4pxMZby/vAHbPYPidg/R73B
KwzBnWA+/pHzGig+zOiIGAdFhXHbAQrrk9wxgZS7FSnpcVRiYA94G4LiXkBzL6C6gHk4fWJFVvmn
djzZYL+EPOML6Q7muS3eYuTNBiFNcF8te/DIhuSqPwgX85LwoTDCm9RYpJUJEwMn8srfts3zdMHn
GKco9sFIf576Y2Pqi9bR1gNXt28Raqq6m2Gtj8RhFtCyGzV3GxJfDUQdJdKyjTJsItQrWe7fKcVZ
+dJ1GgSuCSPZ1nPKvZCEaKAuI0B5Kd/IaQUT1HFttMrGCDsuxBDUMWd+pVCXr5MJwqDqmRDWZDVA
RPBG1K9rBalrwdHVsnZV48woZUcyRryxw39Jrdc9LL8aaDgPRQQVGRwYWIEp5Q357Fq6EboPk3LM
1jGSHb28VGcyBgFq4tYGCeRCz8XvW4ObSPxpeJl17d1UN64s5cvaOdcMxirK1FTV8PVBE86Uti/2
KVlCF0hyU7fXp7M5SJiLoZCIKQTDErPibK4cL2E9Jz117nT+uufD5ljQlpgcN9ybDoupJFaXaLy9
HtOw3srmQ2wdS71Z2qa0gGG4yJ1yW6hnwbezGwI4peeps7cdo2FLr+dQ8HDfciWICAr4eJHlc5Ns
7edi6mCVz8HMV1ocsR1AGrVlhtCQAIfLPoweJ1yXrQqIqJopk0n0kMaYelmj6A1raYNOZKY61H2T
25k2Fn3BFh/fnTae8A5bGESex1O31qX+5IfjFgI+rQizfQ2n+r51M5xoWChF3XIfnrIQZFxhddkP
SXs0FBBB3n40Zz1fccpTT8HYyuBdhB/cYNawHO6MIQFAUq+0Kn/MC30XF+YCO3xPmpRrjVZg0ERc
N+z5fJo7iPqaglYAr904w4bIJ/5hyeVYDyTyRs6+qxUXd1kMlwLoiGn01IlBhy1GHmSGblsxBPl3
bCE2Ni7091CGZTGp/WYLQf1dlkqPw6qDi2kdvZGViSF885uN6l098WHbhwJnyzanjMqg8AO4GQfI
UJyCnUpmiKVGN3K9iLMFad6scx3gj20hfoyC1mXoM2ukbRWRbVo4ZN3fQj0IzeE3H+gn58N3n0f9
/mt3lyga1JzzIRn3Q2/jo/iW4V9HfyllzrIkPzZo/9hH/1bp8h9Fvr6dK/yf/0p+qBZH129Lmz+H
Dt/WNlQwX+t0KhsyNpgogOb/oYv+N5SMqbGsOuTWQif+UNlYn0R6pgaxgbEyE2KKnr8qGzxSqXbw
lTM43TSIX3+nsnkH6L9f4yZwG/ZSBv6kGuLt79cU3mtlpo5QiuXYutJ7cxYH2jFsc/wa7TVp9np7
UiVCc7r2ofWzzRS0N5Oe4m5drCrC6DFDw99IkIeYBR471fGEYsxM5wQKrdUKw76S2AhfXwoTuC6P
bku1PcGh8vAYhtMyeUM77EjhehqHZoGa6RZ4ASWZB8K1NK3Ow8X9bPJy4N4EA3WnKbMWDpQwZ+w9
v+MBdLIFZft71kvdp5CKWkIt6kXSSTe5j87EjjivatKjGZKWjKE1wki0YKtJ5ePUdHvZbDZRKy18
kqLkoKQumO6YI7zFRb3Jeyj9pn7VTe3MjKbrJGRyEREr120ks17qFiklav9HEfi3Hrj/nr0CkaL/
xOPkQrUoiJP5f/83/vaRev/lr82CZb+zflSHKR5eA1+bBZ421eThgFUhBHEiZvkv8NmixYBFjLki
Tmc4CrB7fn2ksGmHzgi3H4ED6u+/80jhJ8Yz8/0zxfgOKBuIFUsEmpDvn6leC8owbwBEHwv3ev/0
dHt7cg+75fX6dGu5lltjw8sp7K4D97pwn0/rp+vJPU3uPnLX88/L29trRjTL5e5wOhT82O1pcE+H
5Ya/Ra741zN/9vnsz6x5uWo2/SK+Guaqizu6m5AbL63TZXSNJMCT3VU0611j9nqzuT/uHnabm/v7
1c0NMxj3uLqPveNN684eW9dwn8R/e83c+2FWuG/719XNcbW6ud8eV9/c0p/U/pBYfn1t9A/VvwaE
NGJZqc22ED/c7WM3Gz2yZfm/waWRN4+P29f94+vscf90vX0i3MxdH05Pj9eLwH1enFJ3d+Vtrj6j
R/Mifv7lvG5m+9PhtI7c68f98Th7XC8H9/p0ez7k7uer3H2wvNP69uLeusuXi/v0uM3cZ/cke4/3
mrud3GB+PpB05jbzzl0eDhDg3MPhcD6tn69PS3Bdb7m7k90N/7s5io+4Pc5N9+Eyewm8t7ft9vGt
dK8+2+4XxSPz3rvbbEP35uY1cbf3XNrj69UVbYHbu0d7Ttnm3gcLd3WsuCmv2+Pv8gzfidg/LDsc
OGz8AlnIojH/tiqivRkk9nN1ti9cx316enqd8SmON97b6zb27jN3z19bbiuYLayf5ePTPcRtb/+E
ew1cm9Pj7PExcVu3XEPldN/E+li9ZayQxOW7szqe9mSQchFWM8dlyYobQGPj3R/fUm+7vybl0r0N
XLfjT1jEknt7DheSd3AP69vT6bQ8s4Idb8lB4Z5OkXe1Md3Ty+AezJnuRmuQai/HIBpOhzd49Sy4
7eaDNy6qebaWZ+lpmMOPcSv37m5zPL4Fs9UrN3Pbu9zj3Y7/7LtffrdYOVF/tlo5oomBRj6JeuH7
S2pJmMS+X1J1KfOxg0Xm8lXFSi1cbdG5qufwT4/W7uLKHtb+7v31eg0FhiUNe3j29Hy7PFwvqrXD
Q881226foF2R/OwS8ete6x5BsmQxuE8Xd514p+fr61uOWK4O5KQVl/LJcNlC9uwSx7vevTker1nI
vE7kPjsejnYuC5u7d7+9uvNG97Xgpqve43b29MTGc5q8ydutea3zief7fssjtNfcxydCxBYvhUeG
HNvJ5F68a+ZU8+dr07uILxPNMA3iLpN4NH8O3HnlTt5B8izPdq92bFMKH1h82dOZG8W/EeDm5TyG
Db9neK+Mp11lQe4ifx9YKNMCFu6snie8pOqdos0zowj3MWPpYPHgjm7pxS43s+ASKXwhXvP9Ew+z
+9J7PT6xPz7eP5KmuHgUt+AJf4Ulz9dMcyFcevX8LeTTXtxrGE0eeV+8yyuP1+fKvXk73gPy8/QV
/H9rzwnG8zSXN9qO7rF1uVSR+4pK3buvN+LZvr97DRay93r/qHrXT6/HTeU+qstmRjM2i2cTz280
G1fA+7xSM3Nmd6GruZc5MpDNExcKy2+WveTiiO4m3NhrjWVCcPLMnov3ZZzjLppZxuIAP3IP53Sh
rZLNtexJfOHPzCxYMtcMzLhK2mLadbtpRsLPlXU9LLIv4QGCR3lbXPHs3Bq8FPk33rl2+yVeBzNx
M1FXr+z16CH44vXQQuzktc4nD8XVtsQXZsP11s/iTsjL1+PANzqvn9HPsgkCEnCXFe/L8vb5In4c
5Te/e4uyZ/ZQ7UvvIV7cprPbZb6VD/2hdD+bM8fbNe5L5M3DBUOehbzovAfzunEf2Eq4H+elz9d8
OIknga2BDzJLluRTzHX3LHm34oI+8EG71YvjFd7i+bRbRjz+/uxwhj/mnnR3l3lrcTIuG3ecba7g
9vLEiXvJOl+cdjs2Z8n7UrlfNi+Z92UOWnJMZ+fa01b+rNsmy5fEO1/er/u1WFOPaILnb9sjaym8
lrxuFc4O+cpfi49/l3uvvteufG/DycKvvrSLelbytSzu5MM5EFfJPSluuDwiN+NxQdHMNWsXy+fe
u3+1eAzdwQ05Pi78Glf2QInrEiXJfn8zz13dPZDpxqvBy5gtw9mp4EsP7nr3/wk7r13XkR0Nv8vc
G3AOt1XK0Qq2Zd0Y9lrOOYenn4/eB5hGT+P0ztuWShXInz8pFmvM2Z00fdRpX3AhzttqHMe8QNX9
FGeaEVe0FYOqF/+hJgYnGaYczKPsHuPNKadvsQtDyydbbuHAPaZkxDGTDLurmxFn06Md7N8Dti4W
VSRE/IvYTvv9nzLMqSJito3goUY3kJlRwtU1ueeI91PfBegwGml6teagE+kVyj4bObjEVKS23Y+8
yAsic/zSXYP1eOh18LYqoSDFKrqZb8ubRE81baur8XO1yHUOd4tu3Da29O+IlpQhkGTnCP3NmPWb
xs3sqp2KBm+rHT90i2kzeT+vZDgxZyUwwSIZJDrx86DiMv1EnZDiFe50xfikz35y0np0NTrafnzv
S2clL1PtiXMyx1w1wQybBPTUEtmtuxT4puvkQRp2v6uA0BXmMlsa7ILAjHtje/SxR231Exx43pjA
q3roYLFVv9ni987E3tXvSTfMp9GzGxCxiRp9dDTyJqquBifl1jCEYrKikwrEeM27cISl7q+MYO9S
cFxltLLR4NXJ3njTns3JODqLeOLKn+5M3pDquxr+ZmB/slFCMxZ6ga7KTDzUfGRnsq7YQGNFx9gr
Y3RszrRUVJY2Dnop1h/E4pIOsDPk11v5mIu35u03grEB+oSccGKl8fvWYQ6g2mjAluUoT0ZxNUFH
EYGnPjtEmtXGFck4uduI0uIBpuxJD5c64E0zcv0xN4rKdsgPNs4fgr0NYOSpZDrFzsiaY2t+lwaa
KHhbhDuN5mAwIERDTuwB42N/uKVDv0+QnXPJPEHHrQNUv82Cl+TWw3gZB3fnnoKnR3kQ7+gcQXaO
zcCoOclKOR1VsIiwvJ0uZilMaDhMaJGfbx7gZ9AaiN9dZWQgGNniZvi8rFVhsbRYd+ZZporkNON3
aJqRh+I8lc94KpZ/Km7WQQeco6Y6ZhB5SwMLn2Sjgbfjeh/BSegARXk0uSQ8T/gtyibzK/MEwiBg
egAUj83A+/V3mkU62J49Win/lzI1cdNv+/rep+ymve6/jaqF1FGiUFG7RcPxKS4LwioTROpHXeRp
KsIFv/PG4wA0gC6hiXw+fpjjhl4wmgTW4JHODfAIP327p6+QV9VFc7OXbdR0b2QrFWWLg021HFVV
AxO7jhZON8r3hw5Sh51bnDQpC2oc/OzwZBDchMdGE2VuufRH4I3e0EzQt6OobnFwq3VCCZb6btCT
iYqeAZrBIYzq6tIwkm1Cq3dmNhhEXR6LAONyMIdPvpOef3Ur0WumaKd7buIXvjf4XWCkdZQhNslB
j6fMOkKNEnbRmsFJL9gBHvYyBBfqxUlpzkbDDqaQxX/bC0IU8J+YIfWxem32Z/Ja6G+xQd6k1CiD
1cbH84uwgKWVbhqX/NOH2ifJr+/8DpG+go/KjgqBXWjel8nxtTGE8c1AdXeepi64m+YuLl4wUlMB
Vjudpyh5X9kB8BqkX/Ysn+P4idPo4lJa+VwgeBQFQWqPAvEaaYYbNMuJKGbZgnpFSIeTLYAyATb+
cLypuHYLuNEiSSY6ceDSyf/8XxTsH3w8olP/Mjd/i1NuV5Vd40q6qDEsyjBhbvKQfiRDvyjXyiqy
5Jf+JXhPRVHG/AFZheXi+YkI+Bhrd5bLVIUyk4mf+VzqF4kXDXBeaLLMmQW35P4SAQj3wI2P6YwX
iR8ysTJdKZNR4vjFeckDClmJsCxYhZLbhR6jhrBxuHCe9jEvPivm0xjuLx47PZZHsDZ2WhRxnudY
TFaGlfjjyrjyiJeyv+zaDuzUzuWJ/TSfuSwLxrDP72DOc/kVu3YwpwW+iKLIHOVxmcezMvR/y1Ia
l2flKe5nPB/TFuP/9p/ncQ+efxAgBDQbmOPInJpR5A1oRw9EvdGVLMHBY5BJNvDMaBrpaBx5/Gvg
IQoJSwyEJf7QHyNNUZYMCCekgWh/xsfMscM9iFIfMQq4ZszdWVb4i2TKYzZqAWhmWeZsFA/1BgvW
bjHEmoAOTJj47uDjcCzd4oIosO2xaSKqyDOAEY0Dk5uHZeJlPuT5v8sa+SciTP/P6202WkRJ65KJ
/DdFPFIT+nJ+1euGL/4gjmrJQhJcCGOWGuli/CIoyMwvVCxJhiIPf5YlRBYYgs96i2CICLEg/FXO
+Nsv8D7yGPHys4x5o80iQXgQvZymReq+VpXm5CvcJS2CJQ4hX5Z4OPQH35lO+ckw+UX+EVau5C+5
h3Zl4ogpMJl8tOUP/hoi8UNulIktubwsUZ0yTjxNCMIve0AKzI35TdOyZPESaSum50f160wzVthB
0WK5NeZqrkWI+eEib0OBpBL4KBbMCmPhVn9YwjfVLEdZpHeIEV+JTqKrfIUeoreiyL4hF3KNaG7J
JMXy3BRHlhEXaCmTHONLliFXhVwUYg+hiAPNtNMyt9BdJN7iuXTXOiqAEIXOS/xYmURGQYv0hImi
/TBHe5MQHcbNzWOu/yItg+c5Z3qXz1Afxs/KyxImaG+JYkkH4lgWGV+Z1mmWznDDLJzhQcYzHkOT
jH9WxiEtpd+BcR+3iJQQ7fEc/vQyxNqUyM9XJERZaYvH0TatujNiVdJjvkDd85LWUVqbxzEldEsi
eXnsG4nMu8t/4u9vERGG+ecX4sSSg04ieWABFxFBiAVO5oE9VoE9QpdiHKEZES6EhtXFzCwVuA8i
iKNZMBgX1BCAQTB+Ulf6BPbF4TwdpNFbOYEHKPVBxi9kcdkIPQ9ME2Ya8BSTp5j8GaSjn1HQVSZm
HygwR+NpQOAwGEc8Js1l1YDnOao9hg1wN/0TUAns2UywEeWIZ/xm+AwYmKFFKH6KbWITvGJMYqUA
PJmwsTegx1H+7Xbaj+wYuBuBgDRJo545AhODaKvgN+N+EKgRV45FvKMAjcQuyoXjaGoCWYGImvwB
UfcyrOZIMJS52xHXA5MYZV8mZ2RjUg/KLl2bAQJ0AKEnoVGAmQY8T4aKhPEHPU0Z6pwxpAwROOdm
vABBOcE5+ijXoY9xyuSNeN5/Am9MBTfzNGy09Mkzp+PURWboR4Qp6AdjM/nFDHtTuFGEf0C38VjS
gK6xLB7LEslHzNHYBvRPCilcRH2TDtOe2HfPk47yGKIlKgWzxRokCycaj+iUTeQzkNuCOQaOfoPF
4zEPHrHUzBmzwTOIXsrUjKMBBobMFgX+R5lH6DlgHcwpi4BqoNKsmswIVy4yOsRyID2ySGB+lojy
ZkQ6p954yscDVN7zptOBt8DsI0DReOolDuEUgs+Jw7SPggELyMMHC9ABD34qpgqHB5VbQFOi6QW+
STiVRrFiIOKAOGsQMQX8GJhpkLtzppKJgPktHAxPYCNXMfIN4HjBgI+YMZ6XDZl2GnKEFXE9tgia
ILrtsWaInwNDkifIjwWmCvyUQbE2GU0Bulli+IVTQFvQekuwDoVjwAujGPpl5pkAaZJFHigpxjaL
xjQHDwQnudkRg+RhQXzAGhAXcB16fywy5kfQlu5Iz5IiTjKeBPiKaeVDIrd8mIc8bohVg3NHkVz/
bzb0n5L1iBnLu0YpZQGlxcb+5X16j9fHz2u9hg0lOAmNwjAIGRLrzux9cbQgKCQ4E9e/UcIvh8IW
YdmwsF/kZv6+REusgGi4mFywkNEAf+iI/C5zIVdW6ZdxYIoV/fP5H2ImgA1sCgjLM79PLuWx/P4P
6IL1VS2fYF3/XCpMDjiEYkv8rXjr8msKxDyH/M8QM4yVK7DBzoKVZslKP0wcOssMs+zeW2UO3ETW
h6v4GL4gXS2ShSwXHHOhM497fbGlIDTwXrKedBBTVbB8CWgLKc1Zv4z1+5oR8f3gF/IHK7fgZgt7
KpMi12J50KsYK/ydLMFLuiv9HOJJYpL5N1RFaIOzQLJktLSFIPA30gFZRdTQF6yUs8A4y6wxSCab
lzZf0wvf+hVmQZu+CBLTQtPCF+jw18TB/L/qgKEqYwEsXrN8uTOWScyaGxqIpXA/MYgDRBELzKog
/kKI4bx0Zs/sgTuOUIIvG+E7GpFf4TBxMPryX8b3Ffav7WLgeRrP+MqVz2Pe3eS81yIWBE2xf3Bl
sdBME/QN70k8AKgdU8bYeeB3YnN7LAQIS5LnoBNrxssY+gxG5UNpXsA3mAsXhzQLeQbIbRC2b7sj
E0Ilc2D2pQnsg4wliCDocFgTL+w/7J2oD4YusscjgBSTSZSWyXYAMGDPM4EbMdbQH+mFdB5xwL5j
9Zi2TF7T9QMvwi2UxSnDIUQm7cuVoh/gqmiT6468/M/QPQ93g4eI3fqaSkKfY9AYIcnkbyAN+zDW
gSm9xVplIs+LbKDpOvfgQ0KkXJebxBBmzth2Y2J0DkNNsCg4D0xYzPNtsBHBAVyFQ9CfsGC6AU9M
MSsChYFMfFdjLjb/y674nk+wNTbGMRp7SYRNAdrpRhSNbaD4K6xIOlZ0LNxmjp0QE+LYIw+4z7B0
wBzhBTeHbHxHMMAGwALESRA7ZH+cOcYPD2c8hwzhhQmBGGMQFoOI1YJH8IkwXOwc6zfChpk4Otwu
L4EAfCFm8otwGR6OGAv51nRzt49hCebpaCS0GQ+IwYy4CaojC77wf4nr+gmmiy5xm7AjaeGtIsTB
FLbDosuseXhL2KSpx4uncZ8wnCsrOpt9mZGsLVxVnPuVlgmDW+LIE6qE5wqnl88YxuyomWBZ7LOS
cKpEAsTrx9Z7rJEQCUbBKghrghVNTRaH98Nwkf6I98J922R3CmNmesxF9psQKB0hb+ob/mE+kFVz
gPwhudkA44QpBlA84kiYf1ZBfjEIZgOmQBsmQZ7xWPQplQASogFpZMhjNITx4ZDH6KgIBfxnnAGa
iB9CNo2mnjMYM1VTqME0yjLhaAsco1+HJr+Maop5pyU6bUMbaJT1I6iJVGaEwjJeXCV+lcgTzSEo
kIeBuKADVhPs4SGyoEUDf30MPRnrqbeReP1ikR0IZv0iHIJQC+IZvyjDgrhL8S8WstH+++YHEoAx
kNQDI3ues1C/BVb/YiB54/qsnkjmMXjNCZDNXHhkJDE3tBhTSYwAnBMcYJXEhABe4hegBXwqYCiE
ENsBRc6BYLAYGwA64d9IeEMGCBwy1TRIAAk7Si4AggKDFL0AlWwCD5hPQXPxJ8FEWAX/KQrr+wSc
OvAPuytYFgg1JN0AZk9wX9pAkaB10mviP5iGJAJnuDS1TaEr2AVQhQ/45ncIrbVBOnk80usGMCz4
InEFFhTdJHopShWBKUKjeMjURD8h5LYAJOwMtREUkKbFI8f5wppCChHFREQRYibPxO9JGC1cRwza
EFtSwqS03OH75CB4XuI7Q+dfVpPc7X8KGfxlNUmu+ivdWa05/+Z6ZTULfBpmiinNhmKreZ+PK4YF
QzeZDciKuFHCCgiTQQ8gfLLYqLGYcNZ8hqGO4zlkR+5BNAReiegx1aKbX/+EmGj6jSmJAedeg6HS
ZOHDWbAAzEEJcP/HeHF3/jUpiA+ygEDMiRFKmGmv0zlwkNOXAvqUu5jMsiAAjdrA/L2IMHcJZYHU
EGv4/giLmYuJyt1yZlEHgX8I0jM2XOIv//iikbzBIShl8y0OKMP+QwYYgpgwUxYdJsGSwctZfgFu
8i3sPhKdu4HJX4SncG9Eyr8SJZL+hXM8C6CThoBYyDaIyj9FQAkSY7PE9Mgv4KxPvOwrrt8oEpCM
hYN1BBm4TFRYaAtxYY8XIT6xSwwhXcNImZFejFF+GBNxrF+YnLB/1pB3boJcOLZoApP356fE6Ajj
4cACqlAYLqUl9AQygVEitSTK7AhSpRN/QZfFfmQLYN/QwszDIYR+AXgVxcCjJ3gWIjO8ooG6EVwR
+gOxImKAT+QQC1cwt/AuDiIWARr4i1Azj6hGxItIfkjPEYHSKhZR1iM/A1fm+wPHUDSD3zBAsnWI
TsoccLl4BHFsCCmgJ1/X5V/SHtjV8P/0o80JL1Qxp0gu2U2SX/VX/Xiz3fXeJIVKcnSI1Yiy+ugK
0u3mcGNEFRua5rBZoKdkBlGagjATolDXIRy0ICrD52gEgs03yCtBKDhGir8ZpTYKBKuQCB1NxKnE
uEHIIJD/EtsRJbD5PE1H5C/M+xIc5wEiXJg/mz4AKKgnIUYkhcipxAmCBJBC65j6hYdARnA3DA5e
MG4ektcnuoHs8iyRQnF6kfqxKdQEPIQR4RgyUqQNUi3xqj9673vyEGgBYIT5h+rKwmFLxaEMIj8D
B/1E/35Ztb9gnkTHYa1FEuFnZN53vRKmQXDb9x1/QWZBgIoyigIfE4MnErz4704dW2f+aRHZg8UW
mDblsXp/ywZqPS6n7uT+BOSAHEwKXiQ6LzSaPyrQbuJk+BV/fsLLCQ4KzAFNEk8WFRLHSLwcfv1x
I4YChPJGDM9h8XWjvxgOIElIjX//ZiKctMLwuY/fBXwyjHnDOyxwHnDVQD2uMcTDY/yCp2IMfcEt
z/nGRyWIGr5JKJIrBG59Iv/QrsjxUZGvYc1pqwih4rwPZQxFIYG/sKRPAtKMQCKWRBr+LNpimJDa
xPeEE78u50ygVSyzSLDIjon4CA8SAfp6rLI2rBiGKOSdpGvP8zCfyU1iJDHjYCm3A9uill/2gUL+
MhLMtpj9eMZcyxXAmwlBh2tF3MdDET2CUIJvoNgM6RffCzcCv0HaF49ZQrl/XERcxi+7hFjQJpFO
hknkg7tRFzhtSgRUuiQffG015uIL5iLkYB9C/v1B++Jo0TpBG7FVTIR4fILw8HQYG/MbmJAnRgMl
SIme9JcsljAKuQzi8MVvsf42CXbci3byTEi33CoPGwu/gxp840KEjwgiyUsQuDT9Q+0I5ZkS8+HK
6Tee96OIMhEVl/gHeA2vEHYI6jKEEX6LxOIwVd/A5Jj1NwlxIQpwDS5Cc8wRETs0+JceCFXdYASZ
aYI9/MkVjvBRSIeEo+glL49QWSDew5b/d21rdv4ZM2XPFpX8SdL/+16BT2u32h52qBuJU/aZunkQ
+KSjkrr2ey7HuGWVIr3EHWdlbYx9JG/Sa/nb3Iwfo230yK4h504nTc2m7ap5JpVhyVt6TPfKPhQc
LqNemAmSetTe4+BSVY0qxH83Rs162xvtlJa1DstWP+mN787L6uLRmul9QKVF0q+2qkLaCPt6FHX7
jau9dRoWR6qovTmnyoZ5MTiFU208n7BOSIk/42Od8nd02Osr2VRktI1q1iao5dfw6FE4gbwLvTPb
ZtXfDTb0mXNPJZmVN+YXd23WTc76sDfW2u9Y9HpCcWmKFZqvrl1vUW9ktKPy/KLGyYD6M36rFkkK
g8d8NyexQNf60UPfzIM5SVvGc3T0X8bTlvSFcZ3352enqpph3WuoLuloTWtPmsPH3MYHslxXNp4D
v9u8Js/OPnW/eKPvkEiSvso9mRDZ0dol5ETYVdJZ7mQokP04Pzo7jo9R1Gf32jPqzdi9ccemDKPa
mGR502hET27qMqhw0pW5TKvqxYPJoTmrjktGGzEoKkoZE1aqyiy+2L2j1iQgefzNke3q7XRYdM4r
sSrKP+hy6VCkZkbRdn2Me4DVjr1XOtl5a4u3Z861vDnnqMWsNYy9t9UxKUrP4Ue1h+zzCLbm0nlH
L/dEa8c1qRRbsxMf3+bl58nWqqbaJXeHiumcvan2RlWdjGzpkjzgbK2e29WLZnIdcY5Oszw6T6/n
bLxNSOJGuD+rK43vnR6VwdjQMuRIoWpIdcdh2/qYE+OZvoekl4WTl1Edrk5UXDE5c6PfCrZkatSn
1t7cQ0AbdkpZuaBW57w/80Qy8oVSQ6p1s6mS82qam158ubiHU4jgHN/q3lJbZpsJtc7+rnySaGa9
jFpcyTlUucuUJh/qsc4b+u1zsK+9tpgl1Gg1p/KxzenpejclgyGpV9Uyfljka5FvSFFoXU2XPqST
U3EpAuTemPmV3Yi7KYtxXrwMCnK6tZOq/B5e5B00/bPbJgnrwsJScmF8Gqx5B0Dl4uIVtS1qKpzj
g33MKgb1eDJOveZ8omaJiBi7wWPAKapXvUlud6PicoZoVqe+nFvJH4jsxmyOqkE1OOi9wW6psKt3
3oH0mWfFrHtt1qfnnETNTkFTN71LUbO6SBCKAshfLKndjiC1eSu1JicnacRv0i87PXWzKugk520Y
92hilF2U+kaenP8wGihuvDWLpUEi4zdRCpUlkbnhi9x9yFVpGfE5vNJ6uTab3t6P2+7WO6MELVXL
VnXSbe6L87DtXTUHr0DFvYd/1vLclYGuq6X9JLdsgopXSDeqmJzWYT7ym/Fx4XAHo5bvTU6GUjtS
PV8u2yvQ/Z+PmiTODlh5kr22t6ve1rxr8sxI22yRyzZr+A2ry/z3bBu1ISeHB+mrfdQfq60Zqwvc
5S8dP5y1ezA27tv0f8+akxLMS0YBfTAgJtkQ/CIOsdbxnWdO7Fp+Lk/WOdqMlyYfvUl9uwR76zgi
73A/mJHbxN5ZGHvH2JHGy4mWwV1tQVoe/AGoKJytJ56kAT68ndXdkBq9Lq8e6GvFHePG8LZ09Wrs
zavCx6iN7+nJvdPzvbfXp9F+EF59fxdffDYFU9fuPaz9kP46aqwpwWQs616d3ZXx8qxXlL8wusnr
ajaP/dXbmiTA/eeuj2R2ksn6cW81ikYY571J3SWsA6llfFn33ntzQmaf2ZCkmIftIDEOSMXyrc2r
Q4YtiUaURJKEREr/OduusQLFOQWC7C3jFX9+ztNq+DIQle2wlV+py6t6n74cSrE0TkbnoDYTShcb
t5vduJidvLVRlSaHk6hmVfWeGnFcb/We1DWDA3229ouDoYdPbFHdqlbpxc2eZKCOym7WW9WNy3Aj
uwjIy66ZEp+h5vLQ66rsYQwpjOycuANhxiuCb2VPfXKB9idKXjMKyPVktiBveDQUu3I3X/2aBoc1
NXGtt0ljlPm1qn4hmbKAy2BDvmBVmhuwx5NTTo6I6cduF40wpGDwiyzpnUo56Zqkv+ZFnSykIBBr
CAf9qMqStFkirVa+RAEOwTs6Rmd9txsjjnAmUY26yU6VzEq2KdEZcLKCjMYdHTdfeutV1MG47syX
i8Z259XBrf9xOKPa6m31K6jPj1FNzatWWmFkv5v+2qmGT+LbxcFdOzWna4Q3oz6tDn4o9UWS7y0+
6jbJUgfNtt64Y1GSUJ3tijrFVB6EuW6s6nD30O2E/L2GtdPtsIapqup4bd+thj1JqH1CDUzr7mAg
7bRJgURSqZOi7QlLmOgib1nOVs38kjrxQ0q/aAoJuVXvFkzCo1Uf+ezJJY1wh5zXjCf5wcihkb60
dcjf3tLZph/S0l8mBknvoyv6Rak275NTZdrvkYY8sbvkT1dI1Tq7Xs082X4VOOp6TV23SZUN6/p3
4bNeJAhfMdPkhpPTZy6NvYEcAV8TezgDCdVK11giXo7zd34kr2CT18h+PUZDOAiJ2ZwU75EWRyk3
ld9+N1bHRHtJw9/ro80OVEnKVT/L8EkEu6Q8tn30OuTM3shPNOok1y6dfIu+X/XHBTzSXX/vne2q
Za36FXah1Nl7wtvrg9X/6D0p1SB+sNIvhxzfKZtLYTkP5pT3u0Fx1DPQLHhiEM9qwQIiLSRkm0/n
Zft7vN6bW1CvzCg7sTs/OZcg3eqyoZ7ejDCEzaE6GP11zIHwulbEn2BtNjyXvc+8WUcxrbT7szKO
0c3Y9V1Sap/G24o58ag+bBh1V9IhP9bRu6l8G22sM5ws+SDZ/QgS5MwrZBZ37EP/PqyaKXRA15z3
kIU8atIILQ68OZA13KPmm5nbZ9I2O6BY2F8PdnFNb906yd7k3y+D8TM4VtV03e/pTkLV03Xfpgy4
/yHBcKubanqzN5TnA6Gpy2o/hr2L9Ziuom1+dSmqiSDvqVhtbaZtyv+f9H6tdov7z2HaIEf2NNyj
6hFp4KMb9uSnQtIym5upadDrb8zbdKc8jkCEO1hrg6OcqVigPtOD+fS9ek9Rd+HMRorxu2odJro5
bsAY1tZ1+3Oh1GneI6EznQw3/UmIIAUTu0Ew4hxWFPmi2yur2ySxtbvo2seUIwzGl3F7WB+ye2Gw
dthHuDmpzmibHIxKDWDHEHfNhnFMOPL0pnwKEwEAR3ZjVNR8EwNN88n4MNygK5yMHNZ/KXE7f+lq
TImFZZ3i6lTWIyt5XScj9+ZtomZ8SKttu0EqI2Aa151P2PbXcTPdICw7gPRg3oMmVR3zqsNF081w
2z/Y1FMawon1Y1gDRg/2PjdvC7ZSfzRHjJR0uXwazZpqUiFAinBzEI+/hj6RZHmxTxj0GPl3OpxP
4bXWVITUdYyNWz1ZIFa1YcPeqM10MXpCjZ7OlOP44uNwUh5HVCQIauAk1VnD1ux65iRzY5JX2Oev
OfkHzeZU3Hg6ibbFZHaIKPbauliTXtgqG9HLfzfVw2+Z++D+8zhrvUnrXZtaBpMfjkP00wnL/Bq2
htec4xKQoaYVbe2e/XSeOZYt7eFemOd8b9ym3btiMivDy4jTysnsHtf7++JMxdyNrmz0+W3vVuoY
vilnMWvP32YNP6ahG+7ZrDTNxg+Zw+x66KDGL5CsPp9QVYpjvjl6Qq1b1o2LA0o7OYersU57GK4L
x1//7KMLQF/cyaHfmqcqifY5TDmuRD322ZFjn1E93l5Z7CujToPP8RfRik0EZEFzvIA5CCD41fCa
trrq0i8nmvkVJ6jNPnEYV1g1L0HdpFS/ujv+HrNbTZAl2BUoSlWwrN6vJB+PwkoOFcVI+WWq7moX
ZNMqxGNlkUzrHPvHrNNf/jSmPeQhqkPx2RPx8Kvjht0BXbsrtdwYnF+OLVkZbI01O9jHo/V5GmsO
b7d20wpS+buJahxvP2gHK3kwJiQ467gCC1ub7WATTbJjgLnXd9zMfgdAzLb+e8gkmg+Qik1NeI7n
+cSF0Nvk2dtLlDg6zOoU1QAmoSDZPn1k9+FKP8MWVvtgbCNO5eB12MP4sI3YrfHYt+bUM+uMWkF9
eElJsQVvVFkZDehku7ji2O6sTR9lxFyc0pNqBeyEUVj2MTtdxh1rtnfrsmXPz9fOK69ZZz3vqoZW
a/C+STY/+16iXd1+mJfp4arsD5sbonrAZo+4jkvgbtA6NjWsjJ9LxBFVbFp4/5yGdbdjV92q1Vo8
nbcxp/oGKUwXcxcdjX56DijE1aTAHfYdttXgcAfrSZGDqtEZ3t1HeNM3KrVTpMys4N2y8+anMrhM
L9HerUH8Xsaua3S8VdTkWAoKzTHKT/QaVha7tENxj3zfNt93r/vT2LiVpBm/d/pBTYeLgdZvV0aL
2sYXp0UmflGZLu1q/74xHxyGdFW3TXYCBGfU9btQ+Y7CYPpB1T7Oa7DqdkcOkriaO/cSUECPM5TC
p3fHQNTw13dxT+fbBFnXKyAJiekaATYLyn6203vQYKcO58s4j+GLLd5myimMxBD2dnrEAtzeag4z
uVAXI+nW1FTePox6miI1tR1HMWLj7sa1Xzc+CyqUILZvq/l7DGsO26KCtjpAf7ZsdIgmUJeqVTW6
5LrxFq/qPFsmtqDtV5LTYl9XFLuYQETUHjNDYeZhj9yomx4zd9iermph11YY/BOV/tLOWe3YSrfV
1RvHaXm93964yWaN8JK22Rd1pkoLdW/U8+K+a0aj5lV/7kujelLt/pNk94Pah1tz69zE39ipW0xX
Bz2tXNmT9TP1rsYn5SAGp0p2P+9Td2ema7fg1IqDfwIFapTtNvfQ5Zc9aajqxu5ieag7e3A4dUZR
ZedAoaorBUg4WFstT7p31feX6m7Na7m8UIVDCTzjHBk19jXs+sUNTlgpLuAXnOikOdQEKvgw/Ddb
Nu7h4fcRXM0TG73udtpDe7ZmespW2Vn3C/yVlN1FMbs0MdO10VVPdurscQAmmCTadNaVNYzwGuF1
K76WTbQoO0t95VsoKy4QO0mAFc4bYI73bEBag3w3s8XGszvLcGeHkzeBFSHrVpPdX9XibnGygV7m
XUpeRofFK+HU9uXTWZcdmD1bL2adpntma8Ko1XQRduIOW+M9aFVVnRoj1mZiPcPTCXb2cdsfeBQ0
dD1Fd8c9d2mBVBaevE7CnVEQqAAUP/gW+6iJSwctXJrrdO3A492Odcm3IduYZCcWOxD9VkgYjigb
WkyZb7xUsIjsLVghYGcePUyHOpYvci2FW4ppT69YgY7FBiVqmqgJM8v+IMJaV5uwiM8Ld7klrv+u
NVwcB+ihyD1hD6i1NRacz6c5UVb25Xz0eKemR0iX6SE7d7enj8w6qrEyKNiugw3cYBJvGWpDredt
NqJxtLZ++BZGx62pH5YOv2TW6Vl7Z52I2wI7tGRn4Aqu/GS7AGwSo1K2/D2AWYctQceMNH9DRLeD
o8Zr3ZpuA4CrsetOyHxbLz1c3xh6aF0h5VsYJPfNmnqhf2fDlbezrwyvwZ5ytJSf91RmpeZArC/u
mb1YbPOBvBv50iGeVWUPzUkm6mpzGItOihcbyJZs1tnYV6YS3odKiVB1Xc5A4mh4dU52tIcLrmpO
D67Jpixz7ZlHm0FByVfEK67OKnnbxdpc2zX/MmtEHoTa5EBfXa7id0O1cNMvdte5gglH/bMPlzbu
7+qsMjgl1TWJyHUF65fu3Ziug2V/zRJckWPeRh+AnZaNZ9BK+DT4YHe8tY17xr6lhr3TXk9cLt7b
UsTGOOn5k5VayXZz8aqXwdv4qWlqwcpuvHCpX97Nf3kfbTdIkmiGq55uzVc+e0fZ7sdZyU7F6Fqt
YW1xtSg7536SGo+8ATpN1UmefTbHDXfUoo/f8U7o8BtH9GdSNe531d0Hq2ZZY/dQyi5ppoYyz8mR
WEvbw6oYW95RO4h3jBimHWeZcLYqWxJj6r6YAaSHJdyqplkbQZEaI18CZO57A1Vpo+4vcHOve4O3
QcHpH29eYzIPEYdbDlt6OX5SP6A33hMVW5GnSUFo744X+MYX5MRHD9OV7oYnyOneXds/OzbL/ywN
EHXHEREQc5k2xsacQUxkKSawi57upVekoLBKNs4J2EjwCV5Zil8ijh4BU5XyfvnnOGfTLFx6p/KH
u4oLcozDmEW4+Tgr4nltumyb7ZgVvCQ2KTpYE7/rnj30OLlHd8mqwWlVeFKEtvJ9GDbHBTqg8naf
eMeszxv1rVmVXWhEDcuP8zZ38V3ffI73VKfZAQ/ObRPoYpKsB1u5SYJ8KYgdw7cJXHFAIpNPHM2k
pBWhKZ6EkUOUsQ7e6OOxI42g/t2KhafZLasCYgQro8pm4ZMeV8xyY3DTBmDYWCGMSjCCpWgHJ2ti
NPaqkQzgYD8UIVepzoKfpcmpn8zFw6kDByv4IF+szZP1k9eZxTZiDqQQZzpOd0GV+1WMI71VHHOu
/YoV4+QDp3uzh8YJBDYs9IDpXpl4Mmzb594X8QMcVl4xmH49/cg+qquN7hRdtp/3VC47w1/sDqUl
on9mecRZO9vsXFYN9u0e7bXdBES3+uCvvQOvKthBzCQQFtAhdkbHhFxItmMVCekhnJTiUvHECDZJ
1KTlnkTv8pP7cDohhWaI5m3ZRc05rIO4mYDdquricNBRwiFMNLxdnwhJ41n6bXZjr9gJHhG802v/
ip1LyRq7o9Jb4vsP4LoAvDGBcde4GhSqIb3Yzic5C2g3Ihgr7xkohaWiiz16QEU+3tau5zX7TqLM
/3J3LrttLOkdfxUiq2RBD7t5B5IB1BfeSYmiKNneCC2xTbbY7Jb6QoocBMhrZJ1VFtnlDc6b5Eny
K1K0WU0dyTZrxgcHAxyMZblY/Oq7X/4fe8GQ4KX5REJYv3pGBdZI5/ZKFq3Ya+EuorXa8aeUlEpg
fFkbn4qfnzugcvDtSnxrHBEINCJCSsheW4kJmPIVnMKIadgep9YUeIm0F/dGm870giwOCUf4BfeQ
/8M0qF2yis1YN77oRtrjL83ZEGkc4qL1gubMDXpzhIavx+YsMmb5EQyJvHUJbIFfIEQynCqZYJ1+
+RmJlxIlmWb+gtTb8MmGpudsdyYh16+SfmlF1mCGrNwaQ1LImxbp7VnnoTnnyxeNDmALeHulTtpZ
3FDD+BT0BRUZLLdWmEACcjduA0MLJzbJ3ZCrIVRmrHuAR0VKXWPcX58aq+68QYKuMzUXo2d3484/
rVl3ZKb11rxoPZBe8cwHzDsfVvnIxpgNCQ7G6nmrxKj2H7sbGvpSznts4flh21iOjJeBYFmXnyNh
lptEO9HNYIqe0XD618JxNevmDXACVGh44YXpdnrodEjUYy8MvPgp4J3WFoGLeT/q1YiQpha2hv9h
4NbMKjNgOazYOj2BVJMaeDvgRGMWvHb5ssQb3jbqluP3be3z2movhWFrx9iKB1j4EpPefAZU+ZlH
jHkkbAVT4mQ+YH6PfQGoyPEnULZtAJGQRjEeyr9vMAnJ0DNJZHrfFnjWt6BsQFv0p9EK7efGY7s7
KngGCMQNIMXQHJ0EfBcmMpGSYb3lk6D3zf6a3Bu/0gbLr32L10i9qcZMMrexqD2WLn3MIyUDMnep
+NzOfcGctkZ+mzFX84szonjWKCIPVGUKTa3RZtnCfd16YqyYnet4a1gCEhmNYDAjezZrjx4HpBmL
jGYSsjPay6BeS2tck5qcI8hr8v91lOlTaBE3BWMiaJKoTUHfaeOxV7eoDCTGotQKG8FwSfHKfraf
HQSlBafea0ypUvUhhVg2uwWzi/tnrZtlaw1bJLggYfvBiJGCkuC8m8CIBrNOreVTvHg2l3bC7mpC
PqaadQMxq1E1Aa0Jg8boKqRdDthu0IIdfHMscqBBMw/Dkyj5opnUeqglzUfauW8Oys3qxUdn9NCs
tx/6ehPX8ELUmToLVtMaKKhPRID1kdaothc33ijfilvLRq35/Clors3uJjAriAt+xReqhFdfaih8
3KLZurP2GhWyiW03wa/ATWcfgjF4xoTgnnwmx8A3ryPA6y4r+ujkqkFar0HQYtx+FpEAr2DeEg10
66wBQjOnlt9a9qczY5Kn3PdADufJ7ixG1PbMeYOFC6ilJ0SefJJNxbFLNtkcR/3ZGClvpi32NDLS
jSNBsaQ5GzK9/cSb0tthDwPebNiKcPEYn4qNYdB86LMoaYwup0kJW4nNOAc0tDUhwjRuu0vbqaE/
KoOgjWfYKrL3gwQ/ZdSUFcQIXND8iGgalcESnRb1UUIUTVGf5vC5UWhNCgANgFeEzxG3SzfrZtT8
yPgvL7J0C1bIZUmKGE/M/AIf0g/blCzGfEPret36SH3B7K67AAHX6QktmKM8eei1vRpuGsNqb4oz
Q42OC09btxdaF+DK0fmsXcK5vSnQd6abq+6qU2N2mx1NeAcr/M0a2lPkDXHm+nmKdVVAUVgVYnQf
evGagfGC2RJljucGV2QPvL3gcYEEx1e6iI3rp+4DeCACOUGgLpU/LdjOyJcuwcVTZBy2WVMbi5ek
0qhZrEZ6gcaaW9jAJw2/hCfCKxpaSVN6VpeUVfuhdTEImlTwuizCGKzRxkALDVg1C1Kn0cdFCVs6
pU64kmXyVBjxl82RQBd6aK6o3dBj4I2e7NvBpmqXqsa8ZgT98ToxngEjKrfrjw2/U3tulPLmKrH1
c5K0QLR0n6wlABoiPCoZn2yt3qPYaokv9WCHUTNB7KPPCKm15KH8fqU5m5pINv9FrKnwtvzxukCe
VcdDIVPgEpIH11e94vMQTYkSWq3MiEoF0JKPBF5P1w8N/amvXUY+UVh4TQqpel7Su72k0p87aUhq
0SiHlGGuPeqh/hy9TmcpfpSVCM1aIXye2w+Vywp+pT0n2NLQ0yUzYCrdIiNFXTS4JFXMmDyPBd7n
x9kleRNKvO0C+A/5DuUlLkMqdRANNDcdMYS2biVzywepZBtSeOcPnVJsVpqlmwg/pJPe+Pbcqm31
STRMhovzCSW+Bs8x6wQd+n+qlOPnKDkYY5w06SIrELXfwsEFhJsZfloPqByVwOpaNG5WrTIZy054
lZiAQtFu5YEZc9sHgwDfHSAalrm3/RZqodeJb2Yddsx3vHO/Wep6jalZuBvgrfSvrzeNBx4HvUYK
x++scOW0RtCj1tmuUqX022B63D3TKPEEcA5IT3bQjhpwdguCG5Xh9LpCswDQKI/2UzfWTBRK7XIV
tmdo6KJzC+j9/bNdv9hgxp7aVJts+gsKGNXpxxUTwRQH4/NpYMR3eWusgfmxoiweNTyS0E0U2Viz
0/PFeXVlUDVMu7H9EDbI0PhTc+MuAKSh0m09NOm5OF91+e+odrlAs2zQeg/jZCwcGQwQAz+9aQOd
Ni71C61bIwD+o8Ni9QbQ3mi98Zz9HEadVKH9SCF6BUhTvueP04IRdGadUpddYUPSSmj3AlIaUJef
9RB3Q/uyiciRphS/EmLPB/whvy+qYxiP6Jr1ci2SzM3ajTcp9RbnTwL6Y2MbfksonWJDaGYBVDFH
6LwLzdZoTS2fszrnsi46Gcje4To/2/y0gFqpNMufInfGe7nRcEX5EZfs07q7+bykknu1IcdmPfU2
1yE2OxrWLwiXrRigCWHy8hdoCeqXzTHKszdcWBO6G/BUg24e61/pVskEreGBYCx6cDYYpQK/376l
Wpi2eBls3yVlVN0KBsBl5Cf51tRa3uMP5PF4RBRidB6tuDsT1p/eggpOwYSybiexRrdmvlUb3tp5
i6J86nbT7hiFjoOPwbUpqqcEG/nzEEPtk43Bm7OeCu/Md9eOp7tpRa0Bylel6Z5mVNGqetB4P9Xi
aF3yEqAENEajPy4bpLywHgE+xaNFRwuPQeDYLHYDMpJ+F6eK+OQJLVDHTNHg0qoPSsC8pGSqWemB
TSxfksAXfsSiQdDkNShNV0HMwxGmuoq4oUZFz2IdvvTNG98AU6JuET+CpjZp0SaHr/1275hWOR4u
kL9jplNzzTb7UgnEexC0RJSymKLfQAUaaHe3F1ENEyyajAo2hcubtM9uI18kdojLni5LYzEfsml5
hFsaEEuob1L3lPD46ZwClqiCkHJrCie2SbcsHXpN+nDpcAf1KCGLV4VmLikTRnprxsX6gcA9bWzM
fDPfIdVeu1hZMRooacajhYU7zzMLhbmgEwBxbQT9Vet2cItF793Q7IWrsqIxARA0FPaXmQ2QdEu/
nPWBlMlDzjpNbWPwYvjHSE97gUNSauiNUqNgUOck4VxBG6xJ3aBfRZ/WwiqbY4yzRYpnHbIPjSBm
cVe73JL/h/A2vwPg9u8AW/tyRctJHHu7qG6YutH60o1TP4n3YPXiby9CL0iuwp/7pbcPelmRRy+J
+2//dB+mQSJuMPVCadmpVoElJSDc7ZW2933rBN9hBWs64Wi9+KHOil6A7csAcILTgBz7YTB9+es8
ayI+lEHg3AN66vw9H3hAot8jwtvfb0fNt3/nrW/gftsgWAL77yQaFOt8RZrtNXYPamVWd9CxfUiD
ep0lsoDLs82jWqqBq88U7i+hgTNZsNHZi5PIu08OQVjZw1BmVuZ7qJA544ATCh9AQq/Wy+BUFmqg
8wMec0gFrVBkD0lR08Fp3e4P4+//WFTQwZzFTJ1GhfIHFl0IDOd6paix7uGYF+qVWr0qgMdLJbYl
7ATwHy8PmXf8Jg8lsfPtRCpo9Q9s2xRbNeF41EOJQROZF7QPNfDXqwLwmrVUhT+cROgVfcefYJxP
3fCrtj5WjRlCfhOIohCIeoENORWtjqdzpBq18gdNY5sPkzjbhaUQ6Y8lEKBgCb/sJIEoaqCas81d
B7m2znZABOyQE9CNRX6IXmQLi1AbO2X8XfLwHb/01dwCfOtPtobWc+PX7PHv/cLexBz//Yt5EVto
2ZZYLXyFlt7+qrC8u0/fiZb481/vQ8xOwA+2BvDgL/4VNjv4Y3jvOsE7vyMZ9fjol1+Ic3iXwx/Z
wv7tSfHqd9z/sOW59DPcz6ii8k/WL9964Cyw/mdfsCTOoSWpCg367ZsI3+PlKx/w0ZtHBgmflmSO
3emkk86NPemigF6gdE450U6j8NHdnyHYQGzXQohPOXQQRsksd7Zws4TVi2DRnXb2WYrld/wMHaos
jz/t3FGYvn5nDGAd+/b79HiNI786h8cSJzt9P/73LzfZ7o3eknPP44dSIkuiJGVHQvbG7/4iiTSd
wJlIjC5A6uUXSA+Dga/K/S2hbEauG/hOMNkfJUhYx2M89eC+++zdS4totyHJqceOHAKr3AWaK3Jz
XDvX955SF7uzv/GWBYTvdeonjQMvcSe5UeIkbrw/bnu6CCtOPd3kACT2VX2A3B6p2vTby3KZ73pa
cJS9uzvMzf624vJagV2+uPH7n70SRu7O/4UCvP3+pwrw4f1fLPbhj2wlVpLuKm8jGQpdBW+EceLk
LjOGsqzgZNvPjRx/6UzCaM8Agimqb7Hbd3JbM0VOFo4vaSgRbpwqKa0wmKSRI4mgpkLABxA4cqap
dGPtTdH7TlpcoKoX8rH1d0n8Gnf+Yywmmwu1bxuJftZiHt7/7ydwzizCAuy5aqvRiMNP5TFz/Ril
EoeVFXBu09k42I/Ie9zfcKeB32WFXWT6ltlu0wUtHaopsHjtOHJcXz5WAXG565N0qMB7PfXFOmE0
yZBAV0CCbrpyvGR/ve1zFRUc23PvnED2UXCg9x/zig3+TkVzvsjQoKLASAzJX0vmQRNpz1MfbOSk
Ey93Fjl3mShFJE9OPnwdZU7VFQjZiwco7pyzF1505AiqMPY3bpzkDCeY76kgmE4XWAWnEuWTu3Al
JaFXFAheMyRayLVcbzpLJI1Z0lncevqtr9LgLteORUgiHY/J17RqXcE3OLtLc/00dvZ33Snl7ekK
mOZvl/bIvry2rX/Piad1oyA3ynInW75JmLHNm02ABZFJFrnkt5/70LraL77rP8Y72KU+TnXH/3jx
9JmPTpa1hgJNfxbgW0cSb5Ftfvtt3zf32/yOfFdNgaYnfJl66WJ/v63mUSBgRhhD2G103nKjjTsN
l14gkUTUCk+lCZd3Mk7bcd4v/RY2f6dJNVJ/SuAsXbeo4LqWGyycSNLyKtRxO4IMcvamooDh7DgJ
M8JBGvzkN6NH6H4m07aqgLYN7yiF9b5GfV/qGk4Uuq/ZouN07Y/zWQMP/t7dk1SIXk2BRDe9O7JK
Gf+truDlmjQ6BLG7Przw+zHt+zRuuhE+rHysCjqQ1pSpW1cgFWYU0h4hqQatoODcVhqgcyQiaKJw
eqqKbN8fKQccDgXnMtUv31ZTQIWOG2UYTNOLp1+2g7vad9ayK0yR/vSTe06yzHBDSQF1e14yS7Ou
iXZcfvpxnTPyw6Uzz15ZAY17Hno9cQP83UxyRlSZT2XjXvrsLu7CNJruz9q67KV3neb31U8/9CfQ
RDq3rCAK6IeBk6l+lBWISF/odumyFQWvN3CTmRsdR1xVBf4wVc+VI+sKFaaZnVYZr0dTERpeUKNN
p46cA1NRDbsMsXKy4OkFBbpCSLSbPVhTwMCjrdaMvEAq4ekqoo7RYyaDq2sKJHm0dAjoosmhdOi6
ChKv3IlsPHQVCczRyks2O6mTr6xAoMdzkSSXnEtdhf14SYh1vWA6CeWw8bg55MfN0zXO1T18Z9KM
ItFEdDCeakTQyBgodxrJDK0iqhm5UTapWdVOvzFJMDcXfsF5kbJ4gDyryHTv2lH6zr07yUZ6AA+r
8Oe6YRwuJWrX61qJFsn3SPPrcl2ix+nPmOma0nQk+Q0KQqyzYIoR3r+l8Mjefdj3/THQduIV1dPD
YzUV52IkJSkSPaCnqhQjjdJg4u0PEiQQrdGnHmvOHMmKqdDcl+5jeud790Kf4OzlTBr5JdEsKVCx
20Nz/2xdmv+yp4KgiZJ2GZoSo1CuoJUU8IUZLsIojA+vW1bgM3zt7tl2UQa5Pfmlz1EQGbHx181d
u9FEsvVlBe6U9eARcSUSc1cU+JX2dP2YHJKhouCy9hPNJyEqzs81UxwfSX2ImYxTRdKOvCSSj1Vh
4e1k5oWPsmauKhDEKyS86SwyTklNQTjXdO5kIawpeL7mLKPx33cR3rckx4xA69vpnGD+9r+Jm5v8
33/8Z3sZepEkd5oKS9V1g7XEv690M6c/XNXoeXdZF0BT4bL33DhMZpIlwcU7nczcN0OFkgLL2qeB
durEtH3tb7hLJCnQEGQYwySR2UFJ2EJH3UrSwlpZAX1JJGUOVSDHfUzpfTbrpYS2Kfo3mz9hNHH/
ij/fQNMPN0JP0kK8P2vLESpKaAMPr1s6VYVq354qWwxNRQltpy4BaIpjJ5Vufdzn/+Pq5xKfXu5d
1wsKQpCX8YSjURVdRfFkJLIFciqQ4cY9aX6e5Uaid93J9dwwk6HRFFj+EXnG7BiIitbAUZrpttNV
2LqrUA5C2E+lgL6//VeYYzz8t//ediBcRL/9T3DvyeM8elEBrelU8rKjR0UFXH3lBABkyzLOAOvp
lBlPj6RQRb2KMHhOf0eu4cSSI6CrqP0wjeZl/FhdSSc8aQYG9iQjqAuYh1NDhc9Hfreuokbz2Vvc
OXcryUzpKro9dzr0WL5VFH8ML8pd4b5I9ZTy+w21vy4BuJ1G/BNmAF8dvSy/P0Xx615iO8X5J3yJ
L1OiXYAa5KS+AnN0RjXpzvEe5IPLp2u0s4g+YtkcKQgWaHme+s7EjWf7GwrPW0XDR3/tiFY76VgV
F56l2UdTYOwNUsiuZIWKCu5qYoTCifxmKkz9KPJyPXrVpQSFijwCQ0dy0l+F78Dk2DTXFf8ZnV0e
soOmIvho0+kbuBkHENSH/Qf9fITAyfLTaSpCg47zKKsGTcWMRHcdTdebrDoD8OF0MuwqlN0wk3gF
aOb0s3dezytnKxDpLmNf89kxSRTIdc+RaxWainoTNWAnPBKRsgIqU3OnRpjhZRXeO+mribeUx7K1
igJbx8HOOivTKkoUA/dRziVoVQUJzQsnooDvv9ajrNWUnD8/clVYMH26/F0A2uI9PlKrifeHbc1/
QQHXjWhPcR5RG9LJmgLuuJo5XrbvTNcVyPWV8+AdU1pXUaS+cjySbxIpVHgYVwT9wi3MqjldhUYa
b+7cV8ihouHz2nMThrMleqhQde2EZoDHF0E8PF0DA1MBh3TTwIlnxNO70TjpE8DaUhA/jB4ZcPTX
r+kScL5U+DV9bzKhpcl24uTw/rvx899PvKAhvgvvYjTz5iEu+iskAvesWlWRQtvaByfXpSDhUwOM
585aIDVMppKyAcCiUlRRBrvyaE/IU2STK0tVvV4vFlS8uYsvP0/3b/4Xy3PCNWGOlxvS2eJI6bx6
Ffg7FSUMK5xPwtxfyAzNif48GSihXgU3TsUcaddJvciT5q20AkOkVYFDdmqS78LJ+17+nlGmfByn
+/O2paPdZygo0dGBO33lZAW6pOc8JrOMN7K79rsuw6/LB30Frjk1J3T4FUSMBpTb4Y9sJcAwZ1F6
50ivt//Dz4eFZ9wMtJJtVcNwojtKMvtDt77T/g+nfMI09Xy5qU+F3yRuC+aM5Oqp6DAVfS6GMwNr
RTpaRVw7cJYOpdBXbImK8NN01swD7NXu/uHEK6rwccwM76loGLBCAGYziEQqvI79ua/3yKkI6UA4
ywKnqRgVaXDs/YxFreQw/TCV64sqauYtgEikxCBQAXtO+XkR7yAsmWfUVMBYvJCj70Siqpbtp1DR
Uyka+GNROpecR00FUsYFw61JKBC3JI9HL6goRye5rpck8VZtD9ylJ6sqFbHBDhOP9bxypkVXomIZ
AfImzmR7/avwzslU7FXMUYpYckcfE94M49f0oq5itn+U5K49pq5BEKQSvm2E3mmHozyEim4zg6Yl
L57xkdHUe1XZ6yrkYjx68xMUsDAbwpxMq6OuAjLOBNaN1ONeqW2dGBUBxsiRfS8wiPef8fOKcydk
dkrCI/FSWYhVNGDtzsdToj3fdxfr/Y0FVcpK+o4SJokiZqAOTy4W6iqymwjWTvNLZ2vVP3SBeQuP
e2o0QSPyt2ASFOj0W2vuL8KJfRUL+P2R0NdioDciI4WAvTss4T/hQ0RTwRpyXVNFHs2gppIBHlAx
EWhEzkZu1VHRjmeS6ZeSYyryYmboh9nxBhVZXPsed17GRhV7VL5J+NHGle/KTO6cYzGbkhl0UNFk
1XD8uShKvOY1VeunX76Z0k8hZRrIo51+7IgUKol4iTU0FcA6oiZGmkQyoFqtfPqNL9xITvWpmH0Z
R2n2sroKCbmme3kDMLb0cPr7I3M/aQZe+2fyLgbxG/e+60R//X8AAAD//w==</cx:binary>
              </cx:geoCache>
            </cx:geography>
          </cx:layoutPr>
          <cx:valueColors>
            <cx:maxColor>
              <a:srgbClr val="FF9966"/>
            </cx:maxColor>
          </cx:valueColors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33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197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197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197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197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197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1197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1197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62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1197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1197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33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197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197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197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197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197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1197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1197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62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1197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1197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2.emf"/></Relationships>
</file>

<file path=xl/drawings/_rels/drawing3.xml.rels><?xml version="1.0" encoding="UTF-8" standalone="yes"?>
<Relationships xmlns="http://schemas.openxmlformats.org/package/2006/relationships"><Relationship Id="rId8" Type="http://schemas.microsoft.com/office/2014/relationships/chartEx" Target="../charts/chartEx3.xml"/><Relationship Id="rId3" Type="http://schemas.openxmlformats.org/officeDocument/2006/relationships/chart" Target="../charts/chart2.xml"/><Relationship Id="rId7" Type="http://schemas.microsoft.com/office/2014/relationships/chartEx" Target="../charts/chartEx2.xml"/><Relationship Id="rId2" Type="http://schemas.openxmlformats.org/officeDocument/2006/relationships/chart" Target="../charts/chart1.xml"/><Relationship Id="rId1" Type="http://schemas.microsoft.com/office/2014/relationships/chartEx" Target="../charts/chartEx1.xml"/><Relationship Id="rId6" Type="http://schemas.openxmlformats.org/officeDocument/2006/relationships/image" Target="../media/image4.png"/><Relationship Id="rId5" Type="http://schemas.openxmlformats.org/officeDocument/2006/relationships/chart" Target="../charts/chart4.xml"/><Relationship Id="rId10" Type="http://schemas.openxmlformats.org/officeDocument/2006/relationships/chart" Target="../charts/chart5.xml"/><Relationship Id="rId4" Type="http://schemas.openxmlformats.org/officeDocument/2006/relationships/chart" Target="../charts/chart3.xml"/><Relationship Id="rId9" Type="http://schemas.microsoft.com/office/2014/relationships/chartEx" Target="../charts/chartEx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emf"/><Relationship Id="rId2" Type="http://schemas.openxmlformats.org/officeDocument/2006/relationships/image" Target="../media/image6.emf"/><Relationship Id="rId1" Type="http://schemas.openxmlformats.org/officeDocument/2006/relationships/image" Target="../media/image5.emf"/><Relationship Id="rId5" Type="http://schemas.openxmlformats.org/officeDocument/2006/relationships/image" Target="../media/image9.png"/><Relationship Id="rId4" Type="http://schemas.openxmlformats.org/officeDocument/2006/relationships/image" Target="../media/image8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jpeg"/><Relationship Id="rId3" Type="http://schemas.openxmlformats.org/officeDocument/2006/relationships/image" Target="../media/image14.jpeg"/><Relationship Id="rId7" Type="http://schemas.openxmlformats.org/officeDocument/2006/relationships/image" Target="../media/image18.jpeg"/><Relationship Id="rId2" Type="http://schemas.openxmlformats.org/officeDocument/2006/relationships/image" Target="../media/image13.jpe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jpeg"/><Relationship Id="rId4" Type="http://schemas.openxmlformats.org/officeDocument/2006/relationships/image" Target="../media/image15.jpe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jpeg"/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54390</xdr:colOff>
      <xdr:row>8</xdr:row>
      <xdr:rowOff>15875</xdr:rowOff>
    </xdr:from>
    <xdr:to>
      <xdr:col>2</xdr:col>
      <xdr:colOff>1750459</xdr:colOff>
      <xdr:row>16</xdr:row>
      <xdr:rowOff>141138</xdr:rowOff>
    </xdr:to>
    <xdr:pic>
      <xdr:nvPicPr>
        <xdr:cNvPr id="4" name="Obrázek 2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alphaModFix amt="7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496"/>
        <a:stretch/>
      </xdr:blipFill>
      <xdr:spPr>
        <a:xfrm>
          <a:off x="425865" y="1644650"/>
          <a:ext cx="2381869" cy="157306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371475</xdr:colOff>
      <xdr:row>20</xdr:row>
      <xdr:rowOff>19050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E80C522C-1EC1-4A4E-82BF-4410501342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563475" cy="3638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171450</xdr:colOff>
      <xdr:row>9</xdr:row>
      <xdr:rowOff>174625</xdr:rowOff>
    </xdr:from>
    <xdr:to>
      <xdr:col>16</xdr:col>
      <xdr:colOff>228600</xdr:colOff>
      <xdr:row>46</xdr:row>
      <xdr:rowOff>165100</xdr:rowOff>
    </xdr:to>
    <xdr:pic>
      <xdr:nvPicPr>
        <xdr:cNvPr id="7" name="Obrázek 6">
          <a:extLst>
            <a:ext uri="{FF2B5EF4-FFF2-40B4-BE49-F238E27FC236}">
              <a16:creationId xmlns:a16="http://schemas.microsoft.com/office/drawing/2014/main" id="{3EDC342A-6A93-4E75-8911-F744BA199B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1774825"/>
          <a:ext cx="10623550" cy="656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2801</xdr:colOff>
      <xdr:row>7</xdr:row>
      <xdr:rowOff>12885</xdr:rowOff>
    </xdr:from>
    <xdr:to>
      <xdr:col>5</xdr:col>
      <xdr:colOff>554801</xdr:colOff>
      <xdr:row>27</xdr:row>
      <xdr:rowOff>27002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Graf 2">
              <a:extLst>
                <a:ext uri="{FF2B5EF4-FFF2-40B4-BE49-F238E27FC236}">
                  <a16:creationId xmlns:a16="http://schemas.microsoft.com/office/drawing/2014/main" id="{00000000-0008-0000-01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1001" y="2889435"/>
              <a:ext cx="3552375" cy="365266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graf není ve vaší verzi aplikace Excel dostupný.
Pokud upravíte tento obrazec nebo tento sešit uložíte v jiném formátu souboru, pak se graf trvale poruší.</a:t>
              </a:r>
            </a:p>
          </xdr:txBody>
        </xdr:sp>
      </mc:Fallback>
    </mc:AlternateContent>
    <xdr:clientData/>
  </xdr:twoCellAnchor>
  <xdr:twoCellAnchor>
    <xdr:from>
      <xdr:col>5</xdr:col>
      <xdr:colOff>539001</xdr:colOff>
      <xdr:row>7</xdr:row>
      <xdr:rowOff>19049</xdr:rowOff>
    </xdr:from>
    <xdr:to>
      <xdr:col>15</xdr:col>
      <xdr:colOff>721178</xdr:colOff>
      <xdr:row>27</xdr:row>
      <xdr:rowOff>33166</xdr:rowOff>
    </xdr:to>
    <xdr:graphicFrame macro="">
      <xdr:nvGraphicFramePr>
        <xdr:cNvPr id="4" name="Graf 1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33618</xdr:colOff>
      <xdr:row>30</xdr:row>
      <xdr:rowOff>204106</xdr:rowOff>
    </xdr:from>
    <xdr:to>
      <xdr:col>12</xdr:col>
      <xdr:colOff>201706</xdr:colOff>
      <xdr:row>45</xdr:row>
      <xdr:rowOff>48534</xdr:rowOff>
    </xdr:to>
    <xdr:grpSp>
      <xdr:nvGrpSpPr>
        <xdr:cNvPr id="84" name="Skupina 83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GrpSpPr/>
      </xdr:nvGrpSpPr>
      <xdr:grpSpPr>
        <a:xfrm>
          <a:off x="4415118" y="7647213"/>
          <a:ext cx="4658445" cy="3600000"/>
          <a:chOff x="3597088" y="5995147"/>
          <a:chExt cx="6863264" cy="5565579"/>
        </a:xfrm>
      </xdr:grpSpPr>
      <xdr:sp macro="" textlink="">
        <xdr:nvSpPr>
          <xdr:cNvPr id="72" name="TextovéPole 4">
            <a:extLst>
              <a:ext uri="{FF2B5EF4-FFF2-40B4-BE49-F238E27FC236}">
                <a16:creationId xmlns:a16="http://schemas.microsoft.com/office/drawing/2014/main" id="{00000000-0008-0000-0100-000048000000}"/>
              </a:ext>
            </a:extLst>
          </xdr:cNvPr>
          <xdr:cNvSpPr txBox="1"/>
        </xdr:nvSpPr>
        <xdr:spPr>
          <a:xfrm>
            <a:off x="3597090" y="10063965"/>
            <a:ext cx="5747656" cy="56290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cs-CZ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cs-CZ" sz="1800" b="1">
                <a:solidFill>
                  <a:schemeClr val="bg2">
                    <a:lumMod val="25000"/>
                  </a:schemeClr>
                </a:solidFill>
                <a:latin typeface="Technika" panose="00000500000000000000" pitchFamily="2" charset="0"/>
              </a:rPr>
              <a:t>TECHNICKÝ ÚSEK</a:t>
            </a:r>
          </a:p>
        </xdr:txBody>
      </xdr:sp>
      <xdr:sp macro="" textlink="">
        <xdr:nvSpPr>
          <xdr:cNvPr id="73" name="TextovéPole 5">
            <a:extLst>
              <a:ext uri="{FF2B5EF4-FFF2-40B4-BE49-F238E27FC236}">
                <a16:creationId xmlns:a16="http://schemas.microsoft.com/office/drawing/2014/main" id="{00000000-0008-0000-0100-000049000000}"/>
              </a:ext>
            </a:extLst>
          </xdr:cNvPr>
          <xdr:cNvSpPr txBox="1"/>
        </xdr:nvSpPr>
        <xdr:spPr>
          <a:xfrm>
            <a:off x="3597088" y="8603133"/>
            <a:ext cx="5747656" cy="56290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cs-CZ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cs-CZ" sz="1800" b="1">
                <a:solidFill>
                  <a:schemeClr val="bg2">
                    <a:lumMod val="25000"/>
                  </a:schemeClr>
                </a:solidFill>
                <a:latin typeface="Technika" panose="00000500000000000000" pitchFamily="2" charset="0"/>
              </a:rPr>
              <a:t>OBCHODNÍ ÚSEK</a:t>
            </a:r>
          </a:p>
        </xdr:txBody>
      </xdr:sp>
      <xdr:sp macro="" textlink="">
        <xdr:nvSpPr>
          <xdr:cNvPr id="74" name="TextovéPole 6">
            <a:extLst>
              <a:ext uri="{FF2B5EF4-FFF2-40B4-BE49-F238E27FC236}">
                <a16:creationId xmlns:a16="http://schemas.microsoft.com/office/drawing/2014/main" id="{00000000-0008-0000-0100-00004A000000}"/>
              </a:ext>
            </a:extLst>
          </xdr:cNvPr>
          <xdr:cNvSpPr txBox="1"/>
        </xdr:nvSpPr>
        <xdr:spPr>
          <a:xfrm>
            <a:off x="3597088" y="7283144"/>
            <a:ext cx="5747656" cy="56290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cs-CZ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cs-CZ" sz="1800" b="1">
                <a:solidFill>
                  <a:schemeClr val="bg2">
                    <a:lumMod val="25000"/>
                  </a:schemeClr>
                </a:solidFill>
                <a:latin typeface="Technika" panose="00000500000000000000" pitchFamily="2" charset="0"/>
              </a:rPr>
              <a:t>EKONOMICKÝ ÚSEK</a:t>
            </a:r>
          </a:p>
        </xdr:txBody>
      </xdr:sp>
      <xdr:sp macro="" textlink="">
        <xdr:nvSpPr>
          <xdr:cNvPr id="75" name="TextovéPole 7">
            <a:extLst>
              <a:ext uri="{FF2B5EF4-FFF2-40B4-BE49-F238E27FC236}">
                <a16:creationId xmlns:a16="http://schemas.microsoft.com/office/drawing/2014/main" id="{00000000-0008-0000-0100-00004B000000}"/>
              </a:ext>
            </a:extLst>
          </xdr:cNvPr>
          <xdr:cNvSpPr txBox="1"/>
        </xdr:nvSpPr>
        <xdr:spPr>
          <a:xfrm>
            <a:off x="3597093" y="6066080"/>
            <a:ext cx="4688117" cy="56290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cs-CZ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cs-CZ" sz="1800" b="1">
                <a:solidFill>
                  <a:schemeClr val="bg2">
                    <a:lumMod val="25000"/>
                  </a:schemeClr>
                </a:solidFill>
                <a:latin typeface="Technika" panose="00000500000000000000" pitchFamily="2" charset="0"/>
              </a:rPr>
              <a:t>STATUTÁRNÍ ORGÁN</a:t>
            </a:r>
          </a:p>
        </xdr:txBody>
      </xdr:sp>
      <xdr:sp macro="" textlink="">
        <xdr:nvSpPr>
          <xdr:cNvPr id="76" name="TextovéPole 14">
            <a:extLst>
              <a:ext uri="{FF2B5EF4-FFF2-40B4-BE49-F238E27FC236}">
                <a16:creationId xmlns:a16="http://schemas.microsoft.com/office/drawing/2014/main" id="{00000000-0008-0000-0100-00004C000000}"/>
              </a:ext>
            </a:extLst>
          </xdr:cNvPr>
          <xdr:cNvSpPr txBox="1"/>
        </xdr:nvSpPr>
        <xdr:spPr>
          <a:xfrm>
            <a:off x="3597090" y="7763375"/>
            <a:ext cx="4783318" cy="70370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cs-CZ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cs-CZ" sz="1200" b="1">
                <a:solidFill>
                  <a:schemeClr val="bg2">
                    <a:lumMod val="25000"/>
                  </a:schemeClr>
                </a:solidFill>
                <a:latin typeface="Technika Book" panose="00000400000000000000" pitchFamily="2" charset="0"/>
              </a:rPr>
              <a:t>Finanční manažer, FP&amp;A pracovník, účetní, kontrolor.</a:t>
            </a:r>
          </a:p>
        </xdr:txBody>
      </xdr:sp>
      <xdr:sp macro="" textlink="">
        <xdr:nvSpPr>
          <xdr:cNvPr id="77" name="TextovéPole 15">
            <a:extLst>
              <a:ext uri="{FF2B5EF4-FFF2-40B4-BE49-F238E27FC236}">
                <a16:creationId xmlns:a16="http://schemas.microsoft.com/office/drawing/2014/main" id="{00000000-0008-0000-0100-00004D000000}"/>
              </a:ext>
            </a:extLst>
          </xdr:cNvPr>
          <xdr:cNvSpPr txBox="1"/>
        </xdr:nvSpPr>
        <xdr:spPr>
          <a:xfrm>
            <a:off x="3597090" y="9097816"/>
            <a:ext cx="4783320" cy="98521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cs-CZ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cs-CZ" sz="1200" b="1">
                <a:solidFill>
                  <a:schemeClr val="bg2">
                    <a:lumMod val="25000"/>
                  </a:schemeClr>
                </a:solidFill>
                <a:latin typeface="Technika Book" panose="00000400000000000000" pitchFamily="2" charset="0"/>
              </a:rPr>
              <a:t>Manažer obchodního úseku, obchodnici, strategický nákupčí, nákupčí,  manažer marketingu. </a:t>
            </a:r>
          </a:p>
        </xdr:txBody>
      </xdr:sp>
      <xdr:sp macro="" textlink="">
        <xdr:nvSpPr>
          <xdr:cNvPr id="78" name="TextovéPole 16">
            <a:extLst>
              <a:ext uri="{FF2B5EF4-FFF2-40B4-BE49-F238E27FC236}">
                <a16:creationId xmlns:a16="http://schemas.microsoft.com/office/drawing/2014/main" id="{00000000-0008-0000-0100-00004E000000}"/>
              </a:ext>
            </a:extLst>
          </xdr:cNvPr>
          <xdr:cNvSpPr txBox="1"/>
        </xdr:nvSpPr>
        <xdr:spPr>
          <a:xfrm>
            <a:off x="3597088" y="10575515"/>
            <a:ext cx="4783320" cy="98521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cs-CZ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cs-CZ" sz="1200" b="1">
                <a:solidFill>
                  <a:schemeClr val="bg2">
                    <a:lumMod val="25000"/>
                  </a:schemeClr>
                </a:solidFill>
                <a:latin typeface="Technika Book" panose="00000400000000000000" pitchFamily="2" charset="0"/>
              </a:rPr>
              <a:t>Manažer výroby, logistické manažeři, konstruktéři, dělníci, montážní tým a další.</a:t>
            </a:r>
          </a:p>
        </xdr:txBody>
      </xdr:sp>
      <xdr:sp macro="" textlink="">
        <xdr:nvSpPr>
          <xdr:cNvPr id="79" name="TextovéPole 17">
            <a:extLst>
              <a:ext uri="{FF2B5EF4-FFF2-40B4-BE49-F238E27FC236}">
                <a16:creationId xmlns:a16="http://schemas.microsoft.com/office/drawing/2014/main" id="{00000000-0008-0000-0100-00004F000000}"/>
              </a:ext>
            </a:extLst>
          </xdr:cNvPr>
          <xdr:cNvSpPr txBox="1"/>
        </xdr:nvSpPr>
        <xdr:spPr>
          <a:xfrm>
            <a:off x="3597088" y="6516203"/>
            <a:ext cx="4783320" cy="422206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cs-CZ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cs-CZ" sz="1200" b="1">
                <a:solidFill>
                  <a:schemeClr val="bg2">
                    <a:lumMod val="25000"/>
                  </a:schemeClr>
                </a:solidFill>
                <a:latin typeface="Technika Book" panose="00000400000000000000" pitchFamily="2" charset="0"/>
              </a:rPr>
              <a:t>3 jednatele</a:t>
            </a:r>
          </a:p>
        </xdr:txBody>
      </xdr:sp>
      <xdr:sp macro="" textlink="">
        <xdr:nvSpPr>
          <xdr:cNvPr id="80" name="Obdélník 79">
            <a:extLst>
              <a:ext uri="{FF2B5EF4-FFF2-40B4-BE49-F238E27FC236}">
                <a16:creationId xmlns:a16="http://schemas.microsoft.com/office/drawing/2014/main" id="{00000000-0008-0000-0100-000050000000}"/>
              </a:ext>
            </a:extLst>
          </xdr:cNvPr>
          <xdr:cNvSpPr/>
        </xdr:nvSpPr>
        <xdr:spPr>
          <a:xfrm>
            <a:off x="8285206" y="5995147"/>
            <a:ext cx="1516113" cy="1078913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cs-CZ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cs-CZ" sz="4000" b="1">
                <a:solidFill>
                  <a:schemeClr val="bg2">
                    <a:lumMod val="25000"/>
                  </a:schemeClr>
                </a:solidFill>
                <a:latin typeface="Technika" panose="00000500000000000000" pitchFamily="2" charset="0"/>
              </a:rPr>
              <a:t>3</a:t>
            </a:r>
            <a:r>
              <a:rPr lang="ru-RU" sz="4000" b="1">
                <a:solidFill>
                  <a:schemeClr val="bg2">
                    <a:lumMod val="25000"/>
                  </a:schemeClr>
                </a:solidFill>
                <a:latin typeface="Technika" panose="00000500000000000000" pitchFamily="2" charset="0"/>
              </a:rPr>
              <a:t>%</a:t>
            </a:r>
            <a:endParaRPr lang="cs-CZ" sz="4000">
              <a:solidFill>
                <a:schemeClr val="bg2">
                  <a:lumMod val="25000"/>
                </a:schemeClr>
              </a:solidFill>
            </a:endParaRPr>
          </a:p>
        </xdr:txBody>
      </xdr:sp>
      <xdr:sp macro="" textlink="">
        <xdr:nvSpPr>
          <xdr:cNvPr id="81" name="Obdélník 80">
            <a:extLst>
              <a:ext uri="{FF2B5EF4-FFF2-40B4-BE49-F238E27FC236}">
                <a16:creationId xmlns:a16="http://schemas.microsoft.com/office/drawing/2014/main" id="{00000000-0008-0000-0100-000051000000}"/>
              </a:ext>
            </a:extLst>
          </xdr:cNvPr>
          <xdr:cNvSpPr/>
        </xdr:nvSpPr>
        <xdr:spPr>
          <a:xfrm>
            <a:off x="8285208" y="7363266"/>
            <a:ext cx="1516113" cy="1078913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cs-CZ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ru-RU" sz="4000" b="1">
                <a:solidFill>
                  <a:schemeClr val="bg2">
                    <a:lumMod val="25000"/>
                  </a:schemeClr>
                </a:solidFill>
                <a:latin typeface="Technika" panose="00000500000000000000" pitchFamily="2" charset="0"/>
              </a:rPr>
              <a:t>7%</a:t>
            </a:r>
            <a:endParaRPr lang="cs-CZ" sz="4000">
              <a:solidFill>
                <a:schemeClr val="bg2">
                  <a:lumMod val="25000"/>
                </a:schemeClr>
              </a:solidFill>
            </a:endParaRPr>
          </a:p>
        </xdr:txBody>
      </xdr:sp>
      <xdr:sp macro="" textlink="">
        <xdr:nvSpPr>
          <xdr:cNvPr id="82" name="Obdélník 81">
            <a:extLst>
              <a:ext uri="{FF2B5EF4-FFF2-40B4-BE49-F238E27FC236}">
                <a16:creationId xmlns:a16="http://schemas.microsoft.com/office/drawing/2014/main" id="{00000000-0008-0000-0100-000052000000}"/>
              </a:ext>
            </a:extLst>
          </xdr:cNvPr>
          <xdr:cNvSpPr/>
        </xdr:nvSpPr>
        <xdr:spPr>
          <a:xfrm>
            <a:off x="8285208" y="8707508"/>
            <a:ext cx="2175144" cy="1078913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cs-CZ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ru-RU" sz="4000" b="1">
                <a:solidFill>
                  <a:schemeClr val="bg2">
                    <a:lumMod val="25000"/>
                  </a:schemeClr>
                </a:solidFill>
                <a:latin typeface="Technika" panose="00000500000000000000" pitchFamily="2" charset="0"/>
              </a:rPr>
              <a:t>12%</a:t>
            </a:r>
            <a:endParaRPr lang="cs-CZ" sz="4000">
              <a:solidFill>
                <a:schemeClr val="bg2">
                  <a:lumMod val="25000"/>
                </a:schemeClr>
              </a:solidFill>
            </a:endParaRPr>
          </a:p>
        </xdr:txBody>
      </xdr:sp>
      <xdr:sp macro="" textlink="">
        <xdr:nvSpPr>
          <xdr:cNvPr id="83" name="Obdélník 82">
            <a:extLst>
              <a:ext uri="{FF2B5EF4-FFF2-40B4-BE49-F238E27FC236}">
                <a16:creationId xmlns:a16="http://schemas.microsoft.com/office/drawing/2014/main" id="{00000000-0008-0000-0100-000053000000}"/>
              </a:ext>
            </a:extLst>
          </xdr:cNvPr>
          <xdr:cNvSpPr/>
        </xdr:nvSpPr>
        <xdr:spPr>
          <a:xfrm>
            <a:off x="8285208" y="10144575"/>
            <a:ext cx="2023004" cy="1078913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cs-CZ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ru-RU" sz="4000" b="1">
                <a:solidFill>
                  <a:schemeClr val="bg2">
                    <a:lumMod val="25000"/>
                  </a:schemeClr>
                </a:solidFill>
                <a:latin typeface="Technika" panose="00000500000000000000" pitchFamily="2" charset="0"/>
              </a:rPr>
              <a:t>78%</a:t>
            </a:r>
            <a:endParaRPr lang="cs-CZ" sz="4000">
              <a:solidFill>
                <a:schemeClr val="bg2">
                  <a:lumMod val="25000"/>
                </a:schemeClr>
              </a:solidFill>
            </a:endParaRPr>
          </a:p>
        </xdr:txBody>
      </xdr:sp>
    </xdr:grpSp>
    <xdr:clientData/>
  </xdr:twoCellAnchor>
  <xdr:twoCellAnchor>
    <xdr:from>
      <xdr:col>0</xdr:col>
      <xdr:colOff>750795</xdr:colOff>
      <xdr:row>31</xdr:row>
      <xdr:rowOff>11203</xdr:rowOff>
    </xdr:from>
    <xdr:to>
      <xdr:col>5</xdr:col>
      <xdr:colOff>540795</xdr:colOff>
      <xdr:row>45</xdr:row>
      <xdr:rowOff>73345</xdr:rowOff>
    </xdr:to>
    <xdr:graphicFrame macro="">
      <xdr:nvGraphicFramePr>
        <xdr:cNvPr id="88" name="Graf 87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501863</xdr:colOff>
      <xdr:row>34</xdr:row>
      <xdr:rowOff>199303</xdr:rowOff>
    </xdr:from>
    <xdr:to>
      <xdr:col>2</xdr:col>
      <xdr:colOff>609863</xdr:colOff>
      <xdr:row>35</xdr:row>
      <xdr:rowOff>48768</xdr:rowOff>
    </xdr:to>
    <xdr:sp macro="" textlink="">
      <xdr:nvSpPr>
        <xdr:cNvPr id="10" name="Ovál 17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>
        <a:xfrm>
          <a:off x="2025863" y="8077839"/>
          <a:ext cx="108000" cy="108000"/>
        </a:xfrm>
        <a:prstGeom prst="ellipse">
          <a:avLst/>
        </a:prstGeom>
        <a:solidFill>
          <a:schemeClr val="bg2">
            <a:lumMod val="25000"/>
          </a:schemeClr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cs-CZ">
            <a:ln>
              <a:solidFill>
                <a:schemeClr val="bg2">
                  <a:lumMod val="25000"/>
                </a:schemeClr>
              </a:solidFill>
            </a:ln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2</xdr:col>
      <xdr:colOff>346900</xdr:colOff>
      <xdr:row>36</xdr:row>
      <xdr:rowOff>186818</xdr:rowOff>
    </xdr:from>
    <xdr:to>
      <xdr:col>2</xdr:col>
      <xdr:colOff>454900</xdr:colOff>
      <xdr:row>37</xdr:row>
      <xdr:rowOff>36282</xdr:rowOff>
    </xdr:to>
    <xdr:sp macro="" textlink="">
      <xdr:nvSpPr>
        <xdr:cNvPr id="12" name="Ovál 18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>
          <a:off x="1870900" y="8582425"/>
          <a:ext cx="108000" cy="108000"/>
        </a:xfrm>
        <a:prstGeom prst="ellipse">
          <a:avLst/>
        </a:prstGeom>
        <a:solidFill>
          <a:schemeClr val="bg2">
            <a:lumMod val="25000"/>
          </a:schemeClr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cs-CZ">
            <a:ln>
              <a:solidFill>
                <a:schemeClr val="bg2">
                  <a:lumMod val="25000"/>
                </a:schemeClr>
              </a:solidFill>
            </a:ln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3</xdr:col>
      <xdr:colOff>237564</xdr:colOff>
      <xdr:row>41</xdr:row>
      <xdr:rowOff>58270</xdr:rowOff>
    </xdr:from>
    <xdr:to>
      <xdr:col>3</xdr:col>
      <xdr:colOff>345564</xdr:colOff>
      <xdr:row>41</xdr:row>
      <xdr:rowOff>166270</xdr:rowOff>
    </xdr:to>
    <xdr:sp macro="" textlink="">
      <xdr:nvSpPr>
        <xdr:cNvPr id="8" name="Ovál 19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2523564" y="9746556"/>
          <a:ext cx="108000" cy="108000"/>
        </a:xfrm>
        <a:prstGeom prst="ellipse">
          <a:avLst/>
        </a:prstGeom>
        <a:solidFill>
          <a:schemeClr val="bg2">
            <a:lumMod val="25000"/>
          </a:schemeClr>
        </a:solidFill>
        <a:ln>
          <a:solidFill>
            <a:schemeClr val="bg2">
              <a:lumMod val="2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endParaRPr lang="cs-CZ">
            <a:ln>
              <a:solidFill>
                <a:schemeClr val="bg2">
                  <a:lumMod val="25000"/>
                </a:schemeClr>
              </a:solidFill>
            </a:ln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12</xdr:col>
      <xdr:colOff>1455963</xdr:colOff>
      <xdr:row>31</xdr:row>
      <xdr:rowOff>163285</xdr:rowOff>
    </xdr:from>
    <xdr:to>
      <xdr:col>15</xdr:col>
      <xdr:colOff>747031</xdr:colOff>
      <xdr:row>46</xdr:row>
      <xdr:rowOff>122465</xdr:rowOff>
    </xdr:to>
    <xdr:graphicFrame macro="">
      <xdr:nvGraphicFramePr>
        <xdr:cNvPr id="21" name="Graf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27214</xdr:colOff>
      <xdr:row>51</xdr:row>
      <xdr:rowOff>27214</xdr:rowOff>
    </xdr:from>
    <xdr:to>
      <xdr:col>15</xdr:col>
      <xdr:colOff>651106</xdr:colOff>
      <xdr:row>71</xdr:row>
      <xdr:rowOff>89357</xdr:rowOff>
    </xdr:to>
    <xdr:graphicFrame macro="">
      <xdr:nvGraphicFramePr>
        <xdr:cNvPr id="7" name="Graf 22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7</xdr:col>
      <xdr:colOff>709115</xdr:colOff>
      <xdr:row>0</xdr:row>
      <xdr:rowOff>358320</xdr:rowOff>
    </xdr:from>
    <xdr:to>
      <xdr:col>11</xdr:col>
      <xdr:colOff>135924</xdr:colOff>
      <xdr:row>5</xdr:row>
      <xdr:rowOff>68036</xdr:rowOff>
    </xdr:to>
    <xdr:pic>
      <xdr:nvPicPr>
        <xdr:cNvPr id="5" name="Obrázek 27" descr="Obsah obrázku světlo&#10;&#10;Popis byl vytvořen automaticky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9008" y="358320"/>
          <a:ext cx="2420380" cy="1791609"/>
        </a:xfrm>
        <a:prstGeom prst="rect">
          <a:avLst/>
        </a:prstGeom>
      </xdr:spPr>
    </xdr:pic>
    <xdr:clientData/>
  </xdr:twoCellAnchor>
  <xdr:twoCellAnchor>
    <xdr:from>
      <xdr:col>5</xdr:col>
      <xdr:colOff>160376</xdr:colOff>
      <xdr:row>71</xdr:row>
      <xdr:rowOff>175192</xdr:rowOff>
    </xdr:from>
    <xdr:to>
      <xdr:col>12</xdr:col>
      <xdr:colOff>126358</xdr:colOff>
      <xdr:row>92</xdr:row>
      <xdr:rowOff>60442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4" name="Graf 23">
              <a:extLst>
                <a:ext uri="{FF2B5EF4-FFF2-40B4-BE49-F238E27FC236}">
                  <a16:creationId xmlns:a16="http://schemas.microsoft.com/office/drawing/2014/main" id="{D581C025-3D94-42E8-BA44-271B18E93A5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08476" y="16567717"/>
              <a:ext cx="5023757" cy="36857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graf není ve vaší verzi aplikace Excel dostupný.
Pokud upravíte tento obrazec nebo tento sešit uložíte v jiném formátu souboru, pak se graf trvale poruší.</a:t>
              </a:r>
            </a:p>
          </xdr:txBody>
        </xdr:sp>
      </mc:Fallback>
    </mc:AlternateContent>
    <xdr:clientData/>
  </xdr:twoCellAnchor>
  <xdr:twoCellAnchor>
    <xdr:from>
      <xdr:col>12</xdr:col>
      <xdr:colOff>140708</xdr:colOff>
      <xdr:row>71</xdr:row>
      <xdr:rowOff>175192</xdr:rowOff>
    </xdr:from>
    <xdr:to>
      <xdr:col>15</xdr:col>
      <xdr:colOff>325315</xdr:colOff>
      <xdr:row>92</xdr:row>
      <xdr:rowOff>60442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5" name="Graf 24">
              <a:extLst>
                <a:ext uri="{FF2B5EF4-FFF2-40B4-BE49-F238E27FC236}">
                  <a16:creationId xmlns:a16="http://schemas.microsoft.com/office/drawing/2014/main" id="{4E1972C9-6325-4ADC-B82D-ABAAC909776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46583" y="16567717"/>
              <a:ext cx="3604082" cy="36857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graf není ve vaší verzi aplikace Excel dostupný.
Pokud upravíte tento obrazec nebo tento sešit uložíte v jiném formátu souboru, pak se graf trvale poruší.</a:t>
              </a:r>
            </a:p>
          </xdr:txBody>
        </xdr:sp>
      </mc:Fallback>
    </mc:AlternateContent>
    <xdr:clientData/>
  </xdr:twoCellAnchor>
  <xdr:twoCellAnchor>
    <xdr:from>
      <xdr:col>0</xdr:col>
      <xdr:colOff>367394</xdr:colOff>
      <xdr:row>71</xdr:row>
      <xdr:rowOff>175192</xdr:rowOff>
    </xdr:from>
    <xdr:to>
      <xdr:col>5</xdr:col>
      <xdr:colOff>130180</xdr:colOff>
      <xdr:row>92</xdr:row>
      <xdr:rowOff>60442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6" name="Graf 25">
              <a:extLst>
                <a:ext uri="{FF2B5EF4-FFF2-40B4-BE49-F238E27FC236}">
                  <a16:creationId xmlns:a16="http://schemas.microsoft.com/office/drawing/2014/main" id="{3715323E-EEAD-45AA-BB24-5096969F39D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7394" y="16567717"/>
              <a:ext cx="3610886" cy="36857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graf není ve vaší verzi aplikace Excel dostupný.
Pokud upravíte tento obrazec nebo tento sešit uložíte v jiném formátu souboru, pak se graf trvale poruší.</a:t>
              </a:r>
            </a:p>
          </xdr:txBody>
        </xdr:sp>
      </mc:Fallback>
    </mc:AlternateContent>
    <xdr:clientData/>
  </xdr:twoCellAnchor>
  <xdr:twoCellAnchor>
    <xdr:from>
      <xdr:col>5</xdr:col>
      <xdr:colOff>435429</xdr:colOff>
      <xdr:row>95</xdr:row>
      <xdr:rowOff>27214</xdr:rowOff>
    </xdr:from>
    <xdr:to>
      <xdr:col>11</xdr:col>
      <xdr:colOff>721179</xdr:colOff>
      <xdr:row>110</xdr:row>
      <xdr:rowOff>117021</xdr:rowOff>
    </xdr:to>
    <xdr:graphicFrame macro="">
      <xdr:nvGraphicFramePr>
        <xdr:cNvPr id="27" name="Graf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0.53837</cdr:x>
      <cdr:y>0.72085</cdr:y>
    </cdr:from>
    <cdr:to>
      <cdr:x>1</cdr:x>
      <cdr:y>0.88923</cdr:y>
    </cdr:to>
    <cdr:cxnSp macro="">
      <cdr:nvCxnSpPr>
        <cdr:cNvPr id="9" name="Spojnice: zakřivená 8">
          <a:extLst xmlns:a="http://schemas.openxmlformats.org/drawingml/2006/main">
            <a:ext uri="{FF2B5EF4-FFF2-40B4-BE49-F238E27FC236}">
              <a16:creationId xmlns:a16="http://schemas.microsoft.com/office/drawing/2014/main" id="{893F8EEB-BC6F-4958-93E1-BC596878DC56}"/>
            </a:ext>
          </a:extLst>
        </cdr:cNvPr>
        <cdr:cNvCxnSpPr/>
      </cdr:nvCxnSpPr>
      <cdr:spPr>
        <a:xfrm xmlns:a="http://schemas.openxmlformats.org/drawingml/2006/main">
          <a:off x="2902851" y="3588679"/>
          <a:ext cx="2489074" cy="838263"/>
        </a:xfrm>
        <a:prstGeom xmlns:a="http://schemas.openxmlformats.org/drawingml/2006/main" prst="curvedConnector3">
          <a:avLst>
            <a:gd name="adj1" fmla="val 50000"/>
          </a:avLst>
        </a:prstGeom>
        <a:ln xmlns:a="http://schemas.openxmlformats.org/drawingml/2006/main" w="76200">
          <a:solidFill>
            <a:schemeClr val="bg2">
              <a:lumMod val="25000"/>
            </a:schemeClr>
          </a:solidFill>
          <a:prstDash val="dash"/>
        </a:ln>
      </cdr:spPr>
      <cdr:style>
        <a:lnRef xmlns:a="http://schemas.openxmlformats.org/drawingml/2006/main" idx="3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2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</cdr:x>
      <cdr:y>0.08236</cdr:y>
    </cdr:from>
    <cdr:to>
      <cdr:x>1</cdr:x>
      <cdr:y>0.14783</cdr:y>
    </cdr:to>
    <cdr:cxnSp macro="">
      <cdr:nvCxnSpPr>
        <cdr:cNvPr id="18" name="Spojnice: zakřivená 17">
          <a:extLst xmlns:a="http://schemas.openxmlformats.org/drawingml/2006/main">
            <a:ext uri="{FF2B5EF4-FFF2-40B4-BE49-F238E27FC236}">
              <a16:creationId xmlns:a16="http://schemas.microsoft.com/office/drawing/2014/main" id="{A7D158D1-E498-40C3-82A8-BDA1182E5608}"/>
            </a:ext>
          </a:extLst>
        </cdr:cNvPr>
        <cdr:cNvCxnSpPr/>
      </cdr:nvCxnSpPr>
      <cdr:spPr>
        <a:xfrm xmlns:a="http://schemas.openxmlformats.org/drawingml/2006/main" flipV="1">
          <a:off x="2695962" y="410031"/>
          <a:ext cx="2695963" cy="325943"/>
        </a:xfrm>
        <a:prstGeom xmlns:a="http://schemas.openxmlformats.org/drawingml/2006/main" prst="curvedConnector3">
          <a:avLst>
            <a:gd name="adj1" fmla="val 50000"/>
          </a:avLst>
        </a:prstGeom>
        <a:ln xmlns:a="http://schemas.openxmlformats.org/drawingml/2006/main" w="76200">
          <a:solidFill>
            <a:schemeClr val="bg2">
              <a:lumMod val="25000"/>
            </a:schemeClr>
          </a:solidFill>
          <a:prstDash val="dash"/>
        </a:ln>
      </cdr:spPr>
      <cdr:style>
        <a:lnRef xmlns:a="http://schemas.openxmlformats.org/drawingml/2006/main" idx="3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2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0.40109</cdr:x>
      <cdr:y>0.26603</cdr:y>
    </cdr:from>
    <cdr:to>
      <cdr:x>1</cdr:x>
      <cdr:y>0.36034</cdr:y>
    </cdr:to>
    <cdr:cxnSp macro="">
      <cdr:nvCxnSpPr>
        <cdr:cNvPr id="28" name="Spojnice: zakřivená 27">
          <a:extLst xmlns:a="http://schemas.openxmlformats.org/drawingml/2006/main">
            <a:ext uri="{FF2B5EF4-FFF2-40B4-BE49-F238E27FC236}">
              <a16:creationId xmlns:a16="http://schemas.microsoft.com/office/drawing/2014/main" id="{AEB95345-197B-4C92-9802-F79188A43FFD}"/>
            </a:ext>
          </a:extLst>
        </cdr:cNvPr>
        <cdr:cNvCxnSpPr/>
      </cdr:nvCxnSpPr>
      <cdr:spPr>
        <a:xfrm xmlns:a="http://schemas.openxmlformats.org/drawingml/2006/main">
          <a:off x="2162647" y="1324403"/>
          <a:ext cx="3229278" cy="469513"/>
        </a:xfrm>
        <a:prstGeom xmlns:a="http://schemas.openxmlformats.org/drawingml/2006/main" prst="curvedConnector3">
          <a:avLst>
            <a:gd name="adj1" fmla="val 50000"/>
          </a:avLst>
        </a:prstGeom>
        <a:ln xmlns:a="http://schemas.openxmlformats.org/drawingml/2006/main" w="76200">
          <a:solidFill>
            <a:schemeClr val="bg2">
              <a:lumMod val="25000"/>
            </a:schemeClr>
          </a:solidFill>
          <a:prstDash val="dash"/>
        </a:ln>
      </cdr:spPr>
      <cdr:style>
        <a:lnRef xmlns:a="http://schemas.openxmlformats.org/drawingml/2006/main" idx="3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2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0.37159</cdr:x>
      <cdr:y>0.39744</cdr:y>
    </cdr:from>
    <cdr:to>
      <cdr:x>1</cdr:x>
      <cdr:y>0.62803</cdr:y>
    </cdr:to>
    <cdr:cxnSp macro="">
      <cdr:nvCxnSpPr>
        <cdr:cNvPr id="35" name="Spojnice: zakřivená 34">
          <a:extLst xmlns:a="http://schemas.openxmlformats.org/drawingml/2006/main">
            <a:ext uri="{FF2B5EF4-FFF2-40B4-BE49-F238E27FC236}">
              <a16:creationId xmlns:a16="http://schemas.microsoft.com/office/drawing/2014/main" id="{0BA9F426-96E3-4628-9045-D4F1EF85F448}"/>
            </a:ext>
          </a:extLst>
        </cdr:cNvPr>
        <cdr:cNvCxnSpPr/>
      </cdr:nvCxnSpPr>
      <cdr:spPr>
        <a:xfrm xmlns:a="http://schemas.openxmlformats.org/drawingml/2006/main">
          <a:off x="2003585" y="1978615"/>
          <a:ext cx="3388340" cy="1147969"/>
        </a:xfrm>
        <a:prstGeom xmlns:a="http://schemas.openxmlformats.org/drawingml/2006/main" prst="curvedConnector3">
          <a:avLst>
            <a:gd name="adj1" fmla="val 50000"/>
          </a:avLst>
        </a:prstGeom>
        <a:ln xmlns:a="http://schemas.openxmlformats.org/drawingml/2006/main" w="76200">
          <a:solidFill>
            <a:schemeClr val="bg2">
              <a:lumMod val="25000"/>
            </a:schemeClr>
          </a:solidFill>
          <a:prstDash val="dash"/>
        </a:ln>
      </cdr:spPr>
      <cdr:style>
        <a:lnRef xmlns:a="http://schemas.openxmlformats.org/drawingml/2006/main" idx="3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2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0.45446</cdr:x>
      <cdr:y>0.13073</cdr:y>
    </cdr:from>
    <cdr:to>
      <cdr:x>0.48446</cdr:x>
      <cdr:y>0.16073</cdr:y>
    </cdr:to>
    <cdr:sp macro="" textlink="">
      <cdr:nvSpPr>
        <cdr:cNvPr id="2" name="Ovál 1">
          <a:extLst xmlns:a="http://schemas.openxmlformats.org/drawingml/2006/main">
            <a:ext uri="{FF2B5EF4-FFF2-40B4-BE49-F238E27FC236}">
              <a16:creationId xmlns:a16="http://schemas.microsoft.com/office/drawing/2014/main" id="{471D0266-5F22-42A7-835D-3122D97E7A46}"/>
            </a:ext>
          </a:extLst>
        </cdr:cNvPr>
        <cdr:cNvSpPr/>
      </cdr:nvSpPr>
      <cdr:spPr>
        <a:xfrm xmlns:a="http://schemas.openxmlformats.org/drawingml/2006/main">
          <a:off x="1636057" y="470646"/>
          <a:ext cx="108000" cy="108000"/>
        </a:xfrm>
        <a:prstGeom xmlns:a="http://schemas.openxmlformats.org/drawingml/2006/main" prst="ellipse">
          <a:avLst/>
        </a:prstGeom>
        <a:solidFill xmlns:a="http://schemas.openxmlformats.org/drawingml/2006/main">
          <a:schemeClr val="bg2">
            <a:lumMod val="25000"/>
          </a:schemeClr>
        </a:solidFill>
        <a:ln xmlns:a="http://schemas.openxmlformats.org/drawingml/2006/main">
          <a:solidFill>
            <a:schemeClr val="bg2">
              <a:lumMod val="25000"/>
            </a:schemeClr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cs-CZ">
            <a:ln>
              <a:solidFill>
                <a:schemeClr val="bg2">
                  <a:lumMod val="25000"/>
                </a:schemeClr>
              </a:solidFill>
            </a:ln>
            <a:solidFill>
              <a:schemeClr val="bg2">
                <a:lumMod val="25000"/>
              </a:schemeClr>
            </a:solidFill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388809</xdr:colOff>
      <xdr:row>7</xdr:row>
      <xdr:rowOff>7131</xdr:rowOff>
    </xdr:from>
    <xdr:to>
      <xdr:col>12</xdr:col>
      <xdr:colOff>1396999</xdr:colOff>
      <xdr:row>12</xdr:row>
      <xdr:rowOff>10661</xdr:rowOff>
    </xdr:to>
    <xdr:sp macro="" textlink="">
      <xdr:nvSpPr>
        <xdr:cNvPr id="3" name="Obdélník: se zakulacenými rohy 2">
          <a:extLst>
            <a:ext uri="{FF2B5EF4-FFF2-40B4-BE49-F238E27FC236}">
              <a16:creationId xmlns:a16="http://schemas.microsoft.com/office/drawing/2014/main" id="{F5CB850E-C842-401F-8BB0-146BDDDA6447}"/>
            </a:ext>
          </a:extLst>
        </xdr:cNvPr>
        <xdr:cNvSpPr/>
      </xdr:nvSpPr>
      <xdr:spPr>
        <a:xfrm>
          <a:off x="13042627" y="1046222"/>
          <a:ext cx="2266645" cy="869439"/>
        </a:xfrm>
        <a:prstGeom prst="roundRect">
          <a:avLst/>
        </a:prstGeom>
        <a:solidFill>
          <a:schemeClr val="accent2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cs-CZ" sz="1400" b="1">
              <a:solidFill>
                <a:schemeClr val="bg2">
                  <a:lumMod val="25000"/>
                </a:schemeClr>
              </a:solidFill>
            </a:rPr>
            <a:t>KONKURENCE</a:t>
          </a:r>
        </a:p>
      </xdr:txBody>
    </xdr:sp>
    <xdr:clientData/>
  </xdr:twoCellAnchor>
  <xdr:twoCellAnchor>
    <xdr:from>
      <xdr:col>5</xdr:col>
      <xdr:colOff>1119907</xdr:colOff>
      <xdr:row>7</xdr:row>
      <xdr:rowOff>586</xdr:rowOff>
    </xdr:from>
    <xdr:to>
      <xdr:col>7</xdr:col>
      <xdr:colOff>923636</xdr:colOff>
      <xdr:row>12</xdr:row>
      <xdr:rowOff>4116</xdr:rowOff>
    </xdr:to>
    <xdr:sp macro="" textlink="">
      <xdr:nvSpPr>
        <xdr:cNvPr id="4" name="Obdélník: se zakulacenými rohy 3">
          <a:extLst>
            <a:ext uri="{FF2B5EF4-FFF2-40B4-BE49-F238E27FC236}">
              <a16:creationId xmlns:a16="http://schemas.microsoft.com/office/drawing/2014/main" id="{73942681-C62A-4125-99F3-962AEFBF07FA}"/>
            </a:ext>
          </a:extLst>
        </xdr:cNvPr>
        <xdr:cNvSpPr/>
      </xdr:nvSpPr>
      <xdr:spPr>
        <a:xfrm>
          <a:off x="6222998" y="1039677"/>
          <a:ext cx="2320638" cy="869439"/>
        </a:xfrm>
        <a:prstGeom prst="roundRect">
          <a:avLst/>
        </a:prstGeom>
        <a:solidFill>
          <a:schemeClr val="accent2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cs-CZ" sz="1400" b="1">
              <a:solidFill>
                <a:schemeClr val="bg2">
                  <a:lumMod val="25000"/>
                </a:schemeClr>
              </a:solidFill>
            </a:rPr>
            <a:t>VELETRHY</a:t>
          </a:r>
        </a:p>
      </xdr:txBody>
    </xdr:sp>
    <xdr:clientData/>
  </xdr:twoCellAnchor>
  <xdr:twoCellAnchor>
    <xdr:from>
      <xdr:col>8</xdr:col>
      <xdr:colOff>715818</xdr:colOff>
      <xdr:row>6</xdr:row>
      <xdr:rowOff>162422</xdr:rowOff>
    </xdr:from>
    <xdr:to>
      <xdr:col>10</xdr:col>
      <xdr:colOff>497780</xdr:colOff>
      <xdr:row>11</xdr:row>
      <xdr:rowOff>165952</xdr:rowOff>
    </xdr:to>
    <xdr:sp macro="" textlink="">
      <xdr:nvSpPr>
        <xdr:cNvPr id="5" name="Obdélník: se zakulacenými rohy 4">
          <a:extLst>
            <a:ext uri="{FF2B5EF4-FFF2-40B4-BE49-F238E27FC236}">
              <a16:creationId xmlns:a16="http://schemas.microsoft.com/office/drawing/2014/main" id="{62B65EC4-75DB-4B2E-AA12-A8349ED8CA21}"/>
            </a:ext>
          </a:extLst>
        </xdr:cNvPr>
        <xdr:cNvSpPr/>
      </xdr:nvSpPr>
      <xdr:spPr>
        <a:xfrm>
          <a:off x="9594273" y="1028331"/>
          <a:ext cx="2298871" cy="869439"/>
        </a:xfrm>
        <a:prstGeom prst="roundRect">
          <a:avLst/>
        </a:prstGeom>
        <a:solidFill>
          <a:schemeClr val="accent2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cs-CZ" sz="1400" b="1">
              <a:solidFill>
                <a:schemeClr val="bg2">
                  <a:lumMod val="25000"/>
                </a:schemeClr>
              </a:solidFill>
            </a:rPr>
            <a:t>PROCESNÍ MAPY</a:t>
          </a:r>
        </a:p>
      </xdr:txBody>
    </xdr:sp>
    <xdr:clientData/>
  </xdr:twoCellAnchor>
  <xdr:twoCellAnchor>
    <xdr:from>
      <xdr:col>3</xdr:col>
      <xdr:colOff>580002</xdr:colOff>
      <xdr:row>6</xdr:row>
      <xdr:rowOff>157381</xdr:rowOff>
    </xdr:from>
    <xdr:to>
      <xdr:col>5</xdr:col>
      <xdr:colOff>337521</xdr:colOff>
      <xdr:row>11</xdr:row>
      <xdr:rowOff>160911</xdr:rowOff>
    </xdr:to>
    <xdr:sp macro="" textlink="">
      <xdr:nvSpPr>
        <xdr:cNvPr id="6" name="Obdélník: se zakulacenými rohy 5">
          <a:extLst>
            <a:ext uri="{FF2B5EF4-FFF2-40B4-BE49-F238E27FC236}">
              <a16:creationId xmlns:a16="http://schemas.microsoft.com/office/drawing/2014/main" id="{00E68C43-467F-42D8-891E-10E2550F24B6}"/>
            </a:ext>
          </a:extLst>
        </xdr:cNvPr>
        <xdr:cNvSpPr/>
      </xdr:nvSpPr>
      <xdr:spPr>
        <a:xfrm>
          <a:off x="3166184" y="1023290"/>
          <a:ext cx="2274428" cy="869439"/>
        </a:xfrm>
        <a:prstGeom prst="roundRect">
          <a:avLst/>
        </a:prstGeom>
        <a:solidFill>
          <a:schemeClr val="accent2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cs-CZ" sz="1400" b="1">
              <a:solidFill>
                <a:schemeClr val="bg2">
                  <a:lumMod val="25000"/>
                </a:schemeClr>
              </a:solidFill>
            </a:rPr>
            <a:t>ORG. STRUKTURA</a:t>
          </a:r>
        </a:p>
      </xdr:txBody>
    </xdr:sp>
    <xdr:clientData/>
  </xdr:twoCellAnchor>
  <xdr:twoCellAnchor>
    <xdr:from>
      <xdr:col>10</xdr:col>
      <xdr:colOff>7902</xdr:colOff>
      <xdr:row>19</xdr:row>
      <xdr:rowOff>86064</xdr:rowOff>
    </xdr:from>
    <xdr:to>
      <xdr:col>11</xdr:col>
      <xdr:colOff>669637</xdr:colOff>
      <xdr:row>24</xdr:row>
      <xdr:rowOff>89595</xdr:rowOff>
    </xdr:to>
    <xdr:sp macro="" textlink="">
      <xdr:nvSpPr>
        <xdr:cNvPr id="7" name="Obdélník: se zakulacenými rohy 6">
          <a:extLst>
            <a:ext uri="{FF2B5EF4-FFF2-40B4-BE49-F238E27FC236}">
              <a16:creationId xmlns:a16="http://schemas.microsoft.com/office/drawing/2014/main" id="{C9205D70-EECD-4DE7-AF69-E43690F0710D}"/>
            </a:ext>
          </a:extLst>
        </xdr:cNvPr>
        <xdr:cNvSpPr/>
      </xdr:nvSpPr>
      <xdr:spPr>
        <a:xfrm>
          <a:off x="11403266" y="3030155"/>
          <a:ext cx="1920189" cy="869440"/>
        </a:xfrm>
        <a:prstGeom prst="roundRect">
          <a:avLst/>
        </a:prstGeom>
        <a:solidFill>
          <a:schemeClr val="accent2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cs-CZ" sz="1400" b="1">
              <a:solidFill>
                <a:schemeClr val="bg2">
                  <a:lumMod val="25000"/>
                </a:schemeClr>
              </a:solidFill>
            </a:rPr>
            <a:t>PRODUKTY A CENY</a:t>
          </a:r>
        </a:p>
      </xdr:txBody>
    </xdr:sp>
    <xdr:clientData/>
  </xdr:twoCellAnchor>
  <xdr:twoCellAnchor>
    <xdr:from>
      <xdr:col>8</xdr:col>
      <xdr:colOff>804444</xdr:colOff>
      <xdr:row>28</xdr:row>
      <xdr:rowOff>139309</xdr:rowOff>
    </xdr:from>
    <xdr:to>
      <xdr:col>10</xdr:col>
      <xdr:colOff>142834</xdr:colOff>
      <xdr:row>33</xdr:row>
      <xdr:rowOff>142839</xdr:rowOff>
    </xdr:to>
    <xdr:sp macro="" textlink="">
      <xdr:nvSpPr>
        <xdr:cNvPr id="8" name="Obdélník: se zakulacenými rohy 7">
          <a:extLst>
            <a:ext uri="{FF2B5EF4-FFF2-40B4-BE49-F238E27FC236}">
              <a16:creationId xmlns:a16="http://schemas.microsoft.com/office/drawing/2014/main" id="{866E8100-B800-4755-A615-C6E32889D4C3}"/>
            </a:ext>
          </a:extLst>
        </xdr:cNvPr>
        <xdr:cNvSpPr/>
      </xdr:nvSpPr>
      <xdr:spPr>
        <a:xfrm>
          <a:off x="9682899" y="4642036"/>
          <a:ext cx="1855299" cy="869439"/>
        </a:xfrm>
        <a:prstGeom prst="roundRect">
          <a:avLst/>
        </a:prstGeom>
        <a:solidFill>
          <a:schemeClr val="accent2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cs-CZ" sz="1400" b="1">
              <a:solidFill>
                <a:schemeClr val="bg2">
                  <a:lumMod val="25000"/>
                </a:schemeClr>
              </a:solidFill>
            </a:rPr>
            <a:t>ZÁZNAMY</a:t>
          </a:r>
          <a:r>
            <a:rPr lang="cs-CZ" sz="1400" b="1" baseline="0">
              <a:solidFill>
                <a:schemeClr val="bg2">
                  <a:lumMod val="25000"/>
                </a:schemeClr>
              </a:solidFill>
            </a:rPr>
            <a:t> O PRODEJI</a:t>
          </a:r>
          <a:endParaRPr lang="cs-CZ" sz="1400" b="1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6</xdr:col>
      <xdr:colOff>852896</xdr:colOff>
      <xdr:row>25</xdr:row>
      <xdr:rowOff>139749</xdr:rowOff>
    </xdr:from>
    <xdr:to>
      <xdr:col>8</xdr:col>
      <xdr:colOff>272441</xdr:colOff>
      <xdr:row>30</xdr:row>
      <xdr:rowOff>143278</xdr:rowOff>
    </xdr:to>
    <xdr:sp macro="" textlink="">
      <xdr:nvSpPr>
        <xdr:cNvPr id="9" name="Obdélník: se zakulacenými rohy 8">
          <a:extLst>
            <a:ext uri="{FF2B5EF4-FFF2-40B4-BE49-F238E27FC236}">
              <a16:creationId xmlns:a16="http://schemas.microsoft.com/office/drawing/2014/main" id="{6C31067A-6EE5-4306-855D-E510F18F8441}"/>
            </a:ext>
          </a:extLst>
        </xdr:cNvPr>
        <xdr:cNvSpPr/>
      </xdr:nvSpPr>
      <xdr:spPr>
        <a:xfrm>
          <a:off x="7214441" y="4122931"/>
          <a:ext cx="1936455" cy="869438"/>
        </a:xfrm>
        <a:prstGeom prst="roundRect">
          <a:avLst/>
        </a:prstGeom>
        <a:solidFill>
          <a:schemeClr val="accent2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cs-CZ" sz="1400" b="1">
              <a:solidFill>
                <a:schemeClr val="bg2">
                  <a:lumMod val="25000"/>
                </a:schemeClr>
              </a:solidFill>
            </a:rPr>
            <a:t>ROČNÍ ROZPOČET</a:t>
          </a:r>
        </a:p>
      </xdr:txBody>
    </xdr:sp>
    <xdr:clientData/>
  </xdr:twoCellAnchor>
  <xdr:twoCellAnchor>
    <xdr:from>
      <xdr:col>4</xdr:col>
      <xdr:colOff>900547</xdr:colOff>
      <xdr:row>35</xdr:row>
      <xdr:rowOff>143631</xdr:rowOff>
    </xdr:from>
    <xdr:to>
      <xdr:col>6</xdr:col>
      <xdr:colOff>173182</xdr:colOff>
      <xdr:row>40</xdr:row>
      <xdr:rowOff>147161</xdr:rowOff>
    </xdr:to>
    <xdr:sp macro="" textlink="">
      <xdr:nvSpPr>
        <xdr:cNvPr id="10" name="Obdélník: se zakulacenými rohy 9">
          <a:extLst>
            <a:ext uri="{FF2B5EF4-FFF2-40B4-BE49-F238E27FC236}">
              <a16:creationId xmlns:a16="http://schemas.microsoft.com/office/drawing/2014/main" id="{BF1B7BCD-754E-47FF-8CA3-5B8C50C9761C}"/>
            </a:ext>
          </a:extLst>
        </xdr:cNvPr>
        <xdr:cNvSpPr/>
      </xdr:nvSpPr>
      <xdr:spPr>
        <a:xfrm>
          <a:off x="4745183" y="5858631"/>
          <a:ext cx="1789544" cy="869439"/>
        </a:xfrm>
        <a:prstGeom prst="roundRect">
          <a:avLst/>
        </a:prstGeom>
        <a:solidFill>
          <a:schemeClr val="accent2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cs-CZ" sz="1400" b="1">
              <a:solidFill>
                <a:schemeClr val="bg2">
                  <a:lumMod val="25000"/>
                </a:schemeClr>
              </a:solidFill>
            </a:rPr>
            <a:t>ROZPOČET EKONOMICKÝ ÚSEK</a:t>
          </a:r>
        </a:p>
      </xdr:txBody>
    </xdr:sp>
    <xdr:clientData/>
  </xdr:twoCellAnchor>
  <xdr:twoCellAnchor>
    <xdr:from>
      <xdr:col>4</xdr:col>
      <xdr:colOff>935182</xdr:colOff>
      <xdr:row>29</xdr:row>
      <xdr:rowOff>58414</xdr:rowOff>
    </xdr:from>
    <xdr:to>
      <xdr:col>6</xdr:col>
      <xdr:colOff>166314</xdr:colOff>
      <xdr:row>33</xdr:row>
      <xdr:rowOff>161636</xdr:rowOff>
    </xdr:to>
    <xdr:sp macro="" textlink="">
      <xdr:nvSpPr>
        <xdr:cNvPr id="11" name="Obdélník: se zakulacenými rohy 10">
          <a:extLst>
            <a:ext uri="{FF2B5EF4-FFF2-40B4-BE49-F238E27FC236}">
              <a16:creationId xmlns:a16="http://schemas.microsoft.com/office/drawing/2014/main" id="{2CBABE9A-807C-4D23-9CC9-CB6CB145AEC5}"/>
            </a:ext>
          </a:extLst>
        </xdr:cNvPr>
        <xdr:cNvSpPr/>
      </xdr:nvSpPr>
      <xdr:spPr>
        <a:xfrm>
          <a:off x="4779818" y="4734323"/>
          <a:ext cx="1748041" cy="795949"/>
        </a:xfrm>
        <a:prstGeom prst="roundRect">
          <a:avLst/>
        </a:prstGeom>
        <a:solidFill>
          <a:schemeClr val="accent2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cs-CZ" sz="1400" b="1">
              <a:solidFill>
                <a:schemeClr val="bg2">
                  <a:lumMod val="25000"/>
                </a:schemeClr>
              </a:solidFill>
            </a:rPr>
            <a:t>ROZPOČET VEDENÍ</a:t>
          </a:r>
        </a:p>
      </xdr:txBody>
    </xdr:sp>
    <xdr:clientData/>
  </xdr:twoCellAnchor>
  <xdr:twoCellAnchor>
    <xdr:from>
      <xdr:col>4</xdr:col>
      <xdr:colOff>920129</xdr:colOff>
      <xdr:row>22</xdr:row>
      <xdr:rowOff>117858</xdr:rowOff>
    </xdr:from>
    <xdr:to>
      <xdr:col>6</xdr:col>
      <xdr:colOff>165007</xdr:colOff>
      <xdr:row>27</xdr:row>
      <xdr:rowOff>47897</xdr:rowOff>
    </xdr:to>
    <xdr:sp macro="" textlink="">
      <xdr:nvSpPr>
        <xdr:cNvPr id="12" name="Obdélník: se zakulacenými rohy 11">
          <a:extLst>
            <a:ext uri="{FF2B5EF4-FFF2-40B4-BE49-F238E27FC236}">
              <a16:creationId xmlns:a16="http://schemas.microsoft.com/office/drawing/2014/main" id="{F572D310-53C8-4D64-BAF4-3793771AA3B9}"/>
            </a:ext>
          </a:extLst>
        </xdr:cNvPr>
        <xdr:cNvSpPr/>
      </xdr:nvSpPr>
      <xdr:spPr>
        <a:xfrm>
          <a:off x="4764765" y="3581494"/>
          <a:ext cx="1761787" cy="795948"/>
        </a:xfrm>
        <a:prstGeom prst="roundRect">
          <a:avLst/>
        </a:prstGeom>
        <a:solidFill>
          <a:schemeClr val="accent2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cs-CZ" sz="1400" b="1">
              <a:solidFill>
                <a:schemeClr val="bg2">
                  <a:lumMod val="25000"/>
                </a:schemeClr>
              </a:solidFill>
            </a:rPr>
            <a:t>ROZPOČET OBCHODNÍ ÚSEK</a:t>
          </a:r>
        </a:p>
      </xdr:txBody>
    </xdr:sp>
    <xdr:clientData/>
  </xdr:twoCellAnchor>
  <xdr:twoCellAnchor>
    <xdr:from>
      <xdr:col>4</xdr:col>
      <xdr:colOff>929479</xdr:colOff>
      <xdr:row>16</xdr:row>
      <xdr:rowOff>57855</xdr:rowOff>
    </xdr:from>
    <xdr:to>
      <xdr:col>6</xdr:col>
      <xdr:colOff>163980</xdr:colOff>
      <xdr:row>20</xdr:row>
      <xdr:rowOff>161076</xdr:rowOff>
    </xdr:to>
    <xdr:sp macro="" textlink="">
      <xdr:nvSpPr>
        <xdr:cNvPr id="13" name="Obdélník: se zakulacenými rohy 12">
          <a:extLst>
            <a:ext uri="{FF2B5EF4-FFF2-40B4-BE49-F238E27FC236}">
              <a16:creationId xmlns:a16="http://schemas.microsoft.com/office/drawing/2014/main" id="{2C034939-EDE9-4FE8-AFF1-43F3D65467A7}"/>
            </a:ext>
          </a:extLst>
        </xdr:cNvPr>
        <xdr:cNvSpPr/>
      </xdr:nvSpPr>
      <xdr:spPr>
        <a:xfrm>
          <a:off x="4774115" y="2482400"/>
          <a:ext cx="1751410" cy="795949"/>
        </a:xfrm>
        <a:prstGeom prst="roundRect">
          <a:avLst/>
        </a:prstGeom>
        <a:solidFill>
          <a:schemeClr val="accent2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cs-CZ" sz="1400" b="1">
              <a:solidFill>
                <a:schemeClr val="bg2">
                  <a:lumMod val="25000"/>
                </a:schemeClr>
              </a:solidFill>
            </a:rPr>
            <a:t>ROZPOČET TECHNICKÝ ÚSEK</a:t>
          </a:r>
        </a:p>
      </xdr:txBody>
    </xdr:sp>
    <xdr:clientData/>
  </xdr:twoCellAnchor>
  <xdr:twoCellAnchor>
    <xdr:from>
      <xdr:col>2</xdr:col>
      <xdr:colOff>1470769</xdr:colOff>
      <xdr:row>44</xdr:row>
      <xdr:rowOff>23931</xdr:rowOff>
    </xdr:from>
    <xdr:to>
      <xdr:col>13</xdr:col>
      <xdr:colOff>119062</xdr:colOff>
      <xdr:row>49</xdr:row>
      <xdr:rowOff>27461</xdr:rowOff>
    </xdr:to>
    <xdr:sp macro="" textlink="">
      <xdr:nvSpPr>
        <xdr:cNvPr id="14" name="Obdélník: se zakulacenými rohy 13">
          <a:extLst>
            <a:ext uri="{FF2B5EF4-FFF2-40B4-BE49-F238E27FC236}">
              <a16:creationId xmlns:a16="http://schemas.microsoft.com/office/drawing/2014/main" id="{A32F61C8-A19F-4EAD-9021-88F776FA6A50}"/>
            </a:ext>
          </a:extLst>
        </xdr:cNvPr>
        <xdr:cNvSpPr/>
      </xdr:nvSpPr>
      <xdr:spPr>
        <a:xfrm>
          <a:off x="2410569" y="10857031"/>
          <a:ext cx="10776793" cy="892530"/>
        </a:xfrm>
        <a:prstGeom prst="roundRect">
          <a:avLst/>
        </a:prstGeom>
        <a:solidFill>
          <a:schemeClr val="accent2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cs-CZ" sz="1400" b="1">
              <a:solidFill>
                <a:schemeClr val="bg2">
                  <a:lumMod val="25000"/>
                </a:schemeClr>
              </a:solidFill>
            </a:rPr>
            <a:t>VARIABILNÍ KALKULACE</a:t>
          </a:r>
        </a:p>
      </xdr:txBody>
    </xdr:sp>
    <xdr:clientData/>
  </xdr:twoCellAnchor>
  <xdr:twoCellAnchor>
    <xdr:from>
      <xdr:col>3</xdr:col>
      <xdr:colOff>57728</xdr:colOff>
      <xdr:row>19</xdr:row>
      <xdr:rowOff>117425</xdr:rowOff>
    </xdr:from>
    <xdr:to>
      <xdr:col>4</xdr:col>
      <xdr:colOff>340736</xdr:colOff>
      <xdr:row>24</xdr:row>
      <xdr:rowOff>120954</xdr:rowOff>
    </xdr:to>
    <xdr:sp macro="" textlink="">
      <xdr:nvSpPr>
        <xdr:cNvPr id="15" name="Obdélník: se zakulacenými rohy 14">
          <a:extLst>
            <a:ext uri="{FF2B5EF4-FFF2-40B4-BE49-F238E27FC236}">
              <a16:creationId xmlns:a16="http://schemas.microsoft.com/office/drawing/2014/main" id="{A445AD8C-DF5B-42BB-82DF-FC4D7C55AF67}"/>
            </a:ext>
          </a:extLst>
        </xdr:cNvPr>
        <xdr:cNvSpPr/>
      </xdr:nvSpPr>
      <xdr:spPr>
        <a:xfrm>
          <a:off x="2643910" y="3061516"/>
          <a:ext cx="1541462" cy="869438"/>
        </a:xfrm>
        <a:prstGeom prst="roundRect">
          <a:avLst/>
        </a:prstGeom>
        <a:solidFill>
          <a:schemeClr val="accent2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cs-CZ" sz="1400" b="1">
              <a:ln>
                <a:noFill/>
              </a:ln>
              <a:solidFill>
                <a:sysClr val="windowText" lastClr="000000"/>
              </a:solidFill>
            </a:rPr>
            <a:t>LIDSKÉ ZDROJE</a:t>
          </a:r>
        </a:p>
      </xdr:txBody>
    </xdr:sp>
    <xdr:clientData/>
  </xdr:twoCellAnchor>
  <xdr:twoCellAnchor>
    <xdr:from>
      <xdr:col>3</xdr:col>
      <xdr:colOff>48814</xdr:colOff>
      <xdr:row>26</xdr:row>
      <xdr:rowOff>58489</xdr:rowOff>
    </xdr:from>
    <xdr:to>
      <xdr:col>4</xdr:col>
      <xdr:colOff>318207</xdr:colOff>
      <xdr:row>31</xdr:row>
      <xdr:rowOff>62018</xdr:rowOff>
    </xdr:to>
    <xdr:sp macro="" textlink="">
      <xdr:nvSpPr>
        <xdr:cNvPr id="16" name="Obdélník: se zakulacenými rohy 15">
          <a:extLst>
            <a:ext uri="{FF2B5EF4-FFF2-40B4-BE49-F238E27FC236}">
              <a16:creationId xmlns:a16="http://schemas.microsoft.com/office/drawing/2014/main" id="{F8B58967-4CDB-472C-9126-C204F46611C8}"/>
            </a:ext>
          </a:extLst>
        </xdr:cNvPr>
        <xdr:cNvSpPr/>
      </xdr:nvSpPr>
      <xdr:spPr>
        <a:xfrm>
          <a:off x="2634996" y="4214853"/>
          <a:ext cx="1527847" cy="869438"/>
        </a:xfrm>
        <a:prstGeom prst="roundRect">
          <a:avLst/>
        </a:prstGeom>
        <a:solidFill>
          <a:schemeClr val="accent2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cs-CZ" sz="1400" b="1">
              <a:solidFill>
                <a:schemeClr val="bg2">
                  <a:lumMod val="25000"/>
                </a:schemeClr>
              </a:solidFill>
            </a:rPr>
            <a:t>NÁKLADOVÁ STŘEDISKA</a:t>
          </a:r>
        </a:p>
      </xdr:txBody>
    </xdr:sp>
    <xdr:clientData/>
  </xdr:twoCellAnchor>
  <xdr:twoCellAnchor>
    <xdr:from>
      <xdr:col>7</xdr:col>
      <xdr:colOff>265547</xdr:colOff>
      <xdr:row>35</xdr:row>
      <xdr:rowOff>46181</xdr:rowOff>
    </xdr:from>
    <xdr:to>
      <xdr:col>8</xdr:col>
      <xdr:colOff>1027545</xdr:colOff>
      <xdr:row>40</xdr:row>
      <xdr:rowOff>46179</xdr:rowOff>
    </xdr:to>
    <xdr:sp macro="" textlink="">
      <xdr:nvSpPr>
        <xdr:cNvPr id="18" name="Obdélník: se zakulacenými rohy 17">
          <a:extLst>
            <a:ext uri="{FF2B5EF4-FFF2-40B4-BE49-F238E27FC236}">
              <a16:creationId xmlns:a16="http://schemas.microsoft.com/office/drawing/2014/main" id="{7BD0221C-AE3A-4A03-A733-30D7A99C5455}"/>
            </a:ext>
          </a:extLst>
        </xdr:cNvPr>
        <xdr:cNvSpPr/>
      </xdr:nvSpPr>
      <xdr:spPr>
        <a:xfrm>
          <a:off x="7885547" y="5761181"/>
          <a:ext cx="2020453" cy="865907"/>
        </a:xfrm>
        <a:prstGeom prst="roundRect">
          <a:avLst/>
        </a:prstGeom>
        <a:solidFill>
          <a:schemeClr val="accent2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cs-CZ" sz="1400" b="1">
              <a:solidFill>
                <a:schemeClr val="bg2">
                  <a:lumMod val="25000"/>
                </a:schemeClr>
              </a:solidFill>
            </a:rPr>
            <a:t>NÁKLADOVÁ HODINOVÁ SAZBA</a:t>
          </a:r>
        </a:p>
      </xdr:txBody>
    </xdr:sp>
    <xdr:clientData/>
  </xdr:twoCellAnchor>
  <xdr:twoCellAnchor>
    <xdr:from>
      <xdr:col>7</xdr:col>
      <xdr:colOff>1070290</xdr:colOff>
      <xdr:row>17</xdr:row>
      <xdr:rowOff>36037</xdr:rowOff>
    </xdr:from>
    <xdr:to>
      <xdr:col>9</xdr:col>
      <xdr:colOff>489836</xdr:colOff>
      <xdr:row>22</xdr:row>
      <xdr:rowOff>39566</xdr:rowOff>
    </xdr:to>
    <xdr:sp macro="" textlink="">
      <xdr:nvSpPr>
        <xdr:cNvPr id="19" name="Obdélník: se zakulacenými rohy 18">
          <a:extLst>
            <a:ext uri="{FF2B5EF4-FFF2-40B4-BE49-F238E27FC236}">
              <a16:creationId xmlns:a16="http://schemas.microsoft.com/office/drawing/2014/main" id="{83B8B349-9004-4EAA-AA55-088AF2D2FAB4}"/>
            </a:ext>
          </a:extLst>
        </xdr:cNvPr>
        <xdr:cNvSpPr/>
      </xdr:nvSpPr>
      <xdr:spPr>
        <a:xfrm>
          <a:off x="8690290" y="2633764"/>
          <a:ext cx="1936455" cy="869438"/>
        </a:xfrm>
        <a:prstGeom prst="roundRect">
          <a:avLst/>
        </a:prstGeom>
        <a:solidFill>
          <a:schemeClr val="accent2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cs-CZ" sz="1400" b="1">
              <a:solidFill>
                <a:schemeClr val="bg2">
                  <a:lumMod val="25000"/>
                </a:schemeClr>
              </a:solidFill>
            </a:rPr>
            <a:t>FORCASTING</a:t>
          </a:r>
        </a:p>
      </xdr:txBody>
    </xdr:sp>
    <xdr:clientData/>
  </xdr:twoCellAnchor>
  <xdr:twoCellAnchor>
    <xdr:from>
      <xdr:col>11</xdr:col>
      <xdr:colOff>156672</xdr:colOff>
      <xdr:row>33</xdr:row>
      <xdr:rowOff>148072</xdr:rowOff>
    </xdr:from>
    <xdr:to>
      <xdr:col>12</xdr:col>
      <xdr:colOff>981363</xdr:colOff>
      <xdr:row>38</xdr:row>
      <xdr:rowOff>151602</xdr:rowOff>
    </xdr:to>
    <xdr:sp macro="" textlink="">
      <xdr:nvSpPr>
        <xdr:cNvPr id="20" name="Obdélník: se zakulacenými rohy 19">
          <a:extLst>
            <a:ext uri="{FF2B5EF4-FFF2-40B4-BE49-F238E27FC236}">
              <a16:creationId xmlns:a16="http://schemas.microsoft.com/office/drawing/2014/main" id="{B98BEA1F-1AAD-45EA-A11F-6557EE6B4535}"/>
            </a:ext>
          </a:extLst>
        </xdr:cNvPr>
        <xdr:cNvSpPr/>
      </xdr:nvSpPr>
      <xdr:spPr>
        <a:xfrm>
          <a:off x="12810490" y="5516708"/>
          <a:ext cx="2083146" cy="869439"/>
        </a:xfrm>
        <a:prstGeom prst="roundRect">
          <a:avLst/>
        </a:prstGeom>
        <a:solidFill>
          <a:schemeClr val="accent2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cs-CZ" sz="1400" b="1">
              <a:solidFill>
                <a:schemeClr val="bg2">
                  <a:lumMod val="25000"/>
                </a:schemeClr>
              </a:solidFill>
            </a:rPr>
            <a:t>PŘÍMÉ FIXNÍ NÁKLADY</a:t>
          </a:r>
        </a:p>
      </xdr:txBody>
    </xdr:sp>
    <xdr:clientData/>
  </xdr:twoCellAnchor>
  <xdr:twoCellAnchor>
    <xdr:from>
      <xdr:col>10</xdr:col>
      <xdr:colOff>323273</xdr:colOff>
      <xdr:row>55</xdr:row>
      <xdr:rowOff>15850</xdr:rowOff>
    </xdr:from>
    <xdr:to>
      <xdr:col>12</xdr:col>
      <xdr:colOff>1674091</xdr:colOff>
      <xdr:row>60</xdr:row>
      <xdr:rowOff>9855</xdr:rowOff>
    </xdr:to>
    <xdr:sp macro="" textlink="">
      <xdr:nvSpPr>
        <xdr:cNvPr id="21" name="Obdélník: se zakulacenými rohy 20">
          <a:extLst>
            <a:ext uri="{FF2B5EF4-FFF2-40B4-BE49-F238E27FC236}">
              <a16:creationId xmlns:a16="http://schemas.microsoft.com/office/drawing/2014/main" id="{14D2529A-4425-4957-A1B3-EEA00B0ADC50}"/>
            </a:ext>
          </a:extLst>
        </xdr:cNvPr>
        <xdr:cNvSpPr/>
      </xdr:nvSpPr>
      <xdr:spPr>
        <a:xfrm>
          <a:off x="11718637" y="9021305"/>
          <a:ext cx="3867727" cy="859914"/>
        </a:xfrm>
        <a:prstGeom prst="roundRect">
          <a:avLst/>
        </a:prstGeom>
        <a:solidFill>
          <a:schemeClr val="accent2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cs-CZ" sz="1400" b="1">
              <a:solidFill>
                <a:schemeClr val="bg2">
                  <a:lumMod val="25000"/>
                </a:schemeClr>
              </a:solidFill>
            </a:rPr>
            <a:t>PLÁN PRODEJE</a:t>
          </a:r>
        </a:p>
      </xdr:txBody>
    </xdr:sp>
    <xdr:clientData/>
  </xdr:twoCellAnchor>
  <xdr:twoCellAnchor>
    <xdr:from>
      <xdr:col>11</xdr:col>
      <xdr:colOff>26435</xdr:colOff>
      <xdr:row>63</xdr:row>
      <xdr:rowOff>41725</xdr:rowOff>
    </xdr:from>
    <xdr:to>
      <xdr:col>12</xdr:col>
      <xdr:colOff>716039</xdr:colOff>
      <xdr:row>68</xdr:row>
      <xdr:rowOff>35730</xdr:rowOff>
    </xdr:to>
    <xdr:sp macro="" textlink="">
      <xdr:nvSpPr>
        <xdr:cNvPr id="22" name="Obdélník: se zakulacenými rohy 21">
          <a:extLst>
            <a:ext uri="{FF2B5EF4-FFF2-40B4-BE49-F238E27FC236}">
              <a16:creationId xmlns:a16="http://schemas.microsoft.com/office/drawing/2014/main" id="{8B880D59-2B45-488C-A4C0-71BA8F27BAC2}"/>
            </a:ext>
          </a:extLst>
        </xdr:cNvPr>
        <xdr:cNvSpPr/>
      </xdr:nvSpPr>
      <xdr:spPr>
        <a:xfrm>
          <a:off x="12680253" y="10432634"/>
          <a:ext cx="1948059" cy="859914"/>
        </a:xfrm>
        <a:prstGeom prst="roundRect">
          <a:avLst/>
        </a:prstGeom>
        <a:solidFill>
          <a:schemeClr val="accent2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cs-CZ" sz="1400" b="1">
              <a:solidFill>
                <a:schemeClr val="bg2">
                  <a:lumMod val="25000"/>
                </a:schemeClr>
              </a:solidFill>
            </a:rPr>
            <a:t>PLÁN VÝNOSŮ</a:t>
          </a:r>
        </a:p>
      </xdr:txBody>
    </xdr:sp>
    <xdr:clientData/>
  </xdr:twoCellAnchor>
  <xdr:twoCellAnchor>
    <xdr:from>
      <xdr:col>9</xdr:col>
      <xdr:colOff>835068</xdr:colOff>
      <xdr:row>79</xdr:row>
      <xdr:rowOff>108361</xdr:rowOff>
    </xdr:from>
    <xdr:to>
      <xdr:col>10</xdr:col>
      <xdr:colOff>1223819</xdr:colOff>
      <xdr:row>84</xdr:row>
      <xdr:rowOff>106448</xdr:rowOff>
    </xdr:to>
    <xdr:sp macro="" textlink="">
      <xdr:nvSpPr>
        <xdr:cNvPr id="23" name="Obdélník: se zakulacenými rohy 22">
          <a:extLst>
            <a:ext uri="{FF2B5EF4-FFF2-40B4-BE49-F238E27FC236}">
              <a16:creationId xmlns:a16="http://schemas.microsoft.com/office/drawing/2014/main" id="{F36CE947-6CB3-4408-89F0-3BD9962151ED}"/>
            </a:ext>
          </a:extLst>
        </xdr:cNvPr>
        <xdr:cNvSpPr/>
      </xdr:nvSpPr>
      <xdr:spPr>
        <a:xfrm>
          <a:off x="11179795" y="13270179"/>
          <a:ext cx="1647206" cy="863996"/>
        </a:xfrm>
        <a:prstGeom prst="roundRect">
          <a:avLst/>
        </a:prstGeom>
        <a:solidFill>
          <a:schemeClr val="accent2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cs-CZ" sz="1400" b="1">
              <a:solidFill>
                <a:schemeClr val="bg2">
                  <a:lumMod val="25000"/>
                </a:schemeClr>
              </a:solidFill>
            </a:rPr>
            <a:t>ROZVAHA</a:t>
          </a:r>
        </a:p>
      </xdr:txBody>
    </xdr:sp>
    <xdr:clientData/>
  </xdr:twoCellAnchor>
  <xdr:twoCellAnchor>
    <xdr:from>
      <xdr:col>4</xdr:col>
      <xdr:colOff>623455</xdr:colOff>
      <xdr:row>71</xdr:row>
      <xdr:rowOff>40881</xdr:rowOff>
    </xdr:from>
    <xdr:to>
      <xdr:col>6</xdr:col>
      <xdr:colOff>148745</xdr:colOff>
      <xdr:row>76</xdr:row>
      <xdr:rowOff>34886</xdr:rowOff>
    </xdr:to>
    <xdr:sp macro="" textlink="">
      <xdr:nvSpPr>
        <xdr:cNvPr id="24" name="Obdélník: se zakulacenými rohy 23">
          <a:extLst>
            <a:ext uri="{FF2B5EF4-FFF2-40B4-BE49-F238E27FC236}">
              <a16:creationId xmlns:a16="http://schemas.microsoft.com/office/drawing/2014/main" id="{9357FA46-BE5D-4E05-809C-A46CBBFFD396}"/>
            </a:ext>
          </a:extLst>
        </xdr:cNvPr>
        <xdr:cNvSpPr/>
      </xdr:nvSpPr>
      <xdr:spPr>
        <a:xfrm>
          <a:off x="4675910" y="11817245"/>
          <a:ext cx="2042199" cy="859914"/>
        </a:xfrm>
        <a:prstGeom prst="roundRect">
          <a:avLst/>
        </a:prstGeom>
        <a:solidFill>
          <a:schemeClr val="accent2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cs-CZ" sz="1400" b="1">
              <a:solidFill>
                <a:schemeClr val="bg2">
                  <a:lumMod val="25000"/>
                </a:schemeClr>
              </a:solidFill>
            </a:rPr>
            <a:t>PLÁN VÝDAJŮ</a:t>
          </a:r>
        </a:p>
      </xdr:txBody>
    </xdr:sp>
    <xdr:clientData/>
  </xdr:twoCellAnchor>
  <xdr:twoCellAnchor>
    <xdr:from>
      <xdr:col>4</xdr:col>
      <xdr:colOff>19156</xdr:colOff>
      <xdr:row>55</xdr:row>
      <xdr:rowOff>50572</xdr:rowOff>
    </xdr:from>
    <xdr:to>
      <xdr:col>5</xdr:col>
      <xdr:colOff>727364</xdr:colOff>
      <xdr:row>60</xdr:row>
      <xdr:rowOff>54102</xdr:rowOff>
    </xdr:to>
    <xdr:sp macro="" textlink="">
      <xdr:nvSpPr>
        <xdr:cNvPr id="25" name="Obdélník: se zakulacenými rohy 24">
          <a:extLst>
            <a:ext uri="{FF2B5EF4-FFF2-40B4-BE49-F238E27FC236}">
              <a16:creationId xmlns:a16="http://schemas.microsoft.com/office/drawing/2014/main" id="{19340F16-1B8E-4F2D-B50A-712C6D89469F}"/>
            </a:ext>
          </a:extLst>
        </xdr:cNvPr>
        <xdr:cNvSpPr/>
      </xdr:nvSpPr>
      <xdr:spPr>
        <a:xfrm>
          <a:off x="4071611" y="9056027"/>
          <a:ext cx="1966662" cy="869439"/>
        </a:xfrm>
        <a:prstGeom prst="roundRect">
          <a:avLst/>
        </a:prstGeom>
        <a:solidFill>
          <a:schemeClr val="accent2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cs-CZ" sz="1400" b="1">
              <a:solidFill>
                <a:schemeClr val="bg2">
                  <a:lumMod val="25000"/>
                </a:schemeClr>
              </a:solidFill>
            </a:rPr>
            <a:t>PLÁN FIXNÍCH NÁKLADŮ</a:t>
          </a:r>
        </a:p>
      </xdr:txBody>
    </xdr:sp>
    <xdr:clientData/>
  </xdr:twoCellAnchor>
  <xdr:twoCellAnchor>
    <xdr:from>
      <xdr:col>11</xdr:col>
      <xdr:colOff>397309</xdr:colOff>
      <xdr:row>79</xdr:row>
      <xdr:rowOff>106340</xdr:rowOff>
    </xdr:from>
    <xdr:to>
      <xdr:col>12</xdr:col>
      <xdr:colOff>785090</xdr:colOff>
      <xdr:row>84</xdr:row>
      <xdr:rowOff>94902</xdr:rowOff>
    </xdr:to>
    <xdr:sp macro="" textlink="">
      <xdr:nvSpPr>
        <xdr:cNvPr id="26" name="Obdélník: se zakulacenými rohy 25">
          <a:extLst>
            <a:ext uri="{FF2B5EF4-FFF2-40B4-BE49-F238E27FC236}">
              <a16:creationId xmlns:a16="http://schemas.microsoft.com/office/drawing/2014/main" id="{A5BC3C2D-B86B-456B-92F3-9A727A695660}"/>
            </a:ext>
          </a:extLst>
        </xdr:cNvPr>
        <xdr:cNvSpPr/>
      </xdr:nvSpPr>
      <xdr:spPr>
        <a:xfrm>
          <a:off x="13258945" y="13268158"/>
          <a:ext cx="1646236" cy="854471"/>
        </a:xfrm>
        <a:prstGeom prst="roundRect">
          <a:avLst/>
        </a:prstGeom>
        <a:solidFill>
          <a:schemeClr val="accent2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cs-CZ" sz="1400" b="1">
              <a:solidFill>
                <a:schemeClr val="bg2">
                  <a:lumMod val="25000"/>
                </a:schemeClr>
              </a:solidFill>
            </a:rPr>
            <a:t>VZZ</a:t>
          </a:r>
        </a:p>
      </xdr:txBody>
    </xdr:sp>
    <xdr:clientData/>
  </xdr:twoCellAnchor>
  <xdr:twoCellAnchor>
    <xdr:from>
      <xdr:col>5</xdr:col>
      <xdr:colOff>1168484</xdr:colOff>
      <xdr:row>79</xdr:row>
      <xdr:rowOff>98854</xdr:rowOff>
    </xdr:from>
    <xdr:to>
      <xdr:col>7</xdr:col>
      <xdr:colOff>154248</xdr:colOff>
      <xdr:row>84</xdr:row>
      <xdr:rowOff>83334</xdr:rowOff>
    </xdr:to>
    <xdr:sp macro="" textlink="">
      <xdr:nvSpPr>
        <xdr:cNvPr id="27" name="Obdélník: se zakulacenými rohy 26">
          <a:extLst>
            <a:ext uri="{FF2B5EF4-FFF2-40B4-BE49-F238E27FC236}">
              <a16:creationId xmlns:a16="http://schemas.microsoft.com/office/drawing/2014/main" id="{5FCA3D51-00DF-426D-8970-67A113F52821}"/>
            </a:ext>
          </a:extLst>
        </xdr:cNvPr>
        <xdr:cNvSpPr/>
      </xdr:nvSpPr>
      <xdr:spPr>
        <a:xfrm>
          <a:off x="6479393" y="13260672"/>
          <a:ext cx="1502673" cy="850389"/>
        </a:xfrm>
        <a:prstGeom prst="roundRect">
          <a:avLst/>
        </a:prstGeom>
        <a:solidFill>
          <a:schemeClr val="accent2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cs-CZ" sz="1400" b="1">
              <a:solidFill>
                <a:schemeClr val="bg2">
                  <a:lumMod val="25000"/>
                </a:schemeClr>
              </a:solidFill>
            </a:rPr>
            <a:t>PLÁN CF</a:t>
          </a:r>
        </a:p>
      </xdr:txBody>
    </xdr:sp>
    <xdr:clientData/>
  </xdr:twoCellAnchor>
  <xdr:twoCellAnchor>
    <xdr:from>
      <xdr:col>7</xdr:col>
      <xdr:colOff>1218972</xdr:colOff>
      <xdr:row>79</xdr:row>
      <xdr:rowOff>116939</xdr:rowOff>
    </xdr:from>
    <xdr:to>
      <xdr:col>9</xdr:col>
      <xdr:colOff>380999</xdr:colOff>
      <xdr:row>84</xdr:row>
      <xdr:rowOff>101418</xdr:rowOff>
    </xdr:to>
    <xdr:sp macro="" textlink="">
      <xdr:nvSpPr>
        <xdr:cNvPr id="28" name="Obdélník: se zakulacenými rohy 27">
          <a:extLst>
            <a:ext uri="{FF2B5EF4-FFF2-40B4-BE49-F238E27FC236}">
              <a16:creationId xmlns:a16="http://schemas.microsoft.com/office/drawing/2014/main" id="{A2275199-AF9A-49B8-92D5-0307F0ACC20D}"/>
            </a:ext>
          </a:extLst>
        </xdr:cNvPr>
        <xdr:cNvSpPr/>
      </xdr:nvSpPr>
      <xdr:spPr>
        <a:xfrm>
          <a:off x="9046790" y="13278757"/>
          <a:ext cx="1678936" cy="850388"/>
        </a:xfrm>
        <a:prstGeom prst="roundRect">
          <a:avLst/>
        </a:prstGeom>
        <a:solidFill>
          <a:schemeClr val="accent2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cs-CZ" sz="1400" b="1">
              <a:solidFill>
                <a:schemeClr val="bg2">
                  <a:lumMod val="25000"/>
                </a:schemeClr>
              </a:solidFill>
            </a:rPr>
            <a:t>BILANCE CF</a:t>
          </a:r>
        </a:p>
      </xdr:txBody>
    </xdr:sp>
    <xdr:clientData/>
  </xdr:twoCellAnchor>
  <xdr:twoCellAnchor>
    <xdr:from>
      <xdr:col>5</xdr:col>
      <xdr:colOff>127001</xdr:colOff>
      <xdr:row>62</xdr:row>
      <xdr:rowOff>55229</xdr:rowOff>
    </xdr:from>
    <xdr:to>
      <xdr:col>6</xdr:col>
      <xdr:colOff>831274</xdr:colOff>
      <xdr:row>67</xdr:row>
      <xdr:rowOff>39709</xdr:rowOff>
    </xdr:to>
    <xdr:sp macro="" textlink="">
      <xdr:nvSpPr>
        <xdr:cNvPr id="29" name="Obdélník: se zakulacenými rohy 28">
          <a:extLst>
            <a:ext uri="{FF2B5EF4-FFF2-40B4-BE49-F238E27FC236}">
              <a16:creationId xmlns:a16="http://schemas.microsoft.com/office/drawing/2014/main" id="{26E6AA01-BFDF-4492-921E-3E0A711A1566}"/>
            </a:ext>
          </a:extLst>
        </xdr:cNvPr>
        <xdr:cNvSpPr/>
      </xdr:nvSpPr>
      <xdr:spPr>
        <a:xfrm>
          <a:off x="5437910" y="10272956"/>
          <a:ext cx="1962728" cy="850389"/>
        </a:xfrm>
        <a:prstGeom prst="roundRect">
          <a:avLst/>
        </a:prstGeom>
        <a:solidFill>
          <a:schemeClr val="accent2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cs-CZ" sz="1400" b="1">
              <a:solidFill>
                <a:schemeClr val="bg2">
                  <a:lumMod val="25000"/>
                </a:schemeClr>
              </a:solidFill>
            </a:rPr>
            <a:t>PLÁN NÁKUPU</a:t>
          </a:r>
        </a:p>
      </xdr:txBody>
    </xdr:sp>
    <xdr:clientData/>
  </xdr:twoCellAnchor>
  <xdr:twoCellAnchor>
    <xdr:from>
      <xdr:col>6</xdr:col>
      <xdr:colOff>1177636</xdr:colOff>
      <xdr:row>55</xdr:row>
      <xdr:rowOff>44344</xdr:rowOff>
    </xdr:from>
    <xdr:to>
      <xdr:col>9</xdr:col>
      <xdr:colOff>1255313</xdr:colOff>
      <xdr:row>60</xdr:row>
      <xdr:rowOff>28824</xdr:rowOff>
    </xdr:to>
    <xdr:sp macro="" textlink="">
      <xdr:nvSpPr>
        <xdr:cNvPr id="30" name="Obdélník: se zakulacenými rohy 29">
          <a:extLst>
            <a:ext uri="{FF2B5EF4-FFF2-40B4-BE49-F238E27FC236}">
              <a16:creationId xmlns:a16="http://schemas.microsoft.com/office/drawing/2014/main" id="{E2DD002F-BA84-4205-9084-9EE89D33B7EB}"/>
            </a:ext>
          </a:extLst>
        </xdr:cNvPr>
        <xdr:cNvSpPr/>
      </xdr:nvSpPr>
      <xdr:spPr>
        <a:xfrm>
          <a:off x="7539181" y="9049799"/>
          <a:ext cx="3853041" cy="850389"/>
        </a:xfrm>
        <a:prstGeom prst="roundRect">
          <a:avLst/>
        </a:prstGeom>
        <a:solidFill>
          <a:schemeClr val="accent2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cs-CZ" sz="1400" b="1">
              <a:solidFill>
                <a:schemeClr val="bg2">
                  <a:lumMod val="25000"/>
                </a:schemeClr>
              </a:solidFill>
            </a:rPr>
            <a:t>PLÁN VÝROBY</a:t>
          </a:r>
        </a:p>
      </xdr:txBody>
    </xdr:sp>
    <xdr:clientData/>
  </xdr:twoCellAnchor>
  <xdr:twoCellAnchor>
    <xdr:from>
      <xdr:col>7</xdr:col>
      <xdr:colOff>891620</xdr:colOff>
      <xdr:row>64</xdr:row>
      <xdr:rowOff>165923</xdr:rowOff>
    </xdr:from>
    <xdr:to>
      <xdr:col>9</xdr:col>
      <xdr:colOff>306463</xdr:colOff>
      <xdr:row>69</xdr:row>
      <xdr:rowOff>150403</xdr:rowOff>
    </xdr:to>
    <xdr:sp macro="" textlink="">
      <xdr:nvSpPr>
        <xdr:cNvPr id="31" name="Obdélník: se zakulacenými rohy 30">
          <a:extLst>
            <a:ext uri="{FF2B5EF4-FFF2-40B4-BE49-F238E27FC236}">
              <a16:creationId xmlns:a16="http://schemas.microsoft.com/office/drawing/2014/main" id="{DB7E931C-BF9B-46BF-9B37-71D4E9693575}"/>
            </a:ext>
          </a:extLst>
        </xdr:cNvPr>
        <xdr:cNvSpPr/>
      </xdr:nvSpPr>
      <xdr:spPr>
        <a:xfrm>
          <a:off x="8511620" y="10730014"/>
          <a:ext cx="1931752" cy="850389"/>
        </a:xfrm>
        <a:prstGeom prst="roundRect">
          <a:avLst/>
        </a:prstGeom>
        <a:solidFill>
          <a:schemeClr val="accent2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cs-CZ" sz="1400" b="1">
              <a:solidFill>
                <a:schemeClr val="bg2">
                  <a:lumMod val="25000"/>
                </a:schemeClr>
              </a:solidFill>
            </a:rPr>
            <a:t>SKLAD</a:t>
          </a:r>
        </a:p>
      </xdr:txBody>
    </xdr:sp>
    <xdr:clientData/>
  </xdr:twoCellAnchor>
  <xdr:twoCellAnchor>
    <xdr:from>
      <xdr:col>3</xdr:col>
      <xdr:colOff>319788</xdr:colOff>
      <xdr:row>97</xdr:row>
      <xdr:rowOff>70980</xdr:rowOff>
    </xdr:from>
    <xdr:to>
      <xdr:col>5</xdr:col>
      <xdr:colOff>101023</xdr:colOff>
      <xdr:row>102</xdr:row>
      <xdr:rowOff>45935</xdr:rowOff>
    </xdr:to>
    <xdr:sp macro="" textlink="">
      <xdr:nvSpPr>
        <xdr:cNvPr id="32" name="Obdélník: se zakulacenými rohy 31">
          <a:extLst>
            <a:ext uri="{FF2B5EF4-FFF2-40B4-BE49-F238E27FC236}">
              <a16:creationId xmlns:a16="http://schemas.microsoft.com/office/drawing/2014/main" id="{FB852448-C6C4-4E07-8376-15848B5FEA64}"/>
            </a:ext>
          </a:extLst>
        </xdr:cNvPr>
        <xdr:cNvSpPr/>
      </xdr:nvSpPr>
      <xdr:spPr>
        <a:xfrm>
          <a:off x="3113788" y="16350071"/>
          <a:ext cx="2298144" cy="840864"/>
        </a:xfrm>
        <a:prstGeom prst="roundRect">
          <a:avLst/>
        </a:prstGeom>
        <a:solidFill>
          <a:schemeClr val="accent2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cs-CZ" sz="1400" b="1">
              <a:solidFill>
                <a:schemeClr val="bg2">
                  <a:lumMod val="25000"/>
                </a:schemeClr>
              </a:solidFill>
            </a:rPr>
            <a:t>HORMONOGRAM EXPANZE</a:t>
          </a:r>
        </a:p>
      </xdr:txBody>
    </xdr:sp>
    <xdr:clientData/>
  </xdr:twoCellAnchor>
  <xdr:twoCellAnchor>
    <xdr:from>
      <xdr:col>5</xdr:col>
      <xdr:colOff>1021512</xdr:colOff>
      <xdr:row>94</xdr:row>
      <xdr:rowOff>110196</xdr:rowOff>
    </xdr:from>
    <xdr:to>
      <xdr:col>7</xdr:col>
      <xdr:colOff>842816</xdr:colOff>
      <xdr:row>99</xdr:row>
      <xdr:rowOff>85151</xdr:rowOff>
    </xdr:to>
    <xdr:sp macro="" textlink="">
      <xdr:nvSpPr>
        <xdr:cNvPr id="33" name="Obdélník: se zakulacenými rohy 32">
          <a:extLst>
            <a:ext uri="{FF2B5EF4-FFF2-40B4-BE49-F238E27FC236}">
              <a16:creationId xmlns:a16="http://schemas.microsoft.com/office/drawing/2014/main" id="{615FE860-D5F5-43B3-B6E7-05533A1FE6F1}"/>
            </a:ext>
          </a:extLst>
        </xdr:cNvPr>
        <xdr:cNvSpPr/>
      </xdr:nvSpPr>
      <xdr:spPr>
        <a:xfrm>
          <a:off x="6332421" y="15869741"/>
          <a:ext cx="2338213" cy="840865"/>
        </a:xfrm>
        <a:prstGeom prst="roundRect">
          <a:avLst/>
        </a:prstGeom>
        <a:solidFill>
          <a:schemeClr val="accent2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cs-CZ" sz="1400" b="1">
              <a:solidFill>
                <a:schemeClr val="bg2">
                  <a:lumMod val="25000"/>
                </a:schemeClr>
              </a:solidFill>
            </a:rPr>
            <a:t>STRATEGICKÁ INVESTICE</a:t>
          </a:r>
        </a:p>
      </xdr:txBody>
    </xdr:sp>
    <xdr:clientData/>
  </xdr:twoCellAnchor>
  <xdr:twoCellAnchor>
    <xdr:from>
      <xdr:col>8</xdr:col>
      <xdr:colOff>1093624</xdr:colOff>
      <xdr:row>92</xdr:row>
      <xdr:rowOff>129408</xdr:rowOff>
    </xdr:from>
    <xdr:to>
      <xdr:col>10</xdr:col>
      <xdr:colOff>704273</xdr:colOff>
      <xdr:row>97</xdr:row>
      <xdr:rowOff>104364</xdr:rowOff>
    </xdr:to>
    <xdr:sp macro="" textlink="">
      <xdr:nvSpPr>
        <xdr:cNvPr id="34" name="Obdélník: se zakulacenými rohy 33">
          <a:extLst>
            <a:ext uri="{FF2B5EF4-FFF2-40B4-BE49-F238E27FC236}">
              <a16:creationId xmlns:a16="http://schemas.microsoft.com/office/drawing/2014/main" id="{0A1E4964-A9BA-4873-87C6-4FDFA0257224}"/>
            </a:ext>
          </a:extLst>
        </xdr:cNvPr>
        <xdr:cNvSpPr/>
      </xdr:nvSpPr>
      <xdr:spPr>
        <a:xfrm>
          <a:off x="10179897" y="15542590"/>
          <a:ext cx="2127558" cy="840865"/>
        </a:xfrm>
        <a:prstGeom prst="roundRect">
          <a:avLst/>
        </a:prstGeom>
        <a:solidFill>
          <a:schemeClr val="accent2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cs-CZ" sz="1400" b="1">
              <a:solidFill>
                <a:schemeClr val="bg2">
                  <a:lumMod val="25000"/>
                </a:schemeClr>
              </a:solidFill>
            </a:rPr>
            <a:t>VÝVOJ CF</a:t>
          </a:r>
        </a:p>
      </xdr:txBody>
    </xdr:sp>
    <xdr:clientData/>
  </xdr:twoCellAnchor>
  <xdr:twoCellAnchor>
    <xdr:from>
      <xdr:col>12</xdr:col>
      <xdr:colOff>76880</xdr:colOff>
      <xdr:row>91</xdr:row>
      <xdr:rowOff>112959</xdr:rowOff>
    </xdr:from>
    <xdr:to>
      <xdr:col>12</xdr:col>
      <xdr:colOff>2355272</xdr:colOff>
      <xdr:row>96</xdr:row>
      <xdr:rowOff>87915</xdr:rowOff>
    </xdr:to>
    <xdr:sp macro="" textlink="">
      <xdr:nvSpPr>
        <xdr:cNvPr id="35" name="Obdélník: se zakulacenými rohy 34">
          <a:extLst>
            <a:ext uri="{FF2B5EF4-FFF2-40B4-BE49-F238E27FC236}">
              <a16:creationId xmlns:a16="http://schemas.microsoft.com/office/drawing/2014/main" id="{D89AEF9B-F080-40C9-9C37-16D1901E5896}"/>
            </a:ext>
          </a:extLst>
        </xdr:cNvPr>
        <xdr:cNvSpPr/>
      </xdr:nvSpPr>
      <xdr:spPr>
        <a:xfrm>
          <a:off x="14196971" y="15352959"/>
          <a:ext cx="2278392" cy="840865"/>
        </a:xfrm>
        <a:prstGeom prst="roundRect">
          <a:avLst/>
        </a:prstGeom>
        <a:solidFill>
          <a:schemeClr val="accent2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cs-CZ" sz="1400" b="1">
              <a:solidFill>
                <a:schemeClr val="bg2">
                  <a:lumMod val="25000"/>
                </a:schemeClr>
              </a:solidFill>
            </a:rPr>
            <a:t>PLATFORMA SHARED</a:t>
          </a:r>
          <a:r>
            <a:rPr lang="cs-CZ" sz="1400" b="1" baseline="0">
              <a:solidFill>
                <a:schemeClr val="bg2">
                  <a:lumMod val="25000"/>
                </a:schemeClr>
              </a:solidFill>
            </a:rPr>
            <a:t> ECONOMY</a:t>
          </a:r>
          <a:endParaRPr lang="cs-CZ" sz="1400" b="1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5</xdr:col>
      <xdr:colOff>1027546</xdr:colOff>
      <xdr:row>100</xdr:row>
      <xdr:rowOff>132584</xdr:rowOff>
    </xdr:from>
    <xdr:to>
      <xdr:col>7</xdr:col>
      <xdr:colOff>854361</xdr:colOff>
      <xdr:row>105</xdr:row>
      <xdr:rowOff>107539</xdr:rowOff>
    </xdr:to>
    <xdr:sp macro="" textlink="">
      <xdr:nvSpPr>
        <xdr:cNvPr id="36" name="Obdélník: se zakulacenými rohy 35">
          <a:extLst>
            <a:ext uri="{FF2B5EF4-FFF2-40B4-BE49-F238E27FC236}">
              <a16:creationId xmlns:a16="http://schemas.microsoft.com/office/drawing/2014/main" id="{AE9C4E44-85A0-4784-A391-25CEDF552C1D}"/>
            </a:ext>
          </a:extLst>
        </xdr:cNvPr>
        <xdr:cNvSpPr/>
      </xdr:nvSpPr>
      <xdr:spPr>
        <a:xfrm>
          <a:off x="6338455" y="16931220"/>
          <a:ext cx="2343724" cy="840864"/>
        </a:xfrm>
        <a:prstGeom prst="roundRect">
          <a:avLst/>
        </a:prstGeom>
        <a:solidFill>
          <a:schemeClr val="accent2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cs-CZ" sz="1400" b="1">
              <a:solidFill>
                <a:schemeClr val="bg2">
                  <a:lumMod val="25000"/>
                </a:schemeClr>
              </a:solidFill>
            </a:rPr>
            <a:t>VÝVOJ NA</a:t>
          </a:r>
          <a:r>
            <a:rPr lang="cs-CZ" sz="1400" b="1" baseline="0">
              <a:solidFill>
                <a:schemeClr val="bg2">
                  <a:lumMod val="25000"/>
                </a:schemeClr>
              </a:solidFill>
            </a:rPr>
            <a:t> TRHU</a:t>
          </a:r>
          <a:endParaRPr lang="cs-CZ" sz="1400" b="1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12</xdr:col>
      <xdr:colOff>121620</xdr:colOff>
      <xdr:row>97</xdr:row>
      <xdr:rowOff>140109</xdr:rowOff>
    </xdr:from>
    <xdr:to>
      <xdr:col>12</xdr:col>
      <xdr:colOff>2378364</xdr:colOff>
      <xdr:row>102</xdr:row>
      <xdr:rowOff>115064</xdr:rowOff>
    </xdr:to>
    <xdr:sp macro="" textlink="">
      <xdr:nvSpPr>
        <xdr:cNvPr id="37" name="Obdélník: se zakulacenými rohy 36">
          <a:extLst>
            <a:ext uri="{FF2B5EF4-FFF2-40B4-BE49-F238E27FC236}">
              <a16:creationId xmlns:a16="http://schemas.microsoft.com/office/drawing/2014/main" id="{5E6D4F7F-52C7-4E46-9A3C-BF26DE42F266}"/>
            </a:ext>
          </a:extLst>
        </xdr:cNvPr>
        <xdr:cNvSpPr/>
      </xdr:nvSpPr>
      <xdr:spPr>
        <a:xfrm>
          <a:off x="14241711" y="16419200"/>
          <a:ext cx="2256744" cy="840864"/>
        </a:xfrm>
        <a:prstGeom prst="roundRect">
          <a:avLst/>
        </a:prstGeom>
        <a:solidFill>
          <a:schemeClr val="accent2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cs-CZ" sz="1400" b="1">
              <a:solidFill>
                <a:schemeClr val="bg2">
                  <a:lumMod val="25000"/>
                </a:schemeClr>
              </a:solidFill>
            </a:rPr>
            <a:t>ZERO WASTE VÝNOSY</a:t>
          </a:r>
        </a:p>
      </xdr:txBody>
    </xdr:sp>
    <xdr:clientData/>
  </xdr:twoCellAnchor>
  <xdr:twoCellAnchor>
    <xdr:from>
      <xdr:col>12</xdr:col>
      <xdr:colOff>117537</xdr:colOff>
      <xdr:row>104</xdr:row>
      <xdr:rowOff>20674</xdr:rowOff>
    </xdr:from>
    <xdr:to>
      <xdr:col>12</xdr:col>
      <xdr:colOff>2388683</xdr:colOff>
      <xdr:row>108</xdr:row>
      <xdr:rowOff>168810</xdr:rowOff>
    </xdr:to>
    <xdr:sp macro="" textlink="">
      <xdr:nvSpPr>
        <xdr:cNvPr id="38" name="Obdélník: se zakulacenými rohy 37">
          <a:extLst>
            <a:ext uri="{FF2B5EF4-FFF2-40B4-BE49-F238E27FC236}">
              <a16:creationId xmlns:a16="http://schemas.microsoft.com/office/drawing/2014/main" id="{86BC3F45-14B3-4A61-A17E-4D6671873F7F}"/>
            </a:ext>
          </a:extLst>
        </xdr:cNvPr>
        <xdr:cNvSpPr/>
      </xdr:nvSpPr>
      <xdr:spPr>
        <a:xfrm>
          <a:off x="14237628" y="17512038"/>
          <a:ext cx="2271146" cy="840863"/>
        </a:xfrm>
        <a:prstGeom prst="roundRect">
          <a:avLst/>
        </a:prstGeom>
        <a:solidFill>
          <a:schemeClr val="accent2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cs-CZ" sz="1400" b="1">
              <a:solidFill>
                <a:schemeClr val="bg2">
                  <a:lumMod val="25000"/>
                </a:schemeClr>
              </a:solidFill>
            </a:rPr>
            <a:t>ZERO WASTE NÁKLADY</a:t>
          </a:r>
        </a:p>
      </xdr:txBody>
    </xdr:sp>
    <xdr:clientData/>
  </xdr:twoCellAnchor>
  <xdr:twoCellAnchor>
    <xdr:from>
      <xdr:col>8</xdr:col>
      <xdr:colOff>1128321</xdr:colOff>
      <xdr:row>99</xdr:row>
      <xdr:rowOff>146277</xdr:rowOff>
    </xdr:from>
    <xdr:to>
      <xdr:col>10</xdr:col>
      <xdr:colOff>692727</xdr:colOff>
      <xdr:row>104</xdr:row>
      <xdr:rowOff>111706</xdr:rowOff>
    </xdr:to>
    <xdr:sp macro="" textlink="">
      <xdr:nvSpPr>
        <xdr:cNvPr id="39" name="Obdélník: se zakulacenými rohy 38">
          <a:extLst>
            <a:ext uri="{FF2B5EF4-FFF2-40B4-BE49-F238E27FC236}">
              <a16:creationId xmlns:a16="http://schemas.microsoft.com/office/drawing/2014/main" id="{6C1A8B78-6A92-4C38-B003-772A78AF507C}"/>
            </a:ext>
          </a:extLst>
        </xdr:cNvPr>
        <xdr:cNvSpPr/>
      </xdr:nvSpPr>
      <xdr:spPr>
        <a:xfrm>
          <a:off x="10214594" y="16771732"/>
          <a:ext cx="2081315" cy="831338"/>
        </a:xfrm>
        <a:prstGeom prst="roundRect">
          <a:avLst/>
        </a:prstGeom>
        <a:solidFill>
          <a:schemeClr val="accent2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cs-CZ" sz="1400" b="1">
              <a:solidFill>
                <a:schemeClr val="bg2">
                  <a:lumMod val="25000"/>
                </a:schemeClr>
              </a:solidFill>
            </a:rPr>
            <a:t>HODNOCENÍ INVESTIC</a:t>
          </a:r>
        </a:p>
      </xdr:txBody>
    </xdr:sp>
    <xdr:clientData/>
  </xdr:twoCellAnchor>
  <xdr:twoCellAnchor>
    <xdr:from>
      <xdr:col>5</xdr:col>
      <xdr:colOff>478933</xdr:colOff>
      <xdr:row>107</xdr:row>
      <xdr:rowOff>30925</xdr:rowOff>
    </xdr:from>
    <xdr:to>
      <xdr:col>7</xdr:col>
      <xdr:colOff>265546</xdr:colOff>
      <xdr:row>111</xdr:row>
      <xdr:rowOff>169536</xdr:rowOff>
    </xdr:to>
    <xdr:sp macro="" textlink="">
      <xdr:nvSpPr>
        <xdr:cNvPr id="40" name="Obdélník: se zakulacenými rohy 39">
          <a:extLst>
            <a:ext uri="{FF2B5EF4-FFF2-40B4-BE49-F238E27FC236}">
              <a16:creationId xmlns:a16="http://schemas.microsoft.com/office/drawing/2014/main" id="{57EFCA6C-6958-4993-963E-51EDA5DD407C}"/>
            </a:ext>
          </a:extLst>
        </xdr:cNvPr>
        <xdr:cNvSpPr/>
      </xdr:nvSpPr>
      <xdr:spPr>
        <a:xfrm>
          <a:off x="5789842" y="18041834"/>
          <a:ext cx="2303522" cy="831338"/>
        </a:xfrm>
        <a:prstGeom prst="roundRect">
          <a:avLst/>
        </a:prstGeom>
        <a:solidFill>
          <a:schemeClr val="accent2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cs-CZ" sz="1400" b="1">
              <a:solidFill>
                <a:schemeClr val="bg2">
                  <a:lumMod val="25000"/>
                </a:schemeClr>
              </a:solidFill>
            </a:rPr>
            <a:t>MATICE RIZIK</a:t>
          </a:r>
        </a:p>
      </xdr:txBody>
    </xdr:sp>
    <xdr:clientData/>
  </xdr:twoCellAnchor>
  <xdr:twoCellAnchor>
    <xdr:from>
      <xdr:col>8</xdr:col>
      <xdr:colOff>1137843</xdr:colOff>
      <xdr:row>106</xdr:row>
      <xdr:rowOff>167863</xdr:rowOff>
    </xdr:from>
    <xdr:to>
      <xdr:col>10</xdr:col>
      <xdr:colOff>704271</xdr:colOff>
      <xdr:row>111</xdr:row>
      <xdr:rowOff>141086</xdr:rowOff>
    </xdr:to>
    <xdr:sp macro="" textlink="">
      <xdr:nvSpPr>
        <xdr:cNvPr id="41" name="Obdélník: se zakulacenými rohy 40">
          <a:extLst>
            <a:ext uri="{FF2B5EF4-FFF2-40B4-BE49-F238E27FC236}">
              <a16:creationId xmlns:a16="http://schemas.microsoft.com/office/drawing/2014/main" id="{4C392D45-8CFF-4598-9A27-9BCFC3287B90}"/>
            </a:ext>
          </a:extLst>
        </xdr:cNvPr>
        <xdr:cNvSpPr/>
      </xdr:nvSpPr>
      <xdr:spPr>
        <a:xfrm>
          <a:off x="10224116" y="18005590"/>
          <a:ext cx="2083337" cy="839132"/>
        </a:xfrm>
        <a:prstGeom prst="roundRect">
          <a:avLst/>
        </a:prstGeom>
        <a:solidFill>
          <a:schemeClr val="accent2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cs-CZ" sz="1400" b="1">
              <a:solidFill>
                <a:schemeClr val="bg2">
                  <a:lumMod val="25000"/>
                </a:schemeClr>
              </a:solidFill>
            </a:rPr>
            <a:t>CITLIVOSTNÍ ANALÝZA</a:t>
          </a:r>
        </a:p>
      </xdr:txBody>
    </xdr:sp>
    <xdr:clientData/>
  </xdr:twoCellAnchor>
  <xdr:twoCellAnchor>
    <xdr:from>
      <xdr:col>3</xdr:col>
      <xdr:colOff>407613</xdr:colOff>
      <xdr:row>107</xdr:row>
      <xdr:rowOff>26780</xdr:rowOff>
    </xdr:from>
    <xdr:to>
      <xdr:col>5</xdr:col>
      <xdr:colOff>207817</xdr:colOff>
      <xdr:row>111</xdr:row>
      <xdr:rowOff>155868</xdr:rowOff>
    </xdr:to>
    <xdr:sp macro="" textlink="">
      <xdr:nvSpPr>
        <xdr:cNvPr id="42" name="Obdélník: se zakulacenými rohy 41">
          <a:extLst>
            <a:ext uri="{FF2B5EF4-FFF2-40B4-BE49-F238E27FC236}">
              <a16:creationId xmlns:a16="http://schemas.microsoft.com/office/drawing/2014/main" id="{D3EE6842-5BB4-455F-B969-08D4BECD5716}"/>
            </a:ext>
          </a:extLst>
        </xdr:cNvPr>
        <xdr:cNvSpPr/>
      </xdr:nvSpPr>
      <xdr:spPr>
        <a:xfrm>
          <a:off x="3201613" y="18037689"/>
          <a:ext cx="2317113" cy="821815"/>
        </a:xfrm>
        <a:prstGeom prst="roundRect">
          <a:avLst/>
        </a:prstGeom>
        <a:solidFill>
          <a:schemeClr val="accent2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cs-CZ" sz="1400" b="1">
              <a:solidFill>
                <a:schemeClr val="bg2">
                  <a:lumMod val="25000"/>
                </a:schemeClr>
              </a:solidFill>
            </a:rPr>
            <a:t>SWOT</a:t>
          </a:r>
        </a:p>
      </xdr:txBody>
    </xdr:sp>
    <xdr:clientData/>
  </xdr:twoCellAnchor>
  <xdr:twoCellAnchor>
    <xdr:from>
      <xdr:col>2</xdr:col>
      <xdr:colOff>1074964</xdr:colOff>
      <xdr:row>5</xdr:row>
      <xdr:rowOff>149679</xdr:rowOff>
    </xdr:from>
    <xdr:to>
      <xdr:col>13</xdr:col>
      <xdr:colOff>258535</xdr:colOff>
      <xdr:row>12</xdr:row>
      <xdr:rowOff>149679</xdr:rowOff>
    </xdr:to>
    <xdr:sp macro="" textlink="">
      <xdr:nvSpPr>
        <xdr:cNvPr id="43" name="Obdélník 42">
          <a:extLst>
            <a:ext uri="{FF2B5EF4-FFF2-40B4-BE49-F238E27FC236}">
              <a16:creationId xmlns:a16="http://schemas.microsoft.com/office/drawing/2014/main" id="{FFF55C2A-E3B4-479B-884E-E3954C478594}"/>
            </a:ext>
          </a:extLst>
        </xdr:cNvPr>
        <xdr:cNvSpPr/>
      </xdr:nvSpPr>
      <xdr:spPr>
        <a:xfrm>
          <a:off x="2014764" y="4226379"/>
          <a:ext cx="11312071" cy="1244600"/>
        </a:xfrm>
        <a:prstGeom prst="rect">
          <a:avLst/>
        </a:prstGeom>
        <a:noFill/>
        <a:ln w="57150" cap="flat" cmpd="sng" algn="ctr">
          <a:solidFill>
            <a:schemeClr val="accent5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5"/>
        </a:fontRef>
      </xdr:style>
      <xdr:txBody>
        <a:bodyPr vertOverflow="clip" horzOverflow="clip" rtlCol="0" anchor="t"/>
        <a:lstStyle/>
        <a:p>
          <a:pPr algn="l"/>
          <a:endParaRPr lang="cs-CZ" sz="1100"/>
        </a:p>
      </xdr:txBody>
    </xdr:sp>
    <xdr:clientData/>
  </xdr:twoCellAnchor>
  <xdr:twoCellAnchor>
    <xdr:from>
      <xdr:col>2</xdr:col>
      <xdr:colOff>1074964</xdr:colOff>
      <xdr:row>14</xdr:row>
      <xdr:rowOff>40821</xdr:rowOff>
    </xdr:from>
    <xdr:to>
      <xdr:col>13</xdr:col>
      <xdr:colOff>261256</xdr:colOff>
      <xdr:row>49</xdr:row>
      <xdr:rowOff>136071</xdr:rowOff>
    </xdr:to>
    <xdr:sp macro="" textlink="">
      <xdr:nvSpPr>
        <xdr:cNvPr id="44" name="Obdélník 43">
          <a:extLst>
            <a:ext uri="{FF2B5EF4-FFF2-40B4-BE49-F238E27FC236}">
              <a16:creationId xmlns:a16="http://schemas.microsoft.com/office/drawing/2014/main" id="{72FF6637-17DE-46DE-B12F-50467C7CB01A}"/>
            </a:ext>
          </a:extLst>
        </xdr:cNvPr>
        <xdr:cNvSpPr/>
      </xdr:nvSpPr>
      <xdr:spPr>
        <a:xfrm>
          <a:off x="2014764" y="5539921"/>
          <a:ext cx="11314792" cy="6318250"/>
        </a:xfrm>
        <a:prstGeom prst="rect">
          <a:avLst/>
        </a:prstGeom>
        <a:noFill/>
        <a:ln w="57150" cap="flat" cmpd="sng" algn="ctr">
          <a:solidFill>
            <a:schemeClr val="accent5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5"/>
        </a:fontRef>
      </xdr:style>
      <xdr:txBody>
        <a:bodyPr vertOverflow="clip" horzOverflow="clip" rtlCol="0" anchor="t"/>
        <a:lstStyle/>
        <a:p>
          <a:pPr algn="l"/>
          <a:endParaRPr lang="cs-CZ" sz="1100"/>
        </a:p>
      </xdr:txBody>
    </xdr:sp>
    <xdr:clientData/>
  </xdr:twoCellAnchor>
  <xdr:twoCellAnchor>
    <xdr:from>
      <xdr:col>2</xdr:col>
      <xdr:colOff>1074964</xdr:colOff>
      <xdr:row>51</xdr:row>
      <xdr:rowOff>95251</xdr:rowOff>
    </xdr:from>
    <xdr:to>
      <xdr:col>13</xdr:col>
      <xdr:colOff>277584</xdr:colOff>
      <xdr:row>88</xdr:row>
      <xdr:rowOff>103910</xdr:rowOff>
    </xdr:to>
    <xdr:sp macro="" textlink="">
      <xdr:nvSpPr>
        <xdr:cNvPr id="45" name="Obdélník 44">
          <a:extLst>
            <a:ext uri="{FF2B5EF4-FFF2-40B4-BE49-F238E27FC236}">
              <a16:creationId xmlns:a16="http://schemas.microsoft.com/office/drawing/2014/main" id="{92FA6182-ED9D-40C3-9FFB-A481487501AD}"/>
            </a:ext>
          </a:extLst>
        </xdr:cNvPr>
        <xdr:cNvSpPr/>
      </xdr:nvSpPr>
      <xdr:spPr>
        <a:xfrm>
          <a:off x="2610509" y="8061615"/>
          <a:ext cx="14177075" cy="6416386"/>
        </a:xfrm>
        <a:prstGeom prst="rect">
          <a:avLst/>
        </a:prstGeom>
        <a:noFill/>
        <a:ln w="57150" cap="flat" cmpd="sng" algn="ctr">
          <a:solidFill>
            <a:schemeClr val="accent5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5"/>
        </a:fontRef>
      </xdr:style>
      <xdr:txBody>
        <a:bodyPr vertOverflow="clip" horzOverflow="clip" rtlCol="0" anchor="t"/>
        <a:lstStyle/>
        <a:p>
          <a:pPr algn="l"/>
          <a:endParaRPr lang="cs-CZ" sz="1100"/>
        </a:p>
      </xdr:txBody>
    </xdr:sp>
    <xdr:clientData/>
  </xdr:twoCellAnchor>
  <xdr:twoCellAnchor>
    <xdr:from>
      <xdr:col>2</xdr:col>
      <xdr:colOff>1061357</xdr:colOff>
      <xdr:row>90</xdr:row>
      <xdr:rowOff>3711</xdr:rowOff>
    </xdr:from>
    <xdr:to>
      <xdr:col>13</xdr:col>
      <xdr:colOff>253091</xdr:colOff>
      <xdr:row>113</xdr:row>
      <xdr:rowOff>161637</xdr:rowOff>
    </xdr:to>
    <xdr:sp macro="" textlink="">
      <xdr:nvSpPr>
        <xdr:cNvPr id="46" name="Obdélník 45">
          <a:extLst>
            <a:ext uri="{FF2B5EF4-FFF2-40B4-BE49-F238E27FC236}">
              <a16:creationId xmlns:a16="http://schemas.microsoft.com/office/drawing/2014/main" id="{5293FED0-EC91-4C9F-A01E-E589209B1283}"/>
            </a:ext>
          </a:extLst>
        </xdr:cNvPr>
        <xdr:cNvSpPr/>
      </xdr:nvSpPr>
      <xdr:spPr>
        <a:xfrm>
          <a:off x="2596902" y="15070529"/>
          <a:ext cx="14166189" cy="4141108"/>
        </a:xfrm>
        <a:prstGeom prst="rect">
          <a:avLst/>
        </a:prstGeom>
        <a:noFill/>
        <a:ln w="57150" cap="flat" cmpd="sng" algn="ctr">
          <a:solidFill>
            <a:schemeClr val="accent5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5"/>
        </a:fontRef>
      </xdr:style>
      <xdr:txBody>
        <a:bodyPr vertOverflow="clip" horzOverflow="clip" rtlCol="0" anchor="t"/>
        <a:lstStyle/>
        <a:p>
          <a:pPr algn="l"/>
          <a:endParaRPr lang="cs-CZ" sz="1100"/>
        </a:p>
      </xdr:txBody>
    </xdr:sp>
    <xdr:clientData/>
  </xdr:twoCellAnchor>
  <xdr:twoCellAnchor>
    <xdr:from>
      <xdr:col>6</xdr:col>
      <xdr:colOff>163980</xdr:colOff>
      <xdr:row>18</xdr:row>
      <xdr:rowOff>109466</xdr:rowOff>
    </xdr:from>
    <xdr:to>
      <xdr:col>6</xdr:col>
      <xdr:colOff>852896</xdr:colOff>
      <xdr:row>28</xdr:row>
      <xdr:rowOff>54923</xdr:rowOff>
    </xdr:to>
    <xdr:cxnSp macro="">
      <xdr:nvCxnSpPr>
        <xdr:cNvPr id="49" name="Spojnice: pravoúhlá 48">
          <a:extLst>
            <a:ext uri="{FF2B5EF4-FFF2-40B4-BE49-F238E27FC236}">
              <a16:creationId xmlns:a16="http://schemas.microsoft.com/office/drawing/2014/main" id="{80A5CC2B-693D-46D6-BE0D-CE42FD00AE3C}"/>
            </a:ext>
          </a:extLst>
        </xdr:cNvPr>
        <xdr:cNvCxnSpPr>
          <a:cxnSpLocks/>
          <a:stCxn id="13" idx="3"/>
          <a:endCxn id="9" idx="1"/>
        </xdr:cNvCxnSpPr>
      </xdr:nvCxnSpPr>
      <xdr:spPr>
        <a:xfrm>
          <a:off x="6525525" y="2880375"/>
          <a:ext cx="688916" cy="1677275"/>
        </a:xfrm>
        <a:prstGeom prst="bentConnector3">
          <a:avLst>
            <a:gd name="adj1" fmla="val 50000"/>
          </a:avLst>
        </a:prstGeom>
        <a:ln w="38100">
          <a:solidFill>
            <a:schemeClr val="accent5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165007</xdr:colOff>
      <xdr:row>24</xdr:row>
      <xdr:rowOff>169468</xdr:rowOff>
    </xdr:from>
    <xdr:to>
      <xdr:col>6</xdr:col>
      <xdr:colOff>852896</xdr:colOff>
      <xdr:row>28</xdr:row>
      <xdr:rowOff>54923</xdr:rowOff>
    </xdr:to>
    <xdr:cxnSp macro="">
      <xdr:nvCxnSpPr>
        <xdr:cNvPr id="50" name="Spojnice: pravoúhlá 49">
          <a:extLst>
            <a:ext uri="{FF2B5EF4-FFF2-40B4-BE49-F238E27FC236}">
              <a16:creationId xmlns:a16="http://schemas.microsoft.com/office/drawing/2014/main" id="{D3588AEC-3FE7-4F60-9217-1655FB50B1D8}"/>
            </a:ext>
          </a:extLst>
        </xdr:cNvPr>
        <xdr:cNvCxnSpPr>
          <a:cxnSpLocks/>
          <a:stCxn id="12" idx="3"/>
          <a:endCxn id="9" idx="1"/>
        </xdr:cNvCxnSpPr>
      </xdr:nvCxnSpPr>
      <xdr:spPr>
        <a:xfrm>
          <a:off x="6526552" y="3979468"/>
          <a:ext cx="687889" cy="578182"/>
        </a:xfrm>
        <a:prstGeom prst="bentConnector3">
          <a:avLst>
            <a:gd name="adj1" fmla="val 50000"/>
          </a:avLst>
        </a:prstGeom>
        <a:ln w="38100">
          <a:solidFill>
            <a:schemeClr val="accent5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166314</xdr:colOff>
      <xdr:row>28</xdr:row>
      <xdr:rowOff>54923</xdr:rowOff>
    </xdr:from>
    <xdr:to>
      <xdr:col>6</xdr:col>
      <xdr:colOff>852896</xdr:colOff>
      <xdr:row>31</xdr:row>
      <xdr:rowOff>110025</xdr:rowOff>
    </xdr:to>
    <xdr:cxnSp macro="">
      <xdr:nvCxnSpPr>
        <xdr:cNvPr id="51" name="Spojnice: pravoúhlá 50">
          <a:extLst>
            <a:ext uri="{FF2B5EF4-FFF2-40B4-BE49-F238E27FC236}">
              <a16:creationId xmlns:a16="http://schemas.microsoft.com/office/drawing/2014/main" id="{E94ACC73-5D3B-4B3C-99CB-21CBC2B41740}"/>
            </a:ext>
          </a:extLst>
        </xdr:cNvPr>
        <xdr:cNvCxnSpPr>
          <a:cxnSpLocks/>
          <a:stCxn id="11" idx="3"/>
          <a:endCxn id="9" idx="1"/>
        </xdr:cNvCxnSpPr>
      </xdr:nvCxnSpPr>
      <xdr:spPr>
        <a:xfrm flipV="1">
          <a:off x="6527859" y="4557650"/>
          <a:ext cx="686582" cy="574648"/>
        </a:xfrm>
        <a:prstGeom prst="bentConnector3">
          <a:avLst>
            <a:gd name="adj1" fmla="val 50000"/>
          </a:avLst>
        </a:prstGeom>
        <a:ln w="38100">
          <a:solidFill>
            <a:schemeClr val="accent5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780063</xdr:colOff>
      <xdr:row>22</xdr:row>
      <xdr:rowOff>39566</xdr:rowOff>
    </xdr:from>
    <xdr:to>
      <xdr:col>9</xdr:col>
      <xdr:colOff>473640</xdr:colOff>
      <xdr:row>28</xdr:row>
      <xdr:rowOff>139309</xdr:rowOff>
    </xdr:to>
    <xdr:cxnSp macro="">
      <xdr:nvCxnSpPr>
        <xdr:cNvPr id="53" name="Spojnice: pravoúhlá 52">
          <a:extLst>
            <a:ext uri="{FF2B5EF4-FFF2-40B4-BE49-F238E27FC236}">
              <a16:creationId xmlns:a16="http://schemas.microsoft.com/office/drawing/2014/main" id="{C1E6E639-0EB4-462E-9997-413CD449B6FA}"/>
            </a:ext>
          </a:extLst>
        </xdr:cNvPr>
        <xdr:cNvCxnSpPr>
          <a:cxnSpLocks/>
          <a:stCxn id="8" idx="0"/>
          <a:endCxn id="19" idx="2"/>
        </xdr:cNvCxnSpPr>
      </xdr:nvCxnSpPr>
      <xdr:spPr>
        <a:xfrm rot="16200000" flipV="1">
          <a:off x="9565117" y="3596603"/>
          <a:ext cx="1138834" cy="952031"/>
        </a:xfrm>
        <a:prstGeom prst="bentConnector3">
          <a:avLst>
            <a:gd name="adj1" fmla="val 50000"/>
          </a:avLst>
        </a:prstGeom>
        <a:ln w="38100">
          <a:solidFill>
            <a:schemeClr val="accent5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104730</xdr:colOff>
      <xdr:row>26</xdr:row>
      <xdr:rowOff>167820</xdr:rowOff>
    </xdr:from>
    <xdr:to>
      <xdr:col>12</xdr:col>
      <xdr:colOff>923634</xdr:colOff>
      <xdr:row>31</xdr:row>
      <xdr:rowOff>171349</xdr:rowOff>
    </xdr:to>
    <xdr:sp macro="" textlink="">
      <xdr:nvSpPr>
        <xdr:cNvPr id="55" name="Obdélník: se zakulacenými rohy 54">
          <a:extLst>
            <a:ext uri="{FF2B5EF4-FFF2-40B4-BE49-F238E27FC236}">
              <a16:creationId xmlns:a16="http://schemas.microsoft.com/office/drawing/2014/main" id="{30DA7CC9-423A-4176-9C06-0B9DCBEBA901}"/>
            </a:ext>
          </a:extLst>
        </xdr:cNvPr>
        <xdr:cNvSpPr/>
      </xdr:nvSpPr>
      <xdr:spPr>
        <a:xfrm>
          <a:off x="12758548" y="4324184"/>
          <a:ext cx="2077359" cy="869438"/>
        </a:xfrm>
        <a:prstGeom prst="roundRect">
          <a:avLst/>
        </a:prstGeom>
        <a:solidFill>
          <a:schemeClr val="accent2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cs-CZ" sz="1400" b="1">
              <a:solidFill>
                <a:schemeClr val="bg2">
                  <a:lumMod val="25000"/>
                </a:schemeClr>
              </a:solidFill>
            </a:rPr>
            <a:t>PŘÍMÉ VARIABILNÍ</a:t>
          </a:r>
          <a:r>
            <a:rPr lang="cs-CZ" sz="1400" b="1" baseline="0">
              <a:solidFill>
                <a:schemeClr val="bg2">
                  <a:lumMod val="25000"/>
                </a:schemeClr>
              </a:solidFill>
            </a:rPr>
            <a:t> NÁKLADY</a:t>
          </a:r>
          <a:endParaRPr lang="cs-CZ" sz="1400" b="1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12</xdr:col>
      <xdr:colOff>923634</xdr:colOff>
      <xdr:row>29</xdr:row>
      <xdr:rowOff>82994</xdr:rowOff>
    </xdr:from>
    <xdr:to>
      <xdr:col>12</xdr:col>
      <xdr:colOff>1558636</xdr:colOff>
      <xdr:row>46</xdr:row>
      <xdr:rowOff>57727</xdr:rowOff>
    </xdr:to>
    <xdr:cxnSp macro="">
      <xdr:nvCxnSpPr>
        <xdr:cNvPr id="60" name="Spojnice: pravoúhlá 59">
          <a:extLst>
            <a:ext uri="{FF2B5EF4-FFF2-40B4-BE49-F238E27FC236}">
              <a16:creationId xmlns:a16="http://schemas.microsoft.com/office/drawing/2014/main" id="{C5F25F06-E8A1-414D-9740-B626E4B55F7A}"/>
            </a:ext>
          </a:extLst>
        </xdr:cNvPr>
        <xdr:cNvCxnSpPr>
          <a:cxnSpLocks/>
          <a:stCxn id="55" idx="3"/>
        </xdr:cNvCxnSpPr>
      </xdr:nvCxnSpPr>
      <xdr:spPr>
        <a:xfrm>
          <a:off x="14835907" y="4758903"/>
          <a:ext cx="635002" cy="2918824"/>
        </a:xfrm>
        <a:prstGeom prst="bentConnector2">
          <a:avLst/>
        </a:prstGeom>
        <a:ln w="38100">
          <a:solidFill>
            <a:schemeClr val="accent5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669637</xdr:colOff>
      <xdr:row>22</xdr:row>
      <xdr:rowOff>1239</xdr:rowOff>
    </xdr:from>
    <xdr:to>
      <xdr:col>12</xdr:col>
      <xdr:colOff>716039</xdr:colOff>
      <xdr:row>65</xdr:row>
      <xdr:rowOff>125318</xdr:rowOff>
    </xdr:to>
    <xdr:cxnSp macro="">
      <xdr:nvCxnSpPr>
        <xdr:cNvPr id="64" name="Spojnice: pravoúhlá 63">
          <a:extLst>
            <a:ext uri="{FF2B5EF4-FFF2-40B4-BE49-F238E27FC236}">
              <a16:creationId xmlns:a16="http://schemas.microsoft.com/office/drawing/2014/main" id="{395FE2FF-936B-47BB-8613-DBB4AE5E2CB2}"/>
            </a:ext>
          </a:extLst>
        </xdr:cNvPr>
        <xdr:cNvCxnSpPr>
          <a:cxnSpLocks/>
          <a:stCxn id="7" idx="3"/>
          <a:endCxn id="22" idx="3"/>
        </xdr:cNvCxnSpPr>
      </xdr:nvCxnSpPr>
      <xdr:spPr>
        <a:xfrm>
          <a:off x="13323455" y="3464875"/>
          <a:ext cx="1304857" cy="7397716"/>
        </a:xfrm>
        <a:prstGeom prst="bentConnector3">
          <a:avLst>
            <a:gd name="adj1" fmla="val 204230"/>
          </a:avLst>
        </a:prstGeom>
        <a:ln w="57150">
          <a:solidFill>
            <a:schemeClr val="bg2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12062</xdr:colOff>
      <xdr:row>70</xdr:row>
      <xdr:rowOff>168747</xdr:rowOff>
    </xdr:from>
    <xdr:to>
      <xdr:col>12</xdr:col>
      <xdr:colOff>738909</xdr:colOff>
      <xdr:row>75</xdr:row>
      <xdr:rowOff>172277</xdr:rowOff>
    </xdr:to>
    <xdr:sp macro="" textlink="">
      <xdr:nvSpPr>
        <xdr:cNvPr id="66" name="Obdélník: se zakulacenými rohy 65">
          <a:extLst>
            <a:ext uri="{FF2B5EF4-FFF2-40B4-BE49-F238E27FC236}">
              <a16:creationId xmlns:a16="http://schemas.microsoft.com/office/drawing/2014/main" id="{477CF08B-31B7-4804-973D-261EBEC93C60}"/>
            </a:ext>
          </a:extLst>
        </xdr:cNvPr>
        <xdr:cNvSpPr/>
      </xdr:nvSpPr>
      <xdr:spPr>
        <a:xfrm>
          <a:off x="12665880" y="11771929"/>
          <a:ext cx="1985302" cy="869439"/>
        </a:xfrm>
        <a:prstGeom prst="roundRect">
          <a:avLst/>
        </a:prstGeom>
        <a:solidFill>
          <a:schemeClr val="accent2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cs-CZ" sz="1400" b="1">
              <a:solidFill>
                <a:schemeClr val="bg2">
                  <a:lumMod val="25000"/>
                </a:schemeClr>
              </a:solidFill>
            </a:rPr>
            <a:t>PLÁN PŘÍJMŮ</a:t>
          </a:r>
        </a:p>
      </xdr:txBody>
    </xdr:sp>
    <xdr:clientData/>
  </xdr:twoCellAnchor>
  <xdr:twoCellAnchor>
    <xdr:from>
      <xdr:col>6</xdr:col>
      <xdr:colOff>661366</xdr:colOff>
      <xdr:row>75</xdr:row>
      <xdr:rowOff>172278</xdr:rowOff>
    </xdr:from>
    <xdr:to>
      <xdr:col>11</xdr:col>
      <xdr:colOff>1004713</xdr:colOff>
      <xdr:row>79</xdr:row>
      <xdr:rowOff>98855</xdr:rowOff>
    </xdr:to>
    <xdr:cxnSp macro="">
      <xdr:nvCxnSpPr>
        <xdr:cNvPr id="72" name="Spojnice: pravoúhlá 71">
          <a:extLst>
            <a:ext uri="{FF2B5EF4-FFF2-40B4-BE49-F238E27FC236}">
              <a16:creationId xmlns:a16="http://schemas.microsoft.com/office/drawing/2014/main" id="{A7E64DB3-71E9-48D3-92BD-B7BA80BFD0AC}"/>
            </a:ext>
          </a:extLst>
        </xdr:cNvPr>
        <xdr:cNvCxnSpPr>
          <a:cxnSpLocks/>
          <a:stCxn id="66" idx="2"/>
          <a:endCxn id="27" idx="0"/>
        </xdr:cNvCxnSpPr>
      </xdr:nvCxnSpPr>
      <xdr:spPr>
        <a:xfrm rot="5400000">
          <a:off x="10238888" y="9633211"/>
          <a:ext cx="619304" cy="6635619"/>
        </a:xfrm>
        <a:prstGeom prst="bentConnector3">
          <a:avLst>
            <a:gd name="adj1" fmla="val 50000"/>
          </a:avLst>
        </a:prstGeom>
        <a:ln w="38100">
          <a:solidFill>
            <a:schemeClr val="accent5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386102</xdr:colOff>
      <xdr:row>76</xdr:row>
      <xdr:rowOff>34885</xdr:rowOff>
    </xdr:from>
    <xdr:to>
      <xdr:col>6</xdr:col>
      <xdr:colOff>661367</xdr:colOff>
      <xdr:row>79</xdr:row>
      <xdr:rowOff>98853</xdr:rowOff>
    </xdr:to>
    <xdr:cxnSp macro="">
      <xdr:nvCxnSpPr>
        <xdr:cNvPr id="73" name="Spojnice: pravoúhlá 72">
          <a:extLst>
            <a:ext uri="{FF2B5EF4-FFF2-40B4-BE49-F238E27FC236}">
              <a16:creationId xmlns:a16="http://schemas.microsoft.com/office/drawing/2014/main" id="{27A3B6FB-CFF3-4A2E-B6D6-2E27303EEB7F}"/>
            </a:ext>
          </a:extLst>
        </xdr:cNvPr>
        <xdr:cNvCxnSpPr>
          <a:cxnSpLocks/>
          <a:stCxn id="24" idx="2"/>
          <a:endCxn id="27" idx="0"/>
        </xdr:cNvCxnSpPr>
      </xdr:nvCxnSpPr>
      <xdr:spPr>
        <a:xfrm rot="16200000" flipH="1">
          <a:off x="6172114" y="12202055"/>
          <a:ext cx="583513" cy="1533720"/>
        </a:xfrm>
        <a:prstGeom prst="bentConnector3">
          <a:avLst>
            <a:gd name="adj1" fmla="val 50000"/>
          </a:avLst>
        </a:prstGeom>
        <a:ln w="38100">
          <a:solidFill>
            <a:schemeClr val="accent5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854361</xdr:colOff>
      <xdr:row>95</xdr:row>
      <xdr:rowOff>30296</xdr:rowOff>
    </xdr:from>
    <xdr:to>
      <xdr:col>8</xdr:col>
      <xdr:colOff>1093624</xdr:colOff>
      <xdr:row>103</xdr:row>
      <xdr:rowOff>33470</xdr:rowOff>
    </xdr:to>
    <xdr:cxnSp macro="">
      <xdr:nvCxnSpPr>
        <xdr:cNvPr id="74" name="Spojnice: pravoúhlá 73">
          <a:extLst>
            <a:ext uri="{FF2B5EF4-FFF2-40B4-BE49-F238E27FC236}">
              <a16:creationId xmlns:a16="http://schemas.microsoft.com/office/drawing/2014/main" id="{9E3F5FBD-7008-47BF-9090-EB42C05F67AF}"/>
            </a:ext>
          </a:extLst>
        </xdr:cNvPr>
        <xdr:cNvCxnSpPr>
          <a:cxnSpLocks/>
          <a:stCxn id="36" idx="3"/>
          <a:endCxn id="34" idx="1"/>
        </xdr:cNvCxnSpPr>
      </xdr:nvCxnSpPr>
      <xdr:spPr>
        <a:xfrm flipV="1">
          <a:off x="8682179" y="15963023"/>
          <a:ext cx="1497718" cy="1388629"/>
        </a:xfrm>
        <a:prstGeom prst="bentConnector3">
          <a:avLst>
            <a:gd name="adj1" fmla="val 50000"/>
          </a:avLst>
        </a:prstGeom>
        <a:ln w="38100">
          <a:solidFill>
            <a:schemeClr val="accent5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704274</xdr:colOff>
      <xdr:row>95</xdr:row>
      <xdr:rowOff>30297</xdr:rowOff>
    </xdr:from>
    <xdr:to>
      <xdr:col>12</xdr:col>
      <xdr:colOff>117538</xdr:colOff>
      <xdr:row>106</xdr:row>
      <xdr:rowOff>94744</xdr:rowOff>
    </xdr:to>
    <xdr:cxnSp macro="">
      <xdr:nvCxnSpPr>
        <xdr:cNvPr id="75" name="Spojnice: pravoúhlá 74">
          <a:extLst>
            <a:ext uri="{FF2B5EF4-FFF2-40B4-BE49-F238E27FC236}">
              <a16:creationId xmlns:a16="http://schemas.microsoft.com/office/drawing/2014/main" id="{314D037D-5CAA-4A28-947D-DB95C662FE3C}"/>
            </a:ext>
          </a:extLst>
        </xdr:cNvPr>
        <xdr:cNvCxnSpPr>
          <a:cxnSpLocks/>
          <a:stCxn id="38" idx="1"/>
          <a:endCxn id="34" idx="3"/>
        </xdr:cNvCxnSpPr>
      </xdr:nvCxnSpPr>
      <xdr:spPr>
        <a:xfrm rot="10800000">
          <a:off x="12307456" y="15963024"/>
          <a:ext cx="1930173" cy="1969447"/>
        </a:xfrm>
        <a:prstGeom prst="bentConnector3">
          <a:avLst>
            <a:gd name="adj1" fmla="val 50000"/>
          </a:avLst>
        </a:prstGeom>
        <a:ln w="38100">
          <a:solidFill>
            <a:schemeClr val="accent5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704273</xdr:colOff>
      <xdr:row>95</xdr:row>
      <xdr:rowOff>30297</xdr:rowOff>
    </xdr:from>
    <xdr:to>
      <xdr:col>12</xdr:col>
      <xdr:colOff>121620</xdr:colOff>
      <xdr:row>100</xdr:row>
      <xdr:rowOff>40997</xdr:rowOff>
    </xdr:to>
    <xdr:cxnSp macro="">
      <xdr:nvCxnSpPr>
        <xdr:cNvPr id="76" name="Spojnice: pravoúhlá 75">
          <a:extLst>
            <a:ext uri="{FF2B5EF4-FFF2-40B4-BE49-F238E27FC236}">
              <a16:creationId xmlns:a16="http://schemas.microsoft.com/office/drawing/2014/main" id="{78BD61BE-2FD6-455A-B478-EF3A33350071}"/>
            </a:ext>
          </a:extLst>
        </xdr:cNvPr>
        <xdr:cNvCxnSpPr>
          <a:cxnSpLocks/>
          <a:stCxn id="37" idx="1"/>
          <a:endCxn id="34" idx="3"/>
        </xdr:cNvCxnSpPr>
      </xdr:nvCxnSpPr>
      <xdr:spPr>
        <a:xfrm rot="10800000">
          <a:off x="12307455" y="15963024"/>
          <a:ext cx="1934256" cy="876609"/>
        </a:xfrm>
        <a:prstGeom prst="bentConnector3">
          <a:avLst>
            <a:gd name="adj1" fmla="val 50000"/>
          </a:avLst>
        </a:prstGeom>
        <a:ln w="38100">
          <a:solidFill>
            <a:schemeClr val="accent5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898949</xdr:colOff>
      <xdr:row>97</xdr:row>
      <xdr:rowOff>104364</xdr:rowOff>
    </xdr:from>
    <xdr:to>
      <xdr:col>9</xdr:col>
      <xdr:colOff>910525</xdr:colOff>
      <xdr:row>99</xdr:row>
      <xdr:rowOff>146277</xdr:rowOff>
    </xdr:to>
    <xdr:cxnSp macro="">
      <xdr:nvCxnSpPr>
        <xdr:cNvPr id="77" name="Přímá spojnice se šipkou 76">
          <a:extLst>
            <a:ext uri="{FF2B5EF4-FFF2-40B4-BE49-F238E27FC236}">
              <a16:creationId xmlns:a16="http://schemas.microsoft.com/office/drawing/2014/main" id="{32559870-5299-4A07-B60F-67BEA1477989}"/>
            </a:ext>
          </a:extLst>
        </xdr:cNvPr>
        <xdr:cNvCxnSpPr>
          <a:stCxn id="34" idx="2"/>
          <a:endCxn id="39" idx="0"/>
        </xdr:cNvCxnSpPr>
      </xdr:nvCxnSpPr>
      <xdr:spPr>
        <a:xfrm>
          <a:off x="11243676" y="16383455"/>
          <a:ext cx="11576" cy="388277"/>
        </a:xfrm>
        <a:prstGeom prst="straightConnector1">
          <a:avLst/>
        </a:prstGeom>
        <a:ln w="38100">
          <a:solidFill>
            <a:schemeClr val="accent5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910525</xdr:colOff>
      <xdr:row>104</xdr:row>
      <xdr:rowOff>111706</xdr:rowOff>
    </xdr:from>
    <xdr:to>
      <xdr:col>9</xdr:col>
      <xdr:colOff>921058</xdr:colOff>
      <xdr:row>106</xdr:row>
      <xdr:rowOff>167863</xdr:rowOff>
    </xdr:to>
    <xdr:cxnSp macro="">
      <xdr:nvCxnSpPr>
        <xdr:cNvPr id="78" name="Přímá spojnice se šipkou 77">
          <a:extLst>
            <a:ext uri="{FF2B5EF4-FFF2-40B4-BE49-F238E27FC236}">
              <a16:creationId xmlns:a16="http://schemas.microsoft.com/office/drawing/2014/main" id="{E994E427-1BE1-46E0-BE45-B48D66A487D1}"/>
            </a:ext>
          </a:extLst>
        </xdr:cNvPr>
        <xdr:cNvCxnSpPr>
          <a:stCxn id="39" idx="2"/>
          <a:endCxn id="41" idx="0"/>
        </xdr:cNvCxnSpPr>
      </xdr:nvCxnSpPr>
      <xdr:spPr>
        <a:xfrm>
          <a:off x="11255252" y="17603070"/>
          <a:ext cx="10533" cy="402520"/>
        </a:xfrm>
        <a:prstGeom prst="straightConnector1">
          <a:avLst/>
        </a:prstGeom>
        <a:ln w="38100">
          <a:solidFill>
            <a:schemeClr val="accent5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704273</xdr:colOff>
      <xdr:row>94</xdr:row>
      <xdr:rowOff>13846</xdr:rowOff>
    </xdr:from>
    <xdr:to>
      <xdr:col>12</xdr:col>
      <xdr:colOff>76880</xdr:colOff>
      <xdr:row>95</xdr:row>
      <xdr:rowOff>30295</xdr:rowOff>
    </xdr:to>
    <xdr:cxnSp macro="">
      <xdr:nvCxnSpPr>
        <xdr:cNvPr id="80" name="Spojnice: pravoúhlá 79">
          <a:extLst>
            <a:ext uri="{FF2B5EF4-FFF2-40B4-BE49-F238E27FC236}">
              <a16:creationId xmlns:a16="http://schemas.microsoft.com/office/drawing/2014/main" id="{447FDBC6-20A7-4991-BB58-CA0E5ABDB167}"/>
            </a:ext>
          </a:extLst>
        </xdr:cNvPr>
        <xdr:cNvCxnSpPr>
          <a:cxnSpLocks/>
          <a:stCxn id="35" idx="1"/>
          <a:endCxn id="34" idx="3"/>
        </xdr:cNvCxnSpPr>
      </xdr:nvCxnSpPr>
      <xdr:spPr>
        <a:xfrm rot="10800000" flipV="1">
          <a:off x="12307455" y="15773391"/>
          <a:ext cx="1889516" cy="189631"/>
        </a:xfrm>
        <a:prstGeom prst="bentConnector3">
          <a:avLst>
            <a:gd name="adj1" fmla="val 50000"/>
          </a:avLst>
        </a:prstGeom>
        <a:ln w="38100">
          <a:solidFill>
            <a:schemeClr val="accent5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326571</xdr:colOff>
      <xdr:row>6</xdr:row>
      <xdr:rowOff>27214</xdr:rowOff>
    </xdr:from>
    <xdr:to>
      <xdr:col>2</xdr:col>
      <xdr:colOff>726214</xdr:colOff>
      <xdr:row>12</xdr:row>
      <xdr:rowOff>45857</xdr:rowOff>
    </xdr:to>
    <xdr:sp macro="" textlink="">
      <xdr:nvSpPr>
        <xdr:cNvPr id="85" name="Obdélník: se zakulacenými rohy 84">
          <a:extLst>
            <a:ext uri="{FF2B5EF4-FFF2-40B4-BE49-F238E27FC236}">
              <a16:creationId xmlns:a16="http://schemas.microsoft.com/office/drawing/2014/main" id="{E7C2C04F-35CF-4874-9F01-A6BFF7129DE7}"/>
            </a:ext>
          </a:extLst>
        </xdr:cNvPr>
        <xdr:cNvSpPr/>
      </xdr:nvSpPr>
      <xdr:spPr>
        <a:xfrm>
          <a:off x="656771" y="4281714"/>
          <a:ext cx="1009243" cy="1085443"/>
        </a:xfrm>
        <a:prstGeom prst="round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cs-CZ" sz="4400" b="1"/>
            <a:t>M1</a:t>
          </a:r>
        </a:p>
      </xdr:txBody>
    </xdr:sp>
    <xdr:clientData/>
  </xdr:twoCellAnchor>
  <xdr:twoCellAnchor>
    <xdr:from>
      <xdr:col>1</xdr:col>
      <xdr:colOff>302078</xdr:colOff>
      <xdr:row>14</xdr:row>
      <xdr:rowOff>84363</xdr:rowOff>
    </xdr:from>
    <xdr:to>
      <xdr:col>2</xdr:col>
      <xdr:colOff>701721</xdr:colOff>
      <xdr:row>20</xdr:row>
      <xdr:rowOff>103006</xdr:rowOff>
    </xdr:to>
    <xdr:sp macro="" textlink="">
      <xdr:nvSpPr>
        <xdr:cNvPr id="86" name="Obdélník: se zakulacenými rohy 85">
          <a:extLst>
            <a:ext uri="{FF2B5EF4-FFF2-40B4-BE49-F238E27FC236}">
              <a16:creationId xmlns:a16="http://schemas.microsoft.com/office/drawing/2014/main" id="{C8425B8A-5744-4D5D-9F04-7297AB7C3EF1}"/>
            </a:ext>
          </a:extLst>
        </xdr:cNvPr>
        <xdr:cNvSpPr/>
      </xdr:nvSpPr>
      <xdr:spPr>
        <a:xfrm>
          <a:off x="632278" y="5583463"/>
          <a:ext cx="1009243" cy="1085443"/>
        </a:xfrm>
        <a:prstGeom prst="round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cs-CZ" sz="4400" b="1"/>
            <a:t>M2</a:t>
          </a:r>
        </a:p>
      </xdr:txBody>
    </xdr:sp>
    <xdr:clientData/>
  </xdr:twoCellAnchor>
  <xdr:twoCellAnchor>
    <xdr:from>
      <xdr:col>1</xdr:col>
      <xdr:colOff>299357</xdr:colOff>
      <xdr:row>51</xdr:row>
      <xdr:rowOff>54428</xdr:rowOff>
    </xdr:from>
    <xdr:to>
      <xdr:col>2</xdr:col>
      <xdr:colOff>699000</xdr:colOff>
      <xdr:row>57</xdr:row>
      <xdr:rowOff>73071</xdr:rowOff>
    </xdr:to>
    <xdr:sp macro="" textlink="">
      <xdr:nvSpPr>
        <xdr:cNvPr id="87" name="Obdélník: se zakulacenými rohy 86">
          <a:extLst>
            <a:ext uri="{FF2B5EF4-FFF2-40B4-BE49-F238E27FC236}">
              <a16:creationId xmlns:a16="http://schemas.microsoft.com/office/drawing/2014/main" id="{F3D387E8-5405-4D39-8455-C802DC1FA4C0}"/>
            </a:ext>
          </a:extLst>
        </xdr:cNvPr>
        <xdr:cNvSpPr/>
      </xdr:nvSpPr>
      <xdr:spPr>
        <a:xfrm>
          <a:off x="629557" y="11954328"/>
          <a:ext cx="1009243" cy="1085443"/>
        </a:xfrm>
        <a:prstGeom prst="round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cs-CZ" sz="4400" b="1"/>
            <a:t>M3</a:t>
          </a:r>
        </a:p>
      </xdr:txBody>
    </xdr:sp>
    <xdr:clientData/>
  </xdr:twoCellAnchor>
  <xdr:twoCellAnchor>
    <xdr:from>
      <xdr:col>1</xdr:col>
      <xdr:colOff>394607</xdr:colOff>
      <xdr:row>89</xdr:row>
      <xdr:rowOff>163285</xdr:rowOff>
    </xdr:from>
    <xdr:to>
      <xdr:col>2</xdr:col>
      <xdr:colOff>794250</xdr:colOff>
      <xdr:row>96</xdr:row>
      <xdr:rowOff>5035</xdr:rowOff>
    </xdr:to>
    <xdr:sp macro="" textlink="">
      <xdr:nvSpPr>
        <xdr:cNvPr id="88" name="Obdélník: se zakulacenými rohy 87">
          <a:extLst>
            <a:ext uri="{FF2B5EF4-FFF2-40B4-BE49-F238E27FC236}">
              <a16:creationId xmlns:a16="http://schemas.microsoft.com/office/drawing/2014/main" id="{85D326D5-9DC1-484C-824C-F7B1E9E9BA76}"/>
            </a:ext>
          </a:extLst>
        </xdr:cNvPr>
        <xdr:cNvSpPr/>
      </xdr:nvSpPr>
      <xdr:spPr>
        <a:xfrm>
          <a:off x="724807" y="19886385"/>
          <a:ext cx="1009243" cy="1086350"/>
        </a:xfrm>
        <a:prstGeom prst="roundRect">
          <a:avLst/>
        </a:prstGeom>
        <a:solidFill>
          <a:schemeClr val="accent5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cs-CZ" sz="4400" b="1"/>
            <a:t>M4</a:t>
          </a:r>
        </a:p>
      </xdr:txBody>
    </xdr:sp>
    <xdr:clientData/>
  </xdr:twoCellAnchor>
  <xdr:twoCellAnchor>
    <xdr:from>
      <xdr:col>6</xdr:col>
      <xdr:colOff>173182</xdr:colOff>
      <xdr:row>28</xdr:row>
      <xdr:rowOff>54923</xdr:rowOff>
    </xdr:from>
    <xdr:to>
      <xdr:col>6</xdr:col>
      <xdr:colOff>852896</xdr:colOff>
      <xdr:row>38</xdr:row>
      <xdr:rowOff>58806</xdr:rowOff>
    </xdr:to>
    <xdr:cxnSp macro="">
      <xdr:nvCxnSpPr>
        <xdr:cNvPr id="111" name="Spojnice: pravoúhlá 110">
          <a:extLst>
            <a:ext uri="{FF2B5EF4-FFF2-40B4-BE49-F238E27FC236}">
              <a16:creationId xmlns:a16="http://schemas.microsoft.com/office/drawing/2014/main" id="{FC5FD790-4B5C-43E6-A3D8-84693A738C73}"/>
            </a:ext>
          </a:extLst>
        </xdr:cNvPr>
        <xdr:cNvCxnSpPr>
          <a:cxnSpLocks/>
          <a:stCxn id="10" idx="3"/>
          <a:endCxn id="9" idx="1"/>
        </xdr:cNvCxnSpPr>
      </xdr:nvCxnSpPr>
      <xdr:spPr>
        <a:xfrm flipV="1">
          <a:off x="6534727" y="4557650"/>
          <a:ext cx="679714" cy="1735701"/>
        </a:xfrm>
        <a:prstGeom prst="bentConnector3">
          <a:avLst>
            <a:gd name="adj1" fmla="val 50000"/>
          </a:avLst>
        </a:prstGeom>
        <a:ln w="38100">
          <a:solidFill>
            <a:schemeClr val="accent5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340736</xdr:colOff>
      <xdr:row>18</xdr:row>
      <xdr:rowOff>109466</xdr:rowOff>
    </xdr:from>
    <xdr:to>
      <xdr:col>4</xdr:col>
      <xdr:colOff>929479</xdr:colOff>
      <xdr:row>22</xdr:row>
      <xdr:rowOff>32599</xdr:rowOff>
    </xdr:to>
    <xdr:cxnSp macro="">
      <xdr:nvCxnSpPr>
        <xdr:cNvPr id="126" name="Spojnice: pravoúhlá 125">
          <a:extLst>
            <a:ext uri="{FF2B5EF4-FFF2-40B4-BE49-F238E27FC236}">
              <a16:creationId xmlns:a16="http://schemas.microsoft.com/office/drawing/2014/main" id="{F2A39CAD-7480-4BDF-9C1E-C73C3A0C24E6}"/>
            </a:ext>
          </a:extLst>
        </xdr:cNvPr>
        <xdr:cNvCxnSpPr>
          <a:cxnSpLocks/>
          <a:stCxn id="15" idx="3"/>
          <a:endCxn id="13" idx="1"/>
        </xdr:cNvCxnSpPr>
      </xdr:nvCxnSpPr>
      <xdr:spPr>
        <a:xfrm flipV="1">
          <a:off x="4185372" y="2880375"/>
          <a:ext cx="588743" cy="615860"/>
        </a:xfrm>
        <a:prstGeom prst="bentConnector3">
          <a:avLst>
            <a:gd name="adj1" fmla="val 50000"/>
          </a:avLst>
        </a:prstGeom>
        <a:ln w="38100">
          <a:solidFill>
            <a:schemeClr val="accent5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340736</xdr:colOff>
      <xdr:row>22</xdr:row>
      <xdr:rowOff>32599</xdr:rowOff>
    </xdr:from>
    <xdr:to>
      <xdr:col>4</xdr:col>
      <xdr:colOff>900547</xdr:colOff>
      <xdr:row>38</xdr:row>
      <xdr:rowOff>58806</xdr:rowOff>
    </xdr:to>
    <xdr:cxnSp macro="">
      <xdr:nvCxnSpPr>
        <xdr:cNvPr id="129" name="Spojnice: pravoúhlá 128">
          <a:extLst>
            <a:ext uri="{FF2B5EF4-FFF2-40B4-BE49-F238E27FC236}">
              <a16:creationId xmlns:a16="http://schemas.microsoft.com/office/drawing/2014/main" id="{4B214E46-453B-473C-9E55-23B85079B00B}"/>
            </a:ext>
          </a:extLst>
        </xdr:cNvPr>
        <xdr:cNvCxnSpPr>
          <a:cxnSpLocks/>
          <a:stCxn id="15" idx="3"/>
          <a:endCxn id="10" idx="1"/>
        </xdr:cNvCxnSpPr>
      </xdr:nvCxnSpPr>
      <xdr:spPr>
        <a:xfrm>
          <a:off x="4185372" y="3496235"/>
          <a:ext cx="559811" cy="2797116"/>
        </a:xfrm>
        <a:prstGeom prst="bentConnector3">
          <a:avLst>
            <a:gd name="adj1" fmla="val 50000"/>
          </a:avLst>
        </a:prstGeom>
        <a:ln w="38100">
          <a:solidFill>
            <a:schemeClr val="accent5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318207</xdr:colOff>
      <xdr:row>24</xdr:row>
      <xdr:rowOff>169468</xdr:rowOff>
    </xdr:from>
    <xdr:to>
      <xdr:col>4</xdr:col>
      <xdr:colOff>920129</xdr:colOff>
      <xdr:row>28</xdr:row>
      <xdr:rowOff>146845</xdr:rowOff>
    </xdr:to>
    <xdr:cxnSp macro="">
      <xdr:nvCxnSpPr>
        <xdr:cNvPr id="132" name="Spojnice: pravoúhlá 131">
          <a:extLst>
            <a:ext uri="{FF2B5EF4-FFF2-40B4-BE49-F238E27FC236}">
              <a16:creationId xmlns:a16="http://schemas.microsoft.com/office/drawing/2014/main" id="{DF4119E5-3A61-4EC8-B0BF-9F686CE81D65}"/>
            </a:ext>
          </a:extLst>
        </xdr:cNvPr>
        <xdr:cNvCxnSpPr>
          <a:cxnSpLocks/>
          <a:stCxn id="16" idx="3"/>
          <a:endCxn id="12" idx="1"/>
        </xdr:cNvCxnSpPr>
      </xdr:nvCxnSpPr>
      <xdr:spPr>
        <a:xfrm flipV="1">
          <a:off x="4162843" y="3979468"/>
          <a:ext cx="601922" cy="670104"/>
        </a:xfrm>
        <a:prstGeom prst="bentConnector3">
          <a:avLst>
            <a:gd name="adj1" fmla="val 50000"/>
          </a:avLst>
        </a:prstGeom>
        <a:ln w="38100">
          <a:solidFill>
            <a:schemeClr val="accent5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318207</xdr:colOff>
      <xdr:row>28</xdr:row>
      <xdr:rowOff>146845</xdr:rowOff>
    </xdr:from>
    <xdr:to>
      <xdr:col>4</xdr:col>
      <xdr:colOff>935182</xdr:colOff>
      <xdr:row>31</xdr:row>
      <xdr:rowOff>110025</xdr:rowOff>
    </xdr:to>
    <xdr:cxnSp macro="">
      <xdr:nvCxnSpPr>
        <xdr:cNvPr id="135" name="Spojnice: pravoúhlá 134">
          <a:extLst>
            <a:ext uri="{FF2B5EF4-FFF2-40B4-BE49-F238E27FC236}">
              <a16:creationId xmlns:a16="http://schemas.microsoft.com/office/drawing/2014/main" id="{825135F2-CDF2-4926-9F2F-C21514D683E5}"/>
            </a:ext>
          </a:extLst>
        </xdr:cNvPr>
        <xdr:cNvCxnSpPr>
          <a:cxnSpLocks/>
          <a:stCxn id="16" idx="3"/>
          <a:endCxn id="11" idx="1"/>
        </xdr:cNvCxnSpPr>
      </xdr:nvCxnSpPr>
      <xdr:spPr>
        <a:xfrm>
          <a:off x="4162843" y="4649572"/>
          <a:ext cx="616975" cy="482726"/>
        </a:xfrm>
        <a:prstGeom prst="bentConnector3">
          <a:avLst>
            <a:gd name="adj1" fmla="val 50000"/>
          </a:avLst>
        </a:prstGeom>
        <a:ln w="38100">
          <a:solidFill>
            <a:schemeClr val="accent5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828460</xdr:colOff>
      <xdr:row>11</xdr:row>
      <xdr:rowOff>160911</xdr:rowOff>
    </xdr:from>
    <xdr:to>
      <xdr:col>4</xdr:col>
      <xdr:colOff>458763</xdr:colOff>
      <xdr:row>19</xdr:row>
      <xdr:rowOff>117425</xdr:rowOff>
    </xdr:to>
    <xdr:cxnSp macro="">
      <xdr:nvCxnSpPr>
        <xdr:cNvPr id="152" name="Spojnice: pravoúhlá 151">
          <a:extLst>
            <a:ext uri="{FF2B5EF4-FFF2-40B4-BE49-F238E27FC236}">
              <a16:creationId xmlns:a16="http://schemas.microsoft.com/office/drawing/2014/main" id="{06CA8838-955E-4F11-B0F2-0BAA1FC7C32E}"/>
            </a:ext>
          </a:extLst>
        </xdr:cNvPr>
        <xdr:cNvCxnSpPr>
          <a:cxnSpLocks/>
          <a:stCxn id="6" idx="2"/>
          <a:endCxn id="15" idx="0"/>
        </xdr:cNvCxnSpPr>
      </xdr:nvCxnSpPr>
      <xdr:spPr>
        <a:xfrm rot="5400000">
          <a:off x="3274627" y="2032744"/>
          <a:ext cx="1168787" cy="888757"/>
        </a:xfrm>
        <a:prstGeom prst="bentConnector3">
          <a:avLst>
            <a:gd name="adj1" fmla="val 50000"/>
          </a:avLst>
        </a:prstGeom>
        <a:ln w="57150">
          <a:solidFill>
            <a:schemeClr val="bg2">
              <a:lumMod val="50000"/>
            </a:schemeClr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967997</xdr:colOff>
      <xdr:row>12</xdr:row>
      <xdr:rowOff>10662</xdr:rowOff>
    </xdr:from>
    <xdr:to>
      <xdr:col>12</xdr:col>
      <xdr:colOff>263677</xdr:colOff>
      <xdr:row>19</xdr:row>
      <xdr:rowOff>86065</xdr:rowOff>
    </xdr:to>
    <xdr:cxnSp macro="">
      <xdr:nvCxnSpPr>
        <xdr:cNvPr id="185" name="Spojnice: pravoúhlá 184">
          <a:extLst>
            <a:ext uri="{FF2B5EF4-FFF2-40B4-BE49-F238E27FC236}">
              <a16:creationId xmlns:a16="http://schemas.microsoft.com/office/drawing/2014/main" id="{11041819-9B21-4526-8AF0-A79AE9468899}"/>
            </a:ext>
          </a:extLst>
        </xdr:cNvPr>
        <xdr:cNvCxnSpPr>
          <a:cxnSpLocks/>
          <a:stCxn id="3" idx="2"/>
          <a:endCxn id="7" idx="0"/>
        </xdr:cNvCxnSpPr>
      </xdr:nvCxnSpPr>
      <xdr:spPr>
        <a:xfrm rot="5400000">
          <a:off x="12712409" y="1566614"/>
          <a:ext cx="1114494" cy="1812589"/>
        </a:xfrm>
        <a:prstGeom prst="bentConnector3">
          <a:avLst>
            <a:gd name="adj1" fmla="val 50000"/>
          </a:avLst>
        </a:prstGeom>
        <a:ln w="57150">
          <a:solidFill>
            <a:schemeClr val="bg2">
              <a:lumMod val="50000"/>
            </a:schemeClr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967998</xdr:colOff>
      <xdr:row>24</xdr:row>
      <xdr:rowOff>89595</xdr:rowOff>
    </xdr:from>
    <xdr:to>
      <xdr:col>11</xdr:col>
      <xdr:colOff>104731</xdr:colOff>
      <xdr:row>29</xdr:row>
      <xdr:rowOff>82994</xdr:rowOff>
    </xdr:to>
    <xdr:cxnSp macro="">
      <xdr:nvCxnSpPr>
        <xdr:cNvPr id="210" name="Spojnice: pravoúhlá 209">
          <a:extLst>
            <a:ext uri="{FF2B5EF4-FFF2-40B4-BE49-F238E27FC236}">
              <a16:creationId xmlns:a16="http://schemas.microsoft.com/office/drawing/2014/main" id="{B3B2B249-BA9D-44F5-B950-628168B9FB05}"/>
            </a:ext>
          </a:extLst>
        </xdr:cNvPr>
        <xdr:cNvCxnSpPr>
          <a:cxnSpLocks/>
          <a:stCxn id="55" idx="1"/>
          <a:endCxn id="7" idx="2"/>
        </xdr:cNvCxnSpPr>
      </xdr:nvCxnSpPr>
      <xdr:spPr>
        <a:xfrm rot="10800000">
          <a:off x="12363362" y="3899595"/>
          <a:ext cx="395187" cy="859308"/>
        </a:xfrm>
        <a:prstGeom prst="bentConnector2">
          <a:avLst/>
        </a:prstGeom>
        <a:ln w="38100">
          <a:solidFill>
            <a:schemeClr val="accent5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967998</xdr:colOff>
      <xdr:row>24</xdr:row>
      <xdr:rowOff>89596</xdr:rowOff>
    </xdr:from>
    <xdr:to>
      <xdr:col>11</xdr:col>
      <xdr:colOff>156673</xdr:colOff>
      <xdr:row>36</xdr:row>
      <xdr:rowOff>63247</xdr:rowOff>
    </xdr:to>
    <xdr:cxnSp macro="">
      <xdr:nvCxnSpPr>
        <xdr:cNvPr id="213" name="Spojnice: pravoúhlá 212">
          <a:extLst>
            <a:ext uri="{FF2B5EF4-FFF2-40B4-BE49-F238E27FC236}">
              <a16:creationId xmlns:a16="http://schemas.microsoft.com/office/drawing/2014/main" id="{F006B837-A504-47BD-8E52-8579418BA1AF}"/>
            </a:ext>
          </a:extLst>
        </xdr:cNvPr>
        <xdr:cNvCxnSpPr>
          <a:cxnSpLocks/>
          <a:stCxn id="20" idx="1"/>
          <a:endCxn id="7" idx="2"/>
        </xdr:cNvCxnSpPr>
      </xdr:nvCxnSpPr>
      <xdr:spPr>
        <a:xfrm rot="10800000">
          <a:off x="12363362" y="3899596"/>
          <a:ext cx="447129" cy="2051833"/>
        </a:xfrm>
        <a:prstGeom prst="bentConnector2">
          <a:avLst/>
        </a:prstGeom>
        <a:ln w="38100">
          <a:solidFill>
            <a:schemeClr val="accent5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489837</xdr:colOff>
      <xdr:row>19</xdr:row>
      <xdr:rowOff>124392</xdr:rowOff>
    </xdr:from>
    <xdr:to>
      <xdr:col>10</xdr:col>
      <xdr:colOff>7903</xdr:colOff>
      <xdr:row>22</xdr:row>
      <xdr:rowOff>1239</xdr:rowOff>
    </xdr:to>
    <xdr:cxnSp macro="">
      <xdr:nvCxnSpPr>
        <xdr:cNvPr id="221" name="Spojnice: pravoúhlá 220">
          <a:extLst>
            <a:ext uri="{FF2B5EF4-FFF2-40B4-BE49-F238E27FC236}">
              <a16:creationId xmlns:a16="http://schemas.microsoft.com/office/drawing/2014/main" id="{0BD8C486-32CB-4D45-B26F-1080484D43DF}"/>
            </a:ext>
          </a:extLst>
        </xdr:cNvPr>
        <xdr:cNvCxnSpPr>
          <a:cxnSpLocks/>
          <a:stCxn id="7" idx="1"/>
          <a:endCxn id="19" idx="3"/>
        </xdr:cNvCxnSpPr>
      </xdr:nvCxnSpPr>
      <xdr:spPr>
        <a:xfrm rot="10800000">
          <a:off x="10626746" y="3068483"/>
          <a:ext cx="776521" cy="396392"/>
        </a:xfrm>
        <a:prstGeom prst="bentConnector3">
          <a:avLst>
            <a:gd name="adj1" fmla="val 50000"/>
          </a:avLst>
        </a:prstGeom>
        <a:ln w="38100">
          <a:solidFill>
            <a:schemeClr val="accent5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11545</xdr:colOff>
      <xdr:row>40</xdr:row>
      <xdr:rowOff>46179</xdr:rowOff>
    </xdr:from>
    <xdr:to>
      <xdr:col>8</xdr:col>
      <xdr:colOff>17319</xdr:colOff>
      <xdr:row>45</xdr:row>
      <xdr:rowOff>46182</xdr:rowOff>
    </xdr:to>
    <xdr:cxnSp macro="">
      <xdr:nvCxnSpPr>
        <xdr:cNvPr id="243" name="Přímá spojnice se šipkou 242">
          <a:extLst>
            <a:ext uri="{FF2B5EF4-FFF2-40B4-BE49-F238E27FC236}">
              <a16:creationId xmlns:a16="http://schemas.microsoft.com/office/drawing/2014/main" id="{8ADC217F-695E-4EEE-8A72-75A038B6D4B2}"/>
            </a:ext>
          </a:extLst>
        </xdr:cNvPr>
        <xdr:cNvCxnSpPr>
          <a:stCxn id="18" idx="2"/>
        </xdr:cNvCxnSpPr>
      </xdr:nvCxnSpPr>
      <xdr:spPr>
        <a:xfrm flipH="1">
          <a:off x="8890000" y="6627088"/>
          <a:ext cx="5774" cy="865912"/>
        </a:xfrm>
        <a:prstGeom prst="straightConnector1">
          <a:avLst/>
        </a:prstGeom>
        <a:ln w="38100">
          <a:solidFill>
            <a:schemeClr val="accent5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981363</xdr:colOff>
      <xdr:row>36</xdr:row>
      <xdr:rowOff>63246</xdr:rowOff>
    </xdr:from>
    <xdr:to>
      <xdr:col>12</xdr:col>
      <xdr:colOff>1558636</xdr:colOff>
      <xdr:row>46</xdr:row>
      <xdr:rowOff>23091</xdr:rowOff>
    </xdr:to>
    <xdr:cxnSp macro="">
      <xdr:nvCxnSpPr>
        <xdr:cNvPr id="277" name="Spojnice: pravoúhlá 276">
          <a:extLst>
            <a:ext uri="{FF2B5EF4-FFF2-40B4-BE49-F238E27FC236}">
              <a16:creationId xmlns:a16="http://schemas.microsoft.com/office/drawing/2014/main" id="{24BC7104-DE1A-48B4-895D-069B03FE56DA}"/>
            </a:ext>
          </a:extLst>
        </xdr:cNvPr>
        <xdr:cNvCxnSpPr>
          <a:cxnSpLocks/>
          <a:stCxn id="20" idx="3"/>
        </xdr:cNvCxnSpPr>
      </xdr:nvCxnSpPr>
      <xdr:spPr>
        <a:xfrm>
          <a:off x="14893636" y="5951428"/>
          <a:ext cx="577273" cy="1691663"/>
        </a:xfrm>
        <a:prstGeom prst="bentConnector2">
          <a:avLst/>
        </a:prstGeom>
        <a:ln w="38100">
          <a:solidFill>
            <a:schemeClr val="accent5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7902</xdr:colOff>
      <xdr:row>22</xdr:row>
      <xdr:rowOff>1238</xdr:rowOff>
    </xdr:from>
    <xdr:to>
      <xdr:col>10</xdr:col>
      <xdr:colOff>142834</xdr:colOff>
      <xdr:row>31</xdr:row>
      <xdr:rowOff>54482</xdr:rowOff>
    </xdr:to>
    <xdr:cxnSp macro="">
      <xdr:nvCxnSpPr>
        <xdr:cNvPr id="281" name="Spojnice: pravoúhlá 280">
          <a:extLst>
            <a:ext uri="{FF2B5EF4-FFF2-40B4-BE49-F238E27FC236}">
              <a16:creationId xmlns:a16="http://schemas.microsoft.com/office/drawing/2014/main" id="{51A76CD2-40E6-43C1-B3C6-78432EF111B1}"/>
            </a:ext>
          </a:extLst>
        </xdr:cNvPr>
        <xdr:cNvCxnSpPr>
          <a:cxnSpLocks/>
          <a:stCxn id="7" idx="1"/>
          <a:endCxn id="8" idx="3"/>
        </xdr:cNvCxnSpPr>
      </xdr:nvCxnSpPr>
      <xdr:spPr>
        <a:xfrm rot="10800000" flipH="1" flipV="1">
          <a:off x="11403266" y="3464874"/>
          <a:ext cx="134932" cy="1611881"/>
        </a:xfrm>
        <a:prstGeom prst="bentConnector5">
          <a:avLst>
            <a:gd name="adj1" fmla="val -169419"/>
            <a:gd name="adj2" fmla="val 50000"/>
            <a:gd name="adj3" fmla="val 269419"/>
          </a:avLst>
        </a:prstGeom>
        <a:ln w="38100">
          <a:solidFill>
            <a:schemeClr val="accent5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46458</xdr:colOff>
      <xdr:row>33</xdr:row>
      <xdr:rowOff>131294</xdr:rowOff>
    </xdr:from>
    <xdr:to>
      <xdr:col>9</xdr:col>
      <xdr:colOff>69273</xdr:colOff>
      <xdr:row>45</xdr:row>
      <xdr:rowOff>80819</xdr:rowOff>
    </xdr:to>
    <xdr:cxnSp macro="">
      <xdr:nvCxnSpPr>
        <xdr:cNvPr id="286" name="Přímá spojnice se šipkou 285">
          <a:extLst>
            <a:ext uri="{FF2B5EF4-FFF2-40B4-BE49-F238E27FC236}">
              <a16:creationId xmlns:a16="http://schemas.microsoft.com/office/drawing/2014/main" id="{29D965B4-E62A-42D8-8F57-BF74FD9B3E21}"/>
            </a:ext>
          </a:extLst>
        </xdr:cNvPr>
        <xdr:cNvCxnSpPr/>
      </xdr:nvCxnSpPr>
      <xdr:spPr>
        <a:xfrm>
          <a:off x="10183367" y="5499930"/>
          <a:ext cx="22815" cy="2027707"/>
        </a:xfrm>
        <a:prstGeom prst="straightConnector1">
          <a:avLst/>
        </a:prstGeom>
        <a:ln w="38100">
          <a:solidFill>
            <a:schemeClr val="accent5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820003</xdr:colOff>
      <xdr:row>33</xdr:row>
      <xdr:rowOff>119748</xdr:rowOff>
    </xdr:from>
    <xdr:to>
      <xdr:col>11</xdr:col>
      <xdr:colOff>23094</xdr:colOff>
      <xdr:row>56</xdr:row>
      <xdr:rowOff>103912</xdr:rowOff>
    </xdr:to>
    <xdr:cxnSp macro="">
      <xdr:nvCxnSpPr>
        <xdr:cNvPr id="291" name="Spojnice: pravoúhlá 290">
          <a:extLst>
            <a:ext uri="{FF2B5EF4-FFF2-40B4-BE49-F238E27FC236}">
              <a16:creationId xmlns:a16="http://schemas.microsoft.com/office/drawing/2014/main" id="{CBC71B4E-E902-405F-B627-4AC9C5A0611C}"/>
            </a:ext>
          </a:extLst>
        </xdr:cNvPr>
        <xdr:cNvCxnSpPr>
          <a:cxnSpLocks/>
        </xdr:cNvCxnSpPr>
      </xdr:nvCxnSpPr>
      <xdr:spPr>
        <a:xfrm rot="16200000" flipH="1">
          <a:off x="9919830" y="6525466"/>
          <a:ext cx="3794164" cy="1720000"/>
        </a:xfrm>
        <a:prstGeom prst="bentConnector3">
          <a:avLst>
            <a:gd name="adj1" fmla="val 37220"/>
          </a:avLst>
        </a:prstGeom>
        <a:ln w="57150">
          <a:solidFill>
            <a:schemeClr val="bg2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704273</xdr:colOff>
      <xdr:row>30</xdr:row>
      <xdr:rowOff>115454</xdr:rowOff>
    </xdr:from>
    <xdr:to>
      <xdr:col>8</xdr:col>
      <xdr:colOff>17319</xdr:colOff>
      <xdr:row>35</xdr:row>
      <xdr:rowOff>46180</xdr:rowOff>
    </xdr:to>
    <xdr:cxnSp macro="">
      <xdr:nvCxnSpPr>
        <xdr:cNvPr id="349" name="Spojnice: pravoúhlá 348">
          <a:extLst>
            <a:ext uri="{FF2B5EF4-FFF2-40B4-BE49-F238E27FC236}">
              <a16:creationId xmlns:a16="http://schemas.microsoft.com/office/drawing/2014/main" id="{5AFB6F21-15C1-4390-86B1-D44ABAE1F5DE}"/>
            </a:ext>
          </a:extLst>
        </xdr:cNvPr>
        <xdr:cNvCxnSpPr>
          <a:cxnSpLocks/>
          <a:endCxn id="18" idx="0"/>
        </xdr:cNvCxnSpPr>
      </xdr:nvCxnSpPr>
      <xdr:spPr>
        <a:xfrm rot="16200000" flipH="1">
          <a:off x="8211706" y="5077112"/>
          <a:ext cx="796635" cy="571501"/>
        </a:xfrm>
        <a:prstGeom prst="bentConnector3">
          <a:avLst>
            <a:gd name="adj1" fmla="val 50000"/>
          </a:avLst>
        </a:prstGeom>
        <a:ln w="38100">
          <a:solidFill>
            <a:schemeClr val="accent5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1002487</xdr:colOff>
      <xdr:row>30</xdr:row>
      <xdr:rowOff>150095</xdr:rowOff>
    </xdr:from>
    <xdr:to>
      <xdr:col>6</xdr:col>
      <xdr:colOff>1154545</xdr:colOff>
      <xdr:row>55</xdr:row>
      <xdr:rowOff>50573</xdr:rowOff>
    </xdr:to>
    <xdr:cxnSp macro="">
      <xdr:nvCxnSpPr>
        <xdr:cNvPr id="352" name="Spojnice: pravoúhlá 351">
          <a:extLst>
            <a:ext uri="{FF2B5EF4-FFF2-40B4-BE49-F238E27FC236}">
              <a16:creationId xmlns:a16="http://schemas.microsoft.com/office/drawing/2014/main" id="{5801D50B-6A4F-44B5-A177-03EA519CE71D}"/>
            </a:ext>
          </a:extLst>
        </xdr:cNvPr>
        <xdr:cNvCxnSpPr>
          <a:cxnSpLocks/>
          <a:endCxn id="25" idx="0"/>
        </xdr:cNvCxnSpPr>
      </xdr:nvCxnSpPr>
      <xdr:spPr>
        <a:xfrm rot="5400000">
          <a:off x="4274414" y="5606532"/>
          <a:ext cx="4230024" cy="2668967"/>
        </a:xfrm>
        <a:prstGeom prst="bentConnector3">
          <a:avLst>
            <a:gd name="adj1" fmla="val 50000"/>
          </a:avLst>
        </a:prstGeom>
        <a:ln w="57150">
          <a:solidFill>
            <a:schemeClr val="bg2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1108365</xdr:colOff>
      <xdr:row>38</xdr:row>
      <xdr:rowOff>151603</xdr:rowOff>
    </xdr:from>
    <xdr:to>
      <xdr:col>11</xdr:col>
      <xdr:colOff>1198245</xdr:colOff>
      <xdr:row>62</xdr:row>
      <xdr:rowOff>55230</xdr:rowOff>
    </xdr:to>
    <xdr:cxnSp macro="">
      <xdr:nvCxnSpPr>
        <xdr:cNvPr id="354" name="Spojnice: pravoúhlá 353">
          <a:extLst>
            <a:ext uri="{FF2B5EF4-FFF2-40B4-BE49-F238E27FC236}">
              <a16:creationId xmlns:a16="http://schemas.microsoft.com/office/drawing/2014/main" id="{ADBEA1E1-0C4D-4B66-A98F-6E1D18D5FB6D}"/>
            </a:ext>
          </a:extLst>
        </xdr:cNvPr>
        <xdr:cNvCxnSpPr>
          <a:cxnSpLocks/>
          <a:stCxn id="20" idx="2"/>
          <a:endCxn id="29" idx="0"/>
        </xdr:cNvCxnSpPr>
      </xdr:nvCxnSpPr>
      <xdr:spPr>
        <a:xfrm rot="5400000">
          <a:off x="8209583" y="4422658"/>
          <a:ext cx="4059990" cy="7640607"/>
        </a:xfrm>
        <a:prstGeom prst="bentConnector3">
          <a:avLst>
            <a:gd name="adj1" fmla="val 61375"/>
          </a:avLst>
        </a:prstGeom>
        <a:ln w="57150">
          <a:solidFill>
            <a:schemeClr val="bg2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831274</xdr:colOff>
      <xdr:row>57</xdr:row>
      <xdr:rowOff>123175</xdr:rowOff>
    </xdr:from>
    <xdr:to>
      <xdr:col>6</xdr:col>
      <xdr:colOff>1177636</xdr:colOff>
      <xdr:row>64</xdr:row>
      <xdr:rowOff>134059</xdr:rowOff>
    </xdr:to>
    <xdr:cxnSp macro="">
      <xdr:nvCxnSpPr>
        <xdr:cNvPr id="386" name="Spojnice: pravoúhlá 385">
          <a:extLst>
            <a:ext uri="{FF2B5EF4-FFF2-40B4-BE49-F238E27FC236}">
              <a16:creationId xmlns:a16="http://schemas.microsoft.com/office/drawing/2014/main" id="{CA866930-8A16-4DB8-AB29-F0FD82DB6A7C}"/>
            </a:ext>
          </a:extLst>
        </xdr:cNvPr>
        <xdr:cNvCxnSpPr>
          <a:cxnSpLocks/>
          <a:stCxn id="30" idx="1"/>
          <a:endCxn id="29" idx="3"/>
        </xdr:cNvCxnSpPr>
      </xdr:nvCxnSpPr>
      <xdr:spPr>
        <a:xfrm rot="10800000" flipV="1">
          <a:off x="7400638" y="9474993"/>
          <a:ext cx="346362" cy="1223157"/>
        </a:xfrm>
        <a:prstGeom prst="bentConnector3">
          <a:avLst>
            <a:gd name="adj1" fmla="val 50000"/>
          </a:avLst>
        </a:prstGeom>
        <a:ln w="38100">
          <a:solidFill>
            <a:schemeClr val="accent5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998683</xdr:colOff>
      <xdr:row>60</xdr:row>
      <xdr:rowOff>9855</xdr:rowOff>
    </xdr:from>
    <xdr:to>
      <xdr:col>11</xdr:col>
      <xdr:colOff>1000465</xdr:colOff>
      <xdr:row>63</xdr:row>
      <xdr:rowOff>41725</xdr:rowOff>
    </xdr:to>
    <xdr:cxnSp macro="">
      <xdr:nvCxnSpPr>
        <xdr:cNvPr id="388" name="Přímá spojnice se šipkou 387">
          <a:extLst>
            <a:ext uri="{FF2B5EF4-FFF2-40B4-BE49-F238E27FC236}">
              <a16:creationId xmlns:a16="http://schemas.microsoft.com/office/drawing/2014/main" id="{67DEBAC1-328C-48D3-87AC-EB48FFE968AF}"/>
            </a:ext>
          </a:extLst>
        </xdr:cNvPr>
        <xdr:cNvCxnSpPr>
          <a:stCxn id="21" idx="2"/>
          <a:endCxn id="22" idx="0"/>
        </xdr:cNvCxnSpPr>
      </xdr:nvCxnSpPr>
      <xdr:spPr>
        <a:xfrm>
          <a:off x="13652501" y="9881219"/>
          <a:ext cx="1782" cy="551415"/>
        </a:xfrm>
        <a:prstGeom prst="straightConnector1">
          <a:avLst/>
        </a:prstGeom>
        <a:ln w="38100">
          <a:solidFill>
            <a:schemeClr val="accent5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587247</xdr:colOff>
      <xdr:row>60</xdr:row>
      <xdr:rowOff>28824</xdr:rowOff>
    </xdr:from>
    <xdr:to>
      <xdr:col>8</xdr:col>
      <xdr:colOff>599041</xdr:colOff>
      <xdr:row>64</xdr:row>
      <xdr:rowOff>165923</xdr:rowOff>
    </xdr:to>
    <xdr:cxnSp macro="">
      <xdr:nvCxnSpPr>
        <xdr:cNvPr id="391" name="Přímá spojnice se šipkou 390">
          <a:extLst>
            <a:ext uri="{FF2B5EF4-FFF2-40B4-BE49-F238E27FC236}">
              <a16:creationId xmlns:a16="http://schemas.microsoft.com/office/drawing/2014/main" id="{39C95B23-C5C1-4E73-9A25-03D803D9D4EF}"/>
            </a:ext>
          </a:extLst>
        </xdr:cNvPr>
        <xdr:cNvCxnSpPr>
          <a:stCxn id="30" idx="2"/>
          <a:endCxn id="31" idx="0"/>
        </xdr:cNvCxnSpPr>
      </xdr:nvCxnSpPr>
      <xdr:spPr>
        <a:xfrm>
          <a:off x="9465702" y="9900188"/>
          <a:ext cx="11794" cy="829826"/>
        </a:xfrm>
        <a:prstGeom prst="straightConnector1">
          <a:avLst/>
        </a:prstGeom>
        <a:ln w="38100">
          <a:solidFill>
            <a:schemeClr val="accent5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727364</xdr:colOff>
      <xdr:row>57</xdr:row>
      <xdr:rowOff>123176</xdr:rowOff>
    </xdr:from>
    <xdr:to>
      <xdr:col>6</xdr:col>
      <xdr:colOff>1177636</xdr:colOff>
      <xdr:row>57</xdr:row>
      <xdr:rowOff>138929</xdr:rowOff>
    </xdr:to>
    <xdr:cxnSp macro="">
      <xdr:nvCxnSpPr>
        <xdr:cNvPr id="408" name="Přímá spojnice se šipkou 407">
          <a:extLst>
            <a:ext uri="{FF2B5EF4-FFF2-40B4-BE49-F238E27FC236}">
              <a16:creationId xmlns:a16="http://schemas.microsoft.com/office/drawing/2014/main" id="{D4E1B222-8A2F-440F-A74C-51EB61479E74}"/>
            </a:ext>
          </a:extLst>
        </xdr:cNvPr>
        <xdr:cNvCxnSpPr>
          <a:stCxn id="30" idx="1"/>
          <a:endCxn id="25" idx="3"/>
        </xdr:cNvCxnSpPr>
      </xdr:nvCxnSpPr>
      <xdr:spPr>
        <a:xfrm flipH="1">
          <a:off x="6038273" y="9474994"/>
          <a:ext cx="1708727" cy="15753"/>
        </a:xfrm>
        <a:prstGeom prst="straightConnector1">
          <a:avLst/>
        </a:prstGeom>
        <a:ln w="38100">
          <a:solidFill>
            <a:schemeClr val="accent5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386101</xdr:colOff>
      <xdr:row>67</xdr:row>
      <xdr:rowOff>39709</xdr:rowOff>
    </xdr:from>
    <xdr:to>
      <xdr:col>5</xdr:col>
      <xdr:colOff>1108365</xdr:colOff>
      <xdr:row>71</xdr:row>
      <xdr:rowOff>40881</xdr:rowOff>
    </xdr:to>
    <xdr:cxnSp macro="">
      <xdr:nvCxnSpPr>
        <xdr:cNvPr id="413" name="Spojnice: pravoúhlá 412">
          <a:extLst>
            <a:ext uri="{FF2B5EF4-FFF2-40B4-BE49-F238E27FC236}">
              <a16:creationId xmlns:a16="http://schemas.microsoft.com/office/drawing/2014/main" id="{0DD23175-AC4B-411C-AFE9-510B28F8401B}"/>
            </a:ext>
          </a:extLst>
        </xdr:cNvPr>
        <xdr:cNvCxnSpPr>
          <a:cxnSpLocks/>
          <a:stCxn id="29" idx="2"/>
          <a:endCxn id="24" idx="0"/>
        </xdr:cNvCxnSpPr>
      </xdr:nvCxnSpPr>
      <xdr:spPr>
        <a:xfrm rot="5400000">
          <a:off x="5711192" y="11109163"/>
          <a:ext cx="693900" cy="722264"/>
        </a:xfrm>
        <a:prstGeom prst="bentConnector3">
          <a:avLst>
            <a:gd name="adj1" fmla="val 50000"/>
          </a:avLst>
        </a:prstGeom>
        <a:ln w="38100">
          <a:solidFill>
            <a:schemeClr val="accent5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1002488</xdr:colOff>
      <xdr:row>60</xdr:row>
      <xdr:rowOff>54101</xdr:rowOff>
    </xdr:from>
    <xdr:to>
      <xdr:col>5</xdr:col>
      <xdr:colOff>386102</xdr:colOff>
      <xdr:row>71</xdr:row>
      <xdr:rowOff>40880</xdr:rowOff>
    </xdr:to>
    <xdr:cxnSp macro="">
      <xdr:nvCxnSpPr>
        <xdr:cNvPr id="416" name="Spojnice: pravoúhlá 415">
          <a:extLst>
            <a:ext uri="{FF2B5EF4-FFF2-40B4-BE49-F238E27FC236}">
              <a16:creationId xmlns:a16="http://schemas.microsoft.com/office/drawing/2014/main" id="{212C85CC-F09B-43F1-84A3-249643A458CD}"/>
            </a:ext>
          </a:extLst>
        </xdr:cNvPr>
        <xdr:cNvCxnSpPr>
          <a:cxnSpLocks/>
          <a:stCxn id="25" idx="2"/>
          <a:endCxn id="24" idx="0"/>
        </xdr:cNvCxnSpPr>
      </xdr:nvCxnSpPr>
      <xdr:spPr>
        <a:xfrm rot="16200000" flipH="1">
          <a:off x="4430087" y="10550321"/>
          <a:ext cx="1891779" cy="642068"/>
        </a:xfrm>
        <a:prstGeom prst="bentConnector3">
          <a:avLst>
            <a:gd name="adj1" fmla="val 81125"/>
          </a:avLst>
        </a:prstGeom>
        <a:ln w="38100">
          <a:solidFill>
            <a:schemeClr val="accent5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1000465</xdr:colOff>
      <xdr:row>68</xdr:row>
      <xdr:rowOff>35730</xdr:rowOff>
    </xdr:from>
    <xdr:to>
      <xdr:col>11</xdr:col>
      <xdr:colOff>1004713</xdr:colOff>
      <xdr:row>70</xdr:row>
      <xdr:rowOff>168747</xdr:rowOff>
    </xdr:to>
    <xdr:cxnSp macro="">
      <xdr:nvCxnSpPr>
        <xdr:cNvPr id="424" name="Přímá spojnice se šipkou 423">
          <a:extLst>
            <a:ext uri="{FF2B5EF4-FFF2-40B4-BE49-F238E27FC236}">
              <a16:creationId xmlns:a16="http://schemas.microsoft.com/office/drawing/2014/main" id="{0BF1F29F-833E-404D-AB78-6A9192F663B8}"/>
            </a:ext>
          </a:extLst>
        </xdr:cNvPr>
        <xdr:cNvCxnSpPr>
          <a:stCxn id="22" idx="2"/>
          <a:endCxn id="66" idx="0"/>
        </xdr:cNvCxnSpPr>
      </xdr:nvCxnSpPr>
      <xdr:spPr>
        <a:xfrm>
          <a:off x="13654283" y="11292548"/>
          <a:ext cx="4248" cy="479381"/>
        </a:xfrm>
        <a:prstGeom prst="straightConnector1">
          <a:avLst/>
        </a:prstGeom>
        <a:ln w="38100">
          <a:solidFill>
            <a:schemeClr val="accent5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842816</xdr:colOff>
      <xdr:row>95</xdr:row>
      <xdr:rowOff>30296</xdr:rowOff>
    </xdr:from>
    <xdr:to>
      <xdr:col>8</xdr:col>
      <xdr:colOff>1093624</xdr:colOff>
      <xdr:row>97</xdr:row>
      <xdr:rowOff>11083</xdr:rowOff>
    </xdr:to>
    <xdr:cxnSp macro="">
      <xdr:nvCxnSpPr>
        <xdr:cNvPr id="482" name="Spojnice: pravoúhlá 481">
          <a:extLst>
            <a:ext uri="{FF2B5EF4-FFF2-40B4-BE49-F238E27FC236}">
              <a16:creationId xmlns:a16="http://schemas.microsoft.com/office/drawing/2014/main" id="{AADEC292-B8E0-4E6F-9309-A8110756FFC9}"/>
            </a:ext>
          </a:extLst>
        </xdr:cNvPr>
        <xdr:cNvCxnSpPr>
          <a:cxnSpLocks/>
          <a:stCxn id="33" idx="3"/>
          <a:endCxn id="34" idx="1"/>
        </xdr:cNvCxnSpPr>
      </xdr:nvCxnSpPr>
      <xdr:spPr>
        <a:xfrm flipV="1">
          <a:off x="8670634" y="15963023"/>
          <a:ext cx="1509263" cy="327151"/>
        </a:xfrm>
        <a:prstGeom prst="bentConnector3">
          <a:avLst>
            <a:gd name="adj1" fmla="val 50000"/>
          </a:avLst>
        </a:prstGeom>
        <a:ln w="38100">
          <a:solidFill>
            <a:schemeClr val="accent5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101023</xdr:colOff>
      <xdr:row>97</xdr:row>
      <xdr:rowOff>11083</xdr:rowOff>
    </xdr:from>
    <xdr:to>
      <xdr:col>5</xdr:col>
      <xdr:colOff>1021512</xdr:colOff>
      <xdr:row>99</xdr:row>
      <xdr:rowOff>145048</xdr:rowOff>
    </xdr:to>
    <xdr:cxnSp macro="">
      <xdr:nvCxnSpPr>
        <xdr:cNvPr id="510" name="Spojnice: pravoúhlá 509">
          <a:extLst>
            <a:ext uri="{FF2B5EF4-FFF2-40B4-BE49-F238E27FC236}">
              <a16:creationId xmlns:a16="http://schemas.microsoft.com/office/drawing/2014/main" id="{9E6791DF-693D-449E-A946-FAD807920B42}"/>
            </a:ext>
          </a:extLst>
        </xdr:cNvPr>
        <xdr:cNvCxnSpPr>
          <a:cxnSpLocks/>
          <a:stCxn id="32" idx="3"/>
          <a:endCxn id="33" idx="1"/>
        </xdr:cNvCxnSpPr>
      </xdr:nvCxnSpPr>
      <xdr:spPr>
        <a:xfrm flipV="1">
          <a:off x="5411932" y="16290174"/>
          <a:ext cx="920489" cy="480329"/>
        </a:xfrm>
        <a:prstGeom prst="bentConnector3">
          <a:avLst>
            <a:gd name="adj1" fmla="val 50000"/>
          </a:avLst>
        </a:prstGeom>
        <a:ln w="38100">
          <a:solidFill>
            <a:schemeClr val="accent5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101023</xdr:colOff>
      <xdr:row>99</xdr:row>
      <xdr:rowOff>145048</xdr:rowOff>
    </xdr:from>
    <xdr:to>
      <xdr:col>5</xdr:col>
      <xdr:colOff>1027546</xdr:colOff>
      <xdr:row>103</xdr:row>
      <xdr:rowOff>33470</xdr:rowOff>
    </xdr:to>
    <xdr:cxnSp macro="">
      <xdr:nvCxnSpPr>
        <xdr:cNvPr id="513" name="Spojnice: pravoúhlá 512">
          <a:extLst>
            <a:ext uri="{FF2B5EF4-FFF2-40B4-BE49-F238E27FC236}">
              <a16:creationId xmlns:a16="http://schemas.microsoft.com/office/drawing/2014/main" id="{A12F7044-4D3D-45E7-94A6-0D5E58452226}"/>
            </a:ext>
          </a:extLst>
        </xdr:cNvPr>
        <xdr:cNvCxnSpPr>
          <a:cxnSpLocks/>
          <a:stCxn id="32" idx="3"/>
          <a:endCxn id="36" idx="1"/>
        </xdr:cNvCxnSpPr>
      </xdr:nvCxnSpPr>
      <xdr:spPr>
        <a:xfrm>
          <a:off x="5411932" y="16770503"/>
          <a:ext cx="926523" cy="581149"/>
        </a:xfrm>
        <a:prstGeom prst="bentConnector3">
          <a:avLst>
            <a:gd name="adj1" fmla="val 50000"/>
          </a:avLst>
        </a:prstGeom>
        <a:ln w="38100">
          <a:solidFill>
            <a:schemeClr val="accent5"/>
          </a:solidFill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1223819</xdr:colOff>
      <xdr:row>82</xdr:row>
      <xdr:rowOff>14030</xdr:rowOff>
    </xdr:from>
    <xdr:to>
      <xdr:col>11</xdr:col>
      <xdr:colOff>397309</xdr:colOff>
      <xdr:row>82</xdr:row>
      <xdr:rowOff>20813</xdr:rowOff>
    </xdr:to>
    <xdr:cxnSp macro="">
      <xdr:nvCxnSpPr>
        <xdr:cNvPr id="519" name="Přímá spojnice se šipkou 518">
          <a:extLst>
            <a:ext uri="{FF2B5EF4-FFF2-40B4-BE49-F238E27FC236}">
              <a16:creationId xmlns:a16="http://schemas.microsoft.com/office/drawing/2014/main" id="{96690634-8B10-4319-A597-F2F9EECF00C5}"/>
            </a:ext>
          </a:extLst>
        </xdr:cNvPr>
        <xdr:cNvCxnSpPr>
          <a:stCxn id="23" idx="3"/>
          <a:endCxn id="26" idx="1"/>
        </xdr:cNvCxnSpPr>
      </xdr:nvCxnSpPr>
      <xdr:spPr>
        <a:xfrm flipV="1">
          <a:off x="12827001" y="13695394"/>
          <a:ext cx="431944" cy="6783"/>
        </a:xfrm>
        <a:prstGeom prst="straightConnector1">
          <a:avLst/>
        </a:prstGeom>
        <a:ln w="38100">
          <a:solidFill>
            <a:schemeClr val="accent5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380999</xdr:colOff>
      <xdr:row>82</xdr:row>
      <xdr:rowOff>20813</xdr:rowOff>
    </xdr:from>
    <xdr:to>
      <xdr:col>9</xdr:col>
      <xdr:colOff>835068</xdr:colOff>
      <xdr:row>82</xdr:row>
      <xdr:rowOff>22587</xdr:rowOff>
    </xdr:to>
    <xdr:cxnSp macro="">
      <xdr:nvCxnSpPr>
        <xdr:cNvPr id="522" name="Přímá spojnice se šipkou 521">
          <a:extLst>
            <a:ext uri="{FF2B5EF4-FFF2-40B4-BE49-F238E27FC236}">
              <a16:creationId xmlns:a16="http://schemas.microsoft.com/office/drawing/2014/main" id="{2FE14751-2659-4DF5-A489-41045C4150D7}"/>
            </a:ext>
          </a:extLst>
        </xdr:cNvPr>
        <xdr:cNvCxnSpPr>
          <a:stCxn id="28" idx="3"/>
          <a:endCxn id="23" idx="1"/>
        </xdr:cNvCxnSpPr>
      </xdr:nvCxnSpPr>
      <xdr:spPr>
        <a:xfrm flipV="1">
          <a:off x="10725726" y="13702177"/>
          <a:ext cx="454069" cy="1774"/>
        </a:xfrm>
        <a:prstGeom prst="straightConnector1">
          <a:avLst/>
        </a:prstGeom>
        <a:ln w="38100">
          <a:solidFill>
            <a:schemeClr val="accent5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599041</xdr:colOff>
      <xdr:row>69</xdr:row>
      <xdr:rowOff>150403</xdr:rowOff>
    </xdr:from>
    <xdr:to>
      <xdr:col>10</xdr:col>
      <xdr:colOff>400216</xdr:colOff>
      <xdr:row>79</xdr:row>
      <xdr:rowOff>108361</xdr:rowOff>
    </xdr:to>
    <xdr:cxnSp macro="">
      <xdr:nvCxnSpPr>
        <xdr:cNvPr id="530" name="Spojnice: pravoúhlá 529">
          <a:extLst>
            <a:ext uri="{FF2B5EF4-FFF2-40B4-BE49-F238E27FC236}">
              <a16:creationId xmlns:a16="http://schemas.microsoft.com/office/drawing/2014/main" id="{FB251D08-F872-41E1-B259-1CE11FE3F23D}"/>
            </a:ext>
          </a:extLst>
        </xdr:cNvPr>
        <xdr:cNvCxnSpPr>
          <a:cxnSpLocks/>
          <a:stCxn id="31" idx="2"/>
          <a:endCxn id="23" idx="0"/>
        </xdr:cNvCxnSpPr>
      </xdr:nvCxnSpPr>
      <xdr:spPr>
        <a:xfrm rot="16200000" flipH="1">
          <a:off x="9999468" y="11266249"/>
          <a:ext cx="1689776" cy="2318084"/>
        </a:xfrm>
        <a:prstGeom prst="bentConnector3">
          <a:avLst>
            <a:gd name="adj1" fmla="val 50000"/>
          </a:avLst>
        </a:prstGeom>
        <a:ln w="38100">
          <a:solidFill>
            <a:schemeClr val="accent5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812738</xdr:colOff>
      <xdr:row>31</xdr:row>
      <xdr:rowOff>62018</xdr:rowOff>
    </xdr:from>
    <xdr:to>
      <xdr:col>10</xdr:col>
      <xdr:colOff>400216</xdr:colOff>
      <xdr:row>84</xdr:row>
      <xdr:rowOff>106448</xdr:rowOff>
    </xdr:to>
    <xdr:cxnSp macro="">
      <xdr:nvCxnSpPr>
        <xdr:cNvPr id="533" name="Spojnice: pravoúhlá 532">
          <a:extLst>
            <a:ext uri="{FF2B5EF4-FFF2-40B4-BE49-F238E27FC236}">
              <a16:creationId xmlns:a16="http://schemas.microsoft.com/office/drawing/2014/main" id="{4F019983-FAD4-43E6-9040-243D205541AB}"/>
            </a:ext>
          </a:extLst>
        </xdr:cNvPr>
        <xdr:cNvCxnSpPr>
          <a:cxnSpLocks/>
          <a:stCxn id="16" idx="2"/>
          <a:endCxn id="23" idx="2"/>
        </xdr:cNvCxnSpPr>
      </xdr:nvCxnSpPr>
      <xdr:spPr>
        <a:xfrm rot="16200000" flipH="1">
          <a:off x="3193535" y="5324312"/>
          <a:ext cx="9223066" cy="8396660"/>
        </a:xfrm>
        <a:prstGeom prst="bentConnector3">
          <a:avLst>
            <a:gd name="adj1" fmla="val 102479"/>
          </a:avLst>
        </a:prstGeom>
        <a:ln w="57150">
          <a:solidFill>
            <a:schemeClr val="bg2">
              <a:lumMod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154248</xdr:colOff>
      <xdr:row>82</xdr:row>
      <xdr:rowOff>4503</xdr:rowOff>
    </xdr:from>
    <xdr:to>
      <xdr:col>7</xdr:col>
      <xdr:colOff>1218972</xdr:colOff>
      <xdr:row>82</xdr:row>
      <xdr:rowOff>22587</xdr:rowOff>
    </xdr:to>
    <xdr:cxnSp macro="">
      <xdr:nvCxnSpPr>
        <xdr:cNvPr id="551" name="Přímá spojnice se šipkou 550">
          <a:extLst>
            <a:ext uri="{FF2B5EF4-FFF2-40B4-BE49-F238E27FC236}">
              <a16:creationId xmlns:a16="http://schemas.microsoft.com/office/drawing/2014/main" id="{EB9EE545-41B1-4CD7-B1DE-870CFABC8A86}"/>
            </a:ext>
          </a:extLst>
        </xdr:cNvPr>
        <xdr:cNvCxnSpPr>
          <a:stCxn id="27" idx="3"/>
          <a:endCxn id="28" idx="1"/>
        </xdr:cNvCxnSpPr>
      </xdr:nvCxnSpPr>
      <xdr:spPr>
        <a:xfrm>
          <a:off x="7982066" y="13685867"/>
          <a:ext cx="1064724" cy="18084"/>
        </a:xfrm>
        <a:prstGeom prst="straightConnector1">
          <a:avLst/>
        </a:prstGeom>
        <a:ln w="38100">
          <a:solidFill>
            <a:schemeClr val="accent5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19156</xdr:colOff>
      <xdr:row>57</xdr:row>
      <xdr:rowOff>138929</xdr:rowOff>
    </xdr:from>
    <xdr:to>
      <xdr:col>11</xdr:col>
      <xdr:colOff>1220427</xdr:colOff>
      <xdr:row>84</xdr:row>
      <xdr:rowOff>94902</xdr:rowOff>
    </xdr:to>
    <xdr:cxnSp macro="">
      <xdr:nvCxnSpPr>
        <xdr:cNvPr id="557" name="Spojnice: pravoúhlá 556">
          <a:extLst>
            <a:ext uri="{FF2B5EF4-FFF2-40B4-BE49-F238E27FC236}">
              <a16:creationId xmlns:a16="http://schemas.microsoft.com/office/drawing/2014/main" id="{1A320B12-B277-4117-AD3B-0C7390B31286}"/>
            </a:ext>
          </a:extLst>
        </xdr:cNvPr>
        <xdr:cNvCxnSpPr>
          <a:cxnSpLocks/>
          <a:stCxn id="25" idx="1"/>
          <a:endCxn id="26" idx="2"/>
        </xdr:cNvCxnSpPr>
      </xdr:nvCxnSpPr>
      <xdr:spPr>
        <a:xfrm rot="10800000" flipH="1" flipV="1">
          <a:off x="4071611" y="9490747"/>
          <a:ext cx="10010452" cy="4631882"/>
        </a:xfrm>
        <a:prstGeom prst="bentConnector4">
          <a:avLst>
            <a:gd name="adj1" fmla="val -2284"/>
            <a:gd name="adj2" fmla="val 110668"/>
          </a:avLst>
        </a:prstGeom>
        <a:ln w="38100">
          <a:solidFill>
            <a:schemeClr val="accent5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415637</xdr:colOff>
      <xdr:row>68</xdr:row>
      <xdr:rowOff>34636</xdr:rowOff>
    </xdr:from>
    <xdr:to>
      <xdr:col>12</xdr:col>
      <xdr:colOff>785091</xdr:colOff>
      <xdr:row>82</xdr:row>
      <xdr:rowOff>14029</xdr:rowOff>
    </xdr:to>
    <xdr:cxnSp macro="">
      <xdr:nvCxnSpPr>
        <xdr:cNvPr id="563" name="Spojnice: pravoúhlá 562">
          <a:extLst>
            <a:ext uri="{FF2B5EF4-FFF2-40B4-BE49-F238E27FC236}">
              <a16:creationId xmlns:a16="http://schemas.microsoft.com/office/drawing/2014/main" id="{73B00A50-51F6-4F88-9B34-D1EF3BE4EC9E}"/>
            </a:ext>
          </a:extLst>
        </xdr:cNvPr>
        <xdr:cNvCxnSpPr>
          <a:cxnSpLocks/>
          <a:endCxn id="26" idx="3"/>
        </xdr:cNvCxnSpPr>
      </xdr:nvCxnSpPr>
      <xdr:spPr>
        <a:xfrm rot="16200000" flipH="1">
          <a:off x="13518485" y="12308697"/>
          <a:ext cx="2403939" cy="369454"/>
        </a:xfrm>
        <a:prstGeom prst="bentConnector4">
          <a:avLst>
            <a:gd name="adj1" fmla="val 12298"/>
            <a:gd name="adj2" fmla="val 161875"/>
          </a:avLst>
        </a:prstGeom>
        <a:ln w="38100">
          <a:solidFill>
            <a:schemeClr val="accent5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11546</xdr:colOff>
      <xdr:row>90</xdr:row>
      <xdr:rowOff>69272</xdr:rowOff>
    </xdr:from>
    <xdr:to>
      <xdr:col>6</xdr:col>
      <xdr:colOff>459006</xdr:colOff>
      <xdr:row>93</xdr:row>
      <xdr:rowOff>152059</xdr:rowOff>
    </xdr:to>
    <xdr:cxnSp macro="">
      <xdr:nvCxnSpPr>
        <xdr:cNvPr id="569" name="Spojnice: pravoúhlá 568">
          <a:extLst>
            <a:ext uri="{FF2B5EF4-FFF2-40B4-BE49-F238E27FC236}">
              <a16:creationId xmlns:a16="http://schemas.microsoft.com/office/drawing/2014/main" id="{2F5440C5-4017-4BFC-B2E3-F985BC53A862}"/>
            </a:ext>
          </a:extLst>
        </xdr:cNvPr>
        <xdr:cNvCxnSpPr>
          <a:cxnSpLocks/>
        </xdr:cNvCxnSpPr>
      </xdr:nvCxnSpPr>
      <xdr:spPr>
        <a:xfrm rot="16200000" flipH="1">
          <a:off x="6503473" y="15213527"/>
          <a:ext cx="602333" cy="447460"/>
        </a:xfrm>
        <a:prstGeom prst="bentConnector3">
          <a:avLst>
            <a:gd name="adj1" fmla="val 32749"/>
          </a:avLst>
        </a:prstGeom>
        <a:ln w="57150">
          <a:solidFill>
            <a:schemeClr val="bg2">
              <a:lumMod val="50000"/>
            </a:schemeClr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853862</xdr:colOff>
      <xdr:row>90</xdr:row>
      <xdr:rowOff>69276</xdr:rowOff>
    </xdr:from>
    <xdr:to>
      <xdr:col>6</xdr:col>
      <xdr:colOff>854367</xdr:colOff>
      <xdr:row>93</xdr:row>
      <xdr:rowOff>154369</xdr:rowOff>
    </xdr:to>
    <xdr:cxnSp macro="">
      <xdr:nvCxnSpPr>
        <xdr:cNvPr id="590" name="Spojnice: pravoúhlá 589">
          <a:extLst>
            <a:ext uri="{FF2B5EF4-FFF2-40B4-BE49-F238E27FC236}">
              <a16:creationId xmlns:a16="http://schemas.microsoft.com/office/drawing/2014/main" id="{D4CDEE21-7652-4E1A-B15E-48356446D031}"/>
            </a:ext>
          </a:extLst>
        </xdr:cNvPr>
        <xdr:cNvCxnSpPr>
          <a:cxnSpLocks/>
        </xdr:cNvCxnSpPr>
      </xdr:nvCxnSpPr>
      <xdr:spPr>
        <a:xfrm rot="5400000">
          <a:off x="7121159" y="15438161"/>
          <a:ext cx="604639" cy="505"/>
        </a:xfrm>
        <a:prstGeom prst="bentConnector3">
          <a:avLst>
            <a:gd name="adj1" fmla="val 50000"/>
          </a:avLst>
        </a:prstGeom>
        <a:ln w="57150">
          <a:solidFill>
            <a:schemeClr val="bg2">
              <a:lumMod val="50000"/>
            </a:schemeClr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1248718</xdr:colOff>
      <xdr:row>90</xdr:row>
      <xdr:rowOff>57730</xdr:rowOff>
    </xdr:from>
    <xdr:to>
      <xdr:col>7</xdr:col>
      <xdr:colOff>484912</xdr:colOff>
      <xdr:row>93</xdr:row>
      <xdr:rowOff>156680</xdr:rowOff>
    </xdr:to>
    <xdr:cxnSp macro="">
      <xdr:nvCxnSpPr>
        <xdr:cNvPr id="592" name="Spojnice: pravoúhlá 591">
          <a:extLst>
            <a:ext uri="{FF2B5EF4-FFF2-40B4-BE49-F238E27FC236}">
              <a16:creationId xmlns:a16="http://schemas.microsoft.com/office/drawing/2014/main" id="{8218B0E4-0493-4719-942D-2CEAE1C1989C}"/>
            </a:ext>
          </a:extLst>
        </xdr:cNvPr>
        <xdr:cNvCxnSpPr>
          <a:cxnSpLocks/>
        </xdr:cNvCxnSpPr>
      </xdr:nvCxnSpPr>
      <xdr:spPr>
        <a:xfrm rot="5400000">
          <a:off x="7756158" y="15186472"/>
          <a:ext cx="618496" cy="494648"/>
        </a:xfrm>
        <a:prstGeom prst="bentConnector3">
          <a:avLst>
            <a:gd name="adj1" fmla="val 35066"/>
          </a:avLst>
        </a:prstGeom>
        <a:ln w="57150">
          <a:solidFill>
            <a:schemeClr val="bg2">
              <a:lumMod val="50000"/>
            </a:schemeClr>
          </a:solidFill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466436</xdr:colOff>
      <xdr:row>0</xdr:row>
      <xdr:rowOff>230909</xdr:rowOff>
    </xdr:from>
    <xdr:to>
      <xdr:col>12</xdr:col>
      <xdr:colOff>1916546</xdr:colOff>
      <xdr:row>4</xdr:row>
      <xdr:rowOff>71583</xdr:rowOff>
    </xdr:to>
    <xdr:grpSp>
      <xdr:nvGrpSpPr>
        <xdr:cNvPr id="630" name="Skupina 629">
          <a:extLst>
            <a:ext uri="{FF2B5EF4-FFF2-40B4-BE49-F238E27FC236}">
              <a16:creationId xmlns:a16="http://schemas.microsoft.com/office/drawing/2014/main" id="{6A989336-3746-4EDE-8088-DB2B1FE0A984}"/>
            </a:ext>
          </a:extLst>
        </xdr:cNvPr>
        <xdr:cNvGrpSpPr/>
      </xdr:nvGrpSpPr>
      <xdr:grpSpPr>
        <a:xfrm>
          <a:off x="3633499" y="230909"/>
          <a:ext cx="14308860" cy="745549"/>
          <a:chOff x="3976254" y="230909"/>
          <a:chExt cx="12776201" cy="706583"/>
        </a:xfrm>
      </xdr:grpSpPr>
      <xdr:sp macro="" textlink="">
        <xdr:nvSpPr>
          <xdr:cNvPr id="605" name="Obdélník 604">
            <a:extLst>
              <a:ext uri="{FF2B5EF4-FFF2-40B4-BE49-F238E27FC236}">
                <a16:creationId xmlns:a16="http://schemas.microsoft.com/office/drawing/2014/main" id="{D617DF27-61E9-4FBD-87AB-96F11D7E435D}"/>
              </a:ext>
            </a:extLst>
          </xdr:cNvPr>
          <xdr:cNvSpPr/>
        </xdr:nvSpPr>
        <xdr:spPr>
          <a:xfrm>
            <a:off x="4375727" y="230909"/>
            <a:ext cx="12376728" cy="658092"/>
          </a:xfrm>
          <a:prstGeom prst="rect">
            <a:avLst/>
          </a:prstGeom>
          <a:solidFill>
            <a:schemeClr val="bg1">
              <a:lumMod val="85000"/>
            </a:schemeClr>
          </a:solidFill>
          <a:ln w="57150" cap="flat" cmpd="sng" algn="ctr">
            <a:solidFill>
              <a:schemeClr val="bg1">
                <a:lumMod val="65000"/>
              </a:schemeClr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accent5"/>
          </a:fontRef>
        </xdr:style>
        <xdr:txBody>
          <a:bodyPr vertOverflow="clip" horzOverflow="clip" rtlCol="0" anchor="t"/>
          <a:lstStyle/>
          <a:p>
            <a:pPr algn="l"/>
            <a:endParaRPr lang="cs-CZ" sz="1100"/>
          </a:p>
        </xdr:txBody>
      </xdr:sp>
      <xdr:cxnSp macro="">
        <xdr:nvCxnSpPr>
          <xdr:cNvPr id="607" name="Přímá spojnice se šipkou 606">
            <a:extLst>
              <a:ext uri="{FF2B5EF4-FFF2-40B4-BE49-F238E27FC236}">
                <a16:creationId xmlns:a16="http://schemas.microsoft.com/office/drawing/2014/main" id="{4B89CCC5-88B1-43C5-BD64-B0168ACAC60C}"/>
              </a:ext>
            </a:extLst>
          </xdr:cNvPr>
          <xdr:cNvCxnSpPr/>
        </xdr:nvCxnSpPr>
        <xdr:spPr>
          <a:xfrm>
            <a:off x="7446819" y="704273"/>
            <a:ext cx="1547091" cy="0"/>
          </a:xfrm>
          <a:prstGeom prst="straightConnector1">
            <a:avLst/>
          </a:prstGeom>
          <a:ln w="76200">
            <a:solidFill>
              <a:schemeClr val="accent5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10" name="TextovéPole 609">
            <a:extLst>
              <a:ext uri="{FF2B5EF4-FFF2-40B4-BE49-F238E27FC236}">
                <a16:creationId xmlns:a16="http://schemas.microsoft.com/office/drawing/2014/main" id="{CE3215A9-ED11-4519-A43C-CB84397270F4}"/>
              </a:ext>
            </a:extLst>
          </xdr:cNvPr>
          <xdr:cNvSpPr txBox="1"/>
        </xdr:nvSpPr>
        <xdr:spPr>
          <a:xfrm>
            <a:off x="7319819" y="323272"/>
            <a:ext cx="1512453" cy="45027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cs-CZ" sz="2000" b="1">
                <a:solidFill>
                  <a:schemeClr val="tx1"/>
                </a:solidFill>
              </a:rPr>
              <a:t>MILNÍKOVÁ</a:t>
            </a:r>
          </a:p>
        </xdr:txBody>
      </xdr:sp>
      <xdr:cxnSp macro="">
        <xdr:nvCxnSpPr>
          <xdr:cNvPr id="611" name="Přímá spojnice se šipkou 610">
            <a:extLst>
              <a:ext uri="{FF2B5EF4-FFF2-40B4-BE49-F238E27FC236}">
                <a16:creationId xmlns:a16="http://schemas.microsoft.com/office/drawing/2014/main" id="{13AF0FD9-E9CF-4644-88D0-FA6B20E33D06}"/>
              </a:ext>
            </a:extLst>
          </xdr:cNvPr>
          <xdr:cNvCxnSpPr/>
        </xdr:nvCxnSpPr>
        <xdr:spPr>
          <a:xfrm flipV="1">
            <a:off x="9859819" y="669636"/>
            <a:ext cx="2089727" cy="11546"/>
          </a:xfrm>
          <a:prstGeom prst="straightConnector1">
            <a:avLst/>
          </a:prstGeom>
          <a:ln w="76200">
            <a:solidFill>
              <a:schemeClr val="bg2">
                <a:lumMod val="50000"/>
              </a:schemeClr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12" name="TextovéPole 611">
            <a:extLst>
              <a:ext uri="{FF2B5EF4-FFF2-40B4-BE49-F238E27FC236}">
                <a16:creationId xmlns:a16="http://schemas.microsoft.com/office/drawing/2014/main" id="{B526EB15-1CDF-430F-9BB7-9A088B8B1290}"/>
              </a:ext>
            </a:extLst>
          </xdr:cNvPr>
          <xdr:cNvSpPr txBox="1"/>
        </xdr:nvSpPr>
        <xdr:spPr>
          <a:xfrm>
            <a:off x="9735128" y="302491"/>
            <a:ext cx="2029690" cy="37869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cs-CZ" sz="2000" b="1">
                <a:solidFill>
                  <a:schemeClr val="tx1"/>
                </a:solidFill>
              </a:rPr>
              <a:t>MEZIMILNÍKOVÁ</a:t>
            </a:r>
          </a:p>
        </xdr:txBody>
      </xdr:sp>
      <xdr:cxnSp macro="">
        <xdr:nvCxnSpPr>
          <xdr:cNvPr id="615" name="Přímá spojnice 614">
            <a:extLst>
              <a:ext uri="{FF2B5EF4-FFF2-40B4-BE49-F238E27FC236}">
                <a16:creationId xmlns:a16="http://schemas.microsoft.com/office/drawing/2014/main" id="{8CD85155-53CD-4006-984D-326B0A30D598}"/>
              </a:ext>
            </a:extLst>
          </xdr:cNvPr>
          <xdr:cNvCxnSpPr/>
        </xdr:nvCxnSpPr>
        <xdr:spPr>
          <a:xfrm flipV="1">
            <a:off x="15020637" y="634999"/>
            <a:ext cx="1408545" cy="11546"/>
          </a:xfrm>
          <a:prstGeom prst="line">
            <a:avLst/>
          </a:prstGeom>
          <a:ln w="5715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17" name="Přímá spojnice 616">
            <a:extLst>
              <a:ext uri="{FF2B5EF4-FFF2-40B4-BE49-F238E27FC236}">
                <a16:creationId xmlns:a16="http://schemas.microsoft.com/office/drawing/2014/main" id="{27AA7537-E116-4E35-A196-26B00D4C45FE}"/>
              </a:ext>
            </a:extLst>
          </xdr:cNvPr>
          <xdr:cNvCxnSpPr/>
        </xdr:nvCxnSpPr>
        <xdr:spPr>
          <a:xfrm flipV="1">
            <a:off x="12852401" y="646545"/>
            <a:ext cx="1325418" cy="13856"/>
          </a:xfrm>
          <a:prstGeom prst="line">
            <a:avLst/>
          </a:prstGeom>
          <a:ln w="57150">
            <a:solidFill>
              <a:schemeClr val="tx1"/>
            </a:solidFill>
            <a:prstDash val="soli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18" name="TextovéPole 617">
            <a:extLst>
              <a:ext uri="{FF2B5EF4-FFF2-40B4-BE49-F238E27FC236}">
                <a16:creationId xmlns:a16="http://schemas.microsoft.com/office/drawing/2014/main" id="{9F082EE9-09D3-45F6-9F9E-96C41B96C88A}"/>
              </a:ext>
            </a:extLst>
          </xdr:cNvPr>
          <xdr:cNvSpPr txBox="1"/>
        </xdr:nvSpPr>
        <xdr:spPr>
          <a:xfrm>
            <a:off x="14757401" y="256307"/>
            <a:ext cx="1544781" cy="40178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cs-CZ" sz="2000" b="1">
                <a:solidFill>
                  <a:schemeClr val="tx1"/>
                </a:solidFill>
              </a:rPr>
              <a:t>NEPŘÍMÁ</a:t>
            </a:r>
          </a:p>
        </xdr:txBody>
      </xdr:sp>
      <xdr:sp macro="" textlink="">
        <xdr:nvSpPr>
          <xdr:cNvPr id="619" name="TextovéPole 618">
            <a:extLst>
              <a:ext uri="{FF2B5EF4-FFF2-40B4-BE49-F238E27FC236}">
                <a16:creationId xmlns:a16="http://schemas.microsoft.com/office/drawing/2014/main" id="{69C9571E-AB45-4159-A33D-759B6E7ED776}"/>
              </a:ext>
            </a:extLst>
          </xdr:cNvPr>
          <xdr:cNvSpPr txBox="1"/>
        </xdr:nvSpPr>
        <xdr:spPr>
          <a:xfrm>
            <a:off x="12462164" y="270163"/>
            <a:ext cx="1512453" cy="43411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cs-CZ" sz="2000" b="1">
                <a:solidFill>
                  <a:schemeClr val="tx1"/>
                </a:solidFill>
              </a:rPr>
              <a:t>PŘÍMÁ</a:t>
            </a:r>
          </a:p>
        </xdr:txBody>
      </xdr:sp>
      <xdr:sp macro="" textlink="">
        <xdr:nvSpPr>
          <xdr:cNvPr id="629" name="TextovéPole 628">
            <a:extLst>
              <a:ext uri="{FF2B5EF4-FFF2-40B4-BE49-F238E27FC236}">
                <a16:creationId xmlns:a16="http://schemas.microsoft.com/office/drawing/2014/main" id="{306F0B25-9B6C-4083-B740-7E724B7C1909}"/>
              </a:ext>
            </a:extLst>
          </xdr:cNvPr>
          <xdr:cNvSpPr txBox="1"/>
        </xdr:nvSpPr>
        <xdr:spPr>
          <a:xfrm>
            <a:off x="3976254" y="277092"/>
            <a:ext cx="3412836" cy="6604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cs-CZ" sz="3200" b="1">
                <a:solidFill>
                  <a:schemeClr val="tx1"/>
                </a:solidFill>
              </a:rPr>
              <a:t>TYPY VAZEB:</a:t>
            </a:r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406401</xdr:colOff>
      <xdr:row>1</xdr:row>
      <xdr:rowOff>50800</xdr:rowOff>
    </xdr:from>
    <xdr:to>
      <xdr:col>6</xdr:col>
      <xdr:colOff>568072</xdr:colOff>
      <xdr:row>57</xdr:row>
      <xdr:rowOff>31750</xdr:rowOff>
    </xdr:to>
    <xdr:pic>
      <xdr:nvPicPr>
        <xdr:cNvPr id="174" name="Obrázek 173">
          <a:extLst>
            <a:ext uri="{FF2B5EF4-FFF2-40B4-BE49-F238E27FC236}">
              <a16:creationId xmlns:a16="http://schemas.microsoft.com/office/drawing/2014/main" id="{AE45B8E8-0947-43D3-92D0-D61335FF16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1" y="330200"/>
          <a:ext cx="7781671" cy="1382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96118</xdr:colOff>
      <xdr:row>2</xdr:row>
      <xdr:rowOff>22224</xdr:rowOff>
    </xdr:from>
    <xdr:to>
      <xdr:col>20</xdr:col>
      <xdr:colOff>16452</xdr:colOff>
      <xdr:row>39</xdr:row>
      <xdr:rowOff>142873</xdr:rowOff>
    </xdr:to>
    <xdr:pic>
      <xdr:nvPicPr>
        <xdr:cNvPr id="266" name="Obrázek 265">
          <a:extLst>
            <a:ext uri="{FF2B5EF4-FFF2-40B4-BE49-F238E27FC236}">
              <a16:creationId xmlns:a16="http://schemas.microsoft.com/office/drawing/2014/main" id="{6176EC0E-2062-4F34-AB1C-DCEC849801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81368" y="466724"/>
          <a:ext cx="8588084" cy="10471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374651</xdr:colOff>
      <xdr:row>1</xdr:row>
      <xdr:rowOff>57150</xdr:rowOff>
    </xdr:from>
    <xdr:to>
      <xdr:col>34</xdr:col>
      <xdr:colOff>654915</xdr:colOff>
      <xdr:row>45</xdr:row>
      <xdr:rowOff>117475</xdr:rowOff>
    </xdr:to>
    <xdr:pic>
      <xdr:nvPicPr>
        <xdr:cNvPr id="365" name="Obrázek 364">
          <a:extLst>
            <a:ext uri="{FF2B5EF4-FFF2-40B4-BE49-F238E27FC236}">
              <a16:creationId xmlns:a16="http://schemas.microsoft.com/office/drawing/2014/main" id="{69DD1D94-BF66-4AF9-8BDA-8A125896D1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27651" y="327025"/>
          <a:ext cx="9614764" cy="11633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3381375</xdr:colOff>
      <xdr:row>3</xdr:row>
      <xdr:rowOff>571500</xdr:rowOff>
    </xdr:from>
    <xdr:to>
      <xdr:col>26</xdr:col>
      <xdr:colOff>238125</xdr:colOff>
      <xdr:row>96</xdr:row>
      <xdr:rowOff>79375</xdr:rowOff>
    </xdr:to>
    <xdr:pic>
      <xdr:nvPicPr>
        <xdr:cNvPr id="467" name="Obrázek 466">
          <a:extLst>
            <a:ext uri="{FF2B5EF4-FFF2-40B4-BE49-F238E27FC236}">
              <a16:creationId xmlns:a16="http://schemas.microsoft.com/office/drawing/2014/main" id="{F4FB4F92-FD59-4AE1-A729-EC8DC2D26F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14875" y="1333500"/>
          <a:ext cx="17176750" cy="1949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12</xdr:col>
      <xdr:colOff>489806</xdr:colOff>
      <xdr:row>5</xdr:row>
      <xdr:rowOff>743776</xdr:rowOff>
    </xdr:to>
    <xdr:pic>
      <xdr:nvPicPr>
        <xdr:cNvPr id="479" name="Obrázek 478">
          <a:extLst>
            <a:ext uri="{FF2B5EF4-FFF2-40B4-BE49-F238E27FC236}">
              <a16:creationId xmlns:a16="http://schemas.microsoft.com/office/drawing/2014/main" id="{A51FF69F-E444-437A-82C5-3ED208A0B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540000"/>
          <a:ext cx="12808806" cy="74377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435431</xdr:colOff>
      <xdr:row>21</xdr:row>
      <xdr:rowOff>78692</xdr:rowOff>
    </xdr:from>
    <xdr:to>
      <xdr:col>7</xdr:col>
      <xdr:colOff>879022</xdr:colOff>
      <xdr:row>38</xdr:row>
      <xdr:rowOff>104320</xdr:rowOff>
    </xdr:to>
    <xdr:graphicFrame macro="">
      <xdr:nvGraphicFramePr>
        <xdr:cNvPr id="3" name="Graf 2">
          <a:extLst>
            <a:ext uri="{FF2B5EF4-FFF2-40B4-BE49-F238E27FC236}">
              <a16:creationId xmlns:a16="http://schemas.microsoft.com/office/drawing/2014/main" id="{1D43940E-8794-427F-9EF8-AF7673EFB9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266700</xdr:colOff>
      <xdr:row>21</xdr:row>
      <xdr:rowOff>171450</xdr:rowOff>
    </xdr:from>
    <xdr:to>
      <xdr:col>13</xdr:col>
      <xdr:colOff>666750</xdr:colOff>
      <xdr:row>42</xdr:row>
      <xdr:rowOff>47625</xdr:rowOff>
    </xdr:to>
    <xdr:graphicFrame macro="">
      <xdr:nvGraphicFramePr>
        <xdr:cNvPr id="111" name="Graf 3">
          <a:extLst>
            <a:ext uri="{FF2B5EF4-FFF2-40B4-BE49-F238E27FC236}">
              <a16:creationId xmlns:a16="http://schemas.microsoft.com/office/drawing/2014/main" id="{DB9CA329-FCA3-4B6A-B813-D3FBD311E1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304800</xdr:colOff>
      <xdr:row>1</xdr:row>
      <xdr:rowOff>95250</xdr:rowOff>
    </xdr:from>
    <xdr:to>
      <xdr:col>13</xdr:col>
      <xdr:colOff>577850</xdr:colOff>
      <xdr:row>18</xdr:row>
      <xdr:rowOff>101600</xdr:rowOff>
    </xdr:to>
    <xdr:graphicFrame macro="">
      <xdr:nvGraphicFramePr>
        <xdr:cNvPr id="3" name="Graf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266700</xdr:colOff>
      <xdr:row>21</xdr:row>
      <xdr:rowOff>171450</xdr:rowOff>
    </xdr:from>
    <xdr:to>
      <xdr:col>13</xdr:col>
      <xdr:colOff>666750</xdr:colOff>
      <xdr:row>42</xdr:row>
      <xdr:rowOff>47625</xdr:rowOff>
    </xdr:to>
    <xdr:graphicFrame macro="">
      <xdr:nvGraphicFramePr>
        <xdr:cNvPr id="129" name="Graf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720939</xdr:colOff>
      <xdr:row>33</xdr:row>
      <xdr:rowOff>81322</xdr:rowOff>
    </xdr:from>
    <xdr:to>
      <xdr:col>2</xdr:col>
      <xdr:colOff>1021657</xdr:colOff>
      <xdr:row>59</xdr:row>
      <xdr:rowOff>64994</xdr:rowOff>
    </xdr:to>
    <xdr:sp macro="" textlink="">
      <xdr:nvSpPr>
        <xdr:cNvPr id="295" name="TextovéPol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 txBox="1"/>
      </xdr:nvSpPr>
      <xdr:spPr>
        <a:xfrm>
          <a:off x="720939" y="6356616"/>
          <a:ext cx="4065894" cy="4645319"/>
        </a:xfrm>
        <a:prstGeom prst="rect">
          <a:avLst/>
        </a:prstGeom>
        <a:solidFill>
          <a:schemeClr val="accent2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cs-CZ" sz="1400" b="1">
              <a:ln>
                <a:noFill/>
              </a:ln>
            </a:rPr>
            <a:t>Poznámka</a:t>
          </a:r>
          <a:r>
            <a:rPr lang="cs-CZ" sz="1400" b="1" baseline="0">
              <a:ln>
                <a:noFill/>
              </a:ln>
            </a:rPr>
            <a:t>:</a:t>
          </a:r>
        </a:p>
        <a:p>
          <a:r>
            <a:rPr lang="cs-CZ" sz="1400" b="1" baseline="0">
              <a:ln>
                <a:noFill/>
              </a:ln>
            </a:rPr>
            <a:t>V tabulkách na téhle záložce jsou uvedeny hodnoty v dolarech. V navazujicích se výpočtech se tyhle hodnoty přepočitájí na základě současného kurzu USD - CZK.</a:t>
          </a:r>
        </a:p>
        <a:p>
          <a:r>
            <a:rPr lang="cs-CZ" sz="1400" b="1" baseline="0">
              <a:ln>
                <a:noFill/>
              </a:ln>
            </a:rPr>
            <a:t>Zmíněná nesrovnalost nemá vliv na význam výpočtů.</a:t>
          </a:r>
          <a:endParaRPr lang="cs-CZ" sz="1400" b="1">
            <a:ln>
              <a:noFill/>
            </a:ln>
          </a:endParaRPr>
        </a:p>
      </xdr:txBody>
    </xdr:sp>
    <xdr:clientData/>
  </xdr:twoCellAnchor>
  <xdr:twoCellAnchor>
    <xdr:from>
      <xdr:col>4</xdr:col>
      <xdr:colOff>280154</xdr:colOff>
      <xdr:row>35</xdr:row>
      <xdr:rowOff>186019</xdr:rowOff>
    </xdr:from>
    <xdr:to>
      <xdr:col>9</xdr:col>
      <xdr:colOff>470647</xdr:colOff>
      <xdr:row>54</xdr:row>
      <xdr:rowOff>28014</xdr:rowOff>
    </xdr:to>
    <xdr:graphicFrame macro="">
      <xdr:nvGraphicFramePr>
        <xdr:cNvPr id="4" name="Graf 2">
          <a:extLst>
            <a:ext uri="{FF2B5EF4-FFF2-40B4-BE49-F238E27FC236}">
              <a16:creationId xmlns:a16="http://schemas.microsoft.com/office/drawing/2014/main" id="{1F8334B4-09A5-4E86-8DC1-5A9A245652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166781</xdr:colOff>
      <xdr:row>1</xdr:row>
      <xdr:rowOff>182283</xdr:rowOff>
    </xdr:from>
    <xdr:to>
      <xdr:col>10</xdr:col>
      <xdr:colOff>440766</xdr:colOff>
      <xdr:row>17</xdr:row>
      <xdr:rowOff>3735</xdr:rowOff>
    </xdr:to>
    <xdr:graphicFrame macro="">
      <xdr:nvGraphicFramePr>
        <xdr:cNvPr id="55" name="Graf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5</xdr:col>
      <xdr:colOff>939800</xdr:colOff>
      <xdr:row>6</xdr:row>
      <xdr:rowOff>63500</xdr:rowOff>
    </xdr:from>
    <xdr:ext cx="184731" cy="264560"/>
    <xdr:sp macro="" textlink="">
      <xdr:nvSpPr>
        <xdr:cNvPr id="3" name="BlokTextu 2">
          <a:extLst>
            <a:ext uri="{FF2B5EF4-FFF2-40B4-BE49-F238E27FC236}">
              <a16:creationId xmlns:a16="http://schemas.microsoft.com/office/drawing/2014/main" id="{035E8DB3-1E36-44CF-B921-C2B7ED758765}"/>
            </a:ext>
          </a:extLst>
        </xdr:cNvPr>
        <xdr:cNvSpPr txBox="1"/>
      </xdr:nvSpPr>
      <xdr:spPr>
        <a:xfrm>
          <a:off x="8051800" y="1238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1</xdr:row>
      <xdr:rowOff>161925</xdr:rowOff>
    </xdr:from>
    <xdr:to>
      <xdr:col>7</xdr:col>
      <xdr:colOff>208131</xdr:colOff>
      <xdr:row>15</xdr:row>
      <xdr:rowOff>143681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EED62816-AEE4-4922-AD6A-DA6B53B49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438150"/>
          <a:ext cx="4827756" cy="2515406"/>
        </a:xfrm>
        <a:prstGeom prst="rect">
          <a:avLst/>
        </a:prstGeom>
      </xdr:spPr>
    </xdr:pic>
    <xdr:clientData/>
  </xdr:twoCellAnchor>
  <xdr:twoCellAnchor editAs="oneCell">
    <xdr:from>
      <xdr:col>7</xdr:col>
      <xdr:colOff>638176</xdr:colOff>
      <xdr:row>1</xdr:row>
      <xdr:rowOff>142875</xdr:rowOff>
    </xdr:from>
    <xdr:to>
      <xdr:col>14</xdr:col>
      <xdr:colOff>190883</xdr:colOff>
      <xdr:row>15</xdr:row>
      <xdr:rowOff>96046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6901237F-2018-46F9-BF69-96D388574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05501" y="419100"/>
          <a:ext cx="4820032" cy="248682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225777</xdr:colOff>
      <xdr:row>6</xdr:row>
      <xdr:rowOff>18344</xdr:rowOff>
    </xdr:from>
    <xdr:to>
      <xdr:col>11</xdr:col>
      <xdr:colOff>634999</xdr:colOff>
      <xdr:row>21</xdr:row>
      <xdr:rowOff>9877</xdr:rowOff>
    </xdr:to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394606</xdr:colOff>
      <xdr:row>28</xdr:row>
      <xdr:rowOff>129721</xdr:rowOff>
    </xdr:from>
    <xdr:to>
      <xdr:col>16</xdr:col>
      <xdr:colOff>600035</xdr:colOff>
      <xdr:row>46</xdr:row>
      <xdr:rowOff>47226</xdr:rowOff>
    </xdr:to>
    <xdr:graphicFrame macro="">
      <xdr:nvGraphicFramePr>
        <xdr:cNvPr id="4" name="Graf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852714</xdr:colOff>
      <xdr:row>30</xdr:row>
      <xdr:rowOff>43543</xdr:rowOff>
    </xdr:from>
    <xdr:to>
      <xdr:col>9</xdr:col>
      <xdr:colOff>501196</xdr:colOff>
      <xdr:row>45</xdr:row>
      <xdr:rowOff>90714</xdr:rowOff>
    </xdr:to>
    <xdr:graphicFrame macro="">
      <xdr:nvGraphicFramePr>
        <xdr:cNvPr id="6" name="Graf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155863</xdr:colOff>
      <xdr:row>18</xdr:row>
      <xdr:rowOff>86590</xdr:rowOff>
    </xdr:from>
    <xdr:to>
      <xdr:col>33</xdr:col>
      <xdr:colOff>173182</xdr:colOff>
      <xdr:row>43</xdr:row>
      <xdr:rowOff>0</xdr:rowOff>
    </xdr:to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571499</xdr:colOff>
      <xdr:row>4</xdr:row>
      <xdr:rowOff>79375</xdr:rowOff>
    </xdr:from>
    <xdr:to>
      <xdr:col>32</xdr:col>
      <xdr:colOff>746124</xdr:colOff>
      <xdr:row>21</xdr:row>
      <xdr:rowOff>31750</xdr:rowOff>
    </xdr:to>
    <xdr:graphicFrame macro="">
      <xdr:nvGraphicFramePr>
        <xdr:cNvPr id="3" name="Graf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126626</xdr:colOff>
      <xdr:row>19</xdr:row>
      <xdr:rowOff>82363</xdr:rowOff>
    </xdr:from>
    <xdr:to>
      <xdr:col>6</xdr:col>
      <xdr:colOff>609039</xdr:colOff>
      <xdr:row>34</xdr:row>
      <xdr:rowOff>137833</xdr:rowOff>
    </xdr:to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779689</xdr:colOff>
      <xdr:row>8</xdr:row>
      <xdr:rowOff>58510</xdr:rowOff>
    </xdr:from>
    <xdr:to>
      <xdr:col>11</xdr:col>
      <xdr:colOff>453117</xdr:colOff>
      <xdr:row>23</xdr:row>
      <xdr:rowOff>152399</xdr:rowOff>
    </xdr:to>
    <xdr:graphicFrame macro="">
      <xdr:nvGraphicFramePr>
        <xdr:cNvPr id="4" name="Graf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61632</xdr:colOff>
      <xdr:row>17</xdr:row>
      <xdr:rowOff>135591</xdr:rowOff>
    </xdr:from>
    <xdr:to>
      <xdr:col>23</xdr:col>
      <xdr:colOff>330573</xdr:colOff>
      <xdr:row>33</xdr:row>
      <xdr:rowOff>10085</xdr:rowOff>
    </xdr:to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453837</xdr:colOff>
      <xdr:row>17</xdr:row>
      <xdr:rowOff>146796</xdr:rowOff>
    </xdr:from>
    <xdr:to>
      <xdr:col>55</xdr:col>
      <xdr:colOff>106455</xdr:colOff>
      <xdr:row>33</xdr:row>
      <xdr:rowOff>21290</xdr:rowOff>
    </xdr:to>
    <xdr:graphicFrame macro="">
      <xdr:nvGraphicFramePr>
        <xdr:cNvPr id="3" name="Graf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126422</xdr:colOff>
      <xdr:row>2</xdr:row>
      <xdr:rowOff>121227</xdr:rowOff>
    </xdr:from>
    <xdr:to>
      <xdr:col>2</xdr:col>
      <xdr:colOff>3390</xdr:colOff>
      <xdr:row>2</xdr:row>
      <xdr:rowOff>1454727</xdr:rowOff>
    </xdr:to>
    <xdr:pic>
      <xdr:nvPicPr>
        <xdr:cNvPr id="10" name="Obrázek 9">
          <a:extLst>
            <a:ext uri="{FF2B5EF4-FFF2-40B4-BE49-F238E27FC236}">
              <a16:creationId xmlns:a16="http://schemas.microsoft.com/office/drawing/2014/main" id="{00000000-0008-0000-1A00-00000A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33" t="25556" r="4446" b="21111"/>
        <a:stretch/>
      </xdr:blipFill>
      <xdr:spPr bwMode="auto">
        <a:xfrm>
          <a:off x="1026967" y="935182"/>
          <a:ext cx="2305843" cy="133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172315</xdr:colOff>
      <xdr:row>4</xdr:row>
      <xdr:rowOff>112816</xdr:rowOff>
    </xdr:from>
    <xdr:to>
      <xdr:col>2</xdr:col>
      <xdr:colOff>2787</xdr:colOff>
      <xdr:row>4</xdr:row>
      <xdr:rowOff>1506682</xdr:rowOff>
    </xdr:to>
    <xdr:pic>
      <xdr:nvPicPr>
        <xdr:cNvPr id="11" name="Obrázek 10" descr="media">
          <a:extLst>
            <a:ext uri="{FF2B5EF4-FFF2-40B4-BE49-F238E27FC236}">
              <a16:creationId xmlns:a16="http://schemas.microsoft.com/office/drawing/2014/main" id="{00000000-0008-0000-1A00-00000B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9" b="17219"/>
        <a:stretch/>
      </xdr:blipFill>
      <xdr:spPr bwMode="auto">
        <a:xfrm>
          <a:off x="1072860" y="2658589"/>
          <a:ext cx="2125997" cy="13938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103910</xdr:colOff>
      <xdr:row>6</xdr:row>
      <xdr:rowOff>144812</xdr:rowOff>
    </xdr:from>
    <xdr:to>
      <xdr:col>2</xdr:col>
      <xdr:colOff>1733</xdr:colOff>
      <xdr:row>6</xdr:row>
      <xdr:rowOff>1400957</xdr:rowOff>
    </xdr:to>
    <xdr:pic>
      <xdr:nvPicPr>
        <xdr:cNvPr id="12" name="Obrázek 11" descr="media">
          <a:extLst>
            <a:ext uri="{FF2B5EF4-FFF2-40B4-BE49-F238E27FC236}">
              <a16:creationId xmlns:a16="http://schemas.microsoft.com/office/drawing/2014/main" id="{00000000-0008-0000-1A00-00000C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963" b="23703"/>
        <a:stretch/>
      </xdr:blipFill>
      <xdr:spPr bwMode="auto">
        <a:xfrm>
          <a:off x="1004455" y="4422403"/>
          <a:ext cx="2355273" cy="12561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99010</xdr:colOff>
      <xdr:row>8</xdr:row>
      <xdr:rowOff>190500</xdr:rowOff>
    </xdr:from>
    <xdr:to>
      <xdr:col>1</xdr:col>
      <xdr:colOff>2237116</xdr:colOff>
      <xdr:row>8</xdr:row>
      <xdr:rowOff>1385455</xdr:rowOff>
    </xdr:to>
    <xdr:pic>
      <xdr:nvPicPr>
        <xdr:cNvPr id="13" name="Obrázek 12" descr="media">
          <a:extLst>
            <a:ext uri="{FF2B5EF4-FFF2-40B4-BE49-F238E27FC236}">
              <a16:creationId xmlns:a16="http://schemas.microsoft.com/office/drawing/2014/main" id="{00000000-0008-0000-1A00-00000D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155" t="28686" r="7570" b="30279"/>
        <a:stretch/>
      </xdr:blipFill>
      <xdr:spPr bwMode="auto">
        <a:xfrm>
          <a:off x="999555" y="6199909"/>
          <a:ext cx="2366706" cy="11949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345623</xdr:colOff>
      <xdr:row>12</xdr:row>
      <xdr:rowOff>81642</xdr:rowOff>
    </xdr:from>
    <xdr:to>
      <xdr:col>1</xdr:col>
      <xdr:colOff>2177142</xdr:colOff>
      <xdr:row>12</xdr:row>
      <xdr:rowOff>1537896</xdr:rowOff>
    </xdr:to>
    <xdr:pic>
      <xdr:nvPicPr>
        <xdr:cNvPr id="16" name="Obrázek 17" descr="SPIDER ILD02 SG s navijákem - BESTO PRO s.r.o. – Husqvarna Sokolov">
          <a:extLst>
            <a:ext uri="{FF2B5EF4-FFF2-40B4-BE49-F238E27FC236}">
              <a16:creationId xmlns:a16="http://schemas.microsoft.com/office/drawing/2014/main" id="{00000000-0008-0000-1A00-000010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555" t="24804" r="17578" b="24414"/>
        <a:stretch/>
      </xdr:blipFill>
      <xdr:spPr bwMode="auto">
        <a:xfrm>
          <a:off x="1257302" y="8790213"/>
          <a:ext cx="1831519" cy="14562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258536</xdr:colOff>
      <xdr:row>14</xdr:row>
      <xdr:rowOff>55760</xdr:rowOff>
    </xdr:from>
    <xdr:to>
      <xdr:col>2</xdr:col>
      <xdr:colOff>130278</xdr:colOff>
      <xdr:row>14</xdr:row>
      <xdr:rowOff>1524000</xdr:rowOff>
    </xdr:to>
    <xdr:pic>
      <xdr:nvPicPr>
        <xdr:cNvPr id="24" name="Obrázek 18" descr="L400 Elite | Ambrogio Robot Models - Lawnmower Robot">
          <a:extLst>
            <a:ext uri="{FF2B5EF4-FFF2-40B4-BE49-F238E27FC236}">
              <a16:creationId xmlns:a16="http://schemas.microsoft.com/office/drawing/2014/main" id="{00000000-0008-0000-1A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0215" y="10519653"/>
          <a:ext cx="2119642" cy="1468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338818</xdr:colOff>
      <xdr:row>16</xdr:row>
      <xdr:rowOff>42996</xdr:rowOff>
    </xdr:from>
    <xdr:to>
      <xdr:col>1</xdr:col>
      <xdr:colOff>2204357</xdr:colOff>
      <xdr:row>16</xdr:row>
      <xdr:rowOff>1520651</xdr:rowOff>
    </xdr:to>
    <xdr:pic>
      <xdr:nvPicPr>
        <xdr:cNvPr id="29" name="Obrázek 19" descr="2016 Alamo Ridge Runner Brush Cutter in Seguin, Texas, United States  (IronPlanet Item #3262077)">
          <a:extLst>
            <a:ext uri="{FF2B5EF4-FFF2-40B4-BE49-F238E27FC236}">
              <a16:creationId xmlns:a16="http://schemas.microsoft.com/office/drawing/2014/main" id="{00000000-0008-0000-1A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0497" y="12262210"/>
          <a:ext cx="1865539" cy="14776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289153</xdr:colOff>
      <xdr:row>18</xdr:row>
      <xdr:rowOff>40275</xdr:rowOff>
    </xdr:from>
    <xdr:to>
      <xdr:col>2</xdr:col>
      <xdr:colOff>636</xdr:colOff>
      <xdr:row>18</xdr:row>
      <xdr:rowOff>1524000</xdr:rowOff>
    </xdr:to>
    <xdr:pic>
      <xdr:nvPicPr>
        <xdr:cNvPr id="27" name="Obrázek 20">
          <a:extLst>
            <a:ext uri="{FF2B5EF4-FFF2-40B4-BE49-F238E27FC236}">
              <a16:creationId xmlns:a16="http://schemas.microsoft.com/office/drawing/2014/main" id="{00000000-0008-0000-1A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0832" y="14014811"/>
          <a:ext cx="1959383" cy="1483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3</xdr:row>
      <xdr:rowOff>57150</xdr:rowOff>
    </xdr:from>
    <xdr:to>
      <xdr:col>10</xdr:col>
      <xdr:colOff>638175</xdr:colOff>
      <xdr:row>43</xdr:row>
      <xdr:rowOff>139411</xdr:rowOff>
    </xdr:to>
    <xdr:pic>
      <xdr:nvPicPr>
        <xdr:cNvPr id="10" name="Picture 1625662179" title="Inserting image...">
          <a:extLst>
            <a:ext uri="{FF2B5EF4-FFF2-40B4-BE49-F238E27FC236}">
              <a16:creationId xmlns:a16="http://schemas.microsoft.com/office/drawing/2014/main" id="{00000000-0008-0000-1C00-00000A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704850"/>
          <a:ext cx="8934450" cy="7648575"/>
        </a:xfrm>
        <a:prstGeom prst="rect">
          <a:avLst/>
        </a:prstGeom>
      </xdr:spPr>
    </xdr:pic>
    <xdr:clientData/>
  </xdr:twoCellAnchor>
  <xdr:twoCellAnchor editAs="oneCell">
    <xdr:from>
      <xdr:col>12</xdr:col>
      <xdr:colOff>123825</xdr:colOff>
      <xdr:row>3</xdr:row>
      <xdr:rowOff>97847</xdr:rowOff>
    </xdr:from>
    <xdr:to>
      <xdr:col>24</xdr:col>
      <xdr:colOff>209550</xdr:colOff>
      <xdr:row>48</xdr:row>
      <xdr:rowOff>16726</xdr:rowOff>
    </xdr:to>
    <xdr:pic>
      <xdr:nvPicPr>
        <xdr:cNvPr id="4" name="Picture 1823523066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67825" y="738620"/>
          <a:ext cx="9229725" cy="8062754"/>
        </a:xfrm>
        <a:prstGeom prst="rect">
          <a:avLst/>
        </a:prstGeom>
      </xdr:spPr>
    </xdr:pic>
    <xdr:clientData/>
  </xdr:twoCellAnchor>
  <xdr:twoCellAnchor>
    <xdr:from>
      <xdr:col>16</xdr:col>
      <xdr:colOff>319087</xdr:colOff>
      <xdr:row>2</xdr:row>
      <xdr:rowOff>29007</xdr:rowOff>
    </xdr:from>
    <xdr:to>
      <xdr:col>20</xdr:col>
      <xdr:colOff>252412</xdr:colOff>
      <xdr:row>4</xdr:row>
      <xdr:rowOff>125989</xdr:rowOff>
    </xdr:to>
    <xdr:sp macro="" textlink="">
      <xdr:nvSpPr>
        <xdr:cNvPr id="2" name="Obdélník 2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SpPr/>
      </xdr:nvSpPr>
      <xdr:spPr>
        <a:xfrm>
          <a:off x="12511087" y="496598"/>
          <a:ext cx="2981325" cy="44334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cs-CZ" sz="2400" b="1"/>
            <a:t>PROCES  NÁKUPU</a:t>
          </a:r>
        </a:p>
      </xdr:txBody>
    </xdr:sp>
    <xdr:clientData/>
  </xdr:twoCellAnchor>
  <xdr:twoCellAnchor>
    <xdr:from>
      <xdr:col>3</xdr:col>
      <xdr:colOff>714809</xdr:colOff>
      <xdr:row>1</xdr:row>
      <xdr:rowOff>169718</xdr:rowOff>
    </xdr:from>
    <xdr:to>
      <xdr:col>7</xdr:col>
      <xdr:colOff>648134</xdr:colOff>
      <xdr:row>4</xdr:row>
      <xdr:rowOff>103043</xdr:rowOff>
    </xdr:to>
    <xdr:sp macro="" textlink="">
      <xdr:nvSpPr>
        <xdr:cNvPr id="11" name="Obdélník 4">
          <a:extLst>
            <a:ext uri="{FF2B5EF4-FFF2-40B4-BE49-F238E27FC236}">
              <a16:creationId xmlns:a16="http://schemas.microsoft.com/office/drawing/2014/main" id="{00000000-0008-0000-1C00-00000B000000}"/>
            </a:ext>
          </a:extLst>
        </xdr:cNvPr>
        <xdr:cNvSpPr/>
      </xdr:nvSpPr>
      <xdr:spPr>
        <a:xfrm>
          <a:off x="3000809" y="464127"/>
          <a:ext cx="2981325" cy="45287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cs-CZ" sz="2400" b="1"/>
            <a:t>PROCES  VÝROBY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</xdr:colOff>
      <xdr:row>0</xdr:row>
      <xdr:rowOff>57150</xdr:rowOff>
    </xdr:from>
    <xdr:to>
      <xdr:col>11</xdr:col>
      <xdr:colOff>190500</xdr:colOff>
      <xdr:row>22</xdr:row>
      <xdr:rowOff>107928</xdr:rowOff>
    </xdr:to>
    <xdr:grpSp>
      <xdr:nvGrpSpPr>
        <xdr:cNvPr id="6" name="Skupina 5">
          <a:extLst>
            <a:ext uri="{FF2B5EF4-FFF2-40B4-BE49-F238E27FC236}">
              <a16:creationId xmlns:a16="http://schemas.microsoft.com/office/drawing/2014/main" id="{00000000-0008-0000-1D00-000006000000}"/>
            </a:ext>
          </a:extLst>
        </xdr:cNvPr>
        <xdr:cNvGrpSpPr/>
      </xdr:nvGrpSpPr>
      <xdr:grpSpPr>
        <a:xfrm>
          <a:off x="800100" y="57150"/>
          <a:ext cx="7772400" cy="4137003"/>
          <a:chOff x="942975" y="0"/>
          <a:chExt cx="7772400" cy="4137003"/>
        </a:xfrm>
      </xdr:grpSpPr>
      <xdr:pic>
        <xdr:nvPicPr>
          <xdr:cNvPr id="3" name="Obrázek 2">
            <a:extLst>
              <a:ext uri="{FF2B5EF4-FFF2-40B4-BE49-F238E27FC236}">
                <a16:creationId xmlns:a16="http://schemas.microsoft.com/office/drawing/2014/main" id="{00000000-0008-0000-1D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42975" y="66675"/>
            <a:ext cx="7772400" cy="3921455"/>
          </a:xfrm>
          <a:prstGeom prst="rect">
            <a:avLst/>
          </a:prstGeom>
        </xdr:spPr>
      </xdr:pic>
      <xdr:pic>
        <xdr:nvPicPr>
          <xdr:cNvPr id="4" name="Obrázek 3">
            <a:extLst>
              <a:ext uri="{FF2B5EF4-FFF2-40B4-BE49-F238E27FC236}">
                <a16:creationId xmlns:a16="http://schemas.microsoft.com/office/drawing/2014/main" id="{00000000-0008-0000-1D00-000004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alphaModFix amt="5000"/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20061"/>
          <a:stretch/>
        </xdr:blipFill>
        <xdr:spPr>
          <a:xfrm>
            <a:off x="1276350" y="0"/>
            <a:ext cx="6539937" cy="4137003"/>
          </a:xfrm>
          <a:prstGeom prst="rect">
            <a:avLst/>
          </a:prstGeom>
        </xdr:spPr>
      </xdr:pic>
    </xdr:grp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100854</xdr:colOff>
      <xdr:row>60</xdr:row>
      <xdr:rowOff>33617</xdr:rowOff>
    </xdr:from>
    <xdr:to>
      <xdr:col>5</xdr:col>
      <xdr:colOff>4953000</xdr:colOff>
      <xdr:row>78</xdr:row>
      <xdr:rowOff>159869</xdr:rowOff>
    </xdr:to>
    <xdr:graphicFrame macro="">
      <xdr:nvGraphicFramePr>
        <xdr:cNvPr id="3" name="Graf 2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339912</xdr:colOff>
      <xdr:row>4</xdr:row>
      <xdr:rowOff>33055</xdr:rowOff>
    </xdr:from>
    <xdr:to>
      <xdr:col>18</xdr:col>
      <xdr:colOff>272396</xdr:colOff>
      <xdr:row>22</xdr:row>
      <xdr:rowOff>41087</xdr:rowOff>
    </xdr:to>
    <xdr:graphicFrame macro="">
      <xdr:nvGraphicFramePr>
        <xdr:cNvPr id="39" name="Graf 5">
          <a:extLst>
            <a:ext uri="{FF2B5EF4-FFF2-40B4-BE49-F238E27FC236}">
              <a16:creationId xmlns:a16="http://schemas.microsoft.com/office/drawing/2014/main" id="{00000000-0008-0000-2000-000027000000}"/>
            </a:ext>
            <a:ext uri="{147F2762-F138-4A5C-976F-8EAC2B608ADB}">
              <a16:predDERef xmlns:a16="http://schemas.microsoft.com/office/drawing/2014/main" pred="{00000000-0008-0000-0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328704</xdr:colOff>
      <xdr:row>2</xdr:row>
      <xdr:rowOff>52294</xdr:rowOff>
    </xdr:from>
    <xdr:to>
      <xdr:col>11</xdr:col>
      <xdr:colOff>649941</xdr:colOff>
      <xdr:row>25</xdr:row>
      <xdr:rowOff>0</xdr:rowOff>
    </xdr:to>
    <xdr:graphicFrame macro="">
      <xdr:nvGraphicFramePr>
        <xdr:cNvPr id="3" name="Graf 1">
          <a:extLst>
            <a:ext uri="{FF2B5EF4-FFF2-40B4-BE49-F238E27FC236}">
              <a16:creationId xmlns:a16="http://schemas.microsoft.com/office/drawing/2014/main" id="{00000000-0008-0000-2000-000003000000}"/>
            </a:ext>
            <a:ext uri="{147F2762-F138-4A5C-976F-8EAC2B608ADB}">
              <a16:predDERef xmlns:a16="http://schemas.microsoft.com/office/drawing/2014/main" pred="{00000000-0008-0000-0D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0</xdr:colOff>
      <xdr:row>94</xdr:row>
      <xdr:rowOff>0</xdr:rowOff>
    </xdr:from>
    <xdr:ext cx="304800" cy="304800"/>
    <xdr:sp macro="" textlink="">
      <xdr:nvSpPr>
        <xdr:cNvPr id="4" name="AutoShape 1" descr="Chart: The Global Pyramid Of Wealth | Statista">
          <a:extLst>
            <a:ext uri="{FF2B5EF4-FFF2-40B4-BE49-F238E27FC236}">
              <a16:creationId xmlns:a16="http://schemas.microsoft.com/office/drawing/2014/main" id="{00000000-0008-0000-2500-000004000000}"/>
            </a:ext>
          </a:extLst>
        </xdr:cNvPr>
        <xdr:cNvSpPr>
          <a:spLocks noChangeAspect="1" noChangeArrowheads="1"/>
        </xdr:cNvSpPr>
      </xdr:nvSpPr>
      <xdr:spPr bwMode="auto">
        <a:xfrm>
          <a:off x="7400925" y="9229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18</xdr:col>
      <xdr:colOff>649927</xdr:colOff>
      <xdr:row>97</xdr:row>
      <xdr:rowOff>10019</xdr:rowOff>
    </xdr:from>
    <xdr:to>
      <xdr:col>21</xdr:col>
      <xdr:colOff>1015959</xdr:colOff>
      <xdr:row>111</xdr:row>
      <xdr:rowOff>72613</xdr:rowOff>
    </xdr:to>
    <xdr:graphicFrame macro="">
      <xdr:nvGraphicFramePr>
        <xdr:cNvPr id="11" name="Graf 6">
          <a:extLst>
            <a:ext uri="{FF2B5EF4-FFF2-40B4-BE49-F238E27FC236}">
              <a16:creationId xmlns:a16="http://schemas.microsoft.com/office/drawing/2014/main" id="{00000000-0008-0000-25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80</xdr:row>
      <xdr:rowOff>0</xdr:rowOff>
    </xdr:from>
    <xdr:to>
      <xdr:col>10</xdr:col>
      <xdr:colOff>825954</xdr:colOff>
      <xdr:row>89</xdr:row>
      <xdr:rowOff>152399</xdr:rowOff>
    </xdr:to>
    <xdr:sp macro="" textlink="">
      <xdr:nvSpPr>
        <xdr:cNvPr id="8" name="Obdélník 3">
          <a:extLst>
            <a:ext uri="{FF2B5EF4-FFF2-40B4-BE49-F238E27FC236}">
              <a16:creationId xmlns:a16="http://schemas.microsoft.com/office/drawing/2014/main" id="{00000000-0008-0000-2500-000008000000}"/>
            </a:ext>
          </a:extLst>
        </xdr:cNvPr>
        <xdr:cNvSpPr/>
      </xdr:nvSpPr>
      <xdr:spPr>
        <a:xfrm>
          <a:off x="7307036" y="17879786"/>
          <a:ext cx="3234418" cy="2452006"/>
        </a:xfrm>
        <a:prstGeom prst="rect">
          <a:avLst/>
        </a:prstGeom>
        <a:solidFill>
          <a:schemeClr val="accent4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cs-CZ" sz="1100" b="1">
              <a:solidFill>
                <a:schemeClr val="tx1"/>
              </a:solidFill>
            </a:rPr>
            <a:t>Poznámka</a:t>
          </a:r>
        </a:p>
        <a:p>
          <a:pPr algn="l"/>
          <a:r>
            <a:rPr lang="cs-CZ" sz="1100">
              <a:solidFill>
                <a:schemeClr val="tx1"/>
              </a:solidFill>
            </a:rPr>
            <a:t>Údaje pro Ameriku do výpočtu nepatří. Na tyto</a:t>
          </a:r>
          <a:r>
            <a:rPr lang="cs-CZ" sz="1100" baseline="0">
              <a:solidFill>
                <a:schemeClr val="tx1"/>
              </a:solidFill>
            </a:rPr>
            <a:t> trhy firma jenom plánuje se dostat</a:t>
          </a:r>
          <a:r>
            <a:rPr lang="en-US" sz="1100" baseline="0">
              <a:solidFill>
                <a:schemeClr val="tx1"/>
              </a:solidFill>
            </a:rPr>
            <a:t>.</a:t>
          </a:r>
          <a:endParaRPr lang="cs-CZ" sz="1100">
            <a:solidFill>
              <a:schemeClr val="tx1"/>
            </a:solidFill>
          </a:endParaRPr>
        </a:p>
        <a:p>
          <a:pPr algn="l"/>
          <a:br>
            <a:rPr lang="cs-CZ" sz="1100" baseline="0">
              <a:solidFill>
                <a:schemeClr val="tx1"/>
              </a:solidFill>
            </a:rPr>
          </a:br>
          <a:r>
            <a:rPr lang="cs-CZ" sz="1100" baseline="0">
              <a:solidFill>
                <a:schemeClr val="tx1"/>
              </a:solidFill>
            </a:rPr>
            <a:t>Předpokládá se přiblížná výroba 8 ks za den</a:t>
          </a:r>
          <a:r>
            <a:rPr lang="en-US" sz="1100" baseline="0">
              <a:solidFill>
                <a:schemeClr val="tx1"/>
              </a:solidFill>
            </a:rPr>
            <a:t> s 22 v</a:t>
          </a:r>
          <a:r>
            <a:rPr lang="cs-CZ" sz="1100" baseline="0">
              <a:solidFill>
                <a:schemeClr val="tx1"/>
              </a:solidFill>
            </a:rPr>
            <a:t>ýrobními jednotkami =</a:t>
          </a:r>
          <a:r>
            <a:rPr lang="en-US" sz="1100" baseline="0">
              <a:solidFill>
                <a:schemeClr val="tx1"/>
              </a:solidFill>
            </a:rPr>
            <a:t>&gt;</a:t>
          </a:r>
          <a:r>
            <a:rPr lang="cs-CZ" sz="1100" baseline="0">
              <a:solidFill>
                <a:schemeClr val="tx1"/>
              </a:solidFill>
            </a:rPr>
            <a:t> 8*251=</a:t>
          </a:r>
          <a:r>
            <a:rPr lang="en-US" sz="1100" baseline="0">
              <a:solidFill>
                <a:schemeClr val="tx1"/>
              </a:solidFill>
            </a:rPr>
            <a:t>&gt; </a:t>
          </a:r>
          <a:r>
            <a:rPr lang="cs-CZ" sz="1100" baseline="0">
              <a:solidFill>
                <a:schemeClr val="tx1"/>
              </a:solidFill>
            </a:rPr>
            <a:t>výrobní kapacita cca 2000 strojů ročně</a:t>
          </a:r>
          <a:r>
            <a:rPr lang="en-US" sz="1100" baseline="0">
              <a:solidFill>
                <a:schemeClr val="tx1"/>
              </a:solidFill>
            </a:rPr>
            <a:t>.</a:t>
          </a:r>
          <a:endParaRPr lang="cs-CZ" sz="1100" baseline="0">
            <a:solidFill>
              <a:schemeClr val="tx1"/>
            </a:solidFill>
          </a:endParaRPr>
        </a:p>
        <a:p>
          <a:pPr algn="l"/>
          <a:endParaRPr lang="cs-CZ" sz="1100" baseline="0">
            <a:solidFill>
              <a:schemeClr val="tx1"/>
            </a:solidFill>
          </a:endParaRPr>
        </a:p>
        <a:p>
          <a:pPr algn="l"/>
          <a:r>
            <a:rPr lang="en-US" sz="1100" baseline="0">
              <a:solidFill>
                <a:schemeClr val="tx1"/>
              </a:solidFill>
            </a:rPr>
            <a:t>Statistika uveden</a:t>
          </a:r>
          <a:r>
            <a:rPr lang="cs-CZ" sz="1100" baseline="0">
              <a:solidFill>
                <a:schemeClr val="tx1"/>
              </a:solidFill>
            </a:rPr>
            <a:t>á v tomhle dokumentě může neodpovídat realitě. Údaje o počtu firem jsou ziskáné z internetu jenom pro tvorbu</a:t>
          </a:r>
          <a:r>
            <a:rPr lang="en-US" sz="1100" baseline="0">
              <a:solidFill>
                <a:schemeClr val="tx1"/>
              </a:solidFill>
            </a:rPr>
            <a:t> </a:t>
          </a:r>
          <a:r>
            <a:rPr lang="cs-CZ" sz="1100" baseline="0">
              <a:solidFill>
                <a:schemeClr val="tx1"/>
              </a:solidFill>
            </a:rPr>
            <a:t>modelu možných prodejů v minulosti.</a:t>
          </a:r>
        </a:p>
        <a:p>
          <a:pPr algn="l"/>
          <a:endParaRPr lang="cs-CZ" sz="1100" baseline="0">
            <a:solidFill>
              <a:schemeClr val="tx1"/>
            </a:solidFill>
          </a:endParaRPr>
        </a:p>
        <a:p>
          <a:pPr algn="l"/>
          <a:endParaRPr lang="cs-CZ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5</xdr:col>
      <xdr:colOff>149678</xdr:colOff>
      <xdr:row>91</xdr:row>
      <xdr:rowOff>68036</xdr:rowOff>
    </xdr:from>
    <xdr:to>
      <xdr:col>11</xdr:col>
      <xdr:colOff>253545</xdr:colOff>
      <xdr:row>110</xdr:row>
      <xdr:rowOff>62593</xdr:rowOff>
    </xdr:to>
    <xdr:pic>
      <xdr:nvPicPr>
        <xdr:cNvPr id="10" name="Obrázek 3" descr="Chart: The Global Pyramid Of Wealth | Statista">
          <a:extLst>
            <a:ext uri="{FF2B5EF4-FFF2-40B4-BE49-F238E27FC236}">
              <a16:creationId xmlns:a16="http://schemas.microsoft.com/office/drawing/2014/main" id="{00000000-0008-0000-25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61214" y="21023036"/>
          <a:ext cx="5485492" cy="34330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171450</xdr:colOff>
      <xdr:row>14</xdr:row>
      <xdr:rowOff>178173</xdr:rowOff>
    </xdr:from>
    <xdr:to>
      <xdr:col>13</xdr:col>
      <xdr:colOff>590550</xdr:colOff>
      <xdr:row>30</xdr:row>
      <xdr:rowOff>27455</xdr:rowOff>
    </xdr:to>
    <xdr:graphicFrame macro="">
      <xdr:nvGraphicFramePr>
        <xdr:cNvPr id="6" name="Graf 1">
          <a:extLst>
            <a:ext uri="{FF2B5EF4-FFF2-40B4-BE49-F238E27FC236}">
              <a16:creationId xmlns:a16="http://schemas.microsoft.com/office/drawing/2014/main" id="{00000000-0008-0000-26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276226</xdr:colOff>
      <xdr:row>6</xdr:row>
      <xdr:rowOff>1</xdr:rowOff>
    </xdr:from>
    <xdr:to>
      <xdr:col>6</xdr:col>
      <xdr:colOff>571501</xdr:colOff>
      <xdr:row>11</xdr:row>
      <xdr:rowOff>104776</xdr:rowOff>
    </xdr:to>
    <xdr:sp macro="" textlink="">
      <xdr:nvSpPr>
        <xdr:cNvPr id="2" name="Obdélník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SpPr/>
      </xdr:nvSpPr>
      <xdr:spPr>
        <a:xfrm>
          <a:off x="3019426" y="1419226"/>
          <a:ext cx="2495550" cy="10096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cs-CZ" sz="1100"/>
            <a:t>Nakonec jsme se rozhodli nedodělat podrobné kapacitní členění montáže z důvodu dostatečně nediverzifikovaných</a:t>
          </a:r>
          <a:r>
            <a:rPr lang="cs-CZ" sz="1100" baseline="0"/>
            <a:t> nákladů v rozpočtu</a:t>
          </a:r>
          <a:endParaRPr lang="cs-CZ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147637</xdr:colOff>
      <xdr:row>17</xdr:row>
      <xdr:rowOff>114300</xdr:rowOff>
    </xdr:from>
    <xdr:to>
      <xdr:col>8</xdr:col>
      <xdr:colOff>490537</xdr:colOff>
      <xdr:row>33</xdr:row>
      <xdr:rowOff>38100</xdr:rowOff>
    </xdr:to>
    <xdr:graphicFrame macro="">
      <xdr:nvGraphicFramePr>
        <xdr:cNvPr id="2" name="Graf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67235</xdr:colOff>
      <xdr:row>18</xdr:row>
      <xdr:rowOff>6724</xdr:rowOff>
    </xdr:from>
    <xdr:to>
      <xdr:col>14</xdr:col>
      <xdr:colOff>448235</xdr:colOff>
      <xdr:row>31</xdr:row>
      <xdr:rowOff>60512</xdr:rowOff>
    </xdr:to>
    <xdr:graphicFrame macro="">
      <xdr:nvGraphicFramePr>
        <xdr:cNvPr id="5" name="Graf 4">
          <a:extLst>
            <a:ext uri="{FF2B5EF4-FFF2-40B4-BE49-F238E27FC236}">
              <a16:creationId xmlns:a16="http://schemas.microsoft.com/office/drawing/2014/main" id="{40548535-DB39-42FE-97CB-FC77F1480C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Motiv Office">
  <a:themeElements>
    <a:clrScheme name="aps">
      <a:dk1>
        <a:sysClr val="windowText" lastClr="000000"/>
      </a:dk1>
      <a:lt1>
        <a:sysClr val="window" lastClr="FFFFFF"/>
      </a:lt1>
      <a:dk2>
        <a:srgbClr val="A5A5A5"/>
      </a:dk2>
      <a:lt2>
        <a:srgbClr val="F2F2F2"/>
      </a:lt2>
      <a:accent1>
        <a:srgbClr val="55B073"/>
      </a:accent1>
      <a:accent2>
        <a:srgbClr val="9AD8AF"/>
      </a:accent2>
      <a:accent3>
        <a:srgbClr val="A5A5A5"/>
      </a:accent3>
      <a:accent4>
        <a:srgbClr val="84D8A0"/>
      </a:accent4>
      <a:accent5>
        <a:srgbClr val="1C7239"/>
      </a:accent5>
      <a:accent6>
        <a:srgbClr val="518462"/>
      </a:accent6>
      <a:hlink>
        <a:srgbClr val="0563C1"/>
      </a:hlink>
      <a:folHlink>
        <a:srgbClr val="954F72"/>
      </a:folHlink>
    </a:clrScheme>
    <a:fontScheme name="aps">
      <a:majorFont>
        <a:latin typeface="Technika"/>
        <a:ea typeface=""/>
        <a:cs typeface=""/>
      </a:majorFont>
      <a:minorFont>
        <a:latin typeface="Technika Book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APS">
    <a:dk1>
      <a:srgbClr val="55B073"/>
    </a:dk1>
    <a:lt1>
      <a:srgbClr val="FFFFFF"/>
    </a:lt1>
    <a:dk2>
      <a:srgbClr val="252525"/>
    </a:dk2>
    <a:lt2>
      <a:srgbClr val="FFFFFF"/>
    </a:lt2>
    <a:accent1>
      <a:srgbClr val="9AD8AF"/>
    </a:accent1>
    <a:accent2>
      <a:srgbClr val="84D8A0"/>
    </a:accent2>
    <a:accent3>
      <a:srgbClr val="518462"/>
    </a:accent3>
    <a:accent4>
      <a:srgbClr val="1C7239"/>
    </a:accent4>
    <a:accent5>
      <a:srgbClr val="F0B474"/>
    </a:accent5>
    <a:accent6>
      <a:srgbClr val="F08774"/>
    </a:accent6>
    <a:hlink>
      <a:srgbClr val="1098D2"/>
    </a:hlink>
    <a:folHlink>
      <a:srgbClr val="8BD6F6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13.bin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15.bin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7.bin"/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.xml"/><Relationship Id="rId2" Type="http://schemas.openxmlformats.org/officeDocument/2006/relationships/printerSettings" Target="../printerSettings/printerSettings19.bin"/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1.bin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3.xml"/><Relationship Id="rId2" Type="http://schemas.openxmlformats.org/officeDocument/2006/relationships/printerSettings" Target="../printerSettings/printerSettings23.bin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5.bin"/><Relationship Id="rId1" Type="http://schemas.openxmlformats.org/officeDocument/2006/relationships/printerSettings" Target="../printerSettings/printerSettings24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7.bin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9.xml"/><Relationship Id="rId2" Type="http://schemas.openxmlformats.org/officeDocument/2006/relationships/printerSettings" Target="../printerSettings/printerSettings29.bin"/><Relationship Id="rId1" Type="http://schemas.openxmlformats.org/officeDocument/2006/relationships/printerSettings" Target="../printerSettings/printerSettings28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1.bin"/><Relationship Id="rId1" Type="http://schemas.openxmlformats.org/officeDocument/2006/relationships/printerSettings" Target="../printerSettings/printerSettings30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2.xml"/><Relationship Id="rId2" Type="http://schemas.openxmlformats.org/officeDocument/2006/relationships/printerSettings" Target="../printerSettings/printerSettings33.bin"/><Relationship Id="rId1" Type="http://schemas.openxmlformats.org/officeDocument/2006/relationships/printerSettings" Target="../printerSettings/printerSettings3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5.bin"/><Relationship Id="rId1" Type="http://schemas.openxmlformats.org/officeDocument/2006/relationships/printerSettings" Target="../printerSettings/printerSettings34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7.bin"/><Relationship Id="rId1" Type="http://schemas.openxmlformats.org/officeDocument/2006/relationships/printerSettings" Target="../printerSettings/printerSettings36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4.xml"/><Relationship Id="rId2" Type="http://schemas.openxmlformats.org/officeDocument/2006/relationships/printerSettings" Target="../printerSettings/printerSettings39.bin"/><Relationship Id="rId1" Type="http://schemas.openxmlformats.org/officeDocument/2006/relationships/printerSettings" Target="../printerSettings/printerSettings38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5.xml"/><Relationship Id="rId2" Type="http://schemas.openxmlformats.org/officeDocument/2006/relationships/printerSettings" Target="../printerSettings/printerSettings41.bin"/><Relationship Id="rId1" Type="http://schemas.openxmlformats.org/officeDocument/2006/relationships/printerSettings" Target="../printerSettings/printerSettings40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3.bin"/><Relationship Id="rId1" Type="http://schemas.openxmlformats.org/officeDocument/2006/relationships/printerSettings" Target="../printerSettings/printerSettings42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8EBFF-DF92-4D3D-AEFA-4D3C7DA49A06}">
  <sheetPr>
    <tabColor rgb="FFFFFF00"/>
  </sheetPr>
  <dimension ref="B1:I18"/>
  <sheetViews>
    <sheetView showGridLines="0" tabSelected="1" zoomScaleNormal="100" workbookViewId="0"/>
  </sheetViews>
  <sheetFormatPr defaultRowHeight="14.25"/>
  <cols>
    <col min="1" max="1" width="4.33203125" customWidth="1"/>
    <col min="2" max="2" width="8" bestFit="1" customWidth="1"/>
    <col min="3" max="3" width="22.44140625" style="123" customWidth="1"/>
    <col min="5" max="5" width="26.44140625" customWidth="1"/>
    <col min="7" max="7" width="24.44140625" customWidth="1"/>
    <col min="9" max="9" width="25.21875" customWidth="1"/>
  </cols>
  <sheetData>
    <row r="1" spans="2:9" ht="15" thickBot="1">
      <c r="B1" s="737"/>
      <c r="D1" s="737"/>
      <c r="E1" s="737"/>
      <c r="F1" s="737"/>
      <c r="G1" s="737"/>
      <c r="H1" s="737"/>
      <c r="I1" s="737"/>
    </row>
    <row r="2" spans="2:9" ht="27" thickBot="1">
      <c r="B2" s="312" t="s">
        <v>0</v>
      </c>
      <c r="C2" s="1438" t="s">
        <v>1</v>
      </c>
      <c r="D2" s="1439"/>
      <c r="E2" s="1439"/>
      <c r="F2" s="1439"/>
      <c r="G2" s="1439"/>
      <c r="H2" s="1439"/>
      <c r="I2" s="1440"/>
    </row>
    <row r="3" spans="2:9" s="55" customFormat="1" ht="14.25" customHeight="1">
      <c r="B3" s="1437" t="s">
        <v>2</v>
      </c>
      <c r="C3" s="1188" t="s">
        <v>3</v>
      </c>
      <c r="D3" s="1435" t="s">
        <v>4</v>
      </c>
      <c r="E3" s="1188" t="s">
        <v>5</v>
      </c>
      <c r="F3" s="1435" t="s">
        <v>6</v>
      </c>
      <c r="G3" s="1188" t="s">
        <v>7</v>
      </c>
      <c r="H3" s="1435" t="s">
        <v>8</v>
      </c>
      <c r="I3" s="1188" t="s">
        <v>9</v>
      </c>
    </row>
    <row r="4" spans="2:9" s="55" customFormat="1" ht="14.25" customHeight="1">
      <c r="B4" s="1435"/>
      <c r="C4" s="1188" t="s">
        <v>10</v>
      </c>
      <c r="D4" s="1435"/>
      <c r="E4" s="1189" t="s">
        <v>11</v>
      </c>
      <c r="F4" s="1435"/>
      <c r="G4" s="1189" t="s">
        <v>12</v>
      </c>
      <c r="H4" s="1435"/>
      <c r="I4" s="1189" t="s">
        <v>13</v>
      </c>
    </row>
    <row r="5" spans="2:9" s="55" customFormat="1">
      <c r="B5" s="1435"/>
      <c r="C5" s="1189" t="s">
        <v>14</v>
      </c>
      <c r="D5" s="1435"/>
      <c r="E5" s="1189" t="s">
        <v>15</v>
      </c>
      <c r="F5" s="1435"/>
      <c r="G5" s="1189" t="s">
        <v>16</v>
      </c>
      <c r="H5" s="1435"/>
      <c r="I5" s="1189" t="s">
        <v>17</v>
      </c>
    </row>
    <row r="6" spans="2:9" s="55" customFormat="1">
      <c r="B6" s="1435"/>
      <c r="C6" s="1190" t="s">
        <v>18</v>
      </c>
      <c r="D6" s="1435"/>
      <c r="E6" s="1189" t="s">
        <v>19</v>
      </c>
      <c r="F6" s="1435"/>
      <c r="G6" s="1189" t="s">
        <v>20</v>
      </c>
      <c r="H6" s="1435"/>
      <c r="I6" s="1189" t="s">
        <v>21</v>
      </c>
    </row>
    <row r="7" spans="2:9" s="55" customFormat="1" ht="15" thickBot="1">
      <c r="B7" s="1436"/>
      <c r="C7" s="1191"/>
      <c r="D7" s="1435"/>
      <c r="E7" s="1189" t="s">
        <v>22</v>
      </c>
      <c r="F7" s="1435"/>
      <c r="G7" s="1189" t="s">
        <v>23</v>
      </c>
      <c r="H7" s="1435"/>
      <c r="I7" s="1189" t="s">
        <v>24</v>
      </c>
    </row>
    <row r="8" spans="2:9">
      <c r="B8" s="420"/>
      <c r="C8" s="948"/>
      <c r="D8" s="1435"/>
      <c r="E8" s="1189" t="s">
        <v>25</v>
      </c>
      <c r="F8" s="1435"/>
      <c r="G8" s="1189" t="s">
        <v>26</v>
      </c>
      <c r="H8" s="1435"/>
      <c r="I8" s="1189" t="s">
        <v>27</v>
      </c>
    </row>
    <row r="9" spans="2:9">
      <c r="B9" s="147"/>
      <c r="C9" s="949"/>
      <c r="D9" s="1435"/>
      <c r="E9" s="1189" t="s">
        <v>28</v>
      </c>
      <c r="F9" s="1435"/>
      <c r="G9" s="1189" t="s">
        <v>29</v>
      </c>
      <c r="H9" s="1435"/>
      <c r="I9" s="1189" t="s">
        <v>1132</v>
      </c>
    </row>
    <row r="10" spans="2:9">
      <c r="B10" s="147"/>
      <c r="C10" s="949"/>
      <c r="D10" s="1435"/>
      <c r="E10" s="1189" t="s">
        <v>30</v>
      </c>
      <c r="F10" s="1435"/>
      <c r="G10" s="1189" t="s">
        <v>31</v>
      </c>
      <c r="H10" s="1435"/>
      <c r="I10" s="1189" t="s">
        <v>1133</v>
      </c>
    </row>
    <row r="11" spans="2:9">
      <c r="B11" s="147"/>
      <c r="C11" s="949"/>
      <c r="D11" s="1435"/>
      <c r="E11" s="1189" t="s">
        <v>33</v>
      </c>
      <c r="F11" s="1435"/>
      <c r="G11" s="1190" t="s">
        <v>34</v>
      </c>
      <c r="H11" s="1435"/>
      <c r="I11" s="1189" t="s">
        <v>32</v>
      </c>
    </row>
    <row r="12" spans="2:9">
      <c r="B12" s="147"/>
      <c r="C12" s="949"/>
      <c r="D12" s="1435"/>
      <c r="E12" s="1189" t="s">
        <v>36</v>
      </c>
      <c r="F12" s="1435"/>
      <c r="G12" s="1189" t="s">
        <v>37</v>
      </c>
      <c r="H12" s="1435"/>
      <c r="I12" s="1189" t="s">
        <v>35</v>
      </c>
    </row>
    <row r="13" spans="2:9" s="55" customFormat="1">
      <c r="B13" s="147"/>
      <c r="C13" s="950"/>
      <c r="D13" s="1435"/>
      <c r="E13" s="1189" t="s">
        <v>39</v>
      </c>
      <c r="F13" s="1435"/>
      <c r="G13" s="1189" t="s">
        <v>40</v>
      </c>
      <c r="H13" s="1435"/>
      <c r="I13" s="1189" t="s">
        <v>38</v>
      </c>
    </row>
    <row r="14" spans="2:9">
      <c r="B14" s="147"/>
      <c r="C14" s="949"/>
      <c r="D14" s="1435"/>
      <c r="E14" s="1189" t="s">
        <v>41</v>
      </c>
      <c r="F14" s="1435"/>
      <c r="G14" s="1189" t="s">
        <v>42</v>
      </c>
      <c r="H14" s="1435"/>
      <c r="I14" s="1189" t="s">
        <v>1135</v>
      </c>
    </row>
    <row r="15" spans="2:9">
      <c r="B15" s="147"/>
      <c r="C15" s="949"/>
      <c r="D15" s="1435"/>
      <c r="E15" s="1189" t="s">
        <v>43</v>
      </c>
      <c r="F15" s="1435"/>
      <c r="G15" s="1193"/>
      <c r="H15" s="1435"/>
      <c r="I15" s="1189" t="s">
        <v>1143</v>
      </c>
    </row>
    <row r="16" spans="2:9">
      <c r="B16" s="147"/>
      <c r="C16" s="949"/>
      <c r="D16" s="1435"/>
      <c r="E16" s="1189" t="s">
        <v>44</v>
      </c>
      <c r="F16" s="1435"/>
      <c r="G16" s="1189"/>
      <c r="H16" s="1435"/>
      <c r="I16" s="1189"/>
    </row>
    <row r="17" spans="2:9">
      <c r="B17" s="147"/>
      <c r="C17" s="949"/>
      <c r="D17" s="1435"/>
      <c r="E17" s="1189"/>
      <c r="F17" s="1435"/>
      <c r="G17" s="1189"/>
      <c r="H17" s="1435"/>
      <c r="I17" s="1189"/>
    </row>
    <row r="18" spans="2:9" ht="15" thickBot="1">
      <c r="B18" s="159"/>
      <c r="C18" s="951"/>
      <c r="D18" s="1436"/>
      <c r="E18" s="1192"/>
      <c r="F18" s="1436"/>
      <c r="G18" s="1192"/>
      <c r="H18" s="1436"/>
      <c r="I18" s="1192"/>
    </row>
  </sheetData>
  <customSheetViews>
    <customSheetView guid="{F9015B81-4D5E-47E3-BFA8-A54438E9D1FF}" showGridLines="0">
      <selection activeCell="E9" sqref="E9"/>
      <pageMargins left="0.7" right="0.7" top="0.78740157499999996" bottom="0.78740157499999996" header="0.3" footer="0.3"/>
      <pageSetup paperSize="9" orientation="portrait" r:id="rId1"/>
    </customSheetView>
  </customSheetViews>
  <mergeCells count="5">
    <mergeCell ref="D3:D18"/>
    <mergeCell ref="B3:B7"/>
    <mergeCell ref="F3:F18"/>
    <mergeCell ref="H3:H18"/>
    <mergeCell ref="C2:I2"/>
  </mergeCells>
  <hyperlinks>
    <hyperlink ref="E3" location="HR!B1" display="Lidské zdroje" xr:uid="{3B260E73-8A50-404B-B748-6C0254B47D35}"/>
    <hyperlink ref="E4" location="'NS + DHM'!A2" display="Nákladová střediska" xr:uid="{C6E5F911-5236-4ECE-BAC6-DD22BBD4DC49}"/>
    <hyperlink ref="E5" location="'ROZ Tech. us.'!A2" display="Rozpočet technický úsek" xr:uid="{C393FBBA-490C-403C-BEE7-5F92BDFA2FD3}"/>
    <hyperlink ref="E6" location="'ROZ Obch. us. '!A2" display="Rozpočet obchodní úsek" xr:uid="{DC194F1E-5293-4859-9E78-E990AD16FB71}"/>
    <hyperlink ref="E7" location="'ROZ Eko. us.'!A2" display="Rozpočet ekonomický úsek" xr:uid="{42F88363-CECC-45ED-9184-9258335ACD22}"/>
    <hyperlink ref="E8" location="'ROZ Manag.'!A2" display="Rozpočet vedení" xr:uid="{CDA02107-2F21-4BB6-8C37-E4E395A3D69B}"/>
    <hyperlink ref="E9" location="'Roční Rozpočet '!A2" display="Roční rozpočet podniku" xr:uid="{8A3303B3-6C59-43AE-A155-381A38D77D97}"/>
    <hyperlink ref="E10" location="'Záznamy o prodeji'!A1" display="Záznamy o prodeji" xr:uid="{1F2262D1-B0D3-43E6-B404-A133518A64C4}"/>
    <hyperlink ref="E12" location="Produkty!A2" display="Produkty a ceny" xr:uid="{B7AFE6FA-E0C5-409D-9EC2-DFB654052AF3}"/>
    <hyperlink ref="E13" location="PVN!A2" display="Přímé variabilní náklady" xr:uid="{E3C580B6-5FD2-4F61-887D-A011369E5D39}"/>
    <hyperlink ref="E14" location="PFN!A2" display="Přímé fixní náklady" xr:uid="{B4BAF998-56E9-4266-87F4-EEEF0364CF1C}"/>
    <hyperlink ref="E15" location="HNS!A2" display="Hodinová nákladová sazba" xr:uid="{94FE5412-7AE4-4A49-B63A-B0A9CE7D18B2}"/>
    <hyperlink ref="E16" location="VK!A2" display="Variabilní kalkulace" xr:uid="{B97C4605-D579-4080-8FD3-1D8453254C1B}"/>
    <hyperlink ref="C6" location="OrgStr!A2" display="Organizační struktura" xr:uid="{284AEB46-9ABB-4E25-9CCD-97FAED996580}"/>
    <hyperlink ref="C5" location="PM!A2" display="Procesní mapy" xr:uid="{D4A74AD1-F091-4C27-A508-8CFBAB57A58F}"/>
    <hyperlink ref="C3" location="Konkurence!A2" display="Konkurence" xr:uid="{721C18BE-723A-4458-81BB-D77FA4DABD72}"/>
    <hyperlink ref="C4" location="Prom.!A2" display="Veletrhy" xr:uid="{82D7D2CF-55EB-4E46-B9E7-9CCFA2B2751F}"/>
    <hyperlink ref="B2" location="DASHBOARD!A2" display="DASHBOARD" xr:uid="{3BD45652-B1B2-41FF-9841-993367DA3942}"/>
    <hyperlink ref="G12" location="VZZ!A2" display="VZZ" xr:uid="{B0502BC5-2C6E-4CE3-883B-685B9FF88219}"/>
    <hyperlink ref="G6" location="'PL. Výroby'!A2" display="Plán výroby" xr:uid="{963BB43D-86EC-4FF7-8ECC-4A808F0D8616}"/>
    <hyperlink ref="G8" location="'PL. FN'!A2" display="Plán fixních nákladů" xr:uid="{7F37F081-6423-4FA2-96F6-6813894DEFD2}"/>
    <hyperlink ref="G9" location="'PL. Nákupu'!A2" display="Plán nákupu" xr:uid="{0F208568-A9E1-47BB-852B-DEFC38EA6F7A}"/>
    <hyperlink ref="G10" location="'PL. Výdajů'!A2" display="Plán výdajů" xr:uid="{DCDC2E7B-B453-4B43-B846-BCDB22D60D7A}"/>
    <hyperlink ref="E11" location="Forcasting!A2" display="Forcasting" xr:uid="{6A35977B-1530-41A7-BC79-6A6713ADD24B}"/>
    <hyperlink ref="G3" location="'PL. Prodeje'!A2" display="Plán prodeje" xr:uid="{178BCC76-8D4B-4208-A234-29C015F97843}"/>
    <hyperlink ref="G4" location="'PL. Výnosů'!A2" display="Plán výnosů" xr:uid="{B63D4BA6-BE4B-4921-A957-F5F77F19E568}"/>
    <hyperlink ref="G5" location="'PL. Příjmů'!A2" display="Plán příjmů" xr:uid="{4654580D-A78C-4954-8AE2-2EAF793DCC9C}"/>
    <hyperlink ref="G7" location="Sklad!A2" display="Sklad" xr:uid="{79734922-6B00-47D0-9FC7-486AE2649F0E}"/>
    <hyperlink ref="G11" location="Rozvaha!A2" display="Rozvaha" xr:uid="{1BA8D573-6B88-4DD0-899F-B054EBFC4878}"/>
    <hyperlink ref="G13" location="CashFlow!A2" display="Plán CF" xr:uid="{CD8C4199-5B74-4F03-A0C8-3F2EE17FC0CF}"/>
    <hyperlink ref="G14" location="'NEPŘÍMÁ CF'!A2" display="Bilance CF" xr:uid="{015FD00F-886F-41F5-A626-7731E5066D8C}"/>
    <hyperlink ref="I3" location="'Harm. exp.'!A2" display="Harmonogram expanze" xr:uid="{725C49BB-4C82-431C-9855-0E73F7B202DB}"/>
    <hyperlink ref="I4" location="Expanze!A2" display="Strategická investice" xr:uid="{457CEF08-2591-4053-8B65-4335771D346A}"/>
    <hyperlink ref="I5" location="'Vývoj trhu'!A2" display="Vývoj NA trhu" xr:uid="{ADAF01F8-A7F5-4068-A6BD-1007CC89C8D9}"/>
    <hyperlink ref="I6" location="'Vývoj CF'!A2" display="Vývoj CF" xr:uid="{9BF706CC-5D23-478A-9554-F6EC10FAACB5}"/>
    <hyperlink ref="I7" location="'Hodnoc. Inv.'!A1" display="Hodnocení investic" xr:uid="{79B4171B-EE0B-4455-8049-18B5F74904AA}"/>
    <hyperlink ref="I8" location="'Platf. SE'!A2" display="Platforma Shared Economy" xr:uid="{85FF701C-B632-4580-8764-0ACF23084AA5}"/>
    <hyperlink ref="I11" location="'Matice rizik'!A2" display="Matice rizik" xr:uid="{DD902A27-6BB0-44BB-B12D-4BD5D69F529F}"/>
    <hyperlink ref="I12" location="'Citl. Anal.'!A2" display="Citlivostní analýza" xr:uid="{B0B45FE0-4803-4A77-8FBE-F1A6F92AFFEE}"/>
    <hyperlink ref="I13" location="SWOT!A2" display="SWOT" xr:uid="{EFABD657-3B04-4A3F-9947-5060D9270927}"/>
    <hyperlink ref="I9" location="'Výnosy 10%ZW'!A2" display="Zero Waste výnosy" xr:uid="{EECA8135-00B0-43AA-AF15-E665DB6AD60F}"/>
    <hyperlink ref="I10" location="'Náklady 10%ZW'!A2" display="Zero Waste náklady" xr:uid="{7B49B78A-0D16-4995-B4D7-15329CB773E4}"/>
    <hyperlink ref="I14" location="Vazby!A2" display="Integrační vazby" xr:uid="{74E23FB2-ECE8-4899-8162-9D66288E22D7}"/>
    <hyperlink ref="I15" location="Cla!A2" display="Tabulka daňových nákladů" xr:uid="{7CEC3FA9-2E85-400E-81D3-0012C0723507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518F3-3071-4918-B33F-953C716DAD77}">
  <dimension ref="A1"/>
  <sheetViews>
    <sheetView showGridLines="0" zoomScaleNormal="100" workbookViewId="0">
      <selection activeCell="B23" sqref="B23"/>
    </sheetView>
  </sheetViews>
  <sheetFormatPr defaultRowHeight="14.25"/>
  <sheetData/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5E6AC-EE97-419D-B9DF-A02D2316EDA6}">
  <sheetPr>
    <tabColor rgb="FFFF0000"/>
  </sheetPr>
  <dimension ref="A1:P89"/>
  <sheetViews>
    <sheetView zoomScale="70" zoomScaleNormal="70" workbookViewId="0"/>
  </sheetViews>
  <sheetFormatPr defaultColWidth="8.77734375" defaultRowHeight="14.25"/>
  <cols>
    <col min="1" max="1" width="9.77734375" style="304" customWidth="1"/>
    <col min="2" max="2" width="8.77734375" style="304" customWidth="1"/>
    <col min="3" max="5" width="8.77734375" style="304"/>
    <col min="6" max="6" width="6.33203125" style="304" customWidth="1"/>
    <col min="7" max="12" width="8.77734375" style="304"/>
    <col min="13" max="13" width="22.33203125" style="304" customWidth="1"/>
    <col min="14" max="16" width="8.77734375" style="304"/>
    <col min="17" max="17" width="6.44140625" style="304" customWidth="1"/>
    <col min="18" max="16384" width="8.77734375" style="304"/>
  </cols>
  <sheetData>
    <row r="1" spans="1:16" ht="36" customHeight="1">
      <c r="A1" s="1434" t="s">
        <v>1</v>
      </c>
    </row>
    <row r="2" spans="1:16" s="284" customFormat="1" ht="48.75">
      <c r="B2" s="1441" t="s">
        <v>45</v>
      </c>
      <c r="C2" s="1441"/>
      <c r="D2" s="1441"/>
      <c r="E2" s="1441"/>
      <c r="F2" s="1441"/>
      <c r="G2" s="1441"/>
      <c r="H2" s="1444"/>
      <c r="I2" s="1444"/>
      <c r="J2" s="1444"/>
      <c r="K2" s="1444"/>
      <c r="L2" s="1444"/>
      <c r="M2" s="1441" t="s">
        <v>46</v>
      </c>
      <c r="N2" s="1441"/>
      <c r="O2" s="1441"/>
      <c r="P2" s="1441"/>
    </row>
    <row r="3" spans="1:16" s="307" customFormat="1" ht="19.5">
      <c r="B3" s="1443" t="s">
        <v>47</v>
      </c>
      <c r="C3" s="1443"/>
      <c r="D3" s="1443"/>
      <c r="E3" s="1443"/>
      <c r="F3" s="1443"/>
      <c r="G3" s="1443"/>
      <c r="H3" s="1445"/>
      <c r="I3" s="1445"/>
      <c r="J3" s="1445"/>
      <c r="K3" s="1445"/>
      <c r="L3" s="1445"/>
      <c r="M3" s="1443" t="s">
        <v>48</v>
      </c>
      <c r="N3" s="1443"/>
      <c r="O3" s="1443"/>
      <c r="P3" s="1443"/>
    </row>
    <row r="4" spans="1:16">
      <c r="B4" s="309"/>
      <c r="C4" s="309"/>
      <c r="D4" s="309"/>
      <c r="E4" s="309"/>
      <c r="F4" s="309"/>
      <c r="G4" s="309"/>
      <c r="H4" s="311"/>
      <c r="I4" s="311"/>
      <c r="J4" s="311"/>
      <c r="K4" s="311"/>
      <c r="L4" s="311"/>
      <c r="M4" s="310"/>
      <c r="N4" s="310"/>
      <c r="O4" s="310"/>
      <c r="P4" s="310"/>
    </row>
    <row r="5" spans="1:16" s="308" customFormat="1" ht="45">
      <c r="B5" s="1447">
        <f>VK!G16</f>
        <v>139631932.85473228</v>
      </c>
      <c r="C5" s="1447"/>
      <c r="D5" s="1447"/>
      <c r="E5" s="1447"/>
      <c r="F5" s="1447"/>
      <c r="G5" s="1447"/>
      <c r="H5" s="1446"/>
      <c r="I5" s="1446"/>
      <c r="J5" s="1446"/>
      <c r="K5" s="1446"/>
      <c r="L5" s="1446"/>
      <c r="M5" s="1442">
        <f>HR!E59</f>
        <v>86</v>
      </c>
      <c r="N5" s="1442"/>
      <c r="O5" s="1442"/>
      <c r="P5" s="1442"/>
    </row>
    <row r="6" spans="1:16">
      <c r="B6" s="309"/>
      <c r="C6" s="309"/>
      <c r="D6" s="309"/>
      <c r="E6" s="309"/>
      <c r="F6" s="309"/>
      <c r="G6" s="309"/>
      <c r="H6" s="311"/>
      <c r="I6" s="311"/>
      <c r="J6" s="311"/>
      <c r="K6" s="311"/>
      <c r="L6" s="311"/>
      <c r="M6" s="310"/>
      <c r="N6" s="310"/>
      <c r="O6" s="310"/>
      <c r="P6" s="310"/>
    </row>
    <row r="7" spans="1:16" s="305" customFormat="1" ht="48.75">
      <c r="B7" s="284" t="s">
        <v>49</v>
      </c>
      <c r="G7" s="284" t="s">
        <v>50</v>
      </c>
    </row>
    <row r="27" spans="2:16" ht="15.75" customHeight="1"/>
    <row r="28" spans="2:16" ht="12.75" customHeight="1"/>
    <row r="29" spans="2:16" ht="16.5" customHeight="1">
      <c r="M29" s="306"/>
      <c r="N29" s="306"/>
      <c r="O29" s="306"/>
      <c r="P29" s="306"/>
    </row>
    <row r="30" spans="2:16" ht="48.75">
      <c r="B30" s="303" t="s">
        <v>51</v>
      </c>
      <c r="M30" s="298" t="s">
        <v>52</v>
      </c>
      <c r="N30" s="306"/>
      <c r="O30" s="306"/>
      <c r="P30" s="306"/>
    </row>
    <row r="31" spans="2:16" s="296" customFormat="1" ht="17.25">
      <c r="B31" s="1127" t="s">
        <v>53</v>
      </c>
      <c r="M31" s="299" t="s">
        <v>54</v>
      </c>
      <c r="N31" s="300"/>
      <c r="O31" s="300"/>
      <c r="P31" s="300"/>
    </row>
    <row r="32" spans="2:16">
      <c r="M32" s="306"/>
      <c r="N32" s="306"/>
      <c r="O32" s="306"/>
      <c r="P32" s="306"/>
    </row>
    <row r="33" spans="13:16" ht="20.25" customHeight="1">
      <c r="M33" s="301" t="s">
        <v>55</v>
      </c>
      <c r="N33" s="302">
        <v>532.91800000000001</v>
      </c>
      <c r="O33" s="306"/>
      <c r="P33" s="306"/>
    </row>
    <row r="34" spans="13:16" ht="20.25" customHeight="1">
      <c r="M34" s="301" t="s">
        <v>56</v>
      </c>
      <c r="N34" s="302">
        <v>375.36700000000008</v>
      </c>
      <c r="O34" s="306"/>
      <c r="P34" s="306"/>
    </row>
    <row r="35" spans="13:16" ht="20.25" customHeight="1">
      <c r="M35" s="301" t="s">
        <v>57</v>
      </c>
      <c r="N35" s="302">
        <v>334.81200000000001</v>
      </c>
      <c r="O35" s="306"/>
      <c r="P35" s="306"/>
    </row>
    <row r="36" spans="13:16" ht="20.25" customHeight="1">
      <c r="M36" s="301" t="s">
        <v>58</v>
      </c>
      <c r="N36" s="302">
        <v>139</v>
      </c>
      <c r="O36" s="306"/>
      <c r="P36" s="306"/>
    </row>
    <row r="37" spans="13:16" ht="20.25" customHeight="1">
      <c r="M37" s="301" t="s">
        <v>59</v>
      </c>
      <c r="N37" s="302">
        <v>80</v>
      </c>
      <c r="O37" s="306"/>
      <c r="P37" s="306"/>
    </row>
    <row r="38" spans="13:16" ht="20.25" customHeight="1">
      <c r="M38" s="301" t="s">
        <v>60</v>
      </c>
      <c r="N38" s="302">
        <v>77</v>
      </c>
      <c r="O38" s="306"/>
      <c r="P38" s="306"/>
    </row>
    <row r="39" spans="13:16" ht="20.25" customHeight="1">
      <c r="M39" s="301" t="s">
        <v>61</v>
      </c>
      <c r="N39" s="302">
        <v>71</v>
      </c>
      <c r="O39" s="306"/>
      <c r="P39" s="306"/>
    </row>
    <row r="40" spans="13:16" ht="20.25" customHeight="1">
      <c r="M40" s="301" t="s">
        <v>62</v>
      </c>
      <c r="N40" s="302">
        <v>62.471539999999997</v>
      </c>
      <c r="O40" s="306"/>
      <c r="P40" s="306"/>
    </row>
    <row r="41" spans="13:16" ht="20.25" customHeight="1">
      <c r="M41" s="301" t="s">
        <v>63</v>
      </c>
      <c r="N41" s="302">
        <v>59.600000000000009</v>
      </c>
      <c r="O41" s="306"/>
      <c r="P41" s="306"/>
    </row>
    <row r="42" spans="13:16" ht="20.25" customHeight="1">
      <c r="M42" s="301" t="s">
        <v>64</v>
      </c>
      <c r="N42" s="302">
        <v>35.480000000000004</v>
      </c>
      <c r="O42" s="306"/>
      <c r="P42" s="306"/>
    </row>
    <row r="43" spans="13:16" ht="20.25" customHeight="1">
      <c r="M43" s="301" t="s">
        <v>65</v>
      </c>
      <c r="N43" s="302">
        <v>34.300000000000004</v>
      </c>
      <c r="O43" s="306"/>
      <c r="P43" s="306"/>
    </row>
    <row r="44" spans="13:16" ht="20.25" customHeight="1">
      <c r="M44" s="301" t="s">
        <v>66</v>
      </c>
      <c r="N44" s="302">
        <v>32.823120000000003</v>
      </c>
      <c r="O44" s="306"/>
      <c r="P44" s="306"/>
    </row>
    <row r="45" spans="13:16" ht="20.25" customHeight="1">
      <c r="M45" s="301" t="s">
        <v>67</v>
      </c>
      <c r="N45" s="302">
        <v>19.850000000000001</v>
      </c>
      <c r="O45" s="306"/>
      <c r="P45" s="306"/>
    </row>
    <row r="46" spans="13:16">
      <c r="M46" s="306"/>
      <c r="N46" s="306"/>
      <c r="O46" s="306"/>
      <c r="P46" s="306"/>
    </row>
    <row r="47" spans="13:16">
      <c r="M47" s="306"/>
      <c r="N47" s="306"/>
      <c r="O47" s="306"/>
      <c r="P47" s="306"/>
    </row>
    <row r="50" spans="11:11" ht="48.75">
      <c r="K50" s="284" t="s">
        <v>68</v>
      </c>
    </row>
    <row r="73" spans="2:3">
      <c r="B73" s="1349" t="s">
        <v>69</v>
      </c>
      <c r="C73" s="1349"/>
    </row>
    <row r="74" spans="2:3">
      <c r="B74" s="737" t="s">
        <v>70</v>
      </c>
      <c r="C74" s="1349">
        <v>500</v>
      </c>
    </row>
    <row r="75" spans="2:3">
      <c r="B75" s="1349" t="s">
        <v>71</v>
      </c>
      <c r="C75" s="1349">
        <v>0</v>
      </c>
    </row>
    <row r="76" spans="2:3">
      <c r="B76" s="1349" t="s">
        <v>72</v>
      </c>
      <c r="C76" s="1349">
        <v>0</v>
      </c>
    </row>
    <row r="77" spans="2:3">
      <c r="B77" s="1349" t="s">
        <v>73</v>
      </c>
      <c r="C77" s="1349"/>
    </row>
    <row r="78" spans="2:3">
      <c r="B78" s="737" t="s">
        <v>70</v>
      </c>
      <c r="C78" s="737">
        <v>500</v>
      </c>
    </row>
    <row r="79" spans="2:3">
      <c r="B79" s="737" t="s">
        <v>74</v>
      </c>
      <c r="C79" s="737">
        <v>1</v>
      </c>
    </row>
    <row r="80" spans="2:3">
      <c r="B80" s="737" t="s">
        <v>75</v>
      </c>
      <c r="C80" s="737">
        <v>1</v>
      </c>
    </row>
    <row r="81" spans="2:3">
      <c r="B81" s="737" t="s">
        <v>76</v>
      </c>
      <c r="C81" s="737">
        <v>1</v>
      </c>
    </row>
    <row r="82" spans="2:3">
      <c r="B82" s="737" t="s">
        <v>77</v>
      </c>
      <c r="C82" s="737">
        <v>1</v>
      </c>
    </row>
    <row r="83" spans="2:3">
      <c r="B83" s="737" t="s">
        <v>78</v>
      </c>
      <c r="C83" s="737">
        <v>1</v>
      </c>
    </row>
    <row r="84" spans="2:3">
      <c r="B84" s="737" t="s">
        <v>77</v>
      </c>
      <c r="C84" s="737">
        <v>1</v>
      </c>
    </row>
    <row r="85" spans="2:3">
      <c r="B85" s="737" t="s">
        <v>75</v>
      </c>
      <c r="C85" s="737">
        <v>1</v>
      </c>
    </row>
    <row r="86" spans="2:3">
      <c r="B86" s="737" t="s">
        <v>79</v>
      </c>
      <c r="C86" s="737">
        <v>800</v>
      </c>
    </row>
    <row r="87" spans="2:3">
      <c r="B87" s="737" t="s">
        <v>80</v>
      </c>
      <c r="C87" s="737">
        <v>800</v>
      </c>
    </row>
    <row r="88" spans="2:3">
      <c r="B88" s="737" t="s">
        <v>81</v>
      </c>
      <c r="C88" s="737">
        <v>800</v>
      </c>
    </row>
    <row r="89" spans="2:3">
      <c r="B89" s="1349" t="s">
        <v>79</v>
      </c>
      <c r="C89" s="1349">
        <v>800</v>
      </c>
    </row>
  </sheetData>
  <customSheetViews>
    <customSheetView guid="{F9015B81-4D5E-47E3-BFA8-A54438E9D1FF}" scale="70">
      <pageMargins left="0.7" right="0.7" top="0.78740157499999996" bottom="0.78740157499999996" header="0.3" footer="0.3"/>
      <pageSetup paperSize="9" orientation="portrait" r:id="rId1"/>
    </customSheetView>
  </customSheetViews>
  <mergeCells count="9">
    <mergeCell ref="M2:P2"/>
    <mergeCell ref="M5:P5"/>
    <mergeCell ref="M3:P3"/>
    <mergeCell ref="B3:G3"/>
    <mergeCell ref="H2:L2"/>
    <mergeCell ref="H3:L3"/>
    <mergeCell ref="H5:L5"/>
    <mergeCell ref="B5:G5"/>
    <mergeCell ref="B2:G2"/>
  </mergeCells>
  <hyperlinks>
    <hyperlink ref="A1" location="MENU!A1" display="MENU" xr:uid="{7FC63008-19B0-49F4-B9F9-1D05E7912339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B59E1-0929-475C-A6A0-3980DA62728D}">
  <sheetPr>
    <tabColor rgb="FF0070C0"/>
  </sheetPr>
  <dimension ref="A1:C135"/>
  <sheetViews>
    <sheetView showGridLines="0" zoomScale="40" zoomScaleNormal="40" workbookViewId="0"/>
  </sheetViews>
  <sheetFormatPr defaultColWidth="8.77734375" defaultRowHeight="14.25"/>
  <cols>
    <col min="1" max="1" width="9.109375" style="737" customWidth="1"/>
    <col min="2" max="2" width="11.109375" style="1419" customWidth="1"/>
    <col min="3" max="12" width="16.5546875" style="737" customWidth="1"/>
    <col min="13" max="13" width="31.44140625" style="737" customWidth="1"/>
    <col min="14" max="16" width="16.5546875" style="737" customWidth="1"/>
    <col min="17" max="16384" width="8.77734375" style="737"/>
  </cols>
  <sheetData>
    <row r="1" spans="1:3" ht="27" customHeight="1">
      <c r="A1" s="107" t="s">
        <v>1</v>
      </c>
      <c r="B1" s="737"/>
    </row>
    <row r="2" spans="1:3">
      <c r="B2" s="737"/>
      <c r="C2" s="123"/>
    </row>
    <row r="3" spans="1:3">
      <c r="B3" s="737"/>
      <c r="C3" s="123"/>
    </row>
    <row r="4" spans="1:3">
      <c r="B4" s="737"/>
      <c r="C4" s="123"/>
    </row>
    <row r="5" spans="1:3">
      <c r="B5" s="737"/>
      <c r="C5" s="123"/>
    </row>
    <row r="6" spans="1:3">
      <c r="B6" s="737"/>
      <c r="C6" s="123"/>
    </row>
    <row r="7" spans="1:3">
      <c r="B7" s="737"/>
      <c r="C7" s="123"/>
    </row>
    <row r="8" spans="1:3">
      <c r="B8" s="737"/>
      <c r="C8" s="123"/>
    </row>
    <row r="9" spans="1:3">
      <c r="B9" s="737"/>
      <c r="C9" s="123"/>
    </row>
    <row r="10" spans="1:3">
      <c r="B10" s="737"/>
      <c r="C10" s="123"/>
    </row>
    <row r="11" spans="1:3">
      <c r="B11" s="737"/>
      <c r="C11" s="123"/>
    </row>
    <row r="12" spans="1:3">
      <c r="B12" s="737"/>
      <c r="C12" s="123"/>
    </row>
    <row r="13" spans="1:3">
      <c r="B13" s="737"/>
      <c r="C13" s="123"/>
    </row>
    <row r="14" spans="1:3">
      <c r="B14" s="737"/>
      <c r="C14" s="123"/>
    </row>
    <row r="15" spans="1:3">
      <c r="B15" s="737"/>
      <c r="C15" s="123"/>
    </row>
    <row r="16" spans="1:3">
      <c r="B16" s="737"/>
      <c r="C16" s="123"/>
    </row>
    <row r="17" spans="2:3">
      <c r="B17" s="737"/>
      <c r="C17" s="123"/>
    </row>
    <row r="18" spans="2:3">
      <c r="B18" s="737"/>
      <c r="C18" s="123"/>
    </row>
    <row r="19" spans="2:3">
      <c r="B19" s="737"/>
      <c r="C19" s="123"/>
    </row>
    <row r="20" spans="2:3">
      <c r="B20" s="737"/>
      <c r="C20" s="123"/>
    </row>
    <row r="21" spans="2:3">
      <c r="B21" s="737"/>
      <c r="C21" s="123"/>
    </row>
    <row r="22" spans="2:3">
      <c r="B22" s="737"/>
      <c r="C22" s="123"/>
    </row>
    <row r="23" spans="2:3">
      <c r="B23" s="737"/>
      <c r="C23" s="123"/>
    </row>
    <row r="24" spans="2:3">
      <c r="B24" s="737"/>
      <c r="C24" s="123"/>
    </row>
    <row r="25" spans="2:3">
      <c r="B25" s="737"/>
      <c r="C25" s="123"/>
    </row>
    <row r="26" spans="2:3">
      <c r="B26" s="737"/>
      <c r="C26" s="123"/>
    </row>
    <row r="27" spans="2:3">
      <c r="B27" s="737"/>
      <c r="C27" s="123"/>
    </row>
    <row r="28" spans="2:3">
      <c r="B28" s="737"/>
      <c r="C28" s="123"/>
    </row>
    <row r="29" spans="2:3">
      <c r="B29" s="737"/>
      <c r="C29" s="123"/>
    </row>
    <row r="30" spans="2:3">
      <c r="B30" s="737"/>
      <c r="C30" s="123"/>
    </row>
    <row r="31" spans="2:3">
      <c r="B31" s="737"/>
      <c r="C31" s="123"/>
    </row>
    <row r="32" spans="2:3">
      <c r="B32" s="737"/>
      <c r="C32" s="123"/>
    </row>
    <row r="33" spans="2:3">
      <c r="B33" s="737"/>
      <c r="C33" s="123"/>
    </row>
    <row r="34" spans="2:3">
      <c r="B34" s="737"/>
      <c r="C34" s="123"/>
    </row>
    <row r="35" spans="2:3">
      <c r="B35" s="737"/>
      <c r="C35" s="123"/>
    </row>
    <row r="36" spans="2:3">
      <c r="B36" s="737"/>
      <c r="C36" s="123"/>
    </row>
    <row r="37" spans="2:3">
      <c r="B37" s="737"/>
      <c r="C37" s="123"/>
    </row>
    <row r="38" spans="2:3">
      <c r="B38" s="737"/>
      <c r="C38" s="123"/>
    </row>
    <row r="39" spans="2:3">
      <c r="B39" s="737"/>
      <c r="C39" s="123"/>
    </row>
    <row r="40" spans="2:3">
      <c r="B40" s="737"/>
      <c r="C40" s="123"/>
    </row>
    <row r="41" spans="2:3">
      <c r="B41" s="737"/>
      <c r="C41" s="123"/>
    </row>
    <row r="42" spans="2:3">
      <c r="B42" s="737"/>
      <c r="C42" s="123"/>
    </row>
    <row r="43" spans="2:3">
      <c r="B43" s="737"/>
      <c r="C43" s="123"/>
    </row>
    <row r="44" spans="2:3">
      <c r="B44" s="737"/>
      <c r="C44" s="123"/>
    </row>
    <row r="45" spans="2:3">
      <c r="B45" s="737"/>
      <c r="C45" s="123"/>
    </row>
    <row r="46" spans="2:3">
      <c r="B46" s="737"/>
      <c r="C46" s="123"/>
    </row>
    <row r="47" spans="2:3">
      <c r="B47" s="737"/>
      <c r="C47" s="123"/>
    </row>
    <row r="48" spans="2:3">
      <c r="B48" s="737"/>
      <c r="C48" s="123"/>
    </row>
    <row r="49" spans="2:3">
      <c r="B49" s="737"/>
      <c r="C49" s="123"/>
    </row>
    <row r="50" spans="2:3">
      <c r="B50" s="737"/>
      <c r="C50" s="123"/>
    </row>
    <row r="51" spans="2:3">
      <c r="B51" s="737"/>
      <c r="C51" s="123"/>
    </row>
    <row r="52" spans="2:3">
      <c r="B52" s="737"/>
      <c r="C52" s="123"/>
    </row>
    <row r="53" spans="2:3">
      <c r="B53" s="737"/>
      <c r="C53" s="123"/>
    </row>
    <row r="54" spans="2:3">
      <c r="B54" s="737"/>
      <c r="C54" s="123"/>
    </row>
    <row r="55" spans="2:3">
      <c r="B55" s="737"/>
      <c r="C55" s="123"/>
    </row>
    <row r="56" spans="2:3">
      <c r="B56" s="737"/>
      <c r="C56" s="123"/>
    </row>
    <row r="57" spans="2:3">
      <c r="B57" s="737"/>
      <c r="C57" s="123"/>
    </row>
    <row r="58" spans="2:3">
      <c r="B58" s="737"/>
      <c r="C58" s="123"/>
    </row>
    <row r="59" spans="2:3">
      <c r="B59" s="737"/>
      <c r="C59" s="123"/>
    </row>
    <row r="60" spans="2:3">
      <c r="B60" s="737"/>
      <c r="C60" s="123"/>
    </row>
    <row r="61" spans="2:3">
      <c r="B61" s="737"/>
      <c r="C61" s="123"/>
    </row>
    <row r="62" spans="2:3">
      <c r="B62" s="737"/>
      <c r="C62" s="123"/>
    </row>
    <row r="63" spans="2:3">
      <c r="B63" s="737"/>
      <c r="C63" s="123"/>
    </row>
    <row r="64" spans="2:3">
      <c r="B64" s="737"/>
      <c r="C64" s="123"/>
    </row>
    <row r="65" spans="2:3">
      <c r="B65" s="737"/>
      <c r="C65" s="123"/>
    </row>
    <row r="66" spans="2:3">
      <c r="B66" s="737"/>
      <c r="C66" s="123"/>
    </row>
    <row r="67" spans="2:3">
      <c r="B67" s="737"/>
      <c r="C67" s="123"/>
    </row>
    <row r="68" spans="2:3">
      <c r="B68" s="737"/>
      <c r="C68" s="123"/>
    </row>
    <row r="69" spans="2:3">
      <c r="B69" s="737"/>
      <c r="C69" s="123"/>
    </row>
    <row r="70" spans="2:3">
      <c r="B70" s="737"/>
      <c r="C70" s="123"/>
    </row>
    <row r="71" spans="2:3">
      <c r="B71" s="737"/>
      <c r="C71" s="123"/>
    </row>
    <row r="72" spans="2:3">
      <c r="B72" s="737"/>
      <c r="C72" s="123"/>
    </row>
    <row r="73" spans="2:3">
      <c r="B73" s="737"/>
      <c r="C73" s="123"/>
    </row>
    <row r="74" spans="2:3">
      <c r="B74" s="737"/>
      <c r="C74" s="123"/>
    </row>
    <row r="75" spans="2:3">
      <c r="B75" s="737"/>
      <c r="C75" s="123"/>
    </row>
    <row r="76" spans="2:3">
      <c r="B76" s="737"/>
      <c r="C76" s="123"/>
    </row>
    <row r="77" spans="2:3">
      <c r="B77" s="737"/>
      <c r="C77" s="123"/>
    </row>
    <row r="78" spans="2:3">
      <c r="B78" s="737"/>
      <c r="C78" s="123"/>
    </row>
    <row r="79" spans="2:3">
      <c r="B79" s="737"/>
      <c r="C79" s="123"/>
    </row>
    <row r="80" spans="2:3">
      <c r="B80" s="737"/>
      <c r="C80" s="123"/>
    </row>
    <row r="81" spans="2:3">
      <c r="B81" s="737"/>
      <c r="C81" s="123"/>
    </row>
    <row r="82" spans="2:3">
      <c r="B82" s="737"/>
      <c r="C82" s="123"/>
    </row>
    <row r="83" spans="2:3">
      <c r="B83" s="737"/>
      <c r="C83" s="123"/>
    </row>
    <row r="84" spans="2:3">
      <c r="B84" s="737"/>
      <c r="C84" s="123"/>
    </row>
    <row r="85" spans="2:3">
      <c r="B85" s="737"/>
      <c r="C85" s="123"/>
    </row>
    <row r="86" spans="2:3">
      <c r="B86" s="737"/>
      <c r="C86" s="123"/>
    </row>
    <row r="87" spans="2:3">
      <c r="B87" s="737"/>
      <c r="C87" s="123"/>
    </row>
    <row r="88" spans="2:3">
      <c r="B88" s="737"/>
      <c r="C88" s="123"/>
    </row>
    <row r="89" spans="2:3">
      <c r="B89" s="737"/>
      <c r="C89" s="123"/>
    </row>
    <row r="90" spans="2:3">
      <c r="B90" s="737"/>
      <c r="C90" s="123"/>
    </row>
    <row r="91" spans="2:3">
      <c r="B91" s="737"/>
      <c r="C91" s="123"/>
    </row>
    <row r="92" spans="2:3">
      <c r="B92" s="737"/>
      <c r="C92" s="123"/>
    </row>
    <row r="93" spans="2:3">
      <c r="B93" s="737"/>
      <c r="C93" s="123"/>
    </row>
    <row r="94" spans="2:3">
      <c r="B94" s="737"/>
      <c r="C94" s="123"/>
    </row>
    <row r="95" spans="2:3">
      <c r="B95" s="737"/>
      <c r="C95" s="123"/>
    </row>
    <row r="96" spans="2:3">
      <c r="B96" s="737"/>
      <c r="C96" s="123"/>
    </row>
    <row r="97" spans="2:3">
      <c r="B97" s="737"/>
      <c r="C97" s="123"/>
    </row>
    <row r="98" spans="2:3">
      <c r="B98" s="737"/>
      <c r="C98" s="123"/>
    </row>
    <row r="99" spans="2:3">
      <c r="B99" s="737"/>
      <c r="C99" s="123"/>
    </row>
    <row r="100" spans="2:3">
      <c r="B100" s="737"/>
      <c r="C100" s="123"/>
    </row>
    <row r="101" spans="2:3">
      <c r="B101" s="737"/>
      <c r="C101" s="123"/>
    </row>
    <row r="102" spans="2:3">
      <c r="B102" s="737"/>
      <c r="C102" s="123"/>
    </row>
    <row r="103" spans="2:3">
      <c r="B103" s="737"/>
      <c r="C103" s="123"/>
    </row>
    <row r="104" spans="2:3">
      <c r="B104" s="737"/>
      <c r="C104" s="123"/>
    </row>
    <row r="105" spans="2:3">
      <c r="B105" s="737"/>
      <c r="C105" s="123"/>
    </row>
    <row r="106" spans="2:3">
      <c r="B106" s="737"/>
      <c r="C106" s="123"/>
    </row>
    <row r="107" spans="2:3">
      <c r="B107" s="737"/>
      <c r="C107" s="123"/>
    </row>
    <row r="108" spans="2:3">
      <c r="B108" s="737"/>
      <c r="C108" s="123"/>
    </row>
    <row r="109" spans="2:3">
      <c r="B109" s="737"/>
      <c r="C109" s="123"/>
    </row>
    <row r="110" spans="2:3">
      <c r="B110" s="737"/>
      <c r="C110" s="123"/>
    </row>
    <row r="111" spans="2:3">
      <c r="B111" s="737"/>
      <c r="C111" s="123"/>
    </row>
    <row r="112" spans="2:3">
      <c r="B112" s="737"/>
      <c r="C112" s="123"/>
    </row>
    <row r="113" spans="2:3">
      <c r="B113" s="737"/>
      <c r="C113" s="123"/>
    </row>
    <row r="114" spans="2:3">
      <c r="B114" s="737"/>
      <c r="C114" s="123"/>
    </row>
    <row r="115" spans="2:3">
      <c r="B115" s="737"/>
      <c r="C115" s="123"/>
    </row>
    <row r="116" spans="2:3">
      <c r="B116" s="737"/>
      <c r="C116" s="123"/>
    </row>
    <row r="117" spans="2:3">
      <c r="B117" s="737"/>
      <c r="C117" s="123"/>
    </row>
    <row r="118" spans="2:3">
      <c r="B118" s="737"/>
      <c r="C118" s="123"/>
    </row>
    <row r="119" spans="2:3">
      <c r="B119" s="737"/>
      <c r="C119" s="123"/>
    </row>
    <row r="120" spans="2:3">
      <c r="B120" s="737"/>
      <c r="C120" s="123"/>
    </row>
    <row r="121" spans="2:3">
      <c r="B121" s="737"/>
      <c r="C121" s="123"/>
    </row>
    <row r="122" spans="2:3">
      <c r="B122" s="737"/>
      <c r="C122" s="123"/>
    </row>
    <row r="123" spans="2:3">
      <c r="B123" s="737"/>
      <c r="C123" s="123"/>
    </row>
    <row r="124" spans="2:3">
      <c r="B124" s="737"/>
      <c r="C124" s="123"/>
    </row>
    <row r="125" spans="2:3">
      <c r="B125" s="737"/>
      <c r="C125" s="123"/>
    </row>
    <row r="126" spans="2:3">
      <c r="B126" s="737"/>
      <c r="C126" s="123"/>
    </row>
    <row r="127" spans="2:3">
      <c r="B127" s="737"/>
      <c r="C127" s="123"/>
    </row>
    <row r="128" spans="2:3">
      <c r="B128" s="737"/>
      <c r="C128" s="123"/>
    </row>
    <row r="129" spans="2:3">
      <c r="B129" s="737"/>
      <c r="C129" s="123"/>
    </row>
    <row r="130" spans="2:3">
      <c r="B130" s="737"/>
      <c r="C130" s="123"/>
    </row>
    <row r="131" spans="2:3">
      <c r="B131" s="737"/>
      <c r="C131" s="123"/>
    </row>
    <row r="132" spans="2:3">
      <c r="B132" s="737"/>
      <c r="C132" s="123"/>
    </row>
    <row r="133" spans="2:3">
      <c r="B133" s="737"/>
      <c r="C133" s="123"/>
    </row>
    <row r="134" spans="2:3">
      <c r="B134" s="737"/>
      <c r="C134" s="123"/>
    </row>
    <row r="135" spans="2:3">
      <c r="B135" s="737"/>
      <c r="C135" s="123"/>
    </row>
  </sheetData>
  <hyperlinks>
    <hyperlink ref="A1" location="MENU!A1" display="MENU" xr:uid="{3B021CDE-CE33-4553-B8EB-6BC8D48C6311}"/>
  </hyperlinks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7701D-B02D-4BC2-A493-61DCE6EF0DB2}">
  <dimension ref="A1:C19"/>
  <sheetViews>
    <sheetView showGridLines="0" zoomScale="40" zoomScaleNormal="40" workbookViewId="0">
      <selection activeCell="A6" sqref="A6"/>
    </sheetView>
  </sheetViews>
  <sheetFormatPr defaultColWidth="8.77734375" defaultRowHeight="14.25"/>
  <cols>
    <col min="1" max="1" width="8.77734375" style="737"/>
    <col min="2" max="2" width="8.77734375" style="1419"/>
    <col min="3" max="3" width="65.44140625" style="737" customWidth="1"/>
    <col min="4" max="16384" width="8.77734375" style="737"/>
  </cols>
  <sheetData>
    <row r="1" spans="1:3" ht="21.75" customHeight="1">
      <c r="A1" s="107" t="s">
        <v>1</v>
      </c>
      <c r="B1"/>
      <c r="C1"/>
    </row>
    <row r="2" spans="1:3">
      <c r="B2"/>
      <c r="C2"/>
    </row>
    <row r="3" spans="1:3" ht="24.75" customHeight="1">
      <c r="B3"/>
      <c r="C3"/>
    </row>
    <row r="4" spans="1:3" ht="51" customHeight="1">
      <c r="B4"/>
      <c r="C4"/>
    </row>
    <row r="5" spans="1:3" ht="89.25" customHeight="1">
      <c r="B5"/>
      <c r="C5"/>
    </row>
    <row r="6" spans="1:3" ht="76.5" customHeight="1">
      <c r="B6"/>
      <c r="C6"/>
    </row>
    <row r="7" spans="1:3" ht="46.5" customHeight="1">
      <c r="B7"/>
      <c r="C7"/>
    </row>
    <row r="8" spans="1:3" ht="38.25" customHeight="1">
      <c r="B8"/>
      <c r="C8"/>
    </row>
    <row r="9" spans="1:3" ht="39.75" customHeight="1">
      <c r="B9"/>
      <c r="C9"/>
    </row>
    <row r="10" spans="1:3" ht="51" customHeight="1">
      <c r="B10"/>
      <c r="C10"/>
    </row>
    <row r="11" spans="1:3">
      <c r="B11" s="737"/>
    </row>
    <row r="12" spans="1:3">
      <c r="B12" s="737"/>
    </row>
    <row r="13" spans="1:3">
      <c r="B13" s="737"/>
    </row>
    <row r="14" spans="1:3">
      <c r="B14" s="737"/>
    </row>
    <row r="15" spans="1:3">
      <c r="B15" s="737"/>
    </row>
    <row r="16" spans="1:3">
      <c r="B16" s="737"/>
    </row>
    <row r="17" spans="2:2">
      <c r="B17" s="737"/>
    </row>
    <row r="18" spans="2:2">
      <c r="B18" s="737"/>
    </row>
    <row r="19" spans="2:2">
      <c r="B19" s="737"/>
    </row>
  </sheetData>
  <hyperlinks>
    <hyperlink ref="A1" location="MENU!A1" display="MENU" xr:uid="{52608F20-E7A4-4CCA-92F8-CAB075029921}"/>
  </hyperlinks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290DB-2EDC-4AEA-B83B-5F63D8B45FD3}">
  <sheetPr>
    <tabColor rgb="FF0070C0"/>
  </sheetPr>
  <dimension ref="A1:F20"/>
  <sheetViews>
    <sheetView showGridLines="0" zoomScale="85" zoomScaleNormal="85" workbookViewId="0"/>
  </sheetViews>
  <sheetFormatPr defaultColWidth="8.6640625" defaultRowHeight="21" customHeight="1"/>
  <cols>
    <col min="1" max="1" width="8.6640625" style="675"/>
    <col min="2" max="2" width="8.6640625" style="1420"/>
    <col min="3" max="3" width="26.44140625" style="675" bestFit="1" customWidth="1"/>
    <col min="4" max="4" width="11.109375" style="675" bestFit="1" customWidth="1"/>
    <col min="5" max="16384" width="8.6640625" style="675"/>
  </cols>
  <sheetData>
    <row r="1" spans="1:6" ht="21" customHeight="1" thickBot="1">
      <c r="A1" s="107" t="s">
        <v>1</v>
      </c>
      <c r="B1" s="675"/>
    </row>
    <row r="2" spans="1:6" ht="21" customHeight="1" thickBot="1">
      <c r="B2" s="675"/>
      <c r="C2" s="1428" t="s">
        <v>1136</v>
      </c>
      <c r="D2" s="1429">
        <v>0.05</v>
      </c>
      <c r="F2" s="675" t="s">
        <v>1141</v>
      </c>
    </row>
    <row r="3" spans="1:6" ht="21" customHeight="1">
      <c r="B3" s="675"/>
      <c r="C3" s="1430" t="s">
        <v>1137</v>
      </c>
      <c r="D3" s="1421">
        <v>0.3</v>
      </c>
    </row>
    <row r="4" spans="1:6" ht="21" customHeight="1">
      <c r="B4" s="675"/>
      <c r="C4" s="1424" t="s">
        <v>1138</v>
      </c>
      <c r="D4" s="1422">
        <v>0.21</v>
      </c>
    </row>
    <row r="5" spans="1:6" ht="21" customHeight="1" thickBot="1">
      <c r="B5" s="675"/>
      <c r="C5" s="1431" t="s">
        <v>1142</v>
      </c>
      <c r="D5" s="1432">
        <v>0</v>
      </c>
    </row>
    <row r="6" spans="1:6" ht="21" customHeight="1">
      <c r="B6" s="675"/>
      <c r="C6" s="1426" t="s">
        <v>1140</v>
      </c>
      <c r="D6" s="1427">
        <v>1600</v>
      </c>
    </row>
    <row r="7" spans="1:6" ht="21" customHeight="1" thickBot="1">
      <c r="B7" s="675"/>
      <c r="C7" s="1425" t="s">
        <v>1139</v>
      </c>
      <c r="D7" s="1423">
        <v>231</v>
      </c>
    </row>
    <row r="8" spans="1:6" ht="21" customHeight="1">
      <c r="B8" s="675"/>
    </row>
    <row r="9" spans="1:6" ht="21" customHeight="1">
      <c r="B9" s="675"/>
    </row>
    <row r="10" spans="1:6" ht="21" customHeight="1">
      <c r="B10" s="675"/>
    </row>
    <row r="11" spans="1:6" ht="21" customHeight="1">
      <c r="B11" s="675"/>
    </row>
    <row r="12" spans="1:6" ht="21" customHeight="1">
      <c r="B12" s="675"/>
    </row>
    <row r="13" spans="1:6" ht="21" customHeight="1">
      <c r="B13" s="675"/>
    </row>
    <row r="14" spans="1:6" ht="21" customHeight="1">
      <c r="B14" s="675"/>
    </row>
    <row r="15" spans="1:6" ht="21" customHeight="1">
      <c r="B15" s="675"/>
    </row>
    <row r="16" spans="1:6" ht="21" customHeight="1">
      <c r="B16" s="675"/>
    </row>
    <row r="17" spans="2:2" ht="21" customHeight="1">
      <c r="B17" s="675"/>
    </row>
    <row r="18" spans="2:2" ht="21" customHeight="1">
      <c r="B18" s="675"/>
    </row>
    <row r="19" spans="2:2" ht="21" customHeight="1">
      <c r="B19" s="675"/>
    </row>
    <row r="20" spans="2:2" ht="21" customHeight="1">
      <c r="B20" s="675"/>
    </row>
  </sheetData>
  <hyperlinks>
    <hyperlink ref="A1" location="MENU!A1" display="MENU" xr:uid="{CE92B94B-5483-4BD8-B0BF-D562AE7DED8F}"/>
  </hyperlinks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B05FA-C22A-400D-B9A6-86489EF206BE}">
  <sheetPr>
    <tabColor rgb="FF66CCFF"/>
  </sheetPr>
  <dimension ref="A1:C19"/>
  <sheetViews>
    <sheetView showGridLines="0" workbookViewId="0">
      <selection activeCell="E7" sqref="E7"/>
    </sheetView>
  </sheetViews>
  <sheetFormatPr defaultColWidth="8.77734375" defaultRowHeight="14.25"/>
  <cols>
    <col min="1" max="1" width="8.77734375" style="737"/>
    <col min="2" max="2" width="8.77734375" style="1128"/>
    <col min="3" max="3" width="65.44140625" style="737" customWidth="1"/>
    <col min="4" max="16384" width="8.77734375" style="737"/>
  </cols>
  <sheetData>
    <row r="1" spans="1:3" ht="21.75" customHeight="1" thickBot="1">
      <c r="A1" s="107" t="s">
        <v>1</v>
      </c>
      <c r="B1" s="1448" t="s">
        <v>82</v>
      </c>
      <c r="C1" s="1449"/>
    </row>
    <row r="2" spans="1:3" ht="15" thickBot="1">
      <c r="B2" s="1135" t="s">
        <v>83</v>
      </c>
      <c r="C2" s="1136" t="s">
        <v>84</v>
      </c>
    </row>
    <row r="3" spans="1:3" ht="24.75" customHeight="1">
      <c r="B3" s="1129">
        <v>2020</v>
      </c>
      <c r="C3" s="1130" t="s">
        <v>85</v>
      </c>
    </row>
    <row r="4" spans="1:3" ht="51" customHeight="1">
      <c r="B4" s="1131">
        <v>2021</v>
      </c>
      <c r="C4" s="1132" t="s">
        <v>86</v>
      </c>
    </row>
    <row r="5" spans="1:3" ht="89.25" customHeight="1">
      <c r="B5" s="1131">
        <v>2022</v>
      </c>
      <c r="C5" s="1132" t="s">
        <v>1110</v>
      </c>
    </row>
    <row r="6" spans="1:3" ht="76.5" customHeight="1">
      <c r="B6" s="1131">
        <v>2023</v>
      </c>
      <c r="C6" s="1132" t="s">
        <v>1111</v>
      </c>
    </row>
    <row r="7" spans="1:3" ht="46.5" customHeight="1">
      <c r="B7" s="1131">
        <v>2024</v>
      </c>
      <c r="C7" s="1132" t="s">
        <v>87</v>
      </c>
    </row>
    <row r="8" spans="1:3" ht="38.25" customHeight="1">
      <c r="B8" s="1131">
        <v>2025</v>
      </c>
      <c r="C8" s="1132" t="s">
        <v>88</v>
      </c>
    </row>
    <row r="9" spans="1:3" ht="39.75" customHeight="1">
      <c r="B9" s="1131">
        <v>2026</v>
      </c>
      <c r="C9" s="1132" t="s">
        <v>89</v>
      </c>
    </row>
    <row r="10" spans="1:3" ht="51" customHeight="1" thickBot="1">
      <c r="B10" s="1133" t="s">
        <v>90</v>
      </c>
      <c r="C10" s="1134" t="s">
        <v>91</v>
      </c>
    </row>
    <row r="11" spans="1:3">
      <c r="B11" s="737"/>
    </row>
    <row r="12" spans="1:3">
      <c r="B12" s="737"/>
    </row>
    <row r="13" spans="1:3">
      <c r="B13" s="737"/>
    </row>
    <row r="14" spans="1:3">
      <c r="B14" s="737"/>
    </row>
    <row r="15" spans="1:3">
      <c r="B15" s="737"/>
    </row>
    <row r="16" spans="1:3">
      <c r="B16" s="737"/>
    </row>
    <row r="17" spans="2:2">
      <c r="B17" s="737"/>
    </row>
    <row r="18" spans="2:2">
      <c r="B18" s="737"/>
    </row>
    <row r="19" spans="2:2">
      <c r="B19" s="737"/>
    </row>
  </sheetData>
  <customSheetViews>
    <customSheetView guid="{F9015B81-4D5E-47E3-BFA8-A54438E9D1FF}" showGridLines="0" topLeftCell="A5">
      <pageMargins left="0.7" right="0.7" top="0.78740157499999996" bottom="0.78740157499999996" header="0.3" footer="0.3"/>
    </customSheetView>
  </customSheetViews>
  <mergeCells count="1">
    <mergeCell ref="B1:C1"/>
  </mergeCells>
  <hyperlinks>
    <hyperlink ref="A1" location="MENU!A1" display="MENU" xr:uid="{AAECC17F-B285-47CC-A80E-042BF532B8C0}"/>
  </hyperlinks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26E4C-45F7-4BCC-9116-7699DD80DF48}">
  <sheetPr>
    <tabColor rgb="FF66CCFF"/>
  </sheetPr>
  <dimension ref="A1:BM23"/>
  <sheetViews>
    <sheetView showGridLines="0" zoomScale="85" zoomScaleNormal="85" workbookViewId="0">
      <selection activeCell="B17" sqref="B17:C22"/>
    </sheetView>
  </sheetViews>
  <sheetFormatPr defaultColWidth="8.77734375" defaultRowHeight="14.25"/>
  <cols>
    <col min="1" max="1" width="8.77734375" style="737"/>
    <col min="2" max="2" width="29.44140625" style="737" bestFit="1" customWidth="1"/>
    <col min="3" max="3" width="15" style="737" customWidth="1"/>
    <col min="4" max="4" width="13.44140625" style="737" customWidth="1"/>
    <col min="5" max="5" width="15.44140625" style="737" customWidth="1"/>
    <col min="6" max="6" width="11.77734375" style="737" customWidth="1"/>
    <col min="7" max="7" width="13.44140625" style="737" customWidth="1"/>
    <col min="8" max="8" width="8.77734375" style="737"/>
    <col min="9" max="9" width="17.33203125" style="737" customWidth="1"/>
    <col min="10" max="65" width="9.109375" style="737" customWidth="1"/>
    <col min="66" max="16384" width="8.77734375" style="737"/>
  </cols>
  <sheetData>
    <row r="1" spans="1:65" ht="22.5" customHeight="1" thickBot="1">
      <c r="A1" s="107" t="s">
        <v>1</v>
      </c>
      <c r="B1" s="1456" t="s">
        <v>92</v>
      </c>
      <c r="C1" s="1457"/>
      <c r="D1" s="1457"/>
      <c r="E1" s="1457"/>
      <c r="F1" s="1457"/>
      <c r="G1" s="1458"/>
      <c r="I1" s="1165" t="s">
        <v>93</v>
      </c>
      <c r="J1" s="1162">
        <v>1</v>
      </c>
      <c r="K1" s="181">
        <v>2</v>
      </c>
      <c r="L1" s="181">
        <v>3</v>
      </c>
      <c r="M1" s="181">
        <v>4</v>
      </c>
      <c r="N1" s="181">
        <v>5</v>
      </c>
      <c r="O1" s="181">
        <v>6</v>
      </c>
      <c r="P1" s="181">
        <v>7</v>
      </c>
      <c r="Q1" s="181">
        <v>8</v>
      </c>
      <c r="R1" s="181">
        <v>9</v>
      </c>
      <c r="S1" s="181">
        <v>10</v>
      </c>
      <c r="T1" s="181">
        <v>11</v>
      </c>
      <c r="U1" s="181">
        <v>12</v>
      </c>
      <c r="V1" s="181">
        <v>13</v>
      </c>
      <c r="W1" s="181">
        <v>14</v>
      </c>
      <c r="X1" s="181">
        <v>15</v>
      </c>
      <c r="Y1" s="181">
        <v>16</v>
      </c>
      <c r="Z1" s="181">
        <v>17</v>
      </c>
      <c r="AA1" s="181">
        <v>18</v>
      </c>
      <c r="AB1" s="181">
        <v>19</v>
      </c>
      <c r="AC1" s="181">
        <v>20</v>
      </c>
      <c r="AD1" s="181">
        <v>21</v>
      </c>
      <c r="AE1" s="181">
        <v>22</v>
      </c>
      <c r="AF1" s="181">
        <v>23</v>
      </c>
      <c r="AG1" s="181">
        <v>24</v>
      </c>
      <c r="AH1" s="181">
        <v>25</v>
      </c>
      <c r="AI1" s="181">
        <v>26</v>
      </c>
      <c r="AJ1" s="181">
        <v>27</v>
      </c>
      <c r="AK1" s="181">
        <v>28</v>
      </c>
      <c r="AL1" s="181">
        <v>29</v>
      </c>
      <c r="AM1" s="181">
        <v>30</v>
      </c>
      <c r="AN1" s="181">
        <v>31</v>
      </c>
      <c r="AO1" s="181">
        <v>32</v>
      </c>
      <c r="AP1" s="181">
        <v>33</v>
      </c>
      <c r="AQ1" s="181">
        <v>34</v>
      </c>
      <c r="AR1" s="181">
        <v>35</v>
      </c>
      <c r="AS1" s="181">
        <v>36</v>
      </c>
      <c r="AT1" s="181">
        <v>37</v>
      </c>
      <c r="AU1" s="181">
        <v>38</v>
      </c>
      <c r="AV1" s="181">
        <v>39</v>
      </c>
      <c r="AW1" s="181">
        <v>40</v>
      </c>
      <c r="AX1" s="181">
        <v>41</v>
      </c>
      <c r="AY1" s="181">
        <v>42</v>
      </c>
      <c r="AZ1" s="181">
        <v>43</v>
      </c>
      <c r="BA1" s="181">
        <v>44</v>
      </c>
      <c r="BB1" s="181">
        <v>45</v>
      </c>
      <c r="BC1" s="181">
        <v>46</v>
      </c>
      <c r="BD1" s="181">
        <v>47</v>
      </c>
      <c r="BE1" s="181">
        <v>48</v>
      </c>
      <c r="BF1" s="181">
        <v>49</v>
      </c>
      <c r="BG1" s="181">
        <v>50</v>
      </c>
      <c r="BH1" s="181">
        <v>51</v>
      </c>
      <c r="BI1" s="181">
        <v>52</v>
      </c>
      <c r="BJ1" s="181">
        <v>53</v>
      </c>
      <c r="BK1" s="181">
        <v>54</v>
      </c>
      <c r="BL1" s="181">
        <v>55</v>
      </c>
      <c r="BM1" s="183">
        <v>56</v>
      </c>
    </row>
    <row r="2" spans="1:65" customFormat="1" ht="22.5" customHeight="1" thickBot="1">
      <c r="A2" s="737"/>
      <c r="B2" s="1465"/>
      <c r="C2" s="1466"/>
      <c r="D2" s="1462" t="s">
        <v>94</v>
      </c>
      <c r="E2" s="1463"/>
      <c r="F2" s="1464" t="s">
        <v>95</v>
      </c>
      <c r="G2" s="1449"/>
      <c r="H2" s="737"/>
      <c r="I2" s="1166" t="s">
        <v>83</v>
      </c>
      <c r="J2" s="1163">
        <v>2023</v>
      </c>
      <c r="K2" s="1161">
        <v>2024</v>
      </c>
      <c r="L2" s="1163">
        <v>2025</v>
      </c>
      <c r="M2" s="1161">
        <v>2026</v>
      </c>
      <c r="N2" s="1163">
        <v>2027</v>
      </c>
      <c r="O2" s="1161">
        <v>2028</v>
      </c>
      <c r="P2" s="1163">
        <v>2029</v>
      </c>
      <c r="Q2" s="1161">
        <v>2030</v>
      </c>
      <c r="R2" s="1163">
        <v>2031</v>
      </c>
      <c r="S2" s="1161">
        <v>2032</v>
      </c>
      <c r="T2" s="1163">
        <v>2033</v>
      </c>
      <c r="U2" s="1161">
        <v>2034</v>
      </c>
      <c r="V2" s="1163">
        <v>2035</v>
      </c>
      <c r="W2" s="1161">
        <v>2036</v>
      </c>
      <c r="X2" s="1163">
        <v>2037</v>
      </c>
      <c r="Y2" s="1161">
        <v>2038</v>
      </c>
      <c r="Z2" s="1163">
        <v>2039</v>
      </c>
      <c r="AA2" s="1161">
        <v>2040</v>
      </c>
      <c r="AB2" s="1163">
        <v>2041</v>
      </c>
      <c r="AC2" s="1161">
        <v>2042</v>
      </c>
      <c r="AD2" s="1163">
        <v>2043</v>
      </c>
      <c r="AE2" s="1161">
        <v>2044</v>
      </c>
      <c r="AF2" s="1163">
        <v>2045</v>
      </c>
      <c r="AG2" s="1161">
        <v>2046</v>
      </c>
      <c r="AH2" s="1163">
        <v>2047</v>
      </c>
      <c r="AI2" s="1161">
        <v>2048</v>
      </c>
      <c r="AJ2" s="1163">
        <v>2049</v>
      </c>
      <c r="AK2" s="1161">
        <v>2050</v>
      </c>
      <c r="AL2" s="1163">
        <v>2051</v>
      </c>
      <c r="AM2" s="1161">
        <v>2052</v>
      </c>
      <c r="AN2" s="1163">
        <v>2053</v>
      </c>
      <c r="AO2" s="1161">
        <v>2054</v>
      </c>
      <c r="AP2" s="1163">
        <v>2055</v>
      </c>
      <c r="AQ2" s="1161">
        <v>2056</v>
      </c>
      <c r="AR2" s="1163">
        <v>2057</v>
      </c>
      <c r="AS2" s="1161">
        <v>2058</v>
      </c>
      <c r="AT2" s="1163">
        <v>2059</v>
      </c>
      <c r="AU2" s="1161">
        <v>2060</v>
      </c>
      <c r="AV2" s="1163">
        <v>2061</v>
      </c>
      <c r="AW2" s="1161">
        <v>2062</v>
      </c>
      <c r="AX2" s="1163">
        <v>2063</v>
      </c>
      <c r="AY2" s="1161">
        <v>2064</v>
      </c>
      <c r="AZ2" s="1163">
        <v>2065</v>
      </c>
      <c r="BA2" s="1161">
        <v>2066</v>
      </c>
      <c r="BB2" s="1163">
        <v>2067</v>
      </c>
      <c r="BC2" s="1161">
        <v>2068</v>
      </c>
      <c r="BD2" s="1163">
        <v>2069</v>
      </c>
      <c r="BE2" s="1161">
        <v>2070</v>
      </c>
      <c r="BF2" s="1163">
        <v>2071</v>
      </c>
      <c r="BG2" s="1161">
        <v>2072</v>
      </c>
      <c r="BH2" s="1163">
        <v>2073</v>
      </c>
      <c r="BI2" s="1161">
        <v>2074</v>
      </c>
      <c r="BJ2" s="1163">
        <v>2075</v>
      </c>
      <c r="BK2" s="1161">
        <v>2076</v>
      </c>
      <c r="BL2" s="1163">
        <v>2077</v>
      </c>
      <c r="BM2" s="1161">
        <v>2078</v>
      </c>
    </row>
    <row r="3" spans="1:65" ht="15" thickBot="1">
      <c r="A3" s="1450" t="s">
        <v>1112</v>
      </c>
      <c r="B3" s="1459" t="s">
        <v>96</v>
      </c>
      <c r="C3" s="1460"/>
      <c r="D3" s="812" t="s">
        <v>97</v>
      </c>
      <c r="E3" s="808" t="s">
        <v>98</v>
      </c>
      <c r="F3" s="1139" t="s">
        <v>99</v>
      </c>
      <c r="G3" s="1144" t="s">
        <v>98</v>
      </c>
      <c r="I3" s="1173" t="s">
        <v>100</v>
      </c>
      <c r="J3" s="1174">
        <f>SUM(J4:J12)</f>
        <v>26686466.400000002</v>
      </c>
      <c r="K3" s="1175">
        <f t="shared" ref="K3:BM3" si="0">SUM(K4:K12)</f>
        <v>26686466.400000002</v>
      </c>
      <c r="L3" s="1175">
        <f t="shared" si="0"/>
        <v>26686466.400000002</v>
      </c>
      <c r="M3" s="1175">
        <f t="shared" si="0"/>
        <v>22722659.733333334</v>
      </c>
      <c r="N3" s="1175">
        <f t="shared" si="0"/>
        <v>22722659.733333334</v>
      </c>
      <c r="O3" s="1175">
        <f t="shared" si="0"/>
        <v>3166254.9333333336</v>
      </c>
      <c r="P3" s="1175">
        <f t="shared" si="0"/>
        <v>3166254.9333333336</v>
      </c>
      <c r="Q3" s="1175">
        <f t="shared" si="0"/>
        <v>3166254.9333333336</v>
      </c>
      <c r="R3" s="1175">
        <f t="shared" si="0"/>
        <v>3166254.9333333336</v>
      </c>
      <c r="S3" s="1175">
        <f t="shared" si="0"/>
        <v>3166254.9333333336</v>
      </c>
      <c r="T3" s="1175">
        <f t="shared" si="0"/>
        <v>3166254.9333333336</v>
      </c>
      <c r="U3" s="1175">
        <f t="shared" si="0"/>
        <v>3166254.9333333336</v>
      </c>
      <c r="V3" s="1175">
        <f t="shared" si="0"/>
        <v>3166254.9333333336</v>
      </c>
      <c r="W3" s="1175">
        <f t="shared" si="0"/>
        <v>3166254.9333333336</v>
      </c>
      <c r="X3" s="1175">
        <f t="shared" si="0"/>
        <v>3166254.9333333336</v>
      </c>
      <c r="Y3" s="1175">
        <f t="shared" si="0"/>
        <v>3166254.9333333336</v>
      </c>
      <c r="Z3" s="1175">
        <f t="shared" si="0"/>
        <v>3166254.9333333336</v>
      </c>
      <c r="AA3" s="1175">
        <f t="shared" si="0"/>
        <v>3166254.9333333336</v>
      </c>
      <c r="AB3" s="1175">
        <f t="shared" si="0"/>
        <v>3166254.9333333336</v>
      </c>
      <c r="AC3" s="1175">
        <f t="shared" si="0"/>
        <v>3166254.9333333336</v>
      </c>
      <c r="AD3" s="1175">
        <f t="shared" si="0"/>
        <v>3166254.9333333336</v>
      </c>
      <c r="AE3" s="1175">
        <f t="shared" si="0"/>
        <v>3166254.9333333336</v>
      </c>
      <c r="AF3" s="1175">
        <f t="shared" si="0"/>
        <v>3166254.9333333336</v>
      </c>
      <c r="AG3" s="1175">
        <f t="shared" si="0"/>
        <v>3166254.9333333336</v>
      </c>
      <c r="AH3" s="1175">
        <f t="shared" si="0"/>
        <v>3166254.9333333336</v>
      </c>
      <c r="AI3" s="1175">
        <f t="shared" si="0"/>
        <v>3166254.9333333336</v>
      </c>
      <c r="AJ3" s="1175">
        <f t="shared" si="0"/>
        <v>3166254.9333333336</v>
      </c>
      <c r="AK3" s="1175">
        <f t="shared" si="0"/>
        <v>3166254.9333333336</v>
      </c>
      <c r="AL3" s="1175">
        <f t="shared" si="0"/>
        <v>3166254.9333333336</v>
      </c>
      <c r="AM3" s="1175">
        <f t="shared" si="0"/>
        <v>3166254.9333333336</v>
      </c>
      <c r="AN3" s="1175">
        <f t="shared" si="0"/>
        <v>897921.6</v>
      </c>
      <c r="AO3" s="1175">
        <f t="shared" si="0"/>
        <v>897921.6</v>
      </c>
      <c r="AP3" s="1175">
        <f t="shared" si="0"/>
        <v>897921.6</v>
      </c>
      <c r="AQ3" s="1175">
        <f t="shared" si="0"/>
        <v>897921.6</v>
      </c>
      <c r="AR3" s="1175">
        <f t="shared" si="0"/>
        <v>897921.6</v>
      </c>
      <c r="AS3" s="1175">
        <f t="shared" si="0"/>
        <v>897921.6</v>
      </c>
      <c r="AT3" s="1175">
        <f t="shared" si="0"/>
        <v>897921.6</v>
      </c>
      <c r="AU3" s="1175">
        <f t="shared" si="0"/>
        <v>897921.6</v>
      </c>
      <c r="AV3" s="1175">
        <f t="shared" si="0"/>
        <v>897921.6</v>
      </c>
      <c r="AW3" s="1175">
        <f t="shared" si="0"/>
        <v>897921.6</v>
      </c>
      <c r="AX3" s="1175">
        <f t="shared" si="0"/>
        <v>897921.6</v>
      </c>
      <c r="AY3" s="1175">
        <f t="shared" si="0"/>
        <v>897921.6</v>
      </c>
      <c r="AZ3" s="1175">
        <f t="shared" si="0"/>
        <v>897921.6</v>
      </c>
      <c r="BA3" s="1175">
        <f t="shared" si="0"/>
        <v>897921.6</v>
      </c>
      <c r="BB3" s="1175">
        <f t="shared" si="0"/>
        <v>897921.6</v>
      </c>
      <c r="BC3" s="1175">
        <f t="shared" si="0"/>
        <v>897921.6</v>
      </c>
      <c r="BD3" s="1175">
        <f t="shared" si="0"/>
        <v>897921.6</v>
      </c>
      <c r="BE3" s="1175">
        <f t="shared" si="0"/>
        <v>897921.6</v>
      </c>
      <c r="BF3" s="1175">
        <f t="shared" si="0"/>
        <v>897921.6</v>
      </c>
      <c r="BG3" s="1175">
        <f t="shared" si="0"/>
        <v>897921.6</v>
      </c>
      <c r="BH3" s="1175">
        <f t="shared" si="0"/>
        <v>0</v>
      </c>
      <c r="BI3" s="1175">
        <f t="shared" si="0"/>
        <v>0</v>
      </c>
      <c r="BJ3" s="1175">
        <f t="shared" si="0"/>
        <v>0</v>
      </c>
      <c r="BK3" s="1175">
        <f t="shared" si="0"/>
        <v>0</v>
      </c>
      <c r="BL3" s="1175">
        <f t="shared" si="0"/>
        <v>0</v>
      </c>
      <c r="BM3" s="1176">
        <f t="shared" si="0"/>
        <v>0</v>
      </c>
    </row>
    <row r="4" spans="1:65">
      <c r="A4" s="1451"/>
      <c r="B4" s="1143" t="s">
        <v>101</v>
      </c>
      <c r="C4" s="1141">
        <v>5600000</v>
      </c>
      <c r="D4" s="1153">
        <v>5</v>
      </c>
      <c r="E4" s="1141">
        <f>C4/D4</f>
        <v>1120000</v>
      </c>
      <c r="F4" s="371">
        <v>5</v>
      </c>
      <c r="G4" s="437">
        <f>C4/F4</f>
        <v>1120000</v>
      </c>
      <c r="I4" s="1169" t="str">
        <f>B9</f>
        <v>Stavba admin. Budovy</v>
      </c>
      <c r="J4" s="1170">
        <f>$E$9</f>
        <v>897921.6</v>
      </c>
      <c r="K4" s="1171">
        <f t="shared" ref="K4:BG4" si="1">$E$9</f>
        <v>897921.6</v>
      </c>
      <c r="L4" s="1171">
        <f t="shared" si="1"/>
        <v>897921.6</v>
      </c>
      <c r="M4" s="1171">
        <f t="shared" si="1"/>
        <v>897921.6</v>
      </c>
      <c r="N4" s="1171">
        <f t="shared" si="1"/>
        <v>897921.6</v>
      </c>
      <c r="O4" s="1171">
        <f t="shared" si="1"/>
        <v>897921.6</v>
      </c>
      <c r="P4" s="1171">
        <f t="shared" si="1"/>
        <v>897921.6</v>
      </c>
      <c r="Q4" s="1171">
        <f t="shared" si="1"/>
        <v>897921.6</v>
      </c>
      <c r="R4" s="1171">
        <f t="shared" si="1"/>
        <v>897921.6</v>
      </c>
      <c r="S4" s="1171">
        <f t="shared" si="1"/>
        <v>897921.6</v>
      </c>
      <c r="T4" s="1171">
        <f t="shared" si="1"/>
        <v>897921.6</v>
      </c>
      <c r="U4" s="1171">
        <f t="shared" si="1"/>
        <v>897921.6</v>
      </c>
      <c r="V4" s="1171">
        <f t="shared" si="1"/>
        <v>897921.6</v>
      </c>
      <c r="W4" s="1171">
        <f t="shared" si="1"/>
        <v>897921.6</v>
      </c>
      <c r="X4" s="1171">
        <f t="shared" si="1"/>
        <v>897921.6</v>
      </c>
      <c r="Y4" s="1171">
        <f t="shared" si="1"/>
        <v>897921.6</v>
      </c>
      <c r="Z4" s="1171">
        <f t="shared" si="1"/>
        <v>897921.6</v>
      </c>
      <c r="AA4" s="1171">
        <f t="shared" si="1"/>
        <v>897921.6</v>
      </c>
      <c r="AB4" s="1171">
        <f t="shared" si="1"/>
        <v>897921.6</v>
      </c>
      <c r="AC4" s="1171">
        <f t="shared" si="1"/>
        <v>897921.6</v>
      </c>
      <c r="AD4" s="1171">
        <f t="shared" si="1"/>
        <v>897921.6</v>
      </c>
      <c r="AE4" s="1171">
        <f t="shared" si="1"/>
        <v>897921.6</v>
      </c>
      <c r="AF4" s="1171">
        <f t="shared" si="1"/>
        <v>897921.6</v>
      </c>
      <c r="AG4" s="1171">
        <f t="shared" si="1"/>
        <v>897921.6</v>
      </c>
      <c r="AH4" s="1171">
        <f t="shared" si="1"/>
        <v>897921.6</v>
      </c>
      <c r="AI4" s="1171">
        <f t="shared" si="1"/>
        <v>897921.6</v>
      </c>
      <c r="AJ4" s="1171">
        <f t="shared" si="1"/>
        <v>897921.6</v>
      </c>
      <c r="AK4" s="1171">
        <f t="shared" si="1"/>
        <v>897921.6</v>
      </c>
      <c r="AL4" s="1171">
        <f t="shared" si="1"/>
        <v>897921.6</v>
      </c>
      <c r="AM4" s="1171">
        <f t="shared" si="1"/>
        <v>897921.6</v>
      </c>
      <c r="AN4" s="1171">
        <f t="shared" si="1"/>
        <v>897921.6</v>
      </c>
      <c r="AO4" s="1171">
        <f t="shared" si="1"/>
        <v>897921.6</v>
      </c>
      <c r="AP4" s="1171">
        <f t="shared" si="1"/>
        <v>897921.6</v>
      </c>
      <c r="AQ4" s="1171">
        <f t="shared" si="1"/>
        <v>897921.6</v>
      </c>
      <c r="AR4" s="1171">
        <f t="shared" si="1"/>
        <v>897921.6</v>
      </c>
      <c r="AS4" s="1171">
        <f t="shared" si="1"/>
        <v>897921.6</v>
      </c>
      <c r="AT4" s="1171">
        <f t="shared" si="1"/>
        <v>897921.6</v>
      </c>
      <c r="AU4" s="1171">
        <f t="shared" si="1"/>
        <v>897921.6</v>
      </c>
      <c r="AV4" s="1171">
        <f t="shared" si="1"/>
        <v>897921.6</v>
      </c>
      <c r="AW4" s="1171">
        <f t="shared" si="1"/>
        <v>897921.6</v>
      </c>
      <c r="AX4" s="1171">
        <f t="shared" si="1"/>
        <v>897921.6</v>
      </c>
      <c r="AY4" s="1171">
        <f t="shared" si="1"/>
        <v>897921.6</v>
      </c>
      <c r="AZ4" s="1171">
        <f t="shared" si="1"/>
        <v>897921.6</v>
      </c>
      <c r="BA4" s="1171">
        <f t="shared" si="1"/>
        <v>897921.6</v>
      </c>
      <c r="BB4" s="1171">
        <f t="shared" si="1"/>
        <v>897921.6</v>
      </c>
      <c r="BC4" s="1171">
        <f t="shared" si="1"/>
        <v>897921.6</v>
      </c>
      <c r="BD4" s="1171">
        <f t="shared" si="1"/>
        <v>897921.6</v>
      </c>
      <c r="BE4" s="1171">
        <f t="shared" si="1"/>
        <v>897921.6</v>
      </c>
      <c r="BF4" s="1171">
        <f t="shared" si="1"/>
        <v>897921.6</v>
      </c>
      <c r="BG4" s="1171">
        <f t="shared" si="1"/>
        <v>897921.6</v>
      </c>
      <c r="BH4" s="1171"/>
      <c r="BI4" s="1171"/>
      <c r="BJ4" s="1171"/>
      <c r="BK4" s="1171"/>
      <c r="BL4" s="1171"/>
      <c r="BM4" s="1172"/>
    </row>
    <row r="5" spans="1:65">
      <c r="A5" s="1451"/>
      <c r="B5" s="129" t="s">
        <v>102</v>
      </c>
      <c r="C5" s="437">
        <v>1800000</v>
      </c>
      <c r="D5" s="1142" t="s">
        <v>103</v>
      </c>
      <c r="E5" s="437"/>
      <c r="F5" s="1148" t="s">
        <v>104</v>
      </c>
      <c r="G5" s="437"/>
      <c r="I5" s="1167" t="str">
        <f>B8</f>
        <v>Stavba haly</v>
      </c>
      <c r="J5" s="1164">
        <f>$E$8</f>
        <v>2268333.3333333335</v>
      </c>
      <c r="K5" s="1158">
        <f t="shared" ref="K5:AM5" si="2">$E$8</f>
        <v>2268333.3333333335</v>
      </c>
      <c r="L5" s="1158">
        <f t="shared" si="2"/>
        <v>2268333.3333333335</v>
      </c>
      <c r="M5" s="1158">
        <f t="shared" si="2"/>
        <v>2268333.3333333335</v>
      </c>
      <c r="N5" s="1158">
        <f t="shared" si="2"/>
        <v>2268333.3333333335</v>
      </c>
      <c r="O5" s="1158">
        <f t="shared" si="2"/>
        <v>2268333.3333333335</v>
      </c>
      <c r="P5" s="1158">
        <f t="shared" si="2"/>
        <v>2268333.3333333335</v>
      </c>
      <c r="Q5" s="1158">
        <f t="shared" si="2"/>
        <v>2268333.3333333335</v>
      </c>
      <c r="R5" s="1158">
        <f t="shared" si="2"/>
        <v>2268333.3333333335</v>
      </c>
      <c r="S5" s="1158">
        <f t="shared" si="2"/>
        <v>2268333.3333333335</v>
      </c>
      <c r="T5" s="1158">
        <f t="shared" si="2"/>
        <v>2268333.3333333335</v>
      </c>
      <c r="U5" s="1158">
        <f t="shared" si="2"/>
        <v>2268333.3333333335</v>
      </c>
      <c r="V5" s="1158">
        <f t="shared" si="2"/>
        <v>2268333.3333333335</v>
      </c>
      <c r="W5" s="1158">
        <f t="shared" si="2"/>
        <v>2268333.3333333335</v>
      </c>
      <c r="X5" s="1158">
        <f t="shared" si="2"/>
        <v>2268333.3333333335</v>
      </c>
      <c r="Y5" s="1158">
        <f t="shared" si="2"/>
        <v>2268333.3333333335</v>
      </c>
      <c r="Z5" s="1158">
        <f t="shared" si="2"/>
        <v>2268333.3333333335</v>
      </c>
      <c r="AA5" s="1158">
        <f t="shared" si="2"/>
        <v>2268333.3333333335</v>
      </c>
      <c r="AB5" s="1158">
        <f t="shared" si="2"/>
        <v>2268333.3333333335</v>
      </c>
      <c r="AC5" s="1158">
        <f t="shared" si="2"/>
        <v>2268333.3333333335</v>
      </c>
      <c r="AD5" s="1158">
        <f t="shared" si="2"/>
        <v>2268333.3333333335</v>
      </c>
      <c r="AE5" s="1158">
        <f t="shared" si="2"/>
        <v>2268333.3333333335</v>
      </c>
      <c r="AF5" s="1158">
        <f t="shared" si="2"/>
        <v>2268333.3333333335</v>
      </c>
      <c r="AG5" s="1158">
        <f t="shared" si="2"/>
        <v>2268333.3333333335</v>
      </c>
      <c r="AH5" s="1158">
        <f t="shared" si="2"/>
        <v>2268333.3333333335</v>
      </c>
      <c r="AI5" s="1158">
        <f t="shared" si="2"/>
        <v>2268333.3333333335</v>
      </c>
      <c r="AJ5" s="1158">
        <f t="shared" si="2"/>
        <v>2268333.3333333335</v>
      </c>
      <c r="AK5" s="1158">
        <f t="shared" si="2"/>
        <v>2268333.3333333335</v>
      </c>
      <c r="AL5" s="1158">
        <f t="shared" si="2"/>
        <v>2268333.3333333335</v>
      </c>
      <c r="AM5" s="1158">
        <f t="shared" si="2"/>
        <v>2268333.3333333335</v>
      </c>
      <c r="AN5" s="1158"/>
      <c r="AO5" s="1158"/>
      <c r="AP5" s="1158"/>
      <c r="AQ5" s="1158"/>
      <c r="AR5" s="1158"/>
      <c r="AS5" s="1158"/>
      <c r="AT5" s="1158"/>
      <c r="AU5" s="1158"/>
      <c r="AV5" s="1158"/>
      <c r="AW5" s="1158"/>
      <c r="AX5" s="1158"/>
      <c r="AY5" s="1158"/>
      <c r="AZ5" s="1158"/>
      <c r="BA5" s="1158"/>
      <c r="BB5" s="1158"/>
      <c r="BC5" s="1158"/>
      <c r="BD5" s="1158"/>
      <c r="BE5" s="1158"/>
      <c r="BF5" s="1158"/>
      <c r="BG5" s="1158"/>
      <c r="BH5" s="1158"/>
      <c r="BI5" s="1158"/>
      <c r="BJ5" s="1158"/>
      <c r="BK5" s="1158"/>
      <c r="BL5" s="1158"/>
      <c r="BM5" s="1159"/>
    </row>
    <row r="6" spans="1:65">
      <c r="A6" s="1451"/>
      <c r="B6" s="129" t="s">
        <v>105</v>
      </c>
      <c r="C6" s="437">
        <v>3528024</v>
      </c>
      <c r="D6" s="1147">
        <v>5</v>
      </c>
      <c r="E6" s="437">
        <f t="shared" ref="E6" si="3">C6/D6</f>
        <v>705604.8</v>
      </c>
      <c r="F6" s="129">
        <v>5</v>
      </c>
      <c r="G6" s="437">
        <f t="shared" ref="G6:G11" si="4">C6/F6</f>
        <v>705604.8</v>
      </c>
      <c r="I6" s="1167" t="str">
        <f>B4</f>
        <v>Plán projektu</v>
      </c>
      <c r="J6" s="1164">
        <f>$E$4</f>
        <v>1120000</v>
      </c>
      <c r="K6" s="1158">
        <f t="shared" ref="K6:N6" si="5">$E$4</f>
        <v>1120000</v>
      </c>
      <c r="L6" s="1158">
        <f t="shared" si="5"/>
        <v>1120000</v>
      </c>
      <c r="M6" s="1158">
        <f t="shared" si="5"/>
        <v>1120000</v>
      </c>
      <c r="N6" s="1158">
        <f t="shared" si="5"/>
        <v>1120000</v>
      </c>
      <c r="O6" s="1158"/>
      <c r="P6" s="1158"/>
      <c r="Q6" s="1158"/>
      <c r="R6" s="1158"/>
      <c r="S6" s="1158"/>
      <c r="T6" s="1158"/>
      <c r="U6" s="1158"/>
      <c r="V6" s="1158"/>
      <c r="W6" s="1158"/>
      <c r="X6" s="1158"/>
      <c r="Y6" s="1158"/>
      <c r="Z6" s="1158"/>
      <c r="AA6" s="1158"/>
      <c r="AB6" s="1158"/>
      <c r="AC6" s="1158"/>
      <c r="AD6" s="1158"/>
      <c r="AE6" s="1158"/>
      <c r="AF6" s="1158"/>
      <c r="AG6" s="1158"/>
      <c r="AH6" s="1158"/>
      <c r="AI6" s="1158"/>
      <c r="AJ6" s="1158"/>
      <c r="AK6" s="1158"/>
      <c r="AL6" s="1158"/>
      <c r="AM6" s="1158"/>
      <c r="AN6" s="1158"/>
      <c r="AO6" s="1158"/>
      <c r="AP6" s="1158"/>
      <c r="AQ6" s="1158"/>
      <c r="AR6" s="1158"/>
      <c r="AS6" s="1158"/>
      <c r="AT6" s="1158"/>
      <c r="AU6" s="1158"/>
      <c r="AV6" s="1158"/>
      <c r="AW6" s="1158"/>
      <c r="AX6" s="1158"/>
      <c r="AY6" s="1158"/>
      <c r="AZ6" s="1158"/>
      <c r="BA6" s="1158"/>
      <c r="BB6" s="1158"/>
      <c r="BC6" s="1158"/>
      <c r="BD6" s="1158"/>
      <c r="BE6" s="1158"/>
      <c r="BF6" s="1158"/>
      <c r="BG6" s="1158"/>
      <c r="BH6" s="1158"/>
      <c r="BI6" s="1158"/>
      <c r="BJ6" s="1158"/>
      <c r="BK6" s="1158"/>
      <c r="BL6" s="1158"/>
      <c r="BM6" s="1159"/>
    </row>
    <row r="7" spans="1:65">
      <c r="A7" s="1451"/>
      <c r="B7" s="129" t="s">
        <v>106</v>
      </c>
      <c r="C7" s="437">
        <v>2580000</v>
      </c>
      <c r="D7" s="1142" t="s">
        <v>103</v>
      </c>
      <c r="E7" s="437"/>
      <c r="F7" s="129">
        <v>25</v>
      </c>
      <c r="G7" s="437">
        <f t="shared" si="4"/>
        <v>103200</v>
      </c>
      <c r="I7" s="1167" t="str">
        <f>B6</f>
        <v>Admin.a legální náklady</v>
      </c>
      <c r="J7" s="1164">
        <f>$E$6</f>
        <v>705604.8</v>
      </c>
      <c r="K7" s="1158">
        <f t="shared" ref="K7:N7" si="6">$E$6</f>
        <v>705604.8</v>
      </c>
      <c r="L7" s="1158">
        <f t="shared" si="6"/>
        <v>705604.8</v>
      </c>
      <c r="M7" s="1158">
        <f t="shared" si="6"/>
        <v>705604.8</v>
      </c>
      <c r="N7" s="1158">
        <f t="shared" si="6"/>
        <v>705604.8</v>
      </c>
      <c r="O7" s="1158"/>
      <c r="P7" s="1158"/>
      <c r="Q7" s="1158"/>
      <c r="R7" s="1158"/>
      <c r="S7" s="1158"/>
      <c r="T7" s="1158"/>
      <c r="U7" s="1158"/>
      <c r="V7" s="1158"/>
      <c r="W7" s="1158"/>
      <c r="X7" s="1158"/>
      <c r="Y7" s="1158"/>
      <c r="Z7" s="1158"/>
      <c r="AA7" s="1158"/>
      <c r="AB7" s="1158"/>
      <c r="AC7" s="1158"/>
      <c r="AD7" s="1158"/>
      <c r="AE7" s="1158"/>
      <c r="AF7" s="1158"/>
      <c r="AG7" s="1158"/>
      <c r="AH7" s="1158"/>
      <c r="AI7" s="1158"/>
      <c r="AJ7" s="1158"/>
      <c r="AK7" s="1158"/>
      <c r="AL7" s="1158"/>
      <c r="AM7" s="1158"/>
      <c r="AN7" s="1158"/>
      <c r="AO7" s="1158"/>
      <c r="AP7" s="1158"/>
      <c r="AQ7" s="1158"/>
      <c r="AR7" s="1158"/>
      <c r="AS7" s="1158"/>
      <c r="AT7" s="1158"/>
      <c r="AU7" s="1158"/>
      <c r="AV7" s="1158"/>
      <c r="AW7" s="1158"/>
      <c r="AX7" s="1158"/>
      <c r="AY7" s="1158"/>
      <c r="AZ7" s="1158"/>
      <c r="BA7" s="1158"/>
      <c r="BB7" s="1158"/>
      <c r="BC7" s="1158"/>
      <c r="BD7" s="1158"/>
      <c r="BE7" s="1158"/>
      <c r="BF7" s="1158"/>
      <c r="BG7" s="1158"/>
      <c r="BH7" s="1158"/>
      <c r="BI7" s="1158"/>
      <c r="BJ7" s="1158"/>
      <c r="BK7" s="1158"/>
      <c r="BL7" s="1158"/>
      <c r="BM7" s="1159"/>
    </row>
    <row r="8" spans="1:65">
      <c r="A8" s="1451"/>
      <c r="B8" s="129" t="s">
        <v>107</v>
      </c>
      <c r="C8" s="437">
        <v>68050000</v>
      </c>
      <c r="D8" s="1147">
        <v>30</v>
      </c>
      <c r="E8" s="437">
        <f>C8/D8</f>
        <v>2268333.3333333335</v>
      </c>
      <c r="F8" s="129">
        <v>25</v>
      </c>
      <c r="G8" s="437">
        <f t="shared" si="4"/>
        <v>2722000</v>
      </c>
      <c r="I8" s="1167" t="str">
        <f>B11</f>
        <v>Výrobní zařízení</v>
      </c>
      <c r="J8" s="1164">
        <f>$E$11</f>
        <v>15730800</v>
      </c>
      <c r="K8" s="1158">
        <f t="shared" ref="K8:N8" si="7">$E$11</f>
        <v>15730800</v>
      </c>
      <c r="L8" s="1158">
        <f t="shared" si="7"/>
        <v>15730800</v>
      </c>
      <c r="M8" s="1158">
        <f t="shared" si="7"/>
        <v>15730800</v>
      </c>
      <c r="N8" s="1158">
        <f t="shared" si="7"/>
        <v>15730800</v>
      </c>
      <c r="O8" s="1158"/>
      <c r="P8" s="1158"/>
      <c r="Q8" s="1158"/>
      <c r="R8" s="1158"/>
      <c r="S8" s="1158"/>
      <c r="T8" s="1158"/>
      <c r="U8" s="1158"/>
      <c r="V8" s="1158"/>
      <c r="W8" s="1158"/>
      <c r="X8" s="1158"/>
      <c r="Y8" s="1158"/>
      <c r="Z8" s="1158"/>
      <c r="AA8" s="1158"/>
      <c r="AB8" s="1158"/>
      <c r="AC8" s="1158"/>
      <c r="AD8" s="1158"/>
      <c r="AE8" s="1158"/>
      <c r="AF8" s="1158"/>
      <c r="AG8" s="1158"/>
      <c r="AH8" s="1158"/>
      <c r="AI8" s="1158"/>
      <c r="AJ8" s="1158"/>
      <c r="AK8" s="1158"/>
      <c r="AL8" s="1158"/>
      <c r="AM8" s="1158"/>
      <c r="AN8" s="1158"/>
      <c r="AO8" s="1158"/>
      <c r="AP8" s="1158"/>
      <c r="AQ8" s="1158"/>
      <c r="AR8" s="1158"/>
      <c r="AS8" s="1158"/>
      <c r="AT8" s="1158"/>
      <c r="AU8" s="1158"/>
      <c r="AV8" s="1158"/>
      <c r="AW8" s="1158"/>
      <c r="AX8" s="1158"/>
      <c r="AY8" s="1158"/>
      <c r="AZ8" s="1158"/>
      <c r="BA8" s="1158"/>
      <c r="BB8" s="1158"/>
      <c r="BC8" s="1158"/>
      <c r="BD8" s="1158"/>
      <c r="BE8" s="1158"/>
      <c r="BF8" s="1158"/>
      <c r="BG8" s="1158"/>
      <c r="BH8" s="1158"/>
      <c r="BI8" s="1158"/>
      <c r="BJ8" s="1158"/>
      <c r="BK8" s="1158"/>
      <c r="BL8" s="1158"/>
      <c r="BM8" s="1159"/>
    </row>
    <row r="9" spans="1:65">
      <c r="A9" s="1451"/>
      <c r="B9" s="129" t="s">
        <v>108</v>
      </c>
      <c r="C9" s="437">
        <v>44896080</v>
      </c>
      <c r="D9" s="1147">
        <v>50</v>
      </c>
      <c r="E9" s="437">
        <f>C9/D9</f>
        <v>897921.6</v>
      </c>
      <c r="F9" s="129">
        <v>25</v>
      </c>
      <c r="G9" s="437">
        <f t="shared" si="4"/>
        <v>1795843.2</v>
      </c>
      <c r="I9" s="1167" t="str">
        <f>B10</f>
        <v>Vybavení kanceláře</v>
      </c>
      <c r="J9" s="1164">
        <f>$E$10</f>
        <v>3166666.6666666665</v>
      </c>
      <c r="K9" s="1158">
        <f t="shared" ref="K9:L9" si="8">$E$10</f>
        <v>3166666.6666666665</v>
      </c>
      <c r="L9" s="1158">
        <f t="shared" si="8"/>
        <v>3166666.6666666665</v>
      </c>
      <c r="M9" s="1158"/>
      <c r="N9" s="1158"/>
      <c r="O9" s="1158"/>
      <c r="P9" s="1158"/>
      <c r="Q9" s="1158"/>
      <c r="R9" s="1158"/>
      <c r="S9" s="1158"/>
      <c r="T9" s="1158"/>
      <c r="U9" s="1158"/>
      <c r="V9" s="1158"/>
      <c r="W9" s="1158"/>
      <c r="X9" s="1158"/>
      <c r="Y9" s="1158"/>
      <c r="Z9" s="1158"/>
      <c r="AA9" s="1158"/>
      <c r="AB9" s="1158"/>
      <c r="AC9" s="1158"/>
      <c r="AD9" s="1158"/>
      <c r="AE9" s="1158"/>
      <c r="AF9" s="1158"/>
      <c r="AG9" s="1158"/>
      <c r="AH9" s="1158"/>
      <c r="AI9" s="1158"/>
      <c r="AJ9" s="1158"/>
      <c r="AK9" s="1158"/>
      <c r="AL9" s="1158"/>
      <c r="AM9" s="1158"/>
      <c r="AN9" s="1158"/>
      <c r="AO9" s="1158"/>
      <c r="AP9" s="1158"/>
      <c r="AQ9" s="1158"/>
      <c r="AR9" s="1158"/>
      <c r="AS9" s="1158"/>
      <c r="AT9" s="1158"/>
      <c r="AU9" s="1158"/>
      <c r="AV9" s="1158"/>
      <c r="AW9" s="1158"/>
      <c r="AX9" s="1158"/>
      <c r="AY9" s="1158"/>
      <c r="AZ9" s="1158"/>
      <c r="BA9" s="1158"/>
      <c r="BB9" s="1158"/>
      <c r="BC9" s="1158"/>
      <c r="BD9" s="1158"/>
      <c r="BE9" s="1158"/>
      <c r="BF9" s="1158"/>
      <c r="BG9" s="1158"/>
      <c r="BH9" s="1158"/>
      <c r="BI9" s="1158"/>
      <c r="BJ9" s="1158"/>
      <c r="BK9" s="1158"/>
      <c r="BL9" s="1158"/>
      <c r="BM9" s="1159"/>
    </row>
    <row r="10" spans="1:65">
      <c r="A10" s="1451"/>
      <c r="B10" s="129" t="s">
        <v>109</v>
      </c>
      <c r="C10" s="437">
        <v>9500000</v>
      </c>
      <c r="D10" s="1147">
        <v>3</v>
      </c>
      <c r="E10" s="437">
        <f>C10/D10</f>
        <v>3166666.6666666665</v>
      </c>
      <c r="F10" s="371">
        <v>10</v>
      </c>
      <c r="G10" s="437">
        <f t="shared" si="4"/>
        <v>950000</v>
      </c>
      <c r="I10" s="1167" t="str">
        <f>B14</f>
        <v>Vývoj a implementace SE platformy</v>
      </c>
      <c r="J10" s="1164">
        <f>$E$14</f>
        <v>774000</v>
      </c>
      <c r="K10" s="1158">
        <f t="shared" ref="K10:L10" si="9">$E$14</f>
        <v>774000</v>
      </c>
      <c r="L10" s="1158">
        <f t="shared" si="9"/>
        <v>774000</v>
      </c>
      <c r="M10" s="1158"/>
      <c r="N10" s="1158"/>
      <c r="O10" s="1158"/>
      <c r="P10" s="1158"/>
      <c r="Q10" s="1158"/>
      <c r="R10" s="1158"/>
      <c r="S10" s="1158"/>
      <c r="T10" s="1158"/>
      <c r="U10" s="1158"/>
      <c r="V10" s="1158"/>
      <c r="W10" s="1158"/>
      <c r="X10" s="1158"/>
      <c r="Y10" s="1158"/>
      <c r="Z10" s="1158"/>
      <c r="AA10" s="1158"/>
      <c r="AB10" s="1158"/>
      <c r="AC10" s="1158"/>
      <c r="AD10" s="1158"/>
      <c r="AE10" s="1158"/>
      <c r="AF10" s="1158"/>
      <c r="AG10" s="1158"/>
      <c r="AH10" s="1158"/>
      <c r="AI10" s="1158"/>
      <c r="AJ10" s="1158"/>
      <c r="AK10" s="1158"/>
      <c r="AL10" s="1158"/>
      <c r="AM10" s="1158"/>
      <c r="AN10" s="1158"/>
      <c r="AO10" s="1158"/>
      <c r="AP10" s="1158"/>
      <c r="AQ10" s="1158"/>
      <c r="AR10" s="1158"/>
      <c r="AS10" s="1158"/>
      <c r="AT10" s="1158"/>
      <c r="AU10" s="1158"/>
      <c r="AV10" s="1158"/>
      <c r="AW10" s="1158"/>
      <c r="AX10" s="1158"/>
      <c r="AY10" s="1158"/>
      <c r="AZ10" s="1158"/>
      <c r="BA10" s="1158"/>
      <c r="BB10" s="1158"/>
      <c r="BC10" s="1158"/>
      <c r="BD10" s="1158"/>
      <c r="BE10" s="1158"/>
      <c r="BF10" s="1158"/>
      <c r="BG10" s="1158"/>
      <c r="BH10" s="1158"/>
      <c r="BI10" s="1158"/>
      <c r="BJ10" s="1158"/>
      <c r="BK10" s="1158"/>
      <c r="BL10" s="1158"/>
      <c r="BM10" s="1159"/>
    </row>
    <row r="11" spans="1:65">
      <c r="A11" s="1451"/>
      <c r="B11" s="129" t="s">
        <v>110</v>
      </c>
      <c r="C11" s="437">
        <v>78654000</v>
      </c>
      <c r="D11" s="1147">
        <v>5</v>
      </c>
      <c r="E11" s="437">
        <f>C11/D11</f>
        <v>15730800</v>
      </c>
      <c r="F11" s="371">
        <v>10</v>
      </c>
      <c r="G11" s="437">
        <f t="shared" si="4"/>
        <v>7865400</v>
      </c>
      <c r="I11" s="1167" t="str">
        <f>B15</f>
        <v>Update APS App</v>
      </c>
      <c r="J11" s="1164">
        <f>$E$15</f>
        <v>23140</v>
      </c>
      <c r="K11" s="1158">
        <f t="shared" ref="K11:L11" si="10">$E$15</f>
        <v>23140</v>
      </c>
      <c r="L11" s="1158">
        <f t="shared" si="10"/>
        <v>23140</v>
      </c>
      <c r="M11" s="1158"/>
      <c r="N11" s="1158"/>
      <c r="O11" s="1158"/>
      <c r="P11" s="1158"/>
      <c r="Q11" s="1158"/>
      <c r="R11" s="1158"/>
      <c r="S11" s="1158"/>
      <c r="T11" s="1158"/>
      <c r="U11" s="1158"/>
      <c r="V11" s="1158"/>
      <c r="W11" s="1158"/>
      <c r="X11" s="1158"/>
      <c r="Y11" s="1158"/>
      <c r="Z11" s="1158"/>
      <c r="AA11" s="1158"/>
      <c r="AB11" s="1158"/>
      <c r="AC11" s="1158"/>
      <c r="AD11" s="1158"/>
      <c r="AE11" s="1158"/>
      <c r="AF11" s="1158"/>
      <c r="AG11" s="1158"/>
      <c r="AH11" s="1158"/>
      <c r="AI11" s="1158"/>
      <c r="AJ11" s="1158"/>
      <c r="AK11" s="1158"/>
      <c r="AL11" s="1158"/>
      <c r="AM11" s="1158"/>
      <c r="AN11" s="1158"/>
      <c r="AO11" s="1158"/>
      <c r="AP11" s="1158"/>
      <c r="AQ11" s="1158"/>
      <c r="AR11" s="1158"/>
      <c r="AS11" s="1158"/>
      <c r="AT11" s="1158"/>
      <c r="AU11" s="1158"/>
      <c r="AV11" s="1158"/>
      <c r="AW11" s="1158"/>
      <c r="AX11" s="1158"/>
      <c r="AY11" s="1158"/>
      <c r="AZ11" s="1158"/>
      <c r="BA11" s="1158"/>
      <c r="BB11" s="1158"/>
      <c r="BC11" s="1158"/>
      <c r="BD11" s="1158"/>
      <c r="BE11" s="1158"/>
      <c r="BF11" s="1158"/>
      <c r="BG11" s="1158"/>
      <c r="BH11" s="1158"/>
      <c r="BI11" s="1158"/>
      <c r="BJ11" s="1158"/>
      <c r="BK11" s="1158"/>
      <c r="BL11" s="1158"/>
      <c r="BM11" s="1159"/>
    </row>
    <row r="12" spans="1:65" ht="15" thickBot="1">
      <c r="A12" s="1451"/>
      <c r="B12" s="1145" t="s">
        <v>111</v>
      </c>
      <c r="C12" s="1146">
        <f>SUM(C4:C11)</f>
        <v>214608104</v>
      </c>
      <c r="D12" s="1149"/>
      <c r="E12" s="1150"/>
      <c r="F12" s="1151"/>
      <c r="G12" s="1150"/>
      <c r="I12" s="1177" t="s">
        <v>112</v>
      </c>
      <c r="J12" s="1178">
        <f>$E$21</f>
        <v>2000000</v>
      </c>
      <c r="K12" s="1178">
        <f t="shared" ref="K12:N12" si="11">$E$21</f>
        <v>2000000</v>
      </c>
      <c r="L12" s="1178">
        <f t="shared" si="11"/>
        <v>2000000</v>
      </c>
      <c r="M12" s="1178">
        <f t="shared" si="11"/>
        <v>2000000</v>
      </c>
      <c r="N12" s="1178">
        <f t="shared" si="11"/>
        <v>2000000</v>
      </c>
      <c r="O12" s="1179"/>
      <c r="P12" s="1179"/>
      <c r="Q12" s="1179"/>
      <c r="R12" s="1179"/>
      <c r="S12" s="1179"/>
      <c r="T12" s="1179"/>
      <c r="U12" s="1179"/>
      <c r="V12" s="1179"/>
      <c r="W12" s="1179"/>
      <c r="X12" s="1179"/>
      <c r="Y12" s="1179"/>
      <c r="Z12" s="1179"/>
      <c r="AA12" s="1179"/>
      <c r="AB12" s="1179"/>
      <c r="AC12" s="1179"/>
      <c r="AD12" s="1179"/>
      <c r="AE12" s="1179"/>
      <c r="AF12" s="1179"/>
      <c r="AG12" s="1179"/>
      <c r="AH12" s="1179"/>
      <c r="AI12" s="1179"/>
      <c r="AJ12" s="1179"/>
      <c r="AK12" s="1179"/>
      <c r="AL12" s="1179"/>
      <c r="AM12" s="1179"/>
      <c r="AN12" s="1179"/>
      <c r="AO12" s="1179"/>
      <c r="AP12" s="1179"/>
      <c r="AQ12" s="1179"/>
      <c r="AR12" s="1179"/>
      <c r="AS12" s="1179"/>
      <c r="AT12" s="1179"/>
      <c r="AU12" s="1179"/>
      <c r="AV12" s="1179"/>
      <c r="AW12" s="1179"/>
      <c r="AX12" s="1179"/>
      <c r="AY12" s="1179"/>
      <c r="AZ12" s="1179"/>
      <c r="BA12" s="1179"/>
      <c r="BB12" s="1179"/>
      <c r="BC12" s="1179"/>
      <c r="BD12" s="1179"/>
      <c r="BE12" s="1179"/>
      <c r="BF12" s="1179"/>
      <c r="BG12" s="1179"/>
      <c r="BH12" s="1179"/>
      <c r="BI12" s="1179"/>
      <c r="BJ12" s="1179"/>
      <c r="BK12" s="1179"/>
      <c r="BL12" s="1179"/>
      <c r="BM12" s="1180"/>
    </row>
    <row r="13" spans="1:65" ht="15" thickBot="1">
      <c r="A13" s="1451"/>
      <c r="B13" s="1459" t="s">
        <v>113</v>
      </c>
      <c r="C13" s="1460"/>
      <c r="D13" s="812" t="s">
        <v>97</v>
      </c>
      <c r="E13" s="808" t="s">
        <v>98</v>
      </c>
      <c r="F13" s="1140" t="s">
        <v>99</v>
      </c>
      <c r="G13" s="1152" t="s">
        <v>98</v>
      </c>
      <c r="I13" s="1173" t="s">
        <v>114</v>
      </c>
      <c r="J13" s="1174">
        <f t="shared" ref="J13:AO13" si="12">SUM(J14:J23)</f>
        <v>16517388</v>
      </c>
      <c r="K13" s="1175">
        <f t="shared" si="12"/>
        <v>16517388</v>
      </c>
      <c r="L13" s="1175">
        <f t="shared" si="12"/>
        <v>16517388</v>
      </c>
      <c r="M13" s="1175">
        <f t="shared" si="12"/>
        <v>16494248</v>
      </c>
      <c r="N13" s="1175">
        <f t="shared" si="12"/>
        <v>16494248</v>
      </c>
      <c r="O13" s="1175">
        <f t="shared" si="12"/>
        <v>14668643.199999999</v>
      </c>
      <c r="P13" s="1175">
        <f t="shared" si="12"/>
        <v>14668643.199999999</v>
      </c>
      <c r="Q13" s="1175">
        <f t="shared" si="12"/>
        <v>14668643.199999999</v>
      </c>
      <c r="R13" s="1175">
        <f t="shared" si="12"/>
        <v>14668643.199999999</v>
      </c>
      <c r="S13" s="1175">
        <f t="shared" si="12"/>
        <v>14668643.199999999</v>
      </c>
      <c r="T13" s="1175">
        <f t="shared" si="12"/>
        <v>4621043.2</v>
      </c>
      <c r="U13" s="1175">
        <f t="shared" si="12"/>
        <v>4621043.2</v>
      </c>
      <c r="V13" s="1175">
        <f t="shared" si="12"/>
        <v>4621043.2</v>
      </c>
      <c r="W13" s="1175">
        <f t="shared" si="12"/>
        <v>4621043.2</v>
      </c>
      <c r="X13" s="1175">
        <f t="shared" si="12"/>
        <v>4621043.2</v>
      </c>
      <c r="Y13" s="1175">
        <f t="shared" si="12"/>
        <v>4621043.2</v>
      </c>
      <c r="Z13" s="1175">
        <f t="shared" si="12"/>
        <v>4621043.2</v>
      </c>
      <c r="AA13" s="1175">
        <f t="shared" si="12"/>
        <v>4621043.2</v>
      </c>
      <c r="AB13" s="1175">
        <f t="shared" si="12"/>
        <v>4621043.2</v>
      </c>
      <c r="AC13" s="1175">
        <f t="shared" si="12"/>
        <v>4621043.2</v>
      </c>
      <c r="AD13" s="1175">
        <f t="shared" si="12"/>
        <v>4621043.2</v>
      </c>
      <c r="AE13" s="1175">
        <f t="shared" si="12"/>
        <v>4621043.2</v>
      </c>
      <c r="AF13" s="1175">
        <f t="shared" si="12"/>
        <v>4621043.2</v>
      </c>
      <c r="AG13" s="1175">
        <f t="shared" si="12"/>
        <v>4621043.2</v>
      </c>
      <c r="AH13" s="1175">
        <f t="shared" si="12"/>
        <v>4621043.2</v>
      </c>
      <c r="AI13" s="1175">
        <f t="shared" si="12"/>
        <v>0</v>
      </c>
      <c r="AJ13" s="1175">
        <f t="shared" si="12"/>
        <v>0</v>
      </c>
      <c r="AK13" s="1175">
        <f t="shared" si="12"/>
        <v>0</v>
      </c>
      <c r="AL13" s="1175">
        <f t="shared" si="12"/>
        <v>0</v>
      </c>
      <c r="AM13" s="1175">
        <f t="shared" si="12"/>
        <v>0</v>
      </c>
      <c r="AN13" s="1175">
        <f t="shared" si="12"/>
        <v>0</v>
      </c>
      <c r="AO13" s="1175">
        <f t="shared" si="12"/>
        <v>0</v>
      </c>
      <c r="AP13" s="1175">
        <f t="shared" ref="AP13:BM13" si="13">SUM(AP14:AP23)</f>
        <v>0</v>
      </c>
      <c r="AQ13" s="1175">
        <f t="shared" si="13"/>
        <v>0</v>
      </c>
      <c r="AR13" s="1175">
        <f t="shared" si="13"/>
        <v>0</v>
      </c>
      <c r="AS13" s="1175">
        <f t="shared" si="13"/>
        <v>0</v>
      </c>
      <c r="AT13" s="1175">
        <f t="shared" si="13"/>
        <v>0</v>
      </c>
      <c r="AU13" s="1175">
        <f t="shared" si="13"/>
        <v>0</v>
      </c>
      <c r="AV13" s="1175">
        <f t="shared" si="13"/>
        <v>0</v>
      </c>
      <c r="AW13" s="1175">
        <f t="shared" si="13"/>
        <v>0</v>
      </c>
      <c r="AX13" s="1175">
        <f t="shared" si="13"/>
        <v>0</v>
      </c>
      <c r="AY13" s="1175">
        <f t="shared" si="13"/>
        <v>0</v>
      </c>
      <c r="AZ13" s="1175">
        <f t="shared" si="13"/>
        <v>0</v>
      </c>
      <c r="BA13" s="1175">
        <f t="shared" si="13"/>
        <v>0</v>
      </c>
      <c r="BB13" s="1175">
        <f t="shared" si="13"/>
        <v>0</v>
      </c>
      <c r="BC13" s="1175">
        <f t="shared" si="13"/>
        <v>0</v>
      </c>
      <c r="BD13" s="1175">
        <f t="shared" si="13"/>
        <v>0</v>
      </c>
      <c r="BE13" s="1175">
        <f t="shared" si="13"/>
        <v>0</v>
      </c>
      <c r="BF13" s="1175">
        <f t="shared" si="13"/>
        <v>0</v>
      </c>
      <c r="BG13" s="1175">
        <f t="shared" si="13"/>
        <v>0</v>
      </c>
      <c r="BH13" s="1175">
        <f t="shared" si="13"/>
        <v>0</v>
      </c>
      <c r="BI13" s="1175">
        <f t="shared" si="13"/>
        <v>0</v>
      </c>
      <c r="BJ13" s="1175">
        <f t="shared" si="13"/>
        <v>0</v>
      </c>
      <c r="BK13" s="1175">
        <f t="shared" si="13"/>
        <v>0</v>
      </c>
      <c r="BL13" s="1175">
        <f t="shared" si="13"/>
        <v>0</v>
      </c>
      <c r="BM13" s="1176">
        <f t="shared" si="13"/>
        <v>0</v>
      </c>
    </row>
    <row r="14" spans="1:65">
      <c r="A14" s="1451"/>
      <c r="B14" s="1155" t="s">
        <v>115</v>
      </c>
      <c r="C14" s="1156">
        <v>2322000</v>
      </c>
      <c r="D14" s="273">
        <v>3</v>
      </c>
      <c r="E14" s="437">
        <f t="shared" ref="E14:E15" si="14">C14/D14</f>
        <v>774000</v>
      </c>
      <c r="F14" s="370">
        <v>10</v>
      </c>
      <c r="G14" s="437">
        <f>C14/F14</f>
        <v>232200</v>
      </c>
      <c r="I14" s="1169" t="str">
        <f>B7</f>
        <v>Pozemek</v>
      </c>
      <c r="J14" s="1170">
        <f>$G$7</f>
        <v>103200</v>
      </c>
      <c r="K14" s="1171">
        <f t="shared" ref="K14:AH14" si="15">$G$7</f>
        <v>103200</v>
      </c>
      <c r="L14" s="1171">
        <f t="shared" si="15"/>
        <v>103200</v>
      </c>
      <c r="M14" s="1171">
        <f t="shared" si="15"/>
        <v>103200</v>
      </c>
      <c r="N14" s="1171">
        <f t="shared" si="15"/>
        <v>103200</v>
      </c>
      <c r="O14" s="1171">
        <f t="shared" si="15"/>
        <v>103200</v>
      </c>
      <c r="P14" s="1171">
        <f t="shared" si="15"/>
        <v>103200</v>
      </c>
      <c r="Q14" s="1171">
        <f t="shared" si="15"/>
        <v>103200</v>
      </c>
      <c r="R14" s="1171">
        <f t="shared" si="15"/>
        <v>103200</v>
      </c>
      <c r="S14" s="1171">
        <f t="shared" si="15"/>
        <v>103200</v>
      </c>
      <c r="T14" s="1171">
        <f t="shared" si="15"/>
        <v>103200</v>
      </c>
      <c r="U14" s="1171">
        <f t="shared" si="15"/>
        <v>103200</v>
      </c>
      <c r="V14" s="1171">
        <f t="shared" si="15"/>
        <v>103200</v>
      </c>
      <c r="W14" s="1171">
        <f t="shared" si="15"/>
        <v>103200</v>
      </c>
      <c r="X14" s="1171">
        <f t="shared" si="15"/>
        <v>103200</v>
      </c>
      <c r="Y14" s="1171">
        <f t="shared" si="15"/>
        <v>103200</v>
      </c>
      <c r="Z14" s="1171">
        <f t="shared" si="15"/>
        <v>103200</v>
      </c>
      <c r="AA14" s="1171">
        <f>$G$7</f>
        <v>103200</v>
      </c>
      <c r="AB14" s="1171">
        <f t="shared" si="15"/>
        <v>103200</v>
      </c>
      <c r="AC14" s="1171">
        <f t="shared" si="15"/>
        <v>103200</v>
      </c>
      <c r="AD14" s="1171">
        <f t="shared" si="15"/>
        <v>103200</v>
      </c>
      <c r="AE14" s="1171">
        <f t="shared" si="15"/>
        <v>103200</v>
      </c>
      <c r="AF14" s="1171">
        <f t="shared" si="15"/>
        <v>103200</v>
      </c>
      <c r="AG14" s="1171">
        <f t="shared" si="15"/>
        <v>103200</v>
      </c>
      <c r="AH14" s="1171">
        <f t="shared" si="15"/>
        <v>103200</v>
      </c>
      <c r="AI14" s="1171"/>
      <c r="AJ14" s="1171"/>
      <c r="AK14" s="1171"/>
      <c r="AL14" s="1171"/>
      <c r="AM14" s="1171"/>
      <c r="AN14" s="1171"/>
      <c r="AO14" s="1171"/>
      <c r="AP14" s="1171"/>
      <c r="AQ14" s="1171"/>
      <c r="AR14" s="1171"/>
      <c r="AS14" s="1171"/>
      <c r="AT14" s="1171"/>
      <c r="AU14" s="1171"/>
      <c r="AV14" s="1171"/>
      <c r="AW14" s="1171"/>
      <c r="AX14" s="1171"/>
      <c r="AY14" s="1171"/>
      <c r="AZ14" s="1171"/>
      <c r="BA14" s="1171"/>
      <c r="BB14" s="1171"/>
      <c r="BC14" s="1171"/>
      <c r="BD14" s="1171"/>
      <c r="BE14" s="1171"/>
      <c r="BF14" s="1171"/>
      <c r="BG14" s="1171"/>
      <c r="BH14" s="1171"/>
      <c r="BI14" s="1171"/>
      <c r="BJ14" s="1171"/>
      <c r="BK14" s="1171"/>
      <c r="BL14" s="1171"/>
      <c r="BM14" s="1172"/>
    </row>
    <row r="15" spans="1:65">
      <c r="A15" s="1451"/>
      <c r="B15" s="316" t="s">
        <v>116</v>
      </c>
      <c r="C15" s="437">
        <v>69420</v>
      </c>
      <c r="D15" s="273">
        <v>3</v>
      </c>
      <c r="E15" s="437">
        <f t="shared" si="14"/>
        <v>23140</v>
      </c>
      <c r="F15" s="371">
        <v>3</v>
      </c>
      <c r="G15" s="437">
        <f>C15/F15</f>
        <v>23140</v>
      </c>
      <c r="I15" s="1167" t="str">
        <f t="shared" ref="I15:I18" si="16">B8</f>
        <v>Stavba haly</v>
      </c>
      <c r="J15" s="1164">
        <f>$G$8</f>
        <v>2722000</v>
      </c>
      <c r="K15" s="1158">
        <f t="shared" ref="K15:AH15" si="17">$G$8</f>
        <v>2722000</v>
      </c>
      <c r="L15" s="1158">
        <f t="shared" si="17"/>
        <v>2722000</v>
      </c>
      <c r="M15" s="1158">
        <f t="shared" si="17"/>
        <v>2722000</v>
      </c>
      <c r="N15" s="1158">
        <f t="shared" si="17"/>
        <v>2722000</v>
      </c>
      <c r="O15" s="1158">
        <f t="shared" si="17"/>
        <v>2722000</v>
      </c>
      <c r="P15" s="1158">
        <f t="shared" si="17"/>
        <v>2722000</v>
      </c>
      <c r="Q15" s="1158">
        <f t="shared" si="17"/>
        <v>2722000</v>
      </c>
      <c r="R15" s="1158">
        <f t="shared" si="17"/>
        <v>2722000</v>
      </c>
      <c r="S15" s="1158">
        <f t="shared" si="17"/>
        <v>2722000</v>
      </c>
      <c r="T15" s="1158">
        <f t="shared" si="17"/>
        <v>2722000</v>
      </c>
      <c r="U15" s="1158">
        <f t="shared" si="17"/>
        <v>2722000</v>
      </c>
      <c r="V15" s="1158">
        <f t="shared" si="17"/>
        <v>2722000</v>
      </c>
      <c r="W15" s="1158">
        <f t="shared" si="17"/>
        <v>2722000</v>
      </c>
      <c r="X15" s="1158">
        <f t="shared" si="17"/>
        <v>2722000</v>
      </c>
      <c r="Y15" s="1158">
        <f t="shared" si="17"/>
        <v>2722000</v>
      </c>
      <c r="Z15" s="1158">
        <f t="shared" si="17"/>
        <v>2722000</v>
      </c>
      <c r="AA15" s="1158">
        <f>$G$8</f>
        <v>2722000</v>
      </c>
      <c r="AB15" s="1158">
        <f t="shared" si="17"/>
        <v>2722000</v>
      </c>
      <c r="AC15" s="1158">
        <f t="shared" si="17"/>
        <v>2722000</v>
      </c>
      <c r="AD15" s="1158">
        <f t="shared" si="17"/>
        <v>2722000</v>
      </c>
      <c r="AE15" s="1158">
        <f t="shared" si="17"/>
        <v>2722000</v>
      </c>
      <c r="AF15" s="1158">
        <f t="shared" si="17"/>
        <v>2722000</v>
      </c>
      <c r="AG15" s="1158">
        <f t="shared" si="17"/>
        <v>2722000</v>
      </c>
      <c r="AH15" s="1158">
        <f t="shared" si="17"/>
        <v>2722000</v>
      </c>
      <c r="AI15" s="1158"/>
      <c r="AJ15" s="1158"/>
      <c r="AK15" s="1158"/>
      <c r="AL15" s="1158"/>
      <c r="AM15" s="1158"/>
      <c r="AN15" s="1158"/>
      <c r="AO15" s="1158"/>
      <c r="AP15" s="1158"/>
      <c r="AQ15" s="1158"/>
      <c r="AR15" s="1158"/>
      <c r="AS15" s="1158"/>
      <c r="AT15" s="1158"/>
      <c r="AU15" s="1158"/>
      <c r="AV15" s="1158"/>
      <c r="AW15" s="1158"/>
      <c r="AX15" s="1158"/>
      <c r="AY15" s="1158"/>
      <c r="AZ15" s="1158"/>
      <c r="BA15" s="1158"/>
      <c r="BB15" s="1158"/>
      <c r="BC15" s="1158"/>
      <c r="BD15" s="1158"/>
      <c r="BE15" s="1158"/>
      <c r="BF15" s="1158"/>
      <c r="BG15" s="1158"/>
      <c r="BH15" s="1158"/>
      <c r="BI15" s="1158"/>
      <c r="BJ15" s="1158"/>
      <c r="BK15" s="1158"/>
      <c r="BL15" s="1158"/>
      <c r="BM15" s="1159"/>
    </row>
    <row r="16" spans="1:65" ht="15" thickBot="1">
      <c r="A16" s="1452"/>
      <c r="B16" s="598" t="s">
        <v>111</v>
      </c>
      <c r="C16" s="1157">
        <f>SUM(C14:C15)</f>
        <v>2391420</v>
      </c>
      <c r="D16" s="1154"/>
      <c r="E16" s="1150"/>
      <c r="F16" s="1151"/>
      <c r="G16" s="1150"/>
      <c r="I16" s="1167" t="str">
        <f t="shared" si="16"/>
        <v>Stavba admin. Budovy</v>
      </c>
      <c r="J16" s="1164">
        <f>$G$9</f>
        <v>1795843.2</v>
      </c>
      <c r="K16" s="1158">
        <f t="shared" ref="K16:AH16" si="18">$G$9</f>
        <v>1795843.2</v>
      </c>
      <c r="L16" s="1158">
        <f t="shared" si="18"/>
        <v>1795843.2</v>
      </c>
      <c r="M16" s="1158">
        <f t="shared" si="18"/>
        <v>1795843.2</v>
      </c>
      <c r="N16" s="1158">
        <f t="shared" si="18"/>
        <v>1795843.2</v>
      </c>
      <c r="O16" s="1158">
        <f t="shared" si="18"/>
        <v>1795843.2</v>
      </c>
      <c r="P16" s="1158">
        <f t="shared" si="18"/>
        <v>1795843.2</v>
      </c>
      <c r="Q16" s="1158">
        <f t="shared" si="18"/>
        <v>1795843.2</v>
      </c>
      <c r="R16" s="1158">
        <f t="shared" si="18"/>
        <v>1795843.2</v>
      </c>
      <c r="S16" s="1158">
        <f t="shared" si="18"/>
        <v>1795843.2</v>
      </c>
      <c r="T16" s="1158">
        <f t="shared" si="18"/>
        <v>1795843.2</v>
      </c>
      <c r="U16" s="1158">
        <f t="shared" si="18"/>
        <v>1795843.2</v>
      </c>
      <c r="V16" s="1158">
        <f t="shared" si="18"/>
        <v>1795843.2</v>
      </c>
      <c r="W16" s="1158">
        <f t="shared" si="18"/>
        <v>1795843.2</v>
      </c>
      <c r="X16" s="1158">
        <f t="shared" si="18"/>
        <v>1795843.2</v>
      </c>
      <c r="Y16" s="1158">
        <f t="shared" si="18"/>
        <v>1795843.2</v>
      </c>
      <c r="Z16" s="1158">
        <f t="shared" si="18"/>
        <v>1795843.2</v>
      </c>
      <c r="AA16" s="1158">
        <f>$G$9</f>
        <v>1795843.2</v>
      </c>
      <c r="AB16" s="1158">
        <f t="shared" si="18"/>
        <v>1795843.2</v>
      </c>
      <c r="AC16" s="1158">
        <f t="shared" si="18"/>
        <v>1795843.2</v>
      </c>
      <c r="AD16" s="1158">
        <f t="shared" si="18"/>
        <v>1795843.2</v>
      </c>
      <c r="AE16" s="1158">
        <f t="shared" si="18"/>
        <v>1795843.2</v>
      </c>
      <c r="AF16" s="1158">
        <f t="shared" si="18"/>
        <v>1795843.2</v>
      </c>
      <c r="AG16" s="1158">
        <f t="shared" si="18"/>
        <v>1795843.2</v>
      </c>
      <c r="AH16" s="1158">
        <f t="shared" si="18"/>
        <v>1795843.2</v>
      </c>
      <c r="AI16" s="1158"/>
      <c r="AJ16" s="1158"/>
      <c r="AK16" s="1158"/>
      <c r="AL16" s="1158"/>
      <c r="AM16" s="1158"/>
      <c r="AN16" s="1158"/>
      <c r="AO16" s="1158"/>
      <c r="AP16" s="1158"/>
      <c r="AQ16" s="1158"/>
      <c r="AR16" s="1158"/>
      <c r="AS16" s="1158"/>
      <c r="AT16" s="1158"/>
      <c r="AU16" s="1158"/>
      <c r="AV16" s="1158"/>
      <c r="AW16" s="1158"/>
      <c r="AX16" s="1158"/>
      <c r="AY16" s="1158"/>
      <c r="AZ16" s="1158"/>
      <c r="BA16" s="1158"/>
      <c r="BB16" s="1158"/>
      <c r="BC16" s="1158"/>
      <c r="BD16" s="1158"/>
      <c r="BE16" s="1158"/>
      <c r="BF16" s="1158"/>
      <c r="BG16" s="1158"/>
      <c r="BH16" s="1158"/>
      <c r="BI16" s="1158"/>
      <c r="BJ16" s="1158"/>
      <c r="BK16" s="1158"/>
      <c r="BL16" s="1158"/>
      <c r="BM16" s="1159"/>
    </row>
    <row r="17" spans="1:65" ht="15" thickBot="1">
      <c r="A17" s="1453" t="s">
        <v>1113</v>
      </c>
      <c r="B17" s="1459" t="s">
        <v>117</v>
      </c>
      <c r="C17" s="1461"/>
      <c r="D17" s="1374" t="s">
        <v>97</v>
      </c>
      <c r="E17" s="1375" t="s">
        <v>98</v>
      </c>
      <c r="F17" s="1140" t="s">
        <v>99</v>
      </c>
      <c r="G17" s="1152" t="s">
        <v>98</v>
      </c>
      <c r="I17" s="1167" t="str">
        <f t="shared" si="16"/>
        <v>Vybavení kanceláře</v>
      </c>
      <c r="J17" s="1164">
        <f>$G$10</f>
        <v>950000</v>
      </c>
      <c r="K17" s="1158">
        <f t="shared" ref="K17:S17" si="19">$G$10</f>
        <v>950000</v>
      </c>
      <c r="L17" s="1158">
        <f t="shared" si="19"/>
        <v>950000</v>
      </c>
      <c r="M17" s="1158">
        <f t="shared" si="19"/>
        <v>950000</v>
      </c>
      <c r="N17" s="1158">
        <f t="shared" si="19"/>
        <v>950000</v>
      </c>
      <c r="O17" s="1158">
        <f>$G$10</f>
        <v>950000</v>
      </c>
      <c r="P17" s="1158">
        <f t="shared" si="19"/>
        <v>950000</v>
      </c>
      <c r="Q17" s="1158">
        <f t="shared" si="19"/>
        <v>950000</v>
      </c>
      <c r="R17" s="1158">
        <f t="shared" si="19"/>
        <v>950000</v>
      </c>
      <c r="S17" s="1158">
        <f t="shared" si="19"/>
        <v>950000</v>
      </c>
      <c r="T17" s="1158"/>
      <c r="U17" s="1158"/>
      <c r="V17" s="1158"/>
      <c r="W17" s="1158"/>
      <c r="X17" s="1158"/>
      <c r="Y17" s="1158"/>
      <c r="Z17" s="1158"/>
      <c r="AA17" s="1158"/>
      <c r="AB17" s="1158"/>
      <c r="AC17" s="1158"/>
      <c r="AD17" s="1158"/>
      <c r="AE17" s="1158"/>
      <c r="AF17" s="1158"/>
      <c r="AG17" s="1158"/>
      <c r="AH17" s="1158"/>
      <c r="AI17" s="1158"/>
      <c r="AJ17" s="1158"/>
      <c r="AK17" s="1158"/>
      <c r="AL17" s="1158"/>
      <c r="AM17" s="1158"/>
      <c r="AN17" s="1158"/>
      <c r="AO17" s="1158"/>
      <c r="AP17" s="1158"/>
      <c r="AQ17" s="1158"/>
      <c r="AR17" s="1158"/>
      <c r="AS17" s="1158"/>
      <c r="AT17" s="1158"/>
      <c r="AU17" s="1158"/>
      <c r="AV17" s="1158"/>
      <c r="AW17" s="1158"/>
      <c r="AX17" s="1158"/>
      <c r="AY17" s="1158"/>
      <c r="AZ17" s="1158"/>
      <c r="BA17" s="1158"/>
      <c r="BB17" s="1158"/>
      <c r="BC17" s="1158"/>
      <c r="BD17" s="1158"/>
      <c r="BE17" s="1158"/>
      <c r="BF17" s="1158"/>
      <c r="BG17" s="1158"/>
      <c r="BH17" s="1158"/>
      <c r="BI17" s="1158"/>
      <c r="BJ17" s="1158"/>
      <c r="BK17" s="1158"/>
      <c r="BL17" s="1158"/>
      <c r="BM17" s="1159"/>
    </row>
    <row r="18" spans="1:65">
      <c r="A18" s="1454"/>
      <c r="B18" s="1143" t="s">
        <v>118</v>
      </c>
      <c r="C18" s="1334">
        <v>3000000</v>
      </c>
      <c r="D18" s="1376" t="s">
        <v>103</v>
      </c>
      <c r="E18" s="1278"/>
      <c r="F18" s="1377"/>
      <c r="G18" s="1278"/>
      <c r="I18" s="1167" t="str">
        <f t="shared" si="16"/>
        <v>Výrobní zařízení</v>
      </c>
      <c r="J18" s="1164">
        <f>$G$11</f>
        <v>7865400</v>
      </c>
      <c r="K18" s="1158">
        <f t="shared" ref="K18:S18" si="20">$G$11</f>
        <v>7865400</v>
      </c>
      <c r="L18" s="1158">
        <f t="shared" si="20"/>
        <v>7865400</v>
      </c>
      <c r="M18" s="1158">
        <f t="shared" si="20"/>
        <v>7865400</v>
      </c>
      <c r="N18" s="1158">
        <f t="shared" si="20"/>
        <v>7865400</v>
      </c>
      <c r="O18" s="1158">
        <f>$G$11</f>
        <v>7865400</v>
      </c>
      <c r="P18" s="1158">
        <f t="shared" si="20"/>
        <v>7865400</v>
      </c>
      <c r="Q18" s="1158">
        <f t="shared" si="20"/>
        <v>7865400</v>
      </c>
      <c r="R18" s="1158">
        <f t="shared" si="20"/>
        <v>7865400</v>
      </c>
      <c r="S18" s="1158">
        <f t="shared" si="20"/>
        <v>7865400</v>
      </c>
      <c r="T18" s="1158"/>
      <c r="U18" s="1158"/>
      <c r="V18" s="1158"/>
      <c r="W18" s="1158"/>
      <c r="X18" s="1158"/>
      <c r="Y18" s="1158"/>
      <c r="Z18" s="1158"/>
      <c r="AA18" s="1158"/>
      <c r="AB18" s="1158"/>
      <c r="AC18" s="1158"/>
      <c r="AD18" s="1158"/>
      <c r="AE18" s="1158"/>
      <c r="AF18" s="1158"/>
      <c r="AG18" s="1158"/>
      <c r="AH18" s="1158"/>
      <c r="AI18" s="1158"/>
      <c r="AJ18" s="1158"/>
      <c r="AK18" s="1158"/>
      <c r="AL18" s="1158"/>
      <c r="AM18" s="1158"/>
      <c r="AN18" s="1158"/>
      <c r="AO18" s="1158"/>
      <c r="AP18" s="1158"/>
      <c r="AQ18" s="1158"/>
      <c r="AR18" s="1158"/>
      <c r="AS18" s="1158"/>
      <c r="AT18" s="1158"/>
      <c r="AU18" s="1158"/>
      <c r="AV18" s="1158"/>
      <c r="AW18" s="1158"/>
      <c r="AX18" s="1158"/>
      <c r="AY18" s="1158"/>
      <c r="AZ18" s="1158"/>
      <c r="BA18" s="1158"/>
      <c r="BB18" s="1158"/>
      <c r="BC18" s="1158"/>
      <c r="BD18" s="1158"/>
      <c r="BE18" s="1158"/>
      <c r="BF18" s="1158"/>
      <c r="BG18" s="1158"/>
      <c r="BH18" s="1158"/>
      <c r="BI18" s="1158"/>
      <c r="BJ18" s="1158"/>
      <c r="BK18" s="1158"/>
      <c r="BL18" s="1158"/>
      <c r="BM18" s="1159"/>
    </row>
    <row r="19" spans="1:65">
      <c r="A19" s="1454"/>
      <c r="B19" s="316" t="s">
        <v>119</v>
      </c>
      <c r="C19" s="1335">
        <v>5000000</v>
      </c>
      <c r="D19" s="1142" t="s">
        <v>103</v>
      </c>
      <c r="E19" s="257"/>
      <c r="F19" s="129"/>
      <c r="G19" s="257"/>
      <c r="I19" s="1167" t="str">
        <f>B14</f>
        <v>Vývoj a implementace SE platformy</v>
      </c>
      <c r="J19" s="1164">
        <f>$G$14</f>
        <v>232200</v>
      </c>
      <c r="K19" s="1158">
        <f t="shared" ref="K19:S19" si="21">$G$14</f>
        <v>232200</v>
      </c>
      <c r="L19" s="1158">
        <f t="shared" si="21"/>
        <v>232200</v>
      </c>
      <c r="M19" s="1158">
        <f t="shared" si="21"/>
        <v>232200</v>
      </c>
      <c r="N19" s="1158">
        <f t="shared" si="21"/>
        <v>232200</v>
      </c>
      <c r="O19" s="1158">
        <f>$G$14</f>
        <v>232200</v>
      </c>
      <c r="P19" s="1158">
        <f t="shared" si="21"/>
        <v>232200</v>
      </c>
      <c r="Q19" s="1158">
        <f t="shared" si="21"/>
        <v>232200</v>
      </c>
      <c r="R19" s="1158">
        <f t="shared" si="21"/>
        <v>232200</v>
      </c>
      <c r="S19" s="1158">
        <f t="shared" si="21"/>
        <v>232200</v>
      </c>
      <c r="T19" s="1158"/>
      <c r="U19" s="1158"/>
      <c r="V19" s="1158"/>
      <c r="W19" s="1158"/>
      <c r="X19" s="1158"/>
      <c r="Y19" s="1158"/>
      <c r="Z19" s="1158"/>
      <c r="AA19" s="1158"/>
      <c r="AB19" s="1158"/>
      <c r="AC19" s="1158"/>
      <c r="AD19" s="1158"/>
      <c r="AE19" s="1158"/>
      <c r="AF19" s="1158"/>
      <c r="AG19" s="1158"/>
      <c r="AH19" s="1158"/>
      <c r="AI19" s="1158"/>
      <c r="AJ19" s="1158"/>
      <c r="AK19" s="1158"/>
      <c r="AL19" s="1158"/>
      <c r="AM19" s="1158"/>
      <c r="AN19" s="1158"/>
      <c r="AO19" s="1158"/>
      <c r="AP19" s="1158"/>
      <c r="AQ19" s="1158"/>
      <c r="AR19" s="1158"/>
      <c r="AS19" s="1158"/>
      <c r="AT19" s="1158"/>
      <c r="AU19" s="1158"/>
      <c r="AV19" s="1158"/>
      <c r="AW19" s="1158"/>
      <c r="AX19" s="1158"/>
      <c r="AY19" s="1158"/>
      <c r="AZ19" s="1158"/>
      <c r="BA19" s="1158"/>
      <c r="BB19" s="1158"/>
      <c r="BC19" s="1158"/>
      <c r="BD19" s="1158"/>
      <c r="BE19" s="1158"/>
      <c r="BF19" s="1158"/>
      <c r="BG19" s="1158"/>
      <c r="BH19" s="1158"/>
      <c r="BI19" s="1158"/>
      <c r="BJ19" s="1158"/>
      <c r="BK19" s="1158"/>
      <c r="BL19" s="1158"/>
      <c r="BM19" s="1159"/>
    </row>
    <row r="20" spans="1:65">
      <c r="A20" s="1454"/>
      <c r="B20" s="316" t="s">
        <v>120</v>
      </c>
      <c r="C20" s="1335">
        <v>2000000</v>
      </c>
      <c r="D20" s="1142" t="s">
        <v>103</v>
      </c>
      <c r="E20" s="257"/>
      <c r="F20" s="129"/>
      <c r="G20" s="257"/>
      <c r="I20" s="1167" t="str">
        <f>B4</f>
        <v>Plán projektu</v>
      </c>
      <c r="J20" s="1164">
        <f>$G$4</f>
        <v>1120000</v>
      </c>
      <c r="K20" s="1158">
        <f t="shared" ref="K20:N20" si="22">$G$4</f>
        <v>1120000</v>
      </c>
      <c r="L20" s="1158">
        <f t="shared" si="22"/>
        <v>1120000</v>
      </c>
      <c r="M20" s="1158">
        <f t="shared" si="22"/>
        <v>1120000</v>
      </c>
      <c r="N20" s="1158">
        <f t="shared" si="22"/>
        <v>1120000</v>
      </c>
      <c r="O20" s="1158"/>
      <c r="P20" s="1158"/>
      <c r="Q20" s="1158"/>
      <c r="R20" s="1158"/>
      <c r="S20" s="1158"/>
      <c r="T20" s="1158"/>
      <c r="U20" s="1158"/>
      <c r="V20" s="1158"/>
      <c r="W20" s="1158"/>
      <c r="X20" s="1158"/>
      <c r="Y20" s="1158"/>
      <c r="Z20" s="1158"/>
      <c r="AA20" s="1158"/>
      <c r="AB20" s="1158"/>
      <c r="AC20" s="1158"/>
      <c r="AD20" s="1158"/>
      <c r="AE20" s="1158"/>
      <c r="AF20" s="1158"/>
      <c r="AG20" s="1158"/>
      <c r="AH20" s="1158"/>
      <c r="AI20" s="1158"/>
      <c r="AJ20" s="1158"/>
      <c r="AK20" s="1158"/>
      <c r="AL20" s="1158"/>
      <c r="AM20" s="1158"/>
      <c r="AN20" s="1158"/>
      <c r="AO20" s="1158"/>
      <c r="AP20" s="1158"/>
      <c r="AQ20" s="1158"/>
      <c r="AR20" s="1158"/>
      <c r="AS20" s="1158"/>
      <c r="AT20" s="1158"/>
      <c r="AU20" s="1158"/>
      <c r="AV20" s="1158"/>
      <c r="AW20" s="1158"/>
      <c r="AX20" s="1158"/>
      <c r="AY20" s="1158"/>
      <c r="AZ20" s="1158"/>
      <c r="BA20" s="1158"/>
      <c r="BB20" s="1158"/>
      <c r="BC20" s="1158"/>
      <c r="BD20" s="1158"/>
      <c r="BE20" s="1158"/>
      <c r="BF20" s="1158"/>
      <c r="BG20" s="1158"/>
      <c r="BH20" s="1158"/>
      <c r="BI20" s="1158"/>
      <c r="BJ20" s="1158"/>
      <c r="BK20" s="1158"/>
      <c r="BL20" s="1158"/>
      <c r="BM20" s="1159"/>
    </row>
    <row r="21" spans="1:65" ht="15" thickBot="1">
      <c r="A21" s="1454"/>
      <c r="B21" s="1332" t="s">
        <v>112</v>
      </c>
      <c r="C21" s="1333">
        <v>10000000</v>
      </c>
      <c r="D21" s="131">
        <v>5</v>
      </c>
      <c r="E21" s="137">
        <f>C21/D21</f>
        <v>2000000</v>
      </c>
      <c r="F21" s="131">
        <v>10</v>
      </c>
      <c r="G21" s="137">
        <f>C21/F21</f>
        <v>1000000</v>
      </c>
      <c r="I21" s="1167" t="str">
        <f>B6</f>
        <v>Admin.a legální náklady</v>
      </c>
      <c r="J21" s="1164">
        <f>$G$6</f>
        <v>705604.8</v>
      </c>
      <c r="K21" s="1158">
        <f t="shared" ref="K21:N21" si="23">$G$6</f>
        <v>705604.8</v>
      </c>
      <c r="L21" s="1158">
        <f t="shared" si="23"/>
        <v>705604.8</v>
      </c>
      <c r="M21" s="1158">
        <f t="shared" si="23"/>
        <v>705604.8</v>
      </c>
      <c r="N21" s="1158">
        <f t="shared" si="23"/>
        <v>705604.8</v>
      </c>
      <c r="O21" s="1158"/>
      <c r="P21" s="1158"/>
      <c r="Q21" s="1158"/>
      <c r="R21" s="1158"/>
      <c r="S21" s="1158"/>
      <c r="T21" s="1158"/>
      <c r="U21" s="1158"/>
      <c r="V21" s="1158"/>
      <c r="W21" s="1158"/>
      <c r="X21" s="1158"/>
      <c r="Y21" s="1158"/>
      <c r="Z21" s="1158"/>
      <c r="AA21" s="1158"/>
      <c r="AB21" s="1158"/>
      <c r="AC21" s="1158"/>
      <c r="AD21" s="1158"/>
      <c r="AE21" s="1158"/>
      <c r="AF21" s="1158"/>
      <c r="AG21" s="1158"/>
      <c r="AH21" s="1158"/>
      <c r="AI21" s="1158"/>
      <c r="AJ21" s="1158"/>
      <c r="AK21" s="1158"/>
      <c r="AL21" s="1158"/>
      <c r="AM21" s="1158"/>
      <c r="AN21" s="1158"/>
      <c r="AO21" s="1158"/>
      <c r="AP21" s="1158"/>
      <c r="AQ21" s="1158"/>
      <c r="AR21" s="1158"/>
      <c r="AS21" s="1158"/>
      <c r="AT21" s="1158"/>
      <c r="AU21" s="1158"/>
      <c r="AV21" s="1158"/>
      <c r="AW21" s="1158"/>
      <c r="AX21" s="1158"/>
      <c r="AY21" s="1158"/>
      <c r="AZ21" s="1158"/>
      <c r="BA21" s="1158"/>
      <c r="BB21" s="1158"/>
      <c r="BC21" s="1158"/>
      <c r="BD21" s="1158"/>
      <c r="BE21" s="1158"/>
      <c r="BF21" s="1158"/>
      <c r="BG21" s="1158"/>
      <c r="BH21" s="1158"/>
      <c r="BI21" s="1158"/>
      <c r="BJ21" s="1158"/>
      <c r="BK21" s="1158"/>
      <c r="BL21" s="1158"/>
      <c r="BM21" s="1159"/>
    </row>
    <row r="22" spans="1:65" ht="15" thickBot="1">
      <c r="A22" s="1455"/>
      <c r="B22" s="598" t="s">
        <v>111</v>
      </c>
      <c r="C22" s="1157">
        <f>SUM(C18:C21)</f>
        <v>20000000</v>
      </c>
      <c r="D22" s="1149"/>
      <c r="E22" s="1150"/>
      <c r="F22" s="1151"/>
      <c r="G22" s="1150"/>
      <c r="I22" s="1167" t="str">
        <f>B15</f>
        <v>Update APS App</v>
      </c>
      <c r="J22" s="1164">
        <f>$G$15</f>
        <v>23140</v>
      </c>
      <c r="K22" s="1158">
        <f t="shared" ref="K22:L22" si="24">$G$15</f>
        <v>23140</v>
      </c>
      <c r="L22" s="1158">
        <f t="shared" si="24"/>
        <v>23140</v>
      </c>
      <c r="M22" s="1158"/>
      <c r="N22" s="1158"/>
      <c r="O22" s="1158"/>
      <c r="P22" s="1158"/>
      <c r="Q22" s="1158"/>
      <c r="R22" s="1158"/>
      <c r="S22" s="1158"/>
      <c r="T22" s="1158"/>
      <c r="U22" s="1158"/>
      <c r="V22" s="1158"/>
      <c r="W22" s="1158"/>
      <c r="X22" s="1158"/>
      <c r="Y22" s="1158"/>
      <c r="Z22" s="1158"/>
      <c r="AA22" s="1158"/>
      <c r="AB22" s="1158"/>
      <c r="AC22" s="1158"/>
      <c r="AD22" s="1158"/>
      <c r="AE22" s="1158"/>
      <c r="AF22" s="1158"/>
      <c r="AG22" s="1158"/>
      <c r="AH22" s="1158"/>
      <c r="AI22" s="1158"/>
      <c r="AJ22" s="1158"/>
      <c r="AK22" s="1158"/>
      <c r="AL22" s="1158"/>
      <c r="AM22" s="1158"/>
      <c r="AN22" s="1158"/>
      <c r="AO22" s="1158"/>
      <c r="AP22" s="1158"/>
      <c r="AQ22" s="1158"/>
      <c r="AR22" s="1158"/>
      <c r="AS22" s="1158"/>
      <c r="AT22" s="1158"/>
      <c r="AU22" s="1158"/>
      <c r="AV22" s="1158"/>
      <c r="AW22" s="1158"/>
      <c r="AX22" s="1158"/>
      <c r="AY22" s="1158"/>
      <c r="AZ22" s="1158"/>
      <c r="BA22" s="1158"/>
      <c r="BB22" s="1158"/>
      <c r="BC22" s="1158"/>
      <c r="BD22" s="1158"/>
      <c r="BE22" s="1158"/>
      <c r="BF22" s="1158"/>
      <c r="BG22" s="1158"/>
      <c r="BH22" s="1158"/>
      <c r="BI22" s="1158"/>
      <c r="BJ22" s="1158"/>
      <c r="BK22" s="1158"/>
      <c r="BL22" s="1158"/>
      <c r="BM22" s="1159"/>
    </row>
    <row r="23" spans="1:65" ht="15" thickBot="1">
      <c r="B23" s="1232" t="s">
        <v>121</v>
      </c>
      <c r="C23" s="1258">
        <f>C22+C16+C12</f>
        <v>236999524</v>
      </c>
      <c r="I23" s="1168" t="s">
        <v>112</v>
      </c>
      <c r="J23" s="1336">
        <f>$G$21</f>
        <v>1000000</v>
      </c>
      <c r="K23" s="1336">
        <f t="shared" ref="K23:S23" si="25">$G$21</f>
        <v>1000000</v>
      </c>
      <c r="L23" s="1336">
        <f t="shared" si="25"/>
        <v>1000000</v>
      </c>
      <c r="M23" s="1336">
        <f t="shared" si="25"/>
        <v>1000000</v>
      </c>
      <c r="N23" s="1336">
        <f t="shared" si="25"/>
        <v>1000000</v>
      </c>
      <c r="O23" s="1336">
        <f t="shared" si="25"/>
        <v>1000000</v>
      </c>
      <c r="P23" s="1336">
        <f t="shared" si="25"/>
        <v>1000000</v>
      </c>
      <c r="Q23" s="1336">
        <f t="shared" si="25"/>
        <v>1000000</v>
      </c>
      <c r="R23" s="1336">
        <f t="shared" si="25"/>
        <v>1000000</v>
      </c>
      <c r="S23" s="1336">
        <f t="shared" si="25"/>
        <v>1000000</v>
      </c>
      <c r="T23" s="494"/>
      <c r="U23" s="494"/>
      <c r="V23" s="494"/>
      <c r="W23" s="494"/>
      <c r="X23" s="494"/>
      <c r="Y23" s="494"/>
      <c r="Z23" s="494"/>
      <c r="AA23" s="494"/>
      <c r="AB23" s="494"/>
      <c r="AC23" s="494"/>
      <c r="AD23" s="494"/>
      <c r="AE23" s="494"/>
      <c r="AF23" s="494"/>
      <c r="AG23" s="494"/>
      <c r="AH23" s="494"/>
      <c r="AI23" s="494"/>
      <c r="AJ23" s="494"/>
      <c r="AK23" s="494"/>
      <c r="AL23" s="494"/>
      <c r="AM23" s="494"/>
      <c r="AN23" s="494"/>
      <c r="AO23" s="494"/>
      <c r="AP23" s="494"/>
      <c r="AQ23" s="494"/>
      <c r="AR23" s="494"/>
      <c r="AS23" s="494"/>
      <c r="AT23" s="494"/>
      <c r="AU23" s="494"/>
      <c r="AV23" s="494"/>
      <c r="AW23" s="494"/>
      <c r="AX23" s="494"/>
      <c r="AY23" s="494"/>
      <c r="AZ23" s="494"/>
      <c r="BA23" s="494"/>
      <c r="BB23" s="494"/>
      <c r="BC23" s="494"/>
      <c r="BD23" s="494"/>
      <c r="BE23" s="494"/>
      <c r="BF23" s="494"/>
      <c r="BG23" s="494"/>
      <c r="BH23" s="494"/>
      <c r="BI23" s="494"/>
      <c r="BJ23" s="494"/>
      <c r="BK23" s="494"/>
      <c r="BL23" s="494"/>
      <c r="BM23" s="1160"/>
    </row>
  </sheetData>
  <customSheetViews>
    <customSheetView guid="{F9015B81-4D5E-47E3-BFA8-A54438E9D1FF}" scale="85" showGridLines="0" topLeftCell="A3">
      <pageMargins left="0.7" right="0.7" top="0.78740157499999996" bottom="0.78740157499999996" header="0.3" footer="0.3"/>
      <pageSetup paperSize="9" orientation="portrait" r:id="rId1"/>
    </customSheetView>
  </customSheetViews>
  <mergeCells count="9">
    <mergeCell ref="A3:A16"/>
    <mergeCell ref="A17:A22"/>
    <mergeCell ref="B1:G1"/>
    <mergeCell ref="B3:C3"/>
    <mergeCell ref="B13:C13"/>
    <mergeCell ref="B17:C17"/>
    <mergeCell ref="D2:E2"/>
    <mergeCell ref="F2:G2"/>
    <mergeCell ref="B2:C2"/>
  </mergeCells>
  <hyperlinks>
    <hyperlink ref="A1" location="MENU!A1" display="MENU" xr:uid="{83464F95-8AEC-4E64-BAF3-5C4E8FB4B3A3}"/>
  </hyperlinks>
  <pageMargins left="0.7" right="0.7" top="0.78740157499999996" bottom="0.78740157499999996" header="0.3" footer="0.3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1673E-ABC8-4A49-805D-D288B1102751}">
  <sheetPr>
    <tabColor rgb="FF66CCFF"/>
    <pageSetUpPr autoPageBreaks="0"/>
  </sheetPr>
  <dimension ref="A1:X17"/>
  <sheetViews>
    <sheetView showGridLines="0" zoomScale="70" zoomScaleNormal="70" workbookViewId="0">
      <pane xSplit="3" ySplit="1" topLeftCell="O4" activePane="bottomRight" state="frozen"/>
      <selection pane="topRight" activeCell="D1" sqref="D1"/>
      <selection pane="bottomLeft" activeCell="A2" sqref="A2"/>
      <selection pane="bottomRight" activeCell="W15" sqref="W15"/>
    </sheetView>
  </sheetViews>
  <sheetFormatPr defaultColWidth="8.77734375" defaultRowHeight="14.25"/>
  <cols>
    <col min="1" max="1" width="8.77734375" style="737"/>
    <col min="2" max="2" width="2.44140625" style="737" customWidth="1"/>
    <col min="3" max="3" width="27" style="737" bestFit="1" customWidth="1"/>
    <col min="4" max="4" width="13.77734375" style="737" bestFit="1" customWidth="1"/>
    <col min="5" max="17" width="13.6640625" style="737" bestFit="1" customWidth="1"/>
    <col min="18" max="23" width="14.6640625" style="737" bestFit="1" customWidth="1"/>
    <col min="24" max="16384" width="8.77734375" style="737"/>
  </cols>
  <sheetData>
    <row r="1" spans="1:24" ht="21.75" customHeight="1" thickBot="1">
      <c r="A1" s="107" t="s">
        <v>1</v>
      </c>
      <c r="C1" s="1467" t="s">
        <v>122</v>
      </c>
      <c r="D1" s="1468"/>
      <c r="E1" s="1468"/>
      <c r="F1" s="1468"/>
      <c r="G1" s="1468"/>
      <c r="H1" s="1468"/>
      <c r="I1" s="1468"/>
      <c r="J1" s="1468"/>
      <c r="K1" s="1468"/>
      <c r="L1" s="1468"/>
      <c r="M1" s="1468"/>
      <c r="N1" s="1468"/>
      <c r="O1" s="1468"/>
      <c r="P1" s="1468"/>
      <c r="Q1" s="1468"/>
      <c r="R1" s="1468"/>
      <c r="S1" s="1468"/>
      <c r="T1" s="1468"/>
      <c r="U1" s="1468"/>
      <c r="V1" s="1468"/>
      <c r="W1" s="1468"/>
    </row>
    <row r="2" spans="1:24" ht="22.5" customHeight="1" thickBot="1">
      <c r="C2" s="358" t="s">
        <v>123</v>
      </c>
      <c r="D2" s="478">
        <v>2023</v>
      </c>
      <c r="E2" s="360">
        <v>2024</v>
      </c>
      <c r="F2" s="360">
        <v>2025</v>
      </c>
      <c r="G2" s="360">
        <v>2026</v>
      </c>
      <c r="H2" s="360">
        <v>2027</v>
      </c>
      <c r="I2" s="360">
        <v>2028</v>
      </c>
      <c r="J2" s="360">
        <v>2029</v>
      </c>
      <c r="K2" s="360">
        <v>2030</v>
      </c>
      <c r="L2" s="360">
        <v>2031</v>
      </c>
      <c r="M2" s="1183">
        <v>2032</v>
      </c>
      <c r="N2" s="360">
        <v>2033</v>
      </c>
      <c r="O2" s="1183">
        <v>2034</v>
      </c>
      <c r="P2" s="360">
        <v>2035</v>
      </c>
      <c r="Q2" s="1183">
        <v>2036</v>
      </c>
      <c r="R2" s="360">
        <v>2037</v>
      </c>
      <c r="S2" s="1183">
        <v>2038</v>
      </c>
      <c r="T2" s="360">
        <v>2039</v>
      </c>
      <c r="U2" s="1183">
        <v>2040</v>
      </c>
      <c r="V2" s="360">
        <v>2041</v>
      </c>
      <c r="W2" s="1183">
        <v>2042</v>
      </c>
    </row>
    <row r="3" spans="1:24">
      <c r="C3" s="1326" t="s">
        <v>124</v>
      </c>
      <c r="D3" s="1184">
        <v>800</v>
      </c>
      <c r="E3" s="1181">
        <v>1400</v>
      </c>
      <c r="F3" s="1181">
        <v>1800</v>
      </c>
      <c r="G3" s="1181">
        <v>1800</v>
      </c>
      <c r="H3" s="1181">
        <v>2000</v>
      </c>
      <c r="I3" s="1181">
        <v>2100</v>
      </c>
      <c r="J3" s="1181">
        <v>2200</v>
      </c>
      <c r="K3" s="1181">
        <v>2300</v>
      </c>
      <c r="L3" s="1181">
        <v>2400</v>
      </c>
      <c r="M3" s="1181">
        <v>2500</v>
      </c>
      <c r="N3" s="1181">
        <v>2600</v>
      </c>
      <c r="O3" s="1181">
        <v>2700</v>
      </c>
      <c r="P3" s="1181">
        <v>2800</v>
      </c>
      <c r="Q3" s="1181">
        <v>2900</v>
      </c>
      <c r="R3" s="1181">
        <v>3000</v>
      </c>
      <c r="S3" s="1181">
        <v>3000</v>
      </c>
      <c r="T3" s="1181">
        <v>3000</v>
      </c>
      <c r="U3" s="1181">
        <v>3000</v>
      </c>
      <c r="V3" s="1181">
        <v>3000</v>
      </c>
      <c r="W3" s="1182">
        <v>3000</v>
      </c>
    </row>
    <row r="4" spans="1:24">
      <c r="C4" s="366" t="s">
        <v>125</v>
      </c>
      <c r="D4" s="273">
        <v>677</v>
      </c>
      <c r="E4" s="52">
        <v>692</v>
      </c>
      <c r="F4" s="52">
        <v>799</v>
      </c>
      <c r="G4" s="52">
        <v>786</v>
      </c>
      <c r="H4" s="52">
        <v>883</v>
      </c>
      <c r="I4" s="52">
        <v>964</v>
      </c>
      <c r="J4" s="52">
        <v>1011</v>
      </c>
      <c r="K4" s="52">
        <v>1100</v>
      </c>
      <c r="L4" s="52">
        <v>1100</v>
      </c>
      <c r="M4" s="52">
        <v>1120</v>
      </c>
      <c r="N4" s="52">
        <v>1150</v>
      </c>
      <c r="O4" s="52">
        <v>1200</v>
      </c>
      <c r="P4" s="52">
        <v>1250</v>
      </c>
      <c r="Q4" s="52">
        <v>1300</v>
      </c>
      <c r="R4" s="52">
        <v>1350</v>
      </c>
      <c r="S4" s="52">
        <v>1350</v>
      </c>
      <c r="T4" s="52">
        <v>1350</v>
      </c>
      <c r="U4" s="52">
        <v>1350</v>
      </c>
      <c r="V4" s="52">
        <v>1350</v>
      </c>
      <c r="W4" s="52">
        <v>1350</v>
      </c>
    </row>
    <row r="5" spans="1:24">
      <c r="C5" s="366" t="s">
        <v>126</v>
      </c>
      <c r="D5" s="273">
        <v>0</v>
      </c>
      <c r="E5" s="52">
        <v>469</v>
      </c>
      <c r="F5" s="52">
        <v>598</v>
      </c>
      <c r="G5" s="52">
        <v>602</v>
      </c>
      <c r="H5" s="52">
        <v>767</v>
      </c>
      <c r="I5" s="52">
        <v>866</v>
      </c>
      <c r="J5" s="52">
        <v>924</v>
      </c>
      <c r="K5" s="52">
        <v>942</v>
      </c>
      <c r="L5" s="52">
        <v>1020</v>
      </c>
      <c r="M5" s="52">
        <v>1100</v>
      </c>
      <c r="N5" s="52">
        <v>1100</v>
      </c>
      <c r="O5" s="52">
        <v>1150</v>
      </c>
      <c r="P5" s="52">
        <v>1200</v>
      </c>
      <c r="Q5" s="52">
        <v>1250</v>
      </c>
      <c r="R5" s="52">
        <v>1350</v>
      </c>
      <c r="S5" s="52">
        <v>1350</v>
      </c>
      <c r="T5" s="52">
        <v>1350</v>
      </c>
      <c r="U5" s="52">
        <v>1350</v>
      </c>
      <c r="V5" s="52">
        <v>1350</v>
      </c>
      <c r="W5" s="52">
        <v>1350</v>
      </c>
    </row>
    <row r="6" spans="1:24">
      <c r="C6" s="1327" t="s">
        <v>127</v>
      </c>
      <c r="D6" s="1296">
        <v>0.8</v>
      </c>
      <c r="E6" s="1296">
        <v>0.8</v>
      </c>
      <c r="F6" s="1296">
        <v>0.8</v>
      </c>
      <c r="G6" s="1296">
        <v>0.8</v>
      </c>
      <c r="H6" s="1296">
        <v>0.8</v>
      </c>
      <c r="I6" s="1296">
        <v>0.8</v>
      </c>
      <c r="J6" s="1296">
        <v>0.8</v>
      </c>
      <c r="K6" s="1296">
        <v>0.8</v>
      </c>
      <c r="L6" s="1296">
        <v>0.8</v>
      </c>
      <c r="M6" s="1296">
        <v>0.8</v>
      </c>
      <c r="N6" s="1296">
        <v>0.8</v>
      </c>
      <c r="O6" s="1296">
        <v>0.8</v>
      </c>
      <c r="P6" s="1296">
        <v>0.8</v>
      </c>
      <c r="Q6" s="1296">
        <v>0.8</v>
      </c>
      <c r="R6" s="1296">
        <v>0.8</v>
      </c>
      <c r="S6" s="1296">
        <v>0.8</v>
      </c>
      <c r="T6" s="1296">
        <v>0.8</v>
      </c>
      <c r="U6" s="1296">
        <v>0.8</v>
      </c>
      <c r="V6" s="1296">
        <v>0.8</v>
      </c>
      <c r="W6" s="1296">
        <v>0.8</v>
      </c>
    </row>
    <row r="7" spans="1:24">
      <c r="C7" s="1327" t="s">
        <v>128</v>
      </c>
      <c r="D7" s="1296">
        <v>0.2</v>
      </c>
      <c r="E7" s="1296">
        <v>0.2</v>
      </c>
      <c r="F7" s="1296">
        <v>0.2</v>
      </c>
      <c r="G7" s="1296">
        <v>0.2</v>
      </c>
      <c r="H7" s="1296">
        <v>0.2</v>
      </c>
      <c r="I7" s="1296">
        <v>0.2</v>
      </c>
      <c r="J7" s="1296">
        <v>0.2</v>
      </c>
      <c r="K7" s="1296">
        <v>0.2</v>
      </c>
      <c r="L7" s="1296">
        <v>0.2</v>
      </c>
      <c r="M7" s="1296">
        <v>0.2</v>
      </c>
      <c r="N7" s="1296">
        <v>0.2</v>
      </c>
      <c r="O7" s="1296">
        <v>0.2</v>
      </c>
      <c r="P7" s="1296">
        <v>0.2</v>
      </c>
      <c r="Q7" s="1296">
        <v>0.2</v>
      </c>
      <c r="R7" s="1296">
        <v>0.2</v>
      </c>
      <c r="S7" s="1296">
        <v>0.2</v>
      </c>
      <c r="T7" s="1296">
        <v>0.2</v>
      </c>
      <c r="U7" s="1296">
        <v>0.2</v>
      </c>
      <c r="V7" s="1296">
        <v>0.2</v>
      </c>
      <c r="W7" s="1296">
        <v>0.2</v>
      </c>
    </row>
    <row r="8" spans="1:24">
      <c r="C8" s="1327" t="s">
        <v>129</v>
      </c>
      <c r="D8" s="1297">
        <f t="shared" ref="D8:W8" si="0">(D4+D5)*D6</f>
        <v>541.6</v>
      </c>
      <c r="E8" s="1297">
        <f t="shared" si="0"/>
        <v>928.80000000000007</v>
      </c>
      <c r="F8" s="1297">
        <f t="shared" si="0"/>
        <v>1117.6000000000001</v>
      </c>
      <c r="G8" s="1297">
        <f t="shared" si="0"/>
        <v>1110.4000000000001</v>
      </c>
      <c r="H8" s="1297">
        <f t="shared" si="0"/>
        <v>1320</v>
      </c>
      <c r="I8" s="1297">
        <f t="shared" si="0"/>
        <v>1464</v>
      </c>
      <c r="J8" s="1297">
        <f t="shared" si="0"/>
        <v>1548</v>
      </c>
      <c r="K8" s="1297">
        <f t="shared" si="0"/>
        <v>1633.6000000000001</v>
      </c>
      <c r="L8" s="1297">
        <f t="shared" si="0"/>
        <v>1696</v>
      </c>
      <c r="M8" s="1297">
        <f t="shared" si="0"/>
        <v>1776</v>
      </c>
      <c r="N8" s="1297">
        <f t="shared" si="0"/>
        <v>1800</v>
      </c>
      <c r="O8" s="1297">
        <f t="shared" si="0"/>
        <v>1880</v>
      </c>
      <c r="P8" s="1297">
        <f t="shared" si="0"/>
        <v>1960</v>
      </c>
      <c r="Q8" s="1297">
        <f t="shared" si="0"/>
        <v>2040</v>
      </c>
      <c r="R8" s="1297">
        <f t="shared" si="0"/>
        <v>2160</v>
      </c>
      <c r="S8" s="1297">
        <f t="shared" si="0"/>
        <v>2160</v>
      </c>
      <c r="T8" s="1297">
        <f t="shared" si="0"/>
        <v>2160</v>
      </c>
      <c r="U8" s="1297">
        <f t="shared" si="0"/>
        <v>2160</v>
      </c>
      <c r="V8" s="1297">
        <f t="shared" si="0"/>
        <v>2160</v>
      </c>
      <c r="W8" s="1297">
        <f t="shared" si="0"/>
        <v>2160</v>
      </c>
    </row>
    <row r="9" spans="1:24">
      <c r="C9" s="1327" t="s">
        <v>130</v>
      </c>
      <c r="D9" s="1297">
        <f t="shared" ref="D9:W9" si="1">(D4+D5)*D7</f>
        <v>135.4</v>
      </c>
      <c r="E9" s="1297">
        <f t="shared" si="1"/>
        <v>232.20000000000002</v>
      </c>
      <c r="F9" s="1297">
        <f t="shared" si="1"/>
        <v>279.40000000000003</v>
      </c>
      <c r="G9" s="1297">
        <f t="shared" si="1"/>
        <v>277.60000000000002</v>
      </c>
      <c r="H9" s="1297">
        <f t="shared" si="1"/>
        <v>330</v>
      </c>
      <c r="I9" s="1297">
        <f t="shared" si="1"/>
        <v>366</v>
      </c>
      <c r="J9" s="1297">
        <f t="shared" si="1"/>
        <v>387</v>
      </c>
      <c r="K9" s="1297">
        <f t="shared" si="1"/>
        <v>408.40000000000003</v>
      </c>
      <c r="L9" s="1297">
        <f t="shared" si="1"/>
        <v>424</v>
      </c>
      <c r="M9" s="1297">
        <f t="shared" si="1"/>
        <v>444</v>
      </c>
      <c r="N9" s="1297">
        <f t="shared" si="1"/>
        <v>450</v>
      </c>
      <c r="O9" s="1297">
        <f t="shared" si="1"/>
        <v>470</v>
      </c>
      <c r="P9" s="1297">
        <f t="shared" si="1"/>
        <v>490</v>
      </c>
      <c r="Q9" s="1297">
        <f t="shared" si="1"/>
        <v>510</v>
      </c>
      <c r="R9" s="1297">
        <f t="shared" si="1"/>
        <v>540</v>
      </c>
      <c r="S9" s="1297">
        <f t="shared" si="1"/>
        <v>540</v>
      </c>
      <c r="T9" s="1297">
        <f t="shared" si="1"/>
        <v>540</v>
      </c>
      <c r="U9" s="1297">
        <f t="shared" si="1"/>
        <v>540</v>
      </c>
      <c r="V9" s="1297">
        <f t="shared" si="1"/>
        <v>540</v>
      </c>
      <c r="W9" s="1297">
        <f t="shared" si="1"/>
        <v>540</v>
      </c>
    </row>
    <row r="10" spans="1:24" ht="15" thickBot="1">
      <c r="C10" s="1328" t="s">
        <v>1114</v>
      </c>
      <c r="D10" s="1298">
        <f>SUM(D8:D9)</f>
        <v>677</v>
      </c>
      <c r="E10" s="1298">
        <f>SUM(E8:E9)</f>
        <v>1161</v>
      </c>
      <c r="F10" s="1298">
        <f t="shared" ref="F10:W10" si="2">SUM(F8:F9)</f>
        <v>1397.0000000000002</v>
      </c>
      <c r="G10" s="1298">
        <f t="shared" si="2"/>
        <v>1388</v>
      </c>
      <c r="H10" s="1298">
        <f t="shared" si="2"/>
        <v>1650</v>
      </c>
      <c r="I10" s="1298">
        <f t="shared" si="2"/>
        <v>1830</v>
      </c>
      <c r="J10" s="1298">
        <f t="shared" si="2"/>
        <v>1935</v>
      </c>
      <c r="K10" s="1298">
        <f t="shared" si="2"/>
        <v>2042.0000000000002</v>
      </c>
      <c r="L10" s="1298">
        <f t="shared" si="2"/>
        <v>2120</v>
      </c>
      <c r="M10" s="1298">
        <f t="shared" si="2"/>
        <v>2220</v>
      </c>
      <c r="N10" s="1298">
        <f t="shared" si="2"/>
        <v>2250</v>
      </c>
      <c r="O10" s="1298">
        <f t="shared" si="2"/>
        <v>2350</v>
      </c>
      <c r="P10" s="1298">
        <f t="shared" si="2"/>
        <v>2450</v>
      </c>
      <c r="Q10" s="1298">
        <f t="shared" si="2"/>
        <v>2550</v>
      </c>
      <c r="R10" s="1298">
        <f t="shared" si="2"/>
        <v>2700</v>
      </c>
      <c r="S10" s="1298">
        <f t="shared" si="2"/>
        <v>2700</v>
      </c>
      <c r="T10" s="1298">
        <f t="shared" si="2"/>
        <v>2700</v>
      </c>
      <c r="U10" s="1298">
        <f t="shared" si="2"/>
        <v>2700</v>
      </c>
      <c r="V10" s="1298">
        <f t="shared" si="2"/>
        <v>2700</v>
      </c>
      <c r="W10" s="1298">
        <f t="shared" si="2"/>
        <v>2700</v>
      </c>
      <c r="X10" s="73"/>
    </row>
    <row r="11" spans="1:24" s="1324" customFormat="1" ht="15" thickBot="1">
      <c r="C11" s="1325" t="s">
        <v>131</v>
      </c>
      <c r="D11" s="1323">
        <f>(D9+'Citl. Anal.'!$C$4)*'Výnosy 10%ZW'!$C$14*(-1)</f>
        <v>11166662.95311721</v>
      </c>
      <c r="E11" s="1323">
        <f>(E9+'Citl. Anal.'!$C$4)*'Výnosy 10%ZW'!$C$14*(-1)</f>
        <v>19149919.776320651</v>
      </c>
      <c r="F11" s="1323">
        <f>(F9+'Citl. Anal.'!$C$4)*'Výnosy 10%ZW'!$C$14*(-1)</f>
        <v>23042582.1942463</v>
      </c>
      <c r="G11" s="1323">
        <f>(G9+'Citl. Anal.'!$C$4)*'Výnosy 10%ZW'!$C$14*(-1)</f>
        <v>22894133.203732185</v>
      </c>
      <c r="H11" s="1323">
        <f>(H9+'Citl. Anal.'!$C$4)*'Výnosy 10%ZW'!$C$14*(-1)</f>
        <v>27215648.260920823</v>
      </c>
      <c r="I11" s="1323">
        <f>(I9+'Citl. Anal.'!$C$4)*'Výnosy 10%ZW'!$C$14*(-1)</f>
        <v>30184628.07120309</v>
      </c>
      <c r="J11" s="1323">
        <f>(J9+'Citl. Anal.'!$C$4)*'Výnosy 10%ZW'!$C$14*(-1)</f>
        <v>31916532.960534416</v>
      </c>
      <c r="K11" s="1323">
        <f>(K9+'Citl. Anal.'!$C$4)*'Výnosy 10%ZW'!$C$14*(-1)</f>
        <v>33681426.514424436</v>
      </c>
      <c r="L11" s="1323">
        <f>(L9+'Citl. Anal.'!$C$4)*'Výnosy 10%ZW'!$C$14*(-1)</f>
        <v>34967984.432213418</v>
      </c>
      <c r="M11" s="1323">
        <f>(M9+'Citl. Anal.'!$C$4)*'Výnosy 10%ZW'!$C$14*(-1)</f>
        <v>36617417.66014801</v>
      </c>
      <c r="N11" s="1323">
        <f>(N9+'Citl. Anal.'!$C$4)*'Výnosy 10%ZW'!$C$14*(-1)</f>
        <v>37112247.628528394</v>
      </c>
      <c r="O11" s="1323">
        <f>(O9+'Citl. Anal.'!$C$4)*'Výnosy 10%ZW'!$C$14*(-1)</f>
        <v>38761680.856462985</v>
      </c>
      <c r="P11" s="1323">
        <f>(P9+'Citl. Anal.'!$C$4)*'Výnosy 10%ZW'!$C$14*(-1)</f>
        <v>40411114.084397584</v>
      </c>
      <c r="Q11" s="1323">
        <f>(Q9+'Citl. Anal.'!$C$4)*'Výnosy 10%ZW'!$C$14*(-1)</f>
        <v>42060547.312332176</v>
      </c>
      <c r="R11" s="1323">
        <f>(R9+'Citl. Anal.'!$C$4)*'Výnosy 10%ZW'!$C$14*(-1)</f>
        <v>44534697.154234067</v>
      </c>
      <c r="S11" s="1323">
        <f>(S9+'Citl. Anal.'!$C$4)*'Výnosy 10%ZW'!$C$14*(-1)</f>
        <v>44534697.154234067</v>
      </c>
      <c r="T11" s="1323">
        <f>(T9+'Citl. Anal.'!$C$4)*'Výnosy 10%ZW'!$C$14*(-1)</f>
        <v>44534697.154234067</v>
      </c>
      <c r="U11" s="1323">
        <f>(U9+'Citl. Anal.'!$C$4)*'Výnosy 10%ZW'!$C$14*(-1)</f>
        <v>44534697.154234067</v>
      </c>
      <c r="V11" s="1323">
        <f>(V9+'Citl. Anal.'!$C$4)*'Výnosy 10%ZW'!$C$14*(-1)</f>
        <v>44534697.154234067</v>
      </c>
      <c r="W11" s="1323">
        <f>(W9+'Citl. Anal.'!$C$4)*'Výnosy 10%ZW'!$C$14*(-1)</f>
        <v>44534697.154234067</v>
      </c>
    </row>
    <row r="12" spans="1:24" ht="15" thickBot="1">
      <c r="C12" s="1329" t="s">
        <v>132</v>
      </c>
      <c r="D12" s="1218">
        <f>(D8+'Citl. Anal.'!$C$4)*Produkty!$D$4</f>
        <v>381015600</v>
      </c>
      <c r="E12" s="1218">
        <f>(E10+'Citl. Anal.'!$C$4)*Produkty!$D$4</f>
        <v>816763500</v>
      </c>
      <c r="F12" s="1218">
        <f>(F10+'Citl. Anal.'!$C$4)*Produkty!$D$4</f>
        <v>982789500.00000012</v>
      </c>
      <c r="G12" s="1218">
        <f>(G10+'Citl. Anal.'!$C$4)*Produkty!$D$4</f>
        <v>976458000</v>
      </c>
      <c r="H12" s="1218">
        <f>(H10+'Citl. Anal.'!$C$4)*Produkty!$D$4</f>
        <v>1160775000</v>
      </c>
      <c r="I12" s="1218">
        <f>(I10+'Citl. Anal.'!$C$4)*Produkty!$D$4</f>
        <v>1287405000</v>
      </c>
      <c r="J12" s="1218">
        <f>(J10+'Citl. Anal.'!$C$4)*Produkty!$D$4</f>
        <v>1361272500</v>
      </c>
      <c r="K12" s="1218">
        <f>(K10+'Citl. Anal.'!$C$4)*Produkty!$D$4</f>
        <v>1436547000.0000002</v>
      </c>
      <c r="L12" s="1218">
        <f>(L10+'Citl. Anal.'!$C$4)*Produkty!$D$4</f>
        <v>1491420000</v>
      </c>
      <c r="M12" s="1218">
        <f>(M10+'Citl. Anal.'!$C$4)*Produkty!$D$4</f>
        <v>1561770000</v>
      </c>
      <c r="N12" s="1218">
        <f>(N10+'Citl. Anal.'!$C$4)*Produkty!$D$4</f>
        <v>1582875000</v>
      </c>
      <c r="O12" s="1218">
        <f>(O10+'Citl. Anal.'!$C$4)*Produkty!$D$4</f>
        <v>1653225000</v>
      </c>
      <c r="P12" s="1218">
        <f>(P10+'Citl. Anal.'!$C$4)*Produkty!$D$4</f>
        <v>1723575000</v>
      </c>
      <c r="Q12" s="1218">
        <f>(Q10+'Citl. Anal.'!$C$4)*Produkty!$D$4</f>
        <v>1793925000</v>
      </c>
      <c r="R12" s="1218">
        <f>(R10+'Citl. Anal.'!$C$4)*Produkty!$D$4</f>
        <v>1899450000</v>
      </c>
      <c r="S12" s="1218">
        <f>(S10+'Citl. Anal.'!$C$4)*Produkty!$D$4</f>
        <v>1899450000</v>
      </c>
      <c r="T12" s="1218">
        <f>(T10+'Citl. Anal.'!$C$4)*Produkty!$D$4</f>
        <v>1899450000</v>
      </c>
      <c r="U12" s="1218">
        <f>(U10+'Citl. Anal.'!$C$4)*Produkty!$D$4</f>
        <v>1899450000</v>
      </c>
      <c r="V12" s="1218">
        <f>(V10+'Citl. Anal.'!$C$4)*Produkty!$D$4</f>
        <v>1899450000</v>
      </c>
      <c r="W12" s="1218">
        <f>(W10+'Citl. Anal.'!$C$4)*Produkty!$D$4</f>
        <v>1899450000</v>
      </c>
    </row>
    <row r="13" spans="1:24" ht="15" thickBot="1">
      <c r="C13" s="1329" t="s">
        <v>133</v>
      </c>
      <c r="D13" s="1218">
        <f>SUM(D11:D12)</f>
        <v>392182262.95311719</v>
      </c>
      <c r="E13" s="1218">
        <f t="shared" ref="E13:W13" si="3">SUM(E11:E12)</f>
        <v>835913419.7763207</v>
      </c>
      <c r="F13" s="1218">
        <f t="shared" si="3"/>
        <v>1005832082.1942464</v>
      </c>
      <c r="G13" s="1218">
        <f t="shared" si="3"/>
        <v>999352133.20373213</v>
      </c>
      <c r="H13" s="1218">
        <f t="shared" si="3"/>
        <v>1187990648.2609208</v>
      </c>
      <c r="I13" s="1218">
        <f t="shared" si="3"/>
        <v>1317589628.071203</v>
      </c>
      <c r="J13" s="1218">
        <f t="shared" si="3"/>
        <v>1393189032.9605343</v>
      </c>
      <c r="K13" s="1218">
        <f t="shared" si="3"/>
        <v>1470228426.5144246</v>
      </c>
      <c r="L13" s="1218">
        <f t="shared" si="3"/>
        <v>1526387984.4322133</v>
      </c>
      <c r="M13" s="1218">
        <f t="shared" si="3"/>
        <v>1598387417.6601479</v>
      </c>
      <c r="N13" s="1218">
        <f t="shared" si="3"/>
        <v>1619987247.6285284</v>
      </c>
      <c r="O13" s="1218">
        <f t="shared" si="3"/>
        <v>1691986680.856463</v>
      </c>
      <c r="P13" s="1218">
        <f t="shared" si="3"/>
        <v>1763986114.0843976</v>
      </c>
      <c r="Q13" s="1218">
        <f t="shared" si="3"/>
        <v>1835985547.3123322</v>
      </c>
      <c r="R13" s="1218">
        <f t="shared" si="3"/>
        <v>1943984697.1542342</v>
      </c>
      <c r="S13" s="1218">
        <f t="shared" si="3"/>
        <v>1943984697.1542342</v>
      </c>
      <c r="T13" s="1218">
        <f>SUM(T11:T12)</f>
        <v>1943984697.1542342</v>
      </c>
      <c r="U13" s="1218">
        <f t="shared" si="3"/>
        <v>1943984697.1542342</v>
      </c>
      <c r="V13" s="1218">
        <f t="shared" si="3"/>
        <v>1943984697.1542342</v>
      </c>
      <c r="W13" s="1218">
        <f t="shared" si="3"/>
        <v>1943984697.1542342</v>
      </c>
    </row>
    <row r="14" spans="1:24" ht="15" thickBot="1">
      <c r="C14" s="1330" t="s">
        <v>134</v>
      </c>
      <c r="D14" s="1230">
        <f>98000000+'Citl. Anal.'!C16</f>
        <v>98000000</v>
      </c>
      <c r="E14" s="1219">
        <f>125000000+'Citl. Anal.'!C16</f>
        <v>125000000</v>
      </c>
      <c r="F14" s="1219">
        <f>156000000+'Citl. Anal.'!C16</f>
        <v>156000000</v>
      </c>
      <c r="G14" s="1219">
        <f>160000000+'Citl. Anal.'!C16</f>
        <v>160000000</v>
      </c>
      <c r="H14" s="1219">
        <f>155000000+'Citl. Anal.'!C16</f>
        <v>155000000</v>
      </c>
      <c r="I14" s="1219">
        <f>160000000+'Citl. Anal.'!C16</f>
        <v>160000000</v>
      </c>
      <c r="J14" s="1219">
        <f>165000000+'Citl. Anal.'!C16</f>
        <v>165000000</v>
      </c>
      <c r="K14" s="1219">
        <f>170000000+'Citl. Anal.'!C16</f>
        <v>170000000</v>
      </c>
      <c r="L14" s="1219">
        <f>175000000</f>
        <v>175000000</v>
      </c>
      <c r="M14" s="1219">
        <f>180000000</f>
        <v>180000000</v>
      </c>
      <c r="N14" s="1219">
        <f>185000000</f>
        <v>185000000</v>
      </c>
      <c r="O14" s="1219">
        <f>190000000</f>
        <v>190000000</v>
      </c>
      <c r="P14" s="1219">
        <f>195000000</f>
        <v>195000000</v>
      </c>
      <c r="Q14" s="1219">
        <f>200000000</f>
        <v>200000000</v>
      </c>
      <c r="R14" s="1219">
        <f>205000000</f>
        <v>205000000</v>
      </c>
      <c r="S14" s="1219">
        <f>210000000</f>
        <v>210000000</v>
      </c>
      <c r="T14" s="1219">
        <f>215000000</f>
        <v>215000000</v>
      </c>
      <c r="U14" s="1219">
        <f>220000000</f>
        <v>220000000</v>
      </c>
      <c r="V14" s="1219">
        <f>225000000</f>
        <v>225000000</v>
      </c>
      <c r="W14" s="1220">
        <f>230000000</f>
        <v>230000000</v>
      </c>
    </row>
    <row r="15" spans="1:24" ht="15" thickBot="1">
      <c r="C15" s="1331" t="s">
        <v>135</v>
      </c>
      <c r="D15" s="1229">
        <f>D10*(PVN!$F$35+'Citl. Anal.'!$C$20)*1.05</f>
        <v>351452770.19999999</v>
      </c>
      <c r="E15" s="1229">
        <f>E10*(PVN!$F$35+'Citl. Anal.'!$C$20)*1.05</f>
        <v>602712948.60000002</v>
      </c>
      <c r="F15" s="1229">
        <f>F10*(PVN!$F$35+'Citl. Anal.'!$C$20)*1.05</f>
        <v>725228242.20000017</v>
      </c>
      <c r="G15" s="1229">
        <f>G10*(PVN!$F$35+'Citl. Anal.'!$C$20)*1.05</f>
        <v>720556048.80000007</v>
      </c>
      <c r="H15" s="1229">
        <f>H10*(PVN!$F$35+'Citl. Anal.'!$C$20)*1.05</f>
        <v>856568790</v>
      </c>
      <c r="I15" s="1229">
        <f>I10*(PVN!$F$35+'Citl. Anal.'!$C$20)*1.05</f>
        <v>950012658</v>
      </c>
      <c r="J15" s="1229">
        <f>J10*(PVN!$F$35+'Citl. Anal.'!$C$20)*1.05</f>
        <v>1004521581</v>
      </c>
      <c r="K15" s="1229">
        <f>K10*(PVN!$F$35+'Citl. Anal.'!$C$20)*1.05</f>
        <v>1060068769.2000002</v>
      </c>
      <c r="L15" s="1229">
        <f>L10*(PVN!$F$35+'Citl. Anal.'!$C$20)*1.05</f>
        <v>1100561112</v>
      </c>
      <c r="M15" s="1229">
        <f>M10*(PVN!$F$35+'Citl. Anal.'!$C$20)*1.05</f>
        <v>1152474372</v>
      </c>
      <c r="N15" s="1229">
        <f>N10*(PVN!$F$35+'Citl. Anal.'!$C$20)*1.05</f>
        <v>1168048350</v>
      </c>
      <c r="O15" s="1229">
        <f>O10*(PVN!$F$35+'Citl. Anal.'!$C$20)*1.05</f>
        <v>1219961610</v>
      </c>
      <c r="P15" s="1229">
        <f>P10*(PVN!$F$35+'Citl. Anal.'!$C$20)*1.05</f>
        <v>1271874870</v>
      </c>
      <c r="Q15" s="1229">
        <f>Q10*(PVN!$F$35+'Citl. Anal.'!$C$20)*1.05</f>
        <v>1323788130</v>
      </c>
      <c r="R15" s="1229">
        <f>R10*(PVN!$F$35+'Citl. Anal.'!$C$20)*1.05</f>
        <v>1401658020</v>
      </c>
      <c r="S15" s="1229">
        <f>S10*(PVN!$F$35+'Citl. Anal.'!$C$20)*1.05</f>
        <v>1401658020</v>
      </c>
      <c r="T15" s="1229">
        <f>T10*(PVN!$F$35+'Citl. Anal.'!$C$20)*1.05</f>
        <v>1401658020</v>
      </c>
      <c r="U15" s="1229">
        <f>U10*(PVN!$F$35+'Citl. Anal.'!$C$20)*1.05</f>
        <v>1401658020</v>
      </c>
      <c r="V15" s="1229">
        <f>V10*(PVN!$F$35+'Citl. Anal.'!$C$20)*1.05</f>
        <v>1401658020</v>
      </c>
      <c r="W15" s="1229">
        <f>W10*(PVN!$F$35+'Citl. Anal.'!$C$20)*1.05</f>
        <v>1401658020</v>
      </c>
    </row>
    <row r="16" spans="1:24">
      <c r="D16" s="737">
        <f>D14*1.15</f>
        <v>112699999.99999999</v>
      </c>
      <c r="E16" s="737">
        <f t="shared" ref="E16:W16" si="4">E14*1.15</f>
        <v>143750000</v>
      </c>
      <c r="F16" s="737">
        <f t="shared" si="4"/>
        <v>179400000</v>
      </c>
      <c r="G16" s="737">
        <f t="shared" si="4"/>
        <v>184000000</v>
      </c>
      <c r="H16" s="737">
        <f t="shared" si="4"/>
        <v>178250000</v>
      </c>
      <c r="I16" s="737">
        <f t="shared" si="4"/>
        <v>184000000</v>
      </c>
      <c r="J16" s="737">
        <f t="shared" si="4"/>
        <v>189750000</v>
      </c>
      <c r="K16" s="737">
        <f t="shared" si="4"/>
        <v>195499999.99999997</v>
      </c>
      <c r="L16" s="737">
        <f t="shared" si="4"/>
        <v>201249999.99999997</v>
      </c>
      <c r="M16" s="737">
        <f t="shared" si="4"/>
        <v>206999999.99999997</v>
      </c>
      <c r="N16" s="737">
        <f t="shared" si="4"/>
        <v>212749999.99999997</v>
      </c>
      <c r="O16" s="737">
        <f t="shared" si="4"/>
        <v>218499999.99999997</v>
      </c>
      <c r="P16" s="737">
        <f t="shared" si="4"/>
        <v>224249999.99999997</v>
      </c>
      <c r="Q16" s="737">
        <f t="shared" si="4"/>
        <v>229999999.99999997</v>
      </c>
      <c r="R16" s="737">
        <f t="shared" si="4"/>
        <v>235749999.99999997</v>
      </c>
      <c r="S16" s="737">
        <f t="shared" si="4"/>
        <v>241499999.99999997</v>
      </c>
      <c r="T16" s="737">
        <f t="shared" si="4"/>
        <v>247249999.99999997</v>
      </c>
      <c r="U16" s="737">
        <f t="shared" si="4"/>
        <v>252999999.99999997</v>
      </c>
      <c r="V16" s="737">
        <f t="shared" si="4"/>
        <v>258749999.99999997</v>
      </c>
      <c r="W16" s="737">
        <f t="shared" si="4"/>
        <v>264499999.99999997</v>
      </c>
    </row>
    <row r="17" spans="4:23">
      <c r="D17" s="737">
        <f>D14*0.85</f>
        <v>83300000</v>
      </c>
      <c r="E17" s="737">
        <f t="shared" ref="E17:W17" si="5">E14*0.85</f>
        <v>106250000</v>
      </c>
      <c r="F17" s="737">
        <f t="shared" si="5"/>
        <v>132600000</v>
      </c>
      <c r="G17" s="737">
        <f t="shared" si="5"/>
        <v>136000000</v>
      </c>
      <c r="H17" s="737">
        <f t="shared" si="5"/>
        <v>131750000</v>
      </c>
      <c r="I17" s="737">
        <f t="shared" si="5"/>
        <v>136000000</v>
      </c>
      <c r="J17" s="737">
        <f t="shared" si="5"/>
        <v>140250000</v>
      </c>
      <c r="K17" s="737">
        <f t="shared" si="5"/>
        <v>144500000</v>
      </c>
      <c r="L17" s="737">
        <f t="shared" si="5"/>
        <v>148750000</v>
      </c>
      <c r="M17" s="737">
        <f t="shared" si="5"/>
        <v>153000000</v>
      </c>
      <c r="N17" s="737">
        <f t="shared" si="5"/>
        <v>157250000</v>
      </c>
      <c r="O17" s="737">
        <f t="shared" si="5"/>
        <v>161500000</v>
      </c>
      <c r="P17" s="737">
        <f t="shared" si="5"/>
        <v>165750000</v>
      </c>
      <c r="Q17" s="737">
        <f t="shared" si="5"/>
        <v>170000000</v>
      </c>
      <c r="R17" s="737">
        <f t="shared" si="5"/>
        <v>174250000</v>
      </c>
      <c r="S17" s="737">
        <f t="shared" si="5"/>
        <v>178500000</v>
      </c>
      <c r="T17" s="737">
        <f t="shared" si="5"/>
        <v>182750000</v>
      </c>
      <c r="U17" s="737">
        <f t="shared" si="5"/>
        <v>187000000</v>
      </c>
      <c r="V17" s="737">
        <f t="shared" si="5"/>
        <v>191250000</v>
      </c>
      <c r="W17" s="737">
        <f t="shared" si="5"/>
        <v>195500000</v>
      </c>
    </row>
  </sheetData>
  <customSheetViews>
    <customSheetView guid="{F9015B81-4D5E-47E3-BFA8-A54438E9D1FF}" scale="70" showGridLines="0">
      <pane xSplit="3" ySplit="1" topLeftCell="O4" activePane="bottomRight" state="frozen"/>
      <selection pane="bottomRight" activeCell="W15" sqref="W15"/>
      <pageMargins left="0.7" right="0.7" top="0.78740157499999996" bottom="0.78740157499999996" header="0.3" footer="0.3"/>
      <pageSetup paperSize="9" orientation="portrait" r:id="rId1"/>
    </customSheetView>
  </customSheetViews>
  <mergeCells count="1">
    <mergeCell ref="C1:W1"/>
  </mergeCells>
  <hyperlinks>
    <hyperlink ref="A1" location="MENU!A1" display="MENU" xr:uid="{9ACDB3E0-A6E2-4440-AB69-938DEEB1FF8E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E352C-593F-428D-B4E4-FB891F872021}">
  <sheetPr>
    <tabColor rgb="FF66CCFF"/>
  </sheetPr>
  <dimension ref="A1:Y41"/>
  <sheetViews>
    <sheetView showGridLines="0" topLeftCell="K2" workbookViewId="0">
      <selection activeCell="Z13" sqref="Z13"/>
    </sheetView>
  </sheetViews>
  <sheetFormatPr defaultColWidth="8.77734375" defaultRowHeight="14.25"/>
  <cols>
    <col min="1" max="1" width="11.44140625" style="737" bestFit="1" customWidth="1"/>
    <col min="2" max="2" width="6.33203125" style="737" customWidth="1"/>
    <col min="3" max="3" width="19" style="737" bestFit="1" customWidth="1"/>
    <col min="4" max="4" width="16.33203125" style="737" customWidth="1"/>
    <col min="5" max="5" width="16.6640625" style="737" customWidth="1"/>
    <col min="6" max="6" width="10" style="737" customWidth="1"/>
    <col min="7" max="7" width="11.77734375" style="737" customWidth="1"/>
    <col min="8" max="8" width="12.21875" style="737" customWidth="1"/>
    <col min="9" max="10" width="11.44140625" style="737" customWidth="1"/>
    <col min="11" max="11" width="11.77734375" style="737" customWidth="1"/>
    <col min="12" max="12" width="11.44140625" style="737" customWidth="1"/>
    <col min="13" max="13" width="11.109375" style="737" customWidth="1"/>
    <col min="14" max="14" width="11.77734375" style="737" customWidth="1"/>
    <col min="15" max="15" width="11" style="737" customWidth="1"/>
    <col min="16" max="16" width="11.77734375" style="737" customWidth="1"/>
    <col min="17" max="17" width="11.44140625" style="737" customWidth="1"/>
    <col min="18" max="18" width="12.109375" style="737" customWidth="1"/>
    <col min="19" max="20" width="11.44140625" style="737" customWidth="1"/>
    <col min="21" max="21" width="11" style="737" customWidth="1"/>
    <col min="22" max="22" width="11.109375" style="737" customWidth="1"/>
    <col min="23" max="23" width="11.44140625" style="737" customWidth="1"/>
    <col min="24" max="24" width="11.77734375" style="737" customWidth="1"/>
    <col min="25" max="25" width="15" style="737" bestFit="1" customWidth="1"/>
    <col min="26" max="16384" width="8.77734375" style="737"/>
  </cols>
  <sheetData>
    <row r="1" spans="1:25" ht="15" thickBot="1">
      <c r="A1" s="107" t="s">
        <v>1</v>
      </c>
      <c r="C1" s="737" t="s">
        <v>136</v>
      </c>
    </row>
    <row r="2" spans="1:25" ht="21.75" customHeight="1" thickBot="1">
      <c r="B2" s="1450" t="s">
        <v>1112</v>
      </c>
      <c r="C2" s="1165" t="s">
        <v>137</v>
      </c>
      <c r="D2" s="1162">
        <v>0</v>
      </c>
      <c r="E2" s="1162">
        <v>1</v>
      </c>
      <c r="F2" s="181">
        <v>2</v>
      </c>
      <c r="G2" s="181">
        <v>3</v>
      </c>
      <c r="H2" s="181">
        <v>4</v>
      </c>
      <c r="I2" s="181">
        <v>5</v>
      </c>
      <c r="J2" s="181">
        <v>6</v>
      </c>
      <c r="K2" s="181">
        <v>7</v>
      </c>
      <c r="L2" s="181">
        <v>8</v>
      </c>
      <c r="M2" s="181">
        <v>9</v>
      </c>
      <c r="N2" s="181">
        <v>10</v>
      </c>
      <c r="O2" s="181">
        <v>11</v>
      </c>
      <c r="P2" s="181">
        <v>12</v>
      </c>
      <c r="Q2" s="181">
        <v>13</v>
      </c>
      <c r="R2" s="181">
        <v>14</v>
      </c>
      <c r="S2" s="181">
        <v>15</v>
      </c>
      <c r="T2" s="181">
        <v>16</v>
      </c>
      <c r="U2" s="181">
        <v>17</v>
      </c>
      <c r="V2" s="181">
        <v>18</v>
      </c>
      <c r="W2" s="181">
        <v>19</v>
      </c>
      <c r="X2" s="183">
        <v>20</v>
      </c>
    </row>
    <row r="3" spans="1:25" ht="22.5" customHeight="1" thickBot="1">
      <c r="B3" s="1451"/>
      <c r="C3" s="1236" t="s">
        <v>138</v>
      </c>
      <c r="D3" s="1237">
        <v>2022</v>
      </c>
      <c r="E3" s="1237">
        <v>2023</v>
      </c>
      <c r="F3" s="1238">
        <v>2024</v>
      </c>
      <c r="G3" s="1237">
        <v>2025</v>
      </c>
      <c r="H3" s="1238">
        <v>2026</v>
      </c>
      <c r="I3" s="1237">
        <v>2027</v>
      </c>
      <c r="J3" s="1238">
        <v>2028</v>
      </c>
      <c r="K3" s="1237">
        <v>2029</v>
      </c>
      <c r="L3" s="1238">
        <v>2030</v>
      </c>
      <c r="M3" s="1237">
        <v>2031</v>
      </c>
      <c r="N3" s="1238">
        <v>2032</v>
      </c>
      <c r="O3" s="1237">
        <v>2033</v>
      </c>
      <c r="P3" s="1238">
        <v>2034</v>
      </c>
      <c r="Q3" s="1237">
        <v>2035</v>
      </c>
      <c r="R3" s="1238">
        <v>2036</v>
      </c>
      <c r="S3" s="1237">
        <v>2037</v>
      </c>
      <c r="T3" s="1238">
        <v>2038</v>
      </c>
      <c r="U3" s="1237">
        <v>2039</v>
      </c>
      <c r="V3" s="1238">
        <v>2040</v>
      </c>
      <c r="W3" s="1237">
        <v>2041</v>
      </c>
      <c r="X3" s="1239">
        <v>2042</v>
      </c>
      <c r="Y3" s="1239" t="s">
        <v>945</v>
      </c>
    </row>
    <row r="4" spans="1:25">
      <c r="A4" s="1254" t="s">
        <v>139</v>
      </c>
      <c r="B4" s="1451"/>
      <c r="C4" s="1244" t="s">
        <v>140</v>
      </c>
      <c r="D4" s="1255"/>
      <c r="E4" s="1240">
        <f>'Vývoj trhu'!D12+'Platf. SE'!D3+'Náklady 10%ZW'!C3</f>
        <v>381307101</v>
      </c>
      <c r="F4" s="1234">
        <f>'Vývoj trhu'!E12+'Platf. SE'!E3+'Náklady 10%ZW'!D3</f>
        <v>817817157.5</v>
      </c>
      <c r="G4" s="1234">
        <f>'Vývoj trhu'!F12+'Platf. SE'!F3+'Náklady 10%ZW'!E3</f>
        <v>984052632.50000012</v>
      </c>
      <c r="H4" s="1234">
        <f>'Vývoj trhu'!G12+'Platf. SE'!G3+'Náklady 10%ZW'!F3</f>
        <v>977726412.5</v>
      </c>
      <c r="I4" s="1234">
        <f>'Vývoj trhu'!H12+'Platf. SE'!H3+'Náklady 10%ZW'!G3</f>
        <v>1162279142</v>
      </c>
      <c r="J4" s="1234">
        <f>'Vývoj trhu'!I12+'Platf. SE'!I3+'Náklady 10%ZW'!H3</f>
        <v>1289078926.4000001</v>
      </c>
      <c r="K4" s="1234">
        <f>'Vývoj trhu'!J12+'Platf. SE'!J3+'Náklady 10%ZW'!I3</f>
        <v>1363056114.6800001</v>
      </c>
      <c r="L4" s="1234">
        <f>'Vývoj trhu'!K12+'Platf. SE'!K3+'Náklady 10%ZW'!J3</f>
        <v>1438445331.1160002</v>
      </c>
      <c r="M4" s="1234">
        <f>'Vývoj trhu'!L12+'Platf. SE'!L3+'Náklady 10%ZW'!K3</f>
        <v>1493412403.8392</v>
      </c>
      <c r="N4" s="1234">
        <f>'Vývoj trhu'!M12+'Platf. SE'!M3+'Náklady 10%ZW'!L3</f>
        <v>1564014678.1070399</v>
      </c>
      <c r="O4" s="1234">
        <f>'Vývoj trhu'!N12+'Platf. SE'!N3+'Náklady 10%ZW'!M3</f>
        <v>1585279087.2284479</v>
      </c>
      <c r="P4" s="1234">
        <f>'Vývoj trhu'!O12+'Platf. SE'!O3+'Náklady 10%ZW'!N3</f>
        <v>1655803414.1741376</v>
      </c>
      <c r="Q4" s="1234">
        <f>'Vývoj trhu'!P12+'Platf. SE'!P3+'Náklady 10%ZW'!O3</f>
        <v>1726285262.008965</v>
      </c>
      <c r="R4" s="1234">
        <f>'Vývoj trhu'!Q12+'Platf. SE'!Q3+'Náklady 10%ZW'!P3</f>
        <v>1796828896.4107583</v>
      </c>
      <c r="S4" s="1234">
        <f>'Vývoj trhu'!R12+'Platf. SE'!R3+'Náklady 10%ZW'!Q3</f>
        <v>1902582266.1929097</v>
      </c>
      <c r="T4" s="1234">
        <f>'Vývoj trhu'!S12+'Platf. SE'!S3+'Náklady 10%ZW'!R3</f>
        <v>1902679410.4314916</v>
      </c>
      <c r="U4" s="1234">
        <f>'Vývoj trhu'!T12+'Platf. SE'!T3+'Náklady 10%ZW'!S3</f>
        <v>1902788418.5177901</v>
      </c>
      <c r="V4" s="1234">
        <f>'Vývoj trhu'!U12+'Platf. SE'!U3+'Náklady 10%ZW'!T3</f>
        <v>1902905144.721348</v>
      </c>
      <c r="W4" s="1234">
        <f>'Vývoj trhu'!V12+'Platf. SE'!V3+'Náklady 10%ZW'!U3</f>
        <v>1903042299.1656177</v>
      </c>
      <c r="X4" s="1247">
        <f>'Vývoj trhu'!W12+'Platf. SE'!W3+'Náklady 10%ZW'!V3</f>
        <v>1903184454.9987411</v>
      </c>
      <c r="Y4" s="868">
        <f>SUM(E4:X4)</f>
        <v>29652568553.492451</v>
      </c>
    </row>
    <row r="5" spans="1:25" ht="15" thickBot="1">
      <c r="A5" s="1260">
        <f>19%+'Citl. Anal.'!C12</f>
        <v>0.19</v>
      </c>
      <c r="B5" s="1451"/>
      <c r="C5" s="1245" t="s">
        <v>141</v>
      </c>
      <c r="D5" s="1256"/>
      <c r="E5" s="1241">
        <f>('Vývoj trhu'!D15+'Citl. Anal.'!$C$20)+('Náklady 10%ZW'!C4+'Citl. Anal.'!$C$20)*Exchange!C4</f>
        <v>352362658.19999999</v>
      </c>
      <c r="F5" s="1241">
        <f>('Vývoj trhu'!E15+'Citl. Anal.'!$C$20)+('Náklady 10%ZW'!D4+'Citl. Anal.'!$C$20)*Exchange!D4</f>
        <v>610514868.60000002</v>
      </c>
      <c r="G5" s="1241">
        <f>('Vývoj trhu'!F15+'Citl. Anal.'!$C$20)+('Náklady 10%ZW'!E4+'Citl. Anal.'!$C$20)*Exchange!E4</f>
        <v>734616082.20000017</v>
      </c>
      <c r="H5" s="1241">
        <f>('Vývoj trhu'!G15+'Citl. Anal.'!$C$20)+('Náklady 10%ZW'!F4+'Citl. Anal.'!$C$20)*Exchange!F4</f>
        <v>729883408.80000007</v>
      </c>
      <c r="I5" s="1241">
        <f>('Vývoj trhu'!H15+'Citl. Anal.'!$C$20)+('Náklady 10%ZW'!G4+'Citl. Anal.'!$C$20)*Exchange!G4</f>
        <v>867656790</v>
      </c>
      <c r="J5" s="1241">
        <f>('Vývoj trhu'!I15+'Citl. Anal.'!$C$20)+('Náklady 10%ZW'!H4+'Citl. Anal.'!$C$20)*Exchange!H4</f>
        <v>962310258</v>
      </c>
      <c r="K5" s="1241">
        <f>('Vývoj trhu'!J15+'Citl. Anal.'!$C$20)+('Náklady 10%ZW'!I4+'Citl. Anal.'!$C$20)*Exchange!I4</f>
        <v>1017524781</v>
      </c>
      <c r="L5" s="1241">
        <f>('Vývoj trhu'!K15+'Citl. Anal.'!$C$20)+('Náklady 10%ZW'!J4+'Citl. Anal.'!$C$20)*Exchange!J4</f>
        <v>1073791009.2000003</v>
      </c>
      <c r="M5" s="1241">
        <f>('Vývoj trhu'!L15+'Citl. Anal.'!$C$20)+('Náklady 10%ZW'!K4+'Citl. Anal.'!$C$20)*Exchange!K4</f>
        <v>1114807512</v>
      </c>
      <c r="N5" s="1241">
        <f>('Vývoj trhu'!M15+'Citl. Anal.'!$C$20)+('Náklady 10%ZW'!L4+'Citl. Anal.'!$C$20)*Exchange!L4</f>
        <v>1167392772</v>
      </c>
      <c r="O5" s="1241">
        <f>('Vývoj trhu'!N15+'Citl. Anal.'!$C$20)+('Náklady 10%ZW'!M4+'Citl. Anal.'!$C$20)*Exchange!M4</f>
        <v>1183168350</v>
      </c>
      <c r="P5" s="1241">
        <f>('Vývoj trhu'!O15+'Citl. Anal.'!$C$20)+('Náklady 10%ZW'!N4+'Citl. Anal.'!$C$20)*Exchange!N4</f>
        <v>1235753610</v>
      </c>
      <c r="Q5" s="1241">
        <f>('Vývoj trhu'!P15+'Citl. Anal.'!$C$20)+('Náklady 10%ZW'!O4+'Citl. Anal.'!$C$20)*Exchange!O4</f>
        <v>1288338870</v>
      </c>
      <c r="R5" s="1241">
        <f>('Vývoj trhu'!Q15+'Citl. Anal.'!$C$20)+('Náklady 10%ZW'!P4+'Citl. Anal.'!$C$20)*Exchange!P4</f>
        <v>1340924130</v>
      </c>
      <c r="S5" s="1241">
        <f>('Vývoj trhu'!R15+'Citl. Anal.'!$C$20)+('Náklady 10%ZW'!Q4+'Citl. Anal.'!$C$20)*Exchange!Q4</f>
        <v>1419802020</v>
      </c>
      <c r="T5" s="1241">
        <f>('Vývoj trhu'!S15+'Citl. Anal.'!$C$20)+('Náklady 10%ZW'!R4+'Citl. Anal.'!$C$20)*Exchange!R4</f>
        <v>1419802020</v>
      </c>
      <c r="U5" s="1241">
        <f>('Vývoj trhu'!T15+'Citl. Anal.'!$C$20)+('Náklady 10%ZW'!S4+'Citl. Anal.'!$C$20)*Exchange!S4</f>
        <v>1419802020</v>
      </c>
      <c r="V5" s="1241">
        <f>('Vývoj trhu'!U15+'Citl. Anal.'!$C$20)+('Náklady 10%ZW'!T4+'Citl. Anal.'!$C$20)*Exchange!T4</f>
        <v>1419802020</v>
      </c>
      <c r="W5" s="1241">
        <f>('Vývoj trhu'!V15+'Citl. Anal.'!$C$20)+('Náklady 10%ZW'!U4+'Citl. Anal.'!$C$20)*Exchange!U4</f>
        <v>1419802020</v>
      </c>
      <c r="X5" s="1241">
        <f>('Vývoj trhu'!W15+'Citl. Anal.'!$C$20)+('Náklady 10%ZW'!V4+'Citl. Anal.'!$C$20)*Exchange!V4</f>
        <v>1419802020</v>
      </c>
      <c r="Y5" s="868">
        <f t="shared" ref="Y5:Y10" si="0">SUM(E5:X5)</f>
        <v>22197857220</v>
      </c>
    </row>
    <row r="6" spans="1:25" ht="15" thickBot="1">
      <c r="B6" s="1451"/>
      <c r="C6" s="1245" t="s">
        <v>142</v>
      </c>
      <c r="D6" s="1256"/>
      <c r="E6" s="1241">
        <f>('Vývoj trhu'!D14+'Citl. Anal.'!$C$16)+('Platf. SE'!D12+'Citl. Anal.'!$C$16)+('Náklady 10%ZW'!C8+'Citl. Anal.'!$C$16)*Exchange!C4</f>
        <v>98682000</v>
      </c>
      <c r="F6" s="1241">
        <f>('Vývoj trhu'!E14+'Citl. Anal.'!$C$16)+('Platf. SE'!E12+'Citl. Anal.'!$C$16)+('Náklady 10%ZW'!D8+'Citl. Anal.'!$C$16)*Exchange!D4</f>
        <v>125724300</v>
      </c>
      <c r="G6" s="1241">
        <f>('Vývoj trhu'!F14+'Citl. Anal.'!$C$16)+('Platf. SE'!F12+'Citl. Anal.'!$C$16)+('Náklady 10%ZW'!E8+'Citl. Anal.'!$C$16)*Exchange!E4</f>
        <v>156775009</v>
      </c>
      <c r="H6" s="1241">
        <f>('Vývoj trhu'!G14+'Citl. Anal.'!$C$16)+('Platf. SE'!G12+'Citl. Anal.'!$C$16)+('Náklady 10%ZW'!F8+'Citl. Anal.'!$C$16)*Exchange!F4</f>
        <v>160835807.27000001</v>
      </c>
      <c r="I6" s="1241">
        <f>('Vývoj trhu'!H14+'Citl. Anal.'!$C$16)+('Platf. SE'!H12+'Citl. Anal.'!$C$16)+('Náklady 10%ZW'!G8+'Citl. Anal.'!$C$16)*Exchange!G4</f>
        <v>155908711.08809999</v>
      </c>
      <c r="J6" s="1241">
        <f>('Vývoj trhu'!I14+'Citl. Anal.'!$C$16)+('Platf. SE'!I12+'Citl. Anal.'!$C$16)+('Náklady 10%ZW'!H8+'Citl. Anal.'!$C$16)*Exchange!H4</f>
        <v>160996139.940743</v>
      </c>
      <c r="K6" s="1241">
        <f>('Vývoj trhu'!J14+'Citl. Anal.'!$C$16)+('Platf. SE'!J12+'Citl. Anal.'!$C$16)+('Náklady 10%ZW'!I8+'Citl. Anal.'!$C$16)*Exchange!I4</f>
        <v>166100997.16296527</v>
      </c>
      <c r="L6" s="1241">
        <f>('Vývoj trhu'!K14+'Citl. Anal.'!$C$16)+('Platf. SE'!K12+'Citl. Anal.'!$C$16)+('Náklady 10%ZW'!J8+'Citl. Anal.'!$C$16)*Exchange!J4</f>
        <v>171226766.70665425</v>
      </c>
      <c r="M6" s="1241">
        <f>('Vývoj trhu'!L14+'Citl. Anal.'!$C$16)+('Platf. SE'!L12+'Citl. Anal.'!$C$16)+('Náklady 10%ZW'!K8+'Citl. Anal.'!$C$16)*Exchange!K4</f>
        <v>176377629.26241389</v>
      </c>
      <c r="N6" s="1241">
        <f>('Vývoj trhu'!M14+'Citl. Anal.'!$C$16)+('Platf. SE'!M12+'Citl. Anal.'!$C$16)+('Náklady 10%ZW'!L8+'Citl. Anal.'!$C$16)*Exchange!L4</f>
        <v>181558601.60575828</v>
      </c>
      <c r="O6" s="1241">
        <f>('Vývoj trhu'!N14+'Citl. Anal.'!$C$16)+('Platf. SE'!N12+'Citl. Anal.'!$C$16)+('Náklady 10%ZW'!M8+'Citl. Anal.'!$C$16)*Exchange!M4</f>
        <v>186775703.81249744</v>
      </c>
      <c r="P6" s="1241">
        <f>('Vývoj trhu'!O14+'Citl. Anal.'!$C$16)+('Platf. SE'!O12+'Citl. Anal.'!$C$16)+('Náklady 10%ZW'!N8+'Citl. Anal.'!$C$16)*Exchange!N4</f>
        <v>192036159.91715205</v>
      </c>
      <c r="Q6" s="1241">
        <f>('Vývoj trhu'!P14+'Citl. Anal.'!$C$16)+('Platf. SE'!P12+'Citl. Anal.'!$C$16)+('Náklady 10%ZW'!O8+'Citl. Anal.'!$C$16)*Exchange!O4</f>
        <v>197348638.70300221</v>
      </c>
      <c r="R6" s="1241">
        <f>('Vývoj trhu'!Q14+'Citl. Anal.'!$C$16)+('Platf. SE'!Q12+'Citl. Anal.'!$C$16)+('Náklady 10%ZW'!P8+'Citl. Anal.'!$C$16)*Exchange!P4</f>
        <v>202723542.65009502</v>
      </c>
      <c r="S6" s="1241">
        <f>('Vývoj trhu'!R14+'Citl. Anal.'!$C$16)+('Platf. SE'!R12+'Citl. Anal.'!$C$16)+('Náklady 10%ZW'!Q8+'Citl. Anal.'!$C$16)*Exchange!Q4</f>
        <v>208173354.67280114</v>
      </c>
      <c r="T6" s="1241">
        <f>('Vývoj trhu'!S14+'Citl. Anal.'!$C$16)+('Platf. SE'!S12+'Citl. Anal.'!$C$16)+('Náklady 10%ZW'!R8+'Citl. Anal.'!$C$16)*Exchange!R4</f>
        <v>213713054.20482913</v>
      </c>
      <c r="U6" s="1241">
        <f>('Vývoj trhu'!T14+'Citl. Anal.'!$C$16)+('Platf. SE'!T12+'Citl. Anal.'!$C$16)+('Náklady 10%ZW'!S8+'Citl. Anal.'!$C$16)*Exchange!S4</f>
        <v>219360616.50118676</v>
      </c>
      <c r="V6" s="1241">
        <f>('Vývoj trhu'!U14+'Citl. Anal.'!$C$16)+('Platf. SE'!U12+'Citl. Anal.'!$C$16)+('Náklady 10%ZW'!T8+'Citl. Anal.'!$C$16)*Exchange!T4</f>
        <v>225137611.80047762</v>
      </c>
      <c r="W6" s="1241">
        <f>('Vývoj trhu'!V14+'Citl. Anal.'!$C$16)+('Platf. SE'!V12+'Citl. Anal.'!$C$16)+('Náklady 10%ZW'!U8+'Citl. Anal.'!$C$16)*Exchange!U4</f>
        <v>231069924.31959829</v>
      </c>
      <c r="X6" s="1241">
        <f>('Vývoj trhu'!W14+'Citl. Anal.'!$C$16)+('Platf. SE'!W12+'Citl. Anal.'!$C$16)+('Náklady 10%ZW'!V8+'Citl. Anal.'!$C$16)*Exchange!V4</f>
        <v>237188615.04731387</v>
      </c>
      <c r="Y6" s="868">
        <f t="shared" si="0"/>
        <v>3667713183.6655879</v>
      </c>
    </row>
    <row r="7" spans="1:25">
      <c r="A7" s="1254" t="s">
        <v>143</v>
      </c>
      <c r="B7" s="1451"/>
      <c r="C7" s="1245" t="s">
        <v>144</v>
      </c>
      <c r="D7" s="1256"/>
      <c r="E7" s="1241">
        <f>E4-E5-E6</f>
        <v>-69737557.199999988</v>
      </c>
      <c r="F7" s="1231">
        <f t="shared" ref="F7:X7" si="1">F4-F5-F6</f>
        <v>81577988.899999976</v>
      </c>
      <c r="G7" s="1231">
        <f t="shared" si="1"/>
        <v>92661541.299999952</v>
      </c>
      <c r="H7" s="1231">
        <f t="shared" si="1"/>
        <v>87007196.429999918</v>
      </c>
      <c r="I7" s="1231">
        <f t="shared" si="1"/>
        <v>138713640.91190001</v>
      </c>
      <c r="J7" s="1231">
        <f t="shared" si="1"/>
        <v>165772528.4592571</v>
      </c>
      <c r="K7" s="1231">
        <f t="shared" si="1"/>
        <v>179430336.5170348</v>
      </c>
      <c r="L7" s="1231">
        <f t="shared" si="1"/>
        <v>193427555.20934564</v>
      </c>
      <c r="M7" s="1231">
        <f t="shared" si="1"/>
        <v>202227262.57678613</v>
      </c>
      <c r="N7" s="1231">
        <f t="shared" si="1"/>
        <v>215063304.50128165</v>
      </c>
      <c r="O7" s="1231">
        <f t="shared" si="1"/>
        <v>215335033.41595048</v>
      </c>
      <c r="P7" s="1231">
        <f t="shared" si="1"/>
        <v>228013644.25698555</v>
      </c>
      <c r="Q7" s="1231">
        <f t="shared" si="1"/>
        <v>240597753.3059628</v>
      </c>
      <c r="R7" s="1231">
        <f t="shared" si="1"/>
        <v>253181223.76066324</v>
      </c>
      <c r="S7" s="1231">
        <f t="shared" si="1"/>
        <v>274606891.52010858</v>
      </c>
      <c r="T7" s="1231">
        <f t="shared" si="1"/>
        <v>269164336.22666252</v>
      </c>
      <c r="U7" s="1231">
        <f t="shared" si="1"/>
        <v>263625782.01660332</v>
      </c>
      <c r="V7" s="1231">
        <f t="shared" si="1"/>
        <v>257965512.92087042</v>
      </c>
      <c r="W7" s="1231">
        <f t="shared" si="1"/>
        <v>252170354.84601942</v>
      </c>
      <c r="X7" s="1248">
        <f t="shared" si="1"/>
        <v>246193819.95142728</v>
      </c>
      <c r="Y7" s="868">
        <f t="shared" si="0"/>
        <v>3786998149.826859</v>
      </c>
    </row>
    <row r="8" spans="1:25" ht="15" thickBot="1">
      <c r="A8" s="1260">
        <f>15%+'Citl. Anal.'!C8</f>
        <v>0.15</v>
      </c>
      <c r="B8" s="1451"/>
      <c r="C8" s="1245" t="s">
        <v>145</v>
      </c>
      <c r="D8" s="1256"/>
      <c r="E8" s="1241">
        <f>E7-Expanze!J3</f>
        <v>-96424023.599999994</v>
      </c>
      <c r="F8" s="1231">
        <f>F7-Expanze!K3</f>
        <v>54891522.49999997</v>
      </c>
      <c r="G8" s="1231">
        <f>G7-Expanze!L3</f>
        <v>65975074.899999946</v>
      </c>
      <c r="H8" s="1231">
        <f>H7-Expanze!M3</f>
        <v>64284536.696666583</v>
      </c>
      <c r="I8" s="1231">
        <f>I7-Expanze!N3</f>
        <v>115990981.17856668</v>
      </c>
      <c r="J8" s="1231">
        <f>J7-Expanze!O3</f>
        <v>162606273.52592376</v>
      </c>
      <c r="K8" s="1231">
        <f>K7-Expanze!P3</f>
        <v>176264081.58370146</v>
      </c>
      <c r="L8" s="1231">
        <f>L7-Expanze!Q3</f>
        <v>190261300.2760123</v>
      </c>
      <c r="M8" s="1231">
        <f>M7-Expanze!R3</f>
        <v>199061007.64345279</v>
      </c>
      <c r="N8" s="1231">
        <f>N7-Expanze!S3</f>
        <v>211897049.56794831</v>
      </c>
      <c r="O8" s="1231">
        <f>O7-Expanze!T3</f>
        <v>212168778.48261714</v>
      </c>
      <c r="P8" s="1231">
        <f>P7-Expanze!U3</f>
        <v>224847389.32365221</v>
      </c>
      <c r="Q8" s="1231">
        <f>Q7-Expanze!V3</f>
        <v>237431498.37262946</v>
      </c>
      <c r="R8" s="1231">
        <f>R7-Expanze!W3</f>
        <v>250014968.8273299</v>
      </c>
      <c r="S8" s="1231">
        <f>S7-Expanze!X3</f>
        <v>271440636.58677524</v>
      </c>
      <c r="T8" s="1231">
        <f>T7-Expanze!Y3</f>
        <v>265998081.29332918</v>
      </c>
      <c r="U8" s="1231">
        <f>U7-Expanze!Z3</f>
        <v>260459527.08326998</v>
      </c>
      <c r="V8" s="1231">
        <f>V7-Expanze!AA3</f>
        <v>254799257.98753709</v>
      </c>
      <c r="W8" s="1231">
        <f>W7-Expanze!AB3</f>
        <v>249004099.91268608</v>
      </c>
      <c r="X8" s="1248">
        <f>X7-Expanze!AC3</f>
        <v>243027565.01809394</v>
      </c>
      <c r="Y8" s="868">
        <f t="shared" si="0"/>
        <v>3613999607.160192</v>
      </c>
    </row>
    <row r="9" spans="1:25" ht="15" thickBot="1">
      <c r="B9" s="1451"/>
      <c r="C9" s="1245" t="s">
        <v>139</v>
      </c>
      <c r="D9" s="1256"/>
      <c r="E9" s="1241">
        <f>IF(E8&gt;0,E8*$A$5,0)</f>
        <v>0</v>
      </c>
      <c r="F9" s="1231">
        <f t="shared" ref="F9:X9" si="2">IF(F8&gt;0,F8*$A$5,0)</f>
        <v>10429389.274999995</v>
      </c>
      <c r="G9" s="1231">
        <f t="shared" si="2"/>
        <v>12535264.230999989</v>
      </c>
      <c r="H9" s="1231">
        <f t="shared" si="2"/>
        <v>12214061.972366652</v>
      </c>
      <c r="I9" s="1231">
        <f t="shared" si="2"/>
        <v>22038286.423927668</v>
      </c>
      <c r="J9" s="1231">
        <f t="shared" si="2"/>
        <v>30895191.969925515</v>
      </c>
      <c r="K9" s="1231">
        <f t="shared" si="2"/>
        <v>33490175.500903279</v>
      </c>
      <c r="L9" s="1231">
        <f t="shared" si="2"/>
        <v>36149647.052442335</v>
      </c>
      <c r="M9" s="1231">
        <f t="shared" si="2"/>
        <v>37821591.452256031</v>
      </c>
      <c r="N9" s="1231">
        <f t="shared" si="2"/>
        <v>40260439.417910181</v>
      </c>
      <c r="O9" s="1231">
        <f t="shared" si="2"/>
        <v>40312067.911697254</v>
      </c>
      <c r="P9" s="1231">
        <f t="shared" si="2"/>
        <v>42721003.971493922</v>
      </c>
      <c r="Q9" s="1231">
        <f t="shared" si="2"/>
        <v>45111984.690799601</v>
      </c>
      <c r="R9" s="1231">
        <f t="shared" si="2"/>
        <v>47502844.077192679</v>
      </c>
      <c r="S9" s="1231">
        <f t="shared" si="2"/>
        <v>51573720.951487295</v>
      </c>
      <c r="T9" s="1231">
        <f t="shared" si="2"/>
        <v>50539635.445732541</v>
      </c>
      <c r="U9" s="1231">
        <f t="shared" si="2"/>
        <v>49487310.145821296</v>
      </c>
      <c r="V9" s="1231">
        <f t="shared" si="2"/>
        <v>48411859.017632045</v>
      </c>
      <c r="W9" s="1231">
        <f t="shared" si="2"/>
        <v>47310778.983410358</v>
      </c>
      <c r="X9" s="1248">
        <f t="shared" si="2"/>
        <v>46175237.353437848</v>
      </c>
      <c r="Y9" s="868">
        <f t="shared" si="0"/>
        <v>704980489.84443653</v>
      </c>
    </row>
    <row r="10" spans="1:25" ht="15" thickBot="1">
      <c r="A10" s="1254" t="s">
        <v>146</v>
      </c>
      <c r="B10" s="1451"/>
      <c r="C10" s="1245" t="s">
        <v>147</v>
      </c>
      <c r="D10" s="1257"/>
      <c r="E10" s="1242">
        <f>E8-E9</f>
        <v>-96424023.599999994</v>
      </c>
      <c r="F10" s="1233">
        <f t="shared" ref="F10:X10" si="3">F8-F9</f>
        <v>44462133.224999979</v>
      </c>
      <c r="G10" s="1233">
        <f t="shared" si="3"/>
        <v>53439810.668999955</v>
      </c>
      <c r="H10" s="1233">
        <f t="shared" si="3"/>
        <v>52070474.72429993</v>
      </c>
      <c r="I10" s="1233">
        <f t="shared" si="3"/>
        <v>93952694.754639015</v>
      </c>
      <c r="J10" s="1233">
        <f t="shared" si="3"/>
        <v>131711081.55599824</v>
      </c>
      <c r="K10" s="1233">
        <f t="shared" si="3"/>
        <v>142773906.08279818</v>
      </c>
      <c r="L10" s="1233">
        <f t="shared" si="3"/>
        <v>154111653.22356996</v>
      </c>
      <c r="M10" s="1233">
        <f t="shared" si="3"/>
        <v>161239416.19119677</v>
      </c>
      <c r="N10" s="1233">
        <f t="shared" si="3"/>
        <v>171636610.15003812</v>
      </c>
      <c r="O10" s="1233">
        <f t="shared" si="3"/>
        <v>171856710.57091987</v>
      </c>
      <c r="P10" s="1233">
        <f t="shared" si="3"/>
        <v>182126385.35215828</v>
      </c>
      <c r="Q10" s="1233">
        <f t="shared" si="3"/>
        <v>192319513.68182987</v>
      </c>
      <c r="R10" s="1233">
        <f t="shared" si="3"/>
        <v>202512124.75013721</v>
      </c>
      <c r="S10" s="1233">
        <f t="shared" si="3"/>
        <v>219866915.63528794</v>
      </c>
      <c r="T10" s="1233">
        <f t="shared" si="3"/>
        <v>215458445.84759665</v>
      </c>
      <c r="U10" s="1233">
        <f t="shared" si="3"/>
        <v>210972216.93744868</v>
      </c>
      <c r="V10" s="1233">
        <f t="shared" si="3"/>
        <v>206387398.96990505</v>
      </c>
      <c r="W10" s="1233">
        <f t="shared" si="3"/>
        <v>201693320.92927572</v>
      </c>
      <c r="X10" s="1249">
        <f t="shared" si="3"/>
        <v>196852327.6646561</v>
      </c>
      <c r="Y10" s="868">
        <f t="shared" si="0"/>
        <v>2909019117.3157554</v>
      </c>
    </row>
    <row r="11" spans="1:25" ht="15.75" thickBot="1">
      <c r="A11" s="1299">
        <v>20</v>
      </c>
      <c r="B11" s="1451"/>
      <c r="C11" s="1165" t="s">
        <v>148</v>
      </c>
      <c r="D11" s="1243">
        <f>Expanze!C12+Expanze!C16-2*(Expanze!C12+Expanze!C16)</f>
        <v>-216999524</v>
      </c>
      <c r="E11" s="1243">
        <f>E10+Expanze!J13</f>
        <v>-79906635.599999994</v>
      </c>
      <c r="F11" s="1235">
        <f>F10+Expanze!K13</f>
        <v>60979521.224999979</v>
      </c>
      <c r="G11" s="1235">
        <f>G10+Expanze!L13</f>
        <v>69957198.668999955</v>
      </c>
      <c r="H11" s="1235">
        <f>H10+Expanze!M13</f>
        <v>68564722.724299937</v>
      </c>
      <c r="I11" s="1235">
        <f>I10+Expanze!N13</f>
        <v>110446942.75463901</v>
      </c>
      <c r="J11" s="1235">
        <f>J10+Expanze!O13</f>
        <v>146379724.75599822</v>
      </c>
      <c r="K11" s="1235">
        <f>K10+Expanze!P13</f>
        <v>157442549.28279817</v>
      </c>
      <c r="L11" s="1235">
        <f>L10+Expanze!Q13</f>
        <v>168780296.42356995</v>
      </c>
      <c r="M11" s="1235">
        <f>M10+Expanze!R13</f>
        <v>175908059.39119676</v>
      </c>
      <c r="N11" s="1235">
        <f>N10+Expanze!S13</f>
        <v>186305253.35003811</v>
      </c>
      <c r="O11" s="1235">
        <f>O10+Expanze!T13</f>
        <v>176477753.77091986</v>
      </c>
      <c r="P11" s="1235">
        <f>P10+Expanze!U13</f>
        <v>186747428.55215827</v>
      </c>
      <c r="Q11" s="1235">
        <f>Q10+Expanze!V13</f>
        <v>196940556.88182986</v>
      </c>
      <c r="R11" s="1235">
        <f>R10+Expanze!W13</f>
        <v>207133167.9501372</v>
      </c>
      <c r="S11" s="1235">
        <f>S10+Expanze!X13</f>
        <v>224487958.83528793</v>
      </c>
      <c r="T11" s="1235">
        <f>T10+Expanze!Y13</f>
        <v>220079489.04759663</v>
      </c>
      <c r="U11" s="1235">
        <f>U10+Expanze!Z13</f>
        <v>215593260.13744867</v>
      </c>
      <c r="V11" s="1235">
        <f>V10+Expanze!AA13</f>
        <v>211008442.16990504</v>
      </c>
      <c r="W11" s="1235">
        <f>W10+Expanze!AB13</f>
        <v>206314364.12927571</v>
      </c>
      <c r="X11" s="1250">
        <f>X10+Expanze!AC13</f>
        <v>201473370.86465609</v>
      </c>
      <c r="Y11" s="1261">
        <f>SUM(D11:X11)</f>
        <v>2894113901.3157554</v>
      </c>
    </row>
    <row r="12" spans="1:25" ht="15" thickBot="1">
      <c r="B12" s="1451"/>
      <c r="C12" s="1246" t="s">
        <v>149</v>
      </c>
      <c r="D12" s="1251">
        <f>D11</f>
        <v>-216999524</v>
      </c>
      <c r="E12" s="1251">
        <f>D12+E11</f>
        <v>-296906159.60000002</v>
      </c>
      <c r="F12" s="1252">
        <f>E12+F11</f>
        <v>-235926638.37500006</v>
      </c>
      <c r="G12" s="1252">
        <f t="shared" ref="G12:X12" si="4">F12+G11</f>
        <v>-165969439.70600009</v>
      </c>
      <c r="H12" s="1252">
        <f t="shared" si="4"/>
        <v>-97404716.981700152</v>
      </c>
      <c r="I12" s="1252">
        <f t="shared" si="4"/>
        <v>13042225.772938862</v>
      </c>
      <c r="J12" s="1252">
        <f t="shared" si="4"/>
        <v>159421950.5289371</v>
      </c>
      <c r="K12" s="1252">
        <f t="shared" si="4"/>
        <v>316864499.81173527</v>
      </c>
      <c r="L12" s="1252">
        <f t="shared" si="4"/>
        <v>485644796.23530519</v>
      </c>
      <c r="M12" s="1252">
        <f t="shared" si="4"/>
        <v>661552855.62650192</v>
      </c>
      <c r="N12" s="1252">
        <f t="shared" si="4"/>
        <v>847858108.97654009</v>
      </c>
      <c r="O12" s="1252">
        <f t="shared" si="4"/>
        <v>1024335862.7474599</v>
      </c>
      <c r="P12" s="1252">
        <f t="shared" si="4"/>
        <v>1211083291.2996182</v>
      </c>
      <c r="Q12" s="1252">
        <f t="shared" si="4"/>
        <v>1408023848.181448</v>
      </c>
      <c r="R12" s="1252">
        <f t="shared" si="4"/>
        <v>1615157016.1315851</v>
      </c>
      <c r="S12" s="1252">
        <f t="shared" si="4"/>
        <v>1839644974.9668732</v>
      </c>
      <c r="T12" s="1252">
        <f t="shared" si="4"/>
        <v>2059724464.0144699</v>
      </c>
      <c r="U12" s="1252">
        <f t="shared" si="4"/>
        <v>2275317724.1519184</v>
      </c>
      <c r="V12" s="1252">
        <f t="shared" si="4"/>
        <v>2486326166.3218236</v>
      </c>
      <c r="W12" s="1252">
        <f t="shared" si="4"/>
        <v>2692640530.4510994</v>
      </c>
      <c r="X12" s="1253">
        <f t="shared" si="4"/>
        <v>2894113901.3157554</v>
      </c>
    </row>
    <row r="13" spans="1:25" ht="15" thickBot="1">
      <c r="B13" s="1451"/>
    </row>
    <row r="14" spans="1:25">
      <c r="B14" s="1451"/>
      <c r="C14" s="1265" t="s">
        <v>150</v>
      </c>
      <c r="D14" s="1241">
        <f>1/(1+$A$8)^D2</f>
        <v>1</v>
      </c>
      <c r="E14" s="1267">
        <f t="shared" ref="E14:X14" si="5">1/(1+$A$8)^E2</f>
        <v>0.86956521739130443</v>
      </c>
      <c r="F14" s="1267">
        <f t="shared" si="5"/>
        <v>0.7561436672967865</v>
      </c>
      <c r="G14" s="1267">
        <f t="shared" si="5"/>
        <v>0.65751623243198831</v>
      </c>
      <c r="H14" s="1267">
        <f t="shared" si="5"/>
        <v>0.57175324559303342</v>
      </c>
      <c r="I14" s="1267">
        <f t="shared" si="5"/>
        <v>0.49717673529828987</v>
      </c>
      <c r="J14" s="1267">
        <f t="shared" si="5"/>
        <v>0.43232759591155645</v>
      </c>
      <c r="K14" s="1267">
        <f t="shared" si="5"/>
        <v>0.37593703992309269</v>
      </c>
      <c r="L14" s="1267">
        <f t="shared" si="5"/>
        <v>0.32690177384616753</v>
      </c>
      <c r="M14" s="1267">
        <f t="shared" si="5"/>
        <v>0.28426241204014574</v>
      </c>
      <c r="N14" s="1267">
        <f t="shared" si="5"/>
        <v>0.24718470612186585</v>
      </c>
      <c r="O14" s="1267">
        <f t="shared" si="5"/>
        <v>0.21494322271466598</v>
      </c>
      <c r="P14" s="1267">
        <f t="shared" si="5"/>
        <v>0.18690715018666609</v>
      </c>
      <c r="Q14" s="1267">
        <f t="shared" si="5"/>
        <v>0.16252795668405748</v>
      </c>
      <c r="R14" s="1267">
        <f t="shared" si="5"/>
        <v>0.14132865798613695</v>
      </c>
      <c r="S14" s="1267">
        <f t="shared" si="5"/>
        <v>0.1228944852053365</v>
      </c>
      <c r="T14" s="1267">
        <f t="shared" si="5"/>
        <v>0.10686476974377089</v>
      </c>
      <c r="U14" s="1267">
        <f t="shared" si="5"/>
        <v>9.2925886733713825E-2</v>
      </c>
      <c r="V14" s="1267">
        <f t="shared" si="5"/>
        <v>8.0805118898881603E-2</v>
      </c>
      <c r="W14" s="1267">
        <f t="shared" si="5"/>
        <v>7.0265320781636179E-2</v>
      </c>
      <c r="X14" s="1267">
        <f t="shared" si="5"/>
        <v>6.1100278940553199E-2</v>
      </c>
      <c r="Y14" s="737" t="s">
        <v>151</v>
      </c>
    </row>
    <row r="15" spans="1:25" ht="15">
      <c r="B15" s="1451"/>
      <c r="C15" s="1266" t="s">
        <v>152</v>
      </c>
      <c r="D15" s="1243">
        <f>D14*D11</f>
        <v>-216999524</v>
      </c>
      <c r="E15" s="1235">
        <f t="shared" ref="E15:W15" si="6">E14*E11</f>
        <v>-69484030.956521735</v>
      </c>
      <c r="F15" s="1235">
        <f t="shared" si="6"/>
        <v>46109278.809073716</v>
      </c>
      <c r="G15" s="1235">
        <f t="shared" si="6"/>
        <v>45997993.700336955</v>
      </c>
      <c r="H15" s="1235">
        <f t="shared" si="6"/>
        <v>39202102.750804901</v>
      </c>
      <c r="I15" s="1235">
        <f t="shared" si="6"/>
        <v>54911650.422428533</v>
      </c>
      <c r="J15" s="1235">
        <f t="shared" si="6"/>
        <v>63283994.493956059</v>
      </c>
      <c r="K15" s="1235">
        <f t="shared" si="6"/>
        <v>59188485.935320787</v>
      </c>
      <c r="L15" s="1235">
        <f t="shared" si="6"/>
        <v>55174578.291146979</v>
      </c>
      <c r="M15" s="1235">
        <f t="shared" si="6"/>
        <v>50004049.259842798</v>
      </c>
      <c r="N15" s="1235">
        <f t="shared" si="6"/>
        <v>46051809.298288934</v>
      </c>
      <c r="O15" s="1235">
        <f t="shared" si="6"/>
        <v>37932697.132966809</v>
      </c>
      <c r="P15" s="1235">
        <f t="shared" si="6"/>
        <v>34904429.675371937</v>
      </c>
      <c r="Q15" s="1235">
        <f t="shared" si="6"/>
        <v>32008346.2982242</v>
      </c>
      <c r="R15" s="1235">
        <f t="shared" si="6"/>
        <v>29273852.650810003</v>
      </c>
      <c r="S15" s="1235">
        <f t="shared" si="6"/>
        <v>27588332.135859482</v>
      </c>
      <c r="T15" s="1235">
        <f t="shared" si="6"/>
        <v>23518743.922398161</v>
      </c>
      <c r="U15" s="1235">
        <f t="shared" si="6"/>
        <v>20034194.872084655</v>
      </c>
      <c r="V15" s="1235">
        <f t="shared" si="6"/>
        <v>17050562.25820696</v>
      </c>
      <c r="W15" s="1235">
        <f t="shared" si="6"/>
        <v>14496744.977402851</v>
      </c>
      <c r="X15" s="1250">
        <f>X14*X11</f>
        <v>12310079.158924012</v>
      </c>
      <c r="Y15" s="1261">
        <f>SUM(D15:X15)</f>
        <v>422558371.086927</v>
      </c>
    </row>
    <row r="16" spans="1:25" ht="15" thickBot="1">
      <c r="B16" s="1451"/>
      <c r="C16" s="1246" t="s">
        <v>153</v>
      </c>
      <c r="D16" s="1264">
        <f>D15</f>
        <v>-216999524</v>
      </c>
      <c r="E16" s="1262">
        <f>E15+D16</f>
        <v>-286483554.95652175</v>
      </c>
      <c r="F16" s="1262">
        <f t="shared" ref="F16:X16" si="7">F15+E16</f>
        <v>-240374276.14744803</v>
      </c>
      <c r="G16" s="1262">
        <f t="shared" si="7"/>
        <v>-194376282.44711107</v>
      </c>
      <c r="H16" s="1262">
        <f t="shared" si="7"/>
        <v>-155174179.69630617</v>
      </c>
      <c r="I16" s="1262">
        <f t="shared" si="7"/>
        <v>-100262529.27387764</v>
      </c>
      <c r="J16" s="1262">
        <f t="shared" si="7"/>
        <v>-36978534.779921576</v>
      </c>
      <c r="K16" s="1262">
        <f t="shared" si="7"/>
        <v>22209951.155399211</v>
      </c>
      <c r="L16" s="1262">
        <f t="shared" si="7"/>
        <v>77384529.446546197</v>
      </c>
      <c r="M16" s="1262">
        <f t="shared" si="7"/>
        <v>127388578.706389</v>
      </c>
      <c r="N16" s="1262">
        <f t="shared" si="7"/>
        <v>173440388.00467792</v>
      </c>
      <c r="O16" s="1262">
        <f t="shared" si="7"/>
        <v>211373085.13764474</v>
      </c>
      <c r="P16" s="1262">
        <f t="shared" si="7"/>
        <v>246277514.81301668</v>
      </c>
      <c r="Q16" s="1262">
        <f t="shared" si="7"/>
        <v>278285861.11124086</v>
      </c>
      <c r="R16" s="1262">
        <f t="shared" si="7"/>
        <v>307559713.76205087</v>
      </c>
      <c r="S16" s="1262">
        <f t="shared" si="7"/>
        <v>335148045.89791036</v>
      </c>
      <c r="T16" s="1262">
        <f t="shared" si="7"/>
        <v>358666789.82030851</v>
      </c>
      <c r="U16" s="1262">
        <f t="shared" si="7"/>
        <v>378700984.69239318</v>
      </c>
      <c r="V16" s="1262">
        <f t="shared" si="7"/>
        <v>395751546.95060015</v>
      </c>
      <c r="W16" s="1262">
        <f t="shared" si="7"/>
        <v>410248291.92800301</v>
      </c>
      <c r="X16" s="1263">
        <f t="shared" si="7"/>
        <v>422558371.086927</v>
      </c>
    </row>
    <row r="17" spans="1:25">
      <c r="B17" s="1451"/>
      <c r="C17" s="1259" t="s">
        <v>154</v>
      </c>
      <c r="D17" s="1268">
        <f>IRR(D11:X11,1)</f>
        <v>0.29535641707591709</v>
      </c>
    </row>
    <row r="18" spans="1:25" ht="15" thickBot="1">
      <c r="B18" s="1452"/>
      <c r="C18" s="1259" t="s">
        <v>155</v>
      </c>
      <c r="D18" s="1269">
        <f>SUM(D15:X15)/Expanze!$C$12</f>
        <v>1.9689767684025903</v>
      </c>
    </row>
    <row r="19" spans="1:25">
      <c r="B19" s="1301" t="s">
        <v>156</v>
      </c>
      <c r="C19" s="1300" t="s">
        <v>157</v>
      </c>
      <c r="D19" s="1301">
        <f>IF(D12&lt;0,1,2)</f>
        <v>1</v>
      </c>
      <c r="E19" s="1301">
        <f t="shared" ref="E19:X19" si="8">IF(E12&lt;0,1,2)</f>
        <v>1</v>
      </c>
      <c r="F19" s="1301">
        <f t="shared" si="8"/>
        <v>1</v>
      </c>
      <c r="G19" s="1301">
        <f t="shared" si="8"/>
        <v>1</v>
      </c>
      <c r="H19" s="1301">
        <f t="shared" si="8"/>
        <v>1</v>
      </c>
      <c r="I19" s="1301">
        <f t="shared" si="8"/>
        <v>2</v>
      </c>
      <c r="J19" s="1301">
        <f t="shared" si="8"/>
        <v>2</v>
      </c>
      <c r="K19" s="1301">
        <f t="shared" si="8"/>
        <v>2</v>
      </c>
      <c r="L19" s="1301">
        <f t="shared" si="8"/>
        <v>2</v>
      </c>
      <c r="M19" s="1301">
        <f t="shared" si="8"/>
        <v>2</v>
      </c>
      <c r="N19" s="1301">
        <f t="shared" si="8"/>
        <v>2</v>
      </c>
      <c r="O19" s="1301">
        <f t="shared" si="8"/>
        <v>2</v>
      </c>
      <c r="P19" s="1301">
        <f t="shared" si="8"/>
        <v>2</v>
      </c>
      <c r="Q19" s="1301">
        <f t="shared" si="8"/>
        <v>2</v>
      </c>
      <c r="R19" s="1301">
        <f t="shared" si="8"/>
        <v>2</v>
      </c>
      <c r="S19" s="1301">
        <f t="shared" si="8"/>
        <v>2</v>
      </c>
      <c r="T19" s="1301">
        <f t="shared" si="8"/>
        <v>2</v>
      </c>
      <c r="U19" s="1301">
        <f t="shared" si="8"/>
        <v>2</v>
      </c>
      <c r="V19" s="1301">
        <f t="shared" si="8"/>
        <v>2</v>
      </c>
      <c r="W19" s="1301">
        <f t="shared" si="8"/>
        <v>2</v>
      </c>
      <c r="X19" s="1301">
        <f t="shared" si="8"/>
        <v>2</v>
      </c>
    </row>
    <row r="20" spans="1:25">
      <c r="C20" s="1300" t="s">
        <v>158</v>
      </c>
      <c r="D20" s="1301">
        <f>IF(D16&lt;0,1,2)</f>
        <v>1</v>
      </c>
      <c r="E20" s="1301">
        <f t="shared" ref="E20:X20" si="9">IF(E16&lt;0,1,2)</f>
        <v>1</v>
      </c>
      <c r="F20" s="1301">
        <f t="shared" si="9"/>
        <v>1</v>
      </c>
      <c r="G20" s="1301">
        <f t="shared" si="9"/>
        <v>1</v>
      </c>
      <c r="H20" s="1301">
        <f t="shared" si="9"/>
        <v>1</v>
      </c>
      <c r="I20" s="1301">
        <f t="shared" si="9"/>
        <v>1</v>
      </c>
      <c r="J20" s="1301">
        <f t="shared" si="9"/>
        <v>1</v>
      </c>
      <c r="K20" s="1301">
        <f t="shared" si="9"/>
        <v>2</v>
      </c>
      <c r="L20" s="1301">
        <f t="shared" si="9"/>
        <v>2</v>
      </c>
      <c r="M20" s="1301">
        <f t="shared" si="9"/>
        <v>2</v>
      </c>
      <c r="N20" s="1301">
        <f t="shared" si="9"/>
        <v>2</v>
      </c>
      <c r="O20" s="1301">
        <f t="shared" si="9"/>
        <v>2</v>
      </c>
      <c r="P20" s="1301">
        <f t="shared" si="9"/>
        <v>2</v>
      </c>
      <c r="Q20" s="1301">
        <f t="shared" si="9"/>
        <v>2</v>
      </c>
      <c r="R20" s="1301">
        <f t="shared" si="9"/>
        <v>2</v>
      </c>
      <c r="S20" s="1301">
        <f t="shared" si="9"/>
        <v>2</v>
      </c>
      <c r="T20" s="1301">
        <f t="shared" si="9"/>
        <v>2</v>
      </c>
      <c r="U20" s="1301">
        <f t="shared" si="9"/>
        <v>2</v>
      </c>
      <c r="V20" s="1301">
        <f t="shared" si="9"/>
        <v>2</v>
      </c>
      <c r="W20" s="1301">
        <f t="shared" si="9"/>
        <v>2</v>
      </c>
      <c r="X20" s="1301">
        <f t="shared" si="9"/>
        <v>2</v>
      </c>
    </row>
    <row r="21" spans="1:25" ht="15.75">
      <c r="B21" s="1138"/>
    </row>
    <row r="22" spans="1:25" ht="15" thickBot="1">
      <c r="C22" s="737" t="s">
        <v>159</v>
      </c>
    </row>
    <row r="23" spans="1:25" ht="15.75" thickBot="1">
      <c r="B23" s="1453" t="s">
        <v>1113</v>
      </c>
      <c r="C23" s="1165" t="s">
        <v>137</v>
      </c>
      <c r="D23" s="1162">
        <v>0</v>
      </c>
      <c r="E23" s="1162">
        <v>1</v>
      </c>
      <c r="F23" s="181">
        <v>2</v>
      </c>
      <c r="G23" s="181">
        <v>3</v>
      </c>
      <c r="H23" s="181">
        <v>4</v>
      </c>
      <c r="I23" s="181">
        <v>5</v>
      </c>
      <c r="J23" s="181">
        <v>6</v>
      </c>
      <c r="K23" s="181">
        <v>7</v>
      </c>
      <c r="L23" s="181">
        <v>8</v>
      </c>
      <c r="M23" s="181">
        <v>9</v>
      </c>
      <c r="N23" s="181">
        <v>10</v>
      </c>
      <c r="O23" s="181">
        <v>11</v>
      </c>
      <c r="P23" s="181">
        <v>12</v>
      </c>
      <c r="Q23" s="181">
        <v>13</v>
      </c>
      <c r="R23" s="181">
        <v>14</v>
      </c>
      <c r="S23" s="181">
        <v>15</v>
      </c>
      <c r="T23" s="181">
        <v>16</v>
      </c>
      <c r="U23" s="181">
        <v>17</v>
      </c>
      <c r="V23" s="181">
        <v>18</v>
      </c>
      <c r="W23" s="181">
        <v>19</v>
      </c>
      <c r="X23" s="183">
        <v>20</v>
      </c>
    </row>
    <row r="24" spans="1:25" ht="15.75" thickBot="1">
      <c r="B24" s="1454"/>
      <c r="C24" s="1236" t="s">
        <v>138</v>
      </c>
      <c r="D24" s="1237">
        <v>2022</v>
      </c>
      <c r="E24" s="1237">
        <v>2023</v>
      </c>
      <c r="F24" s="1238">
        <v>2024</v>
      </c>
      <c r="G24" s="1237">
        <v>2025</v>
      </c>
      <c r="H24" s="1238">
        <v>2026</v>
      </c>
      <c r="I24" s="1237">
        <v>2027</v>
      </c>
      <c r="J24" s="1238">
        <v>2028</v>
      </c>
      <c r="K24" s="1237">
        <v>2029</v>
      </c>
      <c r="L24" s="1238">
        <v>2030</v>
      </c>
      <c r="M24" s="1237">
        <v>2031</v>
      </c>
      <c r="N24" s="1238">
        <v>2032</v>
      </c>
      <c r="O24" s="1237">
        <v>2033</v>
      </c>
      <c r="P24" s="1238">
        <v>2034</v>
      </c>
      <c r="Q24" s="1237">
        <v>2035</v>
      </c>
      <c r="R24" s="1238">
        <v>2036</v>
      </c>
      <c r="S24" s="1237">
        <v>2037</v>
      </c>
      <c r="T24" s="1238">
        <v>2038</v>
      </c>
      <c r="U24" s="1237">
        <v>2039</v>
      </c>
      <c r="V24" s="1238">
        <v>2040</v>
      </c>
      <c r="W24" s="1237">
        <v>2041</v>
      </c>
      <c r="X24" s="1239">
        <v>2042</v>
      </c>
    </row>
    <row r="25" spans="1:25">
      <c r="A25" s="1254" t="s">
        <v>139</v>
      </c>
      <c r="B25" s="1454"/>
      <c r="C25" s="1244" t="s">
        <v>140</v>
      </c>
      <c r="D25" s="1255"/>
      <c r="E25" s="1240">
        <f>'Vývoj trhu'!D11</f>
        <v>11166662.95311721</v>
      </c>
      <c r="F25" s="1240">
        <f>'Vývoj trhu'!E11</f>
        <v>19149919.776320651</v>
      </c>
      <c r="G25" s="1240">
        <f>'Vývoj trhu'!F11</f>
        <v>23042582.1942463</v>
      </c>
      <c r="H25" s="1240">
        <f>'Vývoj trhu'!G11</f>
        <v>22894133.203732185</v>
      </c>
      <c r="I25" s="1240">
        <f>'Vývoj trhu'!H11</f>
        <v>27215648.260920823</v>
      </c>
      <c r="J25" s="1240">
        <f>'Vývoj trhu'!I11</f>
        <v>30184628.07120309</v>
      </c>
      <c r="K25" s="1240">
        <f>'Vývoj trhu'!J11</f>
        <v>31916532.960534416</v>
      </c>
      <c r="L25" s="1240">
        <f>'Vývoj trhu'!K11</f>
        <v>33681426.514424436</v>
      </c>
      <c r="M25" s="1240">
        <f>'Vývoj trhu'!L11</f>
        <v>34967984.432213418</v>
      </c>
      <c r="N25" s="1240">
        <f>'Vývoj trhu'!M11</f>
        <v>36617417.66014801</v>
      </c>
      <c r="O25" s="1240">
        <f>'Vývoj trhu'!N11</f>
        <v>37112247.628528394</v>
      </c>
      <c r="P25" s="1240">
        <f>'Vývoj trhu'!O11</f>
        <v>38761680.856462985</v>
      </c>
      <c r="Q25" s="1240">
        <f>'Vývoj trhu'!P11</f>
        <v>40411114.084397584</v>
      </c>
      <c r="R25" s="1240">
        <f>'Vývoj trhu'!Q11</f>
        <v>42060547.312332176</v>
      </c>
      <c r="S25" s="1240">
        <f>'Vývoj trhu'!R11</f>
        <v>44534697.154234067</v>
      </c>
      <c r="T25" s="1240">
        <f>'Vývoj trhu'!S11</f>
        <v>44534697.154234067</v>
      </c>
      <c r="U25" s="1240">
        <f>'Vývoj trhu'!T11</f>
        <v>44534697.154234067</v>
      </c>
      <c r="V25" s="1240">
        <f>'Vývoj trhu'!U11</f>
        <v>44534697.154234067</v>
      </c>
      <c r="W25" s="1240">
        <f>'Vývoj trhu'!V11</f>
        <v>44534697.154234067</v>
      </c>
      <c r="X25" s="1240">
        <f>'Vývoj trhu'!W11</f>
        <v>44534697.154234067</v>
      </c>
    </row>
    <row r="26" spans="1:25" ht="15" thickBot="1">
      <c r="A26" s="1260">
        <v>0.19</v>
      </c>
      <c r="B26" s="1454"/>
      <c r="C26" s="1245" t="s">
        <v>141</v>
      </c>
      <c r="D26" s="1256"/>
      <c r="E26" s="1241">
        <f>'Náklady 10%ZW'!C4*Exchange!C4</f>
        <v>909888</v>
      </c>
      <c r="F26" s="1241">
        <f>'Náklady 10%ZW'!D4*Exchange!D4</f>
        <v>7801920</v>
      </c>
      <c r="G26" s="1241">
        <f>'Náklady 10%ZW'!E4*Exchange!E4</f>
        <v>9387840.0000000019</v>
      </c>
      <c r="H26" s="1241">
        <f>'Náklady 10%ZW'!F4*Exchange!F4</f>
        <v>9327360</v>
      </c>
      <c r="I26" s="1241">
        <f>'Náklady 10%ZW'!G4*Exchange!G4</f>
        <v>11088000</v>
      </c>
      <c r="J26" s="1241">
        <f>'Náklady 10%ZW'!H4*Exchange!H4</f>
        <v>12297600</v>
      </c>
      <c r="K26" s="1241">
        <f>'Náklady 10%ZW'!I4*Exchange!I4</f>
        <v>13003200</v>
      </c>
      <c r="L26" s="1241">
        <f>'Náklady 10%ZW'!J4*Exchange!J4</f>
        <v>13722240.000000002</v>
      </c>
      <c r="M26" s="1241">
        <f>'Náklady 10%ZW'!K4*Exchange!K4</f>
        <v>14246400</v>
      </c>
      <c r="N26" s="1241">
        <f>'Náklady 10%ZW'!L4*Exchange!L4</f>
        <v>14918400</v>
      </c>
      <c r="O26" s="1241">
        <f>'Náklady 10%ZW'!M4*Exchange!M4</f>
        <v>15120000</v>
      </c>
      <c r="P26" s="1241">
        <f>'Náklady 10%ZW'!N4*Exchange!N4</f>
        <v>15792000</v>
      </c>
      <c r="Q26" s="1241">
        <f>'Náklady 10%ZW'!O4*Exchange!O4</f>
        <v>16464000</v>
      </c>
      <c r="R26" s="1241">
        <f>'Náklady 10%ZW'!P4*Exchange!P4</f>
        <v>17136000</v>
      </c>
      <c r="S26" s="1241">
        <f>'Náklady 10%ZW'!Q4*Exchange!Q4</f>
        <v>18144000</v>
      </c>
      <c r="T26" s="1241">
        <f>'Náklady 10%ZW'!R4*Exchange!R4</f>
        <v>18144000</v>
      </c>
      <c r="U26" s="1241">
        <f>'Náklady 10%ZW'!S4*Exchange!S4</f>
        <v>18144000</v>
      </c>
      <c r="V26" s="1241">
        <f>'Náklady 10%ZW'!T4*Exchange!T4</f>
        <v>18144000</v>
      </c>
      <c r="W26" s="1241">
        <f>'Náklady 10%ZW'!U4*Exchange!U4</f>
        <v>18144000</v>
      </c>
      <c r="X26" s="1241">
        <f>'Náklady 10%ZW'!V4*Exchange!V4</f>
        <v>18144000</v>
      </c>
    </row>
    <row r="27" spans="1:25" ht="15" thickBot="1">
      <c r="B27" s="1454"/>
      <c r="C27" s="1245" t="s">
        <v>142</v>
      </c>
      <c r="D27" s="1256"/>
      <c r="E27" s="1241">
        <f>'Náklady 10%ZW'!C8*Exchange!C4</f>
        <v>672000</v>
      </c>
      <c r="F27" s="1241">
        <f>'Náklady 10%ZW'!D8*Exchange!D4</f>
        <v>714000</v>
      </c>
      <c r="G27" s="1241">
        <f>'Náklady 10%ZW'!E8*Exchange!E4</f>
        <v>764400</v>
      </c>
      <c r="H27" s="1241">
        <f>'Náklady 10%ZW'!F8*Exchange!F4</f>
        <v>824880</v>
      </c>
      <c r="I27" s="1241">
        <f>'Náklady 10%ZW'!G8*Exchange!G4</f>
        <v>897456</v>
      </c>
      <c r="J27" s="1241">
        <f>'Náklady 10%ZW'!H8*Exchange!H4</f>
        <v>984547.2</v>
      </c>
      <c r="K27" s="1241">
        <f>'Náklady 10%ZW'!I8*Exchange!I4</f>
        <v>1089056.6399999999</v>
      </c>
      <c r="L27" s="1241">
        <f>'Náklady 10%ZW'!J8*Exchange!J4</f>
        <v>1214467.9680000001</v>
      </c>
      <c r="M27" s="1241">
        <f>'Náklady 10%ZW'!K8*Exchange!K4</f>
        <v>1364961.5616000001</v>
      </c>
      <c r="N27" s="1241">
        <f>'Náklady 10%ZW'!L8*Exchange!L4</f>
        <v>1545553.8739200004</v>
      </c>
      <c r="O27" s="1241">
        <f>'Náklady 10%ZW'!M8*Exchange!M4</f>
        <v>1762264.6487040003</v>
      </c>
      <c r="P27" s="1241">
        <f>'Náklady 10%ZW'!N8*Exchange!N4</f>
        <v>2022317.5784448003</v>
      </c>
      <c r="Q27" s="1241">
        <f>'Náklady 10%ZW'!O8*Exchange!O4</f>
        <v>2334381.0941337603</v>
      </c>
      <c r="R27" s="1241">
        <f>'Náklady 10%ZW'!P8*Exchange!P4</f>
        <v>2708857.3129605125</v>
      </c>
      <c r="S27" s="1241">
        <f>'Náklady 10%ZW'!Q8*Exchange!Q4</f>
        <v>3158228.7755526151</v>
      </c>
      <c r="T27" s="1241">
        <f>'Náklady 10%ZW'!R8*Exchange!R4</f>
        <v>3697474.5306631378</v>
      </c>
      <c r="U27" s="1241">
        <f>'Náklady 10%ZW'!S8*Exchange!S4</f>
        <v>4344569.4367957655</v>
      </c>
      <c r="V27" s="1241">
        <f>'Náklady 10%ZW'!T8*Exchange!T4</f>
        <v>5121083.3241549181</v>
      </c>
      <c r="W27" s="1241">
        <f>'Náklady 10%ZW'!U8*Exchange!U4</f>
        <v>6052899.9889859026</v>
      </c>
      <c r="X27" s="1241">
        <f>'Náklady 10%ZW'!V8*Exchange!V4</f>
        <v>7171079.9867830826</v>
      </c>
    </row>
    <row r="28" spans="1:25">
      <c r="A28" s="1254" t="s">
        <v>143</v>
      </c>
      <c r="B28" s="1454"/>
      <c r="C28" s="1245" t="s">
        <v>144</v>
      </c>
      <c r="D28" s="1256"/>
      <c r="E28" s="1241">
        <f>E25-E26-E27</f>
        <v>9584774.9531172104</v>
      </c>
      <c r="F28" s="1241">
        <f t="shared" ref="F28:X28" si="10">F25-F26-F27</f>
        <v>10633999.776320651</v>
      </c>
      <c r="G28" s="1241">
        <f t="shared" si="10"/>
        <v>12890342.194246298</v>
      </c>
      <c r="H28" s="1241">
        <f t="shared" si="10"/>
        <v>12741893.203732185</v>
      </c>
      <c r="I28" s="1241">
        <f t="shared" si="10"/>
        <v>15230192.260920823</v>
      </c>
      <c r="J28" s="1241">
        <f t="shared" si="10"/>
        <v>16902480.871203091</v>
      </c>
      <c r="K28" s="1241">
        <f t="shared" si="10"/>
        <v>17824276.320534416</v>
      </c>
      <c r="L28" s="1241">
        <f t="shared" si="10"/>
        <v>18744718.546424437</v>
      </c>
      <c r="M28" s="1241">
        <f t="shared" si="10"/>
        <v>19356622.870613419</v>
      </c>
      <c r="N28" s="1241">
        <f t="shared" si="10"/>
        <v>20153463.786228009</v>
      </c>
      <c r="O28" s="1241">
        <f t="shared" si="10"/>
        <v>20229982.979824394</v>
      </c>
      <c r="P28" s="1241">
        <f t="shared" si="10"/>
        <v>20947363.278018184</v>
      </c>
      <c r="Q28" s="1241">
        <f t="shared" si="10"/>
        <v>21612732.990263823</v>
      </c>
      <c r="R28" s="1241">
        <f t="shared" si="10"/>
        <v>22215689.999371663</v>
      </c>
      <c r="S28" s="1241">
        <f t="shared" si="10"/>
        <v>23232468.378681451</v>
      </c>
      <c r="T28" s="1241">
        <f t="shared" si="10"/>
        <v>22693222.62357093</v>
      </c>
      <c r="U28" s="1241">
        <f t="shared" si="10"/>
        <v>22046127.717438303</v>
      </c>
      <c r="V28" s="1241">
        <f t="shared" si="10"/>
        <v>21269613.830079149</v>
      </c>
      <c r="W28" s="1241">
        <f t="shared" si="10"/>
        <v>20337797.165248163</v>
      </c>
      <c r="X28" s="1241">
        <f t="shared" si="10"/>
        <v>19219617.167450983</v>
      </c>
    </row>
    <row r="29" spans="1:25" ht="15" thickBot="1">
      <c r="A29" s="1260">
        <v>0.15</v>
      </c>
      <c r="B29" s="1454"/>
      <c r="C29" s="1245" t="s">
        <v>145</v>
      </c>
      <c r="D29" s="1256"/>
      <c r="E29" s="1241">
        <f>E28-Expanze!J12</f>
        <v>7584774.9531172104</v>
      </c>
      <c r="F29" s="1241">
        <f>F28-Expanze!K12</f>
        <v>8633999.7763206512</v>
      </c>
      <c r="G29" s="1241">
        <f>G28-Expanze!L12</f>
        <v>10890342.194246298</v>
      </c>
      <c r="H29" s="1241">
        <f>H28-Expanze!M12</f>
        <v>10741893.203732185</v>
      </c>
      <c r="I29" s="1241">
        <f>I28-Expanze!N12</f>
        <v>13230192.260920823</v>
      </c>
      <c r="J29" s="1241">
        <f>J28-Expanze!O12</f>
        <v>16902480.871203091</v>
      </c>
      <c r="K29" s="1241">
        <f>K28-Expanze!P12</f>
        <v>17824276.320534416</v>
      </c>
      <c r="L29" s="1241">
        <f>L28-Expanze!Q12</f>
        <v>18744718.546424437</v>
      </c>
      <c r="M29" s="1241">
        <f>M28-Expanze!R12</f>
        <v>19356622.870613419</v>
      </c>
      <c r="N29" s="1241">
        <f>N28-Expanze!S12</f>
        <v>20153463.786228009</v>
      </c>
      <c r="O29" s="1241">
        <f>O28-Expanze!T12</f>
        <v>20229982.979824394</v>
      </c>
      <c r="P29" s="1241">
        <f>P28-Expanze!U12</f>
        <v>20947363.278018184</v>
      </c>
      <c r="Q29" s="1241">
        <f>Q28-Expanze!V12</f>
        <v>21612732.990263823</v>
      </c>
      <c r="R29" s="1241">
        <f>R28-Expanze!W12</f>
        <v>22215689.999371663</v>
      </c>
      <c r="S29" s="1241">
        <f>S28-Expanze!X12</f>
        <v>23232468.378681451</v>
      </c>
      <c r="T29" s="1241">
        <f>T28-Expanze!Y12</f>
        <v>22693222.62357093</v>
      </c>
      <c r="U29" s="1241">
        <f>U28-Expanze!Z12</f>
        <v>22046127.717438303</v>
      </c>
      <c r="V29" s="1241">
        <f>V28-Expanze!AA12</f>
        <v>21269613.830079149</v>
      </c>
      <c r="W29" s="1241">
        <f>W28-Expanze!AB12</f>
        <v>20337797.165248163</v>
      </c>
      <c r="X29" s="1241">
        <f>X28-Expanze!AC12</f>
        <v>19219617.167450983</v>
      </c>
    </row>
    <row r="30" spans="1:25" ht="15" thickBot="1">
      <c r="B30" s="1454"/>
      <c r="C30" s="1245" t="s">
        <v>139</v>
      </c>
      <c r="D30" s="1256"/>
      <c r="E30" s="1241">
        <f>IF(E29&gt;0,E29*$A$5,0)</f>
        <v>1441107.24109227</v>
      </c>
      <c r="F30" s="1241">
        <f t="shared" ref="F30:X30" si="11">IF(F29&gt;0,F29*$A$5,0)</f>
        <v>1640459.9575009237</v>
      </c>
      <c r="G30" s="1241">
        <f t="shared" si="11"/>
        <v>2069165.0169067965</v>
      </c>
      <c r="H30" s="1241">
        <f t="shared" si="11"/>
        <v>2040959.7087091152</v>
      </c>
      <c r="I30" s="1241">
        <f t="shared" si="11"/>
        <v>2513736.5295749563</v>
      </c>
      <c r="J30" s="1241">
        <f t="shared" si="11"/>
        <v>3211471.3655285873</v>
      </c>
      <c r="K30" s="1241">
        <f t="shared" si="11"/>
        <v>3386612.5009015389</v>
      </c>
      <c r="L30" s="1241">
        <f t="shared" si="11"/>
        <v>3561496.5238206433</v>
      </c>
      <c r="M30" s="1241">
        <f t="shared" si="11"/>
        <v>3677758.3454165496</v>
      </c>
      <c r="N30" s="1241">
        <f t="shared" si="11"/>
        <v>3829158.1193833216</v>
      </c>
      <c r="O30" s="1241">
        <f t="shared" si="11"/>
        <v>3843696.7661666349</v>
      </c>
      <c r="P30" s="1241">
        <f t="shared" si="11"/>
        <v>3979999.0228234548</v>
      </c>
      <c r="Q30" s="1241">
        <f t="shared" si="11"/>
        <v>4106419.2681501266</v>
      </c>
      <c r="R30" s="1241">
        <f t="shared" si="11"/>
        <v>4220981.0998806162</v>
      </c>
      <c r="S30" s="1241">
        <f t="shared" si="11"/>
        <v>4414168.9919494754</v>
      </c>
      <c r="T30" s="1241">
        <f t="shared" si="11"/>
        <v>4311712.2984784767</v>
      </c>
      <c r="U30" s="1241">
        <f t="shared" si="11"/>
        <v>4188764.2663132777</v>
      </c>
      <c r="V30" s="1241">
        <f t="shared" si="11"/>
        <v>4041226.6277150386</v>
      </c>
      <c r="W30" s="1241">
        <f t="shared" si="11"/>
        <v>3864181.461397151</v>
      </c>
      <c r="X30" s="1241">
        <f t="shared" si="11"/>
        <v>3651727.2618156867</v>
      </c>
    </row>
    <row r="31" spans="1:25" ht="15" thickBot="1">
      <c r="A31" s="1254" t="s">
        <v>146</v>
      </c>
      <c r="B31" s="1454"/>
      <c r="C31" s="1245" t="s">
        <v>147</v>
      </c>
      <c r="D31" s="1257"/>
      <c r="E31" s="1242">
        <f>E29-E30</f>
        <v>6143667.7120249402</v>
      </c>
      <c r="F31" s="1242">
        <f t="shared" ref="F31:X31" si="12">F29-F30</f>
        <v>6993539.8188197277</v>
      </c>
      <c r="G31" s="1242">
        <f t="shared" si="12"/>
        <v>8821177.1773395017</v>
      </c>
      <c r="H31" s="1242">
        <f t="shared" si="12"/>
        <v>8700933.4950230699</v>
      </c>
      <c r="I31" s="1242">
        <f t="shared" si="12"/>
        <v>10716455.731345866</v>
      </c>
      <c r="J31" s="1242">
        <f t="shared" si="12"/>
        <v>13691009.505674504</v>
      </c>
      <c r="K31" s="1242">
        <f t="shared" si="12"/>
        <v>14437663.819632877</v>
      </c>
      <c r="L31" s="1242">
        <f t="shared" si="12"/>
        <v>15183222.022603795</v>
      </c>
      <c r="M31" s="1242">
        <f t="shared" si="12"/>
        <v>15678864.525196869</v>
      </c>
      <c r="N31" s="1242">
        <f t="shared" si="12"/>
        <v>16324305.666844686</v>
      </c>
      <c r="O31" s="1242">
        <f t="shared" si="12"/>
        <v>16386286.213657759</v>
      </c>
      <c r="P31" s="1242">
        <f t="shared" si="12"/>
        <v>16967364.255194731</v>
      </c>
      <c r="Q31" s="1242">
        <f t="shared" si="12"/>
        <v>17506313.722113699</v>
      </c>
      <c r="R31" s="1242">
        <f t="shared" si="12"/>
        <v>17994708.899491046</v>
      </c>
      <c r="S31" s="1242">
        <f t="shared" si="12"/>
        <v>18818299.386731975</v>
      </c>
      <c r="T31" s="1242">
        <f t="shared" si="12"/>
        <v>18381510.325092454</v>
      </c>
      <c r="U31" s="1242">
        <f t="shared" si="12"/>
        <v>17857363.451125026</v>
      </c>
      <c r="V31" s="1242">
        <f t="shared" si="12"/>
        <v>17228387.202364109</v>
      </c>
      <c r="W31" s="1242">
        <f t="shared" si="12"/>
        <v>16473615.703851013</v>
      </c>
      <c r="X31" s="1242">
        <f t="shared" si="12"/>
        <v>15567889.905635297</v>
      </c>
    </row>
    <row r="32" spans="1:25" ht="15.75" thickBot="1">
      <c r="A32" s="1299">
        <v>20</v>
      </c>
      <c r="B32" s="1454"/>
      <c r="C32" s="1165" t="s">
        <v>148</v>
      </c>
      <c r="D32" s="1243">
        <f>Expanze!$C$22-(2*Expanze!$C$22)</f>
        <v>-20000000</v>
      </c>
      <c r="E32" s="1243">
        <f>E31+Expanze!J23</f>
        <v>7143667.7120249402</v>
      </c>
      <c r="F32" s="1243">
        <f>F31+Expanze!K23</f>
        <v>7993539.8188197277</v>
      </c>
      <c r="G32" s="1243">
        <f>G31+Expanze!L23</f>
        <v>9821177.1773395017</v>
      </c>
      <c r="H32" s="1243">
        <f>H31+Expanze!M23</f>
        <v>9700933.4950230699</v>
      </c>
      <c r="I32" s="1243">
        <f>I31+Expanze!N23</f>
        <v>11716455.731345866</v>
      </c>
      <c r="J32" s="1243">
        <f>J31+Expanze!O23</f>
        <v>14691009.505674504</v>
      </c>
      <c r="K32" s="1243">
        <f>K31+Expanze!P23</f>
        <v>15437663.819632877</v>
      </c>
      <c r="L32" s="1243">
        <f>L31+Expanze!Q23</f>
        <v>16183222.022603795</v>
      </c>
      <c r="M32" s="1243">
        <f>M31+Expanze!R23</f>
        <v>16678864.525196869</v>
      </c>
      <c r="N32" s="1243">
        <f>N31+Expanze!S23</f>
        <v>17324305.666844688</v>
      </c>
      <c r="O32" s="1243">
        <f>O31+Expanze!T23</f>
        <v>16386286.213657759</v>
      </c>
      <c r="P32" s="1243">
        <f>P31+Expanze!U23</f>
        <v>16967364.255194731</v>
      </c>
      <c r="Q32" s="1243">
        <f>Q31+Expanze!V23</f>
        <v>17506313.722113699</v>
      </c>
      <c r="R32" s="1243">
        <f>R31+Expanze!W23</f>
        <v>17994708.899491046</v>
      </c>
      <c r="S32" s="1243">
        <f>S31+Expanze!X23</f>
        <v>18818299.386731975</v>
      </c>
      <c r="T32" s="1243">
        <f>T31+Expanze!Y23</f>
        <v>18381510.325092454</v>
      </c>
      <c r="U32" s="1243">
        <f>U31+Expanze!Z23</f>
        <v>17857363.451125026</v>
      </c>
      <c r="V32" s="1243">
        <f>V31+Expanze!AA23</f>
        <v>17228387.202364109</v>
      </c>
      <c r="W32" s="1243">
        <f>W31+Expanze!AB23</f>
        <v>16473615.703851013</v>
      </c>
      <c r="X32" s="1243">
        <f>X31+Expanze!AC23</f>
        <v>15567889.905635297</v>
      </c>
      <c r="Y32" s="1261">
        <f>SUM(D32:X32)</f>
        <v>279872578.53976297</v>
      </c>
    </row>
    <row r="33" spans="2:25" ht="15" thickBot="1">
      <c r="B33" s="1454"/>
      <c r="C33" s="1246" t="s">
        <v>149</v>
      </c>
      <c r="D33" s="1251">
        <f>D32</f>
        <v>-20000000</v>
      </c>
      <c r="E33" s="1251">
        <f>D33+E32</f>
        <v>-12856332.28797506</v>
      </c>
      <c r="F33" s="1251">
        <f t="shared" ref="F33:X33" si="13">E33+F32</f>
        <v>-4862792.4691553321</v>
      </c>
      <c r="G33" s="1251">
        <f t="shared" si="13"/>
        <v>4958384.7081841696</v>
      </c>
      <c r="H33" s="1251">
        <f t="shared" si="13"/>
        <v>14659318.20320724</v>
      </c>
      <c r="I33" s="1251">
        <f t="shared" si="13"/>
        <v>26375773.934553105</v>
      </c>
      <c r="J33" s="1251">
        <f t="shared" si="13"/>
        <v>41066783.440227613</v>
      </c>
      <c r="K33" s="1251">
        <f t="shared" si="13"/>
        <v>56504447.259860486</v>
      </c>
      <c r="L33" s="1251">
        <f t="shared" si="13"/>
        <v>72687669.282464281</v>
      </c>
      <c r="M33" s="1251">
        <f t="shared" si="13"/>
        <v>89366533.807661146</v>
      </c>
      <c r="N33" s="1251">
        <f t="shared" si="13"/>
        <v>106690839.47450584</v>
      </c>
      <c r="O33" s="1251">
        <f t="shared" si="13"/>
        <v>123077125.68816361</v>
      </c>
      <c r="P33" s="1251">
        <f t="shared" si="13"/>
        <v>140044489.94335833</v>
      </c>
      <c r="Q33" s="1251">
        <f t="shared" si="13"/>
        <v>157550803.66547203</v>
      </c>
      <c r="R33" s="1251">
        <f t="shared" si="13"/>
        <v>175545512.56496307</v>
      </c>
      <c r="S33" s="1251">
        <f t="shared" si="13"/>
        <v>194363811.95169505</v>
      </c>
      <c r="T33" s="1251">
        <f t="shared" si="13"/>
        <v>212745322.27678752</v>
      </c>
      <c r="U33" s="1251">
        <f t="shared" si="13"/>
        <v>230602685.72791255</v>
      </c>
      <c r="V33" s="1251">
        <f t="shared" si="13"/>
        <v>247831072.93027666</v>
      </c>
      <c r="W33" s="1251">
        <f t="shared" si="13"/>
        <v>264304688.63412768</v>
      </c>
      <c r="X33" s="1251">
        <f t="shared" si="13"/>
        <v>279872578.53976297</v>
      </c>
    </row>
    <row r="34" spans="2:25" ht="15" thickBot="1">
      <c r="B34" s="1454"/>
    </row>
    <row r="35" spans="2:25">
      <c r="B35" s="1454"/>
      <c r="C35" s="1265" t="s">
        <v>150</v>
      </c>
      <c r="D35" s="1241">
        <f>1/(1+$A$29)^D23</f>
        <v>1</v>
      </c>
      <c r="E35" s="1267">
        <f t="shared" ref="E35:X35" si="14">1/(1+$A$8)^E23</f>
        <v>0.86956521739130443</v>
      </c>
      <c r="F35" s="1267">
        <f t="shared" si="14"/>
        <v>0.7561436672967865</v>
      </c>
      <c r="G35" s="1267">
        <f t="shared" si="14"/>
        <v>0.65751623243198831</v>
      </c>
      <c r="H35" s="1267">
        <f t="shared" si="14"/>
        <v>0.57175324559303342</v>
      </c>
      <c r="I35" s="1267">
        <f t="shared" si="14"/>
        <v>0.49717673529828987</v>
      </c>
      <c r="J35" s="1267">
        <f t="shared" si="14"/>
        <v>0.43232759591155645</v>
      </c>
      <c r="K35" s="1267">
        <f t="shared" si="14"/>
        <v>0.37593703992309269</v>
      </c>
      <c r="L35" s="1267">
        <f t="shared" si="14"/>
        <v>0.32690177384616753</v>
      </c>
      <c r="M35" s="1267">
        <f t="shared" si="14"/>
        <v>0.28426241204014574</v>
      </c>
      <c r="N35" s="1267">
        <f t="shared" si="14"/>
        <v>0.24718470612186585</v>
      </c>
      <c r="O35" s="1267">
        <f t="shared" si="14"/>
        <v>0.21494322271466598</v>
      </c>
      <c r="P35" s="1267">
        <f t="shared" si="14"/>
        <v>0.18690715018666609</v>
      </c>
      <c r="Q35" s="1267">
        <f t="shared" si="14"/>
        <v>0.16252795668405748</v>
      </c>
      <c r="R35" s="1267">
        <f t="shared" si="14"/>
        <v>0.14132865798613695</v>
      </c>
      <c r="S35" s="1267">
        <f t="shared" si="14"/>
        <v>0.1228944852053365</v>
      </c>
      <c r="T35" s="1267">
        <f t="shared" si="14"/>
        <v>0.10686476974377089</v>
      </c>
      <c r="U35" s="1267">
        <f t="shared" si="14"/>
        <v>9.2925886733713825E-2</v>
      </c>
      <c r="V35" s="1267">
        <f t="shared" si="14"/>
        <v>8.0805118898881603E-2</v>
      </c>
      <c r="W35" s="1267">
        <f t="shared" si="14"/>
        <v>7.0265320781636179E-2</v>
      </c>
      <c r="X35" s="1267">
        <f t="shared" si="14"/>
        <v>6.1100278940553199E-2</v>
      </c>
      <c r="Y35" s="737" t="s">
        <v>151</v>
      </c>
    </row>
    <row r="36" spans="2:25" ht="15">
      <c r="B36" s="1454"/>
      <c r="C36" s="1266" t="s">
        <v>152</v>
      </c>
      <c r="D36" s="1243">
        <f>D35*D32</f>
        <v>-20000000</v>
      </c>
      <c r="E36" s="1235">
        <f t="shared" ref="E36:X36" si="15">E35*E32</f>
        <v>6211884.9669782091</v>
      </c>
      <c r="F36" s="1235">
        <f t="shared" si="15"/>
        <v>6044264.5132852392</v>
      </c>
      <c r="G36" s="1235">
        <f t="shared" si="15"/>
        <v>6457583.4156912984</v>
      </c>
      <c r="H36" s="1235">
        <f t="shared" si="15"/>
        <v>5546540.211061609</v>
      </c>
      <c r="I36" s="1235">
        <f t="shared" si="15"/>
        <v>5825149.2097774744</v>
      </c>
      <c r="J36" s="1235">
        <f t="shared" si="15"/>
        <v>6351328.8211020818</v>
      </c>
      <c r="K36" s="1235">
        <f t="shared" si="15"/>
        <v>5803589.6396806082</v>
      </c>
      <c r="L36" s="1235">
        <f t="shared" si="15"/>
        <v>5290323.985735544</v>
      </c>
      <c r="M36" s="1235">
        <f t="shared" si="15"/>
        <v>4741174.2600232819</v>
      </c>
      <c r="N36" s="1235">
        <f t="shared" si="15"/>
        <v>4282303.4050243795</v>
      </c>
      <c r="O36" s="1235">
        <f t="shared" si="15"/>
        <v>3522121.1670885007</v>
      </c>
      <c r="P36" s="1235">
        <f t="shared" si="15"/>
        <v>3171321.6991175516</v>
      </c>
      <c r="Q36" s="1235">
        <f t="shared" si="15"/>
        <v>2845265.3983252165</v>
      </c>
      <c r="R36" s="1235">
        <f t="shared" si="15"/>
        <v>2543168.0596162649</v>
      </c>
      <c r="S36" s="1235">
        <f t="shared" si="15"/>
        <v>2312665.2155723255</v>
      </c>
      <c r="T36" s="1235">
        <f t="shared" si="15"/>
        <v>1964335.8684337523</v>
      </c>
      <c r="U36" s="1235">
        <f t="shared" si="15"/>
        <v>1659411.3334220052</v>
      </c>
      <c r="V36" s="1235">
        <f t="shared" si="15"/>
        <v>1392141.8763230022</v>
      </c>
      <c r="W36" s="1235">
        <f t="shared" si="15"/>
        <v>1157523.8918644907</v>
      </c>
      <c r="X36" s="1250">
        <f t="shared" si="15"/>
        <v>951202.41575013904</v>
      </c>
      <c r="Y36" s="1261">
        <f>SUM(D36:X36)</f>
        <v>58073299.353872977</v>
      </c>
    </row>
    <row r="37" spans="2:25" ht="15" thickBot="1">
      <c r="B37" s="1454"/>
      <c r="C37" s="1246" t="s">
        <v>153</v>
      </c>
      <c r="D37" s="1264">
        <f>D36</f>
        <v>-20000000</v>
      </c>
      <c r="E37" s="1262">
        <f>E36+D37</f>
        <v>-13788115.033021791</v>
      </c>
      <c r="F37" s="1262">
        <f t="shared" ref="F37" si="16">F36+E37</f>
        <v>-7743850.5197365517</v>
      </c>
      <c r="G37" s="1262">
        <f t="shared" ref="G37" si="17">G36+F37</f>
        <v>-1286267.1040452532</v>
      </c>
      <c r="H37" s="1262">
        <f t="shared" ref="H37" si="18">H36+G37</f>
        <v>4260273.1070163557</v>
      </c>
      <c r="I37" s="1262">
        <f t="shared" ref="I37" si="19">I36+H37</f>
        <v>10085422.316793829</v>
      </c>
      <c r="J37" s="1262">
        <f t="shared" ref="J37" si="20">J36+I37</f>
        <v>16436751.137895912</v>
      </c>
      <c r="K37" s="1262">
        <f t="shared" ref="K37" si="21">K36+J37</f>
        <v>22240340.777576521</v>
      </c>
      <c r="L37" s="1262">
        <f t="shared" ref="L37" si="22">L36+K37</f>
        <v>27530664.763312064</v>
      </c>
      <c r="M37" s="1262">
        <f t="shared" ref="M37" si="23">M36+L37</f>
        <v>32271839.023335345</v>
      </c>
      <c r="N37" s="1262">
        <f t="shared" ref="N37" si="24">N36+M37</f>
        <v>36554142.428359725</v>
      </c>
      <c r="O37" s="1262">
        <f t="shared" ref="O37" si="25">O36+N37</f>
        <v>40076263.595448226</v>
      </c>
      <c r="P37" s="1262">
        <f t="shared" ref="P37" si="26">P36+O37</f>
        <v>43247585.294565775</v>
      </c>
      <c r="Q37" s="1262">
        <f t="shared" ref="Q37" si="27">Q36+P37</f>
        <v>46092850.692890994</v>
      </c>
      <c r="R37" s="1262">
        <f t="shared" ref="R37" si="28">R36+Q37</f>
        <v>48636018.752507262</v>
      </c>
      <c r="S37" s="1262">
        <f t="shared" ref="S37" si="29">S36+R37</f>
        <v>50948683.968079589</v>
      </c>
      <c r="T37" s="1262">
        <f t="shared" ref="T37" si="30">T36+S37</f>
        <v>52913019.83651334</v>
      </c>
      <c r="U37" s="1262">
        <f t="shared" ref="U37" si="31">U36+T37</f>
        <v>54572431.169935346</v>
      </c>
      <c r="V37" s="1262">
        <f t="shared" ref="V37" si="32">V36+U37</f>
        <v>55964573.046258345</v>
      </c>
      <c r="W37" s="1262">
        <f t="shared" ref="W37" si="33">W36+V37</f>
        <v>57122096.938122839</v>
      </c>
      <c r="X37" s="1263">
        <f t="shared" ref="X37" si="34">X36+W37</f>
        <v>58073299.353872977</v>
      </c>
    </row>
    <row r="38" spans="2:25">
      <c r="B38" s="1454"/>
      <c r="C38" s="1259" t="s">
        <v>154</v>
      </c>
      <c r="D38" s="1268">
        <f>IRR(D32:X32,1)</f>
        <v>0.4760997776394067</v>
      </c>
    </row>
    <row r="39" spans="2:25" ht="15" thickBot="1">
      <c r="B39" s="1455"/>
      <c r="C39" s="1259" t="s">
        <v>155</v>
      </c>
      <c r="D39" s="1269">
        <f>SUM(D36:X36)/Expanze!C22</f>
        <v>2.9036649676936488</v>
      </c>
    </row>
    <row r="40" spans="2:25">
      <c r="C40" s="1300" t="s">
        <v>157</v>
      </c>
      <c r="D40" s="1301">
        <f>IF(D33&lt;0,1,2)</f>
        <v>1</v>
      </c>
      <c r="E40" s="1301">
        <f t="shared" ref="E40:X40" si="35">IF(E33&lt;0,1,2)</f>
        <v>1</v>
      </c>
      <c r="F40" s="1301">
        <f t="shared" si="35"/>
        <v>1</v>
      </c>
      <c r="G40" s="1301">
        <f t="shared" si="35"/>
        <v>2</v>
      </c>
      <c r="H40" s="1301">
        <f t="shared" si="35"/>
        <v>2</v>
      </c>
      <c r="I40" s="1301">
        <f t="shared" si="35"/>
        <v>2</v>
      </c>
      <c r="J40" s="1301">
        <f t="shared" si="35"/>
        <v>2</v>
      </c>
      <c r="K40" s="1301">
        <f t="shared" si="35"/>
        <v>2</v>
      </c>
      <c r="L40" s="1301">
        <f t="shared" si="35"/>
        <v>2</v>
      </c>
      <c r="M40" s="1301">
        <f t="shared" si="35"/>
        <v>2</v>
      </c>
      <c r="N40" s="1301">
        <f t="shared" si="35"/>
        <v>2</v>
      </c>
      <c r="O40" s="1301">
        <f t="shared" si="35"/>
        <v>2</v>
      </c>
      <c r="P40" s="1301">
        <f t="shared" si="35"/>
        <v>2</v>
      </c>
      <c r="Q40" s="1301">
        <f t="shared" si="35"/>
        <v>2</v>
      </c>
      <c r="R40" s="1301">
        <f t="shared" si="35"/>
        <v>2</v>
      </c>
      <c r="S40" s="1301">
        <f t="shared" si="35"/>
        <v>2</v>
      </c>
      <c r="T40" s="1301">
        <f t="shared" si="35"/>
        <v>2</v>
      </c>
      <c r="U40" s="1301">
        <f t="shared" si="35"/>
        <v>2</v>
      </c>
      <c r="V40" s="1301">
        <f t="shared" si="35"/>
        <v>2</v>
      </c>
      <c r="W40" s="1301">
        <f t="shared" si="35"/>
        <v>2</v>
      </c>
      <c r="X40" s="1301">
        <f t="shared" si="35"/>
        <v>2</v>
      </c>
    </row>
    <row r="41" spans="2:25">
      <c r="C41" s="1300" t="s">
        <v>158</v>
      </c>
      <c r="D41" s="1301">
        <f>IF(D37&lt;0,1,2)</f>
        <v>1</v>
      </c>
      <c r="E41" s="1301">
        <f t="shared" ref="E41:X41" si="36">IF(E37&lt;0,1,2)</f>
        <v>1</v>
      </c>
      <c r="F41" s="1301">
        <f t="shared" si="36"/>
        <v>1</v>
      </c>
      <c r="G41" s="1301">
        <f t="shared" si="36"/>
        <v>1</v>
      </c>
      <c r="H41" s="1301">
        <f t="shared" si="36"/>
        <v>2</v>
      </c>
      <c r="I41" s="1301">
        <f t="shared" si="36"/>
        <v>2</v>
      </c>
      <c r="J41" s="1301">
        <f t="shared" si="36"/>
        <v>2</v>
      </c>
      <c r="K41" s="1301">
        <f t="shared" si="36"/>
        <v>2</v>
      </c>
      <c r="L41" s="1301">
        <f t="shared" si="36"/>
        <v>2</v>
      </c>
      <c r="M41" s="1301">
        <f t="shared" si="36"/>
        <v>2</v>
      </c>
      <c r="N41" s="1301">
        <f t="shared" si="36"/>
        <v>2</v>
      </c>
      <c r="O41" s="1301">
        <f t="shared" si="36"/>
        <v>2</v>
      </c>
      <c r="P41" s="1301">
        <f t="shared" si="36"/>
        <v>2</v>
      </c>
      <c r="Q41" s="1301">
        <f t="shared" si="36"/>
        <v>2</v>
      </c>
      <c r="R41" s="1301">
        <f t="shared" si="36"/>
        <v>2</v>
      </c>
      <c r="S41" s="1301">
        <f t="shared" si="36"/>
        <v>2</v>
      </c>
      <c r="T41" s="1301">
        <f t="shared" si="36"/>
        <v>2</v>
      </c>
      <c r="U41" s="1301">
        <f t="shared" si="36"/>
        <v>2</v>
      </c>
      <c r="V41" s="1301">
        <f t="shared" si="36"/>
        <v>2</v>
      </c>
      <c r="W41" s="1301">
        <f t="shared" si="36"/>
        <v>2</v>
      </c>
      <c r="X41" s="1301">
        <f t="shared" si="36"/>
        <v>2</v>
      </c>
    </row>
  </sheetData>
  <customSheetViews>
    <customSheetView guid="{F9015B81-4D5E-47E3-BFA8-A54438E9D1FF}" showGridLines="0" topLeftCell="K2">
      <selection activeCell="Z13" sqref="Z13"/>
      <pageMargins left="0.7" right="0.7" top="0.78740157499999996" bottom="0.78740157499999996" header="0.3" footer="0.3"/>
      <pageSetup paperSize="9" orientation="portrait" r:id="rId1"/>
    </customSheetView>
  </customSheetViews>
  <mergeCells count="2">
    <mergeCell ref="B2:B18"/>
    <mergeCell ref="B23:B39"/>
  </mergeCells>
  <hyperlinks>
    <hyperlink ref="A1" location="MENU!A1" display="MENU" xr:uid="{F6CB03EF-40AE-48A1-9B1D-C63EB72EBBA5}"/>
  </hyperlinks>
  <pageMargins left="0.7" right="0.7" top="0.78740157499999996" bottom="0.78740157499999996" header="0.3" footer="0.3"/>
  <pageSetup paperSize="9"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71992-04E9-44DA-8CD7-3E9015EDE8E8}">
  <sheetPr>
    <tabColor rgb="FF66CCFF"/>
  </sheetPr>
  <dimension ref="A1:D35"/>
  <sheetViews>
    <sheetView showGridLines="0" workbookViewId="0">
      <selection activeCell="C18" sqref="C18"/>
    </sheetView>
  </sheetViews>
  <sheetFormatPr defaultColWidth="8.77734375" defaultRowHeight="14.25"/>
  <cols>
    <col min="1" max="2" width="8.77734375" style="737"/>
    <col min="3" max="3" width="24.109375" style="737" bestFit="1" customWidth="1"/>
    <col min="4" max="4" width="13.44140625" style="737" bestFit="1" customWidth="1"/>
    <col min="5" max="16384" width="8.77734375" style="737"/>
  </cols>
  <sheetData>
    <row r="1" spans="1:4" ht="21.75" customHeight="1" thickBot="1">
      <c r="A1" s="107" t="s">
        <v>1</v>
      </c>
    </row>
    <row r="2" spans="1:4" ht="15" customHeight="1" thickBot="1">
      <c r="B2" s="1450" t="s">
        <v>1112</v>
      </c>
      <c r="C2" s="1315" t="s">
        <v>160</v>
      </c>
      <c r="D2" s="1302"/>
    </row>
    <row r="3" spans="1:4">
      <c r="B3" s="1451"/>
      <c r="C3" s="1304" t="s">
        <v>161</v>
      </c>
      <c r="D3" s="1311">
        <f>AVERAGE('Vývoj CF'!D11:X11)</f>
        <v>137814947.68170264</v>
      </c>
    </row>
    <row r="4" spans="1:4">
      <c r="B4" s="1451"/>
      <c r="C4" s="1306" t="s">
        <v>162</v>
      </c>
      <c r="D4" s="1307">
        <f>D3/Expanze!C23</f>
        <v>0.58149883744788722</v>
      </c>
    </row>
    <row r="5" spans="1:4">
      <c r="B5" s="1451"/>
      <c r="C5" s="1303" t="s">
        <v>163</v>
      </c>
      <c r="D5" s="1305">
        <f>-'Vývoj CF'!D11/AVERAGE('Vývoj CF'!E11:X11)</f>
        <v>1.3949959023302154</v>
      </c>
    </row>
    <row r="6" spans="1:4" ht="15" thickBot="1">
      <c r="B6" s="1451"/>
      <c r="C6" s="1308" t="s">
        <v>164</v>
      </c>
      <c r="D6" s="1309">
        <f>SUMIF('Vývoj CF'!D19:X19,1)</f>
        <v>5</v>
      </c>
    </row>
    <row r="7" spans="1:4">
      <c r="B7" s="1451"/>
    </row>
    <row r="8" spans="1:4">
      <c r="B8" s="1451"/>
    </row>
    <row r="9" spans="1:4" ht="15" thickBot="1">
      <c r="B9" s="1451"/>
    </row>
    <row r="10" spans="1:4" ht="15" thickBot="1">
      <c r="B10" s="1451"/>
      <c r="C10" s="1315" t="s">
        <v>165</v>
      </c>
      <c r="D10" s="1302"/>
    </row>
    <row r="11" spans="1:4">
      <c r="B11" s="1451"/>
      <c r="C11" s="1303" t="s">
        <v>154</v>
      </c>
      <c r="D11" s="1312">
        <f>'Vývoj CF'!D17</f>
        <v>0.29535641707591709</v>
      </c>
    </row>
    <row r="12" spans="1:4">
      <c r="B12" s="1451"/>
      <c r="C12" s="1310" t="s">
        <v>151</v>
      </c>
      <c r="D12" s="1313">
        <f>'Vývoj CF'!Y15</f>
        <v>422558371.086927</v>
      </c>
    </row>
    <row r="13" spans="1:4">
      <c r="B13" s="1451"/>
      <c r="C13" s="1303" t="s">
        <v>166</v>
      </c>
      <c r="D13" s="1305">
        <f>'Vývoj CF'!D18</f>
        <v>1.9689767684025903</v>
      </c>
    </row>
    <row r="14" spans="1:4" ht="15" thickBot="1">
      <c r="B14" s="1452"/>
      <c r="C14" s="1308" t="s">
        <v>167</v>
      </c>
      <c r="D14" s="1309">
        <f>SUMIF('Vývoj CF'!D20:X20,1)</f>
        <v>7</v>
      </c>
    </row>
    <row r="15" spans="1:4">
      <c r="B15"/>
      <c r="D15" s="1314"/>
    </row>
    <row r="16" spans="1:4">
      <c r="B16"/>
    </row>
    <row r="17" spans="2:4">
      <c r="B17"/>
    </row>
    <row r="18" spans="2:4">
      <c r="B18"/>
    </row>
    <row r="22" spans="2:4" ht="15" thickBot="1"/>
    <row r="23" spans="2:4" ht="15" thickBot="1">
      <c r="B23" s="1453" t="s">
        <v>1113</v>
      </c>
      <c r="C23" s="1315" t="s">
        <v>168</v>
      </c>
      <c r="D23" s="1302"/>
    </row>
    <row r="24" spans="2:4">
      <c r="B24" s="1454"/>
      <c r="C24" s="1304" t="s">
        <v>161</v>
      </c>
      <c r="D24" s="1311">
        <f>AVERAGE('Vývoj CF'!D32:X32)</f>
        <v>13327265.644750617</v>
      </c>
    </row>
    <row r="25" spans="2:4">
      <c r="B25" s="1454"/>
      <c r="C25" s="1306" t="s">
        <v>162</v>
      </c>
      <c r="D25" s="1307">
        <f>D24/Expanze!C22</f>
        <v>0.66636328223753083</v>
      </c>
    </row>
    <row r="26" spans="2:4">
      <c r="B26" s="1454"/>
      <c r="C26" s="1303" t="s">
        <v>163</v>
      </c>
      <c r="D26" s="1305">
        <f>-'Vývoj CF'!D32/AVERAGE('Vývoj CF'!E32:X32)</f>
        <v>1.3338998915733142</v>
      </c>
    </row>
    <row r="27" spans="2:4" ht="15" thickBot="1">
      <c r="B27" s="1454"/>
      <c r="C27" s="1308" t="s">
        <v>164</v>
      </c>
      <c r="D27" s="1309">
        <f>SUMIF('Vývoj CF'!D40:X40,1)</f>
        <v>3</v>
      </c>
    </row>
    <row r="28" spans="2:4">
      <c r="B28" s="1454"/>
    </row>
    <row r="29" spans="2:4">
      <c r="B29" s="1454"/>
    </row>
    <row r="30" spans="2:4" ht="15" thickBot="1">
      <c r="B30" s="1454"/>
    </row>
    <row r="31" spans="2:4" ht="15" thickBot="1">
      <c r="B31" s="1454"/>
      <c r="C31" s="1315" t="s">
        <v>165</v>
      </c>
      <c r="D31" s="1302"/>
    </row>
    <row r="32" spans="2:4">
      <c r="B32" s="1454"/>
      <c r="C32" s="1303" t="s">
        <v>154</v>
      </c>
      <c r="D32" s="1312">
        <f>'Vývoj CF'!D38</f>
        <v>0.4760997776394067</v>
      </c>
    </row>
    <row r="33" spans="2:4">
      <c r="B33" s="1454"/>
      <c r="C33" s="1310" t="s">
        <v>151</v>
      </c>
      <c r="D33" s="1313">
        <f>'Vývoj CF'!Y36</f>
        <v>58073299.353872977</v>
      </c>
    </row>
    <row r="34" spans="2:4">
      <c r="B34" s="1454"/>
      <c r="C34" s="1303" t="s">
        <v>166</v>
      </c>
      <c r="D34" s="1305">
        <f>'Vývoj CF'!D39</f>
        <v>2.9036649676936488</v>
      </c>
    </row>
    <row r="35" spans="2:4" ht="15" thickBot="1">
      <c r="B35" s="1455"/>
      <c r="C35" s="1308" t="s">
        <v>167</v>
      </c>
      <c r="D35" s="1309">
        <f>SUMIF('Vývoj CF'!D41:X41,1)</f>
        <v>4</v>
      </c>
    </row>
  </sheetData>
  <customSheetViews>
    <customSheetView guid="{F9015B81-4D5E-47E3-BFA8-A54438E9D1FF}" showGridLines="0">
      <selection activeCell="C8" sqref="C8"/>
      <pageMargins left="0.7" right="0.7" top="0.78740157499999996" bottom="0.78740157499999996" header="0.3" footer="0.3"/>
      <pageSetup paperSize="9" orientation="portrait" r:id="rId1"/>
    </customSheetView>
  </customSheetViews>
  <mergeCells count="2">
    <mergeCell ref="B2:B14"/>
    <mergeCell ref="B23:B35"/>
  </mergeCells>
  <hyperlinks>
    <hyperlink ref="A1" location="MENU!A1" display="MENU" xr:uid="{AE2F2DF6-3BD0-4DC2-A4C2-90E959F10C91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07556-AE63-4E9D-94A2-4F5D4C6DAFFA}">
  <sheetPr>
    <tabColor rgb="FF66CCFF"/>
  </sheetPr>
  <dimension ref="A1:AB26"/>
  <sheetViews>
    <sheetView showGridLines="0" zoomScale="115" zoomScaleNormal="115" workbookViewId="0"/>
  </sheetViews>
  <sheetFormatPr defaultColWidth="8.77734375" defaultRowHeight="14.25"/>
  <cols>
    <col min="1" max="1" width="10" style="737" bestFit="1" customWidth="1"/>
    <col min="2" max="2" width="4.33203125" style="737" customWidth="1"/>
    <col min="3" max="3" width="17.44140625" style="737" customWidth="1"/>
    <col min="4" max="4" width="11.109375" style="737" bestFit="1" customWidth="1"/>
    <col min="5" max="11" width="9" style="737" bestFit="1" customWidth="1"/>
    <col min="12" max="23" width="9.44140625" style="737" bestFit="1" customWidth="1"/>
    <col min="24" max="16384" width="8.77734375" style="737"/>
  </cols>
  <sheetData>
    <row r="1" spans="1:23" ht="29.25" customHeight="1" thickBot="1">
      <c r="A1" s="107" t="s">
        <v>1</v>
      </c>
      <c r="D1" s="1373" t="s">
        <v>1122</v>
      </c>
    </row>
    <row r="2" spans="1:23" ht="15.75" thickBot="1">
      <c r="C2" s="357" t="s">
        <v>123</v>
      </c>
      <c r="D2" s="1357">
        <v>2023</v>
      </c>
      <c r="E2" s="355">
        <v>2024</v>
      </c>
      <c r="F2" s="355">
        <v>2025</v>
      </c>
      <c r="G2" s="355">
        <v>2026</v>
      </c>
      <c r="H2" s="355">
        <v>2027</v>
      </c>
      <c r="I2" s="355">
        <v>2028</v>
      </c>
      <c r="J2" s="355">
        <v>2029</v>
      </c>
      <c r="K2" s="355">
        <v>2030</v>
      </c>
      <c r="L2" s="355">
        <v>2031</v>
      </c>
      <c r="M2" s="355">
        <v>2032</v>
      </c>
      <c r="N2" s="355">
        <v>2033</v>
      </c>
      <c r="O2" s="355">
        <v>2034</v>
      </c>
      <c r="P2" s="355">
        <v>2035</v>
      </c>
      <c r="Q2" s="355">
        <v>2036</v>
      </c>
      <c r="R2" s="355">
        <v>2037</v>
      </c>
      <c r="S2" s="355">
        <v>2038</v>
      </c>
      <c r="T2" s="355">
        <v>2039</v>
      </c>
      <c r="U2" s="355">
        <v>2040</v>
      </c>
      <c r="V2" s="355">
        <v>2041</v>
      </c>
      <c r="W2" s="701">
        <v>2042</v>
      </c>
    </row>
    <row r="3" spans="1:23" customFormat="1" ht="15" thickBot="1">
      <c r="A3" s="737"/>
      <c r="B3" s="737"/>
      <c r="C3" s="1211" t="s">
        <v>169</v>
      </c>
      <c r="D3" s="1208">
        <f>D10+D11</f>
        <v>5445</v>
      </c>
      <c r="E3" s="1203">
        <f t="shared" ref="E3:W3" si="0">E10+E11</f>
        <v>10417.5</v>
      </c>
      <c r="F3" s="1203">
        <f t="shared" si="0"/>
        <v>16852.5</v>
      </c>
      <c r="G3" s="1203">
        <f t="shared" si="0"/>
        <v>23932.5</v>
      </c>
      <c r="H3" s="1203">
        <f t="shared" si="0"/>
        <v>32670</v>
      </c>
      <c r="I3" s="1203">
        <f t="shared" si="0"/>
        <v>42960</v>
      </c>
      <c r="J3" s="1203">
        <f t="shared" si="0"/>
        <v>54495</v>
      </c>
      <c r="K3" s="1203">
        <f t="shared" si="0"/>
        <v>67387.5</v>
      </c>
      <c r="L3" s="1203">
        <f t="shared" si="0"/>
        <v>81607.5</v>
      </c>
      <c r="M3" s="1203">
        <f t="shared" si="0"/>
        <v>97282.5</v>
      </c>
      <c r="N3" s="1203">
        <f t="shared" si="0"/>
        <v>114052.5</v>
      </c>
      <c r="O3" s="1203">
        <f t="shared" si="0"/>
        <v>132412.5</v>
      </c>
      <c r="P3" s="1203">
        <f t="shared" si="0"/>
        <v>152340</v>
      </c>
      <c r="Q3" s="1203">
        <f t="shared" si="0"/>
        <v>173910</v>
      </c>
      <c r="R3" s="1203">
        <f t="shared" si="0"/>
        <v>197482.5</v>
      </c>
      <c r="S3" s="1203">
        <f t="shared" si="0"/>
        <v>222270</v>
      </c>
      <c r="T3" s="1203">
        <f t="shared" si="0"/>
        <v>248250</v>
      </c>
      <c r="U3" s="1203">
        <f t="shared" si="0"/>
        <v>275422.5</v>
      </c>
      <c r="V3" s="1203">
        <f t="shared" si="0"/>
        <v>303832.5</v>
      </c>
      <c r="W3" s="1215">
        <f t="shared" si="0"/>
        <v>333495</v>
      </c>
    </row>
    <row r="4" spans="1:23">
      <c r="C4" s="1206" t="s">
        <v>170</v>
      </c>
      <c r="D4" s="1204">
        <f>D25+E25+F25+G25+H26+I26</f>
        <v>7583</v>
      </c>
      <c r="E4" s="1197">
        <f>D4+J26</f>
        <v>9216</v>
      </c>
      <c r="F4" s="1197">
        <f t="shared" ref="F4:W4" si="1">E4+K26</f>
        <v>10980</v>
      </c>
      <c r="G4" s="1197">
        <f t="shared" si="1"/>
        <v>12758</v>
      </c>
      <c r="H4" s="1197">
        <f t="shared" si="1"/>
        <v>14550</v>
      </c>
      <c r="I4" s="1197">
        <f t="shared" si="1"/>
        <v>16356</v>
      </c>
      <c r="J4" s="1197">
        <f t="shared" si="1"/>
        <v>18176</v>
      </c>
      <c r="K4" s="1197">
        <f t="shared" si="1"/>
        <v>20011</v>
      </c>
      <c r="L4" s="1197">
        <f t="shared" si="1"/>
        <v>21861</v>
      </c>
      <c r="M4" s="1197">
        <f t="shared" si="1"/>
        <v>23726</v>
      </c>
      <c r="N4" s="1197">
        <f t="shared" si="1"/>
        <v>25606</v>
      </c>
      <c r="O4" s="1197">
        <f t="shared" si="1"/>
        <v>27501</v>
      </c>
      <c r="P4" s="1197">
        <f t="shared" si="1"/>
        <v>29411</v>
      </c>
      <c r="Q4" s="1197">
        <f t="shared" si="1"/>
        <v>31336</v>
      </c>
      <c r="R4" s="1197">
        <f t="shared" si="1"/>
        <v>33276</v>
      </c>
      <c r="S4" s="1197">
        <f t="shared" si="1"/>
        <v>35232</v>
      </c>
      <c r="T4" s="1197">
        <f t="shared" si="1"/>
        <v>37204</v>
      </c>
      <c r="U4" s="1197">
        <f t="shared" si="1"/>
        <v>39192</v>
      </c>
      <c r="V4" s="1197">
        <f t="shared" si="1"/>
        <v>41196</v>
      </c>
      <c r="W4" s="1198">
        <f t="shared" si="1"/>
        <v>43216</v>
      </c>
    </row>
    <row r="5" spans="1:23" ht="15" thickBot="1">
      <c r="C5" s="1207" t="s">
        <v>171</v>
      </c>
      <c r="D5" s="1205">
        <f>'Vývoj trhu'!D10</f>
        <v>677</v>
      </c>
      <c r="E5" s="1199">
        <f>D5+'Vývoj trhu'!E10</f>
        <v>1838</v>
      </c>
      <c r="F5" s="1199">
        <f>E5+'Vývoj trhu'!F10</f>
        <v>3235</v>
      </c>
      <c r="G5" s="1199">
        <f>F5+'Vývoj trhu'!G10</f>
        <v>4623</v>
      </c>
      <c r="H5" s="1199">
        <f>G5+'Vývoj trhu'!H10</f>
        <v>6273</v>
      </c>
      <c r="I5" s="1199">
        <f>H5+'Vývoj trhu'!I10</f>
        <v>8103</v>
      </c>
      <c r="J5" s="1199">
        <f>I5+'Vývoj trhu'!J10</f>
        <v>10038</v>
      </c>
      <c r="K5" s="1199">
        <f>J5+'Vývoj trhu'!K10</f>
        <v>12080</v>
      </c>
      <c r="L5" s="1199">
        <f>K5+'Vývoj trhu'!L10</f>
        <v>14200</v>
      </c>
      <c r="M5" s="1199">
        <f>L5+'Vývoj trhu'!M10</f>
        <v>16420</v>
      </c>
      <c r="N5" s="1199">
        <f>M5+'Vývoj trhu'!N10</f>
        <v>18670</v>
      </c>
      <c r="O5" s="1199">
        <f>N5+'Vývoj trhu'!O10</f>
        <v>21020</v>
      </c>
      <c r="P5" s="1199">
        <f>O5+'Vývoj trhu'!P10</f>
        <v>23470</v>
      </c>
      <c r="Q5" s="1199">
        <f>P5+'Vývoj trhu'!Q10</f>
        <v>26020</v>
      </c>
      <c r="R5" s="1199">
        <f>Q5+'Vývoj trhu'!R10</f>
        <v>28720</v>
      </c>
      <c r="S5" s="1199">
        <f>R5+'Vývoj trhu'!S10</f>
        <v>31420</v>
      </c>
      <c r="T5" s="1199">
        <f>S5+'Vývoj trhu'!T10</f>
        <v>34120</v>
      </c>
      <c r="U5" s="1199">
        <f>T5+'Vývoj trhu'!U10</f>
        <v>36820</v>
      </c>
      <c r="V5" s="1199">
        <f>U5+'Vývoj trhu'!V10</f>
        <v>39520</v>
      </c>
      <c r="W5" s="1200">
        <f>V5+'Vývoj trhu'!W10</f>
        <v>42220</v>
      </c>
    </row>
    <row r="6" spans="1:23">
      <c r="A6" s="1196" t="s">
        <v>172</v>
      </c>
      <c r="C6" s="1212" t="s">
        <v>173</v>
      </c>
      <c r="D6" s="1209">
        <v>0.02</v>
      </c>
      <c r="E6" s="1201">
        <f>D6+0.002</f>
        <v>2.1999999999999999E-2</v>
      </c>
      <c r="F6" s="1201">
        <f t="shared" ref="F6:W6" si="2">E6+0.002</f>
        <v>2.4E-2</v>
      </c>
      <c r="G6" s="1201">
        <f t="shared" si="2"/>
        <v>2.6000000000000002E-2</v>
      </c>
      <c r="H6" s="1201">
        <f t="shared" si="2"/>
        <v>2.8000000000000004E-2</v>
      </c>
      <c r="I6" s="1201">
        <f t="shared" si="2"/>
        <v>3.0000000000000006E-2</v>
      </c>
      <c r="J6" s="1201">
        <f t="shared" si="2"/>
        <v>3.2000000000000008E-2</v>
      </c>
      <c r="K6" s="1201">
        <f t="shared" si="2"/>
        <v>3.4000000000000009E-2</v>
      </c>
      <c r="L6" s="1201">
        <f t="shared" si="2"/>
        <v>3.6000000000000011E-2</v>
      </c>
      <c r="M6" s="1201">
        <f t="shared" si="2"/>
        <v>3.8000000000000013E-2</v>
      </c>
      <c r="N6" s="1201">
        <f t="shared" si="2"/>
        <v>4.0000000000000015E-2</v>
      </c>
      <c r="O6" s="1201">
        <f t="shared" si="2"/>
        <v>4.2000000000000016E-2</v>
      </c>
      <c r="P6" s="1201">
        <f t="shared" si="2"/>
        <v>4.4000000000000018E-2</v>
      </c>
      <c r="Q6" s="1201">
        <f t="shared" si="2"/>
        <v>4.600000000000002E-2</v>
      </c>
      <c r="R6" s="1201">
        <f t="shared" si="2"/>
        <v>4.8000000000000022E-2</v>
      </c>
      <c r="S6" s="1201">
        <f t="shared" si="2"/>
        <v>5.0000000000000024E-2</v>
      </c>
      <c r="T6" s="1201">
        <f t="shared" si="2"/>
        <v>5.2000000000000025E-2</v>
      </c>
      <c r="U6" s="1201">
        <f t="shared" si="2"/>
        <v>5.4000000000000027E-2</v>
      </c>
      <c r="V6" s="1201">
        <f t="shared" si="2"/>
        <v>5.6000000000000029E-2</v>
      </c>
      <c r="W6" s="1216">
        <f t="shared" si="2"/>
        <v>5.8000000000000031E-2</v>
      </c>
    </row>
    <row r="7" spans="1:23" ht="15" thickBot="1">
      <c r="A7" s="1194">
        <v>1.4999999999999999E-2</v>
      </c>
      <c r="C7" s="1213" t="s">
        <v>174</v>
      </c>
      <c r="D7" s="1205">
        <v>0.08</v>
      </c>
      <c r="E7" s="1199">
        <f>D7+0.005</f>
        <v>8.5000000000000006E-2</v>
      </c>
      <c r="F7" s="1199">
        <f t="shared" ref="F7:W7" si="3">E7+0.005</f>
        <v>9.0000000000000011E-2</v>
      </c>
      <c r="G7" s="1199">
        <f t="shared" si="3"/>
        <v>9.5000000000000015E-2</v>
      </c>
      <c r="H7" s="1199">
        <f t="shared" si="3"/>
        <v>0.10000000000000002</v>
      </c>
      <c r="I7" s="1199">
        <f t="shared" si="3"/>
        <v>0.10500000000000002</v>
      </c>
      <c r="J7" s="1199">
        <f t="shared" si="3"/>
        <v>0.11000000000000003</v>
      </c>
      <c r="K7" s="1199">
        <f t="shared" si="3"/>
        <v>0.11500000000000003</v>
      </c>
      <c r="L7" s="1199">
        <f t="shared" si="3"/>
        <v>0.12000000000000004</v>
      </c>
      <c r="M7" s="1199">
        <f t="shared" si="3"/>
        <v>0.12500000000000003</v>
      </c>
      <c r="N7" s="1199">
        <f t="shared" si="3"/>
        <v>0.13000000000000003</v>
      </c>
      <c r="O7" s="1199">
        <f t="shared" si="3"/>
        <v>0.13500000000000004</v>
      </c>
      <c r="P7" s="1199">
        <f t="shared" si="3"/>
        <v>0.14000000000000004</v>
      </c>
      <c r="Q7" s="1199">
        <f t="shared" si="3"/>
        <v>0.14500000000000005</v>
      </c>
      <c r="R7" s="1199">
        <f t="shared" si="3"/>
        <v>0.15000000000000005</v>
      </c>
      <c r="S7" s="1199">
        <f t="shared" si="3"/>
        <v>0.15500000000000005</v>
      </c>
      <c r="T7" s="1199">
        <f t="shared" si="3"/>
        <v>0.16000000000000006</v>
      </c>
      <c r="U7" s="1199">
        <f t="shared" si="3"/>
        <v>0.16500000000000006</v>
      </c>
      <c r="V7" s="1199">
        <f t="shared" si="3"/>
        <v>0.17000000000000007</v>
      </c>
      <c r="W7" s="1200">
        <f t="shared" si="3"/>
        <v>0.17500000000000007</v>
      </c>
    </row>
    <row r="8" spans="1:23">
      <c r="A8" s="1196" t="s">
        <v>175</v>
      </c>
      <c r="C8" s="1214" t="s">
        <v>176</v>
      </c>
      <c r="D8" s="1209">
        <f>ROUND(D4*D6,0)</f>
        <v>152</v>
      </c>
      <c r="E8" s="1201">
        <f t="shared" ref="E8:W8" si="4">ROUND(E4*E6,0)</f>
        <v>203</v>
      </c>
      <c r="F8" s="1201">
        <f t="shared" si="4"/>
        <v>264</v>
      </c>
      <c r="G8" s="1201">
        <f t="shared" si="4"/>
        <v>332</v>
      </c>
      <c r="H8" s="1201">
        <f t="shared" si="4"/>
        <v>407</v>
      </c>
      <c r="I8" s="1201">
        <f t="shared" si="4"/>
        <v>491</v>
      </c>
      <c r="J8" s="1201">
        <f t="shared" si="4"/>
        <v>582</v>
      </c>
      <c r="K8" s="1201">
        <f t="shared" si="4"/>
        <v>680</v>
      </c>
      <c r="L8" s="1201">
        <f t="shared" si="4"/>
        <v>787</v>
      </c>
      <c r="M8" s="1201">
        <f t="shared" si="4"/>
        <v>902</v>
      </c>
      <c r="N8" s="1201">
        <f t="shared" si="4"/>
        <v>1024</v>
      </c>
      <c r="O8" s="1201">
        <f t="shared" si="4"/>
        <v>1155</v>
      </c>
      <c r="P8" s="1201">
        <f t="shared" si="4"/>
        <v>1294</v>
      </c>
      <c r="Q8" s="1201">
        <f t="shared" si="4"/>
        <v>1441</v>
      </c>
      <c r="R8" s="1201">
        <f t="shared" si="4"/>
        <v>1597</v>
      </c>
      <c r="S8" s="1201">
        <f t="shared" si="4"/>
        <v>1762</v>
      </c>
      <c r="T8" s="1201">
        <f t="shared" si="4"/>
        <v>1935</v>
      </c>
      <c r="U8" s="1201">
        <f t="shared" si="4"/>
        <v>2116</v>
      </c>
      <c r="V8" s="1201">
        <f t="shared" si="4"/>
        <v>2307</v>
      </c>
      <c r="W8" s="1216">
        <f t="shared" si="4"/>
        <v>2507</v>
      </c>
    </row>
    <row r="9" spans="1:23" ht="15" thickBot="1">
      <c r="A9" s="1195">
        <v>250</v>
      </c>
      <c r="C9" s="1213" t="s">
        <v>177</v>
      </c>
      <c r="D9" s="1205">
        <f>ROUND(D5*D7,0)</f>
        <v>54</v>
      </c>
      <c r="E9" s="1199">
        <f t="shared" ref="E9:W9" si="5">ROUND(E5*E7,0)</f>
        <v>156</v>
      </c>
      <c r="F9" s="1199">
        <f t="shared" si="5"/>
        <v>291</v>
      </c>
      <c r="G9" s="1199">
        <f t="shared" si="5"/>
        <v>439</v>
      </c>
      <c r="H9" s="1199">
        <f t="shared" si="5"/>
        <v>627</v>
      </c>
      <c r="I9" s="1199">
        <f t="shared" si="5"/>
        <v>851</v>
      </c>
      <c r="J9" s="1199">
        <f t="shared" si="5"/>
        <v>1104</v>
      </c>
      <c r="K9" s="1199">
        <f t="shared" si="5"/>
        <v>1389</v>
      </c>
      <c r="L9" s="1199">
        <f t="shared" si="5"/>
        <v>1704</v>
      </c>
      <c r="M9" s="1199">
        <f t="shared" si="5"/>
        <v>2053</v>
      </c>
      <c r="N9" s="1199">
        <f t="shared" si="5"/>
        <v>2427</v>
      </c>
      <c r="O9" s="1199">
        <f t="shared" si="5"/>
        <v>2838</v>
      </c>
      <c r="P9" s="1199">
        <f t="shared" si="5"/>
        <v>3286</v>
      </c>
      <c r="Q9" s="1199">
        <f t="shared" si="5"/>
        <v>3773</v>
      </c>
      <c r="R9" s="1199">
        <f t="shared" si="5"/>
        <v>4308</v>
      </c>
      <c r="S9" s="1199">
        <f t="shared" si="5"/>
        <v>4870</v>
      </c>
      <c r="T9" s="1199">
        <f t="shared" si="5"/>
        <v>5459</v>
      </c>
      <c r="U9" s="1199">
        <f t="shared" si="5"/>
        <v>6075</v>
      </c>
      <c r="V9" s="1199">
        <f t="shared" si="5"/>
        <v>6718</v>
      </c>
      <c r="W9" s="1200">
        <f t="shared" si="5"/>
        <v>7389</v>
      </c>
    </row>
    <row r="10" spans="1:23">
      <c r="A10" s="1196" t="s">
        <v>178</v>
      </c>
      <c r="C10" s="1214" t="s">
        <v>179</v>
      </c>
      <c r="D10" s="1210">
        <f>$A$7*$A$9*$A$11*D8</f>
        <v>3420</v>
      </c>
      <c r="E10" s="1202">
        <f t="shared" ref="E10:W10" si="6">$A$7*$A$9*$A$11*E8</f>
        <v>4567.5</v>
      </c>
      <c r="F10" s="1202">
        <f t="shared" si="6"/>
        <v>5940</v>
      </c>
      <c r="G10" s="1202">
        <f t="shared" si="6"/>
        <v>7470</v>
      </c>
      <c r="H10" s="1202">
        <f t="shared" si="6"/>
        <v>9157.5</v>
      </c>
      <c r="I10" s="1202">
        <f t="shared" si="6"/>
        <v>11047.5</v>
      </c>
      <c r="J10" s="1202">
        <f t="shared" si="6"/>
        <v>13095</v>
      </c>
      <c r="K10" s="1202">
        <f t="shared" si="6"/>
        <v>15300</v>
      </c>
      <c r="L10" s="1202">
        <f t="shared" si="6"/>
        <v>17707.5</v>
      </c>
      <c r="M10" s="1202">
        <f t="shared" si="6"/>
        <v>20295</v>
      </c>
      <c r="N10" s="1202">
        <f t="shared" si="6"/>
        <v>23040</v>
      </c>
      <c r="O10" s="1202">
        <f t="shared" si="6"/>
        <v>25987.5</v>
      </c>
      <c r="P10" s="1202">
        <f t="shared" si="6"/>
        <v>29115</v>
      </c>
      <c r="Q10" s="1202">
        <f t="shared" si="6"/>
        <v>32422.5</v>
      </c>
      <c r="R10" s="1202">
        <f t="shared" si="6"/>
        <v>35932.5</v>
      </c>
      <c r="S10" s="1202">
        <f t="shared" si="6"/>
        <v>39645</v>
      </c>
      <c r="T10" s="1202">
        <f t="shared" si="6"/>
        <v>43537.5</v>
      </c>
      <c r="U10" s="1202">
        <f t="shared" si="6"/>
        <v>47610</v>
      </c>
      <c r="V10" s="1202">
        <f t="shared" si="6"/>
        <v>51907.5</v>
      </c>
      <c r="W10" s="1217">
        <f t="shared" si="6"/>
        <v>56407.5</v>
      </c>
    </row>
    <row r="11" spans="1:23" ht="15" thickBot="1">
      <c r="A11" s="706">
        <v>6</v>
      </c>
      <c r="C11" s="1221" t="s">
        <v>180</v>
      </c>
      <c r="D11" s="1222">
        <f>$A$7*$A$9*$A$13*D9</f>
        <v>2025</v>
      </c>
      <c r="E11" s="1223">
        <f t="shared" ref="E11:W11" si="7">$A$7*$A$9*$A$13*E9</f>
        <v>5850</v>
      </c>
      <c r="F11" s="1223">
        <f t="shared" si="7"/>
        <v>10912.5</v>
      </c>
      <c r="G11" s="1223">
        <f t="shared" si="7"/>
        <v>16462.5</v>
      </c>
      <c r="H11" s="1223">
        <f t="shared" si="7"/>
        <v>23512.5</v>
      </c>
      <c r="I11" s="1223">
        <f t="shared" si="7"/>
        <v>31912.5</v>
      </c>
      <c r="J11" s="1223">
        <f t="shared" si="7"/>
        <v>41400</v>
      </c>
      <c r="K11" s="1223">
        <f t="shared" si="7"/>
        <v>52087.5</v>
      </c>
      <c r="L11" s="1223">
        <f t="shared" si="7"/>
        <v>63900</v>
      </c>
      <c r="M11" s="1223">
        <f t="shared" si="7"/>
        <v>76987.5</v>
      </c>
      <c r="N11" s="1223">
        <f t="shared" si="7"/>
        <v>91012.5</v>
      </c>
      <c r="O11" s="1223">
        <f t="shared" si="7"/>
        <v>106425</v>
      </c>
      <c r="P11" s="1223">
        <f t="shared" si="7"/>
        <v>123225</v>
      </c>
      <c r="Q11" s="1223">
        <f t="shared" si="7"/>
        <v>141487.5</v>
      </c>
      <c r="R11" s="1223">
        <f t="shared" si="7"/>
        <v>161550</v>
      </c>
      <c r="S11" s="1223">
        <f t="shared" si="7"/>
        <v>182625</v>
      </c>
      <c r="T11" s="1223">
        <f t="shared" si="7"/>
        <v>204712.5</v>
      </c>
      <c r="U11" s="1223">
        <f t="shared" si="7"/>
        <v>227812.5</v>
      </c>
      <c r="V11" s="1223">
        <f t="shared" si="7"/>
        <v>251925</v>
      </c>
      <c r="W11" s="1224">
        <f t="shared" si="7"/>
        <v>277087.5</v>
      </c>
    </row>
    <row r="12" spans="1:23" ht="15" thickBot="1">
      <c r="A12" s="1196" t="s">
        <v>181</v>
      </c>
      <c r="C12" s="1225" t="s">
        <v>182</v>
      </c>
      <c r="D12" s="1226">
        <v>10000</v>
      </c>
      <c r="E12" s="1227">
        <f>D12*1.03</f>
        <v>10300</v>
      </c>
      <c r="F12" s="1227">
        <f t="shared" ref="F12:W12" si="8">E12*1.03</f>
        <v>10609</v>
      </c>
      <c r="G12" s="1227">
        <f t="shared" si="8"/>
        <v>10927.27</v>
      </c>
      <c r="H12" s="1227">
        <f t="shared" si="8"/>
        <v>11255.088100000001</v>
      </c>
      <c r="I12" s="1227">
        <f t="shared" si="8"/>
        <v>11592.740743</v>
      </c>
      <c r="J12" s="1227">
        <f t="shared" si="8"/>
        <v>11940.52296529</v>
      </c>
      <c r="K12" s="1227">
        <f t="shared" si="8"/>
        <v>12298.7386542487</v>
      </c>
      <c r="L12" s="1227">
        <f t="shared" si="8"/>
        <v>12667.700813876161</v>
      </c>
      <c r="M12" s="1227">
        <f t="shared" si="8"/>
        <v>13047.731838292446</v>
      </c>
      <c r="N12" s="1227">
        <f t="shared" si="8"/>
        <v>13439.163793441219</v>
      </c>
      <c r="O12" s="1227">
        <f t="shared" si="8"/>
        <v>13842.338707244457</v>
      </c>
      <c r="P12" s="1227">
        <f t="shared" si="8"/>
        <v>14257.60886846179</v>
      </c>
      <c r="Q12" s="1227">
        <f t="shared" si="8"/>
        <v>14685.337134515645</v>
      </c>
      <c r="R12" s="1227">
        <f t="shared" si="8"/>
        <v>15125.897248551115</v>
      </c>
      <c r="S12" s="1227">
        <f t="shared" si="8"/>
        <v>15579.67416600765</v>
      </c>
      <c r="T12" s="1227">
        <f t="shared" si="8"/>
        <v>16047.06439098788</v>
      </c>
      <c r="U12" s="1227">
        <f t="shared" si="8"/>
        <v>16528.476322717517</v>
      </c>
      <c r="V12" s="1227">
        <f t="shared" si="8"/>
        <v>17024.330612399044</v>
      </c>
      <c r="W12" s="1228">
        <f t="shared" si="8"/>
        <v>17535.060530771018</v>
      </c>
    </row>
    <row r="13" spans="1:23" ht="15" thickBot="1">
      <c r="A13" s="706">
        <v>10</v>
      </c>
    </row>
    <row r="23" spans="3:28">
      <c r="C23" s="1186"/>
      <c r="D23" s="1186">
        <v>2018</v>
      </c>
      <c r="E23" s="1186">
        <v>2019</v>
      </c>
      <c r="F23" s="1186">
        <v>2020</v>
      </c>
      <c r="G23" s="1186">
        <v>2021</v>
      </c>
      <c r="H23" s="1187">
        <v>2022</v>
      </c>
      <c r="I23" s="1187">
        <v>2023</v>
      </c>
      <c r="J23" s="1187">
        <v>2024</v>
      </c>
      <c r="K23" s="1187">
        <v>2025</v>
      </c>
      <c r="L23" s="1187">
        <v>2026</v>
      </c>
      <c r="M23" s="1187">
        <v>2027</v>
      </c>
      <c r="N23" s="1187">
        <v>2028</v>
      </c>
      <c r="O23" s="1187">
        <v>2029</v>
      </c>
      <c r="P23" s="1187">
        <v>2030</v>
      </c>
      <c r="Q23" s="1187">
        <v>2031</v>
      </c>
      <c r="R23" s="1187">
        <v>2032</v>
      </c>
      <c r="S23" s="1187">
        <v>2033</v>
      </c>
      <c r="T23" s="1187">
        <v>2034</v>
      </c>
      <c r="U23" s="1187">
        <v>2035</v>
      </c>
      <c r="V23" s="1187">
        <v>2036</v>
      </c>
      <c r="W23" s="1187">
        <v>2037</v>
      </c>
      <c r="X23" s="1187">
        <v>2038</v>
      </c>
      <c r="Y23" s="1187">
        <v>2039</v>
      </c>
      <c r="Z23" s="1187">
        <v>2040</v>
      </c>
      <c r="AA23" s="1187">
        <v>2041</v>
      </c>
      <c r="AB23" s="1187">
        <v>2042</v>
      </c>
    </row>
    <row r="24" spans="3:28">
      <c r="C24" s="1186" t="s">
        <v>183</v>
      </c>
      <c r="D24" s="493">
        <f>ROUND(0.7*E24,0)</f>
        <v>1030</v>
      </c>
      <c r="E24" s="493">
        <f>ROUND(0.8*F24,0)</f>
        <v>1472</v>
      </c>
      <c r="F24" s="493">
        <f>ROUND('Záznamy o prodeji'!T115+'Záznamy o prodeji'!T116,0)</f>
        <v>1840</v>
      </c>
      <c r="G24" s="493">
        <f>'PL. Prodeje'!AJ6</f>
        <v>1852</v>
      </c>
      <c r="H24" s="737">
        <f>ROUND(1.08*G24,0)</f>
        <v>2000</v>
      </c>
      <c r="I24" s="737">
        <f>ROUND(1.08*H24,0)</f>
        <v>2160</v>
      </c>
      <c r="J24" s="737">
        <f t="shared" ref="J24:N24" si="9">ROUND(1.08*I24,0)</f>
        <v>2333</v>
      </c>
      <c r="K24" s="737">
        <f t="shared" si="9"/>
        <v>2520</v>
      </c>
      <c r="L24" s="737">
        <f t="shared" si="9"/>
        <v>2722</v>
      </c>
      <c r="M24" s="737">
        <f t="shared" si="9"/>
        <v>2940</v>
      </c>
      <c r="N24" s="737">
        <f t="shared" si="9"/>
        <v>3175</v>
      </c>
      <c r="O24" s="737">
        <f t="shared" ref="O24:W24" si="10">ROUND(1.08*N24,0)</f>
        <v>3429</v>
      </c>
      <c r="P24" s="737">
        <f t="shared" si="10"/>
        <v>3703</v>
      </c>
      <c r="Q24" s="737">
        <f t="shared" si="10"/>
        <v>3999</v>
      </c>
      <c r="R24" s="737">
        <f t="shared" si="10"/>
        <v>4319</v>
      </c>
      <c r="S24" s="737">
        <f t="shared" si="10"/>
        <v>4665</v>
      </c>
      <c r="T24" s="737">
        <f t="shared" si="10"/>
        <v>5038</v>
      </c>
      <c r="U24" s="737">
        <f t="shared" si="10"/>
        <v>5441</v>
      </c>
      <c r="V24" s="737">
        <f t="shared" si="10"/>
        <v>5876</v>
      </c>
      <c r="W24" s="737">
        <f t="shared" si="10"/>
        <v>6346</v>
      </c>
      <c r="X24" s="737">
        <f t="shared" ref="X24:Z24" si="11">ROUND(1.08*W24,0)</f>
        <v>6854</v>
      </c>
      <c r="Y24" s="737">
        <f t="shared" si="11"/>
        <v>7402</v>
      </c>
      <c r="Z24" s="737">
        <f t="shared" si="11"/>
        <v>7994</v>
      </c>
    </row>
    <row r="25" spans="3:28">
      <c r="C25" s="1186" t="s">
        <v>184</v>
      </c>
      <c r="D25" s="493">
        <f>ROUND(0.7*E25,0)</f>
        <v>787</v>
      </c>
      <c r="E25" s="493">
        <f>ROUND(0.8*F25,0)</f>
        <v>1124</v>
      </c>
      <c r="F25" s="493">
        <f>ROUND('Záznamy o prodeji'!T56+'Záznamy o prodeji'!T57,0)</f>
        <v>1405</v>
      </c>
      <c r="G25" s="493">
        <f>'PL. Prodeje'!T56</f>
        <v>1355</v>
      </c>
      <c r="H25" s="737">
        <f>ROUND(0.7*H24,0)</f>
        <v>1400</v>
      </c>
      <c r="I25" s="737">
        <f>ROUND(0.7*I24,0)</f>
        <v>1512</v>
      </c>
      <c r="J25" s="737">
        <f t="shared" ref="J25:N25" si="12">ROUND(0.7*J24,0)</f>
        <v>1633</v>
      </c>
      <c r="K25" s="737">
        <f t="shared" si="12"/>
        <v>1764</v>
      </c>
      <c r="L25" s="737">
        <f t="shared" si="12"/>
        <v>1905</v>
      </c>
      <c r="M25" s="737">
        <f t="shared" si="12"/>
        <v>2058</v>
      </c>
      <c r="N25" s="737">
        <f t="shared" si="12"/>
        <v>2223</v>
      </c>
      <c r="O25" s="737">
        <f t="shared" ref="O25" si="13">ROUND(0.7*O24,0)</f>
        <v>2400</v>
      </c>
      <c r="P25" s="737">
        <f t="shared" ref="P25" si="14">ROUND(0.7*P24,0)</f>
        <v>2592</v>
      </c>
      <c r="Q25" s="737">
        <f t="shared" ref="Q25" si="15">ROUND(0.7*Q24,0)</f>
        <v>2799</v>
      </c>
      <c r="R25" s="737">
        <f t="shared" ref="R25" si="16">ROUND(0.7*R24,0)</f>
        <v>3023</v>
      </c>
      <c r="S25" s="737">
        <f t="shared" ref="S25" si="17">ROUND(0.7*S24,0)</f>
        <v>3266</v>
      </c>
      <c r="T25" s="737">
        <f t="shared" ref="T25" si="18">ROUND(0.7*T24,0)</f>
        <v>3527</v>
      </c>
      <c r="U25" s="737">
        <f t="shared" ref="U25" si="19">ROUND(0.7*U24,0)</f>
        <v>3809</v>
      </c>
      <c r="V25" s="737">
        <f t="shared" ref="V25" si="20">ROUND(0.7*V24,0)</f>
        <v>4113</v>
      </c>
      <c r="W25" s="737">
        <f t="shared" ref="W25" si="21">ROUND(0.7*W24,0)</f>
        <v>4442</v>
      </c>
      <c r="X25" s="737">
        <f t="shared" ref="X25" si="22">ROUND(0.7*X24,0)</f>
        <v>4798</v>
      </c>
      <c r="Y25" s="737">
        <f t="shared" ref="Y25" si="23">ROUND(0.7*Y24,0)</f>
        <v>5181</v>
      </c>
      <c r="Z25" s="737">
        <f t="shared" ref="Z25" si="24">ROUND(0.7*Z24,0)</f>
        <v>5596</v>
      </c>
    </row>
    <row r="26" spans="3:28">
      <c r="H26" s="737">
        <f>H25</f>
        <v>1400</v>
      </c>
      <c r="I26" s="737">
        <f t="shared" ref="I26:K26" si="25">I25</f>
        <v>1512</v>
      </c>
      <c r="J26" s="737">
        <f t="shared" si="25"/>
        <v>1633</v>
      </c>
      <c r="K26" s="737">
        <f t="shared" si="25"/>
        <v>1764</v>
      </c>
      <c r="L26" s="737">
        <f>ROUND(1.008*K26,0)</f>
        <v>1778</v>
      </c>
      <c r="M26" s="737">
        <f t="shared" ref="M26:AB26" si="26">ROUND(1.008*L26,0)</f>
        <v>1792</v>
      </c>
      <c r="N26" s="737">
        <f t="shared" si="26"/>
        <v>1806</v>
      </c>
      <c r="O26" s="737">
        <f t="shared" si="26"/>
        <v>1820</v>
      </c>
      <c r="P26" s="737">
        <f t="shared" si="26"/>
        <v>1835</v>
      </c>
      <c r="Q26" s="737">
        <f t="shared" si="26"/>
        <v>1850</v>
      </c>
      <c r="R26" s="737">
        <f t="shared" si="26"/>
        <v>1865</v>
      </c>
      <c r="S26" s="737">
        <f t="shared" si="26"/>
        <v>1880</v>
      </c>
      <c r="T26" s="737">
        <f t="shared" si="26"/>
        <v>1895</v>
      </c>
      <c r="U26" s="737">
        <f t="shared" si="26"/>
        <v>1910</v>
      </c>
      <c r="V26" s="737">
        <f t="shared" si="26"/>
        <v>1925</v>
      </c>
      <c r="W26" s="737">
        <f t="shared" si="26"/>
        <v>1940</v>
      </c>
      <c r="X26" s="737">
        <f t="shared" si="26"/>
        <v>1956</v>
      </c>
      <c r="Y26" s="737">
        <f t="shared" si="26"/>
        <v>1972</v>
      </c>
      <c r="Z26" s="737">
        <f t="shared" si="26"/>
        <v>1988</v>
      </c>
      <c r="AA26" s="737">
        <f t="shared" si="26"/>
        <v>2004</v>
      </c>
      <c r="AB26" s="737">
        <f t="shared" si="26"/>
        <v>2020</v>
      </c>
    </row>
  </sheetData>
  <customSheetViews>
    <customSheetView guid="{F9015B81-4D5E-47E3-BFA8-A54438E9D1FF}" scale="115" showGridLines="0">
      <pageMargins left="0.7" right="0.7" top="0.78740157499999996" bottom="0.78740157499999996" header="0.3" footer="0.3"/>
    </customSheetView>
  </customSheetViews>
  <hyperlinks>
    <hyperlink ref="A1" location="MENU!A1" display="MENU" xr:uid="{CB8C2895-009D-4866-A1A4-D0FBAFB3DC81}"/>
  </hyperlinks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A42E5-3E05-4B5F-A6DE-3EE708D2BBE1}">
  <sheetPr>
    <tabColor rgb="FF66CCFF"/>
  </sheetPr>
  <dimension ref="A1:Z69"/>
  <sheetViews>
    <sheetView showGridLines="0" workbookViewId="0">
      <selection activeCell="A2" sqref="A2"/>
    </sheetView>
  </sheetViews>
  <sheetFormatPr defaultRowHeight="14.25"/>
  <cols>
    <col min="2" max="2" width="20.21875" customWidth="1"/>
    <col min="3" max="22" width="16" customWidth="1"/>
  </cols>
  <sheetData>
    <row r="1" spans="1:26" ht="36" customHeight="1" thickBot="1">
      <c r="A1" s="107" t="s">
        <v>1</v>
      </c>
      <c r="B1" s="737"/>
      <c r="C1" s="1373" t="s">
        <v>185</v>
      </c>
      <c r="D1" s="737"/>
      <c r="E1" s="737"/>
      <c r="F1" s="737"/>
      <c r="G1" s="737"/>
      <c r="H1" s="737"/>
      <c r="I1" s="737"/>
      <c r="J1" s="737"/>
      <c r="K1" s="737"/>
      <c r="L1" s="737"/>
      <c r="M1" s="737"/>
      <c r="N1" s="737"/>
      <c r="O1" s="737"/>
      <c r="P1" s="737"/>
      <c r="Q1" s="737"/>
      <c r="R1" s="737"/>
      <c r="S1" s="737"/>
      <c r="T1" s="737"/>
      <c r="U1" s="737"/>
      <c r="V1" s="737"/>
      <c r="W1" s="737"/>
      <c r="X1" s="737"/>
      <c r="Y1" s="737"/>
      <c r="Z1" s="737"/>
    </row>
    <row r="2" spans="1:26" ht="15.75" thickBot="1">
      <c r="A2" s="737"/>
      <c r="B2" s="356" t="s">
        <v>83</v>
      </c>
      <c r="C2" s="355">
        <v>2023</v>
      </c>
      <c r="D2" s="355">
        <v>2024</v>
      </c>
      <c r="E2" s="355">
        <v>2025</v>
      </c>
      <c r="F2" s="355">
        <v>2026</v>
      </c>
      <c r="G2" s="355">
        <v>2027</v>
      </c>
      <c r="H2" s="355">
        <v>2028</v>
      </c>
      <c r="I2" s="355">
        <v>2029</v>
      </c>
      <c r="J2" s="355">
        <v>2030</v>
      </c>
      <c r="K2" s="355">
        <v>2031</v>
      </c>
      <c r="L2" s="355">
        <v>2032</v>
      </c>
      <c r="M2" s="355">
        <v>2033</v>
      </c>
      <c r="N2" s="355">
        <v>2034</v>
      </c>
      <c r="O2" s="355">
        <v>2035</v>
      </c>
      <c r="P2" s="355">
        <v>2036</v>
      </c>
      <c r="Q2" s="355">
        <v>2037</v>
      </c>
      <c r="R2" s="355">
        <v>2038</v>
      </c>
      <c r="S2" s="355">
        <v>2039</v>
      </c>
      <c r="T2" s="355">
        <v>2040</v>
      </c>
      <c r="U2" s="355">
        <v>2041</v>
      </c>
      <c r="V2" s="701">
        <v>2042</v>
      </c>
      <c r="W2" s="737"/>
      <c r="X2" s="737"/>
      <c r="Y2" s="737"/>
      <c r="Z2" s="737"/>
    </row>
    <row r="3" spans="1:26" ht="15" thickBot="1">
      <c r="A3" s="737"/>
      <c r="B3" s="1288" t="s">
        <v>186</v>
      </c>
      <c r="C3" s="1274">
        <f t="shared" ref="C3:V3" si="0">$C$14*(-1)*C4</f>
        <v>11166662.95311721</v>
      </c>
      <c r="D3" s="1274">
        <f t="shared" si="0"/>
        <v>19149919.776320651</v>
      </c>
      <c r="E3" s="1274">
        <f t="shared" si="0"/>
        <v>23042582.1942463</v>
      </c>
      <c r="F3" s="1274">
        <f t="shared" si="0"/>
        <v>22894133.203732185</v>
      </c>
      <c r="G3" s="1274">
        <f t="shared" si="0"/>
        <v>27215648.260920823</v>
      </c>
      <c r="H3" s="1274">
        <f t="shared" si="0"/>
        <v>30184628.07120309</v>
      </c>
      <c r="I3" s="1274">
        <f t="shared" si="0"/>
        <v>31916532.960534416</v>
      </c>
      <c r="J3" s="1274">
        <f t="shared" si="0"/>
        <v>33681426.514424436</v>
      </c>
      <c r="K3" s="1274">
        <f t="shared" si="0"/>
        <v>34967984.432213418</v>
      </c>
      <c r="L3" s="1274">
        <f t="shared" si="0"/>
        <v>36617417.66014801</v>
      </c>
      <c r="M3" s="1274">
        <f t="shared" si="0"/>
        <v>37112247.628528394</v>
      </c>
      <c r="N3" s="1274">
        <f t="shared" si="0"/>
        <v>38761680.856462985</v>
      </c>
      <c r="O3" s="1274">
        <f t="shared" si="0"/>
        <v>40411114.084397584</v>
      </c>
      <c r="P3" s="1274">
        <f t="shared" si="0"/>
        <v>42060547.312332176</v>
      </c>
      <c r="Q3" s="1274">
        <f t="shared" si="0"/>
        <v>44534697.154234067</v>
      </c>
      <c r="R3" s="1274">
        <f t="shared" si="0"/>
        <v>44534697.154234067</v>
      </c>
      <c r="S3" s="1274">
        <f t="shared" si="0"/>
        <v>44534697.154234067</v>
      </c>
      <c r="T3" s="1274">
        <f t="shared" si="0"/>
        <v>44534697.154234067</v>
      </c>
      <c r="U3" s="1274">
        <f t="shared" si="0"/>
        <v>44534697.154234067</v>
      </c>
      <c r="V3" s="1343">
        <f t="shared" si="0"/>
        <v>44534697.154234067</v>
      </c>
      <c r="W3" s="737"/>
      <c r="X3" s="737"/>
      <c r="Y3" s="737"/>
      <c r="Z3" s="737"/>
    </row>
    <row r="4" spans="1:26" ht="15" thickBot="1">
      <c r="A4" s="737"/>
      <c r="B4" s="582" t="s">
        <v>187</v>
      </c>
      <c r="C4" s="1344">
        <f>'Vývoj trhu'!D9</f>
        <v>135.4</v>
      </c>
      <c r="D4" s="1344">
        <f>'Vývoj trhu'!E9</f>
        <v>232.20000000000002</v>
      </c>
      <c r="E4" s="1344">
        <f>'Vývoj trhu'!F9</f>
        <v>279.40000000000003</v>
      </c>
      <c r="F4" s="1344">
        <f>'Vývoj trhu'!G9</f>
        <v>277.60000000000002</v>
      </c>
      <c r="G4" s="1344">
        <f>'Vývoj trhu'!H9</f>
        <v>330</v>
      </c>
      <c r="H4" s="1344">
        <f>'Vývoj trhu'!I9</f>
        <v>366</v>
      </c>
      <c r="I4" s="1344">
        <f>'Vývoj trhu'!J9</f>
        <v>387</v>
      </c>
      <c r="J4" s="1344">
        <f>'Vývoj trhu'!K9</f>
        <v>408.40000000000003</v>
      </c>
      <c r="K4" s="1344">
        <f>'Vývoj trhu'!L9</f>
        <v>424</v>
      </c>
      <c r="L4" s="1344">
        <f>'Vývoj trhu'!M9</f>
        <v>444</v>
      </c>
      <c r="M4" s="1344">
        <f>'Vývoj trhu'!N9</f>
        <v>450</v>
      </c>
      <c r="N4" s="1344">
        <f>'Vývoj trhu'!O9</f>
        <v>470</v>
      </c>
      <c r="O4" s="1344">
        <f>'Vývoj trhu'!P9</f>
        <v>490</v>
      </c>
      <c r="P4" s="1344">
        <f>'Vývoj trhu'!Q9</f>
        <v>510</v>
      </c>
      <c r="Q4" s="1344">
        <f>'Vývoj trhu'!R9</f>
        <v>540</v>
      </c>
      <c r="R4" s="1344">
        <f>'Vývoj trhu'!S9</f>
        <v>540</v>
      </c>
      <c r="S4" s="1344">
        <f>'Vývoj trhu'!T9</f>
        <v>540</v>
      </c>
      <c r="T4" s="1344">
        <f>'Vývoj trhu'!U9</f>
        <v>540</v>
      </c>
      <c r="U4" s="1344">
        <f>'Vývoj trhu'!V9</f>
        <v>540</v>
      </c>
      <c r="V4" s="1345">
        <f>'Vývoj trhu'!W9</f>
        <v>540</v>
      </c>
      <c r="W4" s="737"/>
      <c r="X4" s="737"/>
      <c r="Y4" s="737"/>
      <c r="Z4" s="737"/>
    </row>
    <row r="7" spans="1:26" ht="15" thickBot="1">
      <c r="A7" s="737"/>
      <c r="B7" s="737"/>
      <c r="C7" s="737"/>
      <c r="D7" s="737"/>
      <c r="E7" s="737"/>
      <c r="F7" s="737"/>
      <c r="G7" s="737"/>
      <c r="H7" s="737"/>
      <c r="I7" s="737"/>
      <c r="J7" s="737"/>
      <c r="K7" s="737"/>
      <c r="L7" s="737"/>
      <c r="M7" s="737"/>
      <c r="N7" s="737"/>
      <c r="O7" s="737"/>
      <c r="P7" s="737"/>
      <c r="Q7" s="737"/>
      <c r="R7" s="737"/>
      <c r="S7" s="737"/>
      <c r="T7" s="737"/>
      <c r="U7" s="737"/>
      <c r="V7" s="737"/>
      <c r="W7" s="737"/>
      <c r="X7" s="737"/>
      <c r="Y7" s="737"/>
      <c r="Z7" s="737"/>
    </row>
    <row r="8" spans="1:26" ht="15" thickBot="1">
      <c r="A8" s="737"/>
      <c r="B8" s="1341" t="s">
        <v>188</v>
      </c>
      <c r="C8" s="1342"/>
      <c r="D8" s="737"/>
      <c r="E8" s="737"/>
      <c r="F8" s="737"/>
      <c r="G8" s="737"/>
      <c r="H8" s="737"/>
      <c r="I8" s="737"/>
      <c r="J8" s="737"/>
      <c r="K8" s="737"/>
      <c r="L8" s="737"/>
      <c r="M8" s="737"/>
      <c r="N8" s="737"/>
      <c r="O8" s="737"/>
      <c r="P8" s="737"/>
      <c r="Q8" s="737"/>
      <c r="R8" s="737"/>
      <c r="S8" s="737"/>
      <c r="T8" s="737"/>
      <c r="U8" s="737"/>
      <c r="V8" s="737"/>
      <c r="W8" s="737"/>
      <c r="X8" s="737"/>
      <c r="Y8" s="737"/>
      <c r="Z8" s="737"/>
    </row>
    <row r="9" spans="1:26">
      <c r="A9" s="737"/>
      <c r="B9" s="1143" t="s">
        <v>189</v>
      </c>
      <c r="C9" s="1340">
        <f>Produkty!D4</f>
        <v>703500</v>
      </c>
      <c r="D9" s="737"/>
      <c r="E9" s="737"/>
      <c r="F9" s="737"/>
      <c r="G9" s="737"/>
      <c r="H9" s="737"/>
      <c r="I9" s="737"/>
      <c r="J9" s="737"/>
      <c r="K9" s="737"/>
      <c r="L9" s="737"/>
      <c r="M9" s="737"/>
      <c r="N9" s="737"/>
      <c r="O9" s="737"/>
      <c r="P9" s="737"/>
      <c r="Q9" s="737"/>
      <c r="R9" s="737"/>
      <c r="S9" s="737"/>
      <c r="T9" s="737"/>
      <c r="U9" s="737"/>
      <c r="V9" s="737"/>
      <c r="W9" s="737"/>
      <c r="X9" s="737"/>
      <c r="Y9" s="737"/>
      <c r="Z9" s="737"/>
    </row>
    <row r="10" spans="1:26">
      <c r="A10" s="737"/>
      <c r="B10" s="129" t="s">
        <v>190</v>
      </c>
      <c r="C10" s="257">
        <v>10</v>
      </c>
      <c r="D10" s="737"/>
      <c r="E10" s="737"/>
      <c r="F10" s="203"/>
      <c r="G10" s="1289"/>
      <c r="H10" s="1289"/>
      <c r="I10" s="1289"/>
      <c r="J10" s="737"/>
      <c r="K10" s="737"/>
      <c r="L10" s="737"/>
      <c r="M10" s="737"/>
      <c r="N10" s="737"/>
      <c r="O10" s="737"/>
      <c r="P10" s="737"/>
      <c r="Q10" s="737"/>
      <c r="R10" s="737"/>
      <c r="S10" s="737"/>
      <c r="T10" s="737"/>
      <c r="U10" s="737"/>
      <c r="V10" s="737"/>
      <c r="W10" s="737"/>
      <c r="X10" s="737"/>
      <c r="Y10" s="737"/>
      <c r="Z10" s="737"/>
    </row>
    <row r="11" spans="1:26">
      <c r="A11" s="737"/>
      <c r="B11" s="129" t="s">
        <v>191</v>
      </c>
      <c r="C11" s="429">
        <v>0.03</v>
      </c>
      <c r="D11" s="737"/>
      <c r="E11" s="737"/>
      <c r="F11" s="737"/>
      <c r="G11" s="1289"/>
      <c r="H11" s="1289"/>
      <c r="I11" s="1289"/>
      <c r="J11" s="737"/>
      <c r="K11" s="737"/>
      <c r="L11" s="737"/>
      <c r="M11" s="737"/>
      <c r="N11" s="737"/>
      <c r="O11" s="737"/>
      <c r="P11" s="737"/>
      <c r="Q11" s="737"/>
      <c r="R11" s="737"/>
      <c r="S11" s="737"/>
      <c r="T11" s="737"/>
      <c r="U11" s="737"/>
      <c r="V11" s="737"/>
      <c r="W11" s="737"/>
      <c r="X11" s="737"/>
      <c r="Y11" s="737"/>
      <c r="Z11" s="737"/>
    </row>
    <row r="12" spans="1:26">
      <c r="A12" s="737"/>
      <c r="B12" s="129" t="s">
        <v>192</v>
      </c>
      <c r="C12" s="1338">
        <f>C11/12</f>
        <v>2.5000000000000001E-3</v>
      </c>
      <c r="D12" s="737"/>
      <c r="E12" s="737"/>
      <c r="F12" s="737"/>
      <c r="G12" s="1289"/>
      <c r="H12" s="1289"/>
      <c r="I12" s="1289"/>
      <c r="J12" s="737"/>
      <c r="K12" s="737"/>
      <c r="L12" s="737"/>
      <c r="M12" s="737"/>
      <c r="N12" s="737"/>
      <c r="O12" s="737"/>
      <c r="P12" s="737"/>
      <c r="Q12" s="737"/>
      <c r="R12" s="737"/>
      <c r="S12" s="737"/>
      <c r="T12" s="737"/>
      <c r="U12" s="737"/>
      <c r="V12" s="737"/>
      <c r="W12" s="737"/>
      <c r="X12" s="737"/>
      <c r="Y12" s="737"/>
      <c r="Z12" s="737"/>
    </row>
    <row r="13" spans="1:26">
      <c r="A13" s="737"/>
      <c r="B13" s="129" t="s">
        <v>193</v>
      </c>
      <c r="C13" s="257">
        <f>(C12*(1+C12)^(C10*12))/(((1+C12)^(C10*12))-1)</f>
        <v>9.6560744698391075E-3</v>
      </c>
      <c r="D13" s="737"/>
      <c r="E13" s="737"/>
      <c r="F13" s="737"/>
      <c r="G13" s="1289"/>
      <c r="H13" s="1289"/>
      <c r="I13" s="1289"/>
      <c r="J13" s="737"/>
      <c r="K13" s="737"/>
      <c r="L13" s="737"/>
      <c r="M13" s="737"/>
      <c r="N13" s="737"/>
      <c r="O13" s="737"/>
      <c r="P13" s="737"/>
      <c r="Q13" s="737"/>
      <c r="R13" s="737"/>
      <c r="S13" s="737"/>
      <c r="T13" s="737"/>
      <c r="U13" s="737"/>
      <c r="V13" s="737"/>
      <c r="W13" s="737"/>
      <c r="X13" s="737"/>
      <c r="Y13" s="737"/>
      <c r="Z13" s="737"/>
    </row>
    <row r="14" spans="1:26">
      <c r="A14" s="737"/>
      <c r="B14" s="129" t="s">
        <v>194</v>
      </c>
      <c r="C14" s="1337">
        <f>PMT(C11,C10,C9,,)</f>
        <v>-82471.66139672976</v>
      </c>
      <c r="D14" s="737"/>
      <c r="E14" s="737"/>
      <c r="F14" s="737"/>
      <c r="G14" s="1289"/>
      <c r="H14" s="1289"/>
      <c r="I14" s="1289"/>
      <c r="J14" s="737"/>
      <c r="K14" s="737"/>
      <c r="L14" s="737"/>
      <c r="M14" s="737"/>
      <c r="N14" s="737"/>
      <c r="O14" s="737"/>
      <c r="P14" s="737"/>
      <c r="Q14" s="737"/>
      <c r="R14" s="737"/>
      <c r="S14" s="737"/>
      <c r="T14" s="737"/>
      <c r="U14" s="737"/>
      <c r="V14" s="737"/>
      <c r="W14" s="737"/>
      <c r="X14" s="737"/>
      <c r="Y14" s="737"/>
      <c r="Z14" s="737"/>
    </row>
    <row r="15" spans="1:26" ht="15" thickBot="1">
      <c r="A15" s="737"/>
      <c r="B15" s="131" t="s">
        <v>195</v>
      </c>
      <c r="C15" s="1339">
        <f>PMT(C11/12, C10*12, C9,,)</f>
        <v>-6793.048389531702</v>
      </c>
      <c r="D15" s="737"/>
      <c r="E15" s="737"/>
      <c r="F15" s="737"/>
      <c r="G15" s="1289"/>
      <c r="H15" s="1289"/>
      <c r="I15" s="1289"/>
      <c r="J15" s="737"/>
      <c r="K15" s="737"/>
      <c r="L15" s="737"/>
      <c r="M15" s="737"/>
      <c r="N15" s="737"/>
      <c r="O15" s="737"/>
      <c r="P15" s="737"/>
      <c r="Q15" s="737"/>
      <c r="R15" s="737"/>
      <c r="S15" s="737"/>
      <c r="T15" s="737"/>
      <c r="U15" s="737"/>
      <c r="V15" s="737"/>
      <c r="W15" s="737"/>
      <c r="X15" s="737"/>
      <c r="Y15" s="737"/>
      <c r="Z15" s="737"/>
    </row>
    <row r="16" spans="1:26">
      <c r="A16" s="737"/>
      <c r="B16" s="737"/>
      <c r="C16" s="737"/>
      <c r="D16" s="737"/>
      <c r="E16" s="737"/>
      <c r="F16" s="737"/>
      <c r="G16" s="1289"/>
      <c r="H16" s="1289"/>
      <c r="I16" s="1289"/>
      <c r="J16" s="737"/>
      <c r="K16" s="737"/>
      <c r="L16" s="737"/>
      <c r="M16" s="737"/>
      <c r="N16" s="737"/>
      <c r="O16" s="737"/>
      <c r="P16" s="737"/>
      <c r="Q16" s="737"/>
      <c r="R16" s="737"/>
      <c r="S16" s="737"/>
      <c r="T16" s="737"/>
      <c r="U16" s="737"/>
      <c r="V16" s="737"/>
      <c r="W16" s="737"/>
      <c r="X16" s="737"/>
      <c r="Y16" s="737"/>
      <c r="Z16" s="737"/>
    </row>
    <row r="17" spans="7:9">
      <c r="G17" s="1289"/>
      <c r="H17" s="1289"/>
      <c r="I17" s="1289"/>
    </row>
    <row r="18" spans="7:9">
      <c r="G18" s="1289"/>
      <c r="H18" s="1289"/>
      <c r="I18" s="1289"/>
    </row>
    <row r="19" spans="7:9">
      <c r="G19" s="1289"/>
      <c r="H19" s="1289"/>
      <c r="I19" s="1289"/>
    </row>
    <row r="20" spans="7:9">
      <c r="G20" s="1289"/>
      <c r="H20" s="1289"/>
      <c r="I20" s="1289"/>
    </row>
    <row r="21" spans="7:9">
      <c r="G21" s="1289"/>
      <c r="H21" s="1289"/>
      <c r="I21" s="1289"/>
    </row>
    <row r="22" spans="7:9">
      <c r="G22" s="1289"/>
      <c r="H22" s="1289"/>
      <c r="I22" s="1289"/>
    </row>
    <row r="23" spans="7:9">
      <c r="G23" s="1289"/>
      <c r="H23" s="1289"/>
      <c r="I23" s="1289"/>
    </row>
    <row r="24" spans="7:9">
      <c r="G24" s="1289"/>
      <c r="H24" s="1289"/>
      <c r="I24" s="1289"/>
    </row>
    <row r="25" spans="7:9">
      <c r="G25" s="1289"/>
      <c r="H25" s="1289"/>
      <c r="I25" s="1289"/>
    </row>
    <row r="26" spans="7:9">
      <c r="G26" s="1289"/>
      <c r="H26" s="1289"/>
      <c r="I26" s="1289"/>
    </row>
    <row r="27" spans="7:9">
      <c r="G27" s="1289"/>
      <c r="H27" s="1289"/>
      <c r="I27" s="1289"/>
    </row>
    <row r="28" spans="7:9">
      <c r="G28" s="1289"/>
      <c r="H28" s="1289"/>
      <c r="I28" s="1289"/>
    </row>
    <row r="29" spans="7:9">
      <c r="G29" s="1289"/>
      <c r="H29" s="1289"/>
      <c r="I29" s="1289"/>
    </row>
    <row r="30" spans="7:9">
      <c r="G30" s="1289"/>
      <c r="H30" s="1289"/>
      <c r="I30" s="1289"/>
    </row>
    <row r="31" spans="7:9">
      <c r="G31" s="1289"/>
      <c r="H31" s="1289"/>
      <c r="I31" s="1289"/>
    </row>
    <row r="32" spans="7:9">
      <c r="G32" s="1289"/>
      <c r="H32" s="1289"/>
      <c r="I32" s="1289"/>
    </row>
    <row r="33" spans="7:9">
      <c r="G33" s="1289"/>
      <c r="H33" s="1289"/>
      <c r="I33" s="1289"/>
    </row>
    <row r="34" spans="7:9">
      <c r="G34" s="1289"/>
      <c r="H34" s="1289"/>
      <c r="I34" s="1289"/>
    </row>
    <row r="35" spans="7:9">
      <c r="G35" s="1289"/>
      <c r="H35" s="1289"/>
      <c r="I35" s="1289"/>
    </row>
    <row r="36" spans="7:9">
      <c r="G36" s="1289"/>
      <c r="H36" s="1289"/>
      <c r="I36" s="1289"/>
    </row>
    <row r="37" spans="7:9">
      <c r="G37" s="1289"/>
      <c r="H37" s="1289"/>
      <c r="I37" s="1289"/>
    </row>
    <row r="38" spans="7:9">
      <c r="G38" s="1289"/>
      <c r="H38" s="1289"/>
      <c r="I38" s="1289"/>
    </row>
    <row r="39" spans="7:9">
      <c r="G39" s="1289"/>
      <c r="H39" s="1289"/>
      <c r="I39" s="1289"/>
    </row>
    <row r="40" spans="7:9">
      <c r="G40" s="1289"/>
      <c r="H40" s="1289"/>
      <c r="I40" s="1289"/>
    </row>
    <row r="41" spans="7:9">
      <c r="G41" s="1289"/>
      <c r="H41" s="1289"/>
      <c r="I41" s="1289"/>
    </row>
    <row r="42" spans="7:9">
      <c r="G42" s="1289"/>
      <c r="H42" s="1289"/>
      <c r="I42" s="1289"/>
    </row>
    <row r="43" spans="7:9">
      <c r="G43" s="1289"/>
      <c r="H43" s="1289"/>
      <c r="I43" s="1289"/>
    </row>
    <row r="44" spans="7:9">
      <c r="G44" s="1289"/>
      <c r="H44" s="1289"/>
      <c r="I44" s="1289"/>
    </row>
    <row r="45" spans="7:9">
      <c r="G45" s="1289"/>
      <c r="H45" s="1289"/>
      <c r="I45" s="1289"/>
    </row>
    <row r="46" spans="7:9">
      <c r="G46" s="1289"/>
      <c r="H46" s="1289"/>
      <c r="I46" s="1289"/>
    </row>
    <row r="47" spans="7:9">
      <c r="G47" s="1289"/>
      <c r="H47" s="1289"/>
      <c r="I47" s="1289"/>
    </row>
    <row r="48" spans="7:9">
      <c r="G48" s="1289"/>
      <c r="H48" s="1289"/>
      <c r="I48" s="1289"/>
    </row>
    <row r="49" spans="7:9">
      <c r="G49" s="1289"/>
      <c r="H49" s="1289"/>
      <c r="I49" s="1289"/>
    </row>
    <row r="50" spans="7:9">
      <c r="G50" s="1289"/>
      <c r="H50" s="1289"/>
      <c r="I50" s="1289"/>
    </row>
    <row r="51" spans="7:9">
      <c r="G51" s="1289"/>
      <c r="H51" s="1289"/>
      <c r="I51" s="1289"/>
    </row>
    <row r="52" spans="7:9">
      <c r="G52" s="1289"/>
      <c r="H52" s="1289"/>
      <c r="I52" s="1289"/>
    </row>
    <row r="53" spans="7:9">
      <c r="G53" s="1289"/>
      <c r="H53" s="1289"/>
      <c r="I53" s="1289"/>
    </row>
    <row r="54" spans="7:9">
      <c r="G54" s="1289"/>
      <c r="H54" s="1289"/>
      <c r="I54" s="1289"/>
    </row>
    <row r="55" spans="7:9">
      <c r="G55" s="1289"/>
      <c r="H55" s="1289"/>
      <c r="I55" s="1289"/>
    </row>
    <row r="56" spans="7:9">
      <c r="G56" s="1289"/>
      <c r="H56" s="1289"/>
      <c r="I56" s="1289"/>
    </row>
    <row r="57" spans="7:9">
      <c r="G57" s="1289"/>
      <c r="H57" s="1289"/>
      <c r="I57" s="1289"/>
    </row>
    <row r="58" spans="7:9">
      <c r="G58" s="1289"/>
      <c r="H58" s="1289"/>
      <c r="I58" s="1289"/>
    </row>
    <row r="59" spans="7:9">
      <c r="G59" s="1289"/>
      <c r="H59" s="1289"/>
      <c r="I59" s="1289"/>
    </row>
    <row r="60" spans="7:9">
      <c r="G60" s="1289"/>
      <c r="H60" s="1289"/>
      <c r="I60" s="1289"/>
    </row>
    <row r="61" spans="7:9">
      <c r="G61" s="1289"/>
      <c r="H61" s="1289"/>
      <c r="I61" s="1289"/>
    </row>
    <row r="62" spans="7:9">
      <c r="G62" s="1289"/>
      <c r="H62" s="1289"/>
      <c r="I62" s="1289"/>
    </row>
    <row r="63" spans="7:9">
      <c r="G63" s="1289"/>
      <c r="H63" s="1289"/>
      <c r="I63" s="1289"/>
    </row>
    <row r="64" spans="7:9">
      <c r="G64" s="1289"/>
      <c r="H64" s="1289"/>
      <c r="I64" s="1289"/>
    </row>
    <row r="65" spans="7:9">
      <c r="G65" s="1289"/>
      <c r="H65" s="1289"/>
      <c r="I65" s="1289"/>
    </row>
    <row r="66" spans="7:9">
      <c r="G66" s="1289"/>
      <c r="H66" s="1289"/>
      <c r="I66" s="1289"/>
    </row>
    <row r="67" spans="7:9">
      <c r="G67" s="1289"/>
      <c r="H67" s="1289"/>
      <c r="I67" s="1289"/>
    </row>
    <row r="68" spans="7:9">
      <c r="G68" s="1289"/>
      <c r="H68" s="1289"/>
      <c r="I68" s="1289"/>
    </row>
    <row r="69" spans="7:9">
      <c r="G69" s="1289"/>
      <c r="H69" s="1289"/>
      <c r="I69" s="1289"/>
    </row>
  </sheetData>
  <customSheetViews>
    <customSheetView guid="{F9015B81-4D5E-47E3-BFA8-A54438E9D1FF}" showGridLines="0">
      <pageMargins left="0.7" right="0.7" top="0.75" bottom="0.75" header="0.3" footer="0.3"/>
    </customSheetView>
  </customSheetViews>
  <hyperlinks>
    <hyperlink ref="A1" location="MENU!A1" display="MENU" xr:uid="{78873D17-25A4-4EB9-8DD4-7CD5FD897684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7485C-4A47-4E80-AA7E-98B9B3596F76}">
  <sheetPr>
    <tabColor rgb="FF66CCFF"/>
  </sheetPr>
  <dimension ref="A1:V32"/>
  <sheetViews>
    <sheetView showGridLines="0" zoomScale="85" zoomScaleNormal="85" workbookViewId="0">
      <pane xSplit="2" ySplit="2" topLeftCell="C3" activePane="bottomRight" state="frozen"/>
      <selection pane="topRight" activeCell="D1" sqref="D1"/>
      <selection pane="bottomLeft" activeCell="A3" sqref="A3"/>
      <selection pane="bottomRight" activeCell="A4" sqref="A4"/>
    </sheetView>
  </sheetViews>
  <sheetFormatPr defaultColWidth="8.77734375" defaultRowHeight="14.25"/>
  <cols>
    <col min="1" max="1" width="8.77734375" style="737"/>
    <col min="2" max="2" width="35.109375" style="737" customWidth="1"/>
    <col min="3" max="3" width="17" style="737" customWidth="1"/>
    <col min="4" max="22" width="14" style="737" customWidth="1"/>
    <col min="23" max="16384" width="8.77734375" style="737"/>
  </cols>
  <sheetData>
    <row r="1" spans="1:22" ht="32.25" customHeight="1" thickBot="1">
      <c r="A1" s="107" t="s">
        <v>1</v>
      </c>
      <c r="C1" s="1373" t="s">
        <v>196</v>
      </c>
    </row>
    <row r="2" spans="1:22" ht="15.75" thickBot="1">
      <c r="B2" s="356" t="s">
        <v>83</v>
      </c>
      <c r="C2" s="355">
        <v>2023</v>
      </c>
      <c r="D2" s="355">
        <v>2024</v>
      </c>
      <c r="E2" s="355">
        <v>2025</v>
      </c>
      <c r="F2" s="355">
        <v>2026</v>
      </c>
      <c r="G2" s="355">
        <v>2027</v>
      </c>
      <c r="H2" s="355">
        <v>2028</v>
      </c>
      <c r="I2" s="355">
        <v>2029</v>
      </c>
      <c r="J2" s="355">
        <v>2030</v>
      </c>
      <c r="K2" s="355">
        <v>2031</v>
      </c>
      <c r="L2" s="355">
        <v>2032</v>
      </c>
      <c r="M2" s="355">
        <v>2033</v>
      </c>
      <c r="N2" s="355">
        <v>2034</v>
      </c>
      <c r="O2" s="355">
        <v>2035</v>
      </c>
      <c r="P2" s="355">
        <v>2036</v>
      </c>
      <c r="Q2" s="355">
        <v>2037</v>
      </c>
      <c r="R2" s="355">
        <v>2038</v>
      </c>
      <c r="S2" s="355">
        <v>2039</v>
      </c>
      <c r="T2" s="355">
        <v>2040</v>
      </c>
      <c r="U2" s="355">
        <v>2041</v>
      </c>
      <c r="V2" s="701">
        <v>2042</v>
      </c>
    </row>
    <row r="3" spans="1:22" ht="15" thickBot="1">
      <c r="B3" s="1271" t="s">
        <v>197</v>
      </c>
      <c r="C3" s="1274">
        <f t="shared" ref="C3:V3" si="0">SUM(C4:C12)</f>
        <v>286056</v>
      </c>
      <c r="D3" s="1274">
        <f t="shared" si="0"/>
        <v>1043240</v>
      </c>
      <c r="E3" s="1274">
        <f t="shared" si="0"/>
        <v>1246280.0000000002</v>
      </c>
      <c r="F3" s="1274">
        <f t="shared" si="0"/>
        <v>1244480</v>
      </c>
      <c r="G3" s="1274">
        <f t="shared" si="0"/>
        <v>1471472</v>
      </c>
      <c r="H3" s="1274">
        <f t="shared" si="0"/>
        <v>1630966.4</v>
      </c>
      <c r="I3" s="1274">
        <f t="shared" si="0"/>
        <v>1729119.6800000002</v>
      </c>
      <c r="J3" s="1274">
        <f t="shared" si="0"/>
        <v>1830943.6160000002</v>
      </c>
      <c r="K3" s="1274">
        <f t="shared" si="0"/>
        <v>1910796.3391999998</v>
      </c>
      <c r="L3" s="1274">
        <f t="shared" si="0"/>
        <v>2147395.6070400001</v>
      </c>
      <c r="M3" s="1274">
        <f t="shared" si="0"/>
        <v>2290034.7284479998</v>
      </c>
      <c r="N3" s="1274">
        <f t="shared" si="0"/>
        <v>2446001.6741375998</v>
      </c>
      <c r="O3" s="1274">
        <f t="shared" si="0"/>
        <v>2557922.0089651197</v>
      </c>
      <c r="P3" s="1274">
        <f t="shared" si="0"/>
        <v>2729986.4107581442</v>
      </c>
      <c r="Q3" s="1274">
        <f t="shared" si="0"/>
        <v>2934783.6929097725</v>
      </c>
      <c r="R3" s="1274">
        <f t="shared" si="0"/>
        <v>3007140.431491727</v>
      </c>
      <c r="S3" s="1274">
        <f t="shared" si="0"/>
        <v>3090168.5177900726</v>
      </c>
      <c r="T3" s="1274">
        <f t="shared" si="0"/>
        <v>3179722.2213480873</v>
      </c>
      <c r="U3" s="1274">
        <f t="shared" si="0"/>
        <v>3288466.6656177053</v>
      </c>
      <c r="V3" s="1274">
        <f t="shared" si="0"/>
        <v>3400959.9987412458</v>
      </c>
    </row>
    <row r="4" spans="1:22" s="1285" customFormat="1" ht="15" thickBot="1">
      <c r="A4"/>
      <c r="B4" s="1286" t="s">
        <v>198</v>
      </c>
      <c r="C4" s="1287">
        <f t="shared" ref="C4:V4" si="1">SUM(C5)</f>
        <v>43328</v>
      </c>
      <c r="D4" s="1287">
        <f t="shared" si="1"/>
        <v>371520</v>
      </c>
      <c r="E4" s="1287">
        <f t="shared" si="1"/>
        <v>447040.00000000006</v>
      </c>
      <c r="F4" s="1287">
        <f t="shared" si="1"/>
        <v>444160</v>
      </c>
      <c r="G4" s="1287">
        <f t="shared" si="1"/>
        <v>528000</v>
      </c>
      <c r="H4" s="1287">
        <f t="shared" si="1"/>
        <v>585600</v>
      </c>
      <c r="I4" s="1287">
        <f t="shared" si="1"/>
        <v>619200</v>
      </c>
      <c r="J4" s="1287">
        <f t="shared" si="1"/>
        <v>653440.00000000012</v>
      </c>
      <c r="K4" s="1287">
        <f t="shared" si="1"/>
        <v>678400</v>
      </c>
      <c r="L4" s="1287">
        <f t="shared" si="1"/>
        <v>710400</v>
      </c>
      <c r="M4" s="1287">
        <f t="shared" si="1"/>
        <v>720000</v>
      </c>
      <c r="N4" s="1287">
        <f t="shared" si="1"/>
        <v>752000</v>
      </c>
      <c r="O4" s="1287">
        <f t="shared" si="1"/>
        <v>784000</v>
      </c>
      <c r="P4" s="1287">
        <f t="shared" si="1"/>
        <v>816000</v>
      </c>
      <c r="Q4" s="1287">
        <f t="shared" si="1"/>
        <v>864000</v>
      </c>
      <c r="R4" s="1287">
        <f t="shared" si="1"/>
        <v>864000</v>
      </c>
      <c r="S4" s="1287">
        <f t="shared" si="1"/>
        <v>864000</v>
      </c>
      <c r="T4" s="1287">
        <f t="shared" si="1"/>
        <v>864000</v>
      </c>
      <c r="U4" s="1287">
        <f t="shared" si="1"/>
        <v>864000</v>
      </c>
      <c r="V4" s="1287">
        <f t="shared" si="1"/>
        <v>864000</v>
      </c>
    </row>
    <row r="5" spans="1:22" ht="15" thickBot="1">
      <c r="A5"/>
      <c r="B5" s="1275" t="s">
        <v>199</v>
      </c>
      <c r="C5" s="1273">
        <f>'Výnosy 10%ZW'!C4*'Náklady 10%ZW'!$C$22</f>
        <v>43328</v>
      </c>
      <c r="D5" s="1273">
        <f>'Vývoj trhu'!E10*'Náklady 10%ZW'!$C$22</f>
        <v>371520</v>
      </c>
      <c r="E5" s="1273">
        <f>'Vývoj trhu'!F10*'Náklady 10%ZW'!$C$22</f>
        <v>447040.00000000006</v>
      </c>
      <c r="F5" s="1273">
        <f>'Vývoj trhu'!G10*'Náklady 10%ZW'!$C$22</f>
        <v>444160</v>
      </c>
      <c r="G5" s="1273">
        <f>'Vývoj trhu'!H10*'Náklady 10%ZW'!$C$22</f>
        <v>528000</v>
      </c>
      <c r="H5" s="1273">
        <f>'Vývoj trhu'!I10*'Náklady 10%ZW'!$C$22</f>
        <v>585600</v>
      </c>
      <c r="I5" s="1273">
        <f>'Vývoj trhu'!J10*'Náklady 10%ZW'!$C$22</f>
        <v>619200</v>
      </c>
      <c r="J5" s="1273">
        <f>'Vývoj trhu'!K10*'Náklady 10%ZW'!$C$22</f>
        <v>653440.00000000012</v>
      </c>
      <c r="K5" s="1273">
        <f>'Vývoj trhu'!L10*'Náklady 10%ZW'!$C$22</f>
        <v>678400</v>
      </c>
      <c r="L5" s="1273">
        <f>'Vývoj trhu'!M10*'Náklady 10%ZW'!$C$22</f>
        <v>710400</v>
      </c>
      <c r="M5" s="1273">
        <f>'Vývoj trhu'!N10*'Náklady 10%ZW'!$C$22</f>
        <v>720000</v>
      </c>
      <c r="N5" s="1273">
        <f>'Vývoj trhu'!O10*'Náklady 10%ZW'!$C$22</f>
        <v>752000</v>
      </c>
      <c r="O5" s="1273">
        <f>'Vývoj trhu'!P10*'Náklady 10%ZW'!$C$22</f>
        <v>784000</v>
      </c>
      <c r="P5" s="1273">
        <f>'Vývoj trhu'!Q10*'Náklady 10%ZW'!$C$22</f>
        <v>816000</v>
      </c>
      <c r="Q5" s="1273">
        <f>'Vývoj trhu'!R10*'Náklady 10%ZW'!$C$22</f>
        <v>864000</v>
      </c>
      <c r="R5" s="1273">
        <f>'Vývoj trhu'!S10*'Náklady 10%ZW'!$C$22</f>
        <v>864000</v>
      </c>
      <c r="S5" s="1273">
        <f>'Vývoj trhu'!T10*'Náklady 10%ZW'!$C$22</f>
        <v>864000</v>
      </c>
      <c r="T5" s="1273">
        <f>'Vývoj trhu'!U10*'Náklady 10%ZW'!$C$22</f>
        <v>864000</v>
      </c>
      <c r="U5" s="1273">
        <f>'Vývoj trhu'!V10*'Náklady 10%ZW'!$C$22</f>
        <v>864000</v>
      </c>
      <c r="V5" s="1273">
        <f>'Vývoj trhu'!W10*'Náklady 10%ZW'!$C$22</f>
        <v>864000</v>
      </c>
    </row>
    <row r="6" spans="1:22" ht="15" thickBot="1">
      <c r="A6"/>
      <c r="B6" s="1275" t="s">
        <v>200</v>
      </c>
      <c r="C6" s="1273">
        <f>'Výnosy 10%ZW'!C4*'Náklady 10%ZW'!C30</f>
        <v>135400</v>
      </c>
      <c r="D6" s="1273">
        <f>'Výnosy 10%ZW'!D4*'Náklady 10%ZW'!D30</f>
        <v>232200.00000000003</v>
      </c>
      <c r="E6" s="1273">
        <f>'Výnosy 10%ZW'!E4*'Náklady 10%ZW'!E30</f>
        <v>279400.00000000006</v>
      </c>
      <c r="F6" s="1273">
        <f>'Výnosy 10%ZW'!F4*'Náklady 10%ZW'!F30</f>
        <v>277600</v>
      </c>
      <c r="G6" s="1273">
        <f>'Výnosy 10%ZW'!G4*'Náklady 10%ZW'!G30</f>
        <v>330000</v>
      </c>
      <c r="H6" s="1273">
        <f>'Výnosy 10%ZW'!H4*'Náklady 10%ZW'!H30</f>
        <v>366000</v>
      </c>
      <c r="I6" s="1273">
        <f>'Výnosy 10%ZW'!I4*'Náklady 10%ZW'!I30</f>
        <v>387000</v>
      </c>
      <c r="J6" s="1273">
        <f>'Výnosy 10%ZW'!J4*'Náklady 10%ZW'!J30</f>
        <v>408400.00000000006</v>
      </c>
      <c r="K6" s="1273">
        <f>'Výnosy 10%ZW'!K4*'Náklady 10%ZW'!K30</f>
        <v>424000</v>
      </c>
      <c r="L6" s="1273">
        <f>'Výnosy 10%ZW'!L4*'Náklady 10%ZW'!L30</f>
        <v>444000</v>
      </c>
      <c r="M6" s="1273">
        <f>'Výnosy 10%ZW'!M4*'Náklady 10%ZW'!M30</f>
        <v>450000</v>
      </c>
      <c r="N6" s="1273">
        <f>'Výnosy 10%ZW'!N4*'Náklady 10%ZW'!N30</f>
        <v>470000</v>
      </c>
      <c r="O6" s="1273">
        <f>'Výnosy 10%ZW'!O4*'Náklady 10%ZW'!O30</f>
        <v>490000</v>
      </c>
      <c r="P6" s="1273">
        <f>'Výnosy 10%ZW'!P4*'Náklady 10%ZW'!P30</f>
        <v>510000</v>
      </c>
      <c r="Q6" s="1273">
        <f>'Výnosy 10%ZW'!Q4*'Náklady 10%ZW'!Q30</f>
        <v>540000</v>
      </c>
      <c r="R6" s="1273">
        <f>'Výnosy 10%ZW'!R4*'Náklady 10%ZW'!R30</f>
        <v>540000</v>
      </c>
      <c r="S6" s="1273">
        <f>'Výnosy 10%ZW'!S4*'Náklady 10%ZW'!S30</f>
        <v>540000</v>
      </c>
      <c r="T6" s="1273">
        <f>'Výnosy 10%ZW'!T4*'Náklady 10%ZW'!T30</f>
        <v>540000</v>
      </c>
      <c r="U6" s="1273">
        <f>'Výnosy 10%ZW'!U4*'Náklady 10%ZW'!U30</f>
        <v>540000</v>
      </c>
      <c r="V6" s="1273">
        <f>'Výnosy 10%ZW'!V4*'Náklady 10%ZW'!V30</f>
        <v>540000</v>
      </c>
    </row>
    <row r="7" spans="1:22" ht="15" thickBot="1">
      <c r="A7"/>
      <c r="B7" s="1275" t="s">
        <v>201</v>
      </c>
      <c r="C7" s="1273"/>
      <c r="D7" s="1273"/>
      <c r="E7" s="1273"/>
      <c r="F7" s="1273"/>
      <c r="G7" s="1273"/>
      <c r="H7" s="1273"/>
      <c r="I7" s="1273"/>
      <c r="J7" s="1273"/>
      <c r="K7" s="1273"/>
      <c r="L7" s="1273">
        <f>'Výnosy 10%ZW'!C4*L32</f>
        <v>135400</v>
      </c>
      <c r="M7" s="1273">
        <f>'Výnosy 10%ZW'!D4*M32</f>
        <v>232200.00000000003</v>
      </c>
      <c r="N7" s="1273">
        <f>'Výnosy 10%ZW'!E4*N32</f>
        <v>279400.00000000006</v>
      </c>
      <c r="O7" s="1273">
        <f>'Výnosy 10%ZW'!F4*O32</f>
        <v>277600</v>
      </c>
      <c r="P7" s="1273">
        <f>'Výnosy 10%ZW'!G4*P32</f>
        <v>330000</v>
      </c>
      <c r="Q7" s="1273">
        <f>'Výnosy 10%ZW'!H4*Q32</f>
        <v>366000</v>
      </c>
      <c r="R7" s="1273">
        <f>'Výnosy 10%ZW'!I4*R32</f>
        <v>387000</v>
      </c>
      <c r="S7" s="1273">
        <f>'Výnosy 10%ZW'!J4*S32</f>
        <v>408400.00000000006</v>
      </c>
      <c r="T7" s="1273">
        <f>'Výnosy 10%ZW'!K4*T32</f>
        <v>424000</v>
      </c>
      <c r="U7" s="1273">
        <f>'Výnosy 10%ZW'!L4*U32</f>
        <v>444000</v>
      </c>
      <c r="V7" s="1273">
        <f>'Výnosy 10%ZW'!M4*V32</f>
        <v>450000</v>
      </c>
    </row>
    <row r="8" spans="1:22" s="1285" customFormat="1" ht="15" thickBot="1">
      <c r="A8"/>
      <c r="B8" s="1286" t="s">
        <v>202</v>
      </c>
      <c r="C8" s="1287">
        <f t="shared" ref="C8:V8" si="2">SUM(C9:C12)</f>
        <v>32000</v>
      </c>
      <c r="D8" s="1287">
        <f t="shared" si="2"/>
        <v>34000</v>
      </c>
      <c r="E8" s="1287">
        <f t="shared" si="2"/>
        <v>36400</v>
      </c>
      <c r="F8" s="1287">
        <f t="shared" si="2"/>
        <v>39280</v>
      </c>
      <c r="G8" s="1287">
        <f t="shared" si="2"/>
        <v>42736</v>
      </c>
      <c r="H8" s="1287">
        <f t="shared" si="2"/>
        <v>46883.199999999997</v>
      </c>
      <c r="I8" s="1287">
        <f t="shared" si="2"/>
        <v>51859.839999999997</v>
      </c>
      <c r="J8" s="1287">
        <f t="shared" si="2"/>
        <v>57831.808000000005</v>
      </c>
      <c r="K8" s="1287">
        <f t="shared" si="2"/>
        <v>64998.169600000008</v>
      </c>
      <c r="L8" s="1287">
        <f t="shared" si="2"/>
        <v>73597.803520000016</v>
      </c>
      <c r="M8" s="1287">
        <f t="shared" si="2"/>
        <v>83917.364224000019</v>
      </c>
      <c r="N8" s="1287">
        <f t="shared" si="2"/>
        <v>96300.837068800014</v>
      </c>
      <c r="O8" s="1287">
        <f t="shared" si="2"/>
        <v>111161.00448256002</v>
      </c>
      <c r="P8" s="1287">
        <f t="shared" si="2"/>
        <v>128993.20537907202</v>
      </c>
      <c r="Q8" s="1287">
        <f t="shared" si="2"/>
        <v>150391.84645488643</v>
      </c>
      <c r="R8" s="1287">
        <f t="shared" si="2"/>
        <v>176070.21574586371</v>
      </c>
      <c r="S8" s="1287">
        <f t="shared" si="2"/>
        <v>206884.25889503644</v>
      </c>
      <c r="T8" s="1287">
        <f t="shared" si="2"/>
        <v>243861.11067404374</v>
      </c>
      <c r="U8" s="1287">
        <f t="shared" si="2"/>
        <v>288233.33280885249</v>
      </c>
      <c r="V8" s="1287">
        <f t="shared" si="2"/>
        <v>341479.99937062297</v>
      </c>
    </row>
    <row r="9" spans="1:22" ht="15" thickBot="1">
      <c r="A9"/>
      <c r="B9" s="1270" t="s">
        <v>203</v>
      </c>
      <c r="C9" s="1273">
        <f t="shared" ref="C9:V9" si="3">$C$25</f>
        <v>2000</v>
      </c>
      <c r="D9" s="1273">
        <f t="shared" si="3"/>
        <v>2000</v>
      </c>
      <c r="E9" s="1273">
        <f t="shared" si="3"/>
        <v>2000</v>
      </c>
      <c r="F9" s="1273">
        <f t="shared" si="3"/>
        <v>2000</v>
      </c>
      <c r="G9" s="1273">
        <f t="shared" si="3"/>
        <v>2000</v>
      </c>
      <c r="H9" s="1273">
        <f t="shared" si="3"/>
        <v>2000</v>
      </c>
      <c r="I9" s="1273">
        <f t="shared" si="3"/>
        <v>2000</v>
      </c>
      <c r="J9" s="1273">
        <f t="shared" si="3"/>
        <v>2000</v>
      </c>
      <c r="K9" s="1273">
        <f t="shared" si="3"/>
        <v>2000</v>
      </c>
      <c r="L9" s="1273">
        <f t="shared" si="3"/>
        <v>2000</v>
      </c>
      <c r="M9" s="1273">
        <f t="shared" si="3"/>
        <v>2000</v>
      </c>
      <c r="N9" s="1273">
        <f t="shared" si="3"/>
        <v>2000</v>
      </c>
      <c r="O9" s="1273">
        <f t="shared" si="3"/>
        <v>2000</v>
      </c>
      <c r="P9" s="1273">
        <f t="shared" si="3"/>
        <v>2000</v>
      </c>
      <c r="Q9" s="1273">
        <f t="shared" si="3"/>
        <v>2000</v>
      </c>
      <c r="R9" s="1273">
        <f t="shared" si="3"/>
        <v>2000</v>
      </c>
      <c r="S9" s="1273">
        <f t="shared" si="3"/>
        <v>2000</v>
      </c>
      <c r="T9" s="1273">
        <f t="shared" si="3"/>
        <v>2000</v>
      </c>
      <c r="U9" s="1273">
        <f t="shared" si="3"/>
        <v>2000</v>
      </c>
      <c r="V9" s="1273">
        <f t="shared" si="3"/>
        <v>2000</v>
      </c>
    </row>
    <row r="10" spans="1:22" ht="15" thickBot="1">
      <c r="B10" s="1270" t="s">
        <v>204</v>
      </c>
      <c r="C10" s="1273">
        <f t="shared" ref="C10:V10" si="4">$C$28</f>
        <v>15000</v>
      </c>
      <c r="D10" s="1273">
        <f t="shared" si="4"/>
        <v>15000</v>
      </c>
      <c r="E10" s="1273">
        <f t="shared" si="4"/>
        <v>15000</v>
      </c>
      <c r="F10" s="1273">
        <f t="shared" si="4"/>
        <v>15000</v>
      </c>
      <c r="G10" s="1273">
        <f t="shared" si="4"/>
        <v>15000</v>
      </c>
      <c r="H10" s="1273">
        <f t="shared" si="4"/>
        <v>15000</v>
      </c>
      <c r="I10" s="1273">
        <f t="shared" si="4"/>
        <v>15000</v>
      </c>
      <c r="J10" s="1273">
        <f t="shared" si="4"/>
        <v>15000</v>
      </c>
      <c r="K10" s="1273">
        <f t="shared" si="4"/>
        <v>15000</v>
      </c>
      <c r="L10" s="1273">
        <f t="shared" si="4"/>
        <v>15000</v>
      </c>
      <c r="M10" s="1273">
        <f t="shared" si="4"/>
        <v>15000</v>
      </c>
      <c r="N10" s="1273">
        <f t="shared" si="4"/>
        <v>15000</v>
      </c>
      <c r="O10" s="1273">
        <f t="shared" si="4"/>
        <v>15000</v>
      </c>
      <c r="P10" s="1273">
        <f t="shared" si="4"/>
        <v>15000</v>
      </c>
      <c r="Q10" s="1273">
        <f t="shared" si="4"/>
        <v>15000</v>
      </c>
      <c r="R10" s="1273">
        <f t="shared" si="4"/>
        <v>15000</v>
      </c>
      <c r="S10" s="1273">
        <f t="shared" si="4"/>
        <v>15000</v>
      </c>
      <c r="T10" s="1273">
        <f t="shared" si="4"/>
        <v>15000</v>
      </c>
      <c r="U10" s="1273">
        <f t="shared" si="4"/>
        <v>15000</v>
      </c>
      <c r="V10" s="1273">
        <f t="shared" si="4"/>
        <v>15000</v>
      </c>
    </row>
    <row r="11" spans="1:22" ht="15" thickBot="1">
      <c r="B11" s="1270" t="s">
        <v>205</v>
      </c>
      <c r="C11" s="1273">
        <f>5000</f>
        <v>5000</v>
      </c>
      <c r="D11" s="1273">
        <f>5000</f>
        <v>5000</v>
      </c>
      <c r="E11" s="1273">
        <f>5000</f>
        <v>5000</v>
      </c>
      <c r="F11" s="1273">
        <f>5000</f>
        <v>5000</v>
      </c>
      <c r="G11" s="1273">
        <f>5000</f>
        <v>5000</v>
      </c>
      <c r="H11" s="1273">
        <f>5000</f>
        <v>5000</v>
      </c>
      <c r="I11" s="1273">
        <f>5000</f>
        <v>5000</v>
      </c>
      <c r="J11" s="1273">
        <f>5000</f>
        <v>5000</v>
      </c>
      <c r="K11" s="1273">
        <f>5000</f>
        <v>5000</v>
      </c>
      <c r="L11" s="1273">
        <f>5000</f>
        <v>5000</v>
      </c>
      <c r="M11" s="1273">
        <f>5000</f>
        <v>5000</v>
      </c>
      <c r="N11" s="1273">
        <f>5000</f>
        <v>5000</v>
      </c>
      <c r="O11" s="1273">
        <f>5000</f>
        <v>5000</v>
      </c>
      <c r="P11" s="1273">
        <f>5000</f>
        <v>5000</v>
      </c>
      <c r="Q11" s="1273">
        <f>5000</f>
        <v>5000</v>
      </c>
      <c r="R11" s="1273">
        <f>5000</f>
        <v>5000</v>
      </c>
      <c r="S11" s="1273">
        <f>5000</f>
        <v>5000</v>
      </c>
      <c r="T11" s="1273">
        <f>5000</f>
        <v>5000</v>
      </c>
      <c r="U11" s="1273">
        <f>5000</f>
        <v>5000</v>
      </c>
      <c r="V11" s="1273">
        <f>5000</f>
        <v>5000</v>
      </c>
    </row>
    <row r="12" spans="1:22" ht="15.75" customHeight="1" thickBot="1">
      <c r="B12" s="1270" t="s">
        <v>206</v>
      </c>
      <c r="C12" s="1273">
        <v>10000</v>
      </c>
      <c r="D12" s="1273">
        <f t="shared" ref="D12:V12" si="5">C12+C12*0.2</f>
        <v>12000</v>
      </c>
      <c r="E12" s="1273">
        <f t="shared" si="5"/>
        <v>14400</v>
      </c>
      <c r="F12" s="1273">
        <f t="shared" si="5"/>
        <v>17280</v>
      </c>
      <c r="G12" s="1273">
        <f t="shared" si="5"/>
        <v>20736</v>
      </c>
      <c r="H12" s="1273">
        <f t="shared" si="5"/>
        <v>24883.200000000001</v>
      </c>
      <c r="I12" s="1273">
        <f t="shared" si="5"/>
        <v>29859.84</v>
      </c>
      <c r="J12" s="1273">
        <f t="shared" si="5"/>
        <v>35831.808000000005</v>
      </c>
      <c r="K12" s="1273">
        <f t="shared" si="5"/>
        <v>42998.169600000008</v>
      </c>
      <c r="L12" s="1273">
        <f t="shared" si="5"/>
        <v>51597.803520000009</v>
      </c>
      <c r="M12" s="1273">
        <f t="shared" si="5"/>
        <v>61917.364224000012</v>
      </c>
      <c r="N12" s="1273">
        <f t="shared" si="5"/>
        <v>74300.837068800014</v>
      </c>
      <c r="O12" s="1273">
        <f t="shared" si="5"/>
        <v>89161.00448256002</v>
      </c>
      <c r="P12" s="1273">
        <f t="shared" si="5"/>
        <v>106993.20537907202</v>
      </c>
      <c r="Q12" s="1273">
        <f t="shared" si="5"/>
        <v>128391.84645488643</v>
      </c>
      <c r="R12" s="1273">
        <f t="shared" si="5"/>
        <v>154070.21574586371</v>
      </c>
      <c r="S12" s="1273">
        <f t="shared" si="5"/>
        <v>184884.25889503644</v>
      </c>
      <c r="T12" s="1273">
        <f t="shared" si="5"/>
        <v>221861.11067404374</v>
      </c>
      <c r="U12" s="1273">
        <f t="shared" si="5"/>
        <v>266233.33280885249</v>
      </c>
      <c r="V12" s="1273">
        <f t="shared" si="5"/>
        <v>319479.99937062297</v>
      </c>
    </row>
    <row r="13" spans="1:22" ht="15" thickBot="1"/>
    <row r="14" spans="1:22">
      <c r="B14" s="1284" t="s">
        <v>207</v>
      </c>
      <c r="C14" s="263"/>
      <c r="D14" s="263"/>
      <c r="E14" s="263"/>
      <c r="F14" s="263"/>
      <c r="G14" s="263"/>
      <c r="H14" s="263"/>
      <c r="I14" s="263"/>
      <c r="J14" s="263"/>
      <c r="K14" s="263"/>
      <c r="L14" s="263"/>
      <c r="M14" s="263"/>
      <c r="N14" s="263"/>
      <c r="O14" s="263"/>
      <c r="P14" s="263"/>
      <c r="Q14" s="263"/>
      <c r="R14" s="263"/>
      <c r="S14" s="263"/>
      <c r="T14" s="263"/>
      <c r="U14" s="263"/>
      <c r="V14" s="1278"/>
    </row>
    <row r="15" spans="1:22">
      <c r="B15" s="1279" t="s">
        <v>208</v>
      </c>
      <c r="C15" s="1277">
        <v>300</v>
      </c>
      <c r="D15" s="1277">
        <v>300</v>
      </c>
      <c r="E15" s="1277">
        <v>300</v>
      </c>
      <c r="F15" s="1277">
        <v>300</v>
      </c>
      <c r="G15" s="1277">
        <v>300</v>
      </c>
      <c r="H15" s="1277">
        <v>300</v>
      </c>
      <c r="I15" s="1277">
        <v>300</v>
      </c>
      <c r="J15" s="1277">
        <v>300</v>
      </c>
      <c r="K15" s="1277">
        <v>300</v>
      </c>
      <c r="L15" s="1277">
        <v>300</v>
      </c>
      <c r="M15" s="1277">
        <v>300</v>
      </c>
      <c r="N15" s="1277">
        <v>300</v>
      </c>
      <c r="O15" s="1277">
        <v>300</v>
      </c>
      <c r="P15" s="1277">
        <v>300</v>
      </c>
      <c r="Q15" s="1277">
        <v>300</v>
      </c>
      <c r="R15" s="1277">
        <v>300</v>
      </c>
      <c r="S15" s="1277">
        <v>300</v>
      </c>
      <c r="T15" s="1277">
        <v>300</v>
      </c>
      <c r="U15" s="1277">
        <v>300</v>
      </c>
      <c r="V15" s="1280">
        <v>300</v>
      </c>
    </row>
    <row r="16" spans="1:22">
      <c r="B16" s="1279" t="s">
        <v>209</v>
      </c>
      <c r="C16" s="1277">
        <v>350</v>
      </c>
      <c r="D16" s="1277">
        <v>350</v>
      </c>
      <c r="E16" s="1277">
        <v>350</v>
      </c>
      <c r="F16" s="1277">
        <v>350</v>
      </c>
      <c r="G16" s="1277">
        <v>350</v>
      </c>
      <c r="H16" s="1277">
        <v>350</v>
      </c>
      <c r="I16" s="1277">
        <v>350</v>
      </c>
      <c r="J16" s="1277">
        <v>350</v>
      </c>
      <c r="K16" s="1277">
        <v>350</v>
      </c>
      <c r="L16" s="1277">
        <v>350</v>
      </c>
      <c r="M16" s="1277">
        <v>350</v>
      </c>
      <c r="N16" s="1277">
        <v>350</v>
      </c>
      <c r="O16" s="1277">
        <v>350</v>
      </c>
      <c r="P16" s="1277">
        <v>350</v>
      </c>
      <c r="Q16" s="1277">
        <v>350</v>
      </c>
      <c r="R16" s="1277">
        <v>350</v>
      </c>
      <c r="S16" s="1277">
        <v>350</v>
      </c>
      <c r="T16" s="1277">
        <v>350</v>
      </c>
      <c r="U16" s="1277">
        <v>350</v>
      </c>
      <c r="V16" s="1280">
        <v>350</v>
      </c>
    </row>
    <row r="17" spans="2:22">
      <c r="B17" s="1279" t="s">
        <v>210</v>
      </c>
      <c r="C17" s="1277">
        <v>400</v>
      </c>
      <c r="D17" s="1277">
        <v>400</v>
      </c>
      <c r="E17" s="1277">
        <v>400</v>
      </c>
      <c r="F17" s="1277">
        <v>400</v>
      </c>
      <c r="G17" s="1277">
        <v>400</v>
      </c>
      <c r="H17" s="1277">
        <v>400</v>
      </c>
      <c r="I17" s="1277">
        <v>400</v>
      </c>
      <c r="J17" s="1277">
        <v>400</v>
      </c>
      <c r="K17" s="1277">
        <v>400</v>
      </c>
      <c r="L17" s="1277">
        <v>400</v>
      </c>
      <c r="M17" s="1277">
        <v>400</v>
      </c>
      <c r="N17" s="1277">
        <v>400</v>
      </c>
      <c r="O17" s="1277">
        <v>400</v>
      </c>
      <c r="P17" s="1277">
        <v>400</v>
      </c>
      <c r="Q17" s="1277">
        <v>400</v>
      </c>
      <c r="R17" s="1277">
        <v>400</v>
      </c>
      <c r="S17" s="1277">
        <v>400</v>
      </c>
      <c r="T17" s="1277">
        <v>400</v>
      </c>
      <c r="U17" s="1277">
        <v>400</v>
      </c>
      <c r="V17" s="1280">
        <v>400</v>
      </c>
    </row>
    <row r="18" spans="2:22">
      <c r="B18" s="1279" t="s">
        <v>211</v>
      </c>
      <c r="C18" s="1277">
        <v>550</v>
      </c>
      <c r="D18" s="1277">
        <v>550</v>
      </c>
      <c r="E18" s="1277">
        <v>550</v>
      </c>
      <c r="F18" s="1277">
        <v>550</v>
      </c>
      <c r="G18" s="1277">
        <v>550</v>
      </c>
      <c r="H18" s="1277">
        <v>550</v>
      </c>
      <c r="I18" s="1277">
        <v>550</v>
      </c>
      <c r="J18" s="1277">
        <v>550</v>
      </c>
      <c r="K18" s="1277">
        <v>550</v>
      </c>
      <c r="L18" s="1277">
        <v>550</v>
      </c>
      <c r="M18" s="1277">
        <v>550</v>
      </c>
      <c r="N18" s="1277">
        <v>550</v>
      </c>
      <c r="O18" s="1277">
        <v>550</v>
      </c>
      <c r="P18" s="1277">
        <v>550</v>
      </c>
      <c r="Q18" s="1277">
        <v>550</v>
      </c>
      <c r="R18" s="1277">
        <v>550</v>
      </c>
      <c r="S18" s="1277">
        <v>550</v>
      </c>
      <c r="T18" s="1277">
        <v>550</v>
      </c>
      <c r="U18" s="1277">
        <v>550</v>
      </c>
      <c r="V18" s="1280">
        <v>550</v>
      </c>
    </row>
    <row r="19" spans="2:22">
      <c r="B19" s="1279" t="s">
        <v>212</v>
      </c>
      <c r="C19" s="1277">
        <v>200</v>
      </c>
      <c r="D19" s="1277">
        <v>200</v>
      </c>
      <c r="E19" s="1277">
        <v>200</v>
      </c>
      <c r="F19" s="1277">
        <v>200</v>
      </c>
      <c r="G19" s="1277">
        <v>200</v>
      </c>
      <c r="H19" s="1277">
        <v>200</v>
      </c>
      <c r="I19" s="1277">
        <v>200</v>
      </c>
      <c r="J19" s="1277">
        <v>200</v>
      </c>
      <c r="K19" s="1277">
        <v>200</v>
      </c>
      <c r="L19" s="1277">
        <v>200</v>
      </c>
      <c r="M19" s="1277">
        <v>200</v>
      </c>
      <c r="N19" s="1277">
        <v>200</v>
      </c>
      <c r="O19" s="1277">
        <v>200</v>
      </c>
      <c r="P19" s="1277">
        <v>200</v>
      </c>
      <c r="Q19" s="1277">
        <v>200</v>
      </c>
      <c r="R19" s="1277">
        <v>200</v>
      </c>
      <c r="S19" s="1277">
        <v>200</v>
      </c>
      <c r="T19" s="1277">
        <v>200</v>
      </c>
      <c r="U19" s="1277">
        <v>200</v>
      </c>
      <c r="V19" s="1280">
        <v>200</v>
      </c>
    </row>
    <row r="20" spans="2:22">
      <c r="B20" s="1279" t="s">
        <v>213</v>
      </c>
      <c r="C20" s="1277">
        <v>190</v>
      </c>
      <c r="D20" s="1277">
        <v>190</v>
      </c>
      <c r="E20" s="1277">
        <v>190</v>
      </c>
      <c r="F20" s="1277">
        <v>190</v>
      </c>
      <c r="G20" s="1277">
        <v>190</v>
      </c>
      <c r="H20" s="1277">
        <v>190</v>
      </c>
      <c r="I20" s="1277">
        <v>190</v>
      </c>
      <c r="J20" s="1277">
        <v>190</v>
      </c>
      <c r="K20" s="1277">
        <v>190</v>
      </c>
      <c r="L20" s="1277">
        <v>190</v>
      </c>
      <c r="M20" s="1277">
        <v>190</v>
      </c>
      <c r="N20" s="1277">
        <v>190</v>
      </c>
      <c r="O20" s="1277">
        <v>190</v>
      </c>
      <c r="P20" s="1277">
        <v>190</v>
      </c>
      <c r="Q20" s="1277">
        <v>190</v>
      </c>
      <c r="R20" s="1277">
        <v>190</v>
      </c>
      <c r="S20" s="1277">
        <v>190</v>
      </c>
      <c r="T20" s="1277">
        <v>190</v>
      </c>
      <c r="U20" s="1277">
        <v>190</v>
      </c>
      <c r="V20" s="1280">
        <v>190</v>
      </c>
    </row>
    <row r="21" spans="2:22">
      <c r="B21" s="1279" t="s">
        <v>214</v>
      </c>
      <c r="C21" s="1277">
        <v>250</v>
      </c>
      <c r="D21" s="1277">
        <v>250</v>
      </c>
      <c r="E21" s="1277">
        <v>250</v>
      </c>
      <c r="F21" s="1277">
        <v>250</v>
      </c>
      <c r="G21" s="1277">
        <v>250</v>
      </c>
      <c r="H21" s="1277">
        <v>250</v>
      </c>
      <c r="I21" s="1277">
        <v>250</v>
      </c>
      <c r="J21" s="1277">
        <v>250</v>
      </c>
      <c r="K21" s="1277">
        <v>250</v>
      </c>
      <c r="L21" s="1277">
        <v>250</v>
      </c>
      <c r="M21" s="1277">
        <v>250</v>
      </c>
      <c r="N21" s="1277">
        <v>250</v>
      </c>
      <c r="O21" s="1277">
        <v>250</v>
      </c>
      <c r="P21" s="1277">
        <v>250</v>
      </c>
      <c r="Q21" s="1277">
        <v>250</v>
      </c>
      <c r="R21" s="1277">
        <v>250</v>
      </c>
      <c r="S21" s="1277">
        <v>250</v>
      </c>
      <c r="T21" s="1277">
        <v>250</v>
      </c>
      <c r="U21" s="1277">
        <v>250</v>
      </c>
      <c r="V21" s="1280">
        <v>250</v>
      </c>
    </row>
    <row r="22" spans="2:22" ht="15" thickBot="1">
      <c r="B22" s="1281" t="s">
        <v>215</v>
      </c>
      <c r="C22" s="1282">
        <f t="shared" ref="C22:V22" si="6">AVERAGE(C15:C21)</f>
        <v>320</v>
      </c>
      <c r="D22" s="1282">
        <f t="shared" si="6"/>
        <v>320</v>
      </c>
      <c r="E22" s="1282">
        <f t="shared" si="6"/>
        <v>320</v>
      </c>
      <c r="F22" s="1282">
        <f t="shared" si="6"/>
        <v>320</v>
      </c>
      <c r="G22" s="1282">
        <f t="shared" si="6"/>
        <v>320</v>
      </c>
      <c r="H22" s="1282">
        <f t="shared" si="6"/>
        <v>320</v>
      </c>
      <c r="I22" s="1282">
        <f t="shared" si="6"/>
        <v>320</v>
      </c>
      <c r="J22" s="1282">
        <f t="shared" si="6"/>
        <v>320</v>
      </c>
      <c r="K22" s="1282">
        <f t="shared" si="6"/>
        <v>320</v>
      </c>
      <c r="L22" s="1282">
        <f t="shared" si="6"/>
        <v>320</v>
      </c>
      <c r="M22" s="1282">
        <f t="shared" si="6"/>
        <v>320</v>
      </c>
      <c r="N22" s="1282">
        <f t="shared" si="6"/>
        <v>320</v>
      </c>
      <c r="O22" s="1282">
        <f t="shared" si="6"/>
        <v>320</v>
      </c>
      <c r="P22" s="1282">
        <f t="shared" si="6"/>
        <v>320</v>
      </c>
      <c r="Q22" s="1282">
        <f t="shared" si="6"/>
        <v>320</v>
      </c>
      <c r="R22" s="1282">
        <f t="shared" si="6"/>
        <v>320</v>
      </c>
      <c r="S22" s="1282">
        <f t="shared" si="6"/>
        <v>320</v>
      </c>
      <c r="T22" s="1282">
        <f t="shared" si="6"/>
        <v>320</v>
      </c>
      <c r="U22" s="1282">
        <f t="shared" si="6"/>
        <v>320</v>
      </c>
      <c r="V22" s="1283">
        <f t="shared" si="6"/>
        <v>320</v>
      </c>
    </row>
    <row r="23" spans="2:22" ht="15" thickBot="1">
      <c r="B23" s="1276"/>
    </row>
    <row r="24" spans="2:22">
      <c r="B24" s="1284" t="s">
        <v>216</v>
      </c>
      <c r="C24" s="263"/>
      <c r="D24" s="263"/>
      <c r="E24" s="263"/>
      <c r="F24" s="263"/>
      <c r="G24" s="263"/>
      <c r="H24" s="263"/>
      <c r="I24" s="263"/>
      <c r="J24" s="263"/>
      <c r="K24" s="263"/>
      <c r="L24" s="263"/>
      <c r="M24" s="263"/>
      <c r="N24" s="263"/>
      <c r="O24" s="263"/>
      <c r="P24" s="263"/>
      <c r="Q24" s="263"/>
      <c r="R24" s="263"/>
      <c r="S24" s="263"/>
      <c r="T24" s="263"/>
      <c r="U24" s="263"/>
      <c r="V24" s="1278"/>
    </row>
    <row r="25" spans="2:22" ht="15" thickBot="1">
      <c r="B25" s="1281" t="s">
        <v>217</v>
      </c>
      <c r="C25" s="1282">
        <v>2000</v>
      </c>
      <c r="D25" s="1282">
        <v>2000</v>
      </c>
      <c r="E25" s="1282">
        <v>2000</v>
      </c>
      <c r="F25" s="1282">
        <v>2000</v>
      </c>
      <c r="G25" s="1282">
        <v>2000</v>
      </c>
      <c r="H25" s="1282">
        <v>2000</v>
      </c>
      <c r="I25" s="1282">
        <v>2000</v>
      </c>
      <c r="J25" s="1282">
        <v>2000</v>
      </c>
      <c r="K25" s="1282">
        <v>2000</v>
      </c>
      <c r="L25" s="1282">
        <v>2000</v>
      </c>
      <c r="M25" s="1282">
        <v>2000</v>
      </c>
      <c r="N25" s="1282">
        <v>2000</v>
      </c>
      <c r="O25" s="1282">
        <v>2000</v>
      </c>
      <c r="P25" s="1282">
        <v>2000</v>
      </c>
      <c r="Q25" s="1282">
        <v>2000</v>
      </c>
      <c r="R25" s="1282">
        <v>2000</v>
      </c>
      <c r="S25" s="1282">
        <v>2000</v>
      </c>
      <c r="T25" s="1282">
        <v>2000</v>
      </c>
      <c r="U25" s="1282">
        <v>2000</v>
      </c>
      <c r="V25" s="1283">
        <v>2000</v>
      </c>
    </row>
    <row r="26" spans="2:22" ht="15" thickBot="1">
      <c r="B26" s="1276"/>
    </row>
    <row r="27" spans="2:22">
      <c r="B27" s="1284" t="s">
        <v>218</v>
      </c>
      <c r="C27" s="263"/>
      <c r="D27" s="263"/>
      <c r="E27" s="263"/>
      <c r="F27" s="263"/>
      <c r="G27" s="263"/>
      <c r="H27" s="263"/>
      <c r="I27" s="263"/>
      <c r="J27" s="263"/>
      <c r="K27" s="263"/>
      <c r="L27" s="263"/>
      <c r="M27" s="263"/>
      <c r="N27" s="263"/>
      <c r="O27" s="263"/>
      <c r="P27" s="263"/>
      <c r="Q27" s="263"/>
      <c r="R27" s="263"/>
      <c r="S27" s="263"/>
      <c r="T27" s="263"/>
      <c r="U27" s="263"/>
      <c r="V27" s="1278"/>
    </row>
    <row r="28" spans="2:22" ht="15" thickBot="1">
      <c r="B28" s="1281" t="s">
        <v>219</v>
      </c>
      <c r="C28" s="1282">
        <v>15000</v>
      </c>
      <c r="D28" s="1282">
        <v>15000</v>
      </c>
      <c r="E28" s="1282">
        <v>15000</v>
      </c>
      <c r="F28" s="1282">
        <v>15000</v>
      </c>
      <c r="G28" s="1282">
        <v>15000</v>
      </c>
      <c r="H28" s="1282">
        <v>15000</v>
      </c>
      <c r="I28" s="1282">
        <v>15000</v>
      </c>
      <c r="J28" s="1282">
        <v>15000</v>
      </c>
      <c r="K28" s="1282">
        <v>15000</v>
      </c>
      <c r="L28" s="1282">
        <v>15000</v>
      </c>
      <c r="M28" s="1282">
        <v>15000</v>
      </c>
      <c r="N28" s="1282">
        <v>15000</v>
      </c>
      <c r="O28" s="1282">
        <v>15000</v>
      </c>
      <c r="P28" s="1282">
        <v>15000</v>
      </c>
      <c r="Q28" s="1282">
        <v>15000</v>
      </c>
      <c r="R28" s="1282">
        <v>15000</v>
      </c>
      <c r="S28" s="1282">
        <v>15000</v>
      </c>
      <c r="T28" s="1282">
        <v>15000</v>
      </c>
      <c r="U28" s="1282">
        <v>15000</v>
      </c>
      <c r="V28" s="1283">
        <v>15000</v>
      </c>
    </row>
    <row r="29" spans="2:22" ht="15" thickBot="1"/>
    <row r="30" spans="2:22" ht="15" thickBot="1">
      <c r="B30" s="1292" t="s">
        <v>220</v>
      </c>
      <c r="C30" s="1293">
        <v>1000</v>
      </c>
      <c r="D30" s="1293">
        <v>1000</v>
      </c>
      <c r="E30" s="1293">
        <v>1000</v>
      </c>
      <c r="F30" s="1293">
        <v>1000</v>
      </c>
      <c r="G30" s="1293">
        <v>1000</v>
      </c>
      <c r="H30" s="1293">
        <v>1000</v>
      </c>
      <c r="I30" s="1293">
        <v>1000</v>
      </c>
      <c r="J30" s="1293">
        <v>1000</v>
      </c>
      <c r="K30" s="1293">
        <v>1000</v>
      </c>
      <c r="L30" s="1293">
        <v>1000</v>
      </c>
      <c r="M30" s="1293">
        <v>1000</v>
      </c>
      <c r="N30" s="1293">
        <v>1000</v>
      </c>
      <c r="O30" s="1293">
        <v>1000</v>
      </c>
      <c r="P30" s="1293">
        <v>1000</v>
      </c>
      <c r="Q30" s="1293">
        <v>1000</v>
      </c>
      <c r="R30" s="1293">
        <v>1000</v>
      </c>
      <c r="S30" s="1293">
        <v>1000</v>
      </c>
      <c r="T30" s="1293">
        <v>1000</v>
      </c>
      <c r="U30" s="1293">
        <v>1000</v>
      </c>
      <c r="V30" s="1294">
        <v>1000</v>
      </c>
    </row>
    <row r="31" spans="2:22" ht="15" thickBot="1"/>
    <row r="32" spans="2:22" ht="15" thickBot="1">
      <c r="B32" s="1295" t="s">
        <v>221</v>
      </c>
      <c r="C32" s="1290">
        <v>1000</v>
      </c>
      <c r="D32" s="1290">
        <v>1000</v>
      </c>
      <c r="E32" s="1290">
        <v>1000</v>
      </c>
      <c r="F32" s="1290">
        <v>1000</v>
      </c>
      <c r="G32" s="1290">
        <v>1000</v>
      </c>
      <c r="H32" s="1290">
        <v>1000</v>
      </c>
      <c r="I32" s="1290">
        <v>1000</v>
      </c>
      <c r="J32" s="1290">
        <v>1000</v>
      </c>
      <c r="K32" s="1290">
        <v>1000</v>
      </c>
      <c r="L32" s="1290">
        <v>1000</v>
      </c>
      <c r="M32" s="1290">
        <v>1000</v>
      </c>
      <c r="N32" s="1290">
        <v>1000</v>
      </c>
      <c r="O32" s="1290">
        <v>1000</v>
      </c>
      <c r="P32" s="1290">
        <v>1000</v>
      </c>
      <c r="Q32" s="1290">
        <v>1000</v>
      </c>
      <c r="R32" s="1290">
        <v>1000</v>
      </c>
      <c r="S32" s="1290">
        <v>1000</v>
      </c>
      <c r="T32" s="1290">
        <v>1000</v>
      </c>
      <c r="U32" s="1290">
        <v>1000</v>
      </c>
      <c r="V32" s="1291">
        <v>1000</v>
      </c>
    </row>
  </sheetData>
  <customSheetViews>
    <customSheetView guid="{F9015B81-4D5E-47E3-BFA8-A54438E9D1FF}" scale="85" showGridLines="0">
      <pane xSplit="2" ySplit="2" topLeftCell="C3" activePane="bottomRight" state="frozen"/>
      <selection pane="bottomRight"/>
      <pageMargins left="0.7" right="0.7" top="0.78740157499999996" bottom="0.78740157499999996" header="0.3" footer="0.3"/>
      <pageSetup paperSize="9" orientation="portrait" r:id="rId1"/>
    </customSheetView>
  </customSheetViews>
  <hyperlinks>
    <hyperlink ref="A1" location="MENU!A1" display="MENU" xr:uid="{6EE98754-B46F-4385-BA4E-987012E18F6E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3A1DA-85CE-4F11-9B9A-A0B1BEA5A0DF}">
  <sheetPr>
    <tabColor rgb="FF66CCFF"/>
  </sheetPr>
  <dimension ref="A1:G17"/>
  <sheetViews>
    <sheetView showGridLines="0" zoomScale="85" zoomScaleNormal="85" workbookViewId="0"/>
  </sheetViews>
  <sheetFormatPr defaultColWidth="8.77734375" defaultRowHeight="14.25"/>
  <cols>
    <col min="1" max="1" width="8.77734375" style="737"/>
    <col min="2" max="2" width="4.44140625" style="737" customWidth="1"/>
    <col min="3" max="3" width="49.109375" style="737" bestFit="1" customWidth="1"/>
    <col min="4" max="4" width="18.109375" style="737" bestFit="1" customWidth="1"/>
    <col min="5" max="5" width="12.44140625" style="737" bestFit="1" customWidth="1"/>
    <col min="6" max="6" width="16.77734375" style="737" bestFit="1" customWidth="1"/>
    <col min="7" max="16384" width="8.77734375" style="737"/>
  </cols>
  <sheetData>
    <row r="1" spans="1:7" ht="21.75" customHeight="1">
      <c r="A1" s="107" t="s">
        <v>1</v>
      </c>
      <c r="C1" s="1388" t="s">
        <v>1128</v>
      </c>
    </row>
    <row r="2" spans="1:7" ht="15" thickBot="1">
      <c r="F2" s="54"/>
      <c r="G2" s="54"/>
    </row>
    <row r="3" spans="1:7" ht="15" thickBot="1">
      <c r="B3" s="1469" t="s">
        <v>222</v>
      </c>
      <c r="C3" s="1470"/>
      <c r="D3" s="1315" t="s">
        <v>223</v>
      </c>
      <c r="E3" s="1315" t="s">
        <v>224</v>
      </c>
      <c r="F3" s="1370"/>
      <c r="G3" s="54"/>
    </row>
    <row r="4" spans="1:7" ht="15" thickBot="1">
      <c r="B4" s="1315" t="s">
        <v>1115</v>
      </c>
      <c r="C4" s="1320" t="s">
        <v>225</v>
      </c>
      <c r="D4" s="1318">
        <v>3</v>
      </c>
      <c r="E4" s="1318">
        <v>6</v>
      </c>
      <c r="F4" s="1371"/>
      <c r="G4" s="54"/>
    </row>
    <row r="5" spans="1:7" ht="15" thickBot="1">
      <c r="B5" s="1315" t="s">
        <v>1116</v>
      </c>
      <c r="C5" s="1320" t="s">
        <v>226</v>
      </c>
      <c r="D5" s="1322">
        <v>1</v>
      </c>
      <c r="E5" s="1318">
        <v>8</v>
      </c>
      <c r="F5" s="1371"/>
      <c r="G5" s="54"/>
    </row>
    <row r="6" spans="1:7" ht="15" thickBot="1">
      <c r="B6" s="1315" t="s">
        <v>1117</v>
      </c>
      <c r="C6" s="1320" t="s">
        <v>227</v>
      </c>
      <c r="D6" s="1318">
        <v>4</v>
      </c>
      <c r="E6" s="1318">
        <v>7</v>
      </c>
      <c r="F6" s="1371"/>
      <c r="G6" s="54"/>
    </row>
    <row r="7" spans="1:7" ht="15" thickBot="1">
      <c r="B7" s="1315" t="s">
        <v>1118</v>
      </c>
      <c r="C7" s="1320" t="s">
        <v>228</v>
      </c>
      <c r="D7" s="1318">
        <v>6</v>
      </c>
      <c r="E7" s="1318">
        <v>5</v>
      </c>
      <c r="F7" s="1371"/>
      <c r="G7" s="54"/>
    </row>
    <row r="8" spans="1:7" ht="15" thickBot="1">
      <c r="B8" s="1315" t="s">
        <v>1119</v>
      </c>
      <c r="C8" s="1320" t="s">
        <v>1134</v>
      </c>
      <c r="D8" s="1318">
        <v>2</v>
      </c>
      <c r="E8" s="1318">
        <v>6</v>
      </c>
      <c r="F8" s="1371"/>
      <c r="G8" s="54"/>
    </row>
    <row r="9" spans="1:7" ht="15" thickBot="1">
      <c r="B9" s="1315" t="s">
        <v>1120</v>
      </c>
      <c r="C9" s="1320" t="s">
        <v>229</v>
      </c>
      <c r="D9" s="1318">
        <v>4</v>
      </c>
      <c r="E9" s="1318">
        <v>9</v>
      </c>
      <c r="F9" s="1371"/>
      <c r="G9" s="54"/>
    </row>
    <row r="10" spans="1:7" ht="15" thickBot="1">
      <c r="B10" s="1315" t="s">
        <v>1121</v>
      </c>
      <c r="C10" s="1321" t="s">
        <v>230</v>
      </c>
      <c r="D10" s="1319">
        <v>5</v>
      </c>
      <c r="E10" s="1319">
        <v>4</v>
      </c>
      <c r="F10" s="1371"/>
      <c r="G10" s="54"/>
    </row>
    <row r="11" spans="1:7">
      <c r="F11" s="54"/>
      <c r="G11" s="54"/>
    </row>
    <row r="12" spans="1:7" ht="15" thickBot="1"/>
    <row r="13" spans="1:7" ht="15" thickBot="1">
      <c r="C13" s="1315" t="s">
        <v>231</v>
      </c>
      <c r="D13" s="1316" t="s">
        <v>232</v>
      </c>
    </row>
    <row r="14" spans="1:7" ht="15" thickBot="1">
      <c r="C14" s="1315" t="s">
        <v>224</v>
      </c>
      <c r="D14" s="1317" t="s">
        <v>232</v>
      </c>
    </row>
    <row r="17" spans="5:5">
      <c r="E17" s="1372"/>
    </row>
  </sheetData>
  <customSheetViews>
    <customSheetView guid="{F9015B81-4D5E-47E3-BFA8-A54438E9D1FF}" scale="85" showGridLines="0">
      <selection activeCell="C10" sqref="C10"/>
      <pageMargins left="0.7" right="0.7" top="0.78740157499999996" bottom="0.78740157499999996" header="0.3" footer="0.3"/>
    </customSheetView>
  </customSheetViews>
  <mergeCells count="1">
    <mergeCell ref="B3:C3"/>
  </mergeCells>
  <hyperlinks>
    <hyperlink ref="A1" location="MENU!A1" display="MENU" xr:uid="{C3E7C068-8338-455E-84CF-A9D4C92A188E}"/>
  </hyperlinks>
  <pageMargins left="0.7" right="0.7" top="0.78740157499999996" bottom="0.78740157499999996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B8E95-11C3-46CA-82D6-5D1AB547AA37}">
  <sheetPr>
    <tabColor rgb="FF66CCFF"/>
  </sheetPr>
  <dimension ref="A1:Y41"/>
  <sheetViews>
    <sheetView showGridLines="0" topLeftCell="N1" workbookViewId="0">
      <selection activeCell="E4" sqref="E4:X4"/>
    </sheetView>
  </sheetViews>
  <sheetFormatPr defaultColWidth="8.77734375" defaultRowHeight="14.25"/>
  <cols>
    <col min="1" max="1" width="11.44140625" style="737" bestFit="1" customWidth="1"/>
    <col min="2" max="2" width="6.33203125" style="737" customWidth="1"/>
    <col min="3" max="3" width="19" style="737" bestFit="1" customWidth="1"/>
    <col min="4" max="4" width="16.33203125" style="737" customWidth="1"/>
    <col min="5" max="5" width="16.6640625" style="737" customWidth="1"/>
    <col min="6" max="6" width="10" style="737" customWidth="1"/>
    <col min="7" max="7" width="11.77734375" style="737" customWidth="1"/>
    <col min="8" max="8" width="12.21875" style="737" customWidth="1"/>
    <col min="9" max="10" width="11.44140625" style="737" customWidth="1"/>
    <col min="11" max="11" width="11.77734375" style="737" customWidth="1"/>
    <col min="12" max="12" width="11.44140625" style="737" customWidth="1"/>
    <col min="13" max="13" width="11.109375" style="737" customWidth="1"/>
    <col min="14" max="14" width="11.77734375" style="737" customWidth="1"/>
    <col min="15" max="15" width="11" style="737" customWidth="1"/>
    <col min="16" max="16" width="11.77734375" style="737" customWidth="1"/>
    <col min="17" max="17" width="11.44140625" style="737" customWidth="1"/>
    <col min="18" max="18" width="12.109375" style="737" customWidth="1"/>
    <col min="19" max="20" width="11.44140625" style="737" customWidth="1"/>
    <col min="21" max="21" width="11" style="737" customWidth="1"/>
    <col min="22" max="22" width="11.109375" style="737" customWidth="1"/>
    <col min="23" max="23" width="11.44140625" style="737" customWidth="1"/>
    <col min="24" max="24" width="11.77734375" style="737" customWidth="1"/>
    <col min="25" max="25" width="15" style="737" bestFit="1" customWidth="1"/>
    <col min="26" max="16384" width="8.77734375" style="737"/>
  </cols>
  <sheetData>
    <row r="1" spans="1:25" ht="15" thickBot="1">
      <c r="A1" s="107" t="s">
        <v>1</v>
      </c>
      <c r="C1" s="737" t="s">
        <v>136</v>
      </c>
    </row>
    <row r="2" spans="1:25" ht="21.75" customHeight="1" thickBot="1">
      <c r="B2" s="1450" t="s">
        <v>1112</v>
      </c>
      <c r="C2" s="1165" t="s">
        <v>137</v>
      </c>
      <c r="D2" s="1162">
        <v>0</v>
      </c>
      <c r="E2" s="1162">
        <v>1</v>
      </c>
      <c r="F2" s="181">
        <v>2</v>
      </c>
      <c r="G2" s="181">
        <v>3</v>
      </c>
      <c r="H2" s="181">
        <v>4</v>
      </c>
      <c r="I2" s="181">
        <v>5</v>
      </c>
      <c r="J2" s="181">
        <v>6</v>
      </c>
      <c r="K2" s="181">
        <v>7</v>
      </c>
      <c r="L2" s="181">
        <v>8</v>
      </c>
      <c r="M2" s="181">
        <v>9</v>
      </c>
      <c r="N2" s="181">
        <v>10</v>
      </c>
      <c r="O2" s="181">
        <v>11</v>
      </c>
      <c r="P2" s="181">
        <v>12</v>
      </c>
      <c r="Q2" s="181">
        <v>13</v>
      </c>
      <c r="R2" s="181">
        <v>14</v>
      </c>
      <c r="S2" s="181">
        <v>15</v>
      </c>
      <c r="T2" s="181">
        <v>16</v>
      </c>
      <c r="U2" s="181">
        <v>17</v>
      </c>
      <c r="V2" s="181">
        <v>18</v>
      </c>
      <c r="W2" s="181">
        <v>19</v>
      </c>
      <c r="X2" s="183">
        <v>20</v>
      </c>
    </row>
    <row r="3" spans="1:25" ht="22.5" customHeight="1" thickBot="1">
      <c r="B3" s="1451"/>
      <c r="C3" s="1236" t="s">
        <v>138</v>
      </c>
      <c r="D3" s="1237">
        <v>2022</v>
      </c>
      <c r="E3" s="1237">
        <v>2023</v>
      </c>
      <c r="F3" s="1238">
        <v>2024</v>
      </c>
      <c r="G3" s="1237">
        <v>2025</v>
      </c>
      <c r="H3" s="1238">
        <v>2026</v>
      </c>
      <c r="I3" s="1237">
        <v>2027</v>
      </c>
      <c r="J3" s="1238">
        <v>2028</v>
      </c>
      <c r="K3" s="1237">
        <v>2029</v>
      </c>
      <c r="L3" s="1238">
        <v>2030</v>
      </c>
      <c r="M3" s="1237">
        <v>2031</v>
      </c>
      <c r="N3" s="1238">
        <v>2032</v>
      </c>
      <c r="O3" s="1237">
        <v>2033</v>
      </c>
      <c r="P3" s="1238">
        <v>2034</v>
      </c>
      <c r="Q3" s="1237">
        <v>2035</v>
      </c>
      <c r="R3" s="1238">
        <v>2036</v>
      </c>
      <c r="S3" s="1237">
        <v>2037</v>
      </c>
      <c r="T3" s="1238">
        <v>2038</v>
      </c>
      <c r="U3" s="1237">
        <v>2039</v>
      </c>
      <c r="V3" s="1238">
        <v>2040</v>
      </c>
      <c r="W3" s="1237">
        <v>2041</v>
      </c>
      <c r="X3" s="1239">
        <v>2042</v>
      </c>
      <c r="Y3" s="1239" t="s">
        <v>945</v>
      </c>
    </row>
    <row r="4" spans="1:25">
      <c r="A4" s="1254" t="s">
        <v>139</v>
      </c>
      <c r="B4" s="1451"/>
      <c r="C4" s="1244" t="s">
        <v>140</v>
      </c>
      <c r="D4" s="1255"/>
      <c r="E4" s="1240">
        <f>('Vývoj trhu'!D12+'Platf. SE'!D3+'Náklady 10%ZW'!C3)*1.15</f>
        <v>438503166.14999998</v>
      </c>
      <c r="F4" s="1240">
        <f>('Vývoj trhu'!E12+'Platf. SE'!E3+'Náklady 10%ZW'!D3)*1.15</f>
        <v>940489731.12499988</v>
      </c>
      <c r="G4" s="1240">
        <f>('Vývoj trhu'!F12+'Platf. SE'!F3+'Náklady 10%ZW'!E3)*1.15</f>
        <v>1131660527.375</v>
      </c>
      <c r="H4" s="1240">
        <f>('Vývoj trhu'!G12+'Platf. SE'!G3+'Náklady 10%ZW'!F3)*1.15</f>
        <v>1124385374.375</v>
      </c>
      <c r="I4" s="1240">
        <f>('Vývoj trhu'!H12+'Platf. SE'!H3+'Náklady 10%ZW'!G3)*1.15</f>
        <v>1336621013.3</v>
      </c>
      <c r="J4" s="1240">
        <f>('Vývoj trhu'!I12+'Platf. SE'!I3+'Náklady 10%ZW'!H3)*1.15</f>
        <v>1482440765.3599999</v>
      </c>
      <c r="K4" s="1240">
        <f>('Vývoj trhu'!J12+'Platf. SE'!J3+'Náklady 10%ZW'!I3)*1.15</f>
        <v>1567514531.882</v>
      </c>
      <c r="L4" s="1240">
        <f>('Vývoj trhu'!K12+'Platf. SE'!K3+'Náklady 10%ZW'!J3)*1.15</f>
        <v>1654212130.7834001</v>
      </c>
      <c r="M4" s="1240">
        <f>('Vývoj trhu'!L12+'Platf. SE'!L3+'Náklady 10%ZW'!K3)*1.15</f>
        <v>1717424264.4150798</v>
      </c>
      <c r="N4" s="1240">
        <f>('Vývoj trhu'!M12+'Platf. SE'!M3+'Náklady 10%ZW'!L3)*1.15</f>
        <v>1798616879.8230958</v>
      </c>
      <c r="O4" s="1240">
        <f>('Vývoj trhu'!N12+'Platf. SE'!N3+'Náklady 10%ZW'!M3)*1.15</f>
        <v>1823070950.3127151</v>
      </c>
      <c r="P4" s="1240">
        <f>('Vývoj trhu'!O12+'Platf. SE'!O3+'Náklady 10%ZW'!N3)*1.15</f>
        <v>1904173926.3002582</v>
      </c>
      <c r="Q4" s="1240">
        <f>('Vývoj trhu'!P12+'Platf. SE'!P3+'Náklady 10%ZW'!O3)*1.15</f>
        <v>1985228051.3103096</v>
      </c>
      <c r="R4" s="1240">
        <f>('Vývoj trhu'!Q12+'Platf. SE'!Q3+'Náklady 10%ZW'!P3)*1.15</f>
        <v>2066353230.8723719</v>
      </c>
      <c r="S4" s="1240">
        <f>('Vývoj trhu'!R12+'Platf. SE'!R3+'Náklady 10%ZW'!Q3)*1.15</f>
        <v>2187969606.1218462</v>
      </c>
      <c r="T4" s="1240">
        <f>('Vývoj trhu'!S12+'Platf. SE'!S3+'Náklady 10%ZW'!R3)*1.15</f>
        <v>2188081321.9962153</v>
      </c>
      <c r="U4" s="1240">
        <f>('Vývoj trhu'!T12+'Platf. SE'!T3+'Náklady 10%ZW'!S3)*1.15</f>
        <v>2188206681.2954583</v>
      </c>
      <c r="V4" s="1240">
        <f>('Vývoj trhu'!U12+'Platf. SE'!U3+'Náklady 10%ZW'!T3)*1.15</f>
        <v>2188340916.4295502</v>
      </c>
      <c r="W4" s="1240">
        <f>('Vývoj trhu'!V12+'Platf. SE'!V3+'Náklady 10%ZW'!U3)*1.15</f>
        <v>2188498644.0404601</v>
      </c>
      <c r="X4" s="1240">
        <f>('Vývoj trhu'!W12+'Platf. SE'!W3+'Náklady 10%ZW'!V3)*1.15</f>
        <v>2188662123.2485523</v>
      </c>
      <c r="Y4" s="868">
        <f>SUM(E4:X4)</f>
        <v>34100453836.516312</v>
      </c>
    </row>
    <row r="5" spans="1:25" ht="15" thickBot="1">
      <c r="A5" s="1260">
        <f>19%+'Citl. Anal.'!C12</f>
        <v>0.19</v>
      </c>
      <c r="B5" s="1451"/>
      <c r="C5" s="1245" t="s">
        <v>141</v>
      </c>
      <c r="D5" s="1256"/>
      <c r="E5" s="1241">
        <f>('Vývoj trhu'!D15+'Náklady 10%ZW'!C4*Exchange!C4)</f>
        <v>352362658.19999999</v>
      </c>
      <c r="F5" s="1241">
        <f>('Vývoj trhu'!E15+'Náklady 10%ZW'!D4*Exchange!D4)</f>
        <v>610514868.60000002</v>
      </c>
      <c r="G5" s="1241">
        <f>('Vývoj trhu'!F15+'Náklady 10%ZW'!E4*Exchange!E4)</f>
        <v>734616082.20000017</v>
      </c>
      <c r="H5" s="1241">
        <f>('Vývoj trhu'!G15+'Náklady 10%ZW'!F4*Exchange!F4)</f>
        <v>729883408.80000007</v>
      </c>
      <c r="I5" s="1241">
        <f>('Vývoj trhu'!H15+'Náklady 10%ZW'!G4*Exchange!G4)</f>
        <v>867656790</v>
      </c>
      <c r="J5" s="1241">
        <f>('Vývoj trhu'!I15+'Náklady 10%ZW'!H4*Exchange!H4)</f>
        <v>962310258</v>
      </c>
      <c r="K5" s="1241">
        <f>('Vývoj trhu'!J15+'Náklady 10%ZW'!I4*Exchange!I4)</f>
        <v>1017524781</v>
      </c>
      <c r="L5" s="1241">
        <f>('Vývoj trhu'!K15+'Náklady 10%ZW'!J4*Exchange!J4)</f>
        <v>1073791009.2000003</v>
      </c>
      <c r="M5" s="1241">
        <f>('Vývoj trhu'!L15+'Náklady 10%ZW'!K4*Exchange!K4)</f>
        <v>1114807512</v>
      </c>
      <c r="N5" s="1241">
        <f>('Vývoj trhu'!M15+'Náklady 10%ZW'!L4*Exchange!L4)</f>
        <v>1167392772</v>
      </c>
      <c r="O5" s="1241">
        <f>('Vývoj trhu'!N15+'Náklady 10%ZW'!M4*Exchange!M4)</f>
        <v>1183168350</v>
      </c>
      <c r="P5" s="1241">
        <f>('Vývoj trhu'!O15+'Náklady 10%ZW'!N4*Exchange!N4)</f>
        <v>1235753610</v>
      </c>
      <c r="Q5" s="1241">
        <f>('Vývoj trhu'!P15+'Náklady 10%ZW'!O4*Exchange!O4)</f>
        <v>1288338870</v>
      </c>
      <c r="R5" s="1241">
        <f>('Vývoj trhu'!Q15+'Náklady 10%ZW'!P4*Exchange!P4)</f>
        <v>1340924130</v>
      </c>
      <c r="S5" s="1241">
        <f>('Vývoj trhu'!R15+'Náklady 10%ZW'!Q4*Exchange!Q4)</f>
        <v>1419802020</v>
      </c>
      <c r="T5" s="1241">
        <f>('Vývoj trhu'!S15+'Náklady 10%ZW'!R4*Exchange!R4)</f>
        <v>1419802020</v>
      </c>
      <c r="U5" s="1241">
        <f>('Vývoj trhu'!T15+'Náklady 10%ZW'!S4*Exchange!S4)</f>
        <v>1419802020</v>
      </c>
      <c r="V5" s="1241">
        <f>('Vývoj trhu'!U15+'Náklady 10%ZW'!T4*Exchange!T4)</f>
        <v>1419802020</v>
      </c>
      <c r="W5" s="1241">
        <f>('Vývoj trhu'!V15+'Náklady 10%ZW'!U4*Exchange!U4)</f>
        <v>1419802020</v>
      </c>
      <c r="X5" s="1241">
        <f>('Vývoj trhu'!W15+'Náklady 10%ZW'!V4*Exchange!V4)</f>
        <v>1419802020</v>
      </c>
      <c r="Y5" s="868">
        <f t="shared" ref="Y5:Y10" si="0">SUM(E5:X5)</f>
        <v>22197857220</v>
      </c>
    </row>
    <row r="6" spans="1:25" ht="15" thickBot="1">
      <c r="B6" s="1451"/>
      <c r="C6" s="1245" t="s">
        <v>142</v>
      </c>
      <c r="D6" s="1256"/>
      <c r="E6" s="1241">
        <f>('Vývoj trhu'!D14+'Platf. SE'!D12+'Náklady 10%ZW'!C8*Exchange!C4)</f>
        <v>98682000</v>
      </c>
      <c r="F6" s="1241">
        <f>('Vývoj trhu'!E14+'Platf. SE'!E12+'Náklady 10%ZW'!D8*Exchange!D4)</f>
        <v>125724300</v>
      </c>
      <c r="G6" s="1241">
        <f>('Vývoj trhu'!F14+'Platf. SE'!F12+'Náklady 10%ZW'!E8*Exchange!E4)</f>
        <v>156775009</v>
      </c>
      <c r="H6" s="1241">
        <f>('Vývoj trhu'!G14+'Platf. SE'!G12+'Náklady 10%ZW'!F8*Exchange!F4)</f>
        <v>160835807.27000001</v>
      </c>
      <c r="I6" s="1241">
        <f>('Vývoj trhu'!H14+'Platf. SE'!H12+'Náklady 10%ZW'!G8*Exchange!G4)</f>
        <v>155908711.08809999</v>
      </c>
      <c r="J6" s="1241">
        <f>('Vývoj trhu'!I14+'Platf. SE'!I12+'Náklady 10%ZW'!H8*Exchange!H4)</f>
        <v>160996139.940743</v>
      </c>
      <c r="K6" s="1241">
        <f>('Vývoj trhu'!J14+'Platf. SE'!J12+'Náklady 10%ZW'!I8*Exchange!I4)</f>
        <v>166100997.16296527</v>
      </c>
      <c r="L6" s="1241">
        <f>('Vývoj trhu'!K14+'Platf. SE'!K12+'Náklady 10%ZW'!J8*Exchange!J4)</f>
        <v>171226766.70665425</v>
      </c>
      <c r="M6" s="1241">
        <f>('Vývoj trhu'!L14+'Platf. SE'!L12+'Náklady 10%ZW'!K8*Exchange!K4)</f>
        <v>176377629.26241389</v>
      </c>
      <c r="N6" s="1241">
        <f>('Vývoj trhu'!M14+'Platf. SE'!M12+'Náklady 10%ZW'!L8*Exchange!L4)</f>
        <v>181558601.60575828</v>
      </c>
      <c r="O6" s="1241">
        <f>('Vývoj trhu'!N14+'Platf. SE'!N12+'Náklady 10%ZW'!M8*Exchange!M4)</f>
        <v>186775703.81249744</v>
      </c>
      <c r="P6" s="1241">
        <f>('Vývoj trhu'!O14+'Platf. SE'!O12+'Náklady 10%ZW'!N8*Exchange!N4)</f>
        <v>192036159.91715205</v>
      </c>
      <c r="Q6" s="1241">
        <f>('Vývoj trhu'!P14+'Platf. SE'!P12+'Náklady 10%ZW'!O8*Exchange!O4)</f>
        <v>197348638.70300221</v>
      </c>
      <c r="R6" s="1241">
        <f>('Vývoj trhu'!Q14+'Platf. SE'!Q12+'Náklady 10%ZW'!P8*Exchange!P4)</f>
        <v>202723542.65009502</v>
      </c>
      <c r="S6" s="1241">
        <f>('Vývoj trhu'!R14+'Platf. SE'!R12+'Náklady 10%ZW'!Q8*Exchange!Q4)</f>
        <v>208173354.67280114</v>
      </c>
      <c r="T6" s="1241">
        <f>('Vývoj trhu'!S14+'Platf. SE'!S12+'Náklady 10%ZW'!R8*Exchange!R4)</f>
        <v>213713054.20482913</v>
      </c>
      <c r="U6" s="1241">
        <f>('Vývoj trhu'!T14+'Platf. SE'!T12+'Náklady 10%ZW'!S8*Exchange!S4)</f>
        <v>219360616.50118676</v>
      </c>
      <c r="V6" s="1241">
        <f>('Vývoj trhu'!U14+'Platf. SE'!U12+'Náklady 10%ZW'!T8*Exchange!T4)</f>
        <v>225137611.80047762</v>
      </c>
      <c r="W6" s="1241">
        <f>('Vývoj trhu'!V14+'Platf. SE'!V12+'Náklady 10%ZW'!U8*Exchange!U4)</f>
        <v>231069924.31959829</v>
      </c>
      <c r="X6" s="1241">
        <f>('Vývoj trhu'!W14+'Platf. SE'!W12+'Náklady 10%ZW'!V8*Exchange!V4)</f>
        <v>237188615.04731387</v>
      </c>
      <c r="Y6" s="868">
        <f t="shared" si="0"/>
        <v>3667713183.6655879</v>
      </c>
    </row>
    <row r="7" spans="1:25">
      <c r="A7" s="1254" t="s">
        <v>143</v>
      </c>
      <c r="B7" s="1451"/>
      <c r="C7" s="1245" t="s">
        <v>144</v>
      </c>
      <c r="D7" s="1256"/>
      <c r="E7" s="1241">
        <f>E4-E5-E6</f>
        <v>-12541492.050000012</v>
      </c>
      <c r="F7" s="1231">
        <f t="shared" ref="F7:X7" si="1">F4-F5-F6</f>
        <v>204250562.52499986</v>
      </c>
      <c r="G7" s="1231">
        <f t="shared" si="1"/>
        <v>240269436.17499983</v>
      </c>
      <c r="H7" s="1231">
        <f t="shared" si="1"/>
        <v>233666158.30499992</v>
      </c>
      <c r="I7" s="1231">
        <f t="shared" si="1"/>
        <v>313055512.2119</v>
      </c>
      <c r="J7" s="1231">
        <f t="shared" si="1"/>
        <v>359134367.41925693</v>
      </c>
      <c r="K7" s="1231">
        <f t="shared" si="1"/>
        <v>383888753.71903467</v>
      </c>
      <c r="L7" s="1231">
        <f t="shared" si="1"/>
        <v>409194354.87674552</v>
      </c>
      <c r="M7" s="1231">
        <f t="shared" si="1"/>
        <v>426239123.15266597</v>
      </c>
      <c r="N7" s="1231">
        <f t="shared" si="1"/>
        <v>449665506.21733749</v>
      </c>
      <c r="O7" s="1231">
        <f t="shared" si="1"/>
        <v>453126896.50021762</v>
      </c>
      <c r="P7" s="1231">
        <f t="shared" si="1"/>
        <v>476384156.38310611</v>
      </c>
      <c r="Q7" s="1231">
        <f t="shared" si="1"/>
        <v>499540542.60730743</v>
      </c>
      <c r="R7" s="1231">
        <f t="shared" si="1"/>
        <v>522705558.22227693</v>
      </c>
      <c r="S7" s="1231">
        <f t="shared" si="1"/>
        <v>559994231.44904506</v>
      </c>
      <c r="T7" s="1231">
        <f t="shared" si="1"/>
        <v>554566247.79138625</v>
      </c>
      <c r="U7" s="1231">
        <f t="shared" si="1"/>
        <v>549044044.79427159</v>
      </c>
      <c r="V7" s="1231">
        <f t="shared" si="1"/>
        <v>543401284.62907255</v>
      </c>
      <c r="W7" s="1231">
        <f t="shared" si="1"/>
        <v>537626699.72086179</v>
      </c>
      <c r="X7" s="1248">
        <f t="shared" si="1"/>
        <v>531671488.20123845</v>
      </c>
      <c r="Y7" s="868">
        <f t="shared" si="0"/>
        <v>8234883432.8507233</v>
      </c>
    </row>
    <row r="8" spans="1:25" ht="15" thickBot="1">
      <c r="A8" s="1260">
        <f>15%+'Citl. Anal.'!C8</f>
        <v>0.15</v>
      </c>
      <c r="B8" s="1451"/>
      <c r="C8" s="1245" t="s">
        <v>145</v>
      </c>
      <c r="D8" s="1256"/>
      <c r="E8" s="1241">
        <f>E7-Expanze!J3</f>
        <v>-39227958.450000018</v>
      </c>
      <c r="F8" s="1231">
        <f>F7-Expanze!K3</f>
        <v>177564096.12499985</v>
      </c>
      <c r="G8" s="1231">
        <f>G7-Expanze!L3</f>
        <v>213582969.77499983</v>
      </c>
      <c r="H8" s="1231">
        <f>H7-Expanze!M3</f>
        <v>210943498.5716666</v>
      </c>
      <c r="I8" s="1231">
        <f>I7-Expanze!N3</f>
        <v>290332852.47856665</v>
      </c>
      <c r="J8" s="1231">
        <f>J7-Expanze!O3</f>
        <v>355968112.48592359</v>
      </c>
      <c r="K8" s="1231">
        <f>K7-Expanze!P3</f>
        <v>380722498.78570133</v>
      </c>
      <c r="L8" s="1231">
        <f>L7-Expanze!Q3</f>
        <v>406028099.94341218</v>
      </c>
      <c r="M8" s="1231">
        <f>M7-Expanze!R3</f>
        <v>423072868.21933264</v>
      </c>
      <c r="N8" s="1231">
        <f>N7-Expanze!S3</f>
        <v>446499251.28400415</v>
      </c>
      <c r="O8" s="1231">
        <f>O7-Expanze!T3</f>
        <v>449960641.56688428</v>
      </c>
      <c r="P8" s="1231">
        <f>P7-Expanze!U3</f>
        <v>473217901.44977278</v>
      </c>
      <c r="Q8" s="1231">
        <f>Q7-Expanze!V3</f>
        <v>496374287.6739741</v>
      </c>
      <c r="R8" s="1231">
        <f>R7-Expanze!W3</f>
        <v>519539303.28894359</v>
      </c>
      <c r="S8" s="1231">
        <f>S7-Expanze!X3</f>
        <v>556827976.51571178</v>
      </c>
      <c r="T8" s="1231">
        <f>T7-Expanze!Y3</f>
        <v>551399992.85805297</v>
      </c>
      <c r="U8" s="1231">
        <f>U7-Expanze!Z3</f>
        <v>545877789.86093831</v>
      </c>
      <c r="V8" s="1231">
        <f>V7-Expanze!AA3</f>
        <v>540235029.69573927</v>
      </c>
      <c r="W8" s="1231">
        <f>W7-Expanze!AB3</f>
        <v>534460444.78752846</v>
      </c>
      <c r="X8" s="1248">
        <f>X7-Expanze!AC3</f>
        <v>528505233.26790512</v>
      </c>
      <c r="Y8" s="868">
        <f t="shared" si="0"/>
        <v>8061884890.1840572</v>
      </c>
    </row>
    <row r="9" spans="1:25" ht="15" thickBot="1">
      <c r="B9" s="1451"/>
      <c r="C9" s="1245" t="s">
        <v>139</v>
      </c>
      <c r="D9" s="1256"/>
      <c r="E9" s="1241">
        <f>IF(E8&gt;0,E8*$A$5,0)</f>
        <v>0</v>
      </c>
      <c r="F9" s="1231">
        <f t="shared" ref="F9:X9" si="2">IF(F8&gt;0,F8*$A$5,0)</f>
        <v>33737178.263749972</v>
      </c>
      <c r="G9" s="1231">
        <f t="shared" si="2"/>
        <v>40580764.257249966</v>
      </c>
      <c r="H9" s="1231">
        <f t="shared" si="2"/>
        <v>40079264.728616655</v>
      </c>
      <c r="I9" s="1231">
        <f t="shared" si="2"/>
        <v>55163241.970927663</v>
      </c>
      <c r="J9" s="1231">
        <f t="shared" si="2"/>
        <v>67633941.37232548</v>
      </c>
      <c r="K9" s="1231">
        <f t="shared" si="2"/>
        <v>72337274.76928325</v>
      </c>
      <c r="L9" s="1231">
        <f t="shared" si="2"/>
        <v>77145338.98924832</v>
      </c>
      <c r="M9" s="1231">
        <f t="shared" si="2"/>
        <v>80383844.9616732</v>
      </c>
      <c r="N9" s="1231">
        <f t="shared" si="2"/>
        <v>84834857.743960783</v>
      </c>
      <c r="O9" s="1231">
        <f t="shared" si="2"/>
        <v>85492521.897708014</v>
      </c>
      <c r="P9" s="1231">
        <f t="shared" si="2"/>
        <v>89911401.275456831</v>
      </c>
      <c r="Q9" s="1231">
        <f t="shared" si="2"/>
        <v>94311114.658055082</v>
      </c>
      <c r="R9" s="1231">
        <f t="shared" si="2"/>
        <v>98712467.624899283</v>
      </c>
      <c r="S9" s="1231">
        <f t="shared" si="2"/>
        <v>105797315.53798524</v>
      </c>
      <c r="T9" s="1231">
        <f t="shared" si="2"/>
        <v>104765998.64303006</v>
      </c>
      <c r="U9" s="1231">
        <f t="shared" si="2"/>
        <v>103716780.07357828</v>
      </c>
      <c r="V9" s="1231">
        <f t="shared" si="2"/>
        <v>102644655.64219046</v>
      </c>
      <c r="W9" s="1231">
        <f t="shared" si="2"/>
        <v>101547484.50963041</v>
      </c>
      <c r="X9" s="1248">
        <f t="shared" si="2"/>
        <v>100415994.32090198</v>
      </c>
      <c r="Y9" s="868">
        <f t="shared" si="0"/>
        <v>1539211441.2404709</v>
      </c>
    </row>
    <row r="10" spans="1:25" ht="15" thickBot="1">
      <c r="A10" s="1254" t="s">
        <v>146</v>
      </c>
      <c r="B10" s="1451"/>
      <c r="C10" s="1245" t="s">
        <v>147</v>
      </c>
      <c r="D10" s="1257"/>
      <c r="E10" s="1242">
        <f>E8-E9</f>
        <v>-39227958.450000018</v>
      </c>
      <c r="F10" s="1233">
        <f t="shared" ref="F10:X10" si="3">F8-F9</f>
        <v>143826917.86124986</v>
      </c>
      <c r="G10" s="1233">
        <f t="shared" si="3"/>
        <v>173002205.51774985</v>
      </c>
      <c r="H10" s="1233">
        <f t="shared" si="3"/>
        <v>170864233.84304994</v>
      </c>
      <c r="I10" s="1233">
        <f t="shared" si="3"/>
        <v>235169610.50763899</v>
      </c>
      <c r="J10" s="1233">
        <f t="shared" si="3"/>
        <v>288334171.11359811</v>
      </c>
      <c r="K10" s="1233">
        <f t="shared" si="3"/>
        <v>308385224.0164181</v>
      </c>
      <c r="L10" s="1233">
        <f t="shared" si="3"/>
        <v>328882760.95416385</v>
      </c>
      <c r="M10" s="1233">
        <f t="shared" si="3"/>
        <v>342689023.25765944</v>
      </c>
      <c r="N10" s="1233">
        <f t="shared" si="3"/>
        <v>361664393.54004335</v>
      </c>
      <c r="O10" s="1233">
        <f t="shared" si="3"/>
        <v>364468119.66917628</v>
      </c>
      <c r="P10" s="1233">
        <f t="shared" si="3"/>
        <v>383306500.17431593</v>
      </c>
      <c r="Q10" s="1233">
        <f t="shared" si="3"/>
        <v>402063173.01591903</v>
      </c>
      <c r="R10" s="1233">
        <f t="shared" si="3"/>
        <v>420826835.66404432</v>
      </c>
      <c r="S10" s="1233">
        <f t="shared" si="3"/>
        <v>451030660.97772658</v>
      </c>
      <c r="T10" s="1233">
        <f t="shared" si="3"/>
        <v>446633994.21502292</v>
      </c>
      <c r="U10" s="1233">
        <f t="shared" si="3"/>
        <v>442161009.78736001</v>
      </c>
      <c r="V10" s="1233">
        <f t="shared" si="3"/>
        <v>437590374.05354881</v>
      </c>
      <c r="W10" s="1233">
        <f t="shared" si="3"/>
        <v>432912960.27789807</v>
      </c>
      <c r="X10" s="1249">
        <f t="shared" si="3"/>
        <v>428089238.94700313</v>
      </c>
      <c r="Y10" s="868">
        <f t="shared" si="0"/>
        <v>6522673448.9435873</v>
      </c>
    </row>
    <row r="11" spans="1:25" ht="15.75" thickBot="1">
      <c r="A11" s="1299">
        <v>20</v>
      </c>
      <c r="B11" s="1451"/>
      <c r="C11" s="1165" t="s">
        <v>148</v>
      </c>
      <c r="D11" s="1243">
        <f>Expanze!C12+Expanze!C16-2*(Expanze!C12+Expanze!C16)</f>
        <v>-216999524</v>
      </c>
      <c r="E11" s="1243">
        <f>E10+Expanze!J13</f>
        <v>-22710570.450000018</v>
      </c>
      <c r="F11" s="1235">
        <f>F10+Expanze!K13</f>
        <v>160344305.86124986</v>
      </c>
      <c r="G11" s="1235">
        <f>G10+Expanze!L13</f>
        <v>189519593.51774985</v>
      </c>
      <c r="H11" s="1235">
        <f>H10+Expanze!M13</f>
        <v>187358481.84304994</v>
      </c>
      <c r="I11" s="1235">
        <f>I10+Expanze!N13</f>
        <v>251663858.50763899</v>
      </c>
      <c r="J11" s="1235">
        <f>J10+Expanze!O13</f>
        <v>303002814.3135981</v>
      </c>
      <c r="K11" s="1235">
        <f>K10+Expanze!P13</f>
        <v>323053867.21641809</v>
      </c>
      <c r="L11" s="1235">
        <f>L10+Expanze!Q13</f>
        <v>343551404.15416384</v>
      </c>
      <c r="M11" s="1235">
        <f>M10+Expanze!R13</f>
        <v>357357666.45765942</v>
      </c>
      <c r="N11" s="1235">
        <f>N10+Expanze!S13</f>
        <v>376333036.74004334</v>
      </c>
      <c r="O11" s="1235">
        <f>O10+Expanze!T13</f>
        <v>369089162.86917627</v>
      </c>
      <c r="P11" s="1235">
        <f>P10+Expanze!U13</f>
        <v>387927543.37431592</v>
      </c>
      <c r="Q11" s="1235">
        <f>Q10+Expanze!V13</f>
        <v>406684216.21591902</v>
      </c>
      <c r="R11" s="1235">
        <f>R10+Expanze!W13</f>
        <v>425447878.86404431</v>
      </c>
      <c r="S11" s="1235">
        <f>S10+Expanze!X13</f>
        <v>455651704.17772657</v>
      </c>
      <c r="T11" s="1235">
        <f>T10+Expanze!Y13</f>
        <v>451255037.41502291</v>
      </c>
      <c r="U11" s="1235">
        <f>U10+Expanze!Z13</f>
        <v>446782052.98736</v>
      </c>
      <c r="V11" s="1235">
        <f>V10+Expanze!AA13</f>
        <v>442211417.2535488</v>
      </c>
      <c r="W11" s="1235">
        <f>W10+Expanze!AB13</f>
        <v>437534003.47789806</v>
      </c>
      <c r="X11" s="1250">
        <f>X10+Expanze!AC13</f>
        <v>432710282.14700311</v>
      </c>
      <c r="Y11" s="1261">
        <f>SUM(D11:X11)</f>
        <v>6507768232.9435854</v>
      </c>
    </row>
    <row r="12" spans="1:25" ht="15" thickBot="1">
      <c r="B12" s="1451"/>
      <c r="C12" s="1246" t="s">
        <v>149</v>
      </c>
      <c r="D12" s="1251">
        <f>D11</f>
        <v>-216999524</v>
      </c>
      <c r="E12" s="1251">
        <f>D12+E11</f>
        <v>-239710094.45000002</v>
      </c>
      <c r="F12" s="1252">
        <f>E12+F11</f>
        <v>-79365788.588750154</v>
      </c>
      <c r="G12" s="1252">
        <f t="shared" ref="G12:X12" si="4">F12+G11</f>
        <v>110153804.92899969</v>
      </c>
      <c r="H12" s="1252">
        <f t="shared" si="4"/>
        <v>297512286.77204967</v>
      </c>
      <c r="I12" s="1252">
        <f t="shared" si="4"/>
        <v>549176145.2796886</v>
      </c>
      <c r="J12" s="1252">
        <f t="shared" si="4"/>
        <v>852178959.59328675</v>
      </c>
      <c r="K12" s="1252">
        <f t="shared" si="4"/>
        <v>1175232826.8097048</v>
      </c>
      <c r="L12" s="1252">
        <f t="shared" si="4"/>
        <v>1518784230.9638686</v>
      </c>
      <c r="M12" s="1252">
        <f t="shared" si="4"/>
        <v>1876141897.4215281</v>
      </c>
      <c r="N12" s="1252">
        <f t="shared" si="4"/>
        <v>2252474934.1615715</v>
      </c>
      <c r="O12" s="1252">
        <f t="shared" si="4"/>
        <v>2621564097.0307479</v>
      </c>
      <c r="P12" s="1252">
        <f t="shared" si="4"/>
        <v>3009491640.4050636</v>
      </c>
      <c r="Q12" s="1252">
        <f t="shared" si="4"/>
        <v>3416175856.6209826</v>
      </c>
      <c r="R12" s="1252">
        <f t="shared" si="4"/>
        <v>3841623735.4850268</v>
      </c>
      <c r="S12" s="1252">
        <f t="shared" si="4"/>
        <v>4297275439.6627531</v>
      </c>
      <c r="T12" s="1252">
        <f t="shared" si="4"/>
        <v>4748530477.077776</v>
      </c>
      <c r="U12" s="1252">
        <f t="shared" si="4"/>
        <v>5195312530.065136</v>
      </c>
      <c r="V12" s="1252">
        <f t="shared" si="4"/>
        <v>5637523947.3186846</v>
      </c>
      <c r="W12" s="1252">
        <f t="shared" si="4"/>
        <v>6075057950.7965822</v>
      </c>
      <c r="X12" s="1253">
        <f t="shared" si="4"/>
        <v>6507768232.9435854</v>
      </c>
    </row>
    <row r="13" spans="1:25" ht="15" thickBot="1">
      <c r="B13" s="1451"/>
    </row>
    <row r="14" spans="1:25">
      <c r="B14" s="1451"/>
      <c r="C14" s="1265" t="s">
        <v>150</v>
      </c>
      <c r="D14" s="1241">
        <f>1/(1+$A$8)^D2</f>
        <v>1</v>
      </c>
      <c r="E14" s="1267">
        <f t="shared" ref="E14:X14" si="5">1/(1+$A$8)^E2</f>
        <v>0.86956521739130443</v>
      </c>
      <c r="F14" s="1267">
        <f t="shared" si="5"/>
        <v>0.7561436672967865</v>
      </c>
      <c r="G14" s="1267">
        <f t="shared" si="5"/>
        <v>0.65751623243198831</v>
      </c>
      <c r="H14" s="1267">
        <f t="shared" si="5"/>
        <v>0.57175324559303342</v>
      </c>
      <c r="I14" s="1267">
        <f t="shared" si="5"/>
        <v>0.49717673529828987</v>
      </c>
      <c r="J14" s="1267">
        <f t="shared" si="5"/>
        <v>0.43232759591155645</v>
      </c>
      <c r="K14" s="1267">
        <f t="shared" si="5"/>
        <v>0.37593703992309269</v>
      </c>
      <c r="L14" s="1267">
        <f t="shared" si="5"/>
        <v>0.32690177384616753</v>
      </c>
      <c r="M14" s="1267">
        <f t="shared" si="5"/>
        <v>0.28426241204014574</v>
      </c>
      <c r="N14" s="1267">
        <f t="shared" si="5"/>
        <v>0.24718470612186585</v>
      </c>
      <c r="O14" s="1267">
        <f t="shared" si="5"/>
        <v>0.21494322271466598</v>
      </c>
      <c r="P14" s="1267">
        <f t="shared" si="5"/>
        <v>0.18690715018666609</v>
      </c>
      <c r="Q14" s="1267">
        <f t="shared" si="5"/>
        <v>0.16252795668405748</v>
      </c>
      <c r="R14" s="1267">
        <f t="shared" si="5"/>
        <v>0.14132865798613695</v>
      </c>
      <c r="S14" s="1267">
        <f t="shared" si="5"/>
        <v>0.1228944852053365</v>
      </c>
      <c r="T14" s="1267">
        <f t="shared" si="5"/>
        <v>0.10686476974377089</v>
      </c>
      <c r="U14" s="1267">
        <f t="shared" si="5"/>
        <v>9.2925886733713825E-2</v>
      </c>
      <c r="V14" s="1267">
        <f t="shared" si="5"/>
        <v>8.0805118898881603E-2</v>
      </c>
      <c r="W14" s="1267">
        <f t="shared" si="5"/>
        <v>7.0265320781636179E-2</v>
      </c>
      <c r="X14" s="1267">
        <f t="shared" si="5"/>
        <v>6.1100278940553199E-2</v>
      </c>
      <c r="Y14" s="737" t="s">
        <v>151</v>
      </c>
    </row>
    <row r="15" spans="1:25" ht="15">
      <c r="B15" s="1451"/>
      <c r="C15" s="1266" t="s">
        <v>152</v>
      </c>
      <c r="D15" s="1243">
        <f>D14*D11</f>
        <v>-216999524</v>
      </c>
      <c r="E15" s="1235">
        <f t="shared" ref="E15:W15" si="6">E14*E11</f>
        <v>-19748322.1304348</v>
      </c>
      <c r="F15" s="1235">
        <f t="shared" si="6"/>
        <v>121243331.46408309</v>
      </c>
      <c r="G15" s="1235">
        <f t="shared" si="6"/>
        <v>124612209.10183275</v>
      </c>
      <c r="H15" s="1235">
        <f t="shared" si="6"/>
        <v>107122820.08314723</v>
      </c>
      <c r="I15" s="1235">
        <f t="shared" si="6"/>
        <v>125121415.56539871</v>
      </c>
      <c r="J15" s="1235">
        <f t="shared" si="6"/>
        <v>130996478.26663361</v>
      </c>
      <c r="K15" s="1235">
        <f t="shared" si="6"/>
        <v>121447914.57704805</v>
      </c>
      <c r="L15" s="1235">
        <f t="shared" si="6"/>
        <v>112307563.42533776</v>
      </c>
      <c r="M15" s="1235">
        <f t="shared" si="6"/>
        <v>101583352.22829215</v>
      </c>
      <c r="N15" s="1235">
        <f t="shared" si="6"/>
        <v>93023771.090536952</v>
      </c>
      <c r="O15" s="1235">
        <f t="shared" si="6"/>
        <v>79333214.136158988</v>
      </c>
      <c r="P15" s="1235">
        <f t="shared" si="6"/>
        <v>72506431.61100769</v>
      </c>
      <c r="Q15" s="1235">
        <f t="shared" si="6"/>
        <v>66097554.677230753</v>
      </c>
      <c r="R15" s="1235">
        <f t="shared" si="6"/>
        <v>60127977.762903936</v>
      </c>
      <c r="S15" s="1235">
        <f t="shared" si="6"/>
        <v>55997081.617855981</v>
      </c>
      <c r="T15" s="1235">
        <f t="shared" si="6"/>
        <v>48223265.669073142</v>
      </c>
      <c r="U15" s="1235">
        <f t="shared" si="6"/>
        <v>41517618.450559542</v>
      </c>
      <c r="V15" s="1235">
        <f t="shared" si="6"/>
        <v>35732946.149615951</v>
      </c>
      <c r="W15" s="1235">
        <f t="shared" si="6"/>
        <v>30743467.107248027</v>
      </c>
      <c r="X15" s="1250">
        <f>X14*X11</f>
        <v>26438718.939627368</v>
      </c>
      <c r="Y15" s="1261">
        <f>SUM(D15:X15)</f>
        <v>1317429285.7931571</v>
      </c>
    </row>
    <row r="16" spans="1:25" ht="15" thickBot="1">
      <c r="B16" s="1451"/>
      <c r="C16" s="1246" t="s">
        <v>153</v>
      </c>
      <c r="D16" s="1264">
        <f>D15</f>
        <v>-216999524</v>
      </c>
      <c r="E16" s="1262">
        <f>E15+D16</f>
        <v>-236747846.13043481</v>
      </c>
      <c r="F16" s="1262">
        <f t="shared" ref="F16:X16" si="7">F15+E16</f>
        <v>-115504514.66635172</v>
      </c>
      <c r="G16" s="1262">
        <f t="shared" si="7"/>
        <v>9107694.4354810268</v>
      </c>
      <c r="H16" s="1262">
        <f t="shared" si="7"/>
        <v>116230514.51862825</v>
      </c>
      <c r="I16" s="1262">
        <f t="shared" si="7"/>
        <v>241351930.08402696</v>
      </c>
      <c r="J16" s="1262">
        <f t="shared" si="7"/>
        <v>372348408.35066056</v>
      </c>
      <c r="K16" s="1262">
        <f t="shared" si="7"/>
        <v>493796322.92770863</v>
      </c>
      <c r="L16" s="1262">
        <f t="shared" si="7"/>
        <v>606103886.35304642</v>
      </c>
      <c r="M16" s="1262">
        <f t="shared" si="7"/>
        <v>707687238.58133852</v>
      </c>
      <c r="N16" s="1262">
        <f t="shared" si="7"/>
        <v>800711009.67187548</v>
      </c>
      <c r="O16" s="1262">
        <f t="shared" si="7"/>
        <v>880044223.80803442</v>
      </c>
      <c r="P16" s="1262">
        <f t="shared" si="7"/>
        <v>952550655.41904211</v>
      </c>
      <c r="Q16" s="1262">
        <f t="shared" si="7"/>
        <v>1018648210.0962728</v>
      </c>
      <c r="R16" s="1262">
        <f t="shared" si="7"/>
        <v>1078776187.8591769</v>
      </c>
      <c r="S16" s="1262">
        <f t="shared" si="7"/>
        <v>1134773269.4770329</v>
      </c>
      <c r="T16" s="1262">
        <f t="shared" si="7"/>
        <v>1182996535.146106</v>
      </c>
      <c r="U16" s="1262">
        <f t="shared" si="7"/>
        <v>1224514153.5966656</v>
      </c>
      <c r="V16" s="1262">
        <f t="shared" si="7"/>
        <v>1260247099.7462816</v>
      </c>
      <c r="W16" s="1262">
        <f t="shared" si="7"/>
        <v>1290990566.8535297</v>
      </c>
      <c r="X16" s="1263">
        <f t="shared" si="7"/>
        <v>1317429285.7931571</v>
      </c>
    </row>
    <row r="17" spans="1:25">
      <c r="B17" s="1451"/>
      <c r="C17" s="1259" t="s">
        <v>154</v>
      </c>
      <c r="D17" s="1268">
        <f>IRR(D11:X11,1)</f>
        <v>0.57145928744040031</v>
      </c>
    </row>
    <row r="18" spans="1:25" ht="15" thickBot="1">
      <c r="B18" s="1452"/>
      <c r="C18" s="1259" t="s">
        <v>155</v>
      </c>
      <c r="D18" s="1269">
        <f>SUM(D15:X15)/Expanze!$C$12</f>
        <v>6.1387676478105275</v>
      </c>
    </row>
    <row r="19" spans="1:25">
      <c r="B19" s="1301" t="s">
        <v>156</v>
      </c>
      <c r="C19" s="1300" t="s">
        <v>157</v>
      </c>
      <c r="D19" s="1301">
        <f>IF(D12&lt;0,1,2)</f>
        <v>1</v>
      </c>
      <c r="E19" s="1301">
        <f t="shared" ref="E19:X19" si="8">IF(E12&lt;0,1,2)</f>
        <v>1</v>
      </c>
      <c r="F19" s="1301">
        <f t="shared" si="8"/>
        <v>1</v>
      </c>
      <c r="G19" s="1301">
        <f t="shared" si="8"/>
        <v>2</v>
      </c>
      <c r="H19" s="1301">
        <f t="shared" si="8"/>
        <v>2</v>
      </c>
      <c r="I19" s="1301">
        <f t="shared" si="8"/>
        <v>2</v>
      </c>
      <c r="J19" s="1301">
        <f t="shared" si="8"/>
        <v>2</v>
      </c>
      <c r="K19" s="1301">
        <f t="shared" si="8"/>
        <v>2</v>
      </c>
      <c r="L19" s="1301">
        <f t="shared" si="8"/>
        <v>2</v>
      </c>
      <c r="M19" s="1301">
        <f t="shared" si="8"/>
        <v>2</v>
      </c>
      <c r="N19" s="1301">
        <f t="shared" si="8"/>
        <v>2</v>
      </c>
      <c r="O19" s="1301">
        <f t="shared" si="8"/>
        <v>2</v>
      </c>
      <c r="P19" s="1301">
        <f t="shared" si="8"/>
        <v>2</v>
      </c>
      <c r="Q19" s="1301">
        <f t="shared" si="8"/>
        <v>2</v>
      </c>
      <c r="R19" s="1301">
        <f t="shared" si="8"/>
        <v>2</v>
      </c>
      <c r="S19" s="1301">
        <f t="shared" si="8"/>
        <v>2</v>
      </c>
      <c r="T19" s="1301">
        <f t="shared" si="8"/>
        <v>2</v>
      </c>
      <c r="U19" s="1301">
        <f t="shared" si="8"/>
        <v>2</v>
      </c>
      <c r="V19" s="1301">
        <f t="shared" si="8"/>
        <v>2</v>
      </c>
      <c r="W19" s="1301">
        <f t="shared" si="8"/>
        <v>2</v>
      </c>
      <c r="X19" s="1301">
        <f t="shared" si="8"/>
        <v>2</v>
      </c>
    </row>
    <row r="20" spans="1:25">
      <c r="C20" s="1300" t="s">
        <v>158</v>
      </c>
      <c r="D20" s="1301">
        <f>IF(D16&lt;0,1,2)</f>
        <v>1</v>
      </c>
      <c r="E20" s="1301">
        <f t="shared" ref="E20:X20" si="9">IF(E16&lt;0,1,2)</f>
        <v>1</v>
      </c>
      <c r="F20" s="1301">
        <f t="shared" si="9"/>
        <v>1</v>
      </c>
      <c r="G20" s="1301">
        <f t="shared" si="9"/>
        <v>2</v>
      </c>
      <c r="H20" s="1301">
        <f t="shared" si="9"/>
        <v>2</v>
      </c>
      <c r="I20" s="1301">
        <f t="shared" si="9"/>
        <v>2</v>
      </c>
      <c r="J20" s="1301">
        <f t="shared" si="9"/>
        <v>2</v>
      </c>
      <c r="K20" s="1301">
        <f t="shared" si="9"/>
        <v>2</v>
      </c>
      <c r="L20" s="1301">
        <f t="shared" si="9"/>
        <v>2</v>
      </c>
      <c r="M20" s="1301">
        <f t="shared" si="9"/>
        <v>2</v>
      </c>
      <c r="N20" s="1301">
        <f t="shared" si="9"/>
        <v>2</v>
      </c>
      <c r="O20" s="1301">
        <f t="shared" si="9"/>
        <v>2</v>
      </c>
      <c r="P20" s="1301">
        <f t="shared" si="9"/>
        <v>2</v>
      </c>
      <c r="Q20" s="1301">
        <f t="shared" si="9"/>
        <v>2</v>
      </c>
      <c r="R20" s="1301">
        <f t="shared" si="9"/>
        <v>2</v>
      </c>
      <c r="S20" s="1301">
        <f t="shared" si="9"/>
        <v>2</v>
      </c>
      <c r="T20" s="1301">
        <f t="shared" si="9"/>
        <v>2</v>
      </c>
      <c r="U20" s="1301">
        <f t="shared" si="9"/>
        <v>2</v>
      </c>
      <c r="V20" s="1301">
        <f t="shared" si="9"/>
        <v>2</v>
      </c>
      <c r="W20" s="1301">
        <f t="shared" si="9"/>
        <v>2</v>
      </c>
      <c r="X20" s="1301">
        <f t="shared" si="9"/>
        <v>2</v>
      </c>
    </row>
    <row r="21" spans="1:25" ht="15.75">
      <c r="B21" s="1138"/>
    </row>
    <row r="22" spans="1:25" ht="15" thickBot="1">
      <c r="C22" s="737" t="s">
        <v>159</v>
      </c>
    </row>
    <row r="23" spans="1:25" ht="15.75" thickBot="1">
      <c r="B23" s="1453" t="s">
        <v>1113</v>
      </c>
      <c r="C23" s="1165" t="s">
        <v>137</v>
      </c>
      <c r="D23" s="1162">
        <v>0</v>
      </c>
      <c r="E23" s="1162">
        <v>1</v>
      </c>
      <c r="F23" s="181">
        <v>2</v>
      </c>
      <c r="G23" s="181">
        <v>3</v>
      </c>
      <c r="H23" s="181">
        <v>4</v>
      </c>
      <c r="I23" s="181">
        <v>5</v>
      </c>
      <c r="J23" s="181">
        <v>6</v>
      </c>
      <c r="K23" s="181">
        <v>7</v>
      </c>
      <c r="L23" s="181">
        <v>8</v>
      </c>
      <c r="M23" s="181">
        <v>9</v>
      </c>
      <c r="N23" s="181">
        <v>10</v>
      </c>
      <c r="O23" s="181">
        <v>11</v>
      </c>
      <c r="P23" s="181">
        <v>12</v>
      </c>
      <c r="Q23" s="181">
        <v>13</v>
      </c>
      <c r="R23" s="181">
        <v>14</v>
      </c>
      <c r="S23" s="181">
        <v>15</v>
      </c>
      <c r="T23" s="181">
        <v>16</v>
      </c>
      <c r="U23" s="181">
        <v>17</v>
      </c>
      <c r="V23" s="181">
        <v>18</v>
      </c>
      <c r="W23" s="181">
        <v>19</v>
      </c>
      <c r="X23" s="183">
        <v>20</v>
      </c>
    </row>
    <row r="24" spans="1:25" ht="15.75" thickBot="1">
      <c r="B24" s="1454"/>
      <c r="C24" s="1236" t="s">
        <v>138</v>
      </c>
      <c r="D24" s="1237">
        <v>2022</v>
      </c>
      <c r="E24" s="1237">
        <v>2023</v>
      </c>
      <c r="F24" s="1238">
        <v>2024</v>
      </c>
      <c r="G24" s="1237">
        <v>2025</v>
      </c>
      <c r="H24" s="1238">
        <v>2026</v>
      </c>
      <c r="I24" s="1237">
        <v>2027</v>
      </c>
      <c r="J24" s="1238">
        <v>2028</v>
      </c>
      <c r="K24" s="1237">
        <v>2029</v>
      </c>
      <c r="L24" s="1238">
        <v>2030</v>
      </c>
      <c r="M24" s="1237">
        <v>2031</v>
      </c>
      <c r="N24" s="1238">
        <v>2032</v>
      </c>
      <c r="O24" s="1237">
        <v>2033</v>
      </c>
      <c r="P24" s="1238">
        <v>2034</v>
      </c>
      <c r="Q24" s="1237">
        <v>2035</v>
      </c>
      <c r="R24" s="1238">
        <v>2036</v>
      </c>
      <c r="S24" s="1237">
        <v>2037</v>
      </c>
      <c r="T24" s="1238">
        <v>2038</v>
      </c>
      <c r="U24" s="1237">
        <v>2039</v>
      </c>
      <c r="V24" s="1238">
        <v>2040</v>
      </c>
      <c r="W24" s="1237">
        <v>2041</v>
      </c>
      <c r="X24" s="1239">
        <v>2042</v>
      </c>
    </row>
    <row r="25" spans="1:25">
      <c r="A25" s="1254" t="s">
        <v>139</v>
      </c>
      <c r="B25" s="1454"/>
      <c r="C25" s="1244" t="s">
        <v>140</v>
      </c>
      <c r="D25" s="1255"/>
      <c r="E25" s="1240">
        <f>'Vývoj trhu'!D11</f>
        <v>11166662.95311721</v>
      </c>
      <c r="F25" s="1240">
        <f>'Vývoj trhu'!E11</f>
        <v>19149919.776320651</v>
      </c>
      <c r="G25" s="1240">
        <f>'Vývoj trhu'!F11</f>
        <v>23042582.1942463</v>
      </c>
      <c r="H25" s="1240">
        <f>'Vývoj trhu'!G11</f>
        <v>22894133.203732185</v>
      </c>
      <c r="I25" s="1240">
        <f>'Vývoj trhu'!H11</f>
        <v>27215648.260920823</v>
      </c>
      <c r="J25" s="1240">
        <f>'Vývoj trhu'!I11</f>
        <v>30184628.07120309</v>
      </c>
      <c r="K25" s="1240">
        <f>'Vývoj trhu'!J11</f>
        <v>31916532.960534416</v>
      </c>
      <c r="L25" s="1240">
        <f>'Vývoj trhu'!K11</f>
        <v>33681426.514424436</v>
      </c>
      <c r="M25" s="1240">
        <f>'Vývoj trhu'!L11</f>
        <v>34967984.432213418</v>
      </c>
      <c r="N25" s="1240">
        <f>'Vývoj trhu'!M11</f>
        <v>36617417.66014801</v>
      </c>
      <c r="O25" s="1240">
        <f>'Vývoj trhu'!N11</f>
        <v>37112247.628528394</v>
      </c>
      <c r="P25" s="1240">
        <f>'Vývoj trhu'!O11</f>
        <v>38761680.856462985</v>
      </c>
      <c r="Q25" s="1240">
        <f>'Vývoj trhu'!P11</f>
        <v>40411114.084397584</v>
      </c>
      <c r="R25" s="1240">
        <f>'Vývoj trhu'!Q11</f>
        <v>42060547.312332176</v>
      </c>
      <c r="S25" s="1240">
        <f>'Vývoj trhu'!R11</f>
        <v>44534697.154234067</v>
      </c>
      <c r="T25" s="1240">
        <f>'Vývoj trhu'!S11</f>
        <v>44534697.154234067</v>
      </c>
      <c r="U25" s="1240">
        <f>'Vývoj trhu'!T11</f>
        <v>44534697.154234067</v>
      </c>
      <c r="V25" s="1240">
        <f>'Vývoj trhu'!U11</f>
        <v>44534697.154234067</v>
      </c>
      <c r="W25" s="1240">
        <f>'Vývoj trhu'!V11</f>
        <v>44534697.154234067</v>
      </c>
      <c r="X25" s="1240">
        <f>'Vývoj trhu'!W11</f>
        <v>44534697.154234067</v>
      </c>
    </row>
    <row r="26" spans="1:25" ht="15" thickBot="1">
      <c r="A26" s="1260">
        <v>0.19</v>
      </c>
      <c r="B26" s="1454"/>
      <c r="C26" s="1245" t="s">
        <v>141</v>
      </c>
      <c r="D26" s="1256"/>
      <c r="E26" s="1241">
        <f>'Náklady 10%ZW'!C4*Exchange!C4</f>
        <v>909888</v>
      </c>
      <c r="F26" s="1241">
        <f>'Náklady 10%ZW'!D4*Exchange!D4</f>
        <v>7801920</v>
      </c>
      <c r="G26" s="1241">
        <f>'Náklady 10%ZW'!E4*Exchange!E4</f>
        <v>9387840.0000000019</v>
      </c>
      <c r="H26" s="1241">
        <f>'Náklady 10%ZW'!F4*Exchange!F4</f>
        <v>9327360</v>
      </c>
      <c r="I26" s="1241">
        <f>'Náklady 10%ZW'!G4*Exchange!G4</f>
        <v>11088000</v>
      </c>
      <c r="J26" s="1241">
        <f>'Náklady 10%ZW'!H4*Exchange!H4</f>
        <v>12297600</v>
      </c>
      <c r="K26" s="1241">
        <f>'Náklady 10%ZW'!I4*Exchange!I4</f>
        <v>13003200</v>
      </c>
      <c r="L26" s="1241">
        <f>'Náklady 10%ZW'!J4*Exchange!J4</f>
        <v>13722240.000000002</v>
      </c>
      <c r="M26" s="1241">
        <f>'Náklady 10%ZW'!K4*Exchange!K4</f>
        <v>14246400</v>
      </c>
      <c r="N26" s="1241">
        <f>'Náklady 10%ZW'!L4*Exchange!L4</f>
        <v>14918400</v>
      </c>
      <c r="O26" s="1241">
        <f>'Náklady 10%ZW'!M4*Exchange!M4</f>
        <v>15120000</v>
      </c>
      <c r="P26" s="1241">
        <f>'Náklady 10%ZW'!N4*Exchange!N4</f>
        <v>15792000</v>
      </c>
      <c r="Q26" s="1241">
        <f>'Náklady 10%ZW'!O4*Exchange!O4</f>
        <v>16464000</v>
      </c>
      <c r="R26" s="1241">
        <f>'Náklady 10%ZW'!P4*Exchange!P4</f>
        <v>17136000</v>
      </c>
      <c r="S26" s="1241">
        <f>'Náklady 10%ZW'!Q4*Exchange!Q4</f>
        <v>18144000</v>
      </c>
      <c r="T26" s="1241">
        <f>'Náklady 10%ZW'!R4*Exchange!R4</f>
        <v>18144000</v>
      </c>
      <c r="U26" s="1241">
        <f>'Náklady 10%ZW'!S4*Exchange!S4</f>
        <v>18144000</v>
      </c>
      <c r="V26" s="1241">
        <f>'Náklady 10%ZW'!T4*Exchange!T4</f>
        <v>18144000</v>
      </c>
      <c r="W26" s="1241">
        <f>'Náklady 10%ZW'!U4*Exchange!U4</f>
        <v>18144000</v>
      </c>
      <c r="X26" s="1241">
        <f>'Náklady 10%ZW'!V4*Exchange!V4</f>
        <v>18144000</v>
      </c>
    </row>
    <row r="27" spans="1:25" ht="15" thickBot="1">
      <c r="B27" s="1454"/>
      <c r="C27" s="1245" t="s">
        <v>142</v>
      </c>
      <c r="D27" s="1256"/>
      <c r="E27" s="1241">
        <f>'Náklady 10%ZW'!C8*Exchange!C4</f>
        <v>672000</v>
      </c>
      <c r="F27" s="1241">
        <f>'Náklady 10%ZW'!D8*Exchange!D4</f>
        <v>714000</v>
      </c>
      <c r="G27" s="1241">
        <f>'Náklady 10%ZW'!E8*Exchange!E4</f>
        <v>764400</v>
      </c>
      <c r="H27" s="1241">
        <f>'Náklady 10%ZW'!F8*Exchange!F4</f>
        <v>824880</v>
      </c>
      <c r="I27" s="1241">
        <f>'Náklady 10%ZW'!G8*Exchange!G4</f>
        <v>897456</v>
      </c>
      <c r="J27" s="1241">
        <f>'Náklady 10%ZW'!H8*Exchange!H4</f>
        <v>984547.2</v>
      </c>
      <c r="K27" s="1241">
        <f>'Náklady 10%ZW'!I8*Exchange!I4</f>
        <v>1089056.6399999999</v>
      </c>
      <c r="L27" s="1241">
        <f>'Náklady 10%ZW'!J8*Exchange!J4</f>
        <v>1214467.9680000001</v>
      </c>
      <c r="M27" s="1241">
        <f>'Náklady 10%ZW'!K8*Exchange!K4</f>
        <v>1364961.5616000001</v>
      </c>
      <c r="N27" s="1241">
        <f>'Náklady 10%ZW'!L8*Exchange!L4</f>
        <v>1545553.8739200004</v>
      </c>
      <c r="O27" s="1241">
        <f>'Náklady 10%ZW'!M8*Exchange!M4</f>
        <v>1762264.6487040003</v>
      </c>
      <c r="P27" s="1241">
        <f>'Náklady 10%ZW'!N8*Exchange!N4</f>
        <v>2022317.5784448003</v>
      </c>
      <c r="Q27" s="1241">
        <f>'Náklady 10%ZW'!O8*Exchange!O4</f>
        <v>2334381.0941337603</v>
      </c>
      <c r="R27" s="1241">
        <f>'Náklady 10%ZW'!P8*Exchange!P4</f>
        <v>2708857.3129605125</v>
      </c>
      <c r="S27" s="1241">
        <f>'Náklady 10%ZW'!Q8*Exchange!Q4</f>
        <v>3158228.7755526151</v>
      </c>
      <c r="T27" s="1241">
        <f>'Náklady 10%ZW'!R8*Exchange!R4</f>
        <v>3697474.5306631378</v>
      </c>
      <c r="U27" s="1241">
        <f>'Náklady 10%ZW'!S8*Exchange!S4</f>
        <v>4344569.4367957655</v>
      </c>
      <c r="V27" s="1241">
        <f>'Náklady 10%ZW'!T8*Exchange!T4</f>
        <v>5121083.3241549181</v>
      </c>
      <c r="W27" s="1241">
        <f>'Náklady 10%ZW'!U8*Exchange!U4</f>
        <v>6052899.9889859026</v>
      </c>
      <c r="X27" s="1241">
        <f>'Náklady 10%ZW'!V8*Exchange!V4</f>
        <v>7171079.9867830826</v>
      </c>
    </row>
    <row r="28" spans="1:25">
      <c r="A28" s="1254" t="s">
        <v>143</v>
      </c>
      <c r="B28" s="1454"/>
      <c r="C28" s="1245" t="s">
        <v>144</v>
      </c>
      <c r="D28" s="1256"/>
      <c r="E28" s="1241">
        <f>E25-E26-E27</f>
        <v>9584774.9531172104</v>
      </c>
      <c r="F28" s="1241">
        <f t="shared" ref="F28:X28" si="10">F25-F26-F27</f>
        <v>10633999.776320651</v>
      </c>
      <c r="G28" s="1241">
        <f t="shared" si="10"/>
        <v>12890342.194246298</v>
      </c>
      <c r="H28" s="1241">
        <f t="shared" si="10"/>
        <v>12741893.203732185</v>
      </c>
      <c r="I28" s="1241">
        <f t="shared" si="10"/>
        <v>15230192.260920823</v>
      </c>
      <c r="J28" s="1241">
        <f t="shared" si="10"/>
        <v>16902480.871203091</v>
      </c>
      <c r="K28" s="1241">
        <f t="shared" si="10"/>
        <v>17824276.320534416</v>
      </c>
      <c r="L28" s="1241">
        <f t="shared" si="10"/>
        <v>18744718.546424437</v>
      </c>
      <c r="M28" s="1241">
        <f t="shared" si="10"/>
        <v>19356622.870613419</v>
      </c>
      <c r="N28" s="1241">
        <f t="shared" si="10"/>
        <v>20153463.786228009</v>
      </c>
      <c r="O28" s="1241">
        <f t="shared" si="10"/>
        <v>20229982.979824394</v>
      </c>
      <c r="P28" s="1241">
        <f t="shared" si="10"/>
        <v>20947363.278018184</v>
      </c>
      <c r="Q28" s="1241">
        <f t="shared" si="10"/>
        <v>21612732.990263823</v>
      </c>
      <c r="R28" s="1241">
        <f t="shared" si="10"/>
        <v>22215689.999371663</v>
      </c>
      <c r="S28" s="1241">
        <f t="shared" si="10"/>
        <v>23232468.378681451</v>
      </c>
      <c r="T28" s="1241">
        <f t="shared" si="10"/>
        <v>22693222.62357093</v>
      </c>
      <c r="U28" s="1241">
        <f t="shared" si="10"/>
        <v>22046127.717438303</v>
      </c>
      <c r="V28" s="1241">
        <f t="shared" si="10"/>
        <v>21269613.830079149</v>
      </c>
      <c r="W28" s="1241">
        <f t="shared" si="10"/>
        <v>20337797.165248163</v>
      </c>
      <c r="X28" s="1241">
        <f t="shared" si="10"/>
        <v>19219617.167450983</v>
      </c>
    </row>
    <row r="29" spans="1:25" ht="15" thickBot="1">
      <c r="A29" s="1260">
        <v>0.15</v>
      </c>
      <c r="B29" s="1454"/>
      <c r="C29" s="1245" t="s">
        <v>145</v>
      </c>
      <c r="D29" s="1256"/>
      <c r="E29" s="1241">
        <f>E28-Expanze!J12</f>
        <v>7584774.9531172104</v>
      </c>
      <c r="F29" s="1241">
        <f>F28-Expanze!K12</f>
        <v>8633999.7763206512</v>
      </c>
      <c r="G29" s="1241">
        <f>G28-Expanze!L12</f>
        <v>10890342.194246298</v>
      </c>
      <c r="H29" s="1241">
        <f>H28-Expanze!M12</f>
        <v>10741893.203732185</v>
      </c>
      <c r="I29" s="1241">
        <f>I28-Expanze!N12</f>
        <v>13230192.260920823</v>
      </c>
      <c r="J29" s="1241">
        <f>J28-Expanze!O12</f>
        <v>16902480.871203091</v>
      </c>
      <c r="K29" s="1241">
        <f>K28-Expanze!P12</f>
        <v>17824276.320534416</v>
      </c>
      <c r="L29" s="1241">
        <f>L28-Expanze!Q12</f>
        <v>18744718.546424437</v>
      </c>
      <c r="M29" s="1241">
        <f>M28-Expanze!R12</f>
        <v>19356622.870613419</v>
      </c>
      <c r="N29" s="1241">
        <f>N28-Expanze!S12</f>
        <v>20153463.786228009</v>
      </c>
      <c r="O29" s="1241">
        <f>O28-Expanze!T12</f>
        <v>20229982.979824394</v>
      </c>
      <c r="P29" s="1241">
        <f>P28-Expanze!U12</f>
        <v>20947363.278018184</v>
      </c>
      <c r="Q29" s="1241">
        <f>Q28-Expanze!V12</f>
        <v>21612732.990263823</v>
      </c>
      <c r="R29" s="1241">
        <f>R28-Expanze!W12</f>
        <v>22215689.999371663</v>
      </c>
      <c r="S29" s="1241">
        <f>S28-Expanze!X12</f>
        <v>23232468.378681451</v>
      </c>
      <c r="T29" s="1241">
        <f>T28-Expanze!Y12</f>
        <v>22693222.62357093</v>
      </c>
      <c r="U29" s="1241">
        <f>U28-Expanze!Z12</f>
        <v>22046127.717438303</v>
      </c>
      <c r="V29" s="1241">
        <f>V28-Expanze!AA12</f>
        <v>21269613.830079149</v>
      </c>
      <c r="W29" s="1241">
        <f>W28-Expanze!AB12</f>
        <v>20337797.165248163</v>
      </c>
      <c r="X29" s="1241">
        <f>X28-Expanze!AC12</f>
        <v>19219617.167450983</v>
      </c>
    </row>
    <row r="30" spans="1:25" ht="15" thickBot="1">
      <c r="B30" s="1454"/>
      <c r="C30" s="1245" t="s">
        <v>139</v>
      </c>
      <c r="D30" s="1256"/>
      <c r="E30" s="1241">
        <f>IF(E29&gt;0,E29*$A$5,0)</f>
        <v>1441107.24109227</v>
      </c>
      <c r="F30" s="1241">
        <f t="shared" ref="F30:X30" si="11">IF(F29&gt;0,F29*$A$5,0)</f>
        <v>1640459.9575009237</v>
      </c>
      <c r="G30" s="1241">
        <f t="shared" si="11"/>
        <v>2069165.0169067965</v>
      </c>
      <c r="H30" s="1241">
        <f t="shared" si="11"/>
        <v>2040959.7087091152</v>
      </c>
      <c r="I30" s="1241">
        <f t="shared" si="11"/>
        <v>2513736.5295749563</v>
      </c>
      <c r="J30" s="1241">
        <f t="shared" si="11"/>
        <v>3211471.3655285873</v>
      </c>
      <c r="K30" s="1241">
        <f t="shared" si="11"/>
        <v>3386612.5009015389</v>
      </c>
      <c r="L30" s="1241">
        <f t="shared" si="11"/>
        <v>3561496.5238206433</v>
      </c>
      <c r="M30" s="1241">
        <f t="shared" si="11"/>
        <v>3677758.3454165496</v>
      </c>
      <c r="N30" s="1241">
        <f t="shared" si="11"/>
        <v>3829158.1193833216</v>
      </c>
      <c r="O30" s="1241">
        <f t="shared" si="11"/>
        <v>3843696.7661666349</v>
      </c>
      <c r="P30" s="1241">
        <f t="shared" si="11"/>
        <v>3979999.0228234548</v>
      </c>
      <c r="Q30" s="1241">
        <f t="shared" si="11"/>
        <v>4106419.2681501266</v>
      </c>
      <c r="R30" s="1241">
        <f t="shared" si="11"/>
        <v>4220981.0998806162</v>
      </c>
      <c r="S30" s="1241">
        <f t="shared" si="11"/>
        <v>4414168.9919494754</v>
      </c>
      <c r="T30" s="1241">
        <f t="shared" si="11"/>
        <v>4311712.2984784767</v>
      </c>
      <c r="U30" s="1241">
        <f t="shared" si="11"/>
        <v>4188764.2663132777</v>
      </c>
      <c r="V30" s="1241">
        <f t="shared" si="11"/>
        <v>4041226.6277150386</v>
      </c>
      <c r="W30" s="1241">
        <f t="shared" si="11"/>
        <v>3864181.461397151</v>
      </c>
      <c r="X30" s="1241">
        <f t="shared" si="11"/>
        <v>3651727.2618156867</v>
      </c>
    </row>
    <row r="31" spans="1:25" ht="15" thickBot="1">
      <c r="A31" s="1254" t="s">
        <v>146</v>
      </c>
      <c r="B31" s="1454"/>
      <c r="C31" s="1245" t="s">
        <v>147</v>
      </c>
      <c r="D31" s="1257"/>
      <c r="E31" s="1242">
        <f>E29-E30</f>
        <v>6143667.7120249402</v>
      </c>
      <c r="F31" s="1242">
        <f t="shared" ref="F31:X31" si="12">F29-F30</f>
        <v>6993539.8188197277</v>
      </c>
      <c r="G31" s="1242">
        <f t="shared" si="12"/>
        <v>8821177.1773395017</v>
      </c>
      <c r="H31" s="1242">
        <f t="shared" si="12"/>
        <v>8700933.4950230699</v>
      </c>
      <c r="I31" s="1242">
        <f t="shared" si="12"/>
        <v>10716455.731345866</v>
      </c>
      <c r="J31" s="1242">
        <f t="shared" si="12"/>
        <v>13691009.505674504</v>
      </c>
      <c r="K31" s="1242">
        <f t="shared" si="12"/>
        <v>14437663.819632877</v>
      </c>
      <c r="L31" s="1242">
        <f t="shared" si="12"/>
        <v>15183222.022603795</v>
      </c>
      <c r="M31" s="1242">
        <f t="shared" si="12"/>
        <v>15678864.525196869</v>
      </c>
      <c r="N31" s="1242">
        <f t="shared" si="12"/>
        <v>16324305.666844686</v>
      </c>
      <c r="O31" s="1242">
        <f t="shared" si="12"/>
        <v>16386286.213657759</v>
      </c>
      <c r="P31" s="1242">
        <f t="shared" si="12"/>
        <v>16967364.255194731</v>
      </c>
      <c r="Q31" s="1242">
        <f t="shared" si="12"/>
        <v>17506313.722113699</v>
      </c>
      <c r="R31" s="1242">
        <f t="shared" si="12"/>
        <v>17994708.899491046</v>
      </c>
      <c r="S31" s="1242">
        <f t="shared" si="12"/>
        <v>18818299.386731975</v>
      </c>
      <c r="T31" s="1242">
        <f t="shared" si="12"/>
        <v>18381510.325092454</v>
      </c>
      <c r="U31" s="1242">
        <f t="shared" si="12"/>
        <v>17857363.451125026</v>
      </c>
      <c r="V31" s="1242">
        <f t="shared" si="12"/>
        <v>17228387.202364109</v>
      </c>
      <c r="W31" s="1242">
        <f t="shared" si="12"/>
        <v>16473615.703851013</v>
      </c>
      <c r="X31" s="1242">
        <f t="shared" si="12"/>
        <v>15567889.905635297</v>
      </c>
    </row>
    <row r="32" spans="1:25" ht="15.75" thickBot="1">
      <c r="A32" s="1299">
        <v>20</v>
      </c>
      <c r="B32" s="1454"/>
      <c r="C32" s="1165" t="s">
        <v>148</v>
      </c>
      <c r="D32" s="1243">
        <f>Expanze!$C$22-(2*Expanze!$C$22)</f>
        <v>-20000000</v>
      </c>
      <c r="E32" s="1243">
        <f>E31+Expanze!J23</f>
        <v>7143667.7120249402</v>
      </c>
      <c r="F32" s="1243">
        <f>F31+Expanze!K23</f>
        <v>7993539.8188197277</v>
      </c>
      <c r="G32" s="1243">
        <f>G31+Expanze!L23</f>
        <v>9821177.1773395017</v>
      </c>
      <c r="H32" s="1243">
        <f>H31+Expanze!M23</f>
        <v>9700933.4950230699</v>
      </c>
      <c r="I32" s="1243">
        <f>I31+Expanze!N23</f>
        <v>11716455.731345866</v>
      </c>
      <c r="J32" s="1243">
        <f>J31+Expanze!O23</f>
        <v>14691009.505674504</v>
      </c>
      <c r="K32" s="1243">
        <f>K31+Expanze!P23</f>
        <v>15437663.819632877</v>
      </c>
      <c r="L32" s="1243">
        <f>L31+Expanze!Q23</f>
        <v>16183222.022603795</v>
      </c>
      <c r="M32" s="1243">
        <f>M31+Expanze!R23</f>
        <v>16678864.525196869</v>
      </c>
      <c r="N32" s="1243">
        <f>N31+Expanze!S23</f>
        <v>17324305.666844688</v>
      </c>
      <c r="O32" s="1243">
        <f>O31+Expanze!T23</f>
        <v>16386286.213657759</v>
      </c>
      <c r="P32" s="1243">
        <f>P31+Expanze!U23</f>
        <v>16967364.255194731</v>
      </c>
      <c r="Q32" s="1243">
        <f>Q31+Expanze!V23</f>
        <v>17506313.722113699</v>
      </c>
      <c r="R32" s="1243">
        <f>R31+Expanze!W23</f>
        <v>17994708.899491046</v>
      </c>
      <c r="S32" s="1243">
        <f>S31+Expanze!X23</f>
        <v>18818299.386731975</v>
      </c>
      <c r="T32" s="1243">
        <f>T31+Expanze!Y23</f>
        <v>18381510.325092454</v>
      </c>
      <c r="U32" s="1243">
        <f>U31+Expanze!Z23</f>
        <v>17857363.451125026</v>
      </c>
      <c r="V32" s="1243">
        <f>V31+Expanze!AA23</f>
        <v>17228387.202364109</v>
      </c>
      <c r="W32" s="1243">
        <f>W31+Expanze!AB23</f>
        <v>16473615.703851013</v>
      </c>
      <c r="X32" s="1243">
        <f>X31+Expanze!AC23</f>
        <v>15567889.905635297</v>
      </c>
      <c r="Y32" s="1261">
        <f>SUM(D32:X32)</f>
        <v>279872578.53976297</v>
      </c>
    </row>
    <row r="33" spans="2:25" ht="15" thickBot="1">
      <c r="B33" s="1454"/>
      <c r="C33" s="1246" t="s">
        <v>149</v>
      </c>
      <c r="D33" s="1251">
        <f>D32</f>
        <v>-20000000</v>
      </c>
      <c r="E33" s="1251">
        <f>D33+E32</f>
        <v>-12856332.28797506</v>
      </c>
      <c r="F33" s="1251">
        <f t="shared" ref="F33:X33" si="13">E33+F32</f>
        <v>-4862792.4691553321</v>
      </c>
      <c r="G33" s="1251">
        <f t="shared" si="13"/>
        <v>4958384.7081841696</v>
      </c>
      <c r="H33" s="1251">
        <f t="shared" si="13"/>
        <v>14659318.20320724</v>
      </c>
      <c r="I33" s="1251">
        <f t="shared" si="13"/>
        <v>26375773.934553105</v>
      </c>
      <c r="J33" s="1251">
        <f t="shared" si="13"/>
        <v>41066783.440227613</v>
      </c>
      <c r="K33" s="1251">
        <f t="shared" si="13"/>
        <v>56504447.259860486</v>
      </c>
      <c r="L33" s="1251">
        <f t="shared" si="13"/>
        <v>72687669.282464281</v>
      </c>
      <c r="M33" s="1251">
        <f t="shared" si="13"/>
        <v>89366533.807661146</v>
      </c>
      <c r="N33" s="1251">
        <f t="shared" si="13"/>
        <v>106690839.47450584</v>
      </c>
      <c r="O33" s="1251">
        <f t="shared" si="13"/>
        <v>123077125.68816361</v>
      </c>
      <c r="P33" s="1251">
        <f t="shared" si="13"/>
        <v>140044489.94335833</v>
      </c>
      <c r="Q33" s="1251">
        <f t="shared" si="13"/>
        <v>157550803.66547203</v>
      </c>
      <c r="R33" s="1251">
        <f t="shared" si="13"/>
        <v>175545512.56496307</v>
      </c>
      <c r="S33" s="1251">
        <f t="shared" si="13"/>
        <v>194363811.95169505</v>
      </c>
      <c r="T33" s="1251">
        <f t="shared" si="13"/>
        <v>212745322.27678752</v>
      </c>
      <c r="U33" s="1251">
        <f t="shared" si="13"/>
        <v>230602685.72791255</v>
      </c>
      <c r="V33" s="1251">
        <f t="shared" si="13"/>
        <v>247831072.93027666</v>
      </c>
      <c r="W33" s="1251">
        <f t="shared" si="13"/>
        <v>264304688.63412768</v>
      </c>
      <c r="X33" s="1251">
        <f t="shared" si="13"/>
        <v>279872578.53976297</v>
      </c>
    </row>
    <row r="34" spans="2:25" ht="15" thickBot="1">
      <c r="B34" s="1454"/>
    </row>
    <row r="35" spans="2:25">
      <c r="B35" s="1454"/>
      <c r="C35" s="1265" t="s">
        <v>150</v>
      </c>
      <c r="D35" s="1241">
        <f>1/(1+$A$29)^D23</f>
        <v>1</v>
      </c>
      <c r="E35" s="1267">
        <f t="shared" ref="E35:X35" si="14">1/(1+$A$8)^E23</f>
        <v>0.86956521739130443</v>
      </c>
      <c r="F35" s="1267">
        <f t="shared" si="14"/>
        <v>0.7561436672967865</v>
      </c>
      <c r="G35" s="1267">
        <f t="shared" si="14"/>
        <v>0.65751623243198831</v>
      </c>
      <c r="H35" s="1267">
        <f t="shared" si="14"/>
        <v>0.57175324559303342</v>
      </c>
      <c r="I35" s="1267">
        <f t="shared" si="14"/>
        <v>0.49717673529828987</v>
      </c>
      <c r="J35" s="1267">
        <f t="shared" si="14"/>
        <v>0.43232759591155645</v>
      </c>
      <c r="K35" s="1267">
        <f t="shared" si="14"/>
        <v>0.37593703992309269</v>
      </c>
      <c r="L35" s="1267">
        <f t="shared" si="14"/>
        <v>0.32690177384616753</v>
      </c>
      <c r="M35" s="1267">
        <f t="shared" si="14"/>
        <v>0.28426241204014574</v>
      </c>
      <c r="N35" s="1267">
        <f t="shared" si="14"/>
        <v>0.24718470612186585</v>
      </c>
      <c r="O35" s="1267">
        <f t="shared" si="14"/>
        <v>0.21494322271466598</v>
      </c>
      <c r="P35" s="1267">
        <f t="shared" si="14"/>
        <v>0.18690715018666609</v>
      </c>
      <c r="Q35" s="1267">
        <f t="shared" si="14"/>
        <v>0.16252795668405748</v>
      </c>
      <c r="R35" s="1267">
        <f t="shared" si="14"/>
        <v>0.14132865798613695</v>
      </c>
      <c r="S35" s="1267">
        <f t="shared" si="14"/>
        <v>0.1228944852053365</v>
      </c>
      <c r="T35" s="1267">
        <f t="shared" si="14"/>
        <v>0.10686476974377089</v>
      </c>
      <c r="U35" s="1267">
        <f t="shared" si="14"/>
        <v>9.2925886733713825E-2</v>
      </c>
      <c r="V35" s="1267">
        <f t="shared" si="14"/>
        <v>8.0805118898881603E-2</v>
      </c>
      <c r="W35" s="1267">
        <f t="shared" si="14"/>
        <v>7.0265320781636179E-2</v>
      </c>
      <c r="X35" s="1267">
        <f t="shared" si="14"/>
        <v>6.1100278940553199E-2</v>
      </c>
      <c r="Y35" s="737" t="s">
        <v>151</v>
      </c>
    </row>
    <row r="36" spans="2:25" ht="15">
      <c r="B36" s="1454"/>
      <c r="C36" s="1266" t="s">
        <v>152</v>
      </c>
      <c r="D36" s="1243">
        <f>D35*D32</f>
        <v>-20000000</v>
      </c>
      <c r="E36" s="1235">
        <f t="shared" ref="E36:X36" si="15">E35*E32</f>
        <v>6211884.9669782091</v>
      </c>
      <c r="F36" s="1235">
        <f t="shared" si="15"/>
        <v>6044264.5132852392</v>
      </c>
      <c r="G36" s="1235">
        <f t="shared" si="15"/>
        <v>6457583.4156912984</v>
      </c>
      <c r="H36" s="1235">
        <f t="shared" si="15"/>
        <v>5546540.211061609</v>
      </c>
      <c r="I36" s="1235">
        <f t="shared" si="15"/>
        <v>5825149.2097774744</v>
      </c>
      <c r="J36" s="1235">
        <f t="shared" si="15"/>
        <v>6351328.8211020818</v>
      </c>
      <c r="K36" s="1235">
        <f t="shared" si="15"/>
        <v>5803589.6396806082</v>
      </c>
      <c r="L36" s="1235">
        <f t="shared" si="15"/>
        <v>5290323.985735544</v>
      </c>
      <c r="M36" s="1235">
        <f t="shared" si="15"/>
        <v>4741174.2600232819</v>
      </c>
      <c r="N36" s="1235">
        <f t="shared" si="15"/>
        <v>4282303.4050243795</v>
      </c>
      <c r="O36" s="1235">
        <f t="shared" si="15"/>
        <v>3522121.1670885007</v>
      </c>
      <c r="P36" s="1235">
        <f t="shared" si="15"/>
        <v>3171321.6991175516</v>
      </c>
      <c r="Q36" s="1235">
        <f t="shared" si="15"/>
        <v>2845265.3983252165</v>
      </c>
      <c r="R36" s="1235">
        <f t="shared" si="15"/>
        <v>2543168.0596162649</v>
      </c>
      <c r="S36" s="1235">
        <f t="shared" si="15"/>
        <v>2312665.2155723255</v>
      </c>
      <c r="T36" s="1235">
        <f t="shared" si="15"/>
        <v>1964335.8684337523</v>
      </c>
      <c r="U36" s="1235">
        <f t="shared" si="15"/>
        <v>1659411.3334220052</v>
      </c>
      <c r="V36" s="1235">
        <f t="shared" si="15"/>
        <v>1392141.8763230022</v>
      </c>
      <c r="W36" s="1235">
        <f t="shared" si="15"/>
        <v>1157523.8918644907</v>
      </c>
      <c r="X36" s="1250">
        <f t="shared" si="15"/>
        <v>951202.41575013904</v>
      </c>
      <c r="Y36" s="1261">
        <f>SUM(D36:X36)</f>
        <v>58073299.353872977</v>
      </c>
    </row>
    <row r="37" spans="2:25" ht="15" thickBot="1">
      <c r="B37" s="1454"/>
      <c r="C37" s="1246" t="s">
        <v>153</v>
      </c>
      <c r="D37" s="1264">
        <f>D36</f>
        <v>-20000000</v>
      </c>
      <c r="E37" s="1262">
        <f>E36+D37</f>
        <v>-13788115.033021791</v>
      </c>
      <c r="F37" s="1262">
        <f t="shared" ref="F37:X37" si="16">F36+E37</f>
        <v>-7743850.5197365517</v>
      </c>
      <c r="G37" s="1262">
        <f t="shared" si="16"/>
        <v>-1286267.1040452532</v>
      </c>
      <c r="H37" s="1262">
        <f t="shared" si="16"/>
        <v>4260273.1070163557</v>
      </c>
      <c r="I37" s="1262">
        <f t="shared" si="16"/>
        <v>10085422.316793829</v>
      </c>
      <c r="J37" s="1262">
        <f t="shared" si="16"/>
        <v>16436751.137895912</v>
      </c>
      <c r="K37" s="1262">
        <f t="shared" si="16"/>
        <v>22240340.777576521</v>
      </c>
      <c r="L37" s="1262">
        <f t="shared" si="16"/>
        <v>27530664.763312064</v>
      </c>
      <c r="M37" s="1262">
        <f t="shared" si="16"/>
        <v>32271839.023335345</v>
      </c>
      <c r="N37" s="1262">
        <f t="shared" si="16"/>
        <v>36554142.428359725</v>
      </c>
      <c r="O37" s="1262">
        <f t="shared" si="16"/>
        <v>40076263.595448226</v>
      </c>
      <c r="P37" s="1262">
        <f t="shared" si="16"/>
        <v>43247585.294565775</v>
      </c>
      <c r="Q37" s="1262">
        <f t="shared" si="16"/>
        <v>46092850.692890994</v>
      </c>
      <c r="R37" s="1262">
        <f t="shared" si="16"/>
        <v>48636018.752507262</v>
      </c>
      <c r="S37" s="1262">
        <f t="shared" si="16"/>
        <v>50948683.968079589</v>
      </c>
      <c r="T37" s="1262">
        <f t="shared" si="16"/>
        <v>52913019.83651334</v>
      </c>
      <c r="U37" s="1262">
        <f t="shared" si="16"/>
        <v>54572431.169935346</v>
      </c>
      <c r="V37" s="1262">
        <f t="shared" si="16"/>
        <v>55964573.046258345</v>
      </c>
      <c r="W37" s="1262">
        <f t="shared" si="16"/>
        <v>57122096.938122839</v>
      </c>
      <c r="X37" s="1263">
        <f t="shared" si="16"/>
        <v>58073299.353872977</v>
      </c>
    </row>
    <row r="38" spans="2:25">
      <c r="B38" s="1454"/>
      <c r="C38" s="1259" t="s">
        <v>154</v>
      </c>
      <c r="D38" s="1268">
        <f>IRR(D32:X32,1)</f>
        <v>0.4760997776394067</v>
      </c>
    </row>
    <row r="39" spans="2:25" ht="15" thickBot="1">
      <c r="B39" s="1455"/>
      <c r="C39" s="1259" t="s">
        <v>155</v>
      </c>
      <c r="D39" s="1269">
        <f>SUM(D36:X36)/Expanze!C22</f>
        <v>2.9036649676936488</v>
      </c>
    </row>
    <row r="40" spans="2:25">
      <c r="C40" s="1300" t="s">
        <v>157</v>
      </c>
      <c r="D40" s="1301">
        <f>IF(D33&lt;0,1,2)</f>
        <v>1</v>
      </c>
      <c r="E40" s="1301">
        <f t="shared" ref="E40:X40" si="17">IF(E33&lt;0,1,2)</f>
        <v>1</v>
      </c>
      <c r="F40" s="1301">
        <f t="shared" si="17"/>
        <v>1</v>
      </c>
      <c r="G40" s="1301">
        <f t="shared" si="17"/>
        <v>2</v>
      </c>
      <c r="H40" s="1301">
        <f t="shared" si="17"/>
        <v>2</v>
      </c>
      <c r="I40" s="1301">
        <f t="shared" si="17"/>
        <v>2</v>
      </c>
      <c r="J40" s="1301">
        <f t="shared" si="17"/>
        <v>2</v>
      </c>
      <c r="K40" s="1301">
        <f t="shared" si="17"/>
        <v>2</v>
      </c>
      <c r="L40" s="1301">
        <f t="shared" si="17"/>
        <v>2</v>
      </c>
      <c r="M40" s="1301">
        <f t="shared" si="17"/>
        <v>2</v>
      </c>
      <c r="N40" s="1301">
        <f t="shared" si="17"/>
        <v>2</v>
      </c>
      <c r="O40" s="1301">
        <f t="shared" si="17"/>
        <v>2</v>
      </c>
      <c r="P40" s="1301">
        <f t="shared" si="17"/>
        <v>2</v>
      </c>
      <c r="Q40" s="1301">
        <f t="shared" si="17"/>
        <v>2</v>
      </c>
      <c r="R40" s="1301">
        <f t="shared" si="17"/>
        <v>2</v>
      </c>
      <c r="S40" s="1301">
        <f t="shared" si="17"/>
        <v>2</v>
      </c>
      <c r="T40" s="1301">
        <f t="shared" si="17"/>
        <v>2</v>
      </c>
      <c r="U40" s="1301">
        <f t="shared" si="17"/>
        <v>2</v>
      </c>
      <c r="V40" s="1301">
        <f t="shared" si="17"/>
        <v>2</v>
      </c>
      <c r="W40" s="1301">
        <f t="shared" si="17"/>
        <v>2</v>
      </c>
      <c r="X40" s="1301">
        <f t="shared" si="17"/>
        <v>2</v>
      </c>
    </row>
    <row r="41" spans="2:25">
      <c r="C41" s="1300" t="s">
        <v>158</v>
      </c>
      <c r="D41" s="1301">
        <f>IF(D37&lt;0,1,2)</f>
        <v>1</v>
      </c>
      <c r="E41" s="1301">
        <f t="shared" ref="E41:X41" si="18">IF(E37&lt;0,1,2)</f>
        <v>1</v>
      </c>
      <c r="F41" s="1301">
        <f t="shared" si="18"/>
        <v>1</v>
      </c>
      <c r="G41" s="1301">
        <f t="shared" si="18"/>
        <v>1</v>
      </c>
      <c r="H41" s="1301">
        <f t="shared" si="18"/>
        <v>2</v>
      </c>
      <c r="I41" s="1301">
        <f t="shared" si="18"/>
        <v>2</v>
      </c>
      <c r="J41" s="1301">
        <f t="shared" si="18"/>
        <v>2</v>
      </c>
      <c r="K41" s="1301">
        <f t="shared" si="18"/>
        <v>2</v>
      </c>
      <c r="L41" s="1301">
        <f t="shared" si="18"/>
        <v>2</v>
      </c>
      <c r="M41" s="1301">
        <f t="shared" si="18"/>
        <v>2</v>
      </c>
      <c r="N41" s="1301">
        <f t="shared" si="18"/>
        <v>2</v>
      </c>
      <c r="O41" s="1301">
        <f t="shared" si="18"/>
        <v>2</v>
      </c>
      <c r="P41" s="1301">
        <f t="shared" si="18"/>
        <v>2</v>
      </c>
      <c r="Q41" s="1301">
        <f t="shared" si="18"/>
        <v>2</v>
      </c>
      <c r="R41" s="1301">
        <f t="shared" si="18"/>
        <v>2</v>
      </c>
      <c r="S41" s="1301">
        <f t="shared" si="18"/>
        <v>2</v>
      </c>
      <c r="T41" s="1301">
        <f t="shared" si="18"/>
        <v>2</v>
      </c>
      <c r="U41" s="1301">
        <f t="shared" si="18"/>
        <v>2</v>
      </c>
      <c r="V41" s="1301">
        <f t="shared" si="18"/>
        <v>2</v>
      </c>
      <c r="W41" s="1301">
        <f t="shared" si="18"/>
        <v>2</v>
      </c>
      <c r="X41" s="1301">
        <f t="shared" si="18"/>
        <v>2</v>
      </c>
    </row>
  </sheetData>
  <customSheetViews>
    <customSheetView guid="{F9015B81-4D5E-47E3-BFA8-A54438E9D1FF}" showGridLines="0" topLeftCell="N2">
      <selection activeCell="E4" sqref="E4:X4"/>
      <pageMargins left="0.7" right="0.7" top="0.78740157499999996" bottom="0.78740157499999996" header="0.3" footer="0.3"/>
      <pageSetup paperSize="9" orientation="portrait" r:id="rId1"/>
    </customSheetView>
  </customSheetViews>
  <mergeCells count="2">
    <mergeCell ref="B2:B18"/>
    <mergeCell ref="B23:B39"/>
  </mergeCells>
  <hyperlinks>
    <hyperlink ref="A1" location="MENU!A1" display="MENU" xr:uid="{7411602B-97D4-4592-8E90-537143565A08}"/>
  </hyperlinks>
  <pageMargins left="0.7" right="0.7" top="0.78740157499999996" bottom="0.78740157499999996" header="0.3" footer="0.3"/>
  <pageSetup paperSize="9" orientation="portrait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0B931-53BB-483F-8C14-0341F060BA43}">
  <sheetPr>
    <tabColor rgb="FF66CCFF"/>
  </sheetPr>
  <dimension ref="A1:E25"/>
  <sheetViews>
    <sheetView showGridLines="0" workbookViewId="0"/>
  </sheetViews>
  <sheetFormatPr defaultRowHeight="14.25"/>
  <cols>
    <col min="3" max="4" width="18.44140625" customWidth="1"/>
    <col min="5" max="5" width="16.33203125" bestFit="1" customWidth="1"/>
    <col min="6" max="6" width="12.33203125" bestFit="1" customWidth="1"/>
  </cols>
  <sheetData>
    <row r="1" spans="1:5" ht="21.75" customHeight="1">
      <c r="A1" s="107" t="s">
        <v>1</v>
      </c>
      <c r="B1" s="1471" t="s">
        <v>1129</v>
      </c>
      <c r="C1" s="1471"/>
      <c r="D1" s="1471"/>
      <c r="E1" s="1471"/>
    </row>
    <row r="2" spans="1:5" ht="15" thickBot="1"/>
    <row r="3" spans="1:5">
      <c r="A3" s="737"/>
      <c r="B3" s="1472" t="s">
        <v>1123</v>
      </c>
      <c r="C3" s="1473"/>
      <c r="D3" s="1473"/>
      <c r="E3" s="1474"/>
    </row>
    <row r="4" spans="1:5">
      <c r="B4" s="1378"/>
      <c r="C4" s="1379">
        <v>0</v>
      </c>
      <c r="D4" s="1379">
        <v>0.15</v>
      </c>
      <c r="E4" s="1380">
        <v>-0.15</v>
      </c>
    </row>
    <row r="5" spans="1:5" ht="15" thickBot="1">
      <c r="A5" s="737"/>
      <c r="B5" s="1381" t="s">
        <v>151</v>
      </c>
      <c r="C5" s="1382">
        <f>'Vývoj CF'!$Y$15</f>
        <v>422558371.086927</v>
      </c>
      <c r="D5" s="1383">
        <v>1317429286</v>
      </c>
      <c r="E5" s="1384">
        <f>-520927702</f>
        <v>-520927702</v>
      </c>
    </row>
    <row r="6" spans="1:5" ht="15" thickBot="1">
      <c r="B6" s="737"/>
      <c r="C6" s="737"/>
      <c r="D6" s="737"/>
      <c r="E6" s="737"/>
    </row>
    <row r="7" spans="1:5">
      <c r="A7" s="737"/>
      <c r="B7" s="1472" t="s">
        <v>1124</v>
      </c>
      <c r="C7" s="1473"/>
      <c r="D7" s="1473"/>
      <c r="E7" s="1474"/>
    </row>
    <row r="8" spans="1:5">
      <c r="A8" s="737"/>
      <c r="B8" s="1378"/>
      <c r="C8" s="1379">
        <v>0</v>
      </c>
      <c r="D8" s="1379">
        <v>0.05</v>
      </c>
      <c r="E8" s="1380">
        <v>-0.05</v>
      </c>
    </row>
    <row r="9" spans="1:5" ht="15" thickBot="1">
      <c r="A9" s="737"/>
      <c r="B9" s="1381" t="s">
        <v>151</v>
      </c>
      <c r="C9" s="1385">
        <f>'Vývoj CF'!$Y$15</f>
        <v>422558371.086927</v>
      </c>
      <c r="D9" s="1386">
        <f t="dataTable" ref="D9:E9" dt2D="0" dtr="1" r1="C8" ca="1"/>
        <v>208157540.1857087</v>
      </c>
      <c r="E9" s="1387">
        <v>796185376.18971753</v>
      </c>
    </row>
    <row r="10" spans="1:5" ht="15" thickBot="1">
      <c r="A10" s="737"/>
      <c r="B10" s="737"/>
      <c r="C10" s="737"/>
      <c r="D10" s="737"/>
      <c r="E10" s="737"/>
    </row>
    <row r="11" spans="1:5">
      <c r="B11" s="1472" t="s">
        <v>1125</v>
      </c>
      <c r="C11" s="1473"/>
      <c r="D11" s="1473"/>
      <c r="E11" s="1474"/>
    </row>
    <row r="12" spans="1:5">
      <c r="B12" s="1378"/>
      <c r="C12" s="1379">
        <v>0</v>
      </c>
      <c r="D12" s="1379">
        <v>0.05</v>
      </c>
      <c r="E12" s="1380">
        <v>-0.05</v>
      </c>
    </row>
    <row r="13" spans="1:5" ht="15" thickBot="1">
      <c r="B13" s="1381" t="s">
        <v>151</v>
      </c>
      <c r="C13" s="1382">
        <f>'Vývoj CF'!$Y$15</f>
        <v>422558371.086927</v>
      </c>
      <c r="D13" s="1386">
        <f t="dataTable" ref="D13:E13" dt2D="0" dtr="1" r1="C12"/>
        <v>383182994.10695398</v>
      </c>
      <c r="E13" s="1387">
        <v>461933748.06690007</v>
      </c>
    </row>
    <row r="14" spans="1:5" ht="15" thickBot="1">
      <c r="B14" s="737"/>
      <c r="C14" s="737"/>
      <c r="D14" s="737"/>
      <c r="E14" s="737"/>
    </row>
    <row r="15" spans="1:5">
      <c r="B15" s="1472" t="s">
        <v>1126</v>
      </c>
      <c r="C15" s="1473"/>
      <c r="D15" s="1473"/>
      <c r="E15" s="1474"/>
    </row>
    <row r="16" spans="1:5">
      <c r="B16" s="1378"/>
      <c r="C16" s="1379">
        <v>0</v>
      </c>
      <c r="D16" s="1379">
        <v>0.15</v>
      </c>
      <c r="E16" s="1380">
        <v>-0.15</v>
      </c>
    </row>
    <row r="17" spans="2:5" ht="15" thickBot="1">
      <c r="B17" s="1381" t="s">
        <v>151</v>
      </c>
      <c r="C17" s="1382">
        <f>'Vývoj CF'!$Y$15</f>
        <v>422558371.086927</v>
      </c>
      <c r="D17" s="1386">
        <v>299711262</v>
      </c>
      <c r="E17" s="1387">
        <v>545405480</v>
      </c>
    </row>
    <row r="18" spans="2:5" ht="15" thickBot="1">
      <c r="B18" s="737"/>
      <c r="C18" s="737"/>
      <c r="D18" s="737"/>
      <c r="E18" s="737"/>
    </row>
    <row r="19" spans="2:5">
      <c r="B19" s="1472" t="s">
        <v>1127</v>
      </c>
      <c r="C19" s="1473"/>
      <c r="D19" s="1473"/>
      <c r="E19" s="1474"/>
    </row>
    <row r="20" spans="2:5">
      <c r="B20" s="1378"/>
      <c r="C20" s="1379">
        <v>0</v>
      </c>
      <c r="D20" s="1379">
        <v>0.15</v>
      </c>
      <c r="E20" s="1380">
        <v>-0.15</v>
      </c>
    </row>
    <row r="21" spans="2:5" ht="15" thickBot="1">
      <c r="B21" s="1381" t="s">
        <v>151</v>
      </c>
      <c r="C21" s="1382">
        <f>'Vývoj CF'!$Y$15</f>
        <v>422558371.086927</v>
      </c>
      <c r="D21" s="1386">
        <v>-271268209</v>
      </c>
      <c r="E21" s="1387">
        <v>1099343059</v>
      </c>
    </row>
    <row r="22" spans="2:5">
      <c r="E22" s="1261"/>
    </row>
    <row r="23" spans="2:5">
      <c r="B23" s="1185"/>
      <c r="C23" s="1185"/>
      <c r="D23" s="1394"/>
      <c r="E23" s="1395"/>
    </row>
    <row r="24" spans="2:5">
      <c r="B24" s="737"/>
      <c r="C24" s="201"/>
      <c r="D24" s="201"/>
      <c r="E24" s="201"/>
    </row>
    <row r="25" spans="2:5">
      <c r="B25" s="737"/>
      <c r="C25" s="737"/>
      <c r="D25" s="737"/>
      <c r="E25" s="737"/>
    </row>
  </sheetData>
  <customSheetViews>
    <customSheetView guid="{F9015B81-4D5E-47E3-BFA8-A54438E9D1FF}" showGridLines="0" topLeftCell="A4">
      <selection activeCell="G16" sqref="G16"/>
      <pageMargins left="0.7" right="0.7" top="0.78740157499999996" bottom="0.78740157499999996" header="0.3" footer="0.3"/>
    </customSheetView>
  </customSheetViews>
  <mergeCells count="6">
    <mergeCell ref="B1:E1"/>
    <mergeCell ref="B11:E11"/>
    <mergeCell ref="B15:E15"/>
    <mergeCell ref="B19:E19"/>
    <mergeCell ref="B3:E3"/>
    <mergeCell ref="B7:E7"/>
  </mergeCells>
  <hyperlinks>
    <hyperlink ref="A1" location="MENU!A1" display="MENU" xr:uid="{07C5E421-62CC-4645-8D54-940E93A6B3B7}"/>
  </hyperlinks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E98D6-FF6E-4C4D-9E25-5146BF9E9B67}">
  <sheetPr>
    <tabColor rgb="FF66CCFF"/>
  </sheetPr>
  <dimension ref="B1:V4"/>
  <sheetViews>
    <sheetView showGridLines="0" workbookViewId="0">
      <selection activeCell="C9" sqref="C9"/>
    </sheetView>
  </sheetViews>
  <sheetFormatPr defaultRowHeight="14.25"/>
  <sheetData>
    <row r="1" spans="2:22" ht="24" customHeight="1" thickBot="1">
      <c r="B1" s="737"/>
      <c r="C1" s="737"/>
      <c r="D1" s="737"/>
      <c r="E1" s="737"/>
      <c r="F1" s="737"/>
      <c r="G1" s="737"/>
      <c r="H1" s="737"/>
      <c r="I1" s="737"/>
      <c r="J1" s="737"/>
      <c r="K1" s="737"/>
      <c r="L1" s="737"/>
      <c r="M1" s="737"/>
      <c r="N1" s="737"/>
      <c r="O1" s="737"/>
      <c r="P1" s="737"/>
      <c r="Q1" s="737"/>
      <c r="R1" s="737"/>
      <c r="S1" s="737"/>
      <c r="T1" s="737"/>
      <c r="U1" s="737"/>
      <c r="V1" s="737"/>
    </row>
    <row r="2" spans="2:22">
      <c r="B2" s="1346" t="s">
        <v>233</v>
      </c>
      <c r="C2" s="1347"/>
      <c r="D2" s="1347"/>
      <c r="E2" s="1347"/>
      <c r="F2" s="1347"/>
      <c r="G2" s="1347"/>
      <c r="H2" s="1347"/>
      <c r="I2" s="1347"/>
      <c r="J2" s="1347"/>
      <c r="K2" s="1347"/>
      <c r="L2" s="1347"/>
      <c r="M2" s="1347"/>
      <c r="N2" s="1347"/>
      <c r="O2" s="1347"/>
      <c r="P2" s="1347"/>
      <c r="Q2" s="1347"/>
      <c r="R2" s="1347"/>
      <c r="S2" s="1347"/>
      <c r="T2" s="1347"/>
      <c r="U2" s="1347"/>
      <c r="V2" s="1348"/>
    </row>
    <row r="3" spans="2:22">
      <c r="B3" s="129" t="s">
        <v>83</v>
      </c>
      <c r="C3" s="52">
        <v>2023</v>
      </c>
      <c r="D3" s="52">
        <v>2024</v>
      </c>
      <c r="E3" s="52">
        <v>2025</v>
      </c>
      <c r="F3" s="52">
        <v>2026</v>
      </c>
      <c r="G3" s="52">
        <v>2027</v>
      </c>
      <c r="H3" s="52">
        <v>2028</v>
      </c>
      <c r="I3" s="52">
        <v>2029</v>
      </c>
      <c r="J3" s="52">
        <v>2030</v>
      </c>
      <c r="K3" s="52">
        <v>2031</v>
      </c>
      <c r="L3" s="52">
        <v>2032</v>
      </c>
      <c r="M3" s="52">
        <v>2033</v>
      </c>
      <c r="N3" s="52">
        <v>2034</v>
      </c>
      <c r="O3" s="52">
        <v>2035</v>
      </c>
      <c r="P3" s="52">
        <v>2036</v>
      </c>
      <c r="Q3" s="52">
        <v>2037</v>
      </c>
      <c r="R3" s="52">
        <v>2038</v>
      </c>
      <c r="S3" s="52">
        <v>2039</v>
      </c>
      <c r="T3" s="52">
        <v>2040</v>
      </c>
      <c r="U3" s="52">
        <v>2041</v>
      </c>
      <c r="V3" s="257">
        <v>2042</v>
      </c>
    </row>
    <row r="4" spans="2:22" ht="15" thickBot="1">
      <c r="B4" s="131"/>
      <c r="C4" s="132">
        <v>21</v>
      </c>
      <c r="D4" s="132">
        <v>21</v>
      </c>
      <c r="E4" s="132">
        <v>21</v>
      </c>
      <c r="F4" s="132">
        <v>21</v>
      </c>
      <c r="G4" s="132">
        <v>21</v>
      </c>
      <c r="H4" s="132">
        <v>21</v>
      </c>
      <c r="I4" s="132">
        <v>21</v>
      </c>
      <c r="J4" s="132">
        <v>21</v>
      </c>
      <c r="K4" s="132">
        <v>21</v>
      </c>
      <c r="L4" s="132">
        <v>21</v>
      </c>
      <c r="M4" s="132">
        <v>21</v>
      </c>
      <c r="N4" s="132">
        <v>21</v>
      </c>
      <c r="O4" s="132">
        <v>21</v>
      </c>
      <c r="P4" s="132">
        <v>21</v>
      </c>
      <c r="Q4" s="132">
        <v>21</v>
      </c>
      <c r="R4" s="132">
        <v>21</v>
      </c>
      <c r="S4" s="132">
        <v>21</v>
      </c>
      <c r="T4" s="132">
        <v>21</v>
      </c>
      <c r="U4" s="132">
        <v>21</v>
      </c>
      <c r="V4" s="137">
        <v>21</v>
      </c>
    </row>
  </sheetData>
  <customSheetViews>
    <customSheetView guid="{F9015B81-4D5E-47E3-BFA8-A54438E9D1FF}" showGridLines="0">
      <selection activeCell="C9" sqref="C9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89CFA-3F5F-4674-BF25-1DE7A6CC6248}">
  <sheetPr>
    <tabColor rgb="FF66CCFF"/>
  </sheetPr>
  <dimension ref="A1:N5"/>
  <sheetViews>
    <sheetView showGridLines="0" zoomScaleNormal="100" workbookViewId="0">
      <selection activeCell="A2" sqref="A2"/>
    </sheetView>
  </sheetViews>
  <sheetFormatPr defaultColWidth="8.77734375" defaultRowHeight="14.25"/>
  <cols>
    <col min="1" max="16384" width="8.77734375" style="737"/>
  </cols>
  <sheetData>
    <row r="1" spans="1:14" ht="21.75" customHeight="1">
      <c r="A1" s="107" t="s">
        <v>1</v>
      </c>
      <c r="B1" s="1471" t="s">
        <v>1130</v>
      </c>
      <c r="C1" s="1471"/>
      <c r="D1" s="1471"/>
      <c r="E1" s="1471"/>
      <c r="F1" s="1471"/>
      <c r="G1" s="1471"/>
      <c r="H1" s="1388"/>
      <c r="I1" s="1471" t="s">
        <v>1131</v>
      </c>
      <c r="J1" s="1471"/>
      <c r="K1" s="1471"/>
      <c r="L1" s="1471"/>
      <c r="M1" s="1471"/>
      <c r="N1" s="1471"/>
    </row>
    <row r="5" spans="1:14">
      <c r="B5" s="1185"/>
    </row>
  </sheetData>
  <customSheetViews>
    <customSheetView guid="{F9015B81-4D5E-47E3-BFA8-A54438E9D1FF}" showGridLines="0">
      <pageMargins left="0.7" right="0.7" top="0.78740157499999996" bottom="0.78740157499999996" header="0.3" footer="0.3"/>
    </customSheetView>
  </customSheetViews>
  <mergeCells count="2">
    <mergeCell ref="B1:G1"/>
    <mergeCell ref="I1:N1"/>
  </mergeCells>
  <hyperlinks>
    <hyperlink ref="A1" location="MENU!A1" display="MENU" xr:uid="{06F64C8C-68A8-4AF9-ABA7-87A890135A31}"/>
  </hyperlinks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F68BC-821E-4ED2-9657-16BB280E7279}">
  <sheetPr>
    <tabColor theme="3"/>
  </sheetPr>
  <dimension ref="A1:Y24"/>
  <sheetViews>
    <sheetView showGridLines="0" zoomScale="90" zoomScaleNormal="90" workbookViewId="0">
      <selection activeCell="D18" sqref="D18"/>
    </sheetView>
  </sheetViews>
  <sheetFormatPr defaultRowHeight="14.25"/>
  <cols>
    <col min="2" max="2" width="21.77734375" customWidth="1"/>
    <col min="3" max="3" width="18.77734375" customWidth="1"/>
    <col min="4" max="4" width="18" customWidth="1"/>
    <col min="5" max="5" width="15.77734375" customWidth="1"/>
    <col min="6" max="6" width="11.109375" bestFit="1" customWidth="1"/>
  </cols>
  <sheetData>
    <row r="1" spans="1:25" ht="22.5" customHeight="1" thickBot="1">
      <c r="A1" s="107" t="s">
        <v>1</v>
      </c>
      <c r="B1" s="737"/>
      <c r="C1" s="737"/>
      <c r="D1" s="737"/>
      <c r="E1" s="737"/>
      <c r="F1" s="737"/>
      <c r="G1" s="737"/>
      <c r="H1" s="737"/>
      <c r="I1" s="737"/>
      <c r="J1" s="737"/>
      <c r="K1" s="737"/>
      <c r="L1" s="737"/>
      <c r="M1" s="737"/>
      <c r="N1" s="737"/>
      <c r="O1" s="737"/>
      <c r="P1" s="737"/>
      <c r="Q1" s="737"/>
      <c r="R1" s="737"/>
      <c r="S1" s="737"/>
      <c r="T1" s="737"/>
      <c r="U1" s="737"/>
      <c r="V1" s="737"/>
      <c r="W1" s="737"/>
      <c r="X1" s="737"/>
      <c r="Y1" s="737"/>
    </row>
    <row r="2" spans="1:25" ht="23.25" customHeight="1" thickBot="1">
      <c r="A2" s="737"/>
      <c r="B2" s="1464" t="s">
        <v>234</v>
      </c>
      <c r="C2" s="1475"/>
      <c r="D2" s="1475"/>
      <c r="E2" s="1449"/>
      <c r="F2" s="737"/>
      <c r="G2" s="737"/>
      <c r="H2" s="737"/>
      <c r="I2" s="737"/>
      <c r="J2" s="737"/>
      <c r="K2" s="737"/>
      <c r="L2" s="737"/>
      <c r="M2" s="737"/>
      <c r="N2" s="737"/>
      <c r="O2" s="737"/>
      <c r="P2" s="737"/>
      <c r="Q2" s="737"/>
      <c r="R2" s="737"/>
      <c r="S2" s="737"/>
      <c r="T2" s="737"/>
      <c r="U2" s="737"/>
      <c r="V2" s="737"/>
      <c r="W2" s="737"/>
      <c r="X2" s="737"/>
      <c r="Y2" s="737"/>
    </row>
    <row r="3" spans="1:25">
      <c r="A3" s="737"/>
      <c r="B3" s="952" t="s">
        <v>235</v>
      </c>
      <c r="C3" s="953" t="s">
        <v>236</v>
      </c>
      <c r="D3" s="953" t="s">
        <v>237</v>
      </c>
      <c r="E3" s="954" t="s">
        <v>238</v>
      </c>
      <c r="F3" s="737"/>
      <c r="G3" s="737"/>
      <c r="H3" s="737"/>
      <c r="I3" s="737"/>
      <c r="J3" s="737"/>
      <c r="K3" s="737"/>
      <c r="L3" s="737"/>
      <c r="M3" s="737"/>
      <c r="N3" s="737"/>
      <c r="O3" s="737"/>
      <c r="P3" s="737"/>
      <c r="Q3" s="737"/>
      <c r="R3" s="737"/>
      <c r="S3" s="737"/>
      <c r="T3" s="737"/>
      <c r="U3" s="737"/>
      <c r="V3" s="737"/>
      <c r="W3" s="737"/>
      <c r="X3" s="737"/>
      <c r="Y3" s="737"/>
    </row>
    <row r="4" spans="1:25">
      <c r="A4" s="737"/>
      <c r="B4" s="287" t="s">
        <v>239</v>
      </c>
      <c r="C4" s="185"/>
      <c r="D4" s="185"/>
      <c r="E4" s="955"/>
      <c r="F4" s="737"/>
      <c r="G4" s="737"/>
      <c r="H4" s="737"/>
      <c r="I4" s="737"/>
      <c r="J4" s="737"/>
      <c r="K4" s="737"/>
      <c r="L4" s="737"/>
      <c r="M4" s="737"/>
      <c r="N4" s="737"/>
      <c r="O4" s="737"/>
      <c r="P4" s="737"/>
      <c r="Q4" s="737"/>
      <c r="R4" s="737"/>
      <c r="S4" s="737"/>
      <c r="T4" s="737"/>
      <c r="U4" s="737"/>
      <c r="V4" s="737"/>
      <c r="W4" s="737"/>
      <c r="X4" s="737"/>
      <c r="Y4" s="737"/>
    </row>
    <row r="5" spans="1:25">
      <c r="A5" s="737"/>
      <c r="B5" s="288" t="s">
        <v>240</v>
      </c>
      <c r="C5" s="813">
        <f>'NS + DHM'!B23+SUM('NS + DHM'!G2:G8)</f>
        <v>84570000</v>
      </c>
      <c r="D5" s="813">
        <f t="shared" ref="D5:D9" si="0">E5-C5</f>
        <v>0</v>
      </c>
      <c r="E5" s="956">
        <f>C5</f>
        <v>84570000</v>
      </c>
      <c r="F5" s="737"/>
      <c r="G5" s="737"/>
      <c r="H5" s="737"/>
      <c r="I5" s="737"/>
      <c r="J5" s="737"/>
      <c r="K5" s="737"/>
      <c r="L5" s="737"/>
      <c r="M5" s="737"/>
      <c r="N5" s="737"/>
      <c r="O5" s="737"/>
      <c r="P5" s="737"/>
      <c r="Q5" s="737"/>
      <c r="R5" s="737"/>
      <c r="S5" s="737"/>
      <c r="T5" s="737"/>
      <c r="U5" s="737"/>
      <c r="V5" s="737"/>
      <c r="W5" s="737"/>
      <c r="X5" s="737"/>
      <c r="Y5" s="737"/>
    </row>
    <row r="6" spans="1:25">
      <c r="A6" s="737"/>
      <c r="B6" s="288" t="s">
        <v>241</v>
      </c>
      <c r="C6" s="813">
        <f>-'NS + DHM'!J9-'NS + DHM'!B24*5</f>
        <v>-18516333.333333332</v>
      </c>
      <c r="D6" s="813"/>
      <c r="E6" s="956">
        <f>-'NS + DHM'!J9-'NS + DHM'!J9-'NS + DHM'!B24*6</f>
        <v>-23932666.666666664</v>
      </c>
      <c r="F6" s="737"/>
      <c r="G6" s="737"/>
      <c r="H6" s="737"/>
      <c r="I6" s="737"/>
      <c r="J6" s="737"/>
      <c r="K6" s="737"/>
      <c r="L6" s="737"/>
      <c r="M6" s="737"/>
      <c r="N6" s="737"/>
      <c r="O6" s="737"/>
      <c r="P6" s="737"/>
      <c r="Q6" s="737"/>
      <c r="R6" s="737"/>
      <c r="S6" s="737"/>
      <c r="T6" s="737"/>
      <c r="U6" s="737"/>
      <c r="V6" s="737"/>
      <c r="W6" s="737"/>
      <c r="X6" s="737"/>
      <c r="Y6" s="737"/>
    </row>
    <row r="7" spans="1:25">
      <c r="A7" s="737"/>
      <c r="B7" s="287" t="s">
        <v>242</v>
      </c>
      <c r="C7" s="185"/>
      <c r="D7" s="185"/>
      <c r="E7" s="955"/>
      <c r="F7" s="165"/>
      <c r="G7" s="165"/>
      <c r="H7" s="165"/>
      <c r="I7" s="165"/>
      <c r="J7" s="165"/>
      <c r="K7" s="165"/>
      <c r="L7" s="165"/>
      <c r="M7" s="165"/>
      <c r="N7" s="165"/>
      <c r="O7" s="165"/>
      <c r="P7" s="165"/>
      <c r="Q7" s="165"/>
      <c r="R7" s="165"/>
      <c r="S7" s="165"/>
      <c r="T7" s="165"/>
      <c r="U7" s="165"/>
      <c r="V7" s="165"/>
      <c r="W7" s="165"/>
      <c r="X7" s="737"/>
      <c r="Y7" s="737"/>
    </row>
    <row r="8" spans="1:25" ht="15">
      <c r="A8" s="737"/>
      <c r="B8" s="288" t="s">
        <v>243</v>
      </c>
      <c r="C8" s="813">
        <f>Sklad!P5*PVN!F35</f>
        <v>75150624</v>
      </c>
      <c r="D8" s="813">
        <f t="shared" si="0"/>
        <v>-72184152</v>
      </c>
      <c r="E8" s="956">
        <f>6*PVN!F35</f>
        <v>2966472</v>
      </c>
      <c r="F8" s="167"/>
      <c r="G8" s="168"/>
      <c r="H8" s="168"/>
      <c r="I8" s="168"/>
      <c r="J8" s="168"/>
      <c r="K8" s="168"/>
      <c r="L8" s="168"/>
      <c r="M8" s="168"/>
      <c r="N8" s="168"/>
      <c r="O8" s="168"/>
      <c r="P8" s="168"/>
      <c r="Q8" s="168"/>
      <c r="R8" s="168"/>
      <c r="S8" s="168"/>
      <c r="T8" s="168"/>
      <c r="U8" s="168"/>
      <c r="V8" s="166"/>
      <c r="W8" s="166"/>
      <c r="X8" s="54"/>
      <c r="Y8" s="737"/>
    </row>
    <row r="9" spans="1:25">
      <c r="A9" s="737"/>
      <c r="B9" s="288" t="s">
        <v>244</v>
      </c>
      <c r="C9" s="813">
        <f>Sklad!O8*PVN!F35</f>
        <v>40541784</v>
      </c>
      <c r="D9" s="813">
        <f t="shared" si="0"/>
        <v>-32136780</v>
      </c>
      <c r="E9" s="956">
        <f>Sklad!AO4*PVN!F35</f>
        <v>8405004</v>
      </c>
      <c r="F9" s="166"/>
      <c r="G9" s="169"/>
      <c r="H9" s="170"/>
      <c r="I9" s="170"/>
      <c r="J9" s="170"/>
      <c r="K9" s="167"/>
      <c r="L9" s="170"/>
      <c r="M9" s="170"/>
      <c r="N9" s="167"/>
      <c r="O9" s="170"/>
      <c r="P9" s="170"/>
      <c r="Q9" s="170"/>
      <c r="R9" s="171"/>
      <c r="S9" s="171"/>
      <c r="T9" s="171"/>
      <c r="U9" s="171"/>
      <c r="V9" s="166"/>
      <c r="W9" s="166"/>
      <c r="X9" s="54"/>
      <c r="Y9" s="737"/>
    </row>
    <row r="10" spans="1:25">
      <c r="A10" s="737"/>
      <c r="B10" s="288" t="s">
        <v>245</v>
      </c>
      <c r="C10" s="813">
        <f>'PL. Příjmů'!D20</f>
        <v>49754520</v>
      </c>
      <c r="D10" s="813">
        <f>E10-C10</f>
        <v>66294480</v>
      </c>
      <c r="E10" s="956">
        <f>'PL. Příjmů'!U33</f>
        <v>116049000</v>
      </c>
      <c r="F10" s="166"/>
      <c r="G10" s="166"/>
      <c r="H10" s="166"/>
      <c r="I10" s="166"/>
      <c r="J10" s="166"/>
      <c r="K10" s="166"/>
      <c r="L10" s="166"/>
      <c r="M10" s="166"/>
      <c r="N10" s="166"/>
      <c r="O10" s="166"/>
      <c r="P10" s="166"/>
      <c r="Q10" s="166"/>
      <c r="R10" s="166"/>
      <c r="S10" s="166"/>
      <c r="T10" s="166"/>
      <c r="U10" s="166"/>
      <c r="V10" s="166"/>
      <c r="W10" s="166"/>
      <c r="X10" s="54"/>
      <c r="Y10" s="737"/>
    </row>
    <row r="11" spans="1:25" ht="15" thickBot="1">
      <c r="A11" s="737"/>
      <c r="B11" s="807" t="s">
        <v>246</v>
      </c>
      <c r="C11" s="813">
        <v>22690008</v>
      </c>
      <c r="D11" s="813">
        <f>E11-C11</f>
        <v>589202323.4701668</v>
      </c>
      <c r="E11" s="956">
        <f>CashFlow!R22</f>
        <v>611892331.4701668</v>
      </c>
      <c r="F11" s="166"/>
      <c r="G11" s="169"/>
      <c r="H11" s="170"/>
      <c r="I11" s="170"/>
      <c r="J11" s="170"/>
      <c r="K11" s="170"/>
      <c r="L11" s="170"/>
      <c r="M11" s="170"/>
      <c r="N11" s="170"/>
      <c r="O11" s="170"/>
      <c r="P11" s="170"/>
      <c r="Q11" s="170"/>
      <c r="R11" s="171"/>
      <c r="S11" s="171"/>
      <c r="T11" s="171"/>
      <c r="U11" s="172"/>
      <c r="V11" s="166"/>
      <c r="W11" s="166"/>
      <c r="X11" s="54"/>
      <c r="Y11" s="737"/>
    </row>
    <row r="12" spans="1:25" ht="15" thickBot="1">
      <c r="A12" s="737"/>
      <c r="B12" s="808" t="s">
        <v>247</v>
      </c>
      <c r="C12" s="804">
        <f>SUM(C5:C11)</f>
        <v>254190602.66666669</v>
      </c>
      <c r="D12" s="805">
        <f>SUM(D5:D11)</f>
        <v>551175871.4701668</v>
      </c>
      <c r="E12" s="806">
        <f>SUM(E5:E11)</f>
        <v>799950140.80350018</v>
      </c>
      <c r="F12" s="166"/>
      <c r="G12" s="166"/>
      <c r="H12" s="166"/>
      <c r="I12" s="166"/>
      <c r="J12" s="166"/>
      <c r="K12" s="166"/>
      <c r="L12" s="166"/>
      <c r="M12" s="166"/>
      <c r="N12" s="166"/>
      <c r="O12" s="166"/>
      <c r="P12" s="166"/>
      <c r="Q12" s="166"/>
      <c r="R12" s="166"/>
      <c r="S12" s="166"/>
      <c r="T12" s="166"/>
      <c r="U12" s="166"/>
      <c r="V12" s="166"/>
      <c r="W12" s="166"/>
      <c r="X12" s="54"/>
      <c r="Y12" s="737"/>
    </row>
    <row r="13" spans="1:25">
      <c r="A13" s="737"/>
      <c r="B13" s="285" t="s">
        <v>248</v>
      </c>
      <c r="C13" s="186" t="s">
        <v>236</v>
      </c>
      <c r="D13" s="186" t="s">
        <v>237</v>
      </c>
      <c r="E13" s="286" t="s">
        <v>238</v>
      </c>
      <c r="F13" s="166"/>
      <c r="G13" s="173"/>
      <c r="H13" s="170"/>
      <c r="I13" s="170"/>
      <c r="J13" s="170"/>
      <c r="K13" s="170"/>
      <c r="L13" s="170"/>
      <c r="M13" s="170"/>
      <c r="N13" s="170"/>
      <c r="O13" s="170"/>
      <c r="P13" s="170"/>
      <c r="Q13" s="170"/>
      <c r="R13" s="171"/>
      <c r="S13" s="171"/>
      <c r="T13" s="171"/>
      <c r="U13" s="171"/>
      <c r="V13" s="166"/>
      <c r="W13" s="166"/>
      <c r="X13" s="54"/>
      <c r="Y13" s="737"/>
    </row>
    <row r="14" spans="1:25">
      <c r="A14" s="737"/>
      <c r="B14" s="287" t="s">
        <v>249</v>
      </c>
      <c r="C14" s="185"/>
      <c r="D14" s="185"/>
      <c r="E14" s="955"/>
      <c r="F14" s="862"/>
      <c r="G14" s="166"/>
      <c r="H14" s="166"/>
      <c r="I14" s="166"/>
      <c r="J14" s="166"/>
      <c r="K14" s="166"/>
      <c r="L14" s="166"/>
      <c r="M14" s="166"/>
      <c r="N14" s="166"/>
      <c r="O14" s="166"/>
      <c r="P14" s="166"/>
      <c r="Q14" s="166"/>
      <c r="R14" s="166"/>
      <c r="S14" s="166"/>
      <c r="T14" s="166"/>
      <c r="U14" s="166"/>
      <c r="V14" s="166"/>
      <c r="W14" s="166"/>
      <c r="X14" s="54"/>
      <c r="Y14" s="737"/>
    </row>
    <row r="15" spans="1:25">
      <c r="A15" s="737"/>
      <c r="B15" s="288" t="s">
        <v>250</v>
      </c>
      <c r="C15" s="801">
        <v>32897612</v>
      </c>
      <c r="D15" s="813">
        <f>E15-C15</f>
        <v>0</v>
      </c>
      <c r="E15" s="956">
        <f>C15</f>
        <v>32897612</v>
      </c>
      <c r="F15" s="862"/>
      <c r="G15" s="173"/>
      <c r="H15" s="170"/>
      <c r="I15" s="170"/>
      <c r="J15" s="170"/>
      <c r="K15" s="170"/>
      <c r="L15" s="170"/>
      <c r="M15" s="170"/>
      <c r="N15" s="170"/>
      <c r="O15" s="170"/>
      <c r="P15" s="170"/>
      <c r="Q15" s="170"/>
      <c r="R15" s="171"/>
      <c r="S15" s="171"/>
      <c r="T15" s="171"/>
      <c r="U15" s="171"/>
      <c r="V15" s="166"/>
      <c r="W15" s="166"/>
      <c r="X15" s="54"/>
      <c r="Y15" s="737"/>
    </row>
    <row r="16" spans="1:25">
      <c r="A16" s="737"/>
      <c r="B16" s="288" t="s">
        <v>251</v>
      </c>
      <c r="C16" s="801">
        <f>VK!G16</f>
        <v>139631932.85473228</v>
      </c>
      <c r="D16" s="813">
        <f>E16-C16</f>
        <v>278596143.10743439</v>
      </c>
      <c r="E16" s="956">
        <f>VZZ!U9</f>
        <v>418228075.96216667</v>
      </c>
      <c r="F16" s="166"/>
      <c r="G16" s="166"/>
      <c r="H16" s="876"/>
      <c r="I16" s="166"/>
      <c r="J16" s="166"/>
      <c r="K16" s="166"/>
      <c r="L16" s="166"/>
      <c r="M16" s="166"/>
      <c r="N16" s="166"/>
      <c r="O16" s="166"/>
      <c r="P16" s="166"/>
      <c r="Q16" s="166"/>
      <c r="R16" s="166"/>
      <c r="S16" s="166"/>
      <c r="T16" s="166"/>
      <c r="U16" s="166"/>
      <c r="V16" s="166"/>
      <c r="W16" s="166"/>
      <c r="X16" s="54"/>
      <c r="Y16" s="737"/>
    </row>
    <row r="17" spans="2:25">
      <c r="B17" s="287" t="s">
        <v>252</v>
      </c>
      <c r="C17" s="185"/>
      <c r="D17" s="185"/>
      <c r="E17" s="955"/>
      <c r="F17" s="166"/>
      <c r="G17" s="166"/>
      <c r="H17" s="166"/>
      <c r="I17" s="166"/>
      <c r="J17" s="166"/>
      <c r="K17" s="166"/>
      <c r="L17" s="166"/>
      <c r="M17" s="166"/>
      <c r="N17" s="166"/>
      <c r="O17" s="166"/>
      <c r="P17" s="166"/>
      <c r="Q17" s="166"/>
      <c r="R17" s="166"/>
      <c r="S17" s="166"/>
      <c r="T17" s="166"/>
      <c r="U17" s="166"/>
      <c r="V17" s="166"/>
      <c r="W17" s="166"/>
      <c r="X17" s="54"/>
      <c r="Y17" s="737"/>
    </row>
    <row r="18" spans="2:25">
      <c r="B18" s="288" t="s">
        <v>253</v>
      </c>
      <c r="C18" s="801">
        <f>'PL. FN'!D3</f>
        <v>6510434.2795000002</v>
      </c>
      <c r="D18" s="813">
        <f>E18-C18</f>
        <v>1169738.7204999998</v>
      </c>
      <c r="E18" s="956">
        <f>'PL. FN'!U3</f>
        <v>7680173</v>
      </c>
      <c r="F18" s="166"/>
      <c r="G18" s="166"/>
      <c r="H18" s="166"/>
      <c r="I18" s="166"/>
      <c r="J18" s="166"/>
      <c r="K18" s="166"/>
      <c r="L18" s="166"/>
      <c r="M18" s="166"/>
      <c r="N18" s="166"/>
      <c r="O18" s="166"/>
      <c r="P18" s="166"/>
      <c r="Q18" s="166"/>
      <c r="R18" s="166"/>
      <c r="S18" s="166"/>
      <c r="T18" s="166"/>
      <c r="U18" s="166"/>
      <c r="V18" s="166"/>
      <c r="W18" s="166"/>
      <c r="X18" s="54"/>
      <c r="Y18" s="737"/>
    </row>
    <row r="19" spans="2:25">
      <c r="B19" s="288" t="s">
        <v>254</v>
      </c>
      <c r="C19" s="801">
        <f>Sklad!P5*PVN!F35</f>
        <v>75150624</v>
      </c>
      <c r="D19" s="813">
        <f>E19-C19</f>
        <v>265993656</v>
      </c>
      <c r="E19" s="956">
        <f>Sklad!A25*PVN!F35</f>
        <v>341144280</v>
      </c>
      <c r="F19" s="862"/>
      <c r="G19" s="166"/>
      <c r="H19" s="166"/>
      <c r="I19" s="166"/>
      <c r="J19" s="166"/>
      <c r="K19" s="166"/>
      <c r="L19" s="166"/>
      <c r="M19" s="166"/>
      <c r="N19" s="166"/>
      <c r="O19" s="166"/>
      <c r="P19" s="166"/>
      <c r="Q19" s="166"/>
      <c r="R19" s="166"/>
      <c r="S19" s="166"/>
      <c r="T19" s="166"/>
      <c r="U19" s="166"/>
      <c r="V19" s="166"/>
      <c r="W19" s="166"/>
      <c r="X19" s="54"/>
      <c r="Y19" s="737"/>
    </row>
    <row r="20" spans="2:25" ht="15" thickBot="1">
      <c r="B20" s="807"/>
      <c r="C20" s="810"/>
      <c r="D20" s="809"/>
      <c r="E20" s="811"/>
      <c r="F20" s="165"/>
      <c r="G20" s="165"/>
      <c r="H20" s="165"/>
      <c r="I20" s="165"/>
      <c r="J20" s="165"/>
      <c r="K20" s="165"/>
      <c r="L20" s="165"/>
      <c r="M20" s="165"/>
      <c r="N20" s="165"/>
      <c r="O20" s="165"/>
      <c r="P20" s="165"/>
      <c r="Q20" s="165"/>
      <c r="R20" s="165"/>
      <c r="S20" s="165"/>
      <c r="T20" s="165"/>
      <c r="U20" s="165"/>
      <c r="V20" s="165"/>
      <c r="W20" s="165"/>
      <c r="X20" s="737"/>
      <c r="Y20" s="737"/>
    </row>
    <row r="21" spans="2:25" ht="15" thickBot="1">
      <c r="B21" s="812" t="s">
        <v>247</v>
      </c>
      <c r="C21" s="805">
        <f>SUM(C15:C20)</f>
        <v>254190603.13423228</v>
      </c>
      <c r="D21" s="805">
        <f t="shared" ref="D21:E21" si="1">SUM(D15:D20)</f>
        <v>545759537.82793438</v>
      </c>
      <c r="E21" s="806">
        <f t="shared" si="1"/>
        <v>799950140.96216667</v>
      </c>
      <c r="F21" s="165"/>
      <c r="G21" s="165"/>
      <c r="H21" s="165"/>
      <c r="I21" s="165"/>
      <c r="J21" s="165"/>
      <c r="K21" s="165"/>
      <c r="L21" s="165"/>
      <c r="M21" s="165"/>
      <c r="N21" s="165"/>
      <c r="O21" s="165"/>
      <c r="P21" s="165"/>
      <c r="Q21" s="165"/>
      <c r="R21" s="165"/>
      <c r="S21" s="165"/>
      <c r="T21" s="165"/>
      <c r="U21" s="165"/>
      <c r="V21" s="165"/>
      <c r="W21" s="165"/>
      <c r="X21" s="737"/>
      <c r="Y21" s="737"/>
    </row>
    <row r="22" spans="2:25">
      <c r="B22" s="737"/>
      <c r="C22" s="737"/>
      <c r="D22" s="737"/>
      <c r="E22" s="165"/>
      <c r="F22" s="165"/>
      <c r="G22" s="165"/>
      <c r="H22" s="165"/>
      <c r="I22" s="165"/>
      <c r="J22" s="165"/>
      <c r="K22" s="165"/>
      <c r="L22" s="165"/>
      <c r="M22" s="165"/>
      <c r="N22" s="165"/>
      <c r="O22" s="165"/>
      <c r="P22" s="165"/>
      <c r="Q22" s="165"/>
      <c r="R22" s="165"/>
      <c r="S22" s="165"/>
      <c r="T22" s="165"/>
      <c r="U22" s="165"/>
      <c r="V22" s="165"/>
      <c r="W22" s="165"/>
      <c r="X22" s="737"/>
      <c r="Y22" s="737"/>
    </row>
    <row r="23" spans="2:25">
      <c r="B23" s="737"/>
      <c r="C23" s="868"/>
      <c r="D23" s="737"/>
      <c r="E23" s="959"/>
      <c r="F23" s="165"/>
      <c r="G23" s="165"/>
      <c r="H23" s="165"/>
      <c r="I23" s="165"/>
      <c r="J23" s="165"/>
      <c r="K23" s="165"/>
      <c r="L23" s="165"/>
      <c r="M23" s="165"/>
      <c r="N23" s="165"/>
      <c r="O23" s="165"/>
      <c r="P23" s="165"/>
      <c r="Q23" s="165"/>
      <c r="R23" s="165"/>
      <c r="S23" s="165"/>
      <c r="T23" s="165"/>
      <c r="U23" s="165"/>
      <c r="V23" s="165"/>
      <c r="W23" s="165"/>
      <c r="X23" s="737"/>
      <c r="Y23" s="737"/>
    </row>
    <row r="24" spans="2:25">
      <c r="B24" s="737"/>
      <c r="C24" s="737"/>
      <c r="D24" s="737"/>
      <c r="E24" s="959"/>
      <c r="F24" s="868"/>
      <c r="G24" s="737"/>
      <c r="H24" s="737"/>
      <c r="I24" s="737"/>
      <c r="J24" s="737"/>
      <c r="K24" s="737"/>
      <c r="L24" s="737"/>
      <c r="M24" s="737"/>
      <c r="N24" s="737"/>
      <c r="O24" s="737"/>
      <c r="P24" s="737"/>
      <c r="Q24" s="737"/>
      <c r="R24" s="737"/>
      <c r="S24" s="737"/>
      <c r="T24" s="737"/>
      <c r="U24" s="737"/>
      <c r="V24" s="737"/>
      <c r="W24" s="737"/>
      <c r="X24" s="737"/>
      <c r="Y24" s="737"/>
    </row>
  </sheetData>
  <customSheetViews>
    <customSheetView guid="{F9015B81-4D5E-47E3-BFA8-A54438E9D1FF}" scale="90" showGridLines="0">
      <selection activeCell="E21" sqref="B2:E21"/>
      <pageMargins left="0.7" right="0.7" top="0.78740157499999996" bottom="0.78740157499999996" header="0.3" footer="0.3"/>
      <pageSetup paperSize="9" orientation="portrait" r:id="rId1"/>
    </customSheetView>
  </customSheetViews>
  <mergeCells count="1">
    <mergeCell ref="B2:E2"/>
  </mergeCells>
  <hyperlinks>
    <hyperlink ref="A1" location="MENU!A1" display="MENU" xr:uid="{DCC5B89C-DC88-4EBB-A139-4F96F509FF89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F4DBE-B4E4-4ECD-8DEA-C156C33C2307}">
  <sheetPr>
    <tabColor theme="3"/>
  </sheetPr>
  <dimension ref="A1:AH60"/>
  <sheetViews>
    <sheetView showGridLines="0" zoomScale="70" zoomScaleNormal="70" workbookViewId="0"/>
  </sheetViews>
  <sheetFormatPr defaultColWidth="8.77734375" defaultRowHeight="14.25" outlineLevelRow="2" outlineLevelCol="1"/>
  <cols>
    <col min="1" max="1" width="8.77734375" style="762"/>
    <col min="2" max="2" width="6.44140625" style="766" customWidth="1"/>
    <col min="3" max="3" width="55.44140625" style="766" customWidth="1"/>
    <col min="4" max="4" width="9.109375" style="767" customWidth="1"/>
    <col min="5" max="7" width="13.21875" style="762" customWidth="1" outlineLevel="1"/>
    <col min="8" max="8" width="13.21875" style="762" customWidth="1"/>
    <col min="9" max="11" width="13.21875" style="762" hidden="1" customWidth="1" outlineLevel="1"/>
    <col min="12" max="12" width="13.21875" style="762" customWidth="1" collapsed="1"/>
    <col min="13" max="15" width="13.21875" style="762" hidden="1" customWidth="1" outlineLevel="1"/>
    <col min="16" max="16" width="13.21875" style="762" customWidth="1" collapsed="1"/>
    <col min="17" max="19" width="13.21875" style="762" hidden="1" customWidth="1" outlineLevel="1"/>
    <col min="20" max="20" width="13.21875" style="762" customWidth="1" collapsed="1"/>
    <col min="21" max="21" width="13.21875" style="762" customWidth="1"/>
    <col min="22" max="27" width="12.109375" style="762" customWidth="1"/>
    <col min="28" max="16384" width="8.77734375" style="762"/>
  </cols>
  <sheetData>
    <row r="1" spans="1:34" ht="22.5" customHeight="1">
      <c r="A1" s="958" t="s">
        <v>1</v>
      </c>
      <c r="B1" s="960"/>
      <c r="C1" s="960"/>
      <c r="D1" s="961"/>
      <c r="E1" s="962"/>
      <c r="F1" s="962"/>
      <c r="G1" s="962"/>
      <c r="H1" s="962"/>
      <c r="I1" s="962"/>
      <c r="J1" s="962"/>
      <c r="K1" s="962"/>
      <c r="L1" s="962"/>
      <c r="M1" s="962"/>
      <c r="N1" s="962"/>
      <c r="O1" s="962"/>
      <c r="P1" s="962"/>
      <c r="Q1" s="962"/>
      <c r="R1" s="962"/>
      <c r="S1" s="962"/>
      <c r="T1" s="962"/>
      <c r="U1" s="962"/>
      <c r="V1" s="962"/>
      <c r="W1" s="962"/>
      <c r="X1" s="962"/>
      <c r="Y1" s="962"/>
      <c r="Z1" s="962"/>
      <c r="AA1" s="962"/>
      <c r="AB1" s="962"/>
      <c r="AC1" s="962"/>
      <c r="AD1" s="962"/>
      <c r="AE1" s="962"/>
      <c r="AF1" s="962"/>
      <c r="AG1" s="962"/>
      <c r="AH1" s="962"/>
    </row>
    <row r="2" spans="1:34" ht="22.5" customHeight="1" thickBot="1">
      <c r="A2" s="885"/>
      <c r="B2" s="960"/>
      <c r="C2" s="960"/>
      <c r="D2" s="961"/>
      <c r="E2" s="962"/>
      <c r="F2" s="962"/>
      <c r="G2" s="962"/>
      <c r="H2" s="962"/>
      <c r="I2" s="962"/>
      <c r="J2" s="962"/>
      <c r="K2" s="962"/>
      <c r="L2" s="962"/>
      <c r="M2" s="962"/>
      <c r="N2" s="962"/>
      <c r="O2" s="962"/>
      <c r="P2" s="962"/>
      <c r="Q2" s="962"/>
      <c r="R2" s="962"/>
      <c r="S2" s="962"/>
      <c r="T2" s="962"/>
      <c r="U2" s="962"/>
      <c r="V2" s="962"/>
      <c r="W2" s="962"/>
      <c r="X2" s="962"/>
      <c r="Y2" s="962"/>
      <c r="Z2" s="962"/>
      <c r="AA2" s="962"/>
      <c r="AB2" s="962"/>
      <c r="AC2" s="962"/>
      <c r="AD2" s="962"/>
      <c r="AE2" s="962"/>
      <c r="AF2" s="962"/>
      <c r="AG2" s="962"/>
      <c r="AH2" s="962"/>
    </row>
    <row r="3" spans="1:34" ht="22.5" customHeight="1" thickBot="1">
      <c r="A3" s="885"/>
      <c r="B3" s="963"/>
      <c r="C3" s="964"/>
      <c r="D3" s="965"/>
      <c r="E3" s="966" t="s">
        <v>255</v>
      </c>
      <c r="F3" s="967" t="s">
        <v>256</v>
      </c>
      <c r="G3" s="968" t="s">
        <v>257</v>
      </c>
      <c r="H3" s="969" t="s">
        <v>258</v>
      </c>
      <c r="I3" s="970" t="s">
        <v>259</v>
      </c>
      <c r="J3" s="970" t="s">
        <v>260</v>
      </c>
      <c r="K3" s="971" t="s">
        <v>261</v>
      </c>
      <c r="L3" s="922" t="s">
        <v>262</v>
      </c>
      <c r="M3" s="969" t="s">
        <v>263</v>
      </c>
      <c r="N3" s="970" t="s">
        <v>264</v>
      </c>
      <c r="O3" s="971" t="s">
        <v>265</v>
      </c>
      <c r="P3" s="922" t="s">
        <v>266</v>
      </c>
      <c r="Q3" s="969" t="s">
        <v>267</v>
      </c>
      <c r="R3" s="970" t="s">
        <v>268</v>
      </c>
      <c r="S3" s="971" t="s">
        <v>269</v>
      </c>
      <c r="T3" s="922" t="s">
        <v>270</v>
      </c>
      <c r="U3" s="922" t="s">
        <v>271</v>
      </c>
      <c r="V3" s="962"/>
      <c r="W3" s="962"/>
      <c r="X3" s="962"/>
      <c r="Y3" s="962"/>
      <c r="Z3" s="962"/>
      <c r="AA3" s="962"/>
      <c r="AB3" s="962"/>
      <c r="AC3" s="962"/>
      <c r="AD3" s="962"/>
      <c r="AE3" s="962"/>
      <c r="AF3" s="962"/>
      <c r="AG3" s="962"/>
      <c r="AH3" s="962"/>
    </row>
    <row r="4" spans="1:34" ht="22.5" customHeight="1">
      <c r="A4" s="885"/>
      <c r="B4" s="1480" t="s">
        <v>272</v>
      </c>
      <c r="C4" s="1481"/>
      <c r="D4" s="1481"/>
      <c r="E4" s="874">
        <f>'PL. Výnosů'!D20</f>
        <v>54081000</v>
      </c>
      <c r="F4" s="874">
        <f>'PL. Výnosů'!E20</f>
        <v>55568000</v>
      </c>
      <c r="G4" s="874">
        <f>'PL. Výnosů'!F20</f>
        <v>59376700</v>
      </c>
      <c r="H4" s="874">
        <f>'PL. Výnosů'!G20</f>
        <v>169025700</v>
      </c>
      <c r="I4" s="874">
        <f>'PL. Výnosů'!H20</f>
        <v>165324700</v>
      </c>
      <c r="J4" s="874">
        <f>'PL. Výnosů'!I20</f>
        <v>166143200</v>
      </c>
      <c r="K4" s="874">
        <f>'PL. Výnosů'!J20</f>
        <v>168746200</v>
      </c>
      <c r="L4" s="874">
        <f>'PL. Výnosů'!K20</f>
        <v>500214100</v>
      </c>
      <c r="M4" s="874">
        <f>'PL. Výnosů'!L20</f>
        <v>145164700</v>
      </c>
      <c r="N4" s="874">
        <f>'PL. Výnosů'!M20</f>
        <v>145164700</v>
      </c>
      <c r="O4" s="874">
        <f>'PL. Výnosů'!N20</f>
        <v>137550200</v>
      </c>
      <c r="P4" s="874">
        <f>'PL. Výnosů'!O20</f>
        <v>427879600</v>
      </c>
      <c r="Q4" s="874">
        <f>'PL. Výnosů'!P20</f>
        <v>119806700</v>
      </c>
      <c r="R4" s="874">
        <f>'PL. Výnosů'!Q20</f>
        <v>117132700</v>
      </c>
      <c r="S4" s="874">
        <f>'PL. Výnosů'!R20</f>
        <v>116049000</v>
      </c>
      <c r="T4" s="874">
        <f>'PL. Výnosů'!S20</f>
        <v>352988400</v>
      </c>
      <c r="U4" s="875">
        <f>'PL. Výnosů'!T20</f>
        <v>1450107800</v>
      </c>
      <c r="V4" s="962"/>
      <c r="W4" s="962"/>
      <c r="X4" s="962"/>
      <c r="Y4" s="962"/>
      <c r="Z4" s="962"/>
      <c r="AA4" s="962"/>
      <c r="AB4" s="962"/>
      <c r="AC4" s="962"/>
      <c r="AD4" s="962"/>
      <c r="AE4" s="962"/>
      <c r="AF4" s="962"/>
      <c r="AG4" s="962"/>
      <c r="AH4" s="962"/>
    </row>
    <row r="5" spans="1:34" ht="22.5" customHeight="1">
      <c r="A5" s="885"/>
      <c r="B5" s="1482" t="s">
        <v>273</v>
      </c>
      <c r="C5" s="1483"/>
      <c r="D5" s="1483"/>
      <c r="E5" s="869">
        <f t="shared" ref="E5:U5" si="0">SUM(E6:E8)</f>
        <v>84398598.557277784</v>
      </c>
      <c r="F5" s="869">
        <f t="shared" si="0"/>
        <v>87975221.702777773</v>
      </c>
      <c r="G5" s="869">
        <f t="shared" si="0"/>
        <v>88718408.140277773</v>
      </c>
      <c r="H5" s="869">
        <f t="shared" si="0"/>
        <v>261092228.40033334</v>
      </c>
      <c r="I5" s="869">
        <f t="shared" si="0"/>
        <v>89064045.702777773</v>
      </c>
      <c r="J5" s="869">
        <f t="shared" si="0"/>
        <v>89647586.702777773</v>
      </c>
      <c r="K5" s="869">
        <f t="shared" si="0"/>
        <v>91181339.140277773</v>
      </c>
      <c r="L5" s="869">
        <f t="shared" si="0"/>
        <v>269892971.54583335</v>
      </c>
      <c r="M5" s="869">
        <f t="shared" si="0"/>
        <v>75073226.702777773</v>
      </c>
      <c r="N5" s="869">
        <f t="shared" si="0"/>
        <v>77098157.702777773</v>
      </c>
      <c r="O5" s="869">
        <f t="shared" si="0"/>
        <v>88898408.140277773</v>
      </c>
      <c r="P5" s="869">
        <f t="shared" si="0"/>
        <v>241069792.54583335</v>
      </c>
      <c r="Q5" s="869">
        <f t="shared" si="0"/>
        <v>89064045.702777773</v>
      </c>
      <c r="R5" s="869">
        <f t="shared" si="0"/>
        <v>85692290.702777773</v>
      </c>
      <c r="S5" s="869">
        <f t="shared" si="0"/>
        <v>85068395.140277773</v>
      </c>
      <c r="T5" s="869">
        <f t="shared" si="0"/>
        <v>259824731.54583335</v>
      </c>
      <c r="U5" s="870">
        <f t="shared" si="0"/>
        <v>1031879724.0378333</v>
      </c>
      <c r="V5" s="962"/>
      <c r="W5" s="962"/>
      <c r="X5" s="962"/>
      <c r="Y5" s="962"/>
      <c r="Z5" s="962"/>
      <c r="AA5" s="962"/>
      <c r="AB5" s="962"/>
      <c r="AC5" s="962"/>
      <c r="AD5" s="962"/>
      <c r="AE5" s="962"/>
      <c r="AF5" s="962"/>
      <c r="AG5" s="962"/>
      <c r="AH5" s="962"/>
    </row>
    <row r="6" spans="1:34" ht="22.5" customHeight="1">
      <c r="A6" s="885"/>
      <c r="B6" s="886"/>
      <c r="C6" s="887" t="s">
        <v>274</v>
      </c>
      <c r="D6" s="887"/>
      <c r="E6" s="856">
        <f>'PL. Nákupu'!Y33+'PL. Nákupu'!F42</f>
        <v>75150624</v>
      </c>
      <c r="F6" s="856">
        <f>'PL. Nákupu'!Z33+'PL. Nákupu'!G42</f>
        <v>78422379</v>
      </c>
      <c r="G6" s="856">
        <f>'PL. Nákupu'!AA33+'PL. Nákupu'!H42</f>
        <v>77668272</v>
      </c>
      <c r="H6" s="856">
        <f>'PL. Nákupu'!AB33+'PL. Nákupu'!I42</f>
        <v>231241275</v>
      </c>
      <c r="I6" s="856">
        <f>'PL. Nákupu'!AC33+'PL. Nákupu'!J42</f>
        <v>79411203</v>
      </c>
      <c r="J6" s="856">
        <f>'PL. Nákupu'!AD33+'PL. Nákupu'!K42</f>
        <v>80094744</v>
      </c>
      <c r="K6" s="856">
        <f>'PL. Nákupu'!AE33+'PL. Nákupu'!L42</f>
        <v>80131203</v>
      </c>
      <c r="L6" s="856">
        <f>'PL. Nákupu'!AF33+'PL. Nákupu'!M42</f>
        <v>239637150</v>
      </c>
      <c r="M6" s="856">
        <f>'PL. Nákupu'!AG33+'PL. Nákupu'!N42</f>
        <v>65262384</v>
      </c>
      <c r="N6" s="856">
        <f>'PL. Nákupu'!AH33+'PL. Nákupu'!O42</f>
        <v>67545315</v>
      </c>
      <c r="O6" s="856">
        <f>'PL. Nákupu'!AI33+'PL. Nákupu'!P42</f>
        <v>77848272</v>
      </c>
      <c r="P6" s="856">
        <f>'PL. Nákupu'!AJ33+'PL. Nákupu'!Q42</f>
        <v>210655971</v>
      </c>
      <c r="Q6" s="856">
        <f>'PL. Nákupu'!AK33+'PL. Nákupu'!R42</f>
        <v>79411203</v>
      </c>
      <c r="R6" s="856">
        <f>'PL. Nákupu'!AL33+'PL. Nákupu'!S42</f>
        <v>76139448</v>
      </c>
      <c r="S6" s="856">
        <f>'PL. Nákupu'!AM33+'PL. Nákupu'!T42</f>
        <v>74018259</v>
      </c>
      <c r="T6" s="856">
        <f>'PL. Nákupu'!AN33+'PL. Nákupu'!U42</f>
        <v>229568910</v>
      </c>
      <c r="U6" s="873">
        <f>'PL. Nákupu'!AO33+'PL. Nákupu'!V42</f>
        <v>911103306</v>
      </c>
      <c r="V6" s="962"/>
      <c r="W6" s="962"/>
      <c r="X6" s="962"/>
      <c r="Y6" s="962"/>
      <c r="Z6" s="962"/>
      <c r="AA6" s="962"/>
      <c r="AB6" s="962"/>
      <c r="AC6" s="962"/>
      <c r="AD6" s="962"/>
      <c r="AE6" s="962"/>
      <c r="AF6" s="962"/>
      <c r="AG6" s="962"/>
      <c r="AH6" s="962"/>
    </row>
    <row r="7" spans="1:34" ht="22.5" customHeight="1">
      <c r="A7" s="885"/>
      <c r="B7" s="886"/>
      <c r="C7" s="887" t="s">
        <v>275</v>
      </c>
      <c r="D7" s="887"/>
      <c r="E7" s="856">
        <f>'PL. FN'!D3</f>
        <v>6510434.2795000002</v>
      </c>
      <c r="F7" s="856">
        <f>'PL. FN'!E3</f>
        <v>6815302.4249999998</v>
      </c>
      <c r="G7" s="856">
        <f>'PL. FN'!F3</f>
        <v>8312595.8624999998</v>
      </c>
      <c r="H7" s="856">
        <f>'PL. FN'!G3</f>
        <v>21638332.567000002</v>
      </c>
      <c r="I7" s="856">
        <f>'PL. FN'!H3</f>
        <v>6915302.4249999998</v>
      </c>
      <c r="J7" s="856">
        <f>'PL. FN'!I3</f>
        <v>6815302.4249999998</v>
      </c>
      <c r="K7" s="856">
        <f>'PL. FN'!J3</f>
        <v>8312595.8624999998</v>
      </c>
      <c r="L7" s="856">
        <f>'PL. FN'!K3</f>
        <v>22043200.712499999</v>
      </c>
      <c r="M7" s="856">
        <f>'PL. FN'!L3</f>
        <v>7073302.4249999998</v>
      </c>
      <c r="N7" s="856">
        <f>'PL. FN'!M3</f>
        <v>6815302.4249999998</v>
      </c>
      <c r="O7" s="856">
        <f>'PL. FN'!N3</f>
        <v>8312595.8624999998</v>
      </c>
      <c r="P7" s="856">
        <f>'PL. FN'!O3</f>
        <v>22201200.712499999</v>
      </c>
      <c r="Q7" s="856">
        <f>'PL. FN'!P3</f>
        <v>6915302.4249999998</v>
      </c>
      <c r="R7" s="856">
        <f>'PL. FN'!Q3</f>
        <v>6815302.4249999998</v>
      </c>
      <c r="S7" s="856">
        <f>'PL. FN'!R3</f>
        <v>8312595.8624999998</v>
      </c>
      <c r="T7" s="856">
        <f>'PL. FN'!S3</f>
        <v>22043200.712499999</v>
      </c>
      <c r="U7" s="873">
        <f>'PL. FN'!T3</f>
        <v>87925934.70449999</v>
      </c>
      <c r="V7" s="962"/>
      <c r="W7" s="962"/>
      <c r="X7" s="962"/>
      <c r="Y7" s="962"/>
      <c r="Z7" s="962"/>
      <c r="AA7" s="962"/>
      <c r="AB7" s="962"/>
      <c r="AC7" s="962"/>
      <c r="AD7" s="962"/>
      <c r="AE7" s="962"/>
      <c r="AF7" s="962"/>
      <c r="AG7" s="962"/>
      <c r="AH7" s="962"/>
    </row>
    <row r="8" spans="1:34" ht="22.5" customHeight="1">
      <c r="A8" s="885"/>
      <c r="B8" s="886"/>
      <c r="C8" s="887" t="s">
        <v>276</v>
      </c>
      <c r="D8" s="887"/>
      <c r="E8" s="856">
        <f>'PL. FN'!D27</f>
        <v>2737540.2777777798</v>
      </c>
      <c r="F8" s="856">
        <f>'PL. FN'!E27</f>
        <v>2737540.2777777789</v>
      </c>
      <c r="G8" s="856">
        <f>'PL. FN'!F27</f>
        <v>2737540.2777777789</v>
      </c>
      <c r="H8" s="856">
        <f>'PL. FN'!G27</f>
        <v>8212620.8333333321</v>
      </c>
      <c r="I8" s="856">
        <f>'PL. FN'!H27</f>
        <v>2737540.2777777789</v>
      </c>
      <c r="J8" s="856">
        <f>'PL. FN'!I27</f>
        <v>2737540.2777777789</v>
      </c>
      <c r="K8" s="856">
        <f>'PL. FN'!J27</f>
        <v>2737540.2777777789</v>
      </c>
      <c r="L8" s="856">
        <f>'PL. FN'!K27</f>
        <v>8212620.8333333321</v>
      </c>
      <c r="M8" s="856">
        <f>'PL. FN'!L27</f>
        <v>2737540.2777777789</v>
      </c>
      <c r="N8" s="856">
        <f>'PL. FN'!M27</f>
        <v>2737540.2777777789</v>
      </c>
      <c r="O8" s="856">
        <f>'PL. FN'!N27</f>
        <v>2737540.2777777789</v>
      </c>
      <c r="P8" s="856">
        <f>'PL. FN'!O27</f>
        <v>8212620.8333333321</v>
      </c>
      <c r="Q8" s="856">
        <f>'PL. FN'!P27</f>
        <v>2737540.2777777789</v>
      </c>
      <c r="R8" s="856">
        <f>'PL. FN'!Q27</f>
        <v>2737540.2777777789</v>
      </c>
      <c r="S8" s="856">
        <f>'PL. FN'!R27</f>
        <v>2737540.2777777789</v>
      </c>
      <c r="T8" s="856">
        <f>'PL. FN'!S27</f>
        <v>8212620.8333333321</v>
      </c>
      <c r="U8" s="873">
        <f>'PL. FN'!T27</f>
        <v>32850483.333333343</v>
      </c>
      <c r="V8" s="962"/>
      <c r="W8" s="962"/>
      <c r="X8" s="962"/>
      <c r="Y8" s="962"/>
      <c r="Z8" s="962"/>
      <c r="AA8" s="962"/>
      <c r="AB8" s="962"/>
      <c r="AC8" s="962"/>
      <c r="AD8" s="962"/>
      <c r="AE8" s="962"/>
      <c r="AF8" s="962"/>
      <c r="AG8" s="962"/>
      <c r="AH8" s="962"/>
    </row>
    <row r="9" spans="1:34" ht="22.5" customHeight="1" thickBot="1">
      <c r="A9" s="885"/>
      <c r="B9" s="1478" t="s">
        <v>277</v>
      </c>
      <c r="C9" s="1479"/>
      <c r="D9" s="1479"/>
      <c r="E9" s="871">
        <f>E4-E5</f>
        <v>-30317598.557277784</v>
      </c>
      <c r="F9" s="871">
        <f t="shared" ref="F9:U9" si="1">F4-F5</f>
        <v>-32407221.702777773</v>
      </c>
      <c r="G9" s="871">
        <f t="shared" si="1"/>
        <v>-29341708.140277773</v>
      </c>
      <c r="H9" s="871">
        <f t="shared" si="1"/>
        <v>-92066528.400333345</v>
      </c>
      <c r="I9" s="871">
        <f t="shared" si="1"/>
        <v>76260654.297222227</v>
      </c>
      <c r="J9" s="871">
        <f t="shared" si="1"/>
        <v>76495613.297222227</v>
      </c>
      <c r="K9" s="871">
        <f t="shared" si="1"/>
        <v>77564860.859722227</v>
      </c>
      <c r="L9" s="871">
        <f t="shared" si="1"/>
        <v>230321128.45416665</v>
      </c>
      <c r="M9" s="871">
        <f t="shared" si="1"/>
        <v>70091473.297222227</v>
      </c>
      <c r="N9" s="871">
        <f t="shared" si="1"/>
        <v>68066542.297222227</v>
      </c>
      <c r="O9" s="871">
        <f t="shared" si="1"/>
        <v>48651791.859722227</v>
      </c>
      <c r="P9" s="871">
        <f t="shared" si="1"/>
        <v>186809807.45416665</v>
      </c>
      <c r="Q9" s="871">
        <f t="shared" si="1"/>
        <v>30742654.297222227</v>
      </c>
      <c r="R9" s="871">
        <f t="shared" si="1"/>
        <v>31440409.297222227</v>
      </c>
      <c r="S9" s="871">
        <f t="shared" si="1"/>
        <v>30980604.859722227</v>
      </c>
      <c r="T9" s="871">
        <f t="shared" si="1"/>
        <v>93163668.454166651</v>
      </c>
      <c r="U9" s="872">
        <f t="shared" si="1"/>
        <v>418228075.96216667</v>
      </c>
      <c r="V9" s="962"/>
      <c r="W9" s="962"/>
      <c r="X9" s="962"/>
      <c r="Y9" s="962"/>
      <c r="Z9" s="962"/>
      <c r="AA9" s="962"/>
      <c r="AB9" s="962"/>
      <c r="AC9" s="962"/>
      <c r="AD9" s="962"/>
      <c r="AE9" s="962"/>
      <c r="AF9" s="962"/>
      <c r="AG9" s="962"/>
      <c r="AH9" s="962"/>
    </row>
    <row r="10" spans="1:34" ht="22.5" customHeight="1" thickBot="1">
      <c r="A10" s="885"/>
      <c r="B10" s="960"/>
      <c r="C10" s="960"/>
      <c r="D10" s="961"/>
      <c r="E10" s="962"/>
      <c r="F10" s="962"/>
      <c r="G10" s="962"/>
      <c r="H10" s="962"/>
      <c r="I10" s="962"/>
      <c r="J10" s="962"/>
      <c r="K10" s="962"/>
      <c r="L10" s="962"/>
      <c r="M10" s="962"/>
      <c r="N10" s="962"/>
      <c r="O10" s="962"/>
      <c r="P10" s="962"/>
      <c r="Q10" s="962"/>
      <c r="R10" s="962"/>
      <c r="S10" s="962"/>
      <c r="T10" s="962"/>
      <c r="U10" s="962"/>
      <c r="V10" s="962"/>
      <c r="W10" s="962"/>
      <c r="X10" s="962"/>
      <c r="Y10" s="962"/>
      <c r="Z10" s="962"/>
      <c r="AA10" s="962"/>
      <c r="AB10" s="962"/>
      <c r="AC10" s="962"/>
      <c r="AD10" s="962"/>
      <c r="AE10" s="962"/>
      <c r="AF10" s="962"/>
      <c r="AG10" s="962"/>
      <c r="AH10" s="962"/>
    </row>
    <row r="11" spans="1:34" s="763" customFormat="1" ht="23.25" customHeight="1" thickBot="1">
      <c r="A11" s="972"/>
      <c r="B11" s="973" t="s">
        <v>278</v>
      </c>
      <c r="C11" s="1396" t="s">
        <v>279</v>
      </c>
      <c r="D11" s="1398" t="s">
        <v>280</v>
      </c>
      <c r="E11" s="1484" t="s">
        <v>258</v>
      </c>
      <c r="F11" s="1476"/>
      <c r="G11" s="1476"/>
      <c r="H11" s="1477"/>
      <c r="I11" s="1485" t="s">
        <v>262</v>
      </c>
      <c r="J11" s="1476"/>
      <c r="K11" s="1476"/>
      <c r="L11" s="1476"/>
      <c r="M11" s="1476" t="s">
        <v>266</v>
      </c>
      <c r="N11" s="1476"/>
      <c r="O11" s="1476"/>
      <c r="P11" s="1476"/>
      <c r="Q11" s="1476" t="s">
        <v>270</v>
      </c>
      <c r="R11" s="1476"/>
      <c r="S11" s="1476"/>
      <c r="T11" s="1477"/>
      <c r="U11" s="792"/>
      <c r="V11" s="974"/>
      <c r="W11" s="974"/>
      <c r="X11" s="974"/>
      <c r="Y11" s="974"/>
      <c r="Z11" s="974"/>
      <c r="AA11" s="975"/>
      <c r="AB11" s="975"/>
      <c r="AC11" s="975"/>
      <c r="AD11" s="975"/>
      <c r="AE11" s="975"/>
      <c r="AF11" s="975"/>
      <c r="AG11" s="975"/>
      <c r="AH11" s="975"/>
    </row>
    <row r="12" spans="1:34" s="763" customFormat="1" ht="15" thickBot="1">
      <c r="A12" s="972"/>
      <c r="B12" s="976" t="s">
        <v>281</v>
      </c>
      <c r="C12" s="1397" t="s">
        <v>282</v>
      </c>
      <c r="D12" s="1399" t="s">
        <v>283</v>
      </c>
      <c r="E12" s="977" t="s">
        <v>255</v>
      </c>
      <c r="F12" s="978" t="s">
        <v>256</v>
      </c>
      <c r="G12" s="979" t="s">
        <v>257</v>
      </c>
      <c r="H12" s="980" t="s">
        <v>258</v>
      </c>
      <c r="I12" s="969" t="s">
        <v>259</v>
      </c>
      <c r="J12" s="970" t="s">
        <v>260</v>
      </c>
      <c r="K12" s="971" t="s">
        <v>261</v>
      </c>
      <c r="L12" s="981" t="s">
        <v>262</v>
      </c>
      <c r="M12" s="982" t="s">
        <v>263</v>
      </c>
      <c r="N12" s="983" t="s">
        <v>264</v>
      </c>
      <c r="O12" s="984" t="s">
        <v>265</v>
      </c>
      <c r="P12" s="981" t="s">
        <v>266</v>
      </c>
      <c r="Q12" s="982" t="s">
        <v>267</v>
      </c>
      <c r="R12" s="983" t="s">
        <v>268</v>
      </c>
      <c r="S12" s="984" t="s">
        <v>269</v>
      </c>
      <c r="T12" s="981" t="s">
        <v>270</v>
      </c>
      <c r="U12" s="922" t="s">
        <v>271</v>
      </c>
      <c r="V12" s="975"/>
      <c r="W12" s="975"/>
      <c r="X12" s="975"/>
      <c r="Y12" s="975"/>
      <c r="Z12" s="975"/>
      <c r="AA12" s="975"/>
      <c r="AB12" s="975"/>
      <c r="AC12" s="975"/>
      <c r="AD12" s="975"/>
      <c r="AE12" s="975"/>
      <c r="AF12" s="975"/>
      <c r="AG12" s="975"/>
      <c r="AH12" s="975"/>
    </row>
    <row r="13" spans="1:34">
      <c r="A13" s="985"/>
      <c r="B13" s="986" t="s">
        <v>284</v>
      </c>
      <c r="C13" s="987" t="s">
        <v>285</v>
      </c>
      <c r="D13" s="1400" t="s">
        <v>286</v>
      </c>
      <c r="E13" s="988">
        <f>'PL. Výnosů'!D41+'PL. Výnosů'!D59+'PL. Výnosů'!D77</f>
        <v>54001000</v>
      </c>
      <c r="F13" s="989">
        <f>'PL. Výnosů'!E41+'PL. Výnosů'!E59+'PL. Výnosů'!E77</f>
        <v>55488000</v>
      </c>
      <c r="G13" s="990">
        <f>'PL. Výnosů'!F41+'PL. Výnosů'!F59+'PL. Výnosů'!F77</f>
        <v>59245500</v>
      </c>
      <c r="H13" s="991">
        <f>'PL. Výnosů'!G41+'PL. Výnosů'!G59+'PL. Výnosů'!G77</f>
        <v>168734500</v>
      </c>
      <c r="I13" s="992">
        <f>'PL. Výnosů'!H41+'PL. Výnosů'!H59+'PL. Výnosů'!H77</f>
        <v>164993500</v>
      </c>
      <c r="J13" s="992">
        <f>'PL. Výnosů'!I41+'PL. Výnosů'!I59+'PL. Výnosů'!I77</f>
        <v>165812000</v>
      </c>
      <c r="K13" s="993">
        <f>'PL. Výnosů'!J41+'PL. Výnosů'!J59+'PL. Výnosů'!J77</f>
        <v>168425000</v>
      </c>
      <c r="L13" s="991">
        <f>'PL. Výnosů'!K41+'PL. Výnosů'!K59+'PL. Výnosů'!K77</f>
        <v>499230500</v>
      </c>
      <c r="M13" s="989">
        <f>'PL. Výnosů'!L41+'PL. Výnosů'!L59+'PL. Výnosů'!L77</f>
        <v>144873500</v>
      </c>
      <c r="N13" s="989">
        <f>'PL. Výnosů'!M41+'PL. Výnosů'!M59+'PL. Výnosů'!M77</f>
        <v>144873500</v>
      </c>
      <c r="O13" s="989">
        <f>'PL. Výnosů'!N41+'PL. Výnosů'!N59+'PL. Výnosů'!N77</f>
        <v>137329000</v>
      </c>
      <c r="P13" s="994">
        <f>'PL. Výnosů'!O41+'PL. Výnosů'!O59+'PL. Výnosů'!O77</f>
        <v>427076000</v>
      </c>
      <c r="Q13" s="989">
        <f>'PL. Výnosů'!P41+'PL. Výnosů'!P59+'PL. Výnosů'!P77</f>
        <v>119575500</v>
      </c>
      <c r="R13" s="989">
        <f>'PL. Výnosů'!Q41+'PL. Výnosů'!Q59+'PL. Výnosů'!Q77</f>
        <v>116901500</v>
      </c>
      <c r="S13" s="989">
        <f>'PL. Výnosů'!R41+'PL. Výnosů'!R59+'PL. Výnosů'!R77</f>
        <v>115839000</v>
      </c>
      <c r="T13" s="988">
        <f>'PL. Výnosů'!S41+'PL. Výnosů'!S59+'PL. Výnosů'!S77</f>
        <v>352316000</v>
      </c>
      <c r="U13" s="995">
        <f>'PL. Výnosů'!T41+'PL. Výnosů'!T59+'PL. Výnosů'!T77</f>
        <v>1447357000</v>
      </c>
      <c r="V13" s="962"/>
      <c r="W13" s="962"/>
      <c r="X13" s="962"/>
      <c r="Y13" s="962"/>
      <c r="Z13" s="962"/>
      <c r="AA13" s="962"/>
      <c r="AB13" s="962"/>
      <c r="AC13" s="962"/>
      <c r="AD13" s="962"/>
      <c r="AE13" s="962"/>
      <c r="AF13" s="962"/>
      <c r="AG13" s="962"/>
      <c r="AH13" s="962"/>
    </row>
    <row r="14" spans="1:34">
      <c r="A14" s="985"/>
      <c r="B14" s="986" t="s">
        <v>287</v>
      </c>
      <c r="C14" s="987" t="s">
        <v>288</v>
      </c>
      <c r="D14" s="1400" t="s">
        <v>289</v>
      </c>
      <c r="E14" s="988">
        <f>'PL. Výnosů'!D95</f>
        <v>80000</v>
      </c>
      <c r="F14" s="989">
        <f>'PL. Výnosů'!E95</f>
        <v>80000</v>
      </c>
      <c r="G14" s="990">
        <f>'PL. Výnosů'!F95</f>
        <v>131200</v>
      </c>
      <c r="H14" s="991">
        <f>'PL. Výnosů'!G95</f>
        <v>291200</v>
      </c>
      <c r="I14" s="989">
        <f>'PL. Výnosů'!H95</f>
        <v>331200</v>
      </c>
      <c r="J14" s="989">
        <f>'PL. Výnosů'!I95</f>
        <v>331200</v>
      </c>
      <c r="K14" s="990">
        <f>'PL. Výnosů'!J95</f>
        <v>321200</v>
      </c>
      <c r="L14" s="991">
        <f>'PL. Výnosů'!K95</f>
        <v>983600</v>
      </c>
      <c r="M14" s="989">
        <f>'PL. Výnosů'!L95</f>
        <v>291200</v>
      </c>
      <c r="N14" s="989">
        <f>'PL. Výnosů'!M95</f>
        <v>291200</v>
      </c>
      <c r="O14" s="989">
        <f>'PL. Výnosů'!N95</f>
        <v>221200</v>
      </c>
      <c r="P14" s="994">
        <f>'PL. Výnosů'!O95</f>
        <v>803600</v>
      </c>
      <c r="Q14" s="989">
        <f>'PL. Výnosů'!P95</f>
        <v>231200</v>
      </c>
      <c r="R14" s="989">
        <f>'PL. Výnosů'!Q95</f>
        <v>231200</v>
      </c>
      <c r="S14" s="989">
        <f>'PL. Výnosů'!R95</f>
        <v>210000</v>
      </c>
      <c r="T14" s="988">
        <f>'PL. Výnosů'!S95</f>
        <v>672400</v>
      </c>
      <c r="U14" s="996">
        <f>'PL. Výnosů'!T95</f>
        <v>2750800</v>
      </c>
      <c r="V14" s="962"/>
      <c r="W14" s="962"/>
      <c r="X14" s="962"/>
      <c r="Y14" s="962"/>
      <c r="Z14" s="962"/>
      <c r="AA14" s="962"/>
      <c r="AB14" s="962"/>
      <c r="AC14" s="962"/>
      <c r="AD14" s="962"/>
      <c r="AE14" s="962"/>
      <c r="AF14" s="962"/>
      <c r="AG14" s="962"/>
      <c r="AH14" s="962"/>
    </row>
    <row r="15" spans="1:34" ht="30" customHeight="1" outlineLevel="1">
      <c r="A15" s="985"/>
      <c r="B15" s="997" t="s">
        <v>290</v>
      </c>
      <c r="C15" s="998" t="s">
        <v>291</v>
      </c>
      <c r="D15" s="1401" t="s">
        <v>292</v>
      </c>
      <c r="E15" s="999">
        <f>E16+E17+E18</f>
        <v>75150624</v>
      </c>
      <c r="F15" s="1000">
        <f t="shared" ref="F15:U15" si="2">F16+F17+F18</f>
        <v>78422379</v>
      </c>
      <c r="G15" s="1001">
        <f t="shared" si="2"/>
        <v>77668272</v>
      </c>
      <c r="H15" s="1002">
        <f t="shared" si="2"/>
        <v>231241275</v>
      </c>
      <c r="I15" s="1000">
        <f t="shared" si="2"/>
        <v>79411203</v>
      </c>
      <c r="J15" s="1000">
        <f t="shared" si="2"/>
        <v>80094744</v>
      </c>
      <c r="K15" s="1001">
        <f t="shared" si="2"/>
        <v>80131203</v>
      </c>
      <c r="L15" s="1002">
        <f t="shared" si="2"/>
        <v>239637150</v>
      </c>
      <c r="M15" s="1000">
        <f t="shared" si="2"/>
        <v>65262384</v>
      </c>
      <c r="N15" s="1000">
        <f t="shared" si="2"/>
        <v>67545315</v>
      </c>
      <c r="O15" s="1000">
        <f t="shared" si="2"/>
        <v>77848272</v>
      </c>
      <c r="P15" s="1003">
        <f t="shared" si="2"/>
        <v>210655971</v>
      </c>
      <c r="Q15" s="1000">
        <f t="shared" si="2"/>
        <v>79411203</v>
      </c>
      <c r="R15" s="1000">
        <f t="shared" si="2"/>
        <v>76139448</v>
      </c>
      <c r="S15" s="1000">
        <f t="shared" si="2"/>
        <v>74018259</v>
      </c>
      <c r="T15" s="999">
        <f t="shared" si="2"/>
        <v>229568910</v>
      </c>
      <c r="U15" s="1004">
        <f t="shared" si="2"/>
        <v>911103306</v>
      </c>
      <c r="V15" s="962"/>
      <c r="W15" s="962"/>
      <c r="X15" s="962"/>
      <c r="Y15" s="962"/>
      <c r="Z15" s="962"/>
      <c r="AA15" s="962"/>
      <c r="AB15" s="962"/>
      <c r="AC15" s="962"/>
      <c r="AD15" s="962"/>
      <c r="AE15" s="962"/>
      <c r="AF15" s="962"/>
      <c r="AG15" s="962"/>
      <c r="AH15" s="962"/>
    </row>
    <row r="16" spans="1:34" ht="15" hidden="1" outlineLevel="2" thickBot="1">
      <c r="A16" s="985"/>
      <c r="B16" s="1005" t="s">
        <v>293</v>
      </c>
      <c r="C16" s="1006" t="s">
        <v>294</v>
      </c>
      <c r="D16" s="1402" t="s">
        <v>295</v>
      </c>
      <c r="E16" s="1007">
        <f>'PL. Nákupu'!F42+'PL. Nákupu'!Y33</f>
        <v>75150624</v>
      </c>
      <c r="F16" s="1008">
        <f>'PL. Nákupu'!G42+'PL. Nákupu'!Z33</f>
        <v>78422379</v>
      </c>
      <c r="G16" s="1009">
        <f>'PL. Nákupu'!H42+'PL. Nákupu'!AA33</f>
        <v>77668272</v>
      </c>
      <c r="H16" s="1010">
        <f>'PL. Nákupu'!I42+'PL. Nákupu'!AB33</f>
        <v>231241275</v>
      </c>
      <c r="I16" s="1008">
        <f>'PL. Nákupu'!J42+'PL. Nákupu'!AC33</f>
        <v>79411203</v>
      </c>
      <c r="J16" s="1008">
        <f>'PL. Nákupu'!K42+'PL. Nákupu'!AD33</f>
        <v>80094744</v>
      </c>
      <c r="K16" s="1009">
        <f>'PL. Nákupu'!L42+'PL. Nákupu'!AE33</f>
        <v>80131203</v>
      </c>
      <c r="L16" s="1011">
        <f>'PL. Nákupu'!M42+'PL. Nákupu'!AF33</f>
        <v>239637150</v>
      </c>
      <c r="M16" s="1011">
        <f>'PL. Nákupu'!N42+'PL. Nákupu'!AG33</f>
        <v>65262384</v>
      </c>
      <c r="N16" s="1008">
        <f>'PL. Nákupu'!O42+'PL. Nákupu'!AH33</f>
        <v>67545315</v>
      </c>
      <c r="O16" s="1009">
        <f>'PL. Nákupu'!P42+'PL. Nákupu'!AI33</f>
        <v>77848272</v>
      </c>
      <c r="P16" s="1011">
        <f>'PL. Nákupu'!Q42+'PL. Nákupu'!AJ33</f>
        <v>210655971</v>
      </c>
      <c r="Q16" s="1011">
        <f>'PL. Nákupu'!R42+'PL. Nákupu'!AK33</f>
        <v>79411203</v>
      </c>
      <c r="R16" s="1008">
        <f>'PL. Nákupu'!S42+'PL. Nákupu'!AL33</f>
        <v>76139448</v>
      </c>
      <c r="S16" s="1009">
        <f>'PL. Nákupu'!T42+'PL. Nákupu'!AM33</f>
        <v>74018259</v>
      </c>
      <c r="T16" s="1011">
        <f>'PL. Nákupu'!U42+'PL. Nákupu'!AN33</f>
        <v>229568910</v>
      </c>
      <c r="U16" s="1012">
        <f>'PL. Nákupu'!V42+'PL. Nákupu'!AO33</f>
        <v>911103306</v>
      </c>
      <c r="V16" s="1013"/>
      <c r="W16" s="962"/>
      <c r="X16" s="962"/>
      <c r="Y16" s="962"/>
      <c r="Z16" s="962"/>
      <c r="AA16" s="962"/>
      <c r="AB16" s="962"/>
      <c r="AC16" s="962"/>
      <c r="AD16" s="962"/>
      <c r="AE16" s="962"/>
      <c r="AF16" s="962"/>
      <c r="AG16" s="962"/>
      <c r="AH16" s="962"/>
    </row>
    <row r="17" spans="2:34" hidden="1" outlineLevel="2">
      <c r="B17" s="1005" t="s">
        <v>296</v>
      </c>
      <c r="C17" s="1014" t="s">
        <v>297</v>
      </c>
      <c r="D17" s="1402" t="s">
        <v>298</v>
      </c>
      <c r="E17" s="1007"/>
      <c r="F17" s="1008"/>
      <c r="G17" s="1009"/>
      <c r="H17" s="1015"/>
      <c r="I17" s="1008"/>
      <c r="J17" s="1008"/>
      <c r="K17" s="1009"/>
      <c r="L17" s="1015"/>
      <c r="M17" s="1008"/>
      <c r="N17" s="1008"/>
      <c r="O17" s="1008"/>
      <c r="P17" s="1016"/>
      <c r="Q17" s="1008"/>
      <c r="R17" s="1008"/>
      <c r="S17" s="1008"/>
      <c r="T17" s="1007"/>
      <c r="U17" s="1012"/>
      <c r="V17" s="1013"/>
      <c r="W17" s="962"/>
      <c r="X17" s="962"/>
      <c r="Y17" s="962"/>
      <c r="Z17" s="962"/>
      <c r="AA17" s="962"/>
      <c r="AB17" s="962"/>
      <c r="AC17" s="962"/>
      <c r="AD17" s="962"/>
      <c r="AE17" s="962"/>
      <c r="AF17" s="962"/>
      <c r="AG17" s="962"/>
      <c r="AH17" s="962"/>
    </row>
    <row r="18" spans="2:34" hidden="1" outlineLevel="2">
      <c r="B18" s="1017" t="s">
        <v>299</v>
      </c>
      <c r="C18" s="1006" t="s">
        <v>300</v>
      </c>
      <c r="D18" s="1402" t="s">
        <v>301</v>
      </c>
      <c r="E18" s="1007"/>
      <c r="F18" s="1008"/>
      <c r="G18" s="1009"/>
      <c r="H18" s="1015"/>
      <c r="I18" s="1008"/>
      <c r="J18" s="1008"/>
      <c r="K18" s="1009"/>
      <c r="L18" s="1015"/>
      <c r="M18" s="1008"/>
      <c r="N18" s="1008"/>
      <c r="O18" s="1008"/>
      <c r="P18" s="1016"/>
      <c r="Q18" s="1008"/>
      <c r="R18" s="1008"/>
      <c r="S18" s="1008"/>
      <c r="T18" s="1007"/>
      <c r="U18" s="1012"/>
      <c r="V18" s="1013"/>
      <c r="W18" s="962"/>
      <c r="X18" s="962"/>
      <c r="Y18" s="962"/>
      <c r="Z18" s="962"/>
      <c r="AA18" s="962"/>
      <c r="AB18" s="962"/>
      <c r="AC18" s="962"/>
      <c r="AD18" s="962"/>
      <c r="AE18" s="962"/>
      <c r="AF18" s="962"/>
      <c r="AG18" s="962"/>
      <c r="AH18" s="962"/>
    </row>
    <row r="19" spans="2:34" outlineLevel="1" collapsed="1">
      <c r="B19" s="997" t="s">
        <v>302</v>
      </c>
      <c r="C19" s="1018" t="s">
        <v>303</v>
      </c>
      <c r="D19" s="1401" t="s">
        <v>304</v>
      </c>
      <c r="E19" s="1019">
        <v>0</v>
      </c>
      <c r="F19" s="1020">
        <v>0</v>
      </c>
      <c r="G19" s="1021">
        <v>0</v>
      </c>
      <c r="H19" s="1022">
        <v>0</v>
      </c>
      <c r="I19" s="1020">
        <v>0</v>
      </c>
      <c r="J19" s="1020">
        <v>0</v>
      </c>
      <c r="K19" s="1021">
        <v>0</v>
      </c>
      <c r="L19" s="1022">
        <v>0</v>
      </c>
      <c r="M19" s="1020">
        <v>0</v>
      </c>
      <c r="N19" s="1020">
        <v>0</v>
      </c>
      <c r="O19" s="1020">
        <v>0</v>
      </c>
      <c r="P19" s="1023">
        <v>0</v>
      </c>
      <c r="Q19" s="1020">
        <v>0</v>
      </c>
      <c r="R19" s="1020">
        <v>0</v>
      </c>
      <c r="S19" s="1020">
        <v>0</v>
      </c>
      <c r="T19" s="1019">
        <v>0</v>
      </c>
      <c r="U19" s="1024">
        <v>0</v>
      </c>
      <c r="V19" s="1013"/>
      <c r="W19" s="962"/>
      <c r="X19" s="962"/>
      <c r="Y19" s="962"/>
      <c r="Z19" s="962"/>
      <c r="AA19" s="962"/>
      <c r="AB19" s="962"/>
      <c r="AC19" s="962"/>
      <c r="AD19" s="962"/>
      <c r="AE19" s="962"/>
      <c r="AF19" s="962"/>
      <c r="AG19" s="962"/>
      <c r="AH19" s="962"/>
    </row>
    <row r="20" spans="2:34" ht="15" customHeight="1" outlineLevel="1">
      <c r="B20" s="997" t="s">
        <v>305</v>
      </c>
      <c r="C20" s="1018" t="s">
        <v>306</v>
      </c>
      <c r="D20" s="1401" t="s">
        <v>307</v>
      </c>
      <c r="E20" s="1025">
        <v>0</v>
      </c>
      <c r="F20" s="1026">
        <v>0</v>
      </c>
      <c r="G20" s="1027">
        <v>0</v>
      </c>
      <c r="H20" s="1028">
        <v>0</v>
      </c>
      <c r="I20" s="1026">
        <v>0</v>
      </c>
      <c r="J20" s="1026">
        <v>0</v>
      </c>
      <c r="K20" s="1027">
        <v>0</v>
      </c>
      <c r="L20" s="1028">
        <v>0</v>
      </c>
      <c r="M20" s="1026">
        <v>0</v>
      </c>
      <c r="N20" s="1026">
        <v>0</v>
      </c>
      <c r="O20" s="1026">
        <v>0</v>
      </c>
      <c r="P20" s="1029">
        <v>0</v>
      </c>
      <c r="Q20" s="1026">
        <v>0</v>
      </c>
      <c r="R20" s="1026">
        <v>0</v>
      </c>
      <c r="S20" s="1026">
        <v>0</v>
      </c>
      <c r="T20" s="1025">
        <v>0</v>
      </c>
      <c r="U20" s="1030">
        <v>0</v>
      </c>
      <c r="V20" s="1013"/>
      <c r="W20" s="962"/>
      <c r="X20" s="962"/>
      <c r="Y20" s="962"/>
      <c r="Z20" s="962"/>
      <c r="AA20" s="962"/>
      <c r="AB20" s="962"/>
      <c r="AC20" s="962"/>
      <c r="AD20" s="962"/>
      <c r="AE20" s="962"/>
      <c r="AF20" s="962"/>
      <c r="AG20" s="962"/>
      <c r="AH20" s="962"/>
    </row>
    <row r="21" spans="2:34" outlineLevel="1">
      <c r="B21" s="997" t="s">
        <v>308</v>
      </c>
      <c r="C21" s="1018" t="s">
        <v>309</v>
      </c>
      <c r="D21" s="1401" t="s">
        <v>310</v>
      </c>
      <c r="E21" s="999">
        <f>E22+E22</f>
        <v>9383038.875</v>
      </c>
      <c r="F21" s="1000">
        <f t="shared" ref="F21:U21" si="3">F22+F22</f>
        <v>9981956.25</v>
      </c>
      <c r="G21" s="1001">
        <f t="shared" si="3"/>
        <v>9981956.25</v>
      </c>
      <c r="H21" s="1002">
        <f t="shared" si="3"/>
        <v>29346951.375</v>
      </c>
      <c r="I21" s="1000">
        <f t="shared" si="3"/>
        <v>9981956.25</v>
      </c>
      <c r="J21" s="1000">
        <f t="shared" si="3"/>
        <v>9981956.25</v>
      </c>
      <c r="K21" s="1001">
        <f t="shared" si="3"/>
        <v>9981956.25</v>
      </c>
      <c r="L21" s="1002">
        <f t="shared" si="3"/>
        <v>29945868.75</v>
      </c>
      <c r="M21" s="1000">
        <f t="shared" si="3"/>
        <v>9981956.25</v>
      </c>
      <c r="N21" s="1000">
        <f t="shared" si="3"/>
        <v>9981956.25</v>
      </c>
      <c r="O21" s="1000">
        <f t="shared" si="3"/>
        <v>9981956.25</v>
      </c>
      <c r="P21" s="1003">
        <f t="shared" si="3"/>
        <v>29945868.75</v>
      </c>
      <c r="Q21" s="1000">
        <f t="shared" si="3"/>
        <v>9981956.25</v>
      </c>
      <c r="R21" s="1000">
        <f t="shared" si="3"/>
        <v>9981956.25</v>
      </c>
      <c r="S21" s="1000">
        <f t="shared" si="3"/>
        <v>9981956.25</v>
      </c>
      <c r="T21" s="999">
        <f t="shared" si="3"/>
        <v>29945868.75</v>
      </c>
      <c r="U21" s="1004">
        <f t="shared" si="3"/>
        <v>119184557.625</v>
      </c>
      <c r="V21" s="1013"/>
      <c r="W21" s="962"/>
      <c r="X21" s="962"/>
      <c r="Y21" s="962"/>
      <c r="Z21" s="962"/>
      <c r="AA21" s="962"/>
      <c r="AB21" s="962"/>
      <c r="AC21" s="962"/>
      <c r="AD21" s="962"/>
      <c r="AE21" s="962"/>
      <c r="AF21" s="962"/>
      <c r="AG21" s="962"/>
      <c r="AH21" s="962"/>
    </row>
    <row r="22" spans="2:34" hidden="1" outlineLevel="2">
      <c r="B22" s="1005" t="s">
        <v>311</v>
      </c>
      <c r="C22" s="1006" t="s">
        <v>312</v>
      </c>
      <c r="D22" s="1402" t="s">
        <v>313</v>
      </c>
      <c r="E22" s="1007">
        <f>'PL. FN'!D4</f>
        <v>4691519.4375</v>
      </c>
      <c r="F22" s="1008">
        <f>'PL. FN'!E4</f>
        <v>4990978.125</v>
      </c>
      <c r="G22" s="1009">
        <f>'PL. FN'!F4</f>
        <v>4990978.125</v>
      </c>
      <c r="H22" s="1015">
        <f>'PL. FN'!G4</f>
        <v>14673475.6875</v>
      </c>
      <c r="I22" s="1008">
        <f>'PL. FN'!H4</f>
        <v>4990978.125</v>
      </c>
      <c r="J22" s="1008">
        <f>'PL. FN'!I4</f>
        <v>4990978.125</v>
      </c>
      <c r="K22" s="1009">
        <f>'PL. FN'!J4</f>
        <v>4990978.125</v>
      </c>
      <c r="L22" s="1015">
        <f>'PL. FN'!K4</f>
        <v>14972934.375</v>
      </c>
      <c r="M22" s="1008">
        <f>'PL. FN'!L4</f>
        <v>4990978.125</v>
      </c>
      <c r="N22" s="1008">
        <f>'PL. FN'!M4</f>
        <v>4990978.125</v>
      </c>
      <c r="O22" s="1008">
        <f>'PL. FN'!N4</f>
        <v>4990978.125</v>
      </c>
      <c r="P22" s="1016">
        <f>'PL. FN'!O4</f>
        <v>14972934.375</v>
      </c>
      <c r="Q22" s="1008">
        <f>'PL. FN'!P4</f>
        <v>4990978.125</v>
      </c>
      <c r="R22" s="1008">
        <f>'PL. FN'!Q4</f>
        <v>4990978.125</v>
      </c>
      <c r="S22" s="1008">
        <f>'PL. FN'!R4</f>
        <v>4990978.125</v>
      </c>
      <c r="T22" s="1007">
        <f>'PL. FN'!S4</f>
        <v>14972934.375</v>
      </c>
      <c r="U22" s="1012">
        <f>'PL. FN'!T4</f>
        <v>59592278.8125</v>
      </c>
      <c r="V22" s="1013"/>
      <c r="W22" s="962"/>
      <c r="X22" s="962"/>
      <c r="Y22" s="962"/>
      <c r="Z22" s="962"/>
      <c r="AA22" s="962"/>
      <c r="AB22" s="962"/>
      <c r="AC22" s="962"/>
      <c r="AD22" s="962"/>
      <c r="AE22" s="962"/>
      <c r="AF22" s="962"/>
      <c r="AG22" s="962"/>
      <c r="AH22" s="962"/>
    </row>
    <row r="23" spans="2:34" hidden="1" outlineLevel="2">
      <c r="B23" s="1005" t="s">
        <v>314</v>
      </c>
      <c r="C23" s="1006" t="s">
        <v>315</v>
      </c>
      <c r="D23" s="1402" t="s">
        <v>316</v>
      </c>
      <c r="E23" s="772">
        <f>E24+E25</f>
        <v>1818914.8419999997</v>
      </c>
      <c r="F23" s="764">
        <f t="shared" ref="F23:U23" si="4">F24+F25</f>
        <v>1824324.2999999998</v>
      </c>
      <c r="G23" s="863">
        <f t="shared" si="4"/>
        <v>3321617.7374999998</v>
      </c>
      <c r="H23" s="773">
        <f t="shared" si="4"/>
        <v>6964856.8794999998</v>
      </c>
      <c r="I23" s="764">
        <f t="shared" si="4"/>
        <v>1924324.2999999998</v>
      </c>
      <c r="J23" s="764">
        <f t="shared" si="4"/>
        <v>1824324.2999999998</v>
      </c>
      <c r="K23" s="863">
        <f t="shared" si="4"/>
        <v>3321617.7374999998</v>
      </c>
      <c r="L23" s="773">
        <f t="shared" si="4"/>
        <v>7070266.3374999994</v>
      </c>
      <c r="M23" s="764">
        <f t="shared" si="4"/>
        <v>2082324.2999999998</v>
      </c>
      <c r="N23" s="764">
        <f t="shared" si="4"/>
        <v>1824324.2999999998</v>
      </c>
      <c r="O23" s="764">
        <f t="shared" si="4"/>
        <v>3321617.7374999998</v>
      </c>
      <c r="P23" s="776">
        <f t="shared" si="4"/>
        <v>7228266.3374999994</v>
      </c>
      <c r="Q23" s="764">
        <f t="shared" si="4"/>
        <v>1924324.2999999998</v>
      </c>
      <c r="R23" s="764">
        <f t="shared" si="4"/>
        <v>1824324.2999999998</v>
      </c>
      <c r="S23" s="764">
        <f t="shared" si="4"/>
        <v>3321617.7374999998</v>
      </c>
      <c r="T23" s="772">
        <f t="shared" si="4"/>
        <v>7070266.3374999994</v>
      </c>
      <c r="U23" s="866">
        <f t="shared" si="4"/>
        <v>28333655.891999997</v>
      </c>
      <c r="V23" s="1013"/>
      <c r="W23" s="962"/>
      <c r="X23" s="962"/>
      <c r="Y23" s="962"/>
      <c r="Z23" s="962"/>
      <c r="AA23" s="962"/>
      <c r="AB23" s="962"/>
      <c r="AC23" s="962"/>
      <c r="AD23" s="962"/>
      <c r="AE23" s="962"/>
      <c r="AF23" s="962"/>
      <c r="AG23" s="962"/>
      <c r="AH23" s="962"/>
    </row>
    <row r="24" spans="2:34" hidden="1" outlineLevel="2">
      <c r="B24" s="1005" t="s">
        <v>317</v>
      </c>
      <c r="C24" s="1006" t="s">
        <v>318</v>
      </c>
      <c r="D24" s="1402" t="s">
        <v>319</v>
      </c>
      <c r="E24" s="774">
        <f>'PL. FN'!D5</f>
        <v>1651414.8419999997</v>
      </c>
      <c r="F24" s="765">
        <f>'PL. FN'!E5</f>
        <v>1756824.2999999998</v>
      </c>
      <c r="G24" s="864">
        <f>'PL. FN'!F5</f>
        <v>1756824.2999999998</v>
      </c>
      <c r="H24" s="775">
        <f>'PL. FN'!G5</f>
        <v>5165063.4419999998</v>
      </c>
      <c r="I24" s="765">
        <f>'PL. FN'!H5</f>
        <v>1756824.2999999998</v>
      </c>
      <c r="J24" s="765">
        <f>'PL. FN'!I5</f>
        <v>1756824.2999999998</v>
      </c>
      <c r="K24" s="864">
        <f>'PL. FN'!J5</f>
        <v>1756824.2999999998</v>
      </c>
      <c r="L24" s="775">
        <f>'PL. FN'!K5</f>
        <v>5270472.8999999994</v>
      </c>
      <c r="M24" s="765">
        <f>'PL. FN'!L5</f>
        <v>1756824.2999999998</v>
      </c>
      <c r="N24" s="765">
        <f>'PL. FN'!M5</f>
        <v>1756824.2999999998</v>
      </c>
      <c r="O24" s="765">
        <f>'PL. FN'!N5</f>
        <v>1756824.2999999998</v>
      </c>
      <c r="P24" s="777">
        <f>'PL. FN'!O5</f>
        <v>5270472.8999999994</v>
      </c>
      <c r="Q24" s="765">
        <f>'PL. FN'!P5</f>
        <v>1756824.2999999998</v>
      </c>
      <c r="R24" s="765">
        <f>'PL. FN'!Q5</f>
        <v>1756824.2999999998</v>
      </c>
      <c r="S24" s="765">
        <f>'PL. FN'!R5</f>
        <v>1756824.2999999998</v>
      </c>
      <c r="T24" s="774">
        <f>'PL. FN'!S5</f>
        <v>5270472.8999999994</v>
      </c>
      <c r="U24" s="867">
        <f>'PL. FN'!T5</f>
        <v>20976482.141999997</v>
      </c>
      <c r="V24" s="1013"/>
      <c r="W24" s="962"/>
      <c r="X24" s="962"/>
      <c r="Y24" s="962"/>
      <c r="Z24" s="962"/>
      <c r="AA24" s="962"/>
      <c r="AB24" s="962"/>
      <c r="AC24" s="962"/>
      <c r="AD24" s="962"/>
      <c r="AE24" s="962"/>
      <c r="AF24" s="962"/>
      <c r="AG24" s="962"/>
      <c r="AH24" s="962"/>
    </row>
    <row r="25" spans="2:34" hidden="1" outlineLevel="2">
      <c r="B25" s="1005" t="s">
        <v>320</v>
      </c>
      <c r="C25" s="1006" t="s">
        <v>321</v>
      </c>
      <c r="D25" s="1402" t="s">
        <v>322</v>
      </c>
      <c r="E25" s="774">
        <f>SUM('PL. FN'!D6:D8)</f>
        <v>167500</v>
      </c>
      <c r="F25" s="765">
        <f>SUM('PL. FN'!E6:E8)</f>
        <v>67500</v>
      </c>
      <c r="G25" s="864">
        <f>SUM('PL. FN'!F6:F8)</f>
        <v>1564793.4375</v>
      </c>
      <c r="H25" s="775">
        <f>SUM('PL. FN'!G6:G8)</f>
        <v>1799793.4375</v>
      </c>
      <c r="I25" s="765">
        <f>SUM('PL. FN'!H6:H8)</f>
        <v>167500</v>
      </c>
      <c r="J25" s="765">
        <f>SUM('PL. FN'!I6:I8)</f>
        <v>67500</v>
      </c>
      <c r="K25" s="864">
        <f>SUM('PL. FN'!J6:J8)</f>
        <v>1564793.4375</v>
      </c>
      <c r="L25" s="775">
        <f>SUM('PL. FN'!K6:K8)</f>
        <v>1799793.4375</v>
      </c>
      <c r="M25" s="765">
        <f>SUM('PL. FN'!L6:L8)</f>
        <v>325500</v>
      </c>
      <c r="N25" s="765">
        <f>SUM('PL. FN'!M6:M8)</f>
        <v>67500</v>
      </c>
      <c r="O25" s="765">
        <f>SUM('PL. FN'!N6:N8)</f>
        <v>1564793.4375</v>
      </c>
      <c r="P25" s="777">
        <f>SUM('PL. FN'!O6:O8)</f>
        <v>1957793.4375</v>
      </c>
      <c r="Q25" s="765">
        <f>SUM('PL. FN'!P6:P8)</f>
        <v>167500</v>
      </c>
      <c r="R25" s="765">
        <f>SUM('PL. FN'!Q6:Q8)</f>
        <v>67500</v>
      </c>
      <c r="S25" s="765">
        <f>SUM('PL. FN'!R6:R8)</f>
        <v>1564793.4375</v>
      </c>
      <c r="T25" s="774">
        <f>SUM('PL. FN'!S6:S8)</f>
        <v>1799793.4375</v>
      </c>
      <c r="U25" s="867">
        <f>SUM('PL. FN'!T6:T8)</f>
        <v>7357173.75</v>
      </c>
      <c r="V25" s="1013"/>
      <c r="W25" s="962"/>
      <c r="X25" s="962"/>
      <c r="Y25" s="962"/>
      <c r="Z25" s="962"/>
      <c r="AA25" s="962"/>
      <c r="AB25" s="962"/>
      <c r="AC25" s="962"/>
      <c r="AD25" s="962"/>
      <c r="AE25" s="962"/>
      <c r="AF25" s="962"/>
      <c r="AG25" s="962"/>
      <c r="AH25" s="962"/>
    </row>
    <row r="26" spans="2:34" outlineLevel="1" collapsed="1">
      <c r="B26" s="997" t="s">
        <v>323</v>
      </c>
      <c r="C26" s="1018" t="s">
        <v>324</v>
      </c>
      <c r="D26" s="1401" t="s">
        <v>325</v>
      </c>
      <c r="E26" s="999">
        <f>E27+E30+E31</f>
        <v>532986.11111111112</v>
      </c>
      <c r="F26" s="1020">
        <f t="shared" ref="F26:T26" si="5">F27+F30+F31</f>
        <v>532986.11111111112</v>
      </c>
      <c r="G26" s="1021">
        <f t="shared" si="5"/>
        <v>532986.11111111112</v>
      </c>
      <c r="H26" s="1022">
        <f t="shared" si="5"/>
        <v>1598958.3333333335</v>
      </c>
      <c r="I26" s="1020">
        <f t="shared" si="5"/>
        <v>532986.11111111112</v>
      </c>
      <c r="J26" s="1020">
        <f t="shared" si="5"/>
        <v>532986.11111111112</v>
      </c>
      <c r="K26" s="1021">
        <f t="shared" si="5"/>
        <v>532986.11111111112</v>
      </c>
      <c r="L26" s="1022">
        <f t="shared" si="5"/>
        <v>1598958.3333333335</v>
      </c>
      <c r="M26" s="1020">
        <f t="shared" si="5"/>
        <v>532986.11111111112</v>
      </c>
      <c r="N26" s="1020">
        <f t="shared" si="5"/>
        <v>532986.11111111112</v>
      </c>
      <c r="O26" s="1020">
        <f t="shared" si="5"/>
        <v>532986.11111111112</v>
      </c>
      <c r="P26" s="1023">
        <f t="shared" si="5"/>
        <v>1598958.3333333335</v>
      </c>
      <c r="Q26" s="1020">
        <f t="shared" si="5"/>
        <v>532986.11111111112</v>
      </c>
      <c r="R26" s="1020">
        <f t="shared" si="5"/>
        <v>532986.11111111112</v>
      </c>
      <c r="S26" s="1020">
        <f t="shared" si="5"/>
        <v>532986.11111111112</v>
      </c>
      <c r="T26" s="1019">
        <f t="shared" si="5"/>
        <v>1598958.3333333335</v>
      </c>
      <c r="U26" s="1024">
        <f>U27+U30+U31</f>
        <v>6395833.333333334</v>
      </c>
      <c r="V26" s="1013"/>
      <c r="W26" s="962"/>
      <c r="X26" s="962"/>
      <c r="Y26" s="962"/>
      <c r="Z26" s="962"/>
      <c r="AA26" s="962"/>
      <c r="AB26" s="962"/>
      <c r="AC26" s="962"/>
      <c r="AD26" s="962"/>
      <c r="AE26" s="962"/>
      <c r="AF26" s="962"/>
      <c r="AG26" s="962"/>
      <c r="AH26" s="962"/>
    </row>
    <row r="27" spans="2:34" hidden="1" outlineLevel="2">
      <c r="B27" s="1005" t="s">
        <v>326</v>
      </c>
      <c r="C27" s="1006" t="s">
        <v>327</v>
      </c>
      <c r="D27" s="1402" t="s">
        <v>328</v>
      </c>
      <c r="E27" s="1007">
        <f>E28+E29</f>
        <v>532986.11111111112</v>
      </c>
      <c r="F27" s="1031">
        <f t="shared" ref="F27:T27" si="6">F28+F29</f>
        <v>532986.11111111112</v>
      </c>
      <c r="G27" s="1032">
        <f t="shared" si="6"/>
        <v>532986.11111111112</v>
      </c>
      <c r="H27" s="1033">
        <f t="shared" si="6"/>
        <v>1598958.3333333335</v>
      </c>
      <c r="I27" s="1031">
        <f t="shared" si="6"/>
        <v>532986.11111111112</v>
      </c>
      <c r="J27" s="1031">
        <f t="shared" si="6"/>
        <v>532986.11111111112</v>
      </c>
      <c r="K27" s="1032">
        <f t="shared" si="6"/>
        <v>532986.11111111112</v>
      </c>
      <c r="L27" s="1033">
        <f t="shared" si="6"/>
        <v>1598958.3333333335</v>
      </c>
      <c r="M27" s="1031">
        <f t="shared" si="6"/>
        <v>532986.11111111112</v>
      </c>
      <c r="N27" s="1031">
        <f t="shared" si="6"/>
        <v>532986.11111111112</v>
      </c>
      <c r="O27" s="1031">
        <f t="shared" si="6"/>
        <v>532986.11111111112</v>
      </c>
      <c r="P27" s="1034">
        <f t="shared" si="6"/>
        <v>1598958.3333333335</v>
      </c>
      <c r="Q27" s="1031">
        <f t="shared" si="6"/>
        <v>532986.11111111112</v>
      </c>
      <c r="R27" s="1031">
        <f t="shared" si="6"/>
        <v>532986.11111111112</v>
      </c>
      <c r="S27" s="1031">
        <f t="shared" si="6"/>
        <v>532986.11111111112</v>
      </c>
      <c r="T27" s="1035">
        <f t="shared" si="6"/>
        <v>1598958.3333333335</v>
      </c>
      <c r="U27" s="1012">
        <f>U28+U29</f>
        <v>6395833.333333334</v>
      </c>
      <c r="V27" s="1013"/>
      <c r="W27" s="962"/>
      <c r="X27" s="962"/>
      <c r="Y27" s="962"/>
      <c r="Z27" s="962"/>
      <c r="AA27" s="962"/>
      <c r="AB27" s="962"/>
      <c r="AC27" s="962"/>
      <c r="AD27" s="962"/>
      <c r="AE27" s="962"/>
      <c r="AF27" s="962"/>
      <c r="AG27" s="962"/>
      <c r="AH27" s="962"/>
    </row>
    <row r="28" spans="2:34" hidden="1" outlineLevel="2">
      <c r="B28" s="1005" t="s">
        <v>329</v>
      </c>
      <c r="C28" s="1006" t="s">
        <v>330</v>
      </c>
      <c r="D28" s="1402" t="s">
        <v>331</v>
      </c>
      <c r="E28" s="1007">
        <f>'PL. FN'!D9</f>
        <v>532986.11111111112</v>
      </c>
      <c r="F28" s="1008">
        <f>'PL. FN'!E9</f>
        <v>532986.11111111112</v>
      </c>
      <c r="G28" s="1009">
        <f>'PL. FN'!F9</f>
        <v>532986.11111111112</v>
      </c>
      <c r="H28" s="1015">
        <f>'PL. FN'!G9</f>
        <v>1598958.3333333335</v>
      </c>
      <c r="I28" s="1008">
        <f>'PL. FN'!H9</f>
        <v>532986.11111111112</v>
      </c>
      <c r="J28" s="1008">
        <f>'PL. FN'!I9</f>
        <v>532986.11111111112</v>
      </c>
      <c r="K28" s="1009">
        <f>'PL. FN'!J9</f>
        <v>532986.11111111112</v>
      </c>
      <c r="L28" s="1015">
        <f>'PL. FN'!K9</f>
        <v>1598958.3333333335</v>
      </c>
      <c r="M28" s="1008">
        <f>'PL. FN'!L9</f>
        <v>532986.11111111112</v>
      </c>
      <c r="N28" s="1008">
        <f>'PL. FN'!M9</f>
        <v>532986.11111111112</v>
      </c>
      <c r="O28" s="1008">
        <f>'PL. FN'!N9</f>
        <v>532986.11111111112</v>
      </c>
      <c r="P28" s="1016">
        <f>'PL. FN'!O9</f>
        <v>1598958.3333333335</v>
      </c>
      <c r="Q28" s="1008">
        <f>'PL. FN'!P9</f>
        <v>532986.11111111112</v>
      </c>
      <c r="R28" s="1008">
        <f>'PL. FN'!Q9</f>
        <v>532986.11111111112</v>
      </c>
      <c r="S28" s="1008">
        <f>'PL. FN'!R9</f>
        <v>532986.11111111112</v>
      </c>
      <c r="T28" s="1007">
        <f>'PL. FN'!S9</f>
        <v>1598958.3333333335</v>
      </c>
      <c r="U28" s="1012">
        <f>'PL. FN'!T9</f>
        <v>6395833.333333334</v>
      </c>
      <c r="V28" s="1013"/>
      <c r="W28" s="962"/>
      <c r="X28" s="962"/>
      <c r="Y28" s="962"/>
      <c r="Z28" s="962"/>
      <c r="AA28" s="962"/>
      <c r="AB28" s="962"/>
      <c r="AC28" s="962"/>
      <c r="AD28" s="962"/>
      <c r="AE28" s="962"/>
      <c r="AF28" s="962"/>
      <c r="AG28" s="962"/>
      <c r="AH28" s="962"/>
    </row>
    <row r="29" spans="2:34" hidden="1" outlineLevel="2">
      <c r="B29" s="1005" t="s">
        <v>332</v>
      </c>
      <c r="C29" s="1006" t="s">
        <v>333</v>
      </c>
      <c r="D29" s="1402" t="s">
        <v>334</v>
      </c>
      <c r="E29" s="1035">
        <v>0</v>
      </c>
      <c r="F29" s="1031">
        <v>0</v>
      </c>
      <c r="G29" s="1032">
        <v>0</v>
      </c>
      <c r="H29" s="1033">
        <v>0</v>
      </c>
      <c r="I29" s="1031">
        <v>0</v>
      </c>
      <c r="J29" s="1031">
        <v>0</v>
      </c>
      <c r="K29" s="1032">
        <v>0</v>
      </c>
      <c r="L29" s="1033">
        <v>0</v>
      </c>
      <c r="M29" s="1031">
        <v>0</v>
      </c>
      <c r="N29" s="1031">
        <v>0</v>
      </c>
      <c r="O29" s="1031">
        <v>0</v>
      </c>
      <c r="P29" s="1034">
        <v>0</v>
      </c>
      <c r="Q29" s="1031">
        <v>0</v>
      </c>
      <c r="R29" s="1031">
        <v>0</v>
      </c>
      <c r="S29" s="1031">
        <v>0</v>
      </c>
      <c r="T29" s="1035">
        <v>0</v>
      </c>
      <c r="U29" s="1036">
        <v>0</v>
      </c>
      <c r="V29" s="1013"/>
      <c r="W29" s="962"/>
      <c r="X29" s="962"/>
      <c r="Y29" s="962"/>
      <c r="Z29" s="962"/>
      <c r="AA29" s="962"/>
      <c r="AB29" s="962"/>
      <c r="AC29" s="962"/>
      <c r="AD29" s="962"/>
      <c r="AE29" s="962"/>
      <c r="AF29" s="962"/>
      <c r="AG29" s="962"/>
      <c r="AH29" s="962"/>
    </row>
    <row r="30" spans="2:34" hidden="1" outlineLevel="2">
      <c r="B30" s="1005" t="s">
        <v>335</v>
      </c>
      <c r="C30" s="1006" t="s">
        <v>336</v>
      </c>
      <c r="D30" s="1402" t="s">
        <v>337</v>
      </c>
      <c r="E30" s="1035"/>
      <c r="F30" s="1031"/>
      <c r="G30" s="1032"/>
      <c r="H30" s="1033"/>
      <c r="I30" s="1031"/>
      <c r="J30" s="1031"/>
      <c r="K30" s="1032"/>
      <c r="L30" s="1033"/>
      <c r="M30" s="1031"/>
      <c r="N30" s="1031"/>
      <c r="O30" s="1031"/>
      <c r="P30" s="1034"/>
      <c r="Q30" s="1031"/>
      <c r="R30" s="1031"/>
      <c r="S30" s="1031"/>
      <c r="T30" s="1035"/>
      <c r="U30" s="1036"/>
      <c r="V30" s="1013"/>
      <c r="W30" s="962"/>
      <c r="X30" s="962"/>
      <c r="Y30" s="962"/>
      <c r="Z30" s="962"/>
      <c r="AA30" s="962"/>
      <c r="AB30" s="962"/>
      <c r="AC30" s="962"/>
      <c r="AD30" s="962"/>
      <c r="AE30" s="962"/>
      <c r="AF30" s="962"/>
      <c r="AG30" s="962"/>
      <c r="AH30" s="962"/>
    </row>
    <row r="31" spans="2:34" hidden="1" outlineLevel="2">
      <c r="B31" s="1005" t="s">
        <v>338</v>
      </c>
      <c r="C31" s="1006" t="s">
        <v>339</v>
      </c>
      <c r="D31" s="1402" t="s">
        <v>340</v>
      </c>
      <c r="E31" s="1035"/>
      <c r="F31" s="1031"/>
      <c r="G31" s="1032">
        <v>0</v>
      </c>
      <c r="H31" s="1033">
        <v>0</v>
      </c>
      <c r="I31" s="1031">
        <v>0</v>
      </c>
      <c r="J31" s="1031">
        <v>0</v>
      </c>
      <c r="K31" s="1032">
        <v>0</v>
      </c>
      <c r="L31" s="1033">
        <v>0</v>
      </c>
      <c r="M31" s="1031">
        <v>0</v>
      </c>
      <c r="N31" s="1031">
        <v>0</v>
      </c>
      <c r="O31" s="1031">
        <v>0</v>
      </c>
      <c r="P31" s="1034">
        <v>0</v>
      </c>
      <c r="Q31" s="1031">
        <v>0</v>
      </c>
      <c r="R31" s="1031">
        <v>0</v>
      </c>
      <c r="S31" s="1031">
        <v>0</v>
      </c>
      <c r="T31" s="1035">
        <v>0</v>
      </c>
      <c r="U31" s="1036"/>
      <c r="V31" s="1013"/>
      <c r="W31" s="962"/>
      <c r="X31" s="962"/>
      <c r="Y31" s="962"/>
      <c r="Z31" s="962"/>
      <c r="AA31" s="962"/>
      <c r="AB31" s="962"/>
      <c r="AC31" s="962"/>
      <c r="AD31" s="962"/>
      <c r="AE31" s="962"/>
      <c r="AF31" s="962"/>
      <c r="AG31" s="962"/>
      <c r="AH31" s="962"/>
    </row>
    <row r="32" spans="2:34">
      <c r="B32" s="986" t="s">
        <v>341</v>
      </c>
      <c r="C32" s="987" t="s">
        <v>342</v>
      </c>
      <c r="D32" s="1400" t="s">
        <v>343</v>
      </c>
      <c r="E32" s="988">
        <f>E33+E34+E35</f>
        <v>0</v>
      </c>
      <c r="F32" s="989">
        <f t="shared" ref="F32:U32" si="7">F33+F34+F35</f>
        <v>0</v>
      </c>
      <c r="G32" s="990">
        <f t="shared" si="7"/>
        <v>0</v>
      </c>
      <c r="H32" s="991">
        <f t="shared" si="7"/>
        <v>0</v>
      </c>
      <c r="I32" s="989">
        <f t="shared" si="7"/>
        <v>0</v>
      </c>
      <c r="J32" s="989">
        <f t="shared" si="7"/>
        <v>0</v>
      </c>
      <c r="K32" s="990">
        <f t="shared" si="7"/>
        <v>0</v>
      </c>
      <c r="L32" s="991">
        <f t="shared" si="7"/>
        <v>0</v>
      </c>
      <c r="M32" s="989">
        <f t="shared" si="7"/>
        <v>0</v>
      </c>
      <c r="N32" s="989">
        <f t="shared" si="7"/>
        <v>0</v>
      </c>
      <c r="O32" s="989">
        <f t="shared" si="7"/>
        <v>0</v>
      </c>
      <c r="P32" s="994">
        <f t="shared" si="7"/>
        <v>0</v>
      </c>
      <c r="Q32" s="989">
        <f t="shared" si="7"/>
        <v>0</v>
      </c>
      <c r="R32" s="989">
        <f t="shared" si="7"/>
        <v>0</v>
      </c>
      <c r="S32" s="989">
        <f t="shared" si="7"/>
        <v>0</v>
      </c>
      <c r="T32" s="988">
        <f t="shared" si="7"/>
        <v>0</v>
      </c>
      <c r="U32" s="996">
        <f t="shared" si="7"/>
        <v>0</v>
      </c>
      <c r="V32" s="1013"/>
      <c r="W32" s="962"/>
      <c r="X32" s="962"/>
      <c r="Y32" s="962"/>
      <c r="Z32" s="962"/>
      <c r="AA32" s="962"/>
      <c r="AB32" s="962"/>
      <c r="AC32" s="962"/>
      <c r="AD32" s="962"/>
      <c r="AE32" s="962"/>
      <c r="AF32" s="962"/>
      <c r="AG32" s="962"/>
      <c r="AH32" s="962"/>
    </row>
    <row r="33" spans="2:34" outlineLevel="1">
      <c r="B33" s="986" t="s">
        <v>344</v>
      </c>
      <c r="C33" s="987" t="s">
        <v>345</v>
      </c>
      <c r="D33" s="1400" t="s">
        <v>346</v>
      </c>
      <c r="E33" s="988">
        <v>0</v>
      </c>
      <c r="F33" s="989">
        <v>0</v>
      </c>
      <c r="G33" s="990">
        <v>0</v>
      </c>
      <c r="H33" s="991">
        <v>0</v>
      </c>
      <c r="I33" s="989">
        <v>0</v>
      </c>
      <c r="J33" s="989">
        <v>0</v>
      </c>
      <c r="K33" s="990">
        <v>0</v>
      </c>
      <c r="L33" s="991">
        <v>0</v>
      </c>
      <c r="M33" s="989">
        <v>0</v>
      </c>
      <c r="N33" s="989">
        <v>0</v>
      </c>
      <c r="O33" s="989">
        <v>0</v>
      </c>
      <c r="P33" s="994">
        <v>0</v>
      </c>
      <c r="Q33" s="989">
        <v>0</v>
      </c>
      <c r="R33" s="989">
        <v>0</v>
      </c>
      <c r="S33" s="989">
        <v>0</v>
      </c>
      <c r="T33" s="988">
        <v>0</v>
      </c>
      <c r="U33" s="996">
        <v>0</v>
      </c>
      <c r="V33" s="962"/>
      <c r="W33" s="962"/>
      <c r="X33" s="962"/>
      <c r="Y33" s="962"/>
      <c r="Z33" s="962"/>
      <c r="AA33" s="962"/>
      <c r="AB33" s="962"/>
      <c r="AC33" s="962"/>
      <c r="AD33" s="962"/>
      <c r="AE33" s="962"/>
      <c r="AF33" s="962"/>
      <c r="AG33" s="962"/>
      <c r="AH33" s="962"/>
    </row>
    <row r="34" spans="2:34" outlineLevel="1">
      <c r="B34" s="986" t="s">
        <v>347</v>
      </c>
      <c r="C34" s="987" t="s">
        <v>348</v>
      </c>
      <c r="D34" s="1400" t="s">
        <v>349</v>
      </c>
      <c r="E34" s="988">
        <v>0</v>
      </c>
      <c r="F34" s="989">
        <v>0</v>
      </c>
      <c r="G34" s="990">
        <v>0</v>
      </c>
      <c r="H34" s="991">
        <v>0</v>
      </c>
      <c r="I34" s="989">
        <v>0</v>
      </c>
      <c r="J34" s="989">
        <v>0</v>
      </c>
      <c r="K34" s="990">
        <v>0</v>
      </c>
      <c r="L34" s="991">
        <v>0</v>
      </c>
      <c r="M34" s="989">
        <v>0</v>
      </c>
      <c r="N34" s="989">
        <v>0</v>
      </c>
      <c r="O34" s="989">
        <v>0</v>
      </c>
      <c r="P34" s="994">
        <v>0</v>
      </c>
      <c r="Q34" s="989">
        <v>0</v>
      </c>
      <c r="R34" s="989">
        <v>0</v>
      </c>
      <c r="S34" s="989">
        <v>0</v>
      </c>
      <c r="T34" s="988">
        <v>0</v>
      </c>
      <c r="U34" s="996">
        <v>0</v>
      </c>
      <c r="V34" s="962"/>
      <c r="W34" s="962"/>
      <c r="X34" s="962"/>
      <c r="Y34" s="962"/>
      <c r="Z34" s="962"/>
      <c r="AA34" s="962"/>
      <c r="AB34" s="962"/>
      <c r="AC34" s="962"/>
      <c r="AD34" s="962"/>
      <c r="AE34" s="962"/>
      <c r="AF34" s="962"/>
      <c r="AG34" s="962"/>
      <c r="AH34" s="962"/>
    </row>
    <row r="35" spans="2:34" outlineLevel="1">
      <c r="B35" s="986" t="s">
        <v>350</v>
      </c>
      <c r="C35" s="987" t="s">
        <v>351</v>
      </c>
      <c r="D35" s="1400" t="s">
        <v>352</v>
      </c>
      <c r="E35" s="988">
        <v>0</v>
      </c>
      <c r="F35" s="989">
        <v>0</v>
      </c>
      <c r="G35" s="990">
        <v>0</v>
      </c>
      <c r="H35" s="991">
        <v>0</v>
      </c>
      <c r="I35" s="989">
        <v>0</v>
      </c>
      <c r="J35" s="989">
        <v>0</v>
      </c>
      <c r="K35" s="990">
        <v>0</v>
      </c>
      <c r="L35" s="991">
        <v>0</v>
      </c>
      <c r="M35" s="989">
        <v>0</v>
      </c>
      <c r="N35" s="989">
        <v>0</v>
      </c>
      <c r="O35" s="989">
        <v>0</v>
      </c>
      <c r="P35" s="994">
        <v>0</v>
      </c>
      <c r="Q35" s="989">
        <v>0</v>
      </c>
      <c r="R35" s="989">
        <v>0</v>
      </c>
      <c r="S35" s="989">
        <v>0</v>
      </c>
      <c r="T35" s="988">
        <v>0</v>
      </c>
      <c r="U35" s="996">
        <v>0</v>
      </c>
      <c r="V35" s="962"/>
      <c r="W35" s="962"/>
      <c r="X35" s="962"/>
      <c r="Y35" s="962"/>
      <c r="Z35" s="962"/>
      <c r="AA35" s="962"/>
      <c r="AB35" s="962"/>
      <c r="AC35" s="962"/>
      <c r="AD35" s="962"/>
      <c r="AE35" s="962"/>
      <c r="AF35" s="962"/>
      <c r="AG35" s="962"/>
      <c r="AH35" s="962"/>
    </row>
    <row r="36" spans="2:34" outlineLevel="1">
      <c r="B36" s="1037" t="s">
        <v>353</v>
      </c>
      <c r="C36" s="1038" t="s">
        <v>354</v>
      </c>
      <c r="D36" s="1401" t="s">
        <v>355</v>
      </c>
      <c r="E36" s="1039">
        <f>E37+E38+E39+E40+E41</f>
        <v>0</v>
      </c>
      <c r="F36" s="1040">
        <f t="shared" ref="F36:U36" si="8">F37+F38+F39+F40+F41</f>
        <v>0</v>
      </c>
      <c r="G36" s="1041">
        <f t="shared" si="8"/>
        <v>0</v>
      </c>
      <c r="H36" s="1042">
        <f t="shared" si="8"/>
        <v>0</v>
      </c>
      <c r="I36" s="1040">
        <f t="shared" si="8"/>
        <v>0</v>
      </c>
      <c r="J36" s="1040">
        <f t="shared" si="8"/>
        <v>0</v>
      </c>
      <c r="K36" s="1041">
        <f t="shared" si="8"/>
        <v>0</v>
      </c>
      <c r="L36" s="1042">
        <f t="shared" si="8"/>
        <v>0</v>
      </c>
      <c r="M36" s="1040">
        <f t="shared" si="8"/>
        <v>0</v>
      </c>
      <c r="N36" s="1040">
        <f t="shared" si="8"/>
        <v>0</v>
      </c>
      <c r="O36" s="1040">
        <f t="shared" si="8"/>
        <v>0</v>
      </c>
      <c r="P36" s="1043">
        <f t="shared" si="8"/>
        <v>0</v>
      </c>
      <c r="Q36" s="1040">
        <f t="shared" si="8"/>
        <v>0</v>
      </c>
      <c r="R36" s="1040">
        <f t="shared" si="8"/>
        <v>0</v>
      </c>
      <c r="S36" s="1040">
        <f t="shared" si="8"/>
        <v>0</v>
      </c>
      <c r="T36" s="1039">
        <f t="shared" si="8"/>
        <v>0</v>
      </c>
      <c r="U36" s="1044">
        <f t="shared" si="8"/>
        <v>0</v>
      </c>
      <c r="V36" s="962"/>
      <c r="W36" s="962"/>
      <c r="X36" s="962"/>
      <c r="Y36" s="962"/>
      <c r="Z36" s="962"/>
      <c r="AA36" s="962"/>
      <c r="AB36" s="962"/>
      <c r="AC36" s="962"/>
      <c r="AD36" s="962"/>
      <c r="AE36" s="962"/>
      <c r="AF36" s="962"/>
      <c r="AG36" s="962"/>
      <c r="AH36" s="962"/>
    </row>
    <row r="37" spans="2:34" hidden="1" outlineLevel="2">
      <c r="B37" s="1045" t="s">
        <v>356</v>
      </c>
      <c r="C37" s="960" t="s">
        <v>357</v>
      </c>
      <c r="D37" s="1402" t="s">
        <v>358</v>
      </c>
      <c r="E37" s="1046">
        <v>0</v>
      </c>
      <c r="F37" s="1047">
        <v>0</v>
      </c>
      <c r="G37" s="1048">
        <v>0</v>
      </c>
      <c r="H37" s="1049">
        <v>0</v>
      </c>
      <c r="I37" s="1047">
        <v>0</v>
      </c>
      <c r="J37" s="1047">
        <v>0</v>
      </c>
      <c r="K37" s="1048">
        <v>0</v>
      </c>
      <c r="L37" s="1049">
        <v>0</v>
      </c>
      <c r="M37" s="1047">
        <v>0</v>
      </c>
      <c r="N37" s="1047">
        <v>0</v>
      </c>
      <c r="O37" s="1047">
        <v>0</v>
      </c>
      <c r="P37" s="1050">
        <v>0</v>
      </c>
      <c r="Q37" s="1047">
        <v>0</v>
      </c>
      <c r="R37" s="1047">
        <v>0</v>
      </c>
      <c r="S37" s="1047">
        <v>0</v>
      </c>
      <c r="T37" s="1046">
        <v>0</v>
      </c>
      <c r="U37" s="1051">
        <v>0</v>
      </c>
      <c r="V37" s="962"/>
      <c r="W37" s="962"/>
      <c r="X37" s="962"/>
      <c r="Y37" s="962"/>
      <c r="Z37" s="962"/>
      <c r="AA37" s="962"/>
      <c r="AB37" s="962"/>
      <c r="AC37" s="962"/>
      <c r="AD37" s="962"/>
      <c r="AE37" s="962"/>
      <c r="AF37" s="962"/>
      <c r="AG37" s="962"/>
      <c r="AH37" s="962"/>
    </row>
    <row r="38" spans="2:34" hidden="1" outlineLevel="2">
      <c r="B38" s="1052" t="s">
        <v>359</v>
      </c>
      <c r="C38" s="1053" t="s">
        <v>360</v>
      </c>
      <c r="D38" s="1402" t="s">
        <v>361</v>
      </c>
      <c r="E38" s="1054">
        <v>0</v>
      </c>
      <c r="F38" s="1055">
        <v>0</v>
      </c>
      <c r="G38" s="1056">
        <v>0</v>
      </c>
      <c r="H38" s="1057">
        <v>0</v>
      </c>
      <c r="I38" s="1055">
        <v>0</v>
      </c>
      <c r="J38" s="1055">
        <v>0</v>
      </c>
      <c r="K38" s="1056">
        <v>0</v>
      </c>
      <c r="L38" s="1057">
        <v>0</v>
      </c>
      <c r="M38" s="1055">
        <v>0</v>
      </c>
      <c r="N38" s="1055">
        <v>0</v>
      </c>
      <c r="O38" s="1055">
        <v>0</v>
      </c>
      <c r="P38" s="1058">
        <v>0</v>
      </c>
      <c r="Q38" s="1055">
        <v>0</v>
      </c>
      <c r="R38" s="1055">
        <v>0</v>
      </c>
      <c r="S38" s="1055">
        <v>0</v>
      </c>
      <c r="T38" s="1054">
        <v>0</v>
      </c>
      <c r="U38" s="1059">
        <v>0</v>
      </c>
      <c r="V38" s="985"/>
      <c r="W38" s="985"/>
      <c r="X38" s="985"/>
      <c r="Y38" s="985"/>
      <c r="Z38" s="985"/>
      <c r="AA38" s="985"/>
      <c r="AB38" s="985"/>
      <c r="AC38" s="985"/>
      <c r="AD38" s="985"/>
      <c r="AE38" s="985"/>
      <c r="AF38" s="985"/>
      <c r="AG38" s="985"/>
      <c r="AH38" s="985"/>
    </row>
    <row r="39" spans="2:34" hidden="1" outlineLevel="2">
      <c r="B39" s="1052" t="s">
        <v>362</v>
      </c>
      <c r="C39" s="1053" t="s">
        <v>363</v>
      </c>
      <c r="D39" s="1402" t="s">
        <v>364</v>
      </c>
      <c r="E39" s="1054">
        <v>0</v>
      </c>
      <c r="F39" s="1055">
        <v>0</v>
      </c>
      <c r="G39" s="1056">
        <v>0</v>
      </c>
      <c r="H39" s="1057">
        <v>0</v>
      </c>
      <c r="I39" s="1055">
        <v>0</v>
      </c>
      <c r="J39" s="1055">
        <v>0</v>
      </c>
      <c r="K39" s="1056">
        <v>0</v>
      </c>
      <c r="L39" s="1057">
        <v>0</v>
      </c>
      <c r="M39" s="1055">
        <v>0</v>
      </c>
      <c r="N39" s="1055">
        <v>0</v>
      </c>
      <c r="O39" s="1055">
        <v>0</v>
      </c>
      <c r="P39" s="1058">
        <v>0</v>
      </c>
      <c r="Q39" s="1055">
        <v>0</v>
      </c>
      <c r="R39" s="1055">
        <v>0</v>
      </c>
      <c r="S39" s="1055">
        <v>0</v>
      </c>
      <c r="T39" s="1054">
        <v>0</v>
      </c>
      <c r="U39" s="1059">
        <v>0</v>
      </c>
      <c r="V39" s="985"/>
      <c r="W39" s="985"/>
      <c r="X39" s="985"/>
      <c r="Y39" s="985"/>
      <c r="Z39" s="985"/>
      <c r="AA39" s="985"/>
      <c r="AB39" s="985"/>
      <c r="AC39" s="985"/>
      <c r="AD39" s="985"/>
      <c r="AE39" s="985"/>
      <c r="AF39" s="985"/>
      <c r="AG39" s="985"/>
      <c r="AH39" s="985"/>
    </row>
    <row r="40" spans="2:34" hidden="1" outlineLevel="2">
      <c r="B40" s="1052" t="s">
        <v>365</v>
      </c>
      <c r="C40" s="1053" t="s">
        <v>366</v>
      </c>
      <c r="D40" s="1402" t="s">
        <v>367</v>
      </c>
      <c r="E40" s="1054">
        <v>0</v>
      </c>
      <c r="F40" s="1055">
        <v>0</v>
      </c>
      <c r="G40" s="1056">
        <v>0</v>
      </c>
      <c r="H40" s="1057">
        <v>0</v>
      </c>
      <c r="I40" s="1055">
        <v>0</v>
      </c>
      <c r="J40" s="1055">
        <v>0</v>
      </c>
      <c r="K40" s="1056">
        <v>0</v>
      </c>
      <c r="L40" s="1057">
        <v>0</v>
      </c>
      <c r="M40" s="1055">
        <v>0</v>
      </c>
      <c r="N40" s="1055">
        <v>0</v>
      </c>
      <c r="O40" s="1055">
        <v>0</v>
      </c>
      <c r="P40" s="1058">
        <v>0</v>
      </c>
      <c r="Q40" s="1055">
        <v>0</v>
      </c>
      <c r="R40" s="1055">
        <v>0</v>
      </c>
      <c r="S40" s="1055">
        <v>0</v>
      </c>
      <c r="T40" s="1054">
        <v>0</v>
      </c>
      <c r="U40" s="1059">
        <v>0</v>
      </c>
      <c r="V40" s="985"/>
      <c r="W40" s="985"/>
      <c r="X40" s="985"/>
      <c r="Y40" s="985"/>
      <c r="Z40" s="985"/>
      <c r="AA40" s="985"/>
      <c r="AB40" s="985"/>
      <c r="AC40" s="985"/>
      <c r="AD40" s="985"/>
      <c r="AE40" s="985"/>
      <c r="AF40" s="985"/>
      <c r="AG40" s="985"/>
      <c r="AH40" s="985"/>
    </row>
    <row r="41" spans="2:34" hidden="1" outlineLevel="2">
      <c r="B41" s="1052" t="s">
        <v>368</v>
      </c>
      <c r="C41" s="1053" t="s">
        <v>369</v>
      </c>
      <c r="D41" s="1402" t="s">
        <v>370</v>
      </c>
      <c r="E41" s="1054">
        <v>0</v>
      </c>
      <c r="F41" s="1055">
        <v>0</v>
      </c>
      <c r="G41" s="1056">
        <v>0</v>
      </c>
      <c r="H41" s="1057">
        <v>0</v>
      </c>
      <c r="I41" s="1055">
        <v>0</v>
      </c>
      <c r="J41" s="1055">
        <v>0</v>
      </c>
      <c r="K41" s="1056">
        <v>0</v>
      </c>
      <c r="L41" s="1057">
        <v>0</v>
      </c>
      <c r="M41" s="1055">
        <v>0</v>
      </c>
      <c r="N41" s="1055">
        <v>0</v>
      </c>
      <c r="O41" s="1055">
        <v>0</v>
      </c>
      <c r="P41" s="1058">
        <v>0</v>
      </c>
      <c r="Q41" s="1055">
        <v>0</v>
      </c>
      <c r="R41" s="1055">
        <v>0</v>
      </c>
      <c r="S41" s="1055">
        <v>0</v>
      </c>
      <c r="T41" s="1054">
        <v>0</v>
      </c>
      <c r="U41" s="1059">
        <v>0</v>
      </c>
      <c r="V41" s="985"/>
      <c r="W41" s="985"/>
      <c r="X41" s="985"/>
      <c r="Y41" s="985"/>
      <c r="Z41" s="985"/>
      <c r="AA41" s="985"/>
      <c r="AB41" s="985"/>
      <c r="AC41" s="985"/>
      <c r="AD41" s="985"/>
      <c r="AE41" s="985"/>
      <c r="AF41" s="985"/>
      <c r="AG41" s="985"/>
      <c r="AH41" s="985"/>
    </row>
    <row r="42" spans="2:34" s="768" customFormat="1" outlineLevel="1" collapsed="1">
      <c r="B42" s="1060" t="s">
        <v>371</v>
      </c>
      <c r="C42" s="1061" t="s">
        <v>372</v>
      </c>
      <c r="D42" s="1403" t="s">
        <v>373</v>
      </c>
      <c r="E42" s="1062">
        <f>E13+E14-E15-E19-E20-E21-E26+E32-E36</f>
        <v>-30985648.986111112</v>
      </c>
      <c r="F42" s="1063">
        <f t="shared" ref="F42:S42" si="9">F13+F14-F15-F19-F20-F21-F26+F32-F36</f>
        <v>-33369321.361111112</v>
      </c>
      <c r="G42" s="1064">
        <f t="shared" si="9"/>
        <v>-28806514.361111112</v>
      </c>
      <c r="H42" s="1065">
        <f t="shared" si="9"/>
        <v>-93161484.708333328</v>
      </c>
      <c r="I42" s="1063">
        <f t="shared" si="9"/>
        <v>75398554.638888896</v>
      </c>
      <c r="J42" s="1063">
        <f t="shared" si="9"/>
        <v>75533513.638888896</v>
      </c>
      <c r="K42" s="1064">
        <f t="shared" si="9"/>
        <v>78100054.638888896</v>
      </c>
      <c r="L42" s="1065">
        <f t="shared" si="9"/>
        <v>229032122.91666666</v>
      </c>
      <c r="M42" s="1063">
        <f t="shared" si="9"/>
        <v>69387373.638888896</v>
      </c>
      <c r="N42" s="1063">
        <f t="shared" si="9"/>
        <v>67104442.638888888</v>
      </c>
      <c r="O42" s="1063">
        <f>O13+O14-O15-O19-O20-O21-O26+O32-O36</f>
        <v>49186985.638888888</v>
      </c>
      <c r="P42" s="1066">
        <f t="shared" si="9"/>
        <v>185678801.91666666</v>
      </c>
      <c r="Q42" s="1063">
        <f t="shared" si="9"/>
        <v>29880554.638888888</v>
      </c>
      <c r="R42" s="1063">
        <f t="shared" si="9"/>
        <v>30478309.638888888</v>
      </c>
      <c r="S42" s="1063">
        <f t="shared" si="9"/>
        <v>31515798.638888888</v>
      </c>
      <c r="T42" s="1062">
        <f>T13+T14-T15-T19-T20-T21-T26+T32-T36</f>
        <v>91874662.916666672</v>
      </c>
      <c r="U42" s="1067">
        <f>U13+U14-U15-U19-U20-U21-U26+U32-U36</f>
        <v>413424103.04166669</v>
      </c>
      <c r="V42" s="1068"/>
      <c r="W42" s="1068"/>
      <c r="X42" s="1068"/>
      <c r="Y42" s="1068"/>
      <c r="Z42" s="1068"/>
      <c r="AA42" s="1068"/>
      <c r="AB42" s="1068"/>
      <c r="AC42" s="1068"/>
      <c r="AD42" s="1068"/>
      <c r="AE42" s="1068"/>
      <c r="AF42" s="1068"/>
      <c r="AG42" s="1068"/>
      <c r="AH42" s="1068"/>
    </row>
    <row r="43" spans="2:34">
      <c r="B43" s="1069" t="s">
        <v>374</v>
      </c>
      <c r="C43" s="1070" t="s">
        <v>375</v>
      </c>
      <c r="D43" s="1404" t="s">
        <v>376</v>
      </c>
      <c r="E43" s="1071">
        <v>0</v>
      </c>
      <c r="F43" s="1072">
        <v>0</v>
      </c>
      <c r="G43" s="1073">
        <v>0</v>
      </c>
      <c r="H43" s="1074">
        <v>0</v>
      </c>
      <c r="I43" s="1072">
        <v>0</v>
      </c>
      <c r="J43" s="1072">
        <v>0</v>
      </c>
      <c r="K43" s="1073">
        <v>0</v>
      </c>
      <c r="L43" s="1074">
        <v>0</v>
      </c>
      <c r="M43" s="1072">
        <v>0</v>
      </c>
      <c r="N43" s="1072">
        <v>0</v>
      </c>
      <c r="O43" s="1072">
        <v>0</v>
      </c>
      <c r="P43" s="1075">
        <v>0</v>
      </c>
      <c r="Q43" s="1072">
        <v>0</v>
      </c>
      <c r="R43" s="1072">
        <v>0</v>
      </c>
      <c r="S43" s="1072">
        <v>0</v>
      </c>
      <c r="T43" s="1071">
        <v>0</v>
      </c>
      <c r="U43" s="1076">
        <v>0</v>
      </c>
      <c r="V43" s="985"/>
      <c r="W43" s="985"/>
      <c r="X43" s="985"/>
      <c r="Y43" s="985"/>
      <c r="Z43" s="985"/>
      <c r="AA43" s="985"/>
      <c r="AB43" s="985"/>
      <c r="AC43" s="985"/>
      <c r="AD43" s="985"/>
      <c r="AE43" s="985"/>
      <c r="AF43" s="985"/>
      <c r="AG43" s="985"/>
      <c r="AH43" s="985"/>
    </row>
    <row r="44" spans="2:34" outlineLevel="1">
      <c r="B44" s="1077" t="s">
        <v>377</v>
      </c>
      <c r="C44" s="1078" t="s">
        <v>378</v>
      </c>
      <c r="D44" s="1405" t="s">
        <v>379</v>
      </c>
      <c r="E44" s="1079">
        <v>0</v>
      </c>
      <c r="F44" s="1080">
        <v>0</v>
      </c>
      <c r="G44" s="1081">
        <v>0</v>
      </c>
      <c r="H44" s="1082">
        <v>0</v>
      </c>
      <c r="I44" s="1080">
        <v>0</v>
      </c>
      <c r="J44" s="1080">
        <v>0</v>
      </c>
      <c r="K44" s="1081">
        <v>0</v>
      </c>
      <c r="L44" s="1082">
        <v>0</v>
      </c>
      <c r="M44" s="1080">
        <v>0</v>
      </c>
      <c r="N44" s="1080">
        <v>0</v>
      </c>
      <c r="O44" s="1080">
        <v>0</v>
      </c>
      <c r="P44" s="1083">
        <v>0</v>
      </c>
      <c r="Q44" s="1080">
        <v>0</v>
      </c>
      <c r="R44" s="1080">
        <v>0</v>
      </c>
      <c r="S44" s="1080">
        <v>0</v>
      </c>
      <c r="T44" s="1079">
        <v>0</v>
      </c>
      <c r="U44" s="1084">
        <v>0</v>
      </c>
      <c r="V44" s="985"/>
      <c r="W44" s="985"/>
      <c r="X44" s="985"/>
      <c r="Y44" s="985"/>
      <c r="Z44" s="985"/>
      <c r="AA44" s="985"/>
      <c r="AB44" s="985"/>
      <c r="AC44" s="985"/>
      <c r="AD44" s="985"/>
      <c r="AE44" s="985"/>
      <c r="AF44" s="985"/>
      <c r="AG44" s="985"/>
      <c r="AH44" s="985"/>
    </row>
    <row r="45" spans="2:34">
      <c r="B45" s="1069" t="s">
        <v>380</v>
      </c>
      <c r="C45" s="1070" t="s">
        <v>381</v>
      </c>
      <c r="D45" s="1406" t="s">
        <v>382</v>
      </c>
      <c r="E45" s="1071">
        <v>0</v>
      </c>
      <c r="F45" s="1072">
        <v>0</v>
      </c>
      <c r="G45" s="1073">
        <v>0</v>
      </c>
      <c r="H45" s="1074">
        <v>0</v>
      </c>
      <c r="I45" s="1072">
        <v>0</v>
      </c>
      <c r="J45" s="1072">
        <v>0</v>
      </c>
      <c r="K45" s="1073">
        <v>0</v>
      </c>
      <c r="L45" s="1074">
        <v>0</v>
      </c>
      <c r="M45" s="1072">
        <v>0</v>
      </c>
      <c r="N45" s="1072">
        <v>0</v>
      </c>
      <c r="O45" s="1072">
        <v>0</v>
      </c>
      <c r="P45" s="1075">
        <v>0</v>
      </c>
      <c r="Q45" s="1072">
        <v>0</v>
      </c>
      <c r="R45" s="1072">
        <v>0</v>
      </c>
      <c r="S45" s="1072">
        <v>0</v>
      </c>
      <c r="T45" s="1071">
        <v>0</v>
      </c>
      <c r="U45" s="1076">
        <v>0</v>
      </c>
      <c r="V45" s="985"/>
      <c r="W45" s="985"/>
      <c r="X45" s="985"/>
      <c r="Y45" s="985"/>
      <c r="Z45" s="985"/>
      <c r="AA45" s="985"/>
      <c r="AB45" s="985"/>
      <c r="AC45" s="985"/>
      <c r="AD45" s="985"/>
      <c r="AE45" s="985"/>
      <c r="AF45" s="985"/>
      <c r="AG45" s="985"/>
      <c r="AH45" s="985"/>
    </row>
    <row r="46" spans="2:34" outlineLevel="1">
      <c r="B46" s="1077" t="s">
        <v>383</v>
      </c>
      <c r="C46" s="1078" t="s">
        <v>384</v>
      </c>
      <c r="D46" s="1405" t="s">
        <v>385</v>
      </c>
      <c r="E46" s="1079">
        <v>0</v>
      </c>
      <c r="F46" s="1080">
        <v>0</v>
      </c>
      <c r="G46" s="1081">
        <v>0</v>
      </c>
      <c r="H46" s="1082">
        <v>0</v>
      </c>
      <c r="I46" s="1080">
        <v>0</v>
      </c>
      <c r="J46" s="1080">
        <v>0</v>
      </c>
      <c r="K46" s="1081">
        <v>0</v>
      </c>
      <c r="L46" s="1082">
        <v>0</v>
      </c>
      <c r="M46" s="1080">
        <v>0</v>
      </c>
      <c r="N46" s="1080">
        <v>0</v>
      </c>
      <c r="O46" s="1080">
        <v>0</v>
      </c>
      <c r="P46" s="1083">
        <v>0</v>
      </c>
      <c r="Q46" s="1080">
        <v>0</v>
      </c>
      <c r="R46" s="1080">
        <v>0</v>
      </c>
      <c r="S46" s="1080">
        <v>0</v>
      </c>
      <c r="T46" s="1079">
        <v>0</v>
      </c>
      <c r="U46" s="1084">
        <v>0</v>
      </c>
      <c r="V46" s="985"/>
      <c r="W46" s="985"/>
      <c r="X46" s="985"/>
      <c r="Y46" s="985"/>
      <c r="Z46" s="985"/>
      <c r="AA46" s="985"/>
      <c r="AB46" s="985"/>
      <c r="AC46" s="985"/>
      <c r="AD46" s="985"/>
      <c r="AE46" s="985"/>
      <c r="AF46" s="985"/>
      <c r="AG46" s="985"/>
      <c r="AH46" s="985"/>
    </row>
    <row r="47" spans="2:34">
      <c r="B47" s="1069" t="s">
        <v>386</v>
      </c>
      <c r="C47" s="1070" t="s">
        <v>387</v>
      </c>
      <c r="D47" s="1406" t="s">
        <v>388</v>
      </c>
      <c r="E47" s="1071">
        <v>0</v>
      </c>
      <c r="F47" s="1072">
        <v>0</v>
      </c>
      <c r="G47" s="1073">
        <v>0</v>
      </c>
      <c r="H47" s="1074">
        <v>0</v>
      </c>
      <c r="I47" s="1072">
        <v>0</v>
      </c>
      <c r="J47" s="1072">
        <v>0</v>
      </c>
      <c r="K47" s="1073">
        <v>0</v>
      </c>
      <c r="L47" s="1074">
        <v>0</v>
      </c>
      <c r="M47" s="1072">
        <v>0</v>
      </c>
      <c r="N47" s="1072">
        <v>0</v>
      </c>
      <c r="O47" s="1072">
        <v>0</v>
      </c>
      <c r="P47" s="1075">
        <v>0</v>
      </c>
      <c r="Q47" s="1072">
        <v>0</v>
      </c>
      <c r="R47" s="1072">
        <v>0</v>
      </c>
      <c r="S47" s="1072">
        <v>0</v>
      </c>
      <c r="T47" s="1071">
        <v>0</v>
      </c>
      <c r="U47" s="1076">
        <v>0</v>
      </c>
      <c r="V47" s="985"/>
      <c r="W47" s="985"/>
      <c r="X47" s="985"/>
      <c r="Y47" s="985"/>
      <c r="Z47" s="985"/>
      <c r="AA47" s="985"/>
      <c r="AB47" s="985"/>
      <c r="AC47" s="985"/>
      <c r="AD47" s="985"/>
      <c r="AE47" s="985"/>
      <c r="AF47" s="985"/>
      <c r="AG47" s="985"/>
      <c r="AH47" s="985"/>
    </row>
    <row r="48" spans="2:34" outlineLevel="1">
      <c r="B48" s="1077" t="s">
        <v>389</v>
      </c>
      <c r="C48" s="1078" t="s">
        <v>390</v>
      </c>
      <c r="D48" s="1405" t="s">
        <v>391</v>
      </c>
      <c r="E48" s="1079">
        <v>0</v>
      </c>
      <c r="F48" s="1080">
        <v>0</v>
      </c>
      <c r="G48" s="1081">
        <v>0</v>
      </c>
      <c r="H48" s="1082">
        <v>0</v>
      </c>
      <c r="I48" s="1080">
        <v>0</v>
      </c>
      <c r="J48" s="1080">
        <v>0</v>
      </c>
      <c r="K48" s="1081">
        <v>0</v>
      </c>
      <c r="L48" s="1082">
        <v>0</v>
      </c>
      <c r="M48" s="1080">
        <v>0</v>
      </c>
      <c r="N48" s="1080">
        <v>0</v>
      </c>
      <c r="O48" s="1080">
        <v>0</v>
      </c>
      <c r="P48" s="1083">
        <v>0</v>
      </c>
      <c r="Q48" s="1080">
        <v>0</v>
      </c>
      <c r="R48" s="1080">
        <v>0</v>
      </c>
      <c r="S48" s="1080">
        <v>0</v>
      </c>
      <c r="T48" s="1079">
        <v>0</v>
      </c>
      <c r="U48" s="1084">
        <v>0</v>
      </c>
      <c r="V48" s="985"/>
      <c r="W48" s="985"/>
      <c r="X48" s="985"/>
      <c r="Y48" s="985"/>
      <c r="Z48" s="985"/>
      <c r="AA48" s="985"/>
      <c r="AB48" s="985"/>
      <c r="AC48" s="985"/>
      <c r="AD48" s="985"/>
      <c r="AE48" s="985"/>
      <c r="AF48" s="985"/>
      <c r="AG48" s="985"/>
      <c r="AH48" s="985"/>
    </row>
    <row r="49" spans="2:21" outlineLevel="1">
      <c r="B49" s="1077" t="s">
        <v>392</v>
      </c>
      <c r="C49" s="1078" t="s">
        <v>393</v>
      </c>
      <c r="D49" s="1405" t="s">
        <v>394</v>
      </c>
      <c r="E49" s="1079">
        <v>0</v>
      </c>
      <c r="F49" s="1080">
        <v>0</v>
      </c>
      <c r="G49" s="1081">
        <v>0</v>
      </c>
      <c r="H49" s="1082">
        <v>0</v>
      </c>
      <c r="I49" s="1080">
        <v>0</v>
      </c>
      <c r="J49" s="1080">
        <v>0</v>
      </c>
      <c r="K49" s="1081">
        <v>0</v>
      </c>
      <c r="L49" s="1082">
        <v>0</v>
      </c>
      <c r="M49" s="1080">
        <v>0</v>
      </c>
      <c r="N49" s="1080">
        <v>0</v>
      </c>
      <c r="O49" s="1080">
        <v>0</v>
      </c>
      <c r="P49" s="1083">
        <v>0</v>
      </c>
      <c r="Q49" s="1080">
        <v>0</v>
      </c>
      <c r="R49" s="1080">
        <v>0</v>
      </c>
      <c r="S49" s="1080">
        <v>0</v>
      </c>
      <c r="T49" s="1079">
        <v>0</v>
      </c>
      <c r="U49" s="1084">
        <v>0</v>
      </c>
    </row>
    <row r="50" spans="2:21">
      <c r="B50" s="1069" t="s">
        <v>395</v>
      </c>
      <c r="C50" s="1070" t="s">
        <v>396</v>
      </c>
      <c r="D50" s="1406" t="s">
        <v>397</v>
      </c>
      <c r="E50" s="1071">
        <v>0</v>
      </c>
      <c r="F50" s="1072">
        <v>0</v>
      </c>
      <c r="G50" s="1073">
        <v>0</v>
      </c>
      <c r="H50" s="1074">
        <v>0</v>
      </c>
      <c r="I50" s="1072">
        <v>0</v>
      </c>
      <c r="J50" s="1072">
        <v>0</v>
      </c>
      <c r="K50" s="1073">
        <v>0</v>
      </c>
      <c r="L50" s="1074">
        <v>0</v>
      </c>
      <c r="M50" s="1072">
        <v>0</v>
      </c>
      <c r="N50" s="1072">
        <v>0</v>
      </c>
      <c r="O50" s="1072">
        <v>0</v>
      </c>
      <c r="P50" s="1075">
        <v>0</v>
      </c>
      <c r="Q50" s="1072">
        <v>0</v>
      </c>
      <c r="R50" s="1072">
        <v>0</v>
      </c>
      <c r="S50" s="1072">
        <v>0</v>
      </c>
      <c r="T50" s="1071">
        <v>0</v>
      </c>
      <c r="U50" s="1076">
        <v>0</v>
      </c>
    </row>
    <row r="51" spans="2:21" outlineLevel="1">
      <c r="B51" s="1077" t="s">
        <v>398</v>
      </c>
      <c r="C51" s="1078" t="s">
        <v>399</v>
      </c>
      <c r="D51" s="1405" t="s">
        <v>400</v>
      </c>
      <c r="E51" s="1079">
        <v>0</v>
      </c>
      <c r="F51" s="1080">
        <v>0</v>
      </c>
      <c r="G51" s="1081">
        <v>0</v>
      </c>
      <c r="H51" s="1082">
        <v>0</v>
      </c>
      <c r="I51" s="1080">
        <v>0</v>
      </c>
      <c r="J51" s="1080">
        <v>0</v>
      </c>
      <c r="K51" s="1081">
        <v>0</v>
      </c>
      <c r="L51" s="1082">
        <v>0</v>
      </c>
      <c r="M51" s="1080">
        <v>0</v>
      </c>
      <c r="N51" s="1080">
        <v>0</v>
      </c>
      <c r="O51" s="1080">
        <v>0</v>
      </c>
      <c r="P51" s="1083">
        <v>0</v>
      </c>
      <c r="Q51" s="1080">
        <v>0</v>
      </c>
      <c r="R51" s="1080">
        <v>0</v>
      </c>
      <c r="S51" s="1080">
        <v>0</v>
      </c>
      <c r="T51" s="1079">
        <v>0</v>
      </c>
      <c r="U51" s="1084">
        <v>0</v>
      </c>
    </row>
    <row r="52" spans="2:21" s="768" customFormat="1">
      <c r="B52" s="1060" t="s">
        <v>371</v>
      </c>
      <c r="C52" s="1061" t="s">
        <v>401</v>
      </c>
      <c r="D52" s="1407" t="s">
        <v>402</v>
      </c>
      <c r="E52" s="1085">
        <f>E43-E44+E45-E46+E47-E48-E49+E50-E51</f>
        <v>0</v>
      </c>
      <c r="F52" s="1086">
        <f t="shared" ref="F52:U52" si="10">F43-F44+F45-F46+F47-F48-F49+F50-F51</f>
        <v>0</v>
      </c>
      <c r="G52" s="1087">
        <f t="shared" si="10"/>
        <v>0</v>
      </c>
      <c r="H52" s="1088">
        <f t="shared" si="10"/>
        <v>0</v>
      </c>
      <c r="I52" s="1086">
        <f t="shared" si="10"/>
        <v>0</v>
      </c>
      <c r="J52" s="1086">
        <f t="shared" si="10"/>
        <v>0</v>
      </c>
      <c r="K52" s="1087">
        <f t="shared" si="10"/>
        <v>0</v>
      </c>
      <c r="L52" s="1088">
        <f t="shared" si="10"/>
        <v>0</v>
      </c>
      <c r="M52" s="1086">
        <f t="shared" si="10"/>
        <v>0</v>
      </c>
      <c r="N52" s="1086">
        <f t="shared" si="10"/>
        <v>0</v>
      </c>
      <c r="O52" s="1086">
        <f t="shared" si="10"/>
        <v>0</v>
      </c>
      <c r="P52" s="1089">
        <f t="shared" si="10"/>
        <v>0</v>
      </c>
      <c r="Q52" s="1086">
        <f t="shared" si="10"/>
        <v>0</v>
      </c>
      <c r="R52" s="1086">
        <f t="shared" si="10"/>
        <v>0</v>
      </c>
      <c r="S52" s="1086">
        <f t="shared" si="10"/>
        <v>0</v>
      </c>
      <c r="T52" s="1085">
        <f t="shared" si="10"/>
        <v>0</v>
      </c>
      <c r="U52" s="1090">
        <f t="shared" si="10"/>
        <v>0</v>
      </c>
    </row>
    <row r="53" spans="2:21" s="768" customFormat="1" ht="15" thickBot="1">
      <c r="B53" s="1091" t="s">
        <v>403</v>
      </c>
      <c r="C53" s="1092" t="s">
        <v>404</v>
      </c>
      <c r="D53" s="1408" t="s">
        <v>405</v>
      </c>
      <c r="E53" s="1093">
        <f>E42+E52</f>
        <v>-30985648.986111112</v>
      </c>
      <c r="F53" s="1094">
        <f t="shared" ref="F53:U53" si="11">F42+F52</f>
        <v>-33369321.361111112</v>
      </c>
      <c r="G53" s="1095">
        <f t="shared" si="11"/>
        <v>-28806514.361111112</v>
      </c>
      <c r="H53" s="1096">
        <f t="shared" si="11"/>
        <v>-93161484.708333328</v>
      </c>
      <c r="I53" s="1094">
        <f t="shared" si="11"/>
        <v>75398554.638888896</v>
      </c>
      <c r="J53" s="1094">
        <f t="shared" si="11"/>
        <v>75533513.638888896</v>
      </c>
      <c r="K53" s="1095">
        <f t="shared" si="11"/>
        <v>78100054.638888896</v>
      </c>
      <c r="L53" s="1096">
        <f t="shared" si="11"/>
        <v>229032122.91666666</v>
      </c>
      <c r="M53" s="1097">
        <f t="shared" si="11"/>
        <v>69387373.638888896</v>
      </c>
      <c r="N53" s="1097">
        <f t="shared" si="11"/>
        <v>67104442.638888888</v>
      </c>
      <c r="O53" s="1097">
        <f t="shared" si="11"/>
        <v>49186985.638888888</v>
      </c>
      <c r="P53" s="1098">
        <f t="shared" si="11"/>
        <v>185678801.91666666</v>
      </c>
      <c r="Q53" s="1097">
        <f t="shared" si="11"/>
        <v>29880554.638888888</v>
      </c>
      <c r="R53" s="1097">
        <f t="shared" si="11"/>
        <v>30478309.638888888</v>
      </c>
      <c r="S53" s="1097">
        <f t="shared" si="11"/>
        <v>31515798.638888888</v>
      </c>
      <c r="T53" s="1099">
        <f t="shared" si="11"/>
        <v>91874662.916666672</v>
      </c>
      <c r="U53" s="1100">
        <f t="shared" si="11"/>
        <v>413424103.04166669</v>
      </c>
    </row>
    <row r="54" spans="2:21">
      <c r="B54" s="1077" t="s">
        <v>406</v>
      </c>
      <c r="C54" s="1078" t="s">
        <v>407</v>
      </c>
      <c r="D54" s="1405" t="s">
        <v>408</v>
      </c>
      <c r="E54" s="1079">
        <f>E55+E56</f>
        <v>-5887273.307361111</v>
      </c>
      <c r="F54" s="1080">
        <f t="shared" ref="F54:U54" si="12">F55+F56</f>
        <v>-5005397.2041666666</v>
      </c>
      <c r="G54" s="1082">
        <f t="shared" si="12"/>
        <v>-4320975.1541666668</v>
      </c>
      <c r="H54" s="1082">
        <f t="shared" si="12"/>
        <v>-13974219.706249999</v>
      </c>
      <c r="I54" s="1080">
        <f t="shared" si="12"/>
        <v>11309787.195833335</v>
      </c>
      <c r="J54" s="1080">
        <f t="shared" si="12"/>
        <v>11330032.045833334</v>
      </c>
      <c r="K54" s="1080">
        <f t="shared" si="12"/>
        <v>11715014.195833335</v>
      </c>
      <c r="L54" s="1083">
        <f t="shared" si="12"/>
        <v>34354825.4375</v>
      </c>
      <c r="M54" s="1080">
        <f t="shared" si="12"/>
        <v>10408114.045833334</v>
      </c>
      <c r="N54" s="1080">
        <f t="shared" si="12"/>
        <v>10065675.395833332</v>
      </c>
      <c r="O54" s="1080">
        <f t="shared" si="12"/>
        <v>7378057.8458333332</v>
      </c>
      <c r="P54" s="1083">
        <f t="shared" si="12"/>
        <v>27851831.287499998</v>
      </c>
      <c r="Q54" s="1080">
        <f t="shared" si="12"/>
        <v>4482095.1958333328</v>
      </c>
      <c r="R54" s="1080">
        <f t="shared" si="12"/>
        <v>4571759.4458333328</v>
      </c>
      <c r="S54" s="1080">
        <f t="shared" si="12"/>
        <v>4727383.7958333334</v>
      </c>
      <c r="T54" s="1083">
        <f t="shared" si="12"/>
        <v>13781214.4375</v>
      </c>
      <c r="U54" s="1083">
        <f t="shared" si="12"/>
        <v>62013631.456249997</v>
      </c>
    </row>
    <row r="55" spans="2:21">
      <c r="B55" s="1052" t="s">
        <v>409</v>
      </c>
      <c r="C55" s="1053" t="s">
        <v>410</v>
      </c>
      <c r="D55" s="1409" t="s">
        <v>411</v>
      </c>
      <c r="E55" s="1101">
        <f>E53*0.19</f>
        <v>-5887273.307361111</v>
      </c>
      <c r="F55" s="896">
        <f t="shared" ref="F55:U55" si="13">F53*0.15</f>
        <v>-5005398.2041666666</v>
      </c>
      <c r="G55" s="1102">
        <f t="shared" si="13"/>
        <v>-4320977.1541666668</v>
      </c>
      <c r="H55" s="1102">
        <f t="shared" si="13"/>
        <v>-13974222.706249999</v>
      </c>
      <c r="I55" s="896">
        <f t="shared" si="13"/>
        <v>11309783.195833335</v>
      </c>
      <c r="J55" s="896">
        <f t="shared" si="13"/>
        <v>11330027.045833334</v>
      </c>
      <c r="K55" s="896">
        <f t="shared" si="13"/>
        <v>11715008.195833335</v>
      </c>
      <c r="L55" s="1103">
        <f t="shared" si="13"/>
        <v>34354818.4375</v>
      </c>
      <c r="M55" s="896">
        <f t="shared" si="13"/>
        <v>10408106.045833334</v>
      </c>
      <c r="N55" s="896">
        <f t="shared" si="13"/>
        <v>10065666.395833332</v>
      </c>
      <c r="O55" s="896">
        <f t="shared" si="13"/>
        <v>7378047.8458333332</v>
      </c>
      <c r="P55" s="1103">
        <f t="shared" si="13"/>
        <v>27851820.287499998</v>
      </c>
      <c r="Q55" s="896">
        <f t="shared" si="13"/>
        <v>4482083.1958333328</v>
      </c>
      <c r="R55" s="896">
        <f t="shared" si="13"/>
        <v>4571746.4458333328</v>
      </c>
      <c r="S55" s="896">
        <f t="shared" si="13"/>
        <v>4727369.7958333334</v>
      </c>
      <c r="T55" s="1103">
        <f t="shared" si="13"/>
        <v>13781199.4375</v>
      </c>
      <c r="U55" s="1103">
        <f t="shared" si="13"/>
        <v>62013615.456249997</v>
      </c>
    </row>
    <row r="56" spans="2:21">
      <c r="B56" s="1052" t="s">
        <v>412</v>
      </c>
      <c r="C56" s="1053" t="s">
        <v>413</v>
      </c>
      <c r="D56" s="1409" t="s">
        <v>414</v>
      </c>
      <c r="E56" s="1101">
        <v>0</v>
      </c>
      <c r="F56" s="896">
        <v>1</v>
      </c>
      <c r="G56" s="1102">
        <v>2</v>
      </c>
      <c r="H56" s="1102">
        <v>3</v>
      </c>
      <c r="I56" s="896">
        <v>4</v>
      </c>
      <c r="J56" s="896">
        <v>5</v>
      </c>
      <c r="K56" s="896">
        <v>6</v>
      </c>
      <c r="L56" s="1103">
        <v>7</v>
      </c>
      <c r="M56" s="896">
        <v>8</v>
      </c>
      <c r="N56" s="896">
        <v>9</v>
      </c>
      <c r="O56" s="896">
        <v>10</v>
      </c>
      <c r="P56" s="1103">
        <v>11</v>
      </c>
      <c r="Q56" s="896">
        <v>12</v>
      </c>
      <c r="R56" s="896">
        <v>13</v>
      </c>
      <c r="S56" s="896">
        <v>14</v>
      </c>
      <c r="T56" s="1103">
        <v>15</v>
      </c>
      <c r="U56" s="1103">
        <v>16</v>
      </c>
    </row>
    <row r="57" spans="2:21">
      <c r="B57" s="1052" t="s">
        <v>403</v>
      </c>
      <c r="C57" s="1053" t="s">
        <v>415</v>
      </c>
      <c r="D57" s="1409" t="s">
        <v>416</v>
      </c>
      <c r="E57" s="1104">
        <f>E53-E54</f>
        <v>-25098375.678750001</v>
      </c>
      <c r="F57" s="1105">
        <f t="shared" ref="F57:U57" si="14">F53-F54</f>
        <v>-28363924.156944446</v>
      </c>
      <c r="G57" s="1106">
        <f t="shared" si="14"/>
        <v>-24485539.206944443</v>
      </c>
      <c r="H57" s="1106">
        <f t="shared" si="14"/>
        <v>-79187265.002083331</v>
      </c>
      <c r="I57" s="1105">
        <f t="shared" si="14"/>
        <v>64088767.443055563</v>
      </c>
      <c r="J57" s="1105">
        <f t="shared" si="14"/>
        <v>64203481.593055561</v>
      </c>
      <c r="K57" s="1105">
        <f t="shared" si="14"/>
        <v>66385040.443055563</v>
      </c>
      <c r="L57" s="1107">
        <f t="shared" si="14"/>
        <v>194677297.47916666</v>
      </c>
      <c r="M57" s="1105">
        <f t="shared" si="14"/>
        <v>58979259.593055561</v>
      </c>
      <c r="N57" s="1105">
        <f t="shared" si="14"/>
        <v>57038767.243055552</v>
      </c>
      <c r="O57" s="1105">
        <f t="shared" si="14"/>
        <v>41808927.793055557</v>
      </c>
      <c r="P57" s="1107">
        <f t="shared" si="14"/>
        <v>157826970.62916666</v>
      </c>
      <c r="Q57" s="1105">
        <f t="shared" si="14"/>
        <v>25398459.443055555</v>
      </c>
      <c r="R57" s="1105">
        <f t="shared" si="14"/>
        <v>25906550.193055555</v>
      </c>
      <c r="S57" s="1105">
        <f t="shared" si="14"/>
        <v>26788414.843055554</v>
      </c>
      <c r="T57" s="1107">
        <f t="shared" si="14"/>
        <v>78093448.479166672</v>
      </c>
      <c r="U57" s="1107">
        <f t="shared" si="14"/>
        <v>351410471.58541667</v>
      </c>
    </row>
    <row r="58" spans="2:21">
      <c r="B58" s="1077" t="s">
        <v>417</v>
      </c>
      <c r="C58" s="1078" t="s">
        <v>418</v>
      </c>
      <c r="D58" s="1405" t="s">
        <v>419</v>
      </c>
      <c r="E58" s="1079">
        <v>0</v>
      </c>
      <c r="F58" s="1080">
        <v>1</v>
      </c>
      <c r="G58" s="1082">
        <v>2</v>
      </c>
      <c r="H58" s="1082">
        <v>3</v>
      </c>
      <c r="I58" s="1080">
        <v>4</v>
      </c>
      <c r="J58" s="1080">
        <v>5</v>
      </c>
      <c r="K58" s="1080">
        <v>6</v>
      </c>
      <c r="L58" s="1083">
        <v>7</v>
      </c>
      <c r="M58" s="1080">
        <v>8</v>
      </c>
      <c r="N58" s="1080">
        <v>9</v>
      </c>
      <c r="O58" s="1080">
        <v>10</v>
      </c>
      <c r="P58" s="1083">
        <v>11</v>
      </c>
      <c r="Q58" s="1080">
        <v>12</v>
      </c>
      <c r="R58" s="1080">
        <v>13</v>
      </c>
      <c r="S58" s="1080">
        <v>14</v>
      </c>
      <c r="T58" s="1083">
        <v>15</v>
      </c>
      <c r="U58" s="1083">
        <v>16</v>
      </c>
    </row>
    <row r="59" spans="2:21">
      <c r="B59" s="1052" t="s">
        <v>420</v>
      </c>
      <c r="C59" s="1053" t="s">
        <v>421</v>
      </c>
      <c r="D59" s="1409" t="s">
        <v>422</v>
      </c>
      <c r="E59" s="1104">
        <f>E57-E58</f>
        <v>-25098375.678750001</v>
      </c>
      <c r="F59" s="1105">
        <f t="shared" ref="F59:U59" si="15">F57-F58</f>
        <v>-28363925.156944446</v>
      </c>
      <c r="G59" s="1106">
        <f t="shared" si="15"/>
        <v>-24485541.206944443</v>
      </c>
      <c r="H59" s="1106">
        <f t="shared" si="15"/>
        <v>-79187268.002083331</v>
      </c>
      <c r="I59" s="1105">
        <f t="shared" si="15"/>
        <v>64088763.443055563</v>
      </c>
      <c r="J59" s="1105">
        <f t="shared" si="15"/>
        <v>64203476.593055561</v>
      </c>
      <c r="K59" s="1105">
        <f t="shared" si="15"/>
        <v>66385034.443055563</v>
      </c>
      <c r="L59" s="1107">
        <f t="shared" si="15"/>
        <v>194677290.47916666</v>
      </c>
      <c r="M59" s="1105">
        <f t="shared" si="15"/>
        <v>58979251.593055561</v>
      </c>
      <c r="N59" s="1105">
        <f t="shared" si="15"/>
        <v>57038758.243055552</v>
      </c>
      <c r="O59" s="1105">
        <f t="shared" si="15"/>
        <v>41808917.793055557</v>
      </c>
      <c r="P59" s="1107">
        <f t="shared" si="15"/>
        <v>157826959.62916666</v>
      </c>
      <c r="Q59" s="1105">
        <f t="shared" si="15"/>
        <v>25398447.443055555</v>
      </c>
      <c r="R59" s="1105">
        <f t="shared" si="15"/>
        <v>25906537.193055555</v>
      </c>
      <c r="S59" s="1105">
        <f t="shared" si="15"/>
        <v>26788400.843055554</v>
      </c>
      <c r="T59" s="1107">
        <f t="shared" si="15"/>
        <v>78093433.479166672</v>
      </c>
      <c r="U59" s="1107">
        <f t="shared" si="15"/>
        <v>351410455.58541667</v>
      </c>
    </row>
    <row r="60" spans="2:21" ht="15" thickBot="1">
      <c r="B60" s="1108" t="s">
        <v>371</v>
      </c>
      <c r="C60" s="1109"/>
      <c r="D60" s="1410" t="s">
        <v>423</v>
      </c>
      <c r="E60" s="1110">
        <f>E13+E14+E32+E43+E45+E47+E50</f>
        <v>54081000</v>
      </c>
      <c r="F60" s="882">
        <f t="shared" ref="F60:T60" si="16">F13+F14+F32+F43+F45+F47+F50</f>
        <v>55568000</v>
      </c>
      <c r="G60" s="1111">
        <f t="shared" si="16"/>
        <v>59376700</v>
      </c>
      <c r="H60" s="1111">
        <f t="shared" si="16"/>
        <v>169025700</v>
      </c>
      <c r="I60" s="882">
        <f t="shared" si="16"/>
        <v>165324700</v>
      </c>
      <c r="J60" s="882">
        <f t="shared" si="16"/>
        <v>166143200</v>
      </c>
      <c r="K60" s="882">
        <f t="shared" si="16"/>
        <v>168746200</v>
      </c>
      <c r="L60" s="1112">
        <f t="shared" si="16"/>
        <v>500214100</v>
      </c>
      <c r="M60" s="882">
        <f t="shared" si="16"/>
        <v>145164700</v>
      </c>
      <c r="N60" s="882">
        <f t="shared" si="16"/>
        <v>145164700</v>
      </c>
      <c r="O60" s="882">
        <f t="shared" si="16"/>
        <v>137550200</v>
      </c>
      <c r="P60" s="1112">
        <f t="shared" si="16"/>
        <v>427879600</v>
      </c>
      <c r="Q60" s="882">
        <f t="shared" si="16"/>
        <v>119806700</v>
      </c>
      <c r="R60" s="882">
        <f t="shared" si="16"/>
        <v>117132700</v>
      </c>
      <c r="S60" s="882">
        <f t="shared" si="16"/>
        <v>116049000</v>
      </c>
      <c r="T60" s="1112">
        <f t="shared" si="16"/>
        <v>352988400</v>
      </c>
      <c r="U60" s="1112">
        <f>U13+U14+U32+U43+U45+U47+U50</f>
        <v>1450107800</v>
      </c>
    </row>
  </sheetData>
  <customSheetViews>
    <customSheetView guid="{F9015B81-4D5E-47E3-BFA8-A54438E9D1FF}" scale="70" showGridLines="0" hiddenRows="1" hiddenColumns="1">
      <selection activeCell="H20" sqref="H20"/>
      <pageMargins left="0.7" right="0.7" top="0.78740157499999996" bottom="0.78740157499999996" header="0.3" footer="0.3"/>
      <pageSetup paperSize="9" orientation="portrait" r:id="rId1"/>
    </customSheetView>
  </customSheetViews>
  <mergeCells count="7">
    <mergeCell ref="M11:P11"/>
    <mergeCell ref="Q11:T11"/>
    <mergeCell ref="B9:D9"/>
    <mergeCell ref="B4:D4"/>
    <mergeCell ref="B5:D5"/>
    <mergeCell ref="E11:H11"/>
    <mergeCell ref="I11:L11"/>
  </mergeCells>
  <phoneticPr fontId="76" type="noConversion"/>
  <hyperlinks>
    <hyperlink ref="A1" location="MENU!A1" display="MENU" xr:uid="{30B6EA66-3EF3-48C5-AE05-177F056C9225}"/>
  </hyperlinks>
  <pageMargins left="0.7" right="0.7" top="0.78740157499999996" bottom="0.78740157499999996" header="0.3" footer="0.3"/>
  <pageSetup paperSize="9"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E1025-7072-45DC-BC3D-703E30A38FDD}">
  <sheetPr>
    <tabColor theme="3"/>
  </sheetPr>
  <dimension ref="A1:T24"/>
  <sheetViews>
    <sheetView showGridLines="0" zoomScale="70" zoomScaleNormal="70" workbookViewId="0">
      <selection activeCell="S24" sqref="B1:S24"/>
    </sheetView>
  </sheetViews>
  <sheetFormatPr defaultRowHeight="14.25"/>
  <cols>
    <col min="3" max="3" width="12.6640625" customWidth="1"/>
    <col min="4" max="4" width="12.33203125" customWidth="1"/>
    <col min="5" max="5" width="11.44140625" customWidth="1"/>
    <col min="6" max="6" width="13.33203125" customWidth="1"/>
    <col min="7" max="7" width="18.77734375" bestFit="1" customWidth="1"/>
    <col min="8" max="10" width="17.21875" customWidth="1"/>
    <col min="11" max="11" width="18.77734375" bestFit="1" customWidth="1"/>
    <col min="12" max="14" width="17.21875" customWidth="1"/>
    <col min="15" max="15" width="18.77734375" bestFit="1" customWidth="1"/>
    <col min="16" max="18" width="18.77734375" customWidth="1"/>
    <col min="19" max="19" width="18.77734375" bestFit="1" customWidth="1"/>
    <col min="20" max="20" width="15.44140625" customWidth="1"/>
  </cols>
  <sheetData>
    <row r="1" spans="1:20" ht="25.5" customHeight="1" thickBot="1">
      <c r="A1" s="107" t="s">
        <v>1</v>
      </c>
      <c r="B1" s="737"/>
      <c r="C1" s="737"/>
      <c r="D1" s="1488" t="s">
        <v>258</v>
      </c>
      <c r="E1" s="1489"/>
      <c r="F1" s="1489"/>
      <c r="G1" s="1489"/>
      <c r="H1" s="1489" t="s">
        <v>262</v>
      </c>
      <c r="I1" s="1489"/>
      <c r="J1" s="1489"/>
      <c r="K1" s="1489"/>
      <c r="L1" s="1489" t="s">
        <v>266</v>
      </c>
      <c r="M1" s="1489"/>
      <c r="N1" s="1489"/>
      <c r="O1" s="1489"/>
      <c r="P1" s="1489" t="s">
        <v>270</v>
      </c>
      <c r="Q1" s="1489"/>
      <c r="R1" s="1489"/>
      <c r="S1" s="1490"/>
      <c r="T1" s="778"/>
    </row>
    <row r="2" spans="1:20" ht="15" thickBot="1">
      <c r="A2" s="737"/>
      <c r="B2" s="1495" t="s">
        <v>424</v>
      </c>
      <c r="C2" s="1496"/>
      <c r="D2" s="857" t="s">
        <v>255</v>
      </c>
      <c r="E2" s="858" t="s">
        <v>256</v>
      </c>
      <c r="F2" s="859" t="s">
        <v>257</v>
      </c>
      <c r="G2" s="860" t="s">
        <v>258</v>
      </c>
      <c r="H2" s="861" t="s">
        <v>259</v>
      </c>
      <c r="I2" s="858" t="s">
        <v>260</v>
      </c>
      <c r="J2" s="859" t="s">
        <v>261</v>
      </c>
      <c r="K2" s="860" t="s">
        <v>262</v>
      </c>
      <c r="L2" s="861" t="s">
        <v>263</v>
      </c>
      <c r="M2" s="858" t="s">
        <v>264</v>
      </c>
      <c r="N2" s="859" t="s">
        <v>265</v>
      </c>
      <c r="O2" s="860" t="s">
        <v>266</v>
      </c>
      <c r="P2" s="861" t="s">
        <v>267</v>
      </c>
      <c r="Q2" s="858" t="s">
        <v>268</v>
      </c>
      <c r="R2" s="859" t="s">
        <v>269</v>
      </c>
      <c r="S2" s="860" t="s">
        <v>270</v>
      </c>
      <c r="T2" s="860" t="s">
        <v>271</v>
      </c>
    </row>
    <row r="3" spans="1:20" ht="15" thickBot="1">
      <c r="A3" s="737"/>
      <c r="B3" s="846" t="s">
        <v>425</v>
      </c>
      <c r="C3" s="847"/>
      <c r="D3" s="848">
        <f>Rozvaha!C11</f>
        <v>22690008</v>
      </c>
      <c r="E3" s="848">
        <f>D22</f>
        <v>-11954070.557277769</v>
      </c>
      <c r="F3" s="848">
        <f>E22</f>
        <v>-45848292.260055542</v>
      </c>
      <c r="G3" s="852">
        <f t="shared" ref="G3:T3" si="0">F22</f>
        <v>-78998700.400333315</v>
      </c>
      <c r="H3" s="856">
        <f t="shared" si="0"/>
        <v>-180687408.80066666</v>
      </c>
      <c r="I3" s="856">
        <f t="shared" si="0"/>
        <v>-210374754.50344443</v>
      </c>
      <c r="J3" s="856">
        <f t="shared" si="0"/>
        <v>-134697641.20622221</v>
      </c>
      <c r="K3" s="852">
        <f t="shared" si="0"/>
        <v>-59735780.346499979</v>
      </c>
      <c r="L3" s="856">
        <f t="shared" si="0"/>
        <v>61215848.107666671</v>
      </c>
      <c r="M3" s="856">
        <f t="shared" si="0"/>
        <v>154888821.4048889</v>
      </c>
      <c r="N3" s="856">
        <f t="shared" si="0"/>
        <v>222955363.7021111</v>
      </c>
      <c r="O3" s="852">
        <f t="shared" si="0"/>
        <v>279221655.56183338</v>
      </c>
      <c r="P3" s="856">
        <f t="shared" si="0"/>
        <v>497227463.01600003</v>
      </c>
      <c r="Q3" s="856">
        <f t="shared" si="0"/>
        <v>545713617.31322229</v>
      </c>
      <c r="R3" s="856">
        <f t="shared" si="0"/>
        <v>579828026.61044455</v>
      </c>
      <c r="S3" s="852">
        <f t="shared" si="0"/>
        <v>611892331.4701668</v>
      </c>
      <c r="T3" s="852">
        <f t="shared" si="0"/>
        <v>726557199.92433345</v>
      </c>
    </row>
    <row r="4" spans="1:20" ht="15" thickBot="1">
      <c r="A4" s="737"/>
      <c r="B4" s="1491" t="s">
        <v>426</v>
      </c>
      <c r="C4" s="1492"/>
      <c r="D4" s="849">
        <f>'PL. Příjmů'!D33</f>
        <v>49754520</v>
      </c>
      <c r="E4" s="849">
        <f>'PL. Příjmů'!E33</f>
        <v>54081000</v>
      </c>
      <c r="F4" s="849">
        <f>'PL. Příjmů'!F33</f>
        <v>55568000</v>
      </c>
      <c r="G4" s="853">
        <f>'PL. Příjmů'!G33</f>
        <v>159403520</v>
      </c>
      <c r="H4" s="849">
        <f>'PL. Příjmů'!H33</f>
        <v>59376700</v>
      </c>
      <c r="I4" s="849">
        <f>'PL. Příjmů'!I33</f>
        <v>165324700</v>
      </c>
      <c r="J4" s="849">
        <f>'PL. Příjmů'!J33</f>
        <v>166143200</v>
      </c>
      <c r="K4" s="853">
        <f>'PL. Příjmů'!K33</f>
        <v>390844600</v>
      </c>
      <c r="L4" s="849">
        <f>'PL. Příjmů'!L33</f>
        <v>168746200</v>
      </c>
      <c r="M4" s="849">
        <f>'PL. Příjmů'!M33</f>
        <v>145164700</v>
      </c>
      <c r="N4" s="849">
        <f>'PL. Příjmů'!N33</f>
        <v>145164700</v>
      </c>
      <c r="O4" s="853">
        <f>'PL. Příjmů'!O33</f>
        <v>459075600</v>
      </c>
      <c r="P4" s="849">
        <f>'PL. Příjmů'!P33</f>
        <v>137550200</v>
      </c>
      <c r="Q4" s="849">
        <f>'PL. Příjmů'!Q33</f>
        <v>119806700</v>
      </c>
      <c r="R4" s="849">
        <f>'PL. Příjmů'!R33</f>
        <v>117132700</v>
      </c>
      <c r="S4" s="853">
        <f>'PL. Příjmů'!S33</f>
        <v>374489600</v>
      </c>
      <c r="T4" s="853">
        <f>'PL. Příjmů'!T33</f>
        <v>1383813320</v>
      </c>
    </row>
    <row r="5" spans="1:20" ht="15" thickBot="1">
      <c r="A5" s="737"/>
      <c r="B5" s="1493" t="s">
        <v>427</v>
      </c>
      <c r="C5" s="1494"/>
      <c r="D5" s="850">
        <f>SUM(D3:D4)</f>
        <v>72444528</v>
      </c>
      <c r="E5" s="850">
        <f>SUM(E3:E4)</f>
        <v>42126929.442722231</v>
      </c>
      <c r="F5" s="850">
        <f t="shared" ref="F5:T5" si="1">SUM(F3:F4)</f>
        <v>9719707.739944458</v>
      </c>
      <c r="G5" s="854">
        <f t="shared" si="1"/>
        <v>80404819.599666685</v>
      </c>
      <c r="H5" s="850">
        <f t="shared" si="1"/>
        <v>-121310708.80066666</v>
      </c>
      <c r="I5" s="850">
        <f t="shared" si="1"/>
        <v>-45050054.503444433</v>
      </c>
      <c r="J5" s="850">
        <f t="shared" si="1"/>
        <v>31445558.793777794</v>
      </c>
      <c r="K5" s="854">
        <f t="shared" si="1"/>
        <v>331108819.65350002</v>
      </c>
      <c r="L5" s="850">
        <f t="shared" si="1"/>
        <v>229962048.10766667</v>
      </c>
      <c r="M5" s="850">
        <f t="shared" si="1"/>
        <v>300053521.40488887</v>
      </c>
      <c r="N5" s="850">
        <f t="shared" si="1"/>
        <v>368120063.70211112</v>
      </c>
      <c r="O5" s="854">
        <f t="shared" si="1"/>
        <v>738297255.56183338</v>
      </c>
      <c r="P5" s="850">
        <f t="shared" si="1"/>
        <v>634777663.01600003</v>
      </c>
      <c r="Q5" s="850">
        <f t="shared" si="1"/>
        <v>665520317.31322229</v>
      </c>
      <c r="R5" s="850">
        <f t="shared" si="1"/>
        <v>696960726.61044455</v>
      </c>
      <c r="S5" s="854">
        <f t="shared" si="1"/>
        <v>986381931.4701668</v>
      </c>
      <c r="T5" s="854">
        <f t="shared" si="1"/>
        <v>2110370519.9243336</v>
      </c>
    </row>
    <row r="6" spans="1:20">
      <c r="A6" s="737"/>
      <c r="B6" s="1486" t="s">
        <v>309</v>
      </c>
      <c r="C6" s="1487"/>
      <c r="D6" s="848">
        <f>'PL. FN'!D3</f>
        <v>6510434.2795000002</v>
      </c>
      <c r="E6" s="848">
        <f>'PL. FN'!E3</f>
        <v>6815302.4249999998</v>
      </c>
      <c r="F6" s="848">
        <f>'PL. FN'!F3</f>
        <v>8312595.8624999998</v>
      </c>
      <c r="G6" s="852">
        <f>'PL. FN'!G3</f>
        <v>21638332.567000002</v>
      </c>
      <c r="H6" s="856">
        <f>'PL. FN'!H3</f>
        <v>6915302.4249999998</v>
      </c>
      <c r="I6" s="856">
        <f>'PL. FN'!I3</f>
        <v>6815302.4249999998</v>
      </c>
      <c r="J6" s="856">
        <f>'PL. FN'!J3</f>
        <v>8312595.8624999998</v>
      </c>
      <c r="K6" s="852">
        <f>'PL. FN'!K3</f>
        <v>22043200.712499999</v>
      </c>
      <c r="L6" s="856">
        <f>'PL. FN'!L3</f>
        <v>7073302.4249999998</v>
      </c>
      <c r="M6" s="856">
        <f>'PL. FN'!M3</f>
        <v>6815302.4249999998</v>
      </c>
      <c r="N6" s="856">
        <f>'PL. FN'!N3</f>
        <v>8312595.8624999998</v>
      </c>
      <c r="O6" s="852">
        <f>'PL. FN'!O3</f>
        <v>22201200.712499999</v>
      </c>
      <c r="P6" s="856">
        <f>'PL. FN'!P3</f>
        <v>6915302.4249999998</v>
      </c>
      <c r="Q6" s="856">
        <f>'PL. FN'!Q3</f>
        <v>6815302.4249999998</v>
      </c>
      <c r="R6" s="856">
        <f>'PL. FN'!R3</f>
        <v>8312595.8624999998</v>
      </c>
      <c r="S6" s="852">
        <f>'PL. FN'!S3</f>
        <v>22043200.712499999</v>
      </c>
      <c r="T6" s="852">
        <f>'PL. FN'!T3</f>
        <v>87925934.70449999</v>
      </c>
    </row>
    <row r="7" spans="1:20">
      <c r="A7" s="737"/>
      <c r="B7" s="1486" t="s">
        <v>428</v>
      </c>
      <c r="C7" s="1487"/>
      <c r="D7" s="848">
        <f>'PL. FN'!D9</f>
        <v>532986.11111111112</v>
      </c>
      <c r="E7" s="848">
        <f>'PL. FN'!E9</f>
        <v>532986.11111111112</v>
      </c>
      <c r="F7" s="848">
        <f>'PL. FN'!F9</f>
        <v>532986.11111111112</v>
      </c>
      <c r="G7" s="852">
        <f>'PL. FN'!G9</f>
        <v>1598958.3333333335</v>
      </c>
      <c r="H7" s="856">
        <f>'PL. FN'!H9</f>
        <v>532986.11111111112</v>
      </c>
      <c r="I7" s="856">
        <f>'PL. FN'!I9</f>
        <v>532986.11111111112</v>
      </c>
      <c r="J7" s="856">
        <f>'PL. FN'!J9</f>
        <v>532986.11111111112</v>
      </c>
      <c r="K7" s="852">
        <f>'PL. FN'!K9</f>
        <v>1598958.3333333335</v>
      </c>
      <c r="L7" s="856">
        <f>'PL. FN'!L9</f>
        <v>532986.11111111112</v>
      </c>
      <c r="M7" s="856">
        <f>'PL. FN'!M9</f>
        <v>532986.11111111112</v>
      </c>
      <c r="N7" s="856">
        <f>'PL. FN'!N9</f>
        <v>532986.11111111112</v>
      </c>
      <c r="O7" s="852">
        <f>'PL. FN'!O9</f>
        <v>1598958.3333333335</v>
      </c>
      <c r="P7" s="856">
        <f>'PL. FN'!P9</f>
        <v>532986.11111111112</v>
      </c>
      <c r="Q7" s="856">
        <f>'PL. FN'!Q9</f>
        <v>532986.11111111112</v>
      </c>
      <c r="R7" s="856">
        <f>'PL. FN'!R9</f>
        <v>532986.11111111112</v>
      </c>
      <c r="S7" s="852">
        <f>'PL. FN'!S9</f>
        <v>1598958.3333333335</v>
      </c>
      <c r="T7" s="852">
        <f>'PL. FN'!T9</f>
        <v>6395833.333333334</v>
      </c>
    </row>
    <row r="8" spans="1:20">
      <c r="A8" s="737"/>
      <c r="B8" s="1486" t="s">
        <v>429</v>
      </c>
      <c r="C8" s="1487"/>
      <c r="D8" s="848">
        <f>'PL. FN'!D13</f>
        <v>7291.666666666667</v>
      </c>
      <c r="E8" s="848">
        <f>'PL. FN'!E13</f>
        <v>7291.666666666667</v>
      </c>
      <c r="F8" s="848">
        <f>'PL. FN'!F13</f>
        <v>7291.666666666667</v>
      </c>
      <c r="G8" s="852">
        <f>'PL. FN'!G13</f>
        <v>21875</v>
      </c>
      <c r="H8" s="856">
        <f>'PL. FN'!H13</f>
        <v>7291.666666666667</v>
      </c>
      <c r="I8" s="856">
        <f>'PL. FN'!I13</f>
        <v>7291.666666666667</v>
      </c>
      <c r="J8" s="856">
        <f>'PL. FN'!J13</f>
        <v>7291.666666666667</v>
      </c>
      <c r="K8" s="852">
        <f>'PL. FN'!K13</f>
        <v>21875</v>
      </c>
      <c r="L8" s="856">
        <f>'PL. FN'!L13</f>
        <v>7291.666666666667</v>
      </c>
      <c r="M8" s="856">
        <f>'PL. FN'!M13</f>
        <v>7291.666666666667</v>
      </c>
      <c r="N8" s="856">
        <f>'PL. FN'!N13</f>
        <v>7291.666666666667</v>
      </c>
      <c r="O8" s="852">
        <f>'PL. FN'!O13</f>
        <v>21875</v>
      </c>
      <c r="P8" s="856">
        <f>'PL. FN'!P13</f>
        <v>7291.666666666667</v>
      </c>
      <c r="Q8" s="856">
        <f>'PL. FN'!Q13</f>
        <v>7291.666666666667</v>
      </c>
      <c r="R8" s="856">
        <f>'PL. FN'!R13</f>
        <v>7291.666666666667</v>
      </c>
      <c r="S8" s="852">
        <f>'PL. FN'!S13</f>
        <v>21875</v>
      </c>
      <c r="T8" s="852">
        <f>'PL. FN'!T13</f>
        <v>87500</v>
      </c>
    </row>
    <row r="9" spans="1:20">
      <c r="A9" s="737"/>
      <c r="B9" s="1486" t="s">
        <v>430</v>
      </c>
      <c r="C9" s="1487"/>
      <c r="D9" s="848">
        <f>'PL. FN'!D14</f>
        <v>8000</v>
      </c>
      <c r="E9" s="848">
        <f>'PL. FN'!E14</f>
        <v>8000</v>
      </c>
      <c r="F9" s="848">
        <f>'PL. FN'!F14</f>
        <v>8000</v>
      </c>
      <c r="G9" s="852">
        <f>'PL. FN'!G14</f>
        <v>24000</v>
      </c>
      <c r="H9" s="856">
        <f>'PL. FN'!H14</f>
        <v>8000</v>
      </c>
      <c r="I9" s="856">
        <f>'PL. FN'!I14</f>
        <v>8000</v>
      </c>
      <c r="J9" s="856">
        <f>'PL. FN'!J14</f>
        <v>8000</v>
      </c>
      <c r="K9" s="852">
        <f>'PL. FN'!K14</f>
        <v>24000</v>
      </c>
      <c r="L9" s="856">
        <f>'PL. FN'!L14</f>
        <v>8000</v>
      </c>
      <c r="M9" s="856">
        <f>'PL. FN'!M14</f>
        <v>8000</v>
      </c>
      <c r="N9" s="856">
        <f>'PL. FN'!N14</f>
        <v>8000</v>
      </c>
      <c r="O9" s="852">
        <f>'PL. FN'!O14</f>
        <v>24000</v>
      </c>
      <c r="P9" s="856">
        <f>'PL. FN'!P14</f>
        <v>8000</v>
      </c>
      <c r="Q9" s="856">
        <f>'PL. FN'!Q14</f>
        <v>8000</v>
      </c>
      <c r="R9" s="856">
        <f>'PL. FN'!R14</f>
        <v>8000</v>
      </c>
      <c r="S9" s="852">
        <f>'PL. FN'!S14</f>
        <v>24000</v>
      </c>
      <c r="T9" s="852">
        <f>'PL. FN'!T14</f>
        <v>96000</v>
      </c>
    </row>
    <row r="10" spans="1:20">
      <c r="A10" s="737"/>
      <c r="B10" s="1486" t="s">
        <v>431</v>
      </c>
      <c r="C10" s="1487"/>
      <c r="D10" s="848">
        <f>'PL. FN'!D15</f>
        <v>1324852.5</v>
      </c>
      <c r="E10" s="848">
        <f>'PL. FN'!E15</f>
        <v>1324852.5</v>
      </c>
      <c r="F10" s="848">
        <f>'PL. FN'!F15</f>
        <v>1324852.5</v>
      </c>
      <c r="G10" s="852">
        <f>'PL. FN'!G15</f>
        <v>3974557.5</v>
      </c>
      <c r="H10" s="856">
        <f>'PL. FN'!H15</f>
        <v>1324852.5</v>
      </c>
      <c r="I10" s="856">
        <f>'PL. FN'!I15</f>
        <v>1324852.5</v>
      </c>
      <c r="J10" s="856">
        <f>'PL. FN'!J15</f>
        <v>1324852.5</v>
      </c>
      <c r="K10" s="852">
        <f>'PL. FN'!K15</f>
        <v>3974557.5</v>
      </c>
      <c r="L10" s="856">
        <f>'PL. FN'!L15</f>
        <v>1324852.5</v>
      </c>
      <c r="M10" s="856">
        <f>'PL. FN'!M15</f>
        <v>1324852.5</v>
      </c>
      <c r="N10" s="856">
        <f>'PL. FN'!N15</f>
        <v>1324852.5</v>
      </c>
      <c r="O10" s="852">
        <f>'PL. FN'!O15</f>
        <v>3974557.5</v>
      </c>
      <c r="P10" s="856">
        <f>'PL. FN'!P15</f>
        <v>1324852.5</v>
      </c>
      <c r="Q10" s="856">
        <f>'PL. FN'!Q15</f>
        <v>1324852.5</v>
      </c>
      <c r="R10" s="856">
        <f>'PL. FN'!R15</f>
        <v>1324852.5</v>
      </c>
      <c r="S10" s="852">
        <f>'PL. FN'!S15</f>
        <v>3974557.5</v>
      </c>
      <c r="T10" s="852">
        <f>'PL. FN'!T15</f>
        <v>15898230</v>
      </c>
    </row>
    <row r="11" spans="1:20">
      <c r="A11" s="737"/>
      <c r="B11" s="1486" t="s">
        <v>432</v>
      </c>
      <c r="C11" s="1487"/>
      <c r="D11" s="848">
        <f>'PL. FN'!D16</f>
        <v>6008.333333333333</v>
      </c>
      <c r="E11" s="848">
        <f>'PL. FN'!E16</f>
        <v>6008.333333333333</v>
      </c>
      <c r="F11" s="848">
        <f>'PL. FN'!F16</f>
        <v>6008.333333333333</v>
      </c>
      <c r="G11" s="852">
        <f>'PL. FN'!G16</f>
        <v>18025</v>
      </c>
      <c r="H11" s="856">
        <f>'PL. FN'!H16</f>
        <v>6008.333333333333</v>
      </c>
      <c r="I11" s="856">
        <f>'PL. FN'!I16</f>
        <v>6008.333333333333</v>
      </c>
      <c r="J11" s="856">
        <f>'PL. FN'!J16</f>
        <v>6008.333333333333</v>
      </c>
      <c r="K11" s="852">
        <f>'PL. FN'!K16</f>
        <v>18025</v>
      </c>
      <c r="L11" s="856">
        <f>'PL. FN'!L16</f>
        <v>6008.333333333333</v>
      </c>
      <c r="M11" s="856">
        <f>'PL. FN'!M16</f>
        <v>6008.333333333333</v>
      </c>
      <c r="N11" s="856">
        <f>'PL. FN'!N16</f>
        <v>6008.333333333333</v>
      </c>
      <c r="O11" s="852">
        <f>'PL. FN'!O16</f>
        <v>18025</v>
      </c>
      <c r="P11" s="856">
        <f>'PL. FN'!P16</f>
        <v>6008.333333333333</v>
      </c>
      <c r="Q11" s="856">
        <f>'PL. FN'!Q16</f>
        <v>6008.333333333333</v>
      </c>
      <c r="R11" s="856">
        <f>'PL. FN'!R16</f>
        <v>6008.333333333333</v>
      </c>
      <c r="S11" s="852">
        <f>'PL. FN'!S16</f>
        <v>18025</v>
      </c>
      <c r="T11" s="852">
        <f>'PL. FN'!T16</f>
        <v>72100</v>
      </c>
    </row>
    <row r="12" spans="1:20">
      <c r="A12" s="737"/>
      <c r="B12" s="1486" t="s">
        <v>433</v>
      </c>
      <c r="C12" s="1487"/>
      <c r="D12" s="848">
        <f>'PL. FN'!D17</f>
        <v>66707.5</v>
      </c>
      <c r="E12" s="848">
        <f>'PL. FN'!E17</f>
        <v>66707.5</v>
      </c>
      <c r="F12" s="848">
        <f>'PL. FN'!F17</f>
        <v>66707.5</v>
      </c>
      <c r="G12" s="852">
        <f>'PL. FN'!G17</f>
        <v>200122.5</v>
      </c>
      <c r="H12" s="856">
        <f>'PL. FN'!H17</f>
        <v>66707.5</v>
      </c>
      <c r="I12" s="856">
        <f>'PL. FN'!I17</f>
        <v>66707.5</v>
      </c>
      <c r="J12" s="856">
        <f>'PL. FN'!J17</f>
        <v>66707.5</v>
      </c>
      <c r="K12" s="852">
        <f>'PL. FN'!K17</f>
        <v>200122.5</v>
      </c>
      <c r="L12" s="856">
        <f>'PL. FN'!L17</f>
        <v>66707.5</v>
      </c>
      <c r="M12" s="856">
        <f>'PL. FN'!M17</f>
        <v>66707.5</v>
      </c>
      <c r="N12" s="856">
        <f>'PL. FN'!N17</f>
        <v>66707.5</v>
      </c>
      <c r="O12" s="852">
        <f>'PL. FN'!O17</f>
        <v>200122.5</v>
      </c>
      <c r="P12" s="856">
        <f>'PL. FN'!P17</f>
        <v>66707.5</v>
      </c>
      <c r="Q12" s="856">
        <f>'PL. FN'!Q17</f>
        <v>66707.5</v>
      </c>
      <c r="R12" s="856">
        <f>'PL. FN'!R17</f>
        <v>66707.5</v>
      </c>
      <c r="S12" s="852">
        <f>'PL. FN'!S17</f>
        <v>200122.5</v>
      </c>
      <c r="T12" s="852">
        <f>'PL. FN'!T17</f>
        <v>800490</v>
      </c>
    </row>
    <row r="13" spans="1:20">
      <c r="A13" s="737"/>
      <c r="B13" s="1486" t="s">
        <v>434</v>
      </c>
      <c r="C13" s="1487"/>
      <c r="D13" s="848">
        <f>'PL. FN'!D18</f>
        <v>41666.666666666664</v>
      </c>
      <c r="E13" s="848">
        <f>'PL. FN'!E18</f>
        <v>41666.666666666664</v>
      </c>
      <c r="F13" s="848">
        <f>'PL. FN'!F18</f>
        <v>41666.666666666664</v>
      </c>
      <c r="G13" s="852">
        <f>'PL. FN'!G18</f>
        <v>125000</v>
      </c>
      <c r="H13" s="856">
        <f>'PL. FN'!H18</f>
        <v>41666.666666666664</v>
      </c>
      <c r="I13" s="856">
        <f>'PL. FN'!I18</f>
        <v>41666.666666666664</v>
      </c>
      <c r="J13" s="856">
        <f>'PL. FN'!J18</f>
        <v>41666.666666666664</v>
      </c>
      <c r="K13" s="852">
        <f>'PL. FN'!K18</f>
        <v>125000</v>
      </c>
      <c r="L13" s="856">
        <f>'PL. FN'!L18</f>
        <v>41666.666666666664</v>
      </c>
      <c r="M13" s="856">
        <f>'PL. FN'!M18</f>
        <v>41666.666666666664</v>
      </c>
      <c r="N13" s="856">
        <f>'PL. FN'!N18</f>
        <v>41666.666666666664</v>
      </c>
      <c r="O13" s="852">
        <f>'PL. FN'!O18</f>
        <v>125000</v>
      </c>
      <c r="P13" s="856">
        <f>'PL. FN'!P18</f>
        <v>41666.666666666664</v>
      </c>
      <c r="Q13" s="856">
        <f>'PL. FN'!Q18</f>
        <v>41666.666666666664</v>
      </c>
      <c r="R13" s="856">
        <f>'PL. FN'!R18</f>
        <v>41666.666666666664</v>
      </c>
      <c r="S13" s="852">
        <f>'PL. FN'!S18</f>
        <v>125000</v>
      </c>
      <c r="T13" s="852">
        <f>'PL. FN'!T18</f>
        <v>500000</v>
      </c>
    </row>
    <row r="14" spans="1:20">
      <c r="A14" s="737"/>
      <c r="B14" s="1486" t="s">
        <v>435</v>
      </c>
      <c r="C14" s="1487"/>
      <c r="D14" s="848">
        <f>'PL. FN'!D19</f>
        <v>176708.33333333334</v>
      </c>
      <c r="E14" s="848">
        <f>'PL. FN'!E19</f>
        <v>176708.33333333334</v>
      </c>
      <c r="F14" s="848">
        <f>'PL. FN'!F19</f>
        <v>176708.33333333334</v>
      </c>
      <c r="G14" s="852">
        <f>'PL. FN'!G19</f>
        <v>530125</v>
      </c>
      <c r="H14" s="856">
        <f>'PL. FN'!H19</f>
        <v>176708.33333333334</v>
      </c>
      <c r="I14" s="856">
        <f>'PL. FN'!I19</f>
        <v>176708.33333333334</v>
      </c>
      <c r="J14" s="856">
        <f>'PL. FN'!J19</f>
        <v>176708.33333333334</v>
      </c>
      <c r="K14" s="852">
        <f>'PL. FN'!K19</f>
        <v>530125</v>
      </c>
      <c r="L14" s="856">
        <f>'PL. FN'!L19</f>
        <v>176708.33333333334</v>
      </c>
      <c r="M14" s="856">
        <f>'PL. FN'!M19</f>
        <v>176708.33333333334</v>
      </c>
      <c r="N14" s="856">
        <f>'PL. FN'!N19</f>
        <v>176708.33333333334</v>
      </c>
      <c r="O14" s="852">
        <f>'PL. FN'!O19</f>
        <v>530125</v>
      </c>
      <c r="P14" s="856">
        <f>'PL. FN'!P19</f>
        <v>176708.33333333334</v>
      </c>
      <c r="Q14" s="856">
        <f>'PL. FN'!Q19</f>
        <v>176708.33333333334</v>
      </c>
      <c r="R14" s="856">
        <f>'PL. FN'!R19</f>
        <v>176708.33333333334</v>
      </c>
      <c r="S14" s="852">
        <f>'PL. FN'!S19</f>
        <v>530125</v>
      </c>
      <c r="T14" s="852">
        <f>'PL. FN'!T19</f>
        <v>2120500</v>
      </c>
    </row>
    <row r="15" spans="1:20">
      <c r="A15" s="737"/>
      <c r="B15" s="1486" t="s">
        <v>436</v>
      </c>
      <c r="C15" s="1487"/>
      <c r="D15" s="848">
        <f>'PL. FN'!D20</f>
        <v>8750</v>
      </c>
      <c r="E15" s="848">
        <f>'PL. FN'!E20</f>
        <v>8750</v>
      </c>
      <c r="F15" s="848">
        <f>'PL. FN'!F20</f>
        <v>8750</v>
      </c>
      <c r="G15" s="852">
        <f>'PL. FN'!G20</f>
        <v>26250</v>
      </c>
      <c r="H15" s="856">
        <f>'PL. FN'!H20</f>
        <v>8750</v>
      </c>
      <c r="I15" s="856">
        <f>'PL. FN'!I20</f>
        <v>8750</v>
      </c>
      <c r="J15" s="856">
        <f>'PL. FN'!J20</f>
        <v>8750</v>
      </c>
      <c r="K15" s="852">
        <f>'PL. FN'!K20</f>
        <v>26250</v>
      </c>
      <c r="L15" s="856">
        <f>'PL. FN'!L20</f>
        <v>8750</v>
      </c>
      <c r="M15" s="856">
        <f>'PL. FN'!M20</f>
        <v>8750</v>
      </c>
      <c r="N15" s="856">
        <f>'PL. FN'!N20</f>
        <v>8750</v>
      </c>
      <c r="O15" s="852">
        <f>'PL. FN'!O20</f>
        <v>26250</v>
      </c>
      <c r="P15" s="856">
        <f>'PL. FN'!P20</f>
        <v>8750</v>
      </c>
      <c r="Q15" s="856">
        <f>'PL. FN'!Q20</f>
        <v>8750</v>
      </c>
      <c r="R15" s="856">
        <f>'PL. FN'!R20</f>
        <v>8750</v>
      </c>
      <c r="S15" s="852">
        <f>'PL. FN'!S20</f>
        <v>26250</v>
      </c>
      <c r="T15" s="852">
        <f>'PL. FN'!T20</f>
        <v>105000</v>
      </c>
    </row>
    <row r="16" spans="1:20">
      <c r="A16" s="737"/>
      <c r="B16" s="1486" t="s">
        <v>437</v>
      </c>
      <c r="C16" s="1487"/>
      <c r="D16" s="848">
        <f>'PL. FN'!D21</f>
        <v>158166.66666666666</v>
      </c>
      <c r="E16" s="848">
        <f>'PL. FN'!E21</f>
        <v>158166.66666666666</v>
      </c>
      <c r="F16" s="848">
        <f>'PL. FN'!F21</f>
        <v>158166.66666666666</v>
      </c>
      <c r="G16" s="852">
        <f>'PL. FN'!G21</f>
        <v>474500</v>
      </c>
      <c r="H16" s="856">
        <f>'PL. FN'!H21</f>
        <v>158166.66666666666</v>
      </c>
      <c r="I16" s="856">
        <f>'PL. FN'!I21</f>
        <v>158166.66666666666</v>
      </c>
      <c r="J16" s="856">
        <f>'PL. FN'!J21</f>
        <v>158166.66666666666</v>
      </c>
      <c r="K16" s="852">
        <f>'PL. FN'!K21</f>
        <v>474500</v>
      </c>
      <c r="L16" s="856">
        <f>'PL. FN'!L21</f>
        <v>158166.66666666666</v>
      </c>
      <c r="M16" s="856">
        <f>'PL. FN'!M21</f>
        <v>158166.66666666666</v>
      </c>
      <c r="N16" s="856">
        <f>'PL. FN'!N21</f>
        <v>158166.66666666666</v>
      </c>
      <c r="O16" s="852">
        <f>'PL. FN'!O21</f>
        <v>474500</v>
      </c>
      <c r="P16" s="856">
        <f>'PL. FN'!P21</f>
        <v>158166.66666666666</v>
      </c>
      <c r="Q16" s="856">
        <f>'PL. FN'!Q21</f>
        <v>158166.66666666666</v>
      </c>
      <c r="R16" s="856">
        <f>'PL. FN'!R21</f>
        <v>158166.66666666666</v>
      </c>
      <c r="S16" s="852">
        <f>'PL. FN'!S21</f>
        <v>474500</v>
      </c>
      <c r="T16" s="852">
        <f>'PL. FN'!T21</f>
        <v>1898000</v>
      </c>
    </row>
    <row r="17" spans="2:20">
      <c r="B17" s="1486" t="s">
        <v>438</v>
      </c>
      <c r="C17" s="1487"/>
      <c r="D17" s="848">
        <f>'PL. FN'!D22</f>
        <v>78210.833333333328</v>
      </c>
      <c r="E17" s="848">
        <f>'PL. FN'!E22</f>
        <v>78210.833333333328</v>
      </c>
      <c r="F17" s="848">
        <f>'PL. FN'!F22</f>
        <v>78210.833333333328</v>
      </c>
      <c r="G17" s="852">
        <f>'PL. FN'!G22</f>
        <v>234632.5</v>
      </c>
      <c r="H17" s="856">
        <f>'PL. FN'!H22</f>
        <v>78210.833333333328</v>
      </c>
      <c r="I17" s="856">
        <f>'PL. FN'!I22</f>
        <v>78210.833333333328</v>
      </c>
      <c r="J17" s="856">
        <f>'PL. FN'!J22</f>
        <v>78210.833333333328</v>
      </c>
      <c r="K17" s="852">
        <f>'PL. FN'!K22</f>
        <v>234632.5</v>
      </c>
      <c r="L17" s="856">
        <f>'PL. FN'!L22</f>
        <v>78210.833333333328</v>
      </c>
      <c r="M17" s="856">
        <f>'PL. FN'!M22</f>
        <v>78210.833333333328</v>
      </c>
      <c r="N17" s="856">
        <f>'PL. FN'!N22</f>
        <v>78210.833333333328</v>
      </c>
      <c r="O17" s="852">
        <f>'PL. FN'!O22</f>
        <v>234632.5</v>
      </c>
      <c r="P17" s="856">
        <f>'PL. FN'!P22</f>
        <v>78210.833333333328</v>
      </c>
      <c r="Q17" s="856">
        <f>'PL. FN'!Q22</f>
        <v>78210.833333333328</v>
      </c>
      <c r="R17" s="856">
        <f>'PL. FN'!R22</f>
        <v>78210.833333333328</v>
      </c>
      <c r="S17" s="852">
        <f>'PL. FN'!S22</f>
        <v>234632.5</v>
      </c>
      <c r="T17" s="852">
        <f>'PL. FN'!T22</f>
        <v>938530</v>
      </c>
    </row>
    <row r="18" spans="2:20">
      <c r="B18" s="1486" t="s">
        <v>439</v>
      </c>
      <c r="C18" s="1487"/>
      <c r="D18" s="848">
        <f>'PL. FN'!D23</f>
        <v>119858.33333333333</v>
      </c>
      <c r="E18" s="848">
        <f>'PL. FN'!E23</f>
        <v>119858.33333333333</v>
      </c>
      <c r="F18" s="848">
        <f>'PL. FN'!F23</f>
        <v>119858.33333333333</v>
      </c>
      <c r="G18" s="852">
        <f>'PL. FN'!G23</f>
        <v>359575</v>
      </c>
      <c r="H18" s="856">
        <f>'PL. FN'!H23</f>
        <v>119858.33333333333</v>
      </c>
      <c r="I18" s="856">
        <f>'PL. FN'!I23</f>
        <v>119858.33333333333</v>
      </c>
      <c r="J18" s="856">
        <f>'PL. FN'!J23</f>
        <v>119858.33333333333</v>
      </c>
      <c r="K18" s="852">
        <f>'PL. FN'!K23</f>
        <v>359575</v>
      </c>
      <c r="L18" s="856">
        <f>'PL. FN'!L23</f>
        <v>119858.33333333333</v>
      </c>
      <c r="M18" s="856">
        <f>'PL. FN'!M23</f>
        <v>119858.33333333333</v>
      </c>
      <c r="N18" s="856">
        <f>'PL. FN'!N23</f>
        <v>119858.33333333333</v>
      </c>
      <c r="O18" s="852">
        <f>'PL. FN'!O23</f>
        <v>359575</v>
      </c>
      <c r="P18" s="856">
        <f>'PL. FN'!P23</f>
        <v>119858.33333333333</v>
      </c>
      <c r="Q18" s="856">
        <f>'PL. FN'!Q23</f>
        <v>119858.33333333333</v>
      </c>
      <c r="R18" s="856">
        <f>'PL. FN'!R23</f>
        <v>119858.33333333333</v>
      </c>
      <c r="S18" s="852">
        <f>'PL. FN'!S23</f>
        <v>359575</v>
      </c>
      <c r="T18" s="852">
        <f>'PL. FN'!T23</f>
        <v>1438300</v>
      </c>
    </row>
    <row r="19" spans="2:20">
      <c r="B19" s="1486" t="s">
        <v>440</v>
      </c>
      <c r="C19" s="1487"/>
      <c r="D19" s="848">
        <f>'PL. Výdajů'!D4+'PL. Výdajů'!D5</f>
        <v>75150624</v>
      </c>
      <c r="E19" s="848">
        <f>'PL. Výdajů'!E4+'PL. Výdajů'!E5</f>
        <v>78422379</v>
      </c>
      <c r="F19" s="848">
        <f>'PL. Výdajů'!F4+'PL. Výdajů'!F5</f>
        <v>77668272</v>
      </c>
      <c r="G19" s="852">
        <f>'PL. Výdajů'!G4+'PL. Výdajů'!G5</f>
        <v>231241275</v>
      </c>
      <c r="H19" s="856">
        <f>'PL. Výdajů'!H4+'PL. Výdajů'!H5</f>
        <v>79411203</v>
      </c>
      <c r="I19" s="856">
        <f>'PL. Výdajů'!I4+'PL. Výdajů'!I5</f>
        <v>80094744</v>
      </c>
      <c r="J19" s="856">
        <f>'PL. Výdajů'!J4+'PL. Výdajů'!J5</f>
        <v>80131203</v>
      </c>
      <c r="K19" s="852">
        <f>'PL. Výdajů'!K4+'PL. Výdajů'!K5</f>
        <v>239637150</v>
      </c>
      <c r="L19" s="856">
        <f>'PL. Výdajů'!L4+'PL. Výdajů'!L5</f>
        <v>65262384</v>
      </c>
      <c r="M19" s="856">
        <f>'PL. Výdajů'!M4+'PL. Výdajů'!M5</f>
        <v>67545315</v>
      </c>
      <c r="N19" s="856">
        <f>'PL. Výdajů'!N4+'PL. Výdajů'!N5</f>
        <v>77848272</v>
      </c>
      <c r="O19" s="852">
        <f>'PL. Výdajů'!O4+'PL. Výdajů'!O5</f>
        <v>210655971</v>
      </c>
      <c r="P19" s="856">
        <f>'PL. Výdajů'!P4+'PL. Výdajů'!P5</f>
        <v>79411203</v>
      </c>
      <c r="Q19" s="856">
        <f>'PL. Výdajů'!Q4+'PL. Výdajů'!Q5</f>
        <v>76139448</v>
      </c>
      <c r="R19" s="856">
        <f>'PL. Výdajů'!R4+'PL. Výdajů'!R5</f>
        <v>74018259</v>
      </c>
      <c r="S19" s="852">
        <f>'PL. Výdajů'!S4+'PL. Výdajů'!S5</f>
        <v>229568910</v>
      </c>
      <c r="T19" s="852">
        <f>'PL. Výdajů'!T4+'PL. Výdajů'!T5</f>
        <v>911103306</v>
      </c>
    </row>
    <row r="20" spans="2:20" ht="15" thickBot="1">
      <c r="B20" s="1486" t="s">
        <v>441</v>
      </c>
      <c r="C20" s="1487"/>
      <c r="D20" s="848">
        <f>'PL. FN'!D25</f>
        <v>208333.33333333334</v>
      </c>
      <c r="E20" s="848">
        <f>'PL. FN'!E25</f>
        <v>208333.33333333334</v>
      </c>
      <c r="F20" s="848">
        <f>'PL. FN'!F25</f>
        <v>208333.33333333334</v>
      </c>
      <c r="G20" s="852">
        <f>'PL. FN'!G25</f>
        <v>625000</v>
      </c>
      <c r="H20" s="856">
        <f>'PL. FN'!H25</f>
        <v>208333.33333333334</v>
      </c>
      <c r="I20" s="856">
        <f>'PL. FN'!I25</f>
        <v>208333.33333333334</v>
      </c>
      <c r="J20" s="856">
        <f>'PL. FN'!J25</f>
        <v>208333.33333333334</v>
      </c>
      <c r="K20" s="852">
        <f>'PL. FN'!K25</f>
        <v>625000</v>
      </c>
      <c r="L20" s="856">
        <f>'PL. FN'!L25</f>
        <v>208333.33333333334</v>
      </c>
      <c r="M20" s="856">
        <f>'PL. FN'!M25</f>
        <v>208333.33333333334</v>
      </c>
      <c r="N20" s="856">
        <f>'PL. FN'!N25</f>
        <v>208333.33333333334</v>
      </c>
      <c r="O20" s="852">
        <f>'PL. FN'!O25</f>
        <v>625000</v>
      </c>
      <c r="P20" s="856">
        <f>'PL. FN'!P25</f>
        <v>208333.33333333334</v>
      </c>
      <c r="Q20" s="856">
        <f>'PL. FN'!Q25</f>
        <v>208333.33333333334</v>
      </c>
      <c r="R20" s="856">
        <f>'PL. FN'!R25</f>
        <v>208333.33333333334</v>
      </c>
      <c r="S20" s="852">
        <f>'PL. FN'!S25</f>
        <v>625000</v>
      </c>
      <c r="T20" s="852">
        <f>'PL. FN'!T25</f>
        <v>2500000</v>
      </c>
    </row>
    <row r="21" spans="2:20" ht="15" thickBot="1">
      <c r="B21" s="1493" t="s">
        <v>442</v>
      </c>
      <c r="C21" s="1494"/>
      <c r="D21" s="850">
        <f>SUM(D6:D20)</f>
        <v>84398598.557277769</v>
      </c>
      <c r="E21" s="850">
        <f t="shared" ref="E21:S21" si="2">SUM(E6:E20)</f>
        <v>87975221.702777773</v>
      </c>
      <c r="F21" s="850">
        <f t="shared" si="2"/>
        <v>88718408.140277773</v>
      </c>
      <c r="G21" s="1413">
        <f>SUM(G6:G20)</f>
        <v>261092228.40033334</v>
      </c>
      <c r="H21" s="1414">
        <f t="shared" si="2"/>
        <v>89064045.702777773</v>
      </c>
      <c r="I21" s="1414">
        <f t="shared" si="2"/>
        <v>89647586.702777773</v>
      </c>
      <c r="J21" s="1414">
        <f t="shared" si="2"/>
        <v>91181339.140277773</v>
      </c>
      <c r="K21" s="1413">
        <f t="shared" si="2"/>
        <v>269892971.54583335</v>
      </c>
      <c r="L21" s="1414">
        <f t="shared" si="2"/>
        <v>75073226.702777773</v>
      </c>
      <c r="M21" s="1414">
        <f t="shared" si="2"/>
        <v>77098157.702777773</v>
      </c>
      <c r="N21" s="1414">
        <f t="shared" si="2"/>
        <v>88898408.140277773</v>
      </c>
      <c r="O21" s="1413">
        <f>SUM(O6:O20)</f>
        <v>241069792.54583332</v>
      </c>
      <c r="P21" s="1414">
        <f t="shared" si="2"/>
        <v>89064045.702777773</v>
      </c>
      <c r="Q21" s="1414">
        <f t="shared" si="2"/>
        <v>85692290.702777773</v>
      </c>
      <c r="R21" s="1414">
        <f t="shared" si="2"/>
        <v>85068395.140277773</v>
      </c>
      <c r="S21" s="1413">
        <f t="shared" si="2"/>
        <v>259824731.54583332</v>
      </c>
      <c r="T21" s="854">
        <f>SUM(T6:T20)</f>
        <v>1031879724.0378333</v>
      </c>
    </row>
    <row r="22" spans="2:20" ht="15" thickBot="1">
      <c r="B22" s="1499" t="s">
        <v>443</v>
      </c>
      <c r="C22" s="1500"/>
      <c r="D22" s="851">
        <f>D5-D21</f>
        <v>-11954070.557277769</v>
      </c>
      <c r="E22" s="851">
        <f t="shared" ref="E22:T22" si="3">E5-E21</f>
        <v>-45848292.260055542</v>
      </c>
      <c r="F22" s="851">
        <f t="shared" si="3"/>
        <v>-78998700.400333315</v>
      </c>
      <c r="G22" s="1415">
        <f t="shared" si="3"/>
        <v>-180687408.80066666</v>
      </c>
      <c r="H22" s="1416">
        <f t="shared" si="3"/>
        <v>-210374754.50344443</v>
      </c>
      <c r="I22" s="1416">
        <f t="shared" si="3"/>
        <v>-134697641.20622221</v>
      </c>
      <c r="J22" s="1416">
        <f t="shared" si="3"/>
        <v>-59735780.346499979</v>
      </c>
      <c r="K22" s="1415">
        <f t="shared" si="3"/>
        <v>61215848.107666671</v>
      </c>
      <c r="L22" s="1416">
        <f t="shared" si="3"/>
        <v>154888821.4048889</v>
      </c>
      <c r="M22" s="1416">
        <f t="shared" si="3"/>
        <v>222955363.7021111</v>
      </c>
      <c r="N22" s="1416">
        <f t="shared" si="3"/>
        <v>279221655.56183338</v>
      </c>
      <c r="O22" s="1415">
        <f t="shared" si="3"/>
        <v>497227463.01600003</v>
      </c>
      <c r="P22" s="1416">
        <f t="shared" si="3"/>
        <v>545713617.31322229</v>
      </c>
      <c r="Q22" s="1416">
        <f t="shared" si="3"/>
        <v>579828026.61044455</v>
      </c>
      <c r="R22" s="1416">
        <f t="shared" si="3"/>
        <v>611892331.4701668</v>
      </c>
      <c r="S22" s="1415">
        <f>S5-S21</f>
        <v>726557199.92433345</v>
      </c>
      <c r="T22" s="855">
        <f t="shared" si="3"/>
        <v>1078490795.8865004</v>
      </c>
    </row>
    <row r="23" spans="2:20" ht="15" thickBot="1">
      <c r="B23" s="1486" t="s">
        <v>444</v>
      </c>
      <c r="C23" s="1487"/>
      <c r="D23" s="1411">
        <f>Rozvaha!C11</f>
        <v>22690008</v>
      </c>
      <c r="E23" s="737"/>
      <c r="F23" s="737"/>
      <c r="G23" s="203"/>
      <c r="H23" s="203"/>
      <c r="I23" s="203"/>
      <c r="J23" s="203"/>
      <c r="K23" s="203"/>
      <c r="L23" s="203"/>
      <c r="M23" s="203"/>
      <c r="N23" s="203"/>
      <c r="O23" s="203"/>
      <c r="P23" s="203"/>
      <c r="Q23" s="203"/>
      <c r="R23" s="203"/>
      <c r="S23" s="203"/>
      <c r="T23" s="737"/>
    </row>
    <row r="24" spans="2:20" ht="15" thickBot="1">
      <c r="B24" s="1497" t="s">
        <v>445</v>
      </c>
      <c r="C24" s="1498"/>
      <c r="D24" s="1412">
        <f>D23+D22</f>
        <v>10735937.442722231</v>
      </c>
      <c r="E24" s="1412">
        <f>D24+E22</f>
        <v>-35112354.817333311</v>
      </c>
      <c r="F24" s="1412">
        <f t="shared" ref="F24" si="4">E24+F22</f>
        <v>-114111055.21766663</v>
      </c>
      <c r="G24" s="1417">
        <f>SUM(D24:F24)</f>
        <v>-138487472.59227771</v>
      </c>
      <c r="H24" s="1417">
        <f>F24+H22</f>
        <v>-324485809.72111106</v>
      </c>
      <c r="I24" s="1417">
        <f>H24+I22</f>
        <v>-459183450.92733324</v>
      </c>
      <c r="J24" s="1417">
        <f>I24+J22</f>
        <v>-518919231.27383322</v>
      </c>
      <c r="K24" s="1417">
        <f>SUM(H24:J24)</f>
        <v>-1302588491.9222775</v>
      </c>
      <c r="L24" s="1417">
        <f>J24+L22</f>
        <v>-364030409.86894429</v>
      </c>
      <c r="M24" s="1417">
        <f>L24+M22</f>
        <v>-141075046.16683319</v>
      </c>
      <c r="N24" s="1417">
        <f>M24+N22</f>
        <v>138146609.39500019</v>
      </c>
      <c r="O24" s="1417">
        <f>SUM(L24:N24)</f>
        <v>-366958846.64077723</v>
      </c>
      <c r="P24" s="1417">
        <f>N24+P22</f>
        <v>683860226.70822251</v>
      </c>
      <c r="Q24" s="1417">
        <f>P24+Q22</f>
        <v>1263688253.3186669</v>
      </c>
      <c r="R24" s="1417">
        <f>Q24+R22</f>
        <v>1875580584.7888336</v>
      </c>
      <c r="S24" s="1418">
        <f>SUM(P24:R24)</f>
        <v>3823129064.8157229</v>
      </c>
      <c r="T24" s="737"/>
    </row>
  </sheetData>
  <customSheetViews>
    <customSheetView guid="{F9015B81-4D5E-47E3-BFA8-A54438E9D1FF}" showPageBreaks="1" showGridLines="0" view="pageLayout">
      <selection activeCell="D2" sqref="D1:F1048576"/>
      <pageMargins left="0.7" right="0.7" top="0.75" bottom="0.75" header="0.3" footer="0.3"/>
      <pageSetup paperSize="9" orientation="portrait" r:id="rId1"/>
    </customSheetView>
  </customSheetViews>
  <mergeCells count="26">
    <mergeCell ref="B14:C14"/>
    <mergeCell ref="B15:C15"/>
    <mergeCell ref="B16:C16"/>
    <mergeCell ref="B17:C17"/>
    <mergeCell ref="B24:C24"/>
    <mergeCell ref="B23:C23"/>
    <mergeCell ref="B19:C19"/>
    <mergeCell ref="B20:C20"/>
    <mergeCell ref="B21:C21"/>
    <mergeCell ref="B22:C22"/>
    <mergeCell ref="B18:C18"/>
    <mergeCell ref="B13:C13"/>
    <mergeCell ref="D1:G1"/>
    <mergeCell ref="H1:K1"/>
    <mergeCell ref="L1:O1"/>
    <mergeCell ref="P1:S1"/>
    <mergeCell ref="B12:C12"/>
    <mergeCell ref="B4:C4"/>
    <mergeCell ref="B5:C5"/>
    <mergeCell ref="B6:C6"/>
    <mergeCell ref="B2:C2"/>
    <mergeCell ref="B9:C9"/>
    <mergeCell ref="B7:C7"/>
    <mergeCell ref="B8:C8"/>
    <mergeCell ref="B10:C10"/>
    <mergeCell ref="B11:C11"/>
  </mergeCells>
  <conditionalFormatting sqref="D22:T22">
    <cfRule type="cellIs" dxfId="6" priority="2" operator="lessThan">
      <formula>0</formula>
    </cfRule>
  </conditionalFormatting>
  <conditionalFormatting sqref="D24:S24">
    <cfRule type="cellIs" dxfId="5" priority="1" operator="lessThan">
      <formula>0</formula>
    </cfRule>
  </conditionalFormatting>
  <hyperlinks>
    <hyperlink ref="A1" location="MENU!A1" display="MENU" xr:uid="{0712B7BF-690C-4DA3-A1C0-06B4ADAD964D}"/>
  </hyperlinks>
  <pageMargins left="0.7" right="0.7" top="0.75" bottom="0.75" header="0.3" footer="0.3"/>
  <pageSetup paperSize="9" orientation="portrait" r:id="rId2"/>
  <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E3362-3368-4015-8051-10705E87C63C}">
  <sheetPr>
    <tabColor theme="3"/>
  </sheetPr>
  <dimension ref="A1:W53"/>
  <sheetViews>
    <sheetView showGridLines="0" zoomScale="55" zoomScaleNormal="55" workbookViewId="0"/>
  </sheetViews>
  <sheetFormatPr defaultColWidth="8.77734375" defaultRowHeight="14.25" outlineLevelRow="2" outlineLevelCol="1"/>
  <cols>
    <col min="1" max="1" width="8.44140625" style="445" customWidth="1"/>
    <col min="2" max="4" width="2.44140625" style="445" customWidth="1"/>
    <col min="5" max="5" width="86.21875" style="445" customWidth="1"/>
    <col min="6" max="6" width="14.77734375" style="445" customWidth="1"/>
    <col min="7" max="7" width="13.44140625" style="445" customWidth="1" outlineLevel="1"/>
    <col min="8" max="9" width="11.44140625" style="445" customWidth="1" outlineLevel="1"/>
    <col min="10" max="10" width="13.77734375" style="445" customWidth="1"/>
    <col min="11" max="11" width="11.44140625" style="445" customWidth="1" outlineLevel="1"/>
    <col min="12" max="13" width="13.33203125" style="445" customWidth="1" outlineLevel="1"/>
    <col min="14" max="14" width="14.44140625" style="445" customWidth="1"/>
    <col min="15" max="16" width="13.44140625" style="445" customWidth="1" outlineLevel="1"/>
    <col min="17" max="17" width="14.21875" style="445" customWidth="1" outlineLevel="1"/>
    <col min="18" max="18" width="14.44140625" style="445" customWidth="1"/>
    <col min="19" max="19" width="14.109375" style="445" customWidth="1" outlineLevel="1"/>
    <col min="20" max="20" width="13.77734375" style="445" customWidth="1" outlineLevel="1"/>
    <col min="21" max="21" width="15.33203125" style="445" customWidth="1" outlineLevel="1"/>
    <col min="22" max="22" width="14.21875" style="445" customWidth="1"/>
    <col min="23" max="23" width="18.44140625" style="445" customWidth="1"/>
    <col min="24" max="16384" width="8.77734375" style="445"/>
  </cols>
  <sheetData>
    <row r="1" spans="1:23" ht="36.75" customHeight="1">
      <c r="A1" s="957" t="s">
        <v>1</v>
      </c>
    </row>
    <row r="2" spans="1:23" ht="36.75" customHeight="1" thickBot="1">
      <c r="E2" s="878" t="s">
        <v>446</v>
      </c>
    </row>
    <row r="3" spans="1:23" ht="36.75" customHeight="1" thickBot="1">
      <c r="E3" s="1113" t="s">
        <v>447</v>
      </c>
      <c r="F3" s="1114">
        <f>Rozvaha!C11</f>
        <v>22690008</v>
      </c>
    </row>
    <row r="4" spans="1:23" ht="36.75" customHeight="1">
      <c r="E4" s="1115" t="s">
        <v>448</v>
      </c>
      <c r="F4" s="883">
        <f>'PL. FN'!T9</f>
        <v>6395833.333333334</v>
      </c>
    </row>
    <row r="5" spans="1:23" ht="36.75" customHeight="1">
      <c r="E5" s="1115" t="s">
        <v>449</v>
      </c>
      <c r="F5" s="884">
        <f>Rozvaha!D8</f>
        <v>-72184152</v>
      </c>
    </row>
    <row r="6" spans="1:23" ht="36.75" customHeight="1">
      <c r="E6" s="1115" t="s">
        <v>450</v>
      </c>
      <c r="F6" s="884">
        <f>Rozvaha!D9</f>
        <v>-32136780</v>
      </c>
    </row>
    <row r="7" spans="1:23" ht="36.75" customHeight="1">
      <c r="E7" s="1115" t="s">
        <v>451</v>
      </c>
      <c r="F7" s="884">
        <f>Rozvaha!D10</f>
        <v>66294480</v>
      </c>
    </row>
    <row r="8" spans="1:23" ht="36.75" customHeight="1" thickBot="1">
      <c r="E8" s="1115" t="s">
        <v>452</v>
      </c>
      <c r="F8" s="884">
        <f>Rozvaha!D18+Rozvaha!D19</f>
        <v>267163394.72049999</v>
      </c>
    </row>
    <row r="9" spans="1:23" ht="36.75" customHeight="1" thickBot="1">
      <c r="E9" s="1113" t="s">
        <v>453</v>
      </c>
      <c r="F9" s="1114">
        <f>SUM(F3:F8)</f>
        <v>258222784.05383334</v>
      </c>
    </row>
    <row r="10" spans="1:23" ht="36.75" customHeight="1">
      <c r="G10" s="877"/>
    </row>
    <row r="11" spans="1:23" ht="36.75" customHeight="1" thickBot="1">
      <c r="B11" s="881"/>
      <c r="C11" s="882"/>
      <c r="D11" s="882"/>
      <c r="E11" s="881" t="s">
        <v>454</v>
      </c>
      <c r="F11" s="896"/>
      <c r="G11" s="882"/>
      <c r="H11" s="882"/>
      <c r="I11" s="882"/>
      <c r="J11" s="882"/>
      <c r="K11" s="882"/>
      <c r="L11" s="882"/>
      <c r="M11" s="882"/>
      <c r="N11" s="882"/>
      <c r="O11" s="882"/>
      <c r="P11" s="882"/>
      <c r="Q11" s="882"/>
      <c r="R11" s="882"/>
      <c r="S11" s="882"/>
      <c r="T11" s="882"/>
      <c r="U11" s="882"/>
      <c r="V11" s="882"/>
      <c r="W11" s="882"/>
    </row>
    <row r="12" spans="1:23" ht="36.75" customHeight="1" thickBot="1">
      <c r="B12" s="1504" t="s">
        <v>455</v>
      </c>
      <c r="C12" s="1505"/>
      <c r="D12" s="1506"/>
      <c r="E12" s="895" t="s">
        <v>456</v>
      </c>
      <c r="F12" s="814"/>
      <c r="G12" s="1488" t="s">
        <v>258</v>
      </c>
      <c r="H12" s="1489"/>
      <c r="I12" s="1489"/>
      <c r="J12" s="1489"/>
      <c r="K12" s="1489" t="s">
        <v>262</v>
      </c>
      <c r="L12" s="1489"/>
      <c r="M12" s="1489"/>
      <c r="N12" s="1489"/>
      <c r="O12" s="1489" t="s">
        <v>266</v>
      </c>
      <c r="P12" s="1489"/>
      <c r="Q12" s="1489"/>
      <c r="R12" s="1489"/>
      <c r="S12" s="1489" t="s">
        <v>270</v>
      </c>
      <c r="T12" s="1489"/>
      <c r="U12" s="1489"/>
      <c r="V12" s="1490"/>
      <c r="W12" s="778"/>
    </row>
    <row r="13" spans="1:23" ht="15" thickBot="1">
      <c r="B13" s="1501" t="s">
        <v>281</v>
      </c>
      <c r="C13" s="1502"/>
      <c r="D13" s="1503"/>
      <c r="E13" s="815" t="s">
        <v>282</v>
      </c>
      <c r="F13" s="879"/>
      <c r="G13" s="842" t="s">
        <v>255</v>
      </c>
      <c r="H13" s="843" t="s">
        <v>256</v>
      </c>
      <c r="I13" s="844" t="s">
        <v>257</v>
      </c>
      <c r="J13" s="1116" t="s">
        <v>258</v>
      </c>
      <c r="K13" s="800" t="s">
        <v>259</v>
      </c>
      <c r="L13" s="797" t="s">
        <v>260</v>
      </c>
      <c r="M13" s="799" t="s">
        <v>261</v>
      </c>
      <c r="N13" s="1117" t="s">
        <v>262</v>
      </c>
      <c r="O13" s="800" t="s">
        <v>263</v>
      </c>
      <c r="P13" s="797" t="s">
        <v>264</v>
      </c>
      <c r="Q13" s="799" t="s">
        <v>265</v>
      </c>
      <c r="R13" s="1117" t="s">
        <v>266</v>
      </c>
      <c r="S13" s="800" t="s">
        <v>267</v>
      </c>
      <c r="T13" s="797" t="s">
        <v>268</v>
      </c>
      <c r="U13" s="799" t="s">
        <v>269</v>
      </c>
      <c r="V13" s="1117" t="s">
        <v>270</v>
      </c>
      <c r="W13" s="798" t="s">
        <v>271</v>
      </c>
    </row>
    <row r="14" spans="1:23" s="447" customFormat="1" ht="15" thickBot="1">
      <c r="A14" s="445"/>
      <c r="B14" s="821" t="s">
        <v>457</v>
      </c>
      <c r="C14" s="822"/>
      <c r="D14" s="822"/>
      <c r="E14" s="838" t="s">
        <v>458</v>
      </c>
      <c r="F14" s="888"/>
      <c r="G14" s="942">
        <f>Rozvaha!C11</f>
        <v>22690008</v>
      </c>
      <c r="H14" s="791">
        <f>G53</f>
        <v>-20136072.892333336</v>
      </c>
      <c r="I14" s="792">
        <f t="shared" ref="I14:U14" si="0">H53</f>
        <v>-62517165.075666666</v>
      </c>
      <c r="J14" s="791">
        <f>SUM(G14:I14)</f>
        <v>-59963229.968000002</v>
      </c>
      <c r="K14" s="940">
        <f>I53</f>
        <v>-105651737.134</v>
      </c>
      <c r="L14" s="791">
        <f t="shared" si="0"/>
        <v>-143925953.31733334</v>
      </c>
      <c r="M14" s="791">
        <f t="shared" si="0"/>
        <v>-76735710.500666678</v>
      </c>
      <c r="N14" s="922">
        <f>SUM(K14:M14)</f>
        <v>-326313400.95200002</v>
      </c>
      <c r="O14" s="940">
        <f>M53</f>
        <v>-11758013.559000015</v>
      </c>
      <c r="P14" s="791">
        <f t="shared" si="0"/>
        <v>73170089.257666647</v>
      </c>
      <c r="Q14" s="792">
        <f t="shared" si="0"/>
        <v>132749761.07433331</v>
      </c>
      <c r="R14" s="792">
        <f>SUM(O14:Q14)</f>
        <v>194161836.77299994</v>
      </c>
      <c r="S14" s="791">
        <f>Q53</f>
        <v>179031889.01599997</v>
      </c>
      <c r="T14" s="791">
        <f t="shared" si="0"/>
        <v>218931172.83266664</v>
      </c>
      <c r="U14" s="791">
        <f t="shared" si="0"/>
        <v>244558711.6493333</v>
      </c>
      <c r="V14" s="929">
        <f>SUM(S14:U14)</f>
        <v>642521773.49799991</v>
      </c>
      <c r="W14" s="792">
        <f>J14+N14+R14+V14</f>
        <v>450406979.35099983</v>
      </c>
    </row>
    <row r="15" spans="1:23" outlineLevel="1">
      <c r="B15" s="825"/>
      <c r="C15" s="826"/>
      <c r="D15" s="826"/>
      <c r="E15" s="839" t="s">
        <v>459</v>
      </c>
      <c r="F15" s="889"/>
      <c r="G15" s="930"/>
      <c r="H15" s="830"/>
      <c r="I15" s="832"/>
      <c r="J15" s="830"/>
      <c r="K15" s="930"/>
      <c r="L15" s="830"/>
      <c r="M15" s="830"/>
      <c r="N15" s="923"/>
      <c r="O15" s="930"/>
      <c r="P15" s="830"/>
      <c r="Q15" s="832"/>
      <c r="R15" s="830"/>
      <c r="S15" s="937"/>
      <c r="T15" s="938"/>
      <c r="U15" s="939"/>
      <c r="V15" s="830"/>
      <c r="W15" s="935">
        <f t="shared" ref="W15:W23" si="1">J15+N15+R15+V15</f>
        <v>0</v>
      </c>
    </row>
    <row r="16" spans="1:23" outlineLevel="2">
      <c r="B16" s="827" t="s">
        <v>460</v>
      </c>
      <c r="C16" s="818"/>
      <c r="D16" s="818"/>
      <c r="E16" s="820" t="s">
        <v>461</v>
      </c>
      <c r="F16" s="890"/>
      <c r="G16" s="931">
        <f>'PL. Příjmů'!D33</f>
        <v>49754520</v>
      </c>
      <c r="H16" s="831">
        <f>'PL. Příjmů'!E33</f>
        <v>54081000</v>
      </c>
      <c r="I16" s="833">
        <f>'PL. Příjmů'!F33</f>
        <v>55568000</v>
      </c>
      <c r="J16" s="856">
        <f>'PL. Příjmů'!G33</f>
        <v>159403520</v>
      </c>
      <c r="K16" s="931">
        <f>'PL. Příjmů'!H33</f>
        <v>59376700</v>
      </c>
      <c r="L16" s="831">
        <f>'PL. Příjmů'!I33</f>
        <v>165324700</v>
      </c>
      <c r="M16" s="831">
        <f>'PL. Příjmů'!J33</f>
        <v>166143200</v>
      </c>
      <c r="N16" s="924">
        <f>'PL. Příjmů'!K33</f>
        <v>390844600</v>
      </c>
      <c r="O16" s="931">
        <f>'PL. Příjmů'!L33</f>
        <v>168746200</v>
      </c>
      <c r="P16" s="831">
        <f>'PL. Příjmů'!M33</f>
        <v>145164700</v>
      </c>
      <c r="Q16" s="833">
        <f>'PL. Příjmů'!N33</f>
        <v>145164700</v>
      </c>
      <c r="R16" s="831">
        <f>'PL. Příjmů'!O33</f>
        <v>459075600</v>
      </c>
      <c r="S16" s="931">
        <f>'PL. Příjmů'!P33</f>
        <v>137550200</v>
      </c>
      <c r="T16" s="831">
        <f>'PL. Příjmů'!Q33</f>
        <v>119806700</v>
      </c>
      <c r="U16" s="833">
        <f>'PL. Příjmů'!R33</f>
        <v>117132700</v>
      </c>
      <c r="V16" s="831">
        <f>'PL. Příjmů'!S33</f>
        <v>374489600</v>
      </c>
      <c r="W16" s="924">
        <f>VZZ!U53</f>
        <v>413424103.04166669</v>
      </c>
    </row>
    <row r="17" spans="1:23" s="446" customFormat="1" outlineLevel="2">
      <c r="A17" s="445"/>
      <c r="B17" s="823" t="s">
        <v>462</v>
      </c>
      <c r="C17" s="781">
        <v>1</v>
      </c>
      <c r="D17" s="781"/>
      <c r="E17" s="816" t="s">
        <v>463</v>
      </c>
      <c r="F17" s="891"/>
      <c r="G17" s="941">
        <f>G18+G19+G20+G21+G22+G23</f>
        <v>532986.11111111112</v>
      </c>
      <c r="H17" s="787">
        <f>H18+H19+H20+H21+H22+H23</f>
        <v>532986.11111111112</v>
      </c>
      <c r="I17" s="841">
        <f>I18+I19+I20+I21+I22+I23</f>
        <v>532986.11111111112</v>
      </c>
      <c r="J17" s="787">
        <f>J18+J19+J20+J21+J22+J23</f>
        <v>1598958.3333333335</v>
      </c>
      <c r="K17" s="932">
        <f t="shared" ref="K17:V17" si="2">K18+K19+K20+K21+K22+K23</f>
        <v>532986.11111111112</v>
      </c>
      <c r="L17" s="788">
        <f t="shared" si="2"/>
        <v>532986.11111111112</v>
      </c>
      <c r="M17" s="788">
        <f t="shared" si="2"/>
        <v>532986.11111111112</v>
      </c>
      <c r="N17" s="926">
        <f t="shared" si="2"/>
        <v>1598958.3333333335</v>
      </c>
      <c r="O17" s="932">
        <f t="shared" si="2"/>
        <v>532986.11111111112</v>
      </c>
      <c r="P17" s="788">
        <f t="shared" si="2"/>
        <v>532986.11111111112</v>
      </c>
      <c r="Q17" s="784">
        <f t="shared" si="2"/>
        <v>532986.11111111112</v>
      </c>
      <c r="R17" s="788">
        <f t="shared" si="2"/>
        <v>1598958.3333333335</v>
      </c>
      <c r="S17" s="932">
        <f t="shared" si="2"/>
        <v>532986.11111111112</v>
      </c>
      <c r="T17" s="788">
        <f t="shared" si="2"/>
        <v>532986.11111111112</v>
      </c>
      <c r="U17" s="784">
        <f t="shared" si="2"/>
        <v>532986.11111111112</v>
      </c>
      <c r="V17" s="788">
        <f t="shared" si="2"/>
        <v>1598958.3333333335</v>
      </c>
      <c r="W17" s="926">
        <f>W18+W19+W20+W21+W22+W23</f>
        <v>6395833.333333334</v>
      </c>
    </row>
    <row r="18" spans="1:23" outlineLevel="2">
      <c r="B18" s="827" t="s">
        <v>290</v>
      </c>
      <c r="C18" s="818">
        <v>1</v>
      </c>
      <c r="D18" s="818">
        <v>1</v>
      </c>
      <c r="E18" s="820" t="s">
        <v>464</v>
      </c>
      <c r="F18" s="890"/>
      <c r="G18" s="931">
        <f>'PL. FN'!D9</f>
        <v>532986.11111111112</v>
      </c>
      <c r="H18" s="831">
        <f>'PL. FN'!E9</f>
        <v>532986.11111111112</v>
      </c>
      <c r="I18" s="833">
        <f>'PL. FN'!F9</f>
        <v>532986.11111111112</v>
      </c>
      <c r="J18" s="831">
        <f>'PL. FN'!G9</f>
        <v>1598958.3333333335</v>
      </c>
      <c r="K18" s="931">
        <f>'PL. FN'!H9</f>
        <v>532986.11111111112</v>
      </c>
      <c r="L18" s="831">
        <f>'PL. FN'!I9</f>
        <v>532986.11111111112</v>
      </c>
      <c r="M18" s="831">
        <f>'PL. FN'!J9</f>
        <v>532986.11111111112</v>
      </c>
      <c r="N18" s="924">
        <f>'PL. FN'!K9</f>
        <v>1598958.3333333335</v>
      </c>
      <c r="O18" s="931">
        <f>'PL. FN'!L9</f>
        <v>532986.11111111112</v>
      </c>
      <c r="P18" s="831">
        <f>'PL. FN'!M9</f>
        <v>532986.11111111112</v>
      </c>
      <c r="Q18" s="833">
        <f>'PL. FN'!N9</f>
        <v>532986.11111111112</v>
      </c>
      <c r="R18" s="831">
        <f>'PL. FN'!O9</f>
        <v>1598958.3333333335</v>
      </c>
      <c r="S18" s="931">
        <f>'PL. FN'!P9</f>
        <v>532986.11111111112</v>
      </c>
      <c r="T18" s="831">
        <f>'PL. FN'!Q9</f>
        <v>532986.11111111112</v>
      </c>
      <c r="U18" s="833">
        <f>'PL. FN'!R9</f>
        <v>532986.11111111112</v>
      </c>
      <c r="V18" s="831">
        <f>'PL. FN'!S9</f>
        <v>1598958.3333333335</v>
      </c>
      <c r="W18" s="923">
        <f t="shared" si="1"/>
        <v>6395833.333333334</v>
      </c>
    </row>
    <row r="19" spans="1:23" outlineLevel="2">
      <c r="B19" s="827" t="s">
        <v>290</v>
      </c>
      <c r="C19" s="818">
        <v>1</v>
      </c>
      <c r="D19" s="818">
        <v>2</v>
      </c>
      <c r="E19" s="820" t="s">
        <v>465</v>
      </c>
      <c r="F19" s="890"/>
      <c r="G19" s="930">
        <v>0</v>
      </c>
      <c r="H19" s="830"/>
      <c r="I19" s="832"/>
      <c r="J19" s="830"/>
      <c r="K19" s="930"/>
      <c r="L19" s="830"/>
      <c r="M19" s="830"/>
      <c r="N19" s="923"/>
      <c r="O19" s="930"/>
      <c r="P19" s="830"/>
      <c r="Q19" s="832"/>
      <c r="R19" s="830"/>
      <c r="S19" s="930"/>
      <c r="T19" s="830"/>
      <c r="U19" s="832"/>
      <c r="V19" s="830"/>
      <c r="W19" s="923">
        <f t="shared" si="1"/>
        <v>0</v>
      </c>
    </row>
    <row r="20" spans="1:23" outlineLevel="2">
      <c r="B20" s="827" t="s">
        <v>290</v>
      </c>
      <c r="C20" s="818">
        <v>1</v>
      </c>
      <c r="D20" s="818">
        <v>3</v>
      </c>
      <c r="E20" s="820" t="s">
        <v>466</v>
      </c>
      <c r="F20" s="890"/>
      <c r="G20" s="930"/>
      <c r="H20" s="830"/>
      <c r="I20" s="832"/>
      <c r="J20" s="830"/>
      <c r="K20" s="930"/>
      <c r="L20" s="830"/>
      <c r="M20" s="830"/>
      <c r="N20" s="923"/>
      <c r="O20" s="930"/>
      <c r="P20" s="830"/>
      <c r="Q20" s="832"/>
      <c r="R20" s="830"/>
      <c r="S20" s="930"/>
      <c r="T20" s="830"/>
      <c r="U20" s="832"/>
      <c r="V20" s="830"/>
      <c r="W20" s="923">
        <f t="shared" si="1"/>
        <v>0</v>
      </c>
    </row>
    <row r="21" spans="1:23" outlineLevel="2">
      <c r="B21" s="827" t="s">
        <v>290</v>
      </c>
      <c r="C21" s="818">
        <v>1</v>
      </c>
      <c r="D21" s="818">
        <v>4</v>
      </c>
      <c r="E21" s="820" t="s">
        <v>467</v>
      </c>
      <c r="F21" s="890"/>
      <c r="G21" s="930"/>
      <c r="H21" s="830"/>
      <c r="I21" s="832"/>
      <c r="J21" s="830"/>
      <c r="K21" s="930"/>
      <c r="L21" s="830"/>
      <c r="M21" s="830"/>
      <c r="N21" s="923"/>
      <c r="O21" s="930"/>
      <c r="P21" s="830"/>
      <c r="Q21" s="832"/>
      <c r="R21" s="830"/>
      <c r="S21" s="930"/>
      <c r="T21" s="830"/>
      <c r="U21" s="832"/>
      <c r="V21" s="830"/>
      <c r="W21" s="923">
        <f t="shared" si="1"/>
        <v>0</v>
      </c>
    </row>
    <row r="22" spans="1:23" outlineLevel="2">
      <c r="B22" s="827" t="s">
        <v>290</v>
      </c>
      <c r="C22" s="818">
        <v>1</v>
      </c>
      <c r="D22" s="818">
        <v>5</v>
      </c>
      <c r="E22" s="820" t="s">
        <v>468</v>
      </c>
      <c r="F22" s="890"/>
      <c r="G22" s="930"/>
      <c r="H22" s="830"/>
      <c r="I22" s="832"/>
      <c r="J22" s="830"/>
      <c r="K22" s="930"/>
      <c r="L22" s="830"/>
      <c r="M22" s="830"/>
      <c r="N22" s="923"/>
      <c r="O22" s="930"/>
      <c r="P22" s="830"/>
      <c r="Q22" s="832"/>
      <c r="R22" s="830"/>
      <c r="S22" s="930"/>
      <c r="T22" s="830"/>
      <c r="U22" s="832"/>
      <c r="V22" s="830"/>
      <c r="W22" s="923">
        <f t="shared" si="1"/>
        <v>0</v>
      </c>
    </row>
    <row r="23" spans="1:23" outlineLevel="2">
      <c r="B23" s="827" t="s">
        <v>290</v>
      </c>
      <c r="C23" s="818">
        <v>1</v>
      </c>
      <c r="D23" s="818">
        <v>6</v>
      </c>
      <c r="E23" s="820" t="s">
        <v>469</v>
      </c>
      <c r="F23" s="890"/>
      <c r="G23" s="930">
        <v>0</v>
      </c>
      <c r="H23" s="830"/>
      <c r="I23" s="832"/>
      <c r="J23" s="830"/>
      <c r="K23" s="930"/>
      <c r="L23" s="830"/>
      <c r="M23" s="830"/>
      <c r="N23" s="923"/>
      <c r="O23" s="930"/>
      <c r="P23" s="830"/>
      <c r="Q23" s="832"/>
      <c r="R23" s="830"/>
      <c r="S23" s="930"/>
      <c r="T23" s="830"/>
      <c r="U23" s="832"/>
      <c r="V23" s="830"/>
      <c r="W23" s="923">
        <f t="shared" si="1"/>
        <v>0</v>
      </c>
    </row>
    <row r="24" spans="1:23" s="447" customFormat="1" outlineLevel="2">
      <c r="A24" s="445"/>
      <c r="B24" s="824" t="s">
        <v>290</v>
      </c>
      <c r="C24" s="780" t="s">
        <v>371</v>
      </c>
      <c r="D24" s="780"/>
      <c r="E24" s="817" t="s">
        <v>470</v>
      </c>
      <c r="F24" s="892"/>
      <c r="G24" s="933">
        <f>G16+G17</f>
        <v>50287506.111111112</v>
      </c>
      <c r="H24" s="836">
        <f>H16+H17</f>
        <v>54613986.111111112</v>
      </c>
      <c r="I24" s="837">
        <f t="shared" ref="I24:V24" si="3">I16+I17</f>
        <v>56100986.111111112</v>
      </c>
      <c r="J24" s="836">
        <f t="shared" si="3"/>
        <v>161002478.33333334</v>
      </c>
      <c r="K24" s="933">
        <f t="shared" si="3"/>
        <v>59909686.111111112</v>
      </c>
      <c r="L24" s="836">
        <f t="shared" si="3"/>
        <v>165857686.1111111</v>
      </c>
      <c r="M24" s="836">
        <f t="shared" si="3"/>
        <v>166676186.1111111</v>
      </c>
      <c r="N24" s="925">
        <f t="shared" si="3"/>
        <v>392443558.33333331</v>
      </c>
      <c r="O24" s="933">
        <f t="shared" si="3"/>
        <v>169279186.1111111</v>
      </c>
      <c r="P24" s="836">
        <f t="shared" si="3"/>
        <v>145697686.1111111</v>
      </c>
      <c r="Q24" s="837">
        <f t="shared" si="3"/>
        <v>145697686.1111111</v>
      </c>
      <c r="R24" s="836">
        <f t="shared" si="3"/>
        <v>460674558.33333331</v>
      </c>
      <c r="S24" s="933">
        <f t="shared" si="3"/>
        <v>138083186.1111111</v>
      </c>
      <c r="T24" s="836">
        <f t="shared" si="3"/>
        <v>120339686.1111111</v>
      </c>
      <c r="U24" s="837">
        <f t="shared" si="3"/>
        <v>117665686.1111111</v>
      </c>
      <c r="V24" s="836">
        <f t="shared" si="3"/>
        <v>376088558.33333331</v>
      </c>
      <c r="W24" s="925">
        <f t="shared" ref="W24" si="4">W16-W17</f>
        <v>407028269.70833337</v>
      </c>
    </row>
    <row r="25" spans="1:23" s="446" customFormat="1" outlineLevel="2">
      <c r="A25" s="445"/>
      <c r="B25" s="823" t="s">
        <v>290</v>
      </c>
      <c r="C25" s="781">
        <v>2</v>
      </c>
      <c r="D25" s="781"/>
      <c r="E25" s="816" t="s">
        <v>471</v>
      </c>
      <c r="F25" s="891"/>
      <c r="G25" s="932">
        <f>G26+G27+G28+G29</f>
        <v>93113587.003444448</v>
      </c>
      <c r="H25" s="788">
        <f t="shared" ref="H25:W25" si="5">H26+H27+H28+H29</f>
        <v>96995078.294444442</v>
      </c>
      <c r="I25" s="784">
        <f t="shared" si="5"/>
        <v>99235558.169444442</v>
      </c>
      <c r="J25" s="788">
        <f t="shared" si="5"/>
        <v>289344223.46733332</v>
      </c>
      <c r="K25" s="932">
        <f t="shared" si="5"/>
        <v>98183902.294444442</v>
      </c>
      <c r="L25" s="788">
        <f t="shared" si="5"/>
        <v>98667443.294444442</v>
      </c>
      <c r="M25" s="788">
        <f t="shared" si="5"/>
        <v>101698489.16944444</v>
      </c>
      <c r="N25" s="926">
        <f>N26+N27+N28+N29</f>
        <v>298549834.75833333</v>
      </c>
      <c r="O25" s="932">
        <f t="shared" si="5"/>
        <v>84351083.294444442</v>
      </c>
      <c r="P25" s="788">
        <f t="shared" si="5"/>
        <v>86118014.294444442</v>
      </c>
      <c r="Q25" s="784">
        <f t="shared" si="5"/>
        <v>99415558.169444442</v>
      </c>
      <c r="R25" s="788">
        <f t="shared" si="5"/>
        <v>269884655.75833333</v>
      </c>
      <c r="S25" s="932">
        <f t="shared" si="5"/>
        <v>98183902.294444442</v>
      </c>
      <c r="T25" s="788">
        <f t="shared" si="5"/>
        <v>94712147.294444442</v>
      </c>
      <c r="U25" s="784">
        <f t="shared" si="5"/>
        <v>95585545.169444442</v>
      </c>
      <c r="V25" s="788">
        <f t="shared" si="5"/>
        <v>288481594.75833333</v>
      </c>
      <c r="W25" s="926">
        <f t="shared" si="5"/>
        <v>1146260308.7423334</v>
      </c>
    </row>
    <row r="26" spans="1:23" outlineLevel="2">
      <c r="B26" s="827" t="s">
        <v>462</v>
      </c>
      <c r="C26" s="818">
        <v>2</v>
      </c>
      <c r="D26" s="818">
        <v>1</v>
      </c>
      <c r="E26" s="820" t="s">
        <v>472</v>
      </c>
      <c r="F26" s="890"/>
      <c r="G26" s="931">
        <f>'PL. Výdajů'!D7</f>
        <v>84398598.557277784</v>
      </c>
      <c r="H26" s="831">
        <f>'PL. Výdajů'!E7</f>
        <v>87975221.702777773</v>
      </c>
      <c r="I26" s="831">
        <f>'PL. Výdajů'!F7</f>
        <v>88718408.140277773</v>
      </c>
      <c r="J26" s="931">
        <f>'PL. Výdajů'!G7</f>
        <v>261092228.40033334</v>
      </c>
      <c r="K26" s="931">
        <f>'PL. Výdajů'!H7</f>
        <v>89064045.702777773</v>
      </c>
      <c r="L26" s="831">
        <f>'PL. Výdajů'!I7</f>
        <v>89647586.702777773</v>
      </c>
      <c r="M26" s="831">
        <f>'PL. Výdajů'!J7</f>
        <v>91181339.140277773</v>
      </c>
      <c r="N26" s="924">
        <f>'PL. Výdajů'!K7</f>
        <v>269892971.54583335</v>
      </c>
      <c r="O26" s="931">
        <f>'PL. Výdajů'!L7</f>
        <v>75073226.702777773</v>
      </c>
      <c r="P26" s="831">
        <f>'PL. Výdajů'!M7</f>
        <v>77098157.702777773</v>
      </c>
      <c r="Q26" s="831">
        <f>'PL. Výdajů'!N7</f>
        <v>88898408.140277773</v>
      </c>
      <c r="R26" s="931">
        <f>'PL. Výdajů'!O7</f>
        <v>241069792.54583335</v>
      </c>
      <c r="S26" s="931">
        <f>'PL. Výdajů'!P7</f>
        <v>89064045.702777773</v>
      </c>
      <c r="T26" s="831">
        <f>'PL. Výdajů'!Q7</f>
        <v>85692290.702777773</v>
      </c>
      <c r="U26" s="831">
        <f>'PL. Výdajů'!R7</f>
        <v>85068395.140277773</v>
      </c>
      <c r="V26" s="931">
        <f>'PL. Výdajů'!S7</f>
        <v>259824731.54583335</v>
      </c>
      <c r="W26" s="924">
        <f>'PL. Výdajů'!T7</f>
        <v>1031879724.0378335</v>
      </c>
    </row>
    <row r="27" spans="1:23" outlineLevel="2">
      <c r="B27" s="827" t="s">
        <v>290</v>
      </c>
      <c r="C27" s="818">
        <v>2</v>
      </c>
      <c r="D27" s="818">
        <v>2</v>
      </c>
      <c r="E27" s="820" t="s">
        <v>473</v>
      </c>
      <c r="F27" s="890"/>
      <c r="G27" s="931">
        <f>'PL. FN'!D3+'PL. FN'!D13+'PL. FN'!D14+'PL. FN'!D15+'PL. FN'!D16+'PL. FN'!D17+'PL. FN'!D18+'PL. FN'!D19+'PL. FN'!D20+'PL. FN'!D21+'PL. FN'!D22+'PL. FN'!D23+'PL. FN'!D25</f>
        <v>8714988.4461666681</v>
      </c>
      <c r="H27" s="831">
        <f>'PL. FN'!E3+'PL. FN'!E13+'PL. FN'!E14+'PL. FN'!E15+'PL. FN'!E16+'PL. FN'!E17+'PL. FN'!E18+'PL. FN'!E19+'PL. FN'!E20+'PL. FN'!E21+'PL. FN'!E22+'PL. FN'!E23+'PL. FN'!E25</f>
        <v>9019856.5916666687</v>
      </c>
      <c r="I27" s="831">
        <f>'PL. FN'!F3+'PL. FN'!F13+'PL. FN'!F14+'PL. FN'!F15+'PL. FN'!F16+'PL. FN'!F17+'PL. FN'!F18+'PL. FN'!F19+'PL. FN'!F20+'PL. FN'!F21+'PL. FN'!F22+'PL. FN'!F23+'PL. FN'!F25</f>
        <v>10517150.029166669</v>
      </c>
      <c r="J27" s="931">
        <f>'PL. FN'!G3+'PL. FN'!G13+'PL. FN'!G14+'PL. FN'!G15+'PL. FN'!G16+'PL. FN'!G17+'PL. FN'!G18+'PL. FN'!G19+'PL. FN'!G20+'PL. FN'!G21+'PL. FN'!G22+'PL. FN'!G23+'PL. FN'!G25</f>
        <v>28251995.067000002</v>
      </c>
      <c r="K27" s="931">
        <f>'PL. FN'!H3+'PL. FN'!H13+'PL. FN'!H14+'PL. FN'!H15+'PL. FN'!H16+'PL. FN'!H17+'PL. FN'!H18+'PL. FN'!H19+'PL. FN'!H20+'PL. FN'!H21+'PL. FN'!H22+'PL. FN'!H23+'PL. FN'!H25</f>
        <v>9119856.5916666687</v>
      </c>
      <c r="L27" s="831">
        <f>'PL. FN'!I3+'PL. FN'!I13+'PL. FN'!I14+'PL. FN'!I15+'PL. FN'!I16+'PL. FN'!I17+'PL. FN'!I18+'PL. FN'!I19+'PL. FN'!I20+'PL. FN'!I21+'PL. FN'!I22+'PL. FN'!I23+'PL. FN'!I25</f>
        <v>9019856.5916666687</v>
      </c>
      <c r="M27" s="831">
        <f>'PL. FN'!J3+'PL. FN'!J13+'PL. FN'!J14+'PL. FN'!J15+'PL. FN'!J16+'PL. FN'!J17+'PL. FN'!J18+'PL. FN'!J19+'PL. FN'!J20+'PL. FN'!J21+'PL. FN'!J22+'PL. FN'!J23+'PL. FN'!J25</f>
        <v>10517150.029166669</v>
      </c>
      <c r="N27" s="924">
        <f>'PL. FN'!K3+'PL. FN'!K13+'PL. FN'!K14+'PL. FN'!K15+'PL. FN'!K16+'PL. FN'!K17+'PL. FN'!K18+'PL. FN'!K19+'PL. FN'!K20+'PL. FN'!K21+'PL. FN'!K22+'PL. FN'!K23+'PL. FN'!K25</f>
        <v>28656863.212499999</v>
      </c>
      <c r="O27" s="931">
        <f>'PL. FN'!L3+'PL. FN'!L13+'PL. FN'!L14+'PL. FN'!L15+'PL. FN'!L16+'PL. FN'!L17+'PL. FN'!L18+'PL. FN'!L19+'PL. FN'!L20+'PL. FN'!L21+'PL. FN'!L22+'PL. FN'!L23+'PL. FN'!L25</f>
        <v>9277856.5916666687</v>
      </c>
      <c r="P27" s="831">
        <f>'PL. FN'!M3+'PL. FN'!M13+'PL. FN'!M14+'PL. FN'!M15+'PL. FN'!M16+'PL. FN'!M17+'PL. FN'!M18+'PL. FN'!M19+'PL. FN'!M20+'PL. FN'!M21+'PL. FN'!M22+'PL. FN'!M23+'PL. FN'!M25</f>
        <v>9019856.5916666687</v>
      </c>
      <c r="Q27" s="831">
        <f>'PL. FN'!N3+'PL. FN'!N13+'PL. FN'!N14+'PL. FN'!N15+'PL. FN'!N16+'PL. FN'!N17+'PL. FN'!N18+'PL. FN'!N19+'PL. FN'!N20+'PL. FN'!N21+'PL. FN'!N22+'PL. FN'!N23+'PL. FN'!N25</f>
        <v>10517150.029166669</v>
      </c>
      <c r="R27" s="931">
        <f>'PL. FN'!O3+'PL. FN'!O13+'PL. FN'!O14+'PL. FN'!O15+'PL. FN'!O16+'PL. FN'!O17+'PL. FN'!O18+'PL. FN'!O19+'PL. FN'!O20+'PL. FN'!O21+'PL. FN'!O22+'PL. FN'!O23+'PL. FN'!O25</f>
        <v>28814863.212499999</v>
      </c>
      <c r="S27" s="931">
        <f>'PL. FN'!P3+'PL. FN'!P13+'PL. FN'!P14+'PL. FN'!P15+'PL. FN'!P16+'PL. FN'!P17+'PL. FN'!P18+'PL. FN'!P19+'PL. FN'!P20+'PL. FN'!P21+'PL. FN'!P22+'PL. FN'!P23+'PL. FN'!P25</f>
        <v>9119856.5916666687</v>
      </c>
      <c r="T27" s="831">
        <f>'PL. FN'!Q3+'PL. FN'!Q13+'PL. FN'!Q14+'PL. FN'!Q15+'PL. FN'!Q16+'PL. FN'!Q17+'PL. FN'!Q18+'PL. FN'!Q19+'PL. FN'!Q20+'PL. FN'!Q21+'PL. FN'!Q22+'PL. FN'!Q23+'PL. FN'!Q25</f>
        <v>9019856.5916666687</v>
      </c>
      <c r="U27" s="831">
        <f>'PL. FN'!R3+'PL. FN'!R13+'PL. FN'!R14+'PL. FN'!R15+'PL. FN'!R16+'PL. FN'!R17+'PL. FN'!R18+'PL. FN'!R19+'PL. FN'!R20+'PL. FN'!R21+'PL. FN'!R22+'PL. FN'!R23+'PL. FN'!R25</f>
        <v>10517150.029166669</v>
      </c>
      <c r="V27" s="931">
        <f>'PL. FN'!S3+'PL. FN'!S13+'PL. FN'!S14+'PL. FN'!S15+'PL. FN'!S16+'PL. FN'!S17+'PL. FN'!S18+'PL. FN'!S19+'PL. FN'!S20+'PL. FN'!S21+'PL. FN'!S22+'PL. FN'!S23+'PL. FN'!S25</f>
        <v>28656863.212499999</v>
      </c>
      <c r="W27" s="924">
        <f>'PL. FN'!T3+'PL. FN'!T13+'PL. FN'!T14+'PL. FN'!T15+'PL. FN'!T16+'PL. FN'!T17+'PL. FN'!T18+'PL. FN'!T19+'PL. FN'!T20+'PL. FN'!T21+'PL. FN'!T22+'PL. FN'!T23+'PL. FN'!T25</f>
        <v>114380584.70449999</v>
      </c>
    </row>
    <row r="28" spans="1:23" outlineLevel="2">
      <c r="B28" s="827" t="s">
        <v>290</v>
      </c>
      <c r="C28" s="818">
        <v>2</v>
      </c>
      <c r="D28" s="818">
        <v>3</v>
      </c>
      <c r="E28" s="820" t="s">
        <v>474</v>
      </c>
      <c r="F28" s="890"/>
      <c r="G28" s="931"/>
      <c r="H28" s="831"/>
      <c r="I28" s="833"/>
      <c r="J28" s="831"/>
      <c r="K28" s="931"/>
      <c r="L28" s="831"/>
      <c r="M28" s="831"/>
      <c r="N28" s="924"/>
      <c r="O28" s="931"/>
      <c r="P28" s="831"/>
      <c r="Q28" s="833"/>
      <c r="R28" s="831"/>
      <c r="S28" s="931"/>
      <c r="T28" s="831"/>
      <c r="U28" s="833"/>
      <c r="V28" s="831"/>
      <c r="W28" s="924"/>
    </row>
    <row r="29" spans="1:23" outlineLevel="2">
      <c r="B29" s="827" t="s">
        <v>290</v>
      </c>
      <c r="C29" s="818">
        <v>2</v>
      </c>
      <c r="D29" s="818">
        <v>4</v>
      </c>
      <c r="E29" s="820" t="s">
        <v>475</v>
      </c>
      <c r="F29" s="890"/>
      <c r="G29" s="930"/>
      <c r="H29" s="830"/>
      <c r="I29" s="832"/>
      <c r="J29" s="830"/>
      <c r="K29" s="930"/>
      <c r="L29" s="830"/>
      <c r="M29" s="830"/>
      <c r="N29" s="923"/>
      <c r="O29" s="930"/>
      <c r="P29" s="830"/>
      <c r="Q29" s="832"/>
      <c r="R29" s="830"/>
      <c r="S29" s="930"/>
      <c r="T29" s="830"/>
      <c r="U29" s="832"/>
      <c r="V29" s="830"/>
      <c r="W29" s="923">
        <f t="shared" ref="W29:W50" si="6">J29+N29+R29+V29</f>
        <v>0</v>
      </c>
    </row>
    <row r="30" spans="1:23" s="447" customFormat="1" outlineLevel="2">
      <c r="A30" s="445"/>
      <c r="B30" s="824" t="s">
        <v>290</v>
      </c>
      <c r="C30" s="780" t="s">
        <v>403</v>
      </c>
      <c r="D30" s="780"/>
      <c r="E30" s="817" t="s">
        <v>476</v>
      </c>
      <c r="F30" s="892"/>
      <c r="G30" s="933">
        <f>G24-G25</f>
        <v>-42826080.892333336</v>
      </c>
      <c r="H30" s="836">
        <f t="shared" ref="H30:I30" si="7">H24-H25</f>
        <v>-42381092.18333333</v>
      </c>
      <c r="I30" s="837">
        <f t="shared" si="7"/>
        <v>-43134572.05833333</v>
      </c>
      <c r="J30" s="785">
        <f>J24-J25</f>
        <v>-128341745.13399997</v>
      </c>
      <c r="K30" s="933">
        <f t="shared" ref="K30:V30" si="8">K24-K25</f>
        <v>-38274216.18333333</v>
      </c>
      <c r="L30" s="836">
        <f t="shared" si="8"/>
        <v>67190242.816666663</v>
      </c>
      <c r="M30" s="836">
        <f t="shared" si="8"/>
        <v>64977696.941666663</v>
      </c>
      <c r="N30" s="925">
        <f t="shared" si="8"/>
        <v>93893723.574999988</v>
      </c>
      <c r="O30" s="933">
        <f t="shared" si="8"/>
        <v>84928102.816666663</v>
      </c>
      <c r="P30" s="836">
        <f t="shared" si="8"/>
        <v>59579671.816666663</v>
      </c>
      <c r="Q30" s="837">
        <f t="shared" si="8"/>
        <v>46282127.941666663</v>
      </c>
      <c r="R30" s="836">
        <f t="shared" si="8"/>
        <v>190789902.57499999</v>
      </c>
      <c r="S30" s="933">
        <f t="shared" si="8"/>
        <v>39899283.816666663</v>
      </c>
      <c r="T30" s="836">
        <f t="shared" si="8"/>
        <v>25627538.816666663</v>
      </c>
      <c r="U30" s="837">
        <f t="shared" si="8"/>
        <v>22080140.941666663</v>
      </c>
      <c r="V30" s="836">
        <f t="shared" si="8"/>
        <v>87606963.574999988</v>
      </c>
      <c r="W30" s="925">
        <f t="shared" ref="W30" si="9">W24+W25</f>
        <v>1553288578.4506669</v>
      </c>
    </row>
    <row r="31" spans="1:23" outlineLevel="2">
      <c r="B31" s="827" t="s">
        <v>290</v>
      </c>
      <c r="C31" s="818">
        <v>3</v>
      </c>
      <c r="D31" s="818"/>
      <c r="E31" s="820" t="s">
        <v>477</v>
      </c>
      <c r="F31" s="890"/>
      <c r="G31" s="930"/>
      <c r="H31" s="830"/>
      <c r="I31" s="832"/>
      <c r="J31" s="830"/>
      <c r="K31" s="930"/>
      <c r="L31" s="830"/>
      <c r="M31" s="830"/>
      <c r="N31" s="923"/>
      <c r="O31" s="930"/>
      <c r="P31" s="830"/>
      <c r="Q31" s="832"/>
      <c r="R31" s="830"/>
      <c r="S31" s="930"/>
      <c r="T31" s="830"/>
      <c r="U31" s="832"/>
      <c r="V31" s="830"/>
      <c r="W31" s="923">
        <f t="shared" si="6"/>
        <v>0</v>
      </c>
    </row>
    <row r="32" spans="1:23" outlineLevel="2">
      <c r="B32" s="827" t="s">
        <v>290</v>
      </c>
      <c r="C32" s="818">
        <v>4</v>
      </c>
      <c r="D32" s="818"/>
      <c r="E32" s="820" t="s">
        <v>478</v>
      </c>
      <c r="F32" s="890"/>
      <c r="G32" s="930"/>
      <c r="H32" s="830"/>
      <c r="I32" s="832"/>
      <c r="J32" s="830"/>
      <c r="K32" s="930"/>
      <c r="L32" s="830"/>
      <c r="M32" s="830"/>
      <c r="N32" s="923"/>
      <c r="O32" s="930"/>
      <c r="P32" s="830"/>
      <c r="Q32" s="832"/>
      <c r="R32" s="830"/>
      <c r="S32" s="930"/>
      <c r="T32" s="830"/>
      <c r="U32" s="832"/>
      <c r="V32" s="830"/>
      <c r="W32" s="923">
        <f t="shared" si="6"/>
        <v>0</v>
      </c>
    </row>
    <row r="33" spans="1:23" outlineLevel="2">
      <c r="B33" s="827" t="s">
        <v>462</v>
      </c>
      <c r="C33" s="818">
        <v>5</v>
      </c>
      <c r="D33" s="818"/>
      <c r="E33" s="820" t="s">
        <v>479</v>
      </c>
      <c r="F33" s="890"/>
      <c r="G33" s="930"/>
      <c r="H33" s="830"/>
      <c r="I33" s="832"/>
      <c r="J33" s="830"/>
      <c r="K33" s="930"/>
      <c r="L33" s="830"/>
      <c r="M33" s="830"/>
      <c r="N33" s="923"/>
      <c r="O33" s="930"/>
      <c r="P33" s="830"/>
      <c r="Q33" s="832"/>
      <c r="R33" s="830"/>
      <c r="S33" s="930"/>
      <c r="T33" s="830"/>
      <c r="U33" s="832"/>
      <c r="V33" s="830"/>
      <c r="W33" s="923">
        <f t="shared" si="6"/>
        <v>0</v>
      </c>
    </row>
    <row r="34" spans="1:23" outlineLevel="2">
      <c r="B34" s="827" t="s">
        <v>290</v>
      </c>
      <c r="C34" s="818">
        <v>6</v>
      </c>
      <c r="D34" s="818"/>
      <c r="E34" s="820" t="s">
        <v>480</v>
      </c>
      <c r="F34" s="890"/>
      <c r="G34" s="930"/>
      <c r="H34" s="830"/>
      <c r="I34" s="832"/>
      <c r="J34" s="830"/>
      <c r="K34" s="930"/>
      <c r="L34" s="830"/>
      <c r="M34" s="830"/>
      <c r="N34" s="923"/>
      <c r="O34" s="930"/>
      <c r="P34" s="830"/>
      <c r="Q34" s="832"/>
      <c r="R34" s="830"/>
      <c r="S34" s="930"/>
      <c r="T34" s="830"/>
      <c r="U34" s="832"/>
      <c r="V34" s="830"/>
      <c r="W34" s="923">
        <f t="shared" si="6"/>
        <v>0</v>
      </c>
    </row>
    <row r="35" spans="1:23" outlineLevel="2">
      <c r="B35" s="827" t="s">
        <v>290</v>
      </c>
      <c r="C35" s="818">
        <v>7</v>
      </c>
      <c r="D35" s="818"/>
      <c r="E35" s="820" t="s">
        <v>481</v>
      </c>
      <c r="F35" s="890"/>
      <c r="G35" s="930"/>
      <c r="H35" s="830"/>
      <c r="I35" s="832"/>
      <c r="J35" s="830"/>
      <c r="K35" s="930"/>
      <c r="L35" s="830"/>
      <c r="M35" s="830"/>
      <c r="N35" s="923"/>
      <c r="O35" s="930"/>
      <c r="P35" s="830"/>
      <c r="Q35" s="832"/>
      <c r="R35" s="830"/>
      <c r="S35" s="930"/>
      <c r="T35" s="830"/>
      <c r="U35" s="832"/>
      <c r="V35" s="830"/>
      <c r="W35" s="923">
        <f t="shared" si="6"/>
        <v>0</v>
      </c>
    </row>
    <row r="36" spans="1:23" s="447" customFormat="1" outlineLevel="1">
      <c r="A36" s="445"/>
      <c r="B36" s="824" t="s">
        <v>290</v>
      </c>
      <c r="C36" s="780" t="s">
        <v>420</v>
      </c>
      <c r="D36" s="780"/>
      <c r="E36" s="817" t="s">
        <v>482</v>
      </c>
      <c r="F36" s="892"/>
      <c r="G36" s="793">
        <f>G30+G31+G32+G33+G34+G35</f>
        <v>-42826080.892333336</v>
      </c>
      <c r="H36" s="785">
        <f t="shared" ref="H36:W36" si="10">H30+H31+H32+H33+H34+H35</f>
        <v>-42381092.18333333</v>
      </c>
      <c r="I36" s="786">
        <f t="shared" si="10"/>
        <v>-43134572.05833333</v>
      </c>
      <c r="J36" s="785">
        <f t="shared" si="10"/>
        <v>-128341745.13399997</v>
      </c>
      <c r="K36" s="793">
        <f t="shared" si="10"/>
        <v>-38274216.18333333</v>
      </c>
      <c r="L36" s="785">
        <f t="shared" si="10"/>
        <v>67190242.816666663</v>
      </c>
      <c r="M36" s="785">
        <f t="shared" si="10"/>
        <v>64977696.941666663</v>
      </c>
      <c r="N36" s="795">
        <f t="shared" si="10"/>
        <v>93893723.574999988</v>
      </c>
      <c r="O36" s="793">
        <f t="shared" si="10"/>
        <v>84928102.816666663</v>
      </c>
      <c r="P36" s="785">
        <f t="shared" si="10"/>
        <v>59579671.816666663</v>
      </c>
      <c r="Q36" s="786">
        <f t="shared" si="10"/>
        <v>46282127.941666663</v>
      </c>
      <c r="R36" s="785">
        <f t="shared" si="10"/>
        <v>190789902.57499999</v>
      </c>
      <c r="S36" s="793">
        <f t="shared" si="10"/>
        <v>39899283.816666663</v>
      </c>
      <c r="T36" s="785">
        <f t="shared" si="10"/>
        <v>25627538.816666663</v>
      </c>
      <c r="U36" s="786">
        <f t="shared" si="10"/>
        <v>22080140.941666663</v>
      </c>
      <c r="V36" s="785">
        <f t="shared" si="10"/>
        <v>87606963.574999988</v>
      </c>
      <c r="W36" s="795">
        <f t="shared" si="10"/>
        <v>1553288578.4506669</v>
      </c>
    </row>
    <row r="37" spans="1:23" outlineLevel="1">
      <c r="B37" s="827"/>
      <c r="C37" s="818"/>
      <c r="D37" s="818"/>
      <c r="E37" s="819" t="s">
        <v>483</v>
      </c>
      <c r="F37" s="889"/>
      <c r="G37" s="930"/>
      <c r="H37" s="830"/>
      <c r="I37" s="832"/>
      <c r="J37" s="830"/>
      <c r="K37" s="930"/>
      <c r="L37" s="830"/>
      <c r="M37" s="830"/>
      <c r="N37" s="923"/>
      <c r="O37" s="930"/>
      <c r="P37" s="830"/>
      <c r="Q37" s="832"/>
      <c r="R37" s="830"/>
      <c r="S37" s="930"/>
      <c r="T37" s="830"/>
      <c r="U37" s="832"/>
      <c r="V37" s="830"/>
      <c r="W37" s="923">
        <f t="shared" si="6"/>
        <v>0</v>
      </c>
    </row>
    <row r="38" spans="1:23" outlineLevel="2">
      <c r="B38" s="827" t="s">
        <v>302</v>
      </c>
      <c r="C38" s="818">
        <v>1</v>
      </c>
      <c r="D38" s="818"/>
      <c r="E38" s="820" t="s">
        <v>484</v>
      </c>
      <c r="F38" s="890"/>
      <c r="G38" s="931"/>
      <c r="H38" s="831"/>
      <c r="I38" s="943"/>
      <c r="J38" s="856"/>
      <c r="K38" s="931"/>
      <c r="L38" s="831"/>
      <c r="M38" s="831"/>
      <c r="N38" s="927"/>
      <c r="O38" s="931"/>
      <c r="P38" s="831"/>
      <c r="Q38" s="833"/>
      <c r="R38" s="856"/>
      <c r="S38" s="931"/>
      <c r="T38" s="831"/>
      <c r="U38" s="833"/>
      <c r="V38" s="856"/>
      <c r="W38" s="923">
        <f t="shared" si="6"/>
        <v>0</v>
      </c>
    </row>
    <row r="39" spans="1:23" outlineLevel="2">
      <c r="B39" s="827" t="s">
        <v>302</v>
      </c>
      <c r="C39" s="818">
        <v>2</v>
      </c>
      <c r="D39" s="818"/>
      <c r="E39" s="820" t="s">
        <v>485</v>
      </c>
      <c r="F39" s="890"/>
      <c r="G39" s="930"/>
      <c r="H39" s="830"/>
      <c r="I39" s="832"/>
      <c r="J39" s="424"/>
      <c r="K39" s="930"/>
      <c r="L39" s="830"/>
      <c r="M39" s="830"/>
      <c r="N39" s="923"/>
      <c r="O39" s="930"/>
      <c r="P39" s="830"/>
      <c r="Q39" s="832"/>
      <c r="R39" s="830"/>
      <c r="S39" s="930"/>
      <c r="T39" s="830"/>
      <c r="U39" s="832"/>
      <c r="V39" s="830"/>
      <c r="W39" s="923">
        <f t="shared" si="6"/>
        <v>0</v>
      </c>
    </row>
    <row r="40" spans="1:23" outlineLevel="2">
      <c r="B40" s="827" t="s">
        <v>302</v>
      </c>
      <c r="C40" s="818">
        <v>3</v>
      </c>
      <c r="D40" s="818"/>
      <c r="E40" s="820" t="s">
        <v>486</v>
      </c>
      <c r="F40" s="890"/>
      <c r="G40" s="930"/>
      <c r="H40" s="830"/>
      <c r="I40" s="832"/>
      <c r="J40" s="830"/>
      <c r="K40" s="930"/>
      <c r="L40" s="830"/>
      <c r="M40" s="830"/>
      <c r="N40" s="923"/>
      <c r="O40" s="930"/>
      <c r="P40" s="830"/>
      <c r="Q40" s="832"/>
      <c r="R40" s="830"/>
      <c r="S40" s="930"/>
      <c r="T40" s="830"/>
      <c r="U40" s="832"/>
      <c r="V40" s="830"/>
      <c r="W40" s="923">
        <f t="shared" si="6"/>
        <v>0</v>
      </c>
    </row>
    <row r="41" spans="1:23" s="447" customFormat="1" outlineLevel="1">
      <c r="A41" s="445"/>
      <c r="B41" s="824" t="s">
        <v>302</v>
      </c>
      <c r="C41" s="780" t="s">
        <v>420</v>
      </c>
      <c r="D41" s="780"/>
      <c r="E41" s="817" t="s">
        <v>487</v>
      </c>
      <c r="F41" s="892"/>
      <c r="G41" s="933">
        <f>G38+G39+G40</f>
        <v>0</v>
      </c>
      <c r="H41" s="785">
        <f t="shared" ref="H41:W41" si="11">H38+H39+H40</f>
        <v>0</v>
      </c>
      <c r="I41" s="786">
        <f t="shared" si="11"/>
        <v>0</v>
      </c>
      <c r="J41" s="785">
        <f t="shared" si="11"/>
        <v>0</v>
      </c>
      <c r="K41" s="793">
        <f t="shared" si="11"/>
        <v>0</v>
      </c>
      <c r="L41" s="785">
        <f t="shared" si="11"/>
        <v>0</v>
      </c>
      <c r="M41" s="785">
        <f t="shared" si="11"/>
        <v>0</v>
      </c>
      <c r="N41" s="795">
        <f t="shared" si="11"/>
        <v>0</v>
      </c>
      <c r="O41" s="793">
        <f t="shared" si="11"/>
        <v>0</v>
      </c>
      <c r="P41" s="785">
        <f t="shared" si="11"/>
        <v>0</v>
      </c>
      <c r="Q41" s="786">
        <f t="shared" si="11"/>
        <v>0</v>
      </c>
      <c r="R41" s="785">
        <f t="shared" si="11"/>
        <v>0</v>
      </c>
      <c r="S41" s="793">
        <f t="shared" si="11"/>
        <v>0</v>
      </c>
      <c r="T41" s="785">
        <f t="shared" si="11"/>
        <v>0</v>
      </c>
      <c r="U41" s="786">
        <f t="shared" si="11"/>
        <v>0</v>
      </c>
      <c r="V41" s="785">
        <f t="shared" si="11"/>
        <v>0</v>
      </c>
      <c r="W41" s="795">
        <f t="shared" si="11"/>
        <v>0</v>
      </c>
    </row>
    <row r="42" spans="1:23" outlineLevel="1">
      <c r="B42" s="827"/>
      <c r="C42" s="818"/>
      <c r="D42" s="818"/>
      <c r="E42" s="819" t="s">
        <v>488</v>
      </c>
      <c r="F42" s="889"/>
      <c r="G42" s="930"/>
      <c r="H42" s="830"/>
      <c r="I42" s="832"/>
      <c r="J42" s="830"/>
      <c r="K42" s="930"/>
      <c r="L42" s="830"/>
      <c r="M42" s="830"/>
      <c r="N42" s="923"/>
      <c r="O42" s="930"/>
      <c r="P42" s="830"/>
      <c r="Q42" s="832"/>
      <c r="R42" s="830"/>
      <c r="S42" s="930"/>
      <c r="T42" s="830"/>
      <c r="U42" s="832"/>
      <c r="V42" s="830"/>
      <c r="W42" s="923">
        <f t="shared" si="6"/>
        <v>0</v>
      </c>
    </row>
    <row r="43" spans="1:23" outlineLevel="2">
      <c r="B43" s="827" t="s">
        <v>305</v>
      </c>
      <c r="C43" s="818">
        <v>1</v>
      </c>
      <c r="D43" s="818"/>
      <c r="E43" s="820" t="s">
        <v>489</v>
      </c>
      <c r="F43" s="890"/>
      <c r="G43" s="930"/>
      <c r="H43" s="830"/>
      <c r="I43" s="832"/>
      <c r="J43" s="830"/>
      <c r="K43" s="930"/>
      <c r="L43" s="830"/>
      <c r="M43" s="830"/>
      <c r="N43" s="923"/>
      <c r="O43" s="930"/>
      <c r="P43" s="830"/>
      <c r="Q43" s="832"/>
      <c r="R43" s="830"/>
      <c r="S43" s="930"/>
      <c r="T43" s="830"/>
      <c r="U43" s="832"/>
      <c r="V43" s="830"/>
      <c r="W43" s="923">
        <f t="shared" si="6"/>
        <v>0</v>
      </c>
    </row>
    <row r="44" spans="1:23" s="446" customFormat="1" outlineLevel="2">
      <c r="A44" s="445"/>
      <c r="B44" s="823" t="s">
        <v>305</v>
      </c>
      <c r="C44" s="781">
        <v>2</v>
      </c>
      <c r="D44" s="781"/>
      <c r="E44" s="816" t="s">
        <v>490</v>
      </c>
      <c r="F44" s="891"/>
      <c r="G44" s="932">
        <f>G45+G46+G47+G48+G49+G50</f>
        <v>0</v>
      </c>
      <c r="H44" s="788">
        <f t="shared" ref="H44:W44" si="12">H45+H46+H47+H48+H49+H50</f>
        <v>0</v>
      </c>
      <c r="I44" s="784">
        <f t="shared" si="12"/>
        <v>0</v>
      </c>
      <c r="J44" s="788">
        <f t="shared" si="12"/>
        <v>0</v>
      </c>
      <c r="K44" s="932">
        <f t="shared" si="12"/>
        <v>0</v>
      </c>
      <c r="L44" s="788">
        <f t="shared" si="12"/>
        <v>0</v>
      </c>
      <c r="M44" s="788">
        <f t="shared" si="12"/>
        <v>0</v>
      </c>
      <c r="N44" s="926">
        <f t="shared" si="12"/>
        <v>0</v>
      </c>
      <c r="O44" s="932">
        <f t="shared" si="12"/>
        <v>0</v>
      </c>
      <c r="P44" s="788">
        <f t="shared" si="12"/>
        <v>0</v>
      </c>
      <c r="Q44" s="784">
        <f t="shared" si="12"/>
        <v>0</v>
      </c>
      <c r="R44" s="788">
        <f t="shared" si="12"/>
        <v>0</v>
      </c>
      <c r="S44" s="932">
        <f t="shared" si="12"/>
        <v>0</v>
      </c>
      <c r="T44" s="788">
        <f t="shared" si="12"/>
        <v>0</v>
      </c>
      <c r="U44" s="784">
        <f t="shared" si="12"/>
        <v>0</v>
      </c>
      <c r="V44" s="788">
        <f t="shared" si="12"/>
        <v>0</v>
      </c>
      <c r="W44" s="926">
        <f t="shared" si="12"/>
        <v>0</v>
      </c>
    </row>
    <row r="45" spans="1:23" outlineLevel="2">
      <c r="B45" s="827" t="s">
        <v>305</v>
      </c>
      <c r="C45" s="818">
        <v>2</v>
      </c>
      <c r="D45" s="818">
        <v>1</v>
      </c>
      <c r="E45" s="820" t="s">
        <v>491</v>
      </c>
      <c r="F45" s="890"/>
      <c r="G45" s="930"/>
      <c r="H45" s="830"/>
      <c r="I45" s="832"/>
      <c r="J45" s="830"/>
      <c r="K45" s="930"/>
      <c r="L45" s="830"/>
      <c r="M45" s="830"/>
      <c r="N45" s="923"/>
      <c r="O45" s="930"/>
      <c r="P45" s="830"/>
      <c r="Q45" s="832"/>
      <c r="R45" s="830"/>
      <c r="S45" s="930"/>
      <c r="T45" s="830"/>
      <c r="U45" s="832"/>
      <c r="V45" s="830"/>
      <c r="W45" s="923">
        <f t="shared" si="6"/>
        <v>0</v>
      </c>
    </row>
    <row r="46" spans="1:23" outlineLevel="2">
      <c r="B46" s="827" t="s">
        <v>305</v>
      </c>
      <c r="C46" s="818">
        <v>2</v>
      </c>
      <c r="D46" s="818">
        <v>2</v>
      </c>
      <c r="E46" s="820" t="s">
        <v>492</v>
      </c>
      <c r="F46" s="890"/>
      <c r="G46" s="930"/>
      <c r="H46" s="830"/>
      <c r="I46" s="832"/>
      <c r="J46" s="830"/>
      <c r="K46" s="930"/>
      <c r="L46" s="830"/>
      <c r="M46" s="830"/>
      <c r="N46" s="923"/>
      <c r="O46" s="930"/>
      <c r="P46" s="830"/>
      <c r="Q46" s="832"/>
      <c r="R46" s="830"/>
      <c r="S46" s="930"/>
      <c r="T46" s="830"/>
      <c r="U46" s="832"/>
      <c r="V46" s="830"/>
      <c r="W46" s="923">
        <f t="shared" si="6"/>
        <v>0</v>
      </c>
    </row>
    <row r="47" spans="1:23" outlineLevel="2">
      <c r="B47" s="827" t="s">
        <v>305</v>
      </c>
      <c r="C47" s="818">
        <v>2</v>
      </c>
      <c r="D47" s="818">
        <v>3</v>
      </c>
      <c r="E47" s="820" t="s">
        <v>493</v>
      </c>
      <c r="F47" s="890"/>
      <c r="G47" s="930"/>
      <c r="H47" s="830"/>
      <c r="I47" s="832"/>
      <c r="J47" s="830"/>
      <c r="K47" s="930"/>
      <c r="L47" s="830"/>
      <c r="M47" s="830"/>
      <c r="N47" s="923"/>
      <c r="O47" s="930"/>
      <c r="P47" s="830"/>
      <c r="Q47" s="832"/>
      <c r="R47" s="830"/>
      <c r="S47" s="930"/>
      <c r="T47" s="830"/>
      <c r="U47" s="832"/>
      <c r="V47" s="830"/>
      <c r="W47" s="923">
        <f t="shared" si="6"/>
        <v>0</v>
      </c>
    </row>
    <row r="48" spans="1:23" outlineLevel="2">
      <c r="B48" s="827" t="s">
        <v>305</v>
      </c>
      <c r="C48" s="818">
        <v>2</v>
      </c>
      <c r="D48" s="818">
        <v>4</v>
      </c>
      <c r="E48" s="820" t="s">
        <v>494</v>
      </c>
      <c r="F48" s="890"/>
      <c r="G48" s="930"/>
      <c r="H48" s="830"/>
      <c r="I48" s="832"/>
      <c r="J48" s="830"/>
      <c r="K48" s="930"/>
      <c r="L48" s="830"/>
      <c r="M48" s="830"/>
      <c r="N48" s="923"/>
      <c r="O48" s="930"/>
      <c r="P48" s="830"/>
      <c r="Q48" s="832"/>
      <c r="R48" s="830"/>
      <c r="S48" s="930"/>
      <c r="T48" s="830"/>
      <c r="U48" s="832"/>
      <c r="V48" s="830"/>
      <c r="W48" s="923">
        <f t="shared" si="6"/>
        <v>0</v>
      </c>
    </row>
    <row r="49" spans="1:23" outlineLevel="2">
      <c r="B49" s="827" t="s">
        <v>305</v>
      </c>
      <c r="C49" s="818">
        <v>2</v>
      </c>
      <c r="D49" s="818">
        <v>5</v>
      </c>
      <c r="E49" s="820" t="s">
        <v>495</v>
      </c>
      <c r="F49" s="890"/>
      <c r="G49" s="930"/>
      <c r="H49" s="830"/>
      <c r="I49" s="832"/>
      <c r="J49" s="830"/>
      <c r="K49" s="930"/>
      <c r="L49" s="830"/>
      <c r="M49" s="830"/>
      <c r="N49" s="923"/>
      <c r="O49" s="930"/>
      <c r="P49" s="830"/>
      <c r="Q49" s="832"/>
      <c r="R49" s="830"/>
      <c r="S49" s="930"/>
      <c r="T49" s="830"/>
      <c r="U49" s="832"/>
      <c r="V49" s="830"/>
      <c r="W49" s="923">
        <f t="shared" si="6"/>
        <v>0</v>
      </c>
    </row>
    <row r="50" spans="1:23" ht="15" outlineLevel="2" thickBot="1">
      <c r="B50" s="828" t="s">
        <v>305</v>
      </c>
      <c r="C50" s="829">
        <v>2</v>
      </c>
      <c r="D50" s="829">
        <v>6</v>
      </c>
      <c r="E50" s="840" t="s">
        <v>496</v>
      </c>
      <c r="F50" s="893"/>
      <c r="G50" s="944"/>
      <c r="H50" s="845"/>
      <c r="I50" s="945"/>
      <c r="J50" s="834"/>
      <c r="K50" s="934"/>
      <c r="L50" s="834"/>
      <c r="M50" s="834"/>
      <c r="N50" s="928"/>
      <c r="O50" s="934"/>
      <c r="P50" s="834"/>
      <c r="Q50" s="835"/>
      <c r="R50" s="834"/>
      <c r="S50" s="934"/>
      <c r="T50" s="834"/>
      <c r="U50" s="835"/>
      <c r="V50" s="834"/>
      <c r="W50" s="928">
        <f t="shared" si="6"/>
        <v>0</v>
      </c>
    </row>
    <row r="51" spans="1:23" s="447" customFormat="1" outlineLevel="1">
      <c r="A51" s="445"/>
      <c r="B51" s="779" t="s">
        <v>305</v>
      </c>
      <c r="C51" s="780" t="s">
        <v>420</v>
      </c>
      <c r="D51" s="780"/>
      <c r="E51" s="817" t="s">
        <v>497</v>
      </c>
      <c r="F51" s="892"/>
      <c r="G51" s="793">
        <f>G43+G44</f>
        <v>0</v>
      </c>
      <c r="H51" s="785">
        <f t="shared" ref="H51:W51" si="13">H43+H44</f>
        <v>0</v>
      </c>
      <c r="I51" s="786">
        <f t="shared" si="13"/>
        <v>0</v>
      </c>
      <c r="J51" s="785">
        <f t="shared" si="13"/>
        <v>0</v>
      </c>
      <c r="K51" s="793">
        <f t="shared" si="13"/>
        <v>0</v>
      </c>
      <c r="L51" s="785">
        <f t="shared" si="13"/>
        <v>0</v>
      </c>
      <c r="M51" s="785">
        <f t="shared" si="13"/>
        <v>0</v>
      </c>
      <c r="N51" s="795">
        <f t="shared" si="13"/>
        <v>0</v>
      </c>
      <c r="O51" s="793">
        <f t="shared" si="13"/>
        <v>0</v>
      </c>
      <c r="P51" s="785">
        <f t="shared" si="13"/>
        <v>0</v>
      </c>
      <c r="Q51" s="786">
        <f t="shared" si="13"/>
        <v>0</v>
      </c>
      <c r="R51" s="785">
        <f t="shared" si="13"/>
        <v>0</v>
      </c>
      <c r="S51" s="793">
        <f t="shared" si="13"/>
        <v>0</v>
      </c>
      <c r="T51" s="785">
        <f t="shared" si="13"/>
        <v>0</v>
      </c>
      <c r="U51" s="786">
        <f t="shared" si="13"/>
        <v>0</v>
      </c>
      <c r="V51" s="785">
        <f t="shared" si="13"/>
        <v>0</v>
      </c>
      <c r="W51" s="795">
        <f t="shared" si="13"/>
        <v>0</v>
      </c>
    </row>
    <row r="52" spans="1:23" s="447" customFormat="1">
      <c r="A52" s="445"/>
      <c r="B52" s="779" t="s">
        <v>353</v>
      </c>
      <c r="C52" s="780"/>
      <c r="D52" s="780"/>
      <c r="E52" s="817" t="s">
        <v>498</v>
      </c>
      <c r="F52" s="892"/>
      <c r="G52" s="933">
        <f>G36+G41+G51</f>
        <v>-42826080.892333336</v>
      </c>
      <c r="H52" s="785">
        <f t="shared" ref="H52:I52" si="14">H36+H41+H51</f>
        <v>-42381092.18333333</v>
      </c>
      <c r="I52" s="786">
        <f t="shared" si="14"/>
        <v>-43134572.05833333</v>
      </c>
      <c r="J52" s="785">
        <f t="shared" ref="J52:V52" si="15">J36+J41+J51</f>
        <v>-128341745.13399997</v>
      </c>
      <c r="K52" s="793">
        <f t="shared" si="15"/>
        <v>-38274216.18333333</v>
      </c>
      <c r="L52" s="785">
        <f t="shared" si="15"/>
        <v>67190242.816666663</v>
      </c>
      <c r="M52" s="785">
        <f t="shared" si="15"/>
        <v>64977696.941666663</v>
      </c>
      <c r="N52" s="795">
        <f t="shared" si="15"/>
        <v>93893723.574999988</v>
      </c>
      <c r="O52" s="793">
        <f t="shared" si="15"/>
        <v>84928102.816666663</v>
      </c>
      <c r="P52" s="785">
        <f t="shared" si="15"/>
        <v>59579671.816666663</v>
      </c>
      <c r="Q52" s="786">
        <f t="shared" si="15"/>
        <v>46282127.941666663</v>
      </c>
      <c r="R52" s="785">
        <f t="shared" si="15"/>
        <v>190789902.57499999</v>
      </c>
      <c r="S52" s="793">
        <f t="shared" si="15"/>
        <v>39899283.816666663</v>
      </c>
      <c r="T52" s="785">
        <f t="shared" si="15"/>
        <v>25627538.816666663</v>
      </c>
      <c r="U52" s="786">
        <f t="shared" si="15"/>
        <v>22080140.941666663</v>
      </c>
      <c r="V52" s="785">
        <f t="shared" si="15"/>
        <v>87606963.574999988</v>
      </c>
      <c r="W52" s="795">
        <f>W36+W41+W51</f>
        <v>1553288578.4506669</v>
      </c>
    </row>
    <row r="53" spans="1:23" s="447" customFormat="1" ht="15" thickBot="1">
      <c r="A53" s="445"/>
      <c r="B53" s="782" t="s">
        <v>499</v>
      </c>
      <c r="C53" s="783"/>
      <c r="D53" s="783"/>
      <c r="E53" s="880" t="s">
        <v>500</v>
      </c>
      <c r="F53" s="894"/>
      <c r="G53" s="946">
        <f>G14+G52</f>
        <v>-20136072.892333336</v>
      </c>
      <c r="H53" s="789">
        <f t="shared" ref="H53:I53" si="16">H14+H52</f>
        <v>-62517165.075666666</v>
      </c>
      <c r="I53" s="790">
        <f t="shared" si="16"/>
        <v>-105651737.134</v>
      </c>
      <c r="J53" s="789">
        <f t="shared" ref="J53:V53" si="17">J14+J52</f>
        <v>-188304975.10199997</v>
      </c>
      <c r="K53" s="794">
        <f t="shared" si="17"/>
        <v>-143925953.31733334</v>
      </c>
      <c r="L53" s="789">
        <f t="shared" si="17"/>
        <v>-76735710.500666678</v>
      </c>
      <c r="M53" s="789">
        <f t="shared" si="17"/>
        <v>-11758013.559000015</v>
      </c>
      <c r="N53" s="796">
        <f t="shared" si="17"/>
        <v>-232419677.37700003</v>
      </c>
      <c r="O53" s="794">
        <f t="shared" si="17"/>
        <v>73170089.257666647</v>
      </c>
      <c r="P53" s="789">
        <f t="shared" si="17"/>
        <v>132749761.07433331</v>
      </c>
      <c r="Q53" s="790">
        <f t="shared" si="17"/>
        <v>179031889.01599997</v>
      </c>
      <c r="R53" s="936">
        <f t="shared" si="17"/>
        <v>384951739.34799993</v>
      </c>
      <c r="S53" s="794">
        <f t="shared" si="17"/>
        <v>218931172.83266664</v>
      </c>
      <c r="T53" s="789">
        <f t="shared" si="17"/>
        <v>244558711.6493333</v>
      </c>
      <c r="U53" s="790">
        <f t="shared" si="17"/>
        <v>266638852.59099996</v>
      </c>
      <c r="V53" s="936">
        <f t="shared" si="17"/>
        <v>730128737.07299995</v>
      </c>
      <c r="W53" s="796">
        <f>W14+W52</f>
        <v>2003695557.8016667</v>
      </c>
    </row>
  </sheetData>
  <customSheetViews>
    <customSheetView guid="{F9015B81-4D5E-47E3-BFA8-A54438E9D1FF}" scale="55" showGridLines="0">
      <pageMargins left="0.7" right="0.7" top="0.78740157499999996" bottom="0.78740157499999996" header="0.3" footer="0.3"/>
      <pageSetup paperSize="9" orientation="portrait" r:id="rId1"/>
    </customSheetView>
  </customSheetViews>
  <mergeCells count="6">
    <mergeCell ref="G12:J12"/>
    <mergeCell ref="K12:N12"/>
    <mergeCell ref="O12:R12"/>
    <mergeCell ref="S12:V12"/>
    <mergeCell ref="B13:D13"/>
    <mergeCell ref="B12:D12"/>
  </mergeCells>
  <hyperlinks>
    <hyperlink ref="A1" location="MENU!A1" display="MENU" xr:uid="{C70057C9-6620-4731-B10C-2D06A93DE78B}"/>
  </hyperlinks>
  <pageMargins left="0.7" right="0.7" top="0.78740157499999996" bottom="0.78740157499999996" header="0.3" footer="0.3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7F577-5144-423B-A510-32923BC29D4B}">
  <sheetPr>
    <tabColor rgb="FFFF66CC"/>
  </sheetPr>
  <dimension ref="A1:BG75"/>
  <sheetViews>
    <sheetView showGridLines="0" topLeftCell="A32" zoomScale="55" zoomScaleNormal="55" workbookViewId="0">
      <selection activeCell="V39" sqref="V39"/>
    </sheetView>
  </sheetViews>
  <sheetFormatPr defaultColWidth="8.77734375" defaultRowHeight="14.25" outlineLevelCol="1"/>
  <cols>
    <col min="1" max="1" width="8.77734375" style="55"/>
    <col min="2" max="2" width="18.33203125" style="55" customWidth="1"/>
    <col min="3" max="3" width="15.33203125" style="55" customWidth="1"/>
    <col min="4" max="4" width="18" style="55" customWidth="1" outlineLevel="1"/>
    <col min="5" max="5" width="15.77734375" style="55" customWidth="1" outlineLevel="1"/>
    <col min="6" max="6" width="8.77734375" style="55" outlineLevel="1"/>
    <col min="7" max="7" width="8.77734375" style="55"/>
    <col min="8" max="10" width="8.77734375" style="55" outlineLevel="1"/>
    <col min="11" max="11" width="8.77734375" style="55"/>
    <col min="12" max="14" width="8.77734375" style="55" outlineLevel="1"/>
    <col min="15" max="15" width="8.77734375" style="55"/>
    <col min="16" max="18" width="8.77734375" style="55" outlineLevel="1"/>
    <col min="19" max="21" width="8.77734375" style="55"/>
    <col min="22" max="22" width="16.21875" style="55" customWidth="1"/>
    <col min="23" max="23" width="12.77734375" style="55" customWidth="1"/>
    <col min="24" max="35" width="8.77734375" style="55"/>
    <col min="36" max="36" width="12.44140625" style="55" customWidth="1"/>
    <col min="37" max="16384" width="8.77734375" style="55"/>
  </cols>
  <sheetData>
    <row r="1" spans="1:59" ht="22.5" customHeight="1" thickBot="1">
      <c r="A1" s="107" t="s">
        <v>1</v>
      </c>
      <c r="B1" s="737"/>
      <c r="C1" s="737"/>
      <c r="D1" s="737"/>
      <c r="E1" s="737"/>
      <c r="F1" s="737"/>
      <c r="G1" s="737"/>
      <c r="H1" s="737"/>
      <c r="I1" s="737"/>
      <c r="J1" s="737"/>
      <c r="K1" s="737"/>
      <c r="L1" s="737"/>
      <c r="M1" s="737"/>
      <c r="N1" s="737"/>
      <c r="O1" s="737"/>
      <c r="P1" s="737"/>
      <c r="Q1" s="737"/>
      <c r="R1" s="737"/>
      <c r="S1" s="737"/>
      <c r="T1" s="737"/>
      <c r="U1" s="737"/>
      <c r="V1" s="737"/>
      <c r="W1" s="737"/>
      <c r="X1" s="737"/>
      <c r="Y1" s="737"/>
      <c r="Z1" s="737"/>
      <c r="AA1" s="737"/>
      <c r="AB1" s="737"/>
      <c r="AC1" s="737"/>
      <c r="AD1" s="737"/>
      <c r="AE1" s="737"/>
      <c r="AF1" s="737"/>
      <c r="AG1" s="737"/>
      <c r="AH1" s="737"/>
      <c r="AI1" s="737"/>
      <c r="AJ1" s="737"/>
      <c r="AK1" s="44"/>
      <c r="AL1" s="44"/>
      <c r="AM1" s="44"/>
      <c r="AN1" s="44"/>
      <c r="AO1" s="44"/>
      <c r="AP1" s="44"/>
      <c r="AQ1" s="44"/>
      <c r="AR1" s="44"/>
      <c r="AS1" s="44"/>
      <c r="AT1" s="44"/>
      <c r="AU1" s="44"/>
      <c r="AV1" s="44"/>
      <c r="AW1" s="44"/>
      <c r="AX1" s="44"/>
      <c r="AY1" s="44"/>
      <c r="AZ1" s="44"/>
      <c r="BA1" s="44"/>
      <c r="BB1" s="44"/>
      <c r="BC1" s="44"/>
      <c r="BD1" s="44"/>
      <c r="BE1" s="44"/>
      <c r="BF1" s="44"/>
      <c r="BG1" s="44"/>
    </row>
    <row r="2" spans="1:59" ht="23.25" customHeight="1" thickBot="1">
      <c r="A2" s="737"/>
      <c r="B2" s="1509" t="s">
        <v>501</v>
      </c>
      <c r="C2" s="1510"/>
      <c r="D2" s="1510"/>
      <c r="E2" s="1510"/>
      <c r="F2" s="1510"/>
      <c r="G2" s="1510"/>
      <c r="H2" s="1510"/>
      <c r="I2" s="1510"/>
      <c r="J2" s="1510"/>
      <c r="K2" s="1510"/>
      <c r="L2" s="1510"/>
      <c r="M2" s="1510"/>
      <c r="N2" s="1510"/>
      <c r="O2" s="1510"/>
      <c r="P2" s="1510"/>
      <c r="Q2" s="1510"/>
      <c r="R2" s="1510"/>
      <c r="S2" s="1510"/>
      <c r="T2" s="1511"/>
      <c r="U2" s="737"/>
      <c r="V2" s="737"/>
      <c r="W2" s="737"/>
      <c r="X2" s="737"/>
      <c r="Y2" s="737"/>
      <c r="Z2" s="737"/>
      <c r="AA2" s="737"/>
      <c r="AB2" s="737"/>
      <c r="AC2" s="737"/>
      <c r="AD2" s="737"/>
      <c r="AE2" s="737"/>
      <c r="AF2" s="737"/>
      <c r="AG2" s="737"/>
      <c r="AH2" s="737"/>
      <c r="AI2" s="737"/>
      <c r="AJ2" s="737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  <c r="BB2" s="44"/>
      <c r="BC2" s="44"/>
      <c r="BD2" s="44"/>
      <c r="BE2" s="44"/>
      <c r="BF2" s="44"/>
      <c r="BG2" s="44"/>
    </row>
    <row r="3" spans="1:59" ht="15" thickBot="1">
      <c r="A3" s="737"/>
      <c r="B3" s="1512" t="s">
        <v>502</v>
      </c>
      <c r="C3" s="1488"/>
      <c r="D3" s="1513" t="s">
        <v>258</v>
      </c>
      <c r="E3" s="1514"/>
      <c r="F3" s="1514"/>
      <c r="G3" s="1515"/>
      <c r="H3" s="1512" t="s">
        <v>262</v>
      </c>
      <c r="I3" s="1514"/>
      <c r="J3" s="1514"/>
      <c r="K3" s="1515"/>
      <c r="L3" s="1512" t="s">
        <v>266</v>
      </c>
      <c r="M3" s="1514"/>
      <c r="N3" s="1514"/>
      <c r="O3" s="1515"/>
      <c r="P3" s="1512" t="s">
        <v>270</v>
      </c>
      <c r="Q3" s="1514"/>
      <c r="R3" s="1514"/>
      <c r="S3" s="1515"/>
      <c r="T3" s="1516" t="s">
        <v>503</v>
      </c>
      <c r="U3" s="737"/>
      <c r="V3" s="737"/>
      <c r="W3" s="737"/>
      <c r="X3" s="737"/>
      <c r="Y3" s="737"/>
      <c r="Z3" s="737"/>
      <c r="AA3" s="737"/>
      <c r="AB3" s="737"/>
      <c r="AC3" s="737"/>
      <c r="AD3" s="737"/>
      <c r="AE3" s="737"/>
      <c r="AF3" s="737"/>
      <c r="AG3" s="737"/>
      <c r="AH3" s="737"/>
      <c r="AI3" s="737"/>
      <c r="AJ3" s="737"/>
      <c r="AK3" s="44"/>
      <c r="AL3" s="44"/>
      <c r="AM3" s="44"/>
      <c r="AN3" s="44"/>
      <c r="AO3" s="44"/>
      <c r="AP3" s="44"/>
      <c r="AQ3" s="44"/>
      <c r="AR3" s="44"/>
      <c r="AS3" s="44"/>
      <c r="AT3" s="44"/>
      <c r="AU3" s="44"/>
      <c r="AV3" s="44"/>
      <c r="AW3" s="44"/>
      <c r="AX3" s="44"/>
      <c r="AY3" s="44"/>
      <c r="AZ3" s="44"/>
      <c r="BA3" s="44"/>
      <c r="BB3" s="44"/>
      <c r="BC3" s="44"/>
      <c r="BD3" s="44"/>
      <c r="BE3" s="44"/>
      <c r="BF3" s="44"/>
      <c r="BG3" s="44"/>
    </row>
    <row r="4" spans="1:59" ht="29.25" thickBot="1">
      <c r="A4" s="737"/>
      <c r="B4" s="450"/>
      <c r="C4" s="451"/>
      <c r="D4" s="1350" t="s">
        <v>255</v>
      </c>
      <c r="E4" s="1351" t="s">
        <v>256</v>
      </c>
      <c r="F4" s="1351" t="s">
        <v>257</v>
      </c>
      <c r="G4" s="1354" t="s">
        <v>504</v>
      </c>
      <c r="H4" s="1350" t="s">
        <v>259</v>
      </c>
      <c r="I4" s="1351" t="s">
        <v>260</v>
      </c>
      <c r="J4" s="1351" t="s">
        <v>263</v>
      </c>
      <c r="K4" s="1354" t="s">
        <v>505</v>
      </c>
      <c r="L4" s="1350" t="s">
        <v>263</v>
      </c>
      <c r="M4" s="1351" t="s">
        <v>264</v>
      </c>
      <c r="N4" s="1351" t="s">
        <v>506</v>
      </c>
      <c r="O4" s="1354" t="s">
        <v>507</v>
      </c>
      <c r="P4" s="1350" t="s">
        <v>267</v>
      </c>
      <c r="Q4" s="1351" t="s">
        <v>268</v>
      </c>
      <c r="R4" s="1351" t="s">
        <v>269</v>
      </c>
      <c r="S4" s="1352" t="s">
        <v>508</v>
      </c>
      <c r="T4" s="1517"/>
      <c r="U4" s="737"/>
      <c r="V4" s="1518" t="s">
        <v>509</v>
      </c>
      <c r="W4" s="1519"/>
      <c r="X4" s="1519"/>
      <c r="Y4" s="1519"/>
      <c r="Z4" s="1519"/>
      <c r="AA4" s="1519"/>
      <c r="AB4" s="1519"/>
      <c r="AC4" s="1519"/>
      <c r="AD4" s="1519"/>
      <c r="AE4" s="1519"/>
      <c r="AF4" s="1519"/>
      <c r="AG4" s="1519"/>
      <c r="AH4" s="1519"/>
      <c r="AI4" s="1519"/>
      <c r="AJ4" s="1520"/>
      <c r="AK4" s="480"/>
      <c r="AL4" s="37"/>
      <c r="AM4" s="37"/>
      <c r="AN4" s="37"/>
      <c r="AO4" s="37"/>
      <c r="AP4" s="37"/>
      <c r="AQ4" s="44"/>
      <c r="AR4" s="44"/>
      <c r="AS4" s="44"/>
      <c r="AT4" s="44"/>
      <c r="AU4" s="44"/>
      <c r="AV4" s="44"/>
      <c r="AW4" s="44"/>
      <c r="AX4" s="44"/>
      <c r="AY4" s="44"/>
      <c r="AZ4" s="44"/>
      <c r="BA4" s="44"/>
      <c r="BB4" s="44"/>
      <c r="BC4" s="44"/>
      <c r="BD4" s="44"/>
      <c r="BE4" s="44"/>
      <c r="BF4" s="44"/>
      <c r="BG4" s="44"/>
    </row>
    <row r="5" spans="1:59" ht="18" thickBot="1">
      <c r="A5" s="737"/>
      <c r="B5" s="449"/>
      <c r="C5" s="452"/>
      <c r="D5" s="1524" t="s">
        <v>510</v>
      </c>
      <c r="E5" s="1524"/>
      <c r="F5" s="1524"/>
      <c r="G5" s="1524"/>
      <c r="H5" s="1524"/>
      <c r="I5" s="1524"/>
      <c r="J5" s="1524"/>
      <c r="K5" s="1524"/>
      <c r="L5" s="1524"/>
      <c r="M5" s="1524"/>
      <c r="N5" s="1524"/>
      <c r="O5" s="1524"/>
      <c r="P5" s="1524"/>
      <c r="Q5" s="1524"/>
      <c r="R5" s="1524"/>
      <c r="S5" s="1524"/>
      <c r="T5" s="1525"/>
      <c r="U5" s="737"/>
      <c r="V5" s="359" t="s">
        <v>511</v>
      </c>
      <c r="W5" s="478"/>
      <c r="X5" s="360">
        <v>1</v>
      </c>
      <c r="Y5" s="360">
        <v>2</v>
      </c>
      <c r="Z5" s="360">
        <v>3</v>
      </c>
      <c r="AA5" s="360">
        <v>4</v>
      </c>
      <c r="AB5" s="360">
        <v>5</v>
      </c>
      <c r="AC5" s="360">
        <v>6</v>
      </c>
      <c r="AD5" s="360">
        <v>7</v>
      </c>
      <c r="AE5" s="360">
        <v>8</v>
      </c>
      <c r="AF5" s="360">
        <v>9</v>
      </c>
      <c r="AG5" s="360">
        <v>10</v>
      </c>
      <c r="AH5" s="360">
        <v>11</v>
      </c>
      <c r="AI5" s="361">
        <v>12</v>
      </c>
      <c r="AJ5" s="358" t="s">
        <v>512</v>
      </c>
      <c r="AK5" s="495" t="s">
        <v>513</v>
      </c>
      <c r="AL5" s="495" t="s">
        <v>514</v>
      </c>
      <c r="AM5" s="37"/>
      <c r="AN5" s="37"/>
      <c r="AO5" s="37"/>
      <c r="AP5" s="37"/>
      <c r="AQ5" s="44"/>
      <c r="AR5" s="44"/>
      <c r="AS5" s="44"/>
      <c r="AT5" s="44"/>
      <c r="AU5" s="44"/>
      <c r="AV5" s="44"/>
      <c r="AW5" s="44"/>
      <c r="AX5" s="44"/>
      <c r="AY5" s="44"/>
      <c r="AZ5" s="44"/>
      <c r="BA5" s="44"/>
      <c r="BB5" s="44"/>
      <c r="BC5" s="44"/>
      <c r="BD5" s="44"/>
      <c r="BE5" s="44"/>
      <c r="BF5" s="44"/>
      <c r="BG5" s="44"/>
    </row>
    <row r="6" spans="1:59">
      <c r="A6" s="737"/>
      <c r="B6" s="1508" t="s">
        <v>515</v>
      </c>
      <c r="C6" s="475" t="s">
        <v>57</v>
      </c>
      <c r="D6" s="413">
        <v>3</v>
      </c>
      <c r="E6" s="413">
        <v>3</v>
      </c>
      <c r="F6" s="413">
        <v>4</v>
      </c>
      <c r="G6" s="414">
        <f>SUM(D6:F6)</f>
        <v>10</v>
      </c>
      <c r="H6" s="413">
        <v>6</v>
      </c>
      <c r="I6" s="413">
        <v>7</v>
      </c>
      <c r="J6" s="413">
        <v>7</v>
      </c>
      <c r="K6" s="414">
        <f t="shared" ref="K6:K19" si="0">SUM(H6:J6)</f>
        <v>20</v>
      </c>
      <c r="L6" s="413">
        <v>6</v>
      </c>
      <c r="M6" s="413">
        <v>5</v>
      </c>
      <c r="N6" s="413">
        <v>5</v>
      </c>
      <c r="O6" s="414">
        <f t="shared" ref="O6:O19" si="1">SUM(L6:N6)</f>
        <v>16</v>
      </c>
      <c r="P6" s="413">
        <v>5</v>
      </c>
      <c r="Q6" s="413">
        <v>4</v>
      </c>
      <c r="R6" s="413">
        <v>4</v>
      </c>
      <c r="S6" s="414">
        <f t="shared" ref="S6:S19" si="2">SUM(P6:R6)</f>
        <v>13</v>
      </c>
      <c r="T6" s="414">
        <f t="shared" ref="T6:T19" si="3">S6+O6+K6+G6</f>
        <v>59</v>
      </c>
      <c r="U6" s="737"/>
      <c r="V6" s="1521" t="s">
        <v>516</v>
      </c>
      <c r="W6" s="483" t="s">
        <v>271</v>
      </c>
      <c r="X6" s="492">
        <f>D20+D56</f>
        <v>70</v>
      </c>
      <c r="Y6" s="492">
        <f t="shared" ref="Y6:Z6" si="4">E20+E56</f>
        <v>72</v>
      </c>
      <c r="Z6" s="492">
        <f t="shared" si="4"/>
        <v>78</v>
      </c>
      <c r="AA6" s="492">
        <f>H20+H56</f>
        <v>211</v>
      </c>
      <c r="AB6" s="492">
        <f t="shared" ref="AB6:AC6" si="5">I20+I56</f>
        <v>212</v>
      </c>
      <c r="AC6" s="492">
        <f t="shared" si="5"/>
        <v>215</v>
      </c>
      <c r="AD6" s="492">
        <f>L20+L56</f>
        <v>185</v>
      </c>
      <c r="AE6" s="492">
        <f t="shared" ref="AE6:AF6" si="6">M20+M56</f>
        <v>185</v>
      </c>
      <c r="AF6" s="492">
        <f t="shared" si="6"/>
        <v>175</v>
      </c>
      <c r="AG6" s="492">
        <f>P20+P56</f>
        <v>153</v>
      </c>
      <c r="AH6" s="492">
        <f t="shared" ref="AH6:AI6" si="7">Q20+Q56</f>
        <v>149</v>
      </c>
      <c r="AI6" s="492">
        <f t="shared" si="7"/>
        <v>147</v>
      </c>
      <c r="AJ6" s="490">
        <f>SUM(X6:AI6)</f>
        <v>1852</v>
      </c>
      <c r="AK6" s="481">
        <f xml:space="preserve"> MAX(X6:AI6)</f>
        <v>215</v>
      </c>
      <c r="AL6" s="481">
        <f>AVERAGE(X6:AI6)</f>
        <v>154.33333333333334</v>
      </c>
      <c r="AM6" s="481"/>
      <c r="AN6" s="481"/>
      <c r="AO6" s="481"/>
      <c r="AP6" s="481"/>
      <c r="AQ6" s="479"/>
      <c r="AR6" s="479"/>
      <c r="AS6" s="44"/>
      <c r="AT6" s="44"/>
      <c r="AU6" s="44"/>
      <c r="AV6" s="44"/>
      <c r="AW6" s="44"/>
      <c r="AX6" s="44"/>
      <c r="AY6" s="44"/>
      <c r="AZ6" s="44"/>
      <c r="BA6" s="44"/>
      <c r="BB6" s="44"/>
      <c r="BC6" s="44"/>
      <c r="BD6" s="44"/>
      <c r="BE6" s="44"/>
      <c r="BF6" s="44"/>
      <c r="BG6" s="44"/>
    </row>
    <row r="7" spans="1:59">
      <c r="A7" s="737"/>
      <c r="B7" s="1508"/>
      <c r="C7" s="475" t="s">
        <v>56</v>
      </c>
      <c r="D7" s="413">
        <v>5</v>
      </c>
      <c r="E7" s="413">
        <v>5</v>
      </c>
      <c r="F7" s="413">
        <v>5</v>
      </c>
      <c r="G7" s="414">
        <f t="shared" ref="G7:G19" si="8">SUM(D7:F7)</f>
        <v>15</v>
      </c>
      <c r="H7" s="413">
        <v>10</v>
      </c>
      <c r="I7" s="413">
        <v>10</v>
      </c>
      <c r="J7" s="413">
        <v>10</v>
      </c>
      <c r="K7" s="414">
        <f t="shared" si="0"/>
        <v>30</v>
      </c>
      <c r="L7" s="413">
        <v>9</v>
      </c>
      <c r="M7" s="413">
        <v>8</v>
      </c>
      <c r="N7" s="413">
        <v>8</v>
      </c>
      <c r="O7" s="414">
        <f t="shared" si="1"/>
        <v>25</v>
      </c>
      <c r="P7" s="413">
        <v>6</v>
      </c>
      <c r="Q7" s="413">
        <v>7</v>
      </c>
      <c r="R7" s="413">
        <v>7</v>
      </c>
      <c r="S7" s="414">
        <f t="shared" si="2"/>
        <v>20</v>
      </c>
      <c r="T7" s="414">
        <f t="shared" si="3"/>
        <v>90</v>
      </c>
      <c r="U7" s="333"/>
      <c r="V7" s="1522"/>
      <c r="W7" s="485" t="s">
        <v>517</v>
      </c>
      <c r="X7" s="52">
        <f>D21+D57</f>
        <v>2</v>
      </c>
      <c r="Y7" s="52">
        <f t="shared" ref="Y7:Z7" si="9">E21+E57</f>
        <v>3</v>
      </c>
      <c r="Z7" s="52">
        <f t="shared" si="9"/>
        <v>2</v>
      </c>
      <c r="AA7" s="52">
        <f>H21+H57</f>
        <v>7</v>
      </c>
      <c r="AB7" s="52">
        <f t="shared" ref="AB7:AC7" si="10">I21+I57</f>
        <v>8</v>
      </c>
      <c r="AC7" s="52">
        <f t="shared" si="10"/>
        <v>7</v>
      </c>
      <c r="AD7" s="52">
        <f>L21+L57</f>
        <v>6</v>
      </c>
      <c r="AE7" s="52">
        <f t="shared" ref="AE7:AF7" si="11">M21+M57</f>
        <v>6</v>
      </c>
      <c r="AF7" s="52">
        <f t="shared" si="11"/>
        <v>6</v>
      </c>
      <c r="AG7" s="52">
        <f>P21+P57</f>
        <v>5</v>
      </c>
      <c r="AH7" s="52">
        <f t="shared" ref="AH7:AI7" si="12">Q21+Q57</f>
        <v>5</v>
      </c>
      <c r="AI7" s="52">
        <f t="shared" si="12"/>
        <v>5</v>
      </c>
      <c r="AJ7" s="29">
        <f t="shared" ref="AJ7:AJ14" si="13">SUM(X7:AI7)</f>
        <v>62</v>
      </c>
      <c r="AK7" s="481">
        <f t="shared" ref="AK7:AK14" si="14" xml:space="preserve"> MAX(X7:AI7)</f>
        <v>8</v>
      </c>
      <c r="AL7" s="481">
        <f t="shared" ref="AL7:AL14" si="15">AVERAGE(X7:AI7)</f>
        <v>5.166666666666667</v>
      </c>
      <c r="AM7" s="37"/>
      <c r="AN7" s="37"/>
      <c r="AO7" s="37"/>
      <c r="AP7" s="37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</row>
    <row r="8" spans="1:59" ht="15.75" thickBot="1">
      <c r="A8" s="737"/>
      <c r="B8" s="1508"/>
      <c r="C8" s="475" t="s">
        <v>58</v>
      </c>
      <c r="D8" s="413">
        <v>3</v>
      </c>
      <c r="E8" s="413">
        <v>3</v>
      </c>
      <c r="F8" s="413">
        <v>4</v>
      </c>
      <c r="G8" s="414">
        <f t="shared" si="8"/>
        <v>10</v>
      </c>
      <c r="H8" s="413">
        <v>6</v>
      </c>
      <c r="I8" s="413">
        <v>7</v>
      </c>
      <c r="J8" s="413">
        <v>7</v>
      </c>
      <c r="K8" s="414">
        <f t="shared" si="0"/>
        <v>20</v>
      </c>
      <c r="L8" s="413">
        <v>5</v>
      </c>
      <c r="M8" s="413">
        <v>6</v>
      </c>
      <c r="N8" s="413">
        <v>6</v>
      </c>
      <c r="O8" s="414">
        <f t="shared" si="1"/>
        <v>17</v>
      </c>
      <c r="P8" s="413">
        <v>5</v>
      </c>
      <c r="Q8" s="413">
        <v>4</v>
      </c>
      <c r="R8" s="413">
        <v>4</v>
      </c>
      <c r="S8" s="414">
        <f t="shared" si="2"/>
        <v>13</v>
      </c>
      <c r="T8" s="414">
        <f t="shared" si="3"/>
        <v>60</v>
      </c>
      <c r="U8" s="335"/>
      <c r="V8" s="1523"/>
      <c r="W8" s="486" t="s">
        <v>518</v>
      </c>
      <c r="X8" s="484">
        <f>X6-X7</f>
        <v>68</v>
      </c>
      <c r="Y8" s="484">
        <f t="shared" ref="Y8:AI8" si="16">Y6-Y7</f>
        <v>69</v>
      </c>
      <c r="Z8" s="484">
        <f t="shared" si="16"/>
        <v>76</v>
      </c>
      <c r="AA8" s="484">
        <f t="shared" si="16"/>
        <v>204</v>
      </c>
      <c r="AB8" s="484">
        <f t="shared" si="16"/>
        <v>204</v>
      </c>
      <c r="AC8" s="484">
        <f t="shared" si="16"/>
        <v>208</v>
      </c>
      <c r="AD8" s="484">
        <f t="shared" si="16"/>
        <v>179</v>
      </c>
      <c r="AE8" s="484">
        <f t="shared" si="16"/>
        <v>179</v>
      </c>
      <c r="AF8" s="484">
        <f t="shared" si="16"/>
        <v>169</v>
      </c>
      <c r="AG8" s="484">
        <f t="shared" si="16"/>
        <v>148</v>
      </c>
      <c r="AH8" s="484">
        <f t="shared" si="16"/>
        <v>144</v>
      </c>
      <c r="AI8" s="484">
        <f t="shared" si="16"/>
        <v>142</v>
      </c>
      <c r="AJ8" s="487">
        <f t="shared" si="13"/>
        <v>1790</v>
      </c>
      <c r="AK8" s="481">
        <f t="shared" si="14"/>
        <v>208</v>
      </c>
      <c r="AL8" s="481">
        <f t="shared" si="15"/>
        <v>149.16666666666666</v>
      </c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</row>
    <row r="9" spans="1:59">
      <c r="A9" s="737"/>
      <c r="B9" s="1508"/>
      <c r="C9" s="475" t="s">
        <v>59</v>
      </c>
      <c r="D9" s="413">
        <v>1</v>
      </c>
      <c r="E9" s="413">
        <v>1</v>
      </c>
      <c r="F9" s="413">
        <v>2</v>
      </c>
      <c r="G9" s="414">
        <f t="shared" si="8"/>
        <v>4</v>
      </c>
      <c r="H9" s="413">
        <v>4</v>
      </c>
      <c r="I9" s="413">
        <v>3</v>
      </c>
      <c r="J9" s="413">
        <v>3</v>
      </c>
      <c r="K9" s="414">
        <f t="shared" si="0"/>
        <v>10</v>
      </c>
      <c r="L9" s="413">
        <v>2</v>
      </c>
      <c r="M9" s="413">
        <v>3</v>
      </c>
      <c r="N9" s="413">
        <v>3</v>
      </c>
      <c r="O9" s="414">
        <f t="shared" si="1"/>
        <v>8</v>
      </c>
      <c r="P9" s="413">
        <v>3</v>
      </c>
      <c r="Q9" s="413">
        <v>2</v>
      </c>
      <c r="R9" s="413">
        <v>1</v>
      </c>
      <c r="S9" s="414">
        <f t="shared" si="2"/>
        <v>6</v>
      </c>
      <c r="T9" s="414">
        <f t="shared" si="3"/>
        <v>28</v>
      </c>
      <c r="U9" s="338"/>
      <c r="V9" s="1521" t="s">
        <v>519</v>
      </c>
      <c r="W9" s="483" t="s">
        <v>271</v>
      </c>
      <c r="X9" s="492">
        <f>D74</f>
        <v>8</v>
      </c>
      <c r="Y9" s="492">
        <f t="shared" ref="Y9:Z9" si="17">E74</f>
        <v>8</v>
      </c>
      <c r="Z9" s="492">
        <f t="shared" si="17"/>
        <v>13</v>
      </c>
      <c r="AA9" s="492">
        <f>H74</f>
        <v>33</v>
      </c>
      <c r="AB9" s="492">
        <f t="shared" ref="AB9:AC9" si="18">I74</f>
        <v>33</v>
      </c>
      <c r="AC9" s="492">
        <f t="shared" si="18"/>
        <v>32</v>
      </c>
      <c r="AD9" s="492">
        <f>L74</f>
        <v>29</v>
      </c>
      <c r="AE9" s="492">
        <f t="shared" ref="AE9:AF9" si="19">M74</f>
        <v>29</v>
      </c>
      <c r="AF9" s="492">
        <f t="shared" si="19"/>
        <v>22</v>
      </c>
      <c r="AG9" s="492">
        <f>P74</f>
        <v>23</v>
      </c>
      <c r="AH9" s="492">
        <f t="shared" ref="AH9:AI9" si="20">Q74</f>
        <v>23</v>
      </c>
      <c r="AI9" s="492">
        <f t="shared" si="20"/>
        <v>21</v>
      </c>
      <c r="AJ9" s="491">
        <f t="shared" si="13"/>
        <v>274</v>
      </c>
      <c r="AK9" s="481">
        <f t="shared" si="14"/>
        <v>33</v>
      </c>
      <c r="AL9" s="481">
        <f t="shared" si="15"/>
        <v>22.833333333333332</v>
      </c>
      <c r="AM9" s="44"/>
      <c r="AN9" s="44"/>
      <c r="AO9" s="44"/>
      <c r="AP9" s="44"/>
      <c r="AQ9" s="44"/>
      <c r="AR9" s="44"/>
      <c r="AS9" s="44"/>
      <c r="AT9" s="44"/>
      <c r="AU9" s="44"/>
      <c r="AV9" s="44"/>
      <c r="AW9" s="44"/>
      <c r="AX9" s="44"/>
      <c r="AY9" s="44"/>
      <c r="AZ9" s="44"/>
      <c r="BA9" s="44"/>
      <c r="BB9" s="44"/>
      <c r="BC9" s="44"/>
      <c r="BD9" s="44"/>
      <c r="BE9" s="44"/>
      <c r="BF9" s="44"/>
      <c r="BG9" s="44"/>
    </row>
    <row r="10" spans="1:59">
      <c r="A10" s="737"/>
      <c r="B10" s="1508" t="s">
        <v>520</v>
      </c>
      <c r="C10" s="475" t="s">
        <v>63</v>
      </c>
      <c r="D10" s="413">
        <v>1</v>
      </c>
      <c r="E10" s="413">
        <v>1</v>
      </c>
      <c r="F10" s="413">
        <v>1</v>
      </c>
      <c r="G10" s="414">
        <f t="shared" si="8"/>
        <v>3</v>
      </c>
      <c r="H10" s="413">
        <v>3</v>
      </c>
      <c r="I10" s="413">
        <v>2</v>
      </c>
      <c r="J10" s="413">
        <v>2</v>
      </c>
      <c r="K10" s="414">
        <f t="shared" si="0"/>
        <v>7</v>
      </c>
      <c r="L10" s="413">
        <v>2</v>
      </c>
      <c r="M10" s="413">
        <v>2</v>
      </c>
      <c r="N10" s="413">
        <v>2</v>
      </c>
      <c r="O10" s="414">
        <f t="shared" si="1"/>
        <v>6</v>
      </c>
      <c r="P10" s="413">
        <v>1</v>
      </c>
      <c r="Q10" s="413">
        <v>2</v>
      </c>
      <c r="R10" s="413">
        <v>2</v>
      </c>
      <c r="S10" s="414">
        <f t="shared" si="2"/>
        <v>5</v>
      </c>
      <c r="T10" s="414">
        <f t="shared" si="3"/>
        <v>21</v>
      </c>
      <c r="U10" s="333"/>
      <c r="V10" s="1522"/>
      <c r="W10" s="485" t="s">
        <v>517</v>
      </c>
      <c r="X10" s="482">
        <f>D75</f>
        <v>0</v>
      </c>
      <c r="Y10" s="482">
        <f t="shared" ref="Y10:Z10" si="21">E75</f>
        <v>0</v>
      </c>
      <c r="Z10" s="482">
        <f t="shared" si="21"/>
        <v>1</v>
      </c>
      <c r="AA10" s="482">
        <f>H75</f>
        <v>1</v>
      </c>
      <c r="AB10" s="482">
        <f t="shared" ref="AB10:AC10" si="22">I75</f>
        <v>1</v>
      </c>
      <c r="AC10" s="482">
        <f t="shared" si="22"/>
        <v>1</v>
      </c>
      <c r="AD10" s="482">
        <f>L75</f>
        <v>1</v>
      </c>
      <c r="AE10" s="482">
        <f t="shared" ref="AE10:AF10" si="23">M75</f>
        <v>1</v>
      </c>
      <c r="AF10" s="482">
        <f t="shared" si="23"/>
        <v>1</v>
      </c>
      <c r="AG10" s="482">
        <f>P75</f>
        <v>1</v>
      </c>
      <c r="AH10" s="482">
        <f t="shared" ref="AH10:AI10" si="24">Q75</f>
        <v>1</v>
      </c>
      <c r="AI10" s="482">
        <f t="shared" si="24"/>
        <v>0</v>
      </c>
      <c r="AJ10" s="488">
        <f t="shared" si="13"/>
        <v>9</v>
      </c>
      <c r="AK10" s="481">
        <f t="shared" si="14"/>
        <v>1</v>
      </c>
      <c r="AL10" s="481">
        <f t="shared" si="15"/>
        <v>0.75</v>
      </c>
      <c r="AM10" s="37"/>
      <c r="AN10" s="44"/>
      <c r="AO10" s="44"/>
      <c r="AP10" s="44"/>
      <c r="AQ10" s="44"/>
      <c r="AR10" s="44"/>
      <c r="AS10" s="44"/>
      <c r="AT10" s="44"/>
      <c r="AU10" s="44"/>
      <c r="AV10" s="44"/>
      <c r="AW10" s="44"/>
      <c r="AX10" s="44"/>
      <c r="AY10" s="44"/>
      <c r="AZ10" s="44"/>
      <c r="BA10" s="44"/>
      <c r="BB10" s="44"/>
      <c r="BC10" s="44"/>
      <c r="BD10" s="44"/>
      <c r="BE10" s="44"/>
      <c r="BF10" s="44"/>
      <c r="BG10" s="44"/>
    </row>
    <row r="11" spans="1:59" ht="15" thickBot="1">
      <c r="A11" s="737"/>
      <c r="B11" s="1508"/>
      <c r="C11" s="475" t="s">
        <v>55</v>
      </c>
      <c r="D11" s="413">
        <v>6</v>
      </c>
      <c r="E11" s="413">
        <v>6</v>
      </c>
      <c r="F11" s="413">
        <v>8</v>
      </c>
      <c r="G11" s="414">
        <f t="shared" si="8"/>
        <v>20</v>
      </c>
      <c r="H11" s="413">
        <v>13</v>
      </c>
      <c r="I11" s="413">
        <v>13</v>
      </c>
      <c r="J11" s="413">
        <v>13</v>
      </c>
      <c r="K11" s="414">
        <f t="shared" si="0"/>
        <v>39</v>
      </c>
      <c r="L11" s="413">
        <v>11</v>
      </c>
      <c r="M11" s="413">
        <v>11</v>
      </c>
      <c r="N11" s="413">
        <v>11</v>
      </c>
      <c r="O11" s="414">
        <f t="shared" si="1"/>
        <v>33</v>
      </c>
      <c r="P11" s="413">
        <v>8</v>
      </c>
      <c r="Q11" s="413">
        <v>9</v>
      </c>
      <c r="R11" s="413">
        <v>9</v>
      </c>
      <c r="S11" s="414">
        <f t="shared" si="2"/>
        <v>26</v>
      </c>
      <c r="T11" s="414">
        <f t="shared" si="3"/>
        <v>118</v>
      </c>
      <c r="U11" s="338"/>
      <c r="V11" s="1523"/>
      <c r="W11" s="486" t="s">
        <v>518</v>
      </c>
      <c r="X11" s="484">
        <f>X9-X10</f>
        <v>8</v>
      </c>
      <c r="Y11" s="484">
        <f t="shared" ref="Y11:AI11" si="25">Y9-Y10</f>
        <v>8</v>
      </c>
      <c r="Z11" s="484">
        <f t="shared" si="25"/>
        <v>12</v>
      </c>
      <c r="AA11" s="484">
        <f t="shared" si="25"/>
        <v>32</v>
      </c>
      <c r="AB11" s="484">
        <f t="shared" si="25"/>
        <v>32</v>
      </c>
      <c r="AC11" s="484">
        <f t="shared" si="25"/>
        <v>31</v>
      </c>
      <c r="AD11" s="484">
        <f t="shared" si="25"/>
        <v>28</v>
      </c>
      <c r="AE11" s="484">
        <f t="shared" si="25"/>
        <v>28</v>
      </c>
      <c r="AF11" s="484">
        <f t="shared" si="25"/>
        <v>21</v>
      </c>
      <c r="AG11" s="484">
        <f t="shared" si="25"/>
        <v>22</v>
      </c>
      <c r="AH11" s="484">
        <f t="shared" si="25"/>
        <v>22</v>
      </c>
      <c r="AI11" s="484">
        <f t="shared" si="25"/>
        <v>21</v>
      </c>
      <c r="AJ11" s="489">
        <f t="shared" si="13"/>
        <v>265</v>
      </c>
      <c r="AK11" s="481">
        <f t="shared" si="14"/>
        <v>32</v>
      </c>
      <c r="AL11" s="481">
        <f t="shared" si="15"/>
        <v>22.083333333333332</v>
      </c>
      <c r="AM11" s="44"/>
      <c r="AN11" s="44"/>
      <c r="AO11" s="44"/>
      <c r="AP11" s="44"/>
      <c r="AQ11" s="44"/>
      <c r="AR11" s="44"/>
      <c r="AS11" s="44"/>
      <c r="AT11" s="44"/>
      <c r="AU11" s="44"/>
      <c r="AV11" s="44"/>
      <c r="AW11" s="44"/>
      <c r="AX11" s="44"/>
      <c r="AY11" s="44"/>
      <c r="AZ11" s="44"/>
      <c r="BA11" s="44"/>
      <c r="BB11" s="44"/>
      <c r="BC11" s="44"/>
      <c r="BD11" s="44"/>
      <c r="BE11" s="44"/>
      <c r="BF11" s="44"/>
      <c r="BG11" s="44"/>
    </row>
    <row r="12" spans="1:59">
      <c r="A12" s="737"/>
      <c r="B12" s="1508"/>
      <c r="C12" s="475" t="s">
        <v>61</v>
      </c>
      <c r="D12" s="413">
        <v>1</v>
      </c>
      <c r="E12" s="413">
        <v>2</v>
      </c>
      <c r="F12" s="413">
        <v>3</v>
      </c>
      <c r="G12" s="414">
        <f>SUM(D12:F12)</f>
        <v>6</v>
      </c>
      <c r="H12" s="413">
        <v>3</v>
      </c>
      <c r="I12" s="413">
        <v>4</v>
      </c>
      <c r="J12" s="413">
        <v>4</v>
      </c>
      <c r="K12" s="414">
        <f t="shared" si="0"/>
        <v>11</v>
      </c>
      <c r="L12" s="413">
        <v>3</v>
      </c>
      <c r="M12" s="413">
        <v>3</v>
      </c>
      <c r="N12" s="413">
        <v>3</v>
      </c>
      <c r="O12" s="414">
        <f>SUM(L12:N12)</f>
        <v>9</v>
      </c>
      <c r="P12" s="413">
        <v>3</v>
      </c>
      <c r="Q12" s="413">
        <v>2</v>
      </c>
      <c r="R12" s="413">
        <v>2</v>
      </c>
      <c r="S12" s="414">
        <f t="shared" si="2"/>
        <v>7</v>
      </c>
      <c r="T12" s="414">
        <f t="shared" si="3"/>
        <v>33</v>
      </c>
      <c r="U12" s="333"/>
      <c r="V12" s="1521" t="s">
        <v>521</v>
      </c>
      <c r="W12" s="483" t="s">
        <v>271</v>
      </c>
      <c r="X12" s="492">
        <f>D38</f>
        <v>4</v>
      </c>
      <c r="Y12" s="492">
        <f t="shared" ref="Y12:Z12" si="26">E38</f>
        <v>4</v>
      </c>
      <c r="Z12" s="492">
        <f t="shared" si="26"/>
        <v>9</v>
      </c>
      <c r="AA12" s="492">
        <f>H38</f>
        <v>10</v>
      </c>
      <c r="AB12" s="492">
        <f t="shared" ref="AB12:AC12" si="27">I38</f>
        <v>10</v>
      </c>
      <c r="AC12" s="492">
        <f t="shared" si="27"/>
        <v>14</v>
      </c>
      <c r="AD12" s="492">
        <f>L38</f>
        <v>9</v>
      </c>
      <c r="AE12" s="492">
        <f t="shared" ref="AE12:AF12" si="28">M38</f>
        <v>9</v>
      </c>
      <c r="AF12" s="492">
        <f t="shared" si="28"/>
        <v>10</v>
      </c>
      <c r="AG12" s="492">
        <f>P38</f>
        <v>5</v>
      </c>
      <c r="AH12" s="492">
        <f t="shared" ref="AH12:AI12" si="29">Q38</f>
        <v>5</v>
      </c>
      <c r="AI12" s="492">
        <f t="shared" si="29"/>
        <v>12</v>
      </c>
      <c r="AJ12" s="491">
        <f t="shared" si="13"/>
        <v>101</v>
      </c>
      <c r="AK12" s="481">
        <f t="shared" si="14"/>
        <v>14</v>
      </c>
      <c r="AL12" s="481">
        <f t="shared" si="15"/>
        <v>8.4166666666666661</v>
      </c>
      <c r="AM12" s="44"/>
      <c r="AN12" s="44"/>
      <c r="AO12" s="44"/>
      <c r="AP12" s="44"/>
      <c r="AQ12" s="44"/>
      <c r="AR12" s="44"/>
      <c r="AS12" s="44"/>
      <c r="AT12" s="44"/>
      <c r="AU12" s="44"/>
      <c r="AV12" s="44"/>
      <c r="AW12" s="44"/>
      <c r="AX12" s="44"/>
      <c r="AY12" s="44"/>
      <c r="AZ12" s="44"/>
      <c r="BA12" s="44"/>
      <c r="BB12" s="44"/>
      <c r="BC12" s="44"/>
      <c r="BD12" s="44"/>
      <c r="BE12" s="44"/>
      <c r="BF12" s="44"/>
      <c r="BG12" s="44"/>
    </row>
    <row r="13" spans="1:59">
      <c r="A13" s="737"/>
      <c r="B13" s="1508"/>
      <c r="C13" s="475" t="s">
        <v>62</v>
      </c>
      <c r="D13" s="413">
        <v>0</v>
      </c>
      <c r="E13" s="413">
        <v>1</v>
      </c>
      <c r="F13" s="413">
        <v>1</v>
      </c>
      <c r="G13" s="414">
        <f t="shared" si="8"/>
        <v>2</v>
      </c>
      <c r="H13" s="413">
        <v>1</v>
      </c>
      <c r="I13" s="413">
        <v>2</v>
      </c>
      <c r="J13" s="413">
        <v>2</v>
      </c>
      <c r="K13" s="414">
        <f t="shared" si="0"/>
        <v>5</v>
      </c>
      <c r="L13" s="413">
        <v>1</v>
      </c>
      <c r="M13" s="413">
        <v>1</v>
      </c>
      <c r="N13" s="413">
        <v>2</v>
      </c>
      <c r="O13" s="414">
        <f t="shared" si="1"/>
        <v>4</v>
      </c>
      <c r="P13" s="413">
        <v>1</v>
      </c>
      <c r="Q13" s="413">
        <v>1</v>
      </c>
      <c r="R13" s="413">
        <v>1</v>
      </c>
      <c r="S13" s="414">
        <f t="shared" si="2"/>
        <v>3</v>
      </c>
      <c r="T13" s="414">
        <f t="shared" si="3"/>
        <v>14</v>
      </c>
      <c r="U13" s="338"/>
      <c r="V13" s="1522"/>
      <c r="W13" s="485" t="s">
        <v>517</v>
      </c>
      <c r="X13" s="52">
        <f>D39</f>
        <v>0</v>
      </c>
      <c r="Y13" s="52">
        <f t="shared" ref="Y13:Z13" si="30">E39</f>
        <v>0</v>
      </c>
      <c r="Z13" s="52">
        <f t="shared" si="30"/>
        <v>1</v>
      </c>
      <c r="AA13" s="493">
        <f>H39</f>
        <v>0</v>
      </c>
      <c r="AB13" s="493">
        <f t="shared" ref="AB13:AC13" si="31">I39</f>
        <v>0</v>
      </c>
      <c r="AC13" s="493">
        <f t="shared" si="31"/>
        <v>1</v>
      </c>
      <c r="AD13" s="493">
        <f>L39</f>
        <v>0</v>
      </c>
      <c r="AE13" s="493">
        <f t="shared" ref="AE13:AF13" si="32">M39</f>
        <v>0</v>
      </c>
      <c r="AF13" s="493">
        <f t="shared" si="32"/>
        <v>1</v>
      </c>
      <c r="AG13" s="493">
        <f>P39</f>
        <v>0</v>
      </c>
      <c r="AH13" s="493">
        <f t="shared" ref="AH13:AI13" si="33">Q39</f>
        <v>0</v>
      </c>
      <c r="AI13" s="493">
        <f t="shared" si="33"/>
        <v>1</v>
      </c>
      <c r="AJ13" s="29">
        <f t="shared" si="13"/>
        <v>4</v>
      </c>
      <c r="AK13" s="481">
        <f t="shared" si="14"/>
        <v>1</v>
      </c>
      <c r="AL13" s="481">
        <f t="shared" si="15"/>
        <v>0.33333333333333331</v>
      </c>
      <c r="AM13" s="44"/>
      <c r="AN13" s="44"/>
      <c r="AO13" s="44"/>
      <c r="AP13" s="44"/>
      <c r="AQ13" s="44"/>
      <c r="AR13" s="44"/>
      <c r="AS13" s="44"/>
      <c r="AT13" s="44"/>
      <c r="AU13" s="44"/>
      <c r="AV13" s="44"/>
      <c r="AW13" s="44"/>
      <c r="AX13" s="44"/>
      <c r="AY13" s="44"/>
      <c r="AZ13" s="44"/>
      <c r="BA13" s="44"/>
      <c r="BB13" s="44"/>
      <c r="BC13" s="44"/>
      <c r="BD13" s="44"/>
      <c r="BE13" s="44"/>
      <c r="BF13" s="44"/>
      <c r="BG13" s="44"/>
    </row>
    <row r="14" spans="1:59" ht="15" thickBot="1">
      <c r="A14" s="737"/>
      <c r="B14" s="1508" t="s">
        <v>522</v>
      </c>
      <c r="C14" s="475" t="s">
        <v>66</v>
      </c>
      <c r="D14" s="413">
        <v>0</v>
      </c>
      <c r="E14" s="413">
        <v>0</v>
      </c>
      <c r="F14" s="413">
        <v>1</v>
      </c>
      <c r="G14" s="414">
        <f t="shared" si="8"/>
        <v>1</v>
      </c>
      <c r="H14" s="413">
        <v>0</v>
      </c>
      <c r="I14" s="413">
        <v>1</v>
      </c>
      <c r="J14" s="413">
        <v>1</v>
      </c>
      <c r="K14" s="414">
        <f t="shared" si="0"/>
        <v>2</v>
      </c>
      <c r="L14" s="413">
        <v>1</v>
      </c>
      <c r="M14" s="413">
        <v>1</v>
      </c>
      <c r="N14" s="413">
        <v>0</v>
      </c>
      <c r="O14" s="414">
        <f t="shared" si="1"/>
        <v>2</v>
      </c>
      <c r="P14" s="413">
        <v>1</v>
      </c>
      <c r="Q14" s="413">
        <v>0</v>
      </c>
      <c r="R14" s="413">
        <v>0</v>
      </c>
      <c r="S14" s="414">
        <f t="shared" si="2"/>
        <v>1</v>
      </c>
      <c r="T14" s="414">
        <f t="shared" si="3"/>
        <v>6</v>
      </c>
      <c r="U14" s="333"/>
      <c r="V14" s="1523"/>
      <c r="W14" s="486" t="s">
        <v>518</v>
      </c>
      <c r="X14" s="494">
        <f>X12-X13</f>
        <v>4</v>
      </c>
      <c r="Y14" s="494">
        <f t="shared" ref="Y14:AI14" si="34">Y12-Y13</f>
        <v>4</v>
      </c>
      <c r="Z14" s="494">
        <f t="shared" si="34"/>
        <v>8</v>
      </c>
      <c r="AA14" s="494">
        <f t="shared" si="34"/>
        <v>10</v>
      </c>
      <c r="AB14" s="494">
        <f t="shared" si="34"/>
        <v>10</v>
      </c>
      <c r="AC14" s="494">
        <f t="shared" si="34"/>
        <v>13</v>
      </c>
      <c r="AD14" s="494">
        <f t="shared" si="34"/>
        <v>9</v>
      </c>
      <c r="AE14" s="494">
        <f t="shared" si="34"/>
        <v>9</v>
      </c>
      <c r="AF14" s="494">
        <f t="shared" si="34"/>
        <v>9</v>
      </c>
      <c r="AG14" s="494">
        <f t="shared" si="34"/>
        <v>5</v>
      </c>
      <c r="AH14" s="494">
        <f t="shared" si="34"/>
        <v>5</v>
      </c>
      <c r="AI14" s="494">
        <f t="shared" si="34"/>
        <v>11</v>
      </c>
      <c r="AJ14" s="30">
        <f t="shared" si="13"/>
        <v>97</v>
      </c>
      <c r="AK14" s="481">
        <f t="shared" si="14"/>
        <v>13</v>
      </c>
      <c r="AL14" s="481">
        <f t="shared" si="15"/>
        <v>8.0833333333333339</v>
      </c>
      <c r="AM14" s="44"/>
      <c r="AN14" s="44"/>
      <c r="AO14" s="44"/>
      <c r="AP14" s="44"/>
      <c r="AQ14" s="44"/>
      <c r="AR14" s="44"/>
      <c r="AS14" s="44"/>
      <c r="AT14" s="44"/>
      <c r="AU14" s="44"/>
      <c r="AV14" s="44"/>
      <c r="AW14" s="44"/>
      <c r="AX14" s="44"/>
      <c r="AY14" s="44"/>
      <c r="AZ14" s="44"/>
      <c r="BA14" s="44"/>
      <c r="BB14" s="44"/>
      <c r="BC14" s="44"/>
      <c r="BD14" s="44"/>
      <c r="BE14" s="44"/>
      <c r="BF14" s="44"/>
      <c r="BG14" s="44"/>
    </row>
    <row r="15" spans="1:59">
      <c r="A15" s="737"/>
      <c r="B15" s="1508"/>
      <c r="C15" s="475" t="s">
        <v>65</v>
      </c>
      <c r="D15" s="413">
        <v>0</v>
      </c>
      <c r="E15" s="413">
        <v>0</v>
      </c>
      <c r="F15" s="413">
        <v>1</v>
      </c>
      <c r="G15" s="414">
        <f t="shared" si="8"/>
        <v>1</v>
      </c>
      <c r="H15" s="413">
        <v>1</v>
      </c>
      <c r="I15" s="413">
        <v>1</v>
      </c>
      <c r="J15" s="413">
        <v>1</v>
      </c>
      <c r="K15" s="414">
        <f t="shared" si="0"/>
        <v>3</v>
      </c>
      <c r="L15" s="413">
        <v>1</v>
      </c>
      <c r="M15" s="413">
        <v>1</v>
      </c>
      <c r="N15" s="413">
        <v>0</v>
      </c>
      <c r="O15" s="414">
        <f t="shared" si="1"/>
        <v>2</v>
      </c>
      <c r="P15" s="413">
        <v>0</v>
      </c>
      <c r="Q15" s="413">
        <v>1</v>
      </c>
      <c r="R15" s="413">
        <v>1</v>
      </c>
      <c r="S15" s="414">
        <f t="shared" si="2"/>
        <v>2</v>
      </c>
      <c r="T15" s="414">
        <f t="shared" si="3"/>
        <v>8</v>
      </c>
      <c r="U15" s="338"/>
      <c r="V15" s="737"/>
      <c r="W15" s="737"/>
      <c r="X15" s="737"/>
      <c r="Y15" s="737"/>
      <c r="Z15" s="737"/>
      <c r="AA15" s="737"/>
      <c r="AB15" s="737"/>
      <c r="AC15" s="737"/>
      <c r="AD15" s="737"/>
      <c r="AE15" s="737"/>
      <c r="AF15" s="737"/>
      <c r="AG15" s="737"/>
      <c r="AH15" s="737"/>
      <c r="AI15" s="737"/>
      <c r="AJ15" s="737"/>
      <c r="AK15" s="479"/>
      <c r="AL15" s="44"/>
      <c r="AM15" s="44"/>
      <c r="AN15" s="44"/>
      <c r="AO15" s="44"/>
      <c r="AP15" s="44"/>
      <c r="AQ15" s="44"/>
      <c r="AR15" s="44"/>
      <c r="AS15" s="44"/>
      <c r="AT15" s="44"/>
      <c r="AU15" s="44"/>
      <c r="AV15" s="44"/>
      <c r="AW15" s="44"/>
      <c r="AX15" s="44"/>
      <c r="AY15" s="44"/>
      <c r="AZ15" s="44"/>
      <c r="BA15" s="44"/>
      <c r="BB15" s="44"/>
      <c r="BC15" s="44"/>
      <c r="BD15" s="44"/>
      <c r="BE15" s="44"/>
      <c r="BF15" s="44"/>
      <c r="BG15" s="44"/>
    </row>
    <row r="16" spans="1:59">
      <c r="A16" s="737"/>
      <c r="B16" s="1508"/>
      <c r="C16" s="475" t="s">
        <v>67</v>
      </c>
      <c r="D16" s="413">
        <v>1</v>
      </c>
      <c r="E16" s="413">
        <v>1</v>
      </c>
      <c r="F16" s="413">
        <v>1</v>
      </c>
      <c r="G16" s="414">
        <f t="shared" si="8"/>
        <v>3</v>
      </c>
      <c r="H16" s="413">
        <v>2</v>
      </c>
      <c r="I16" s="413">
        <v>2</v>
      </c>
      <c r="J16" s="413">
        <v>2</v>
      </c>
      <c r="K16" s="414">
        <f t="shared" si="0"/>
        <v>6</v>
      </c>
      <c r="L16" s="413">
        <v>2</v>
      </c>
      <c r="M16" s="413">
        <v>2</v>
      </c>
      <c r="N16" s="413">
        <v>1</v>
      </c>
      <c r="O16" s="414">
        <f t="shared" si="1"/>
        <v>5</v>
      </c>
      <c r="P16" s="413">
        <v>2</v>
      </c>
      <c r="Q16" s="413">
        <v>1</v>
      </c>
      <c r="R16" s="413">
        <v>1</v>
      </c>
      <c r="S16" s="414">
        <f t="shared" si="2"/>
        <v>4</v>
      </c>
      <c r="T16" s="414">
        <f t="shared" si="3"/>
        <v>18</v>
      </c>
      <c r="U16" s="333"/>
      <c r="V16" s="737"/>
      <c r="W16" s="737"/>
      <c r="X16" s="737"/>
      <c r="Y16" s="737"/>
      <c r="Z16" s="737"/>
      <c r="AA16" s="737"/>
      <c r="AB16" s="737"/>
      <c r="AC16" s="737"/>
      <c r="AD16" s="737"/>
      <c r="AE16" s="737"/>
      <c r="AF16" s="737"/>
      <c r="AG16" s="737"/>
      <c r="AH16" s="737"/>
      <c r="AI16" s="737"/>
      <c r="AJ16" s="737"/>
      <c r="AK16" s="479"/>
      <c r="AL16" s="44"/>
      <c r="AM16" s="44"/>
      <c r="AN16" s="44"/>
      <c r="AO16" s="44"/>
      <c r="AP16" s="44"/>
      <c r="AQ16" s="44"/>
      <c r="AR16" s="44"/>
      <c r="AS16" s="44"/>
      <c r="AT16" s="44"/>
      <c r="AU16" s="44"/>
      <c r="AV16" s="44"/>
      <c r="AW16" s="44"/>
      <c r="AX16" s="44"/>
      <c r="AY16" s="44"/>
      <c r="AZ16" s="44"/>
      <c r="BA16" s="44"/>
      <c r="BB16" s="44"/>
      <c r="BC16" s="44"/>
      <c r="BD16" s="44"/>
      <c r="BE16" s="44"/>
      <c r="BF16" s="44"/>
      <c r="BG16" s="44"/>
    </row>
    <row r="17" spans="2:59">
      <c r="B17" s="1508"/>
      <c r="C17" s="475" t="s">
        <v>64</v>
      </c>
      <c r="D17" s="413">
        <v>1</v>
      </c>
      <c r="E17" s="413">
        <v>0</v>
      </c>
      <c r="F17" s="413">
        <v>1</v>
      </c>
      <c r="G17" s="414">
        <f t="shared" si="8"/>
        <v>2</v>
      </c>
      <c r="H17" s="413">
        <v>2</v>
      </c>
      <c r="I17" s="413">
        <v>1</v>
      </c>
      <c r="J17" s="413">
        <v>1</v>
      </c>
      <c r="K17" s="414">
        <f t="shared" si="0"/>
        <v>4</v>
      </c>
      <c r="L17" s="413">
        <v>1</v>
      </c>
      <c r="M17" s="413">
        <v>1</v>
      </c>
      <c r="N17" s="413">
        <v>1</v>
      </c>
      <c r="O17" s="414">
        <f t="shared" si="1"/>
        <v>3</v>
      </c>
      <c r="P17" s="413">
        <v>1</v>
      </c>
      <c r="Q17" s="413">
        <v>1</v>
      </c>
      <c r="R17" s="413">
        <v>1</v>
      </c>
      <c r="S17" s="414">
        <f t="shared" si="2"/>
        <v>3</v>
      </c>
      <c r="T17" s="414">
        <f t="shared" si="3"/>
        <v>12</v>
      </c>
      <c r="U17" s="333"/>
      <c r="V17" s="737"/>
      <c r="W17" s="737"/>
      <c r="X17" s="737"/>
      <c r="Y17" s="737"/>
      <c r="Z17" s="737"/>
      <c r="AA17" s="737"/>
      <c r="AB17" s="737"/>
      <c r="AC17" s="737"/>
      <c r="AD17" s="737"/>
      <c r="AE17" s="737"/>
      <c r="AF17" s="737"/>
      <c r="AG17" s="737"/>
      <c r="AH17" s="737"/>
      <c r="AI17" s="737"/>
      <c r="AJ17" s="737"/>
      <c r="AK17" s="479"/>
      <c r="AL17" s="44"/>
      <c r="AM17" s="44"/>
      <c r="AN17" s="44"/>
      <c r="AO17" s="44"/>
      <c r="AP17" s="44"/>
      <c r="AQ17" s="44"/>
      <c r="AR17" s="44"/>
      <c r="AS17" s="44"/>
      <c r="AT17" s="44"/>
      <c r="AU17" s="44"/>
      <c r="AV17" s="44"/>
      <c r="AW17" s="44"/>
      <c r="AX17" s="44"/>
      <c r="AY17" s="44"/>
      <c r="AZ17" s="44"/>
      <c r="BA17" s="44"/>
      <c r="BB17" s="44"/>
      <c r="BC17" s="44"/>
      <c r="BD17" s="44"/>
      <c r="BE17" s="44"/>
      <c r="BF17" s="44"/>
      <c r="BG17" s="44"/>
    </row>
    <row r="18" spans="2:59">
      <c r="B18" s="1508"/>
      <c r="C18" s="475" t="s">
        <v>60</v>
      </c>
      <c r="D18" s="413">
        <v>1</v>
      </c>
      <c r="E18" s="413">
        <v>2</v>
      </c>
      <c r="F18" s="413">
        <v>2</v>
      </c>
      <c r="G18" s="414">
        <f t="shared" si="8"/>
        <v>5</v>
      </c>
      <c r="H18" s="413">
        <v>4</v>
      </c>
      <c r="I18" s="413">
        <v>3</v>
      </c>
      <c r="J18" s="413">
        <v>3</v>
      </c>
      <c r="K18" s="414">
        <f t="shared" si="0"/>
        <v>10</v>
      </c>
      <c r="L18" s="413">
        <v>3</v>
      </c>
      <c r="M18" s="413">
        <v>3</v>
      </c>
      <c r="N18" s="413">
        <v>2</v>
      </c>
      <c r="O18" s="414">
        <f t="shared" si="1"/>
        <v>8</v>
      </c>
      <c r="P18" s="413">
        <v>4</v>
      </c>
      <c r="Q18" s="413">
        <v>2</v>
      </c>
      <c r="R18" s="413">
        <v>1</v>
      </c>
      <c r="S18" s="414">
        <f t="shared" si="2"/>
        <v>7</v>
      </c>
      <c r="T18" s="414">
        <f t="shared" si="3"/>
        <v>30</v>
      </c>
      <c r="U18" s="333"/>
      <c r="V18" s="479"/>
      <c r="W18" s="479"/>
      <c r="X18" s="479"/>
      <c r="Y18" s="479"/>
      <c r="Z18" s="479"/>
      <c r="AA18" s="479"/>
      <c r="AB18" s="479"/>
      <c r="AC18" s="479"/>
      <c r="AD18" s="479"/>
      <c r="AE18" s="479"/>
      <c r="AF18" s="479"/>
      <c r="AG18" s="479"/>
      <c r="AH18" s="479"/>
      <c r="AI18" s="479"/>
      <c r="AJ18" s="479"/>
      <c r="AK18" s="479"/>
      <c r="AL18" s="44"/>
      <c r="AM18" s="44"/>
      <c r="AN18" s="44"/>
      <c r="AO18" s="44"/>
      <c r="AP18" s="44"/>
      <c r="AQ18" s="44"/>
      <c r="AR18" s="44"/>
      <c r="AS18" s="44"/>
      <c r="AT18" s="44"/>
      <c r="AU18" s="44"/>
      <c r="AV18" s="44"/>
      <c r="AW18" s="44"/>
      <c r="AX18" s="44"/>
      <c r="AY18" s="44"/>
      <c r="AZ18" s="44"/>
      <c r="BA18" s="44"/>
      <c r="BB18" s="44"/>
      <c r="BC18" s="44"/>
      <c r="BD18" s="44"/>
      <c r="BE18" s="44"/>
      <c r="BF18" s="44"/>
      <c r="BG18" s="44"/>
    </row>
    <row r="19" spans="2:59">
      <c r="B19" s="475" t="s">
        <v>523</v>
      </c>
      <c r="C19" s="475" t="s">
        <v>524</v>
      </c>
      <c r="D19" s="413">
        <v>126</v>
      </c>
      <c r="E19" s="413">
        <v>126</v>
      </c>
      <c r="F19" s="413">
        <v>127</v>
      </c>
      <c r="G19" s="414">
        <f t="shared" si="8"/>
        <v>379</v>
      </c>
      <c r="H19" s="413">
        <v>168.24233333333333</v>
      </c>
      <c r="I19" s="413">
        <v>168.24233333333333</v>
      </c>
      <c r="J19" s="413">
        <v>168.24233333333333</v>
      </c>
      <c r="K19" s="414">
        <f t="shared" si="0"/>
        <v>504.72699999999998</v>
      </c>
      <c r="L19" s="413">
        <v>140.20194444444445</v>
      </c>
      <c r="M19" s="413">
        <v>140.20194444444445</v>
      </c>
      <c r="N19" s="413">
        <v>140.20194444444445</v>
      </c>
      <c r="O19" s="414">
        <f t="shared" si="1"/>
        <v>420.60583333333335</v>
      </c>
      <c r="P19" s="413">
        <v>112.16155555555555</v>
      </c>
      <c r="Q19" s="413">
        <v>112.16155555555555</v>
      </c>
      <c r="R19" s="413">
        <v>112.16155555555558</v>
      </c>
      <c r="S19" s="414">
        <f t="shared" si="2"/>
        <v>336.48466666666667</v>
      </c>
      <c r="T19" s="414">
        <f t="shared" si="3"/>
        <v>1640.8175000000001</v>
      </c>
      <c r="U19" s="333"/>
      <c r="V19" s="165"/>
      <c r="W19" s="165"/>
      <c r="X19" s="165"/>
      <c r="Y19" s="44"/>
      <c r="Z19" s="44"/>
      <c r="AA19" s="44"/>
      <c r="AB19" s="44"/>
      <c r="AC19" s="44"/>
      <c r="AD19" s="44"/>
      <c r="AE19" s="44"/>
      <c r="AF19" s="44"/>
      <c r="AG19" s="44"/>
      <c r="AH19" s="44"/>
      <c r="AI19" s="44"/>
      <c r="AJ19" s="44"/>
      <c r="AK19" s="44"/>
      <c r="AL19" s="44"/>
      <c r="AM19" s="44"/>
      <c r="AN19" s="44"/>
      <c r="AO19" s="44"/>
      <c r="AP19" s="44"/>
      <c r="AQ19" s="44"/>
      <c r="AR19" s="44"/>
      <c r="AS19" s="44"/>
      <c r="AT19" s="44"/>
      <c r="AU19" s="44"/>
      <c r="AV19" s="44"/>
      <c r="AW19" s="44"/>
      <c r="AX19" s="44"/>
      <c r="AY19" s="44"/>
      <c r="AZ19" s="44"/>
      <c r="BA19" s="44"/>
      <c r="BB19" s="44"/>
      <c r="BC19" s="44"/>
      <c r="BD19" s="44"/>
      <c r="BE19" s="44"/>
      <c r="BF19" s="44"/>
      <c r="BG19" s="44"/>
    </row>
    <row r="20" spans="2:59" ht="42.75">
      <c r="B20" s="475"/>
      <c r="C20" s="476" t="s">
        <v>525</v>
      </c>
      <c r="D20" s="413">
        <f t="shared" ref="D20:T20" si="35">SUM(D6:D18)</f>
        <v>23</v>
      </c>
      <c r="E20" s="413">
        <f t="shared" si="35"/>
        <v>25</v>
      </c>
      <c r="F20" s="413">
        <f t="shared" si="35"/>
        <v>34</v>
      </c>
      <c r="G20" s="414">
        <f t="shared" si="35"/>
        <v>82</v>
      </c>
      <c r="H20" s="413">
        <f t="shared" si="35"/>
        <v>55</v>
      </c>
      <c r="I20" s="413">
        <f t="shared" si="35"/>
        <v>56</v>
      </c>
      <c r="J20" s="413">
        <f t="shared" si="35"/>
        <v>56</v>
      </c>
      <c r="K20" s="414">
        <f t="shared" si="35"/>
        <v>167</v>
      </c>
      <c r="L20" s="413">
        <f t="shared" si="35"/>
        <v>47</v>
      </c>
      <c r="M20" s="413">
        <f t="shared" si="35"/>
        <v>47</v>
      </c>
      <c r="N20" s="413">
        <f t="shared" si="35"/>
        <v>44</v>
      </c>
      <c r="O20" s="414">
        <f t="shared" si="35"/>
        <v>138</v>
      </c>
      <c r="P20" s="413">
        <f t="shared" si="35"/>
        <v>40</v>
      </c>
      <c r="Q20" s="413">
        <f t="shared" si="35"/>
        <v>36</v>
      </c>
      <c r="R20" s="413">
        <f t="shared" si="35"/>
        <v>34</v>
      </c>
      <c r="S20" s="414">
        <f t="shared" si="35"/>
        <v>110</v>
      </c>
      <c r="T20" s="414">
        <f t="shared" si="35"/>
        <v>497</v>
      </c>
      <c r="U20" s="333"/>
      <c r="V20" s="165"/>
      <c r="W20" s="165"/>
      <c r="X20" s="165"/>
      <c r="Y20" s="44"/>
      <c r="Z20" s="44"/>
      <c r="AA20" s="44"/>
      <c r="AB20" s="44"/>
      <c r="AC20" s="44"/>
      <c r="AD20" s="44"/>
      <c r="AE20" s="44"/>
      <c r="AF20" s="44"/>
      <c r="AG20" s="44"/>
      <c r="AH20" s="44"/>
      <c r="AI20" s="44"/>
      <c r="AJ20" s="44"/>
      <c r="AK20" s="44"/>
      <c r="AL20" s="44"/>
      <c r="AM20" s="44"/>
      <c r="AN20" s="44"/>
      <c r="AO20" s="44"/>
      <c r="AP20" s="44"/>
      <c r="AQ20" s="44"/>
      <c r="AR20" s="44"/>
      <c r="AS20" s="44"/>
      <c r="AT20" s="44"/>
      <c r="AU20" s="44"/>
      <c r="AV20" s="44"/>
      <c r="AW20" s="44"/>
      <c r="AX20" s="44"/>
      <c r="AY20" s="44"/>
      <c r="AZ20" s="44"/>
      <c r="BA20" s="44"/>
      <c r="BB20" s="44"/>
      <c r="BC20" s="44"/>
      <c r="BD20" s="44"/>
      <c r="BE20" s="44"/>
      <c r="BF20" s="44"/>
      <c r="BG20" s="44"/>
    </row>
    <row r="21" spans="2:59" ht="42.75">
      <c r="B21" s="475"/>
      <c r="C21" s="476" t="s">
        <v>526</v>
      </c>
      <c r="D21" s="413">
        <f t="shared" ref="D21:T21" si="36">D13</f>
        <v>0</v>
      </c>
      <c r="E21" s="413">
        <f t="shared" si="36"/>
        <v>1</v>
      </c>
      <c r="F21" s="413">
        <f t="shared" si="36"/>
        <v>1</v>
      </c>
      <c r="G21" s="414">
        <f t="shared" si="36"/>
        <v>2</v>
      </c>
      <c r="H21" s="413">
        <f t="shared" si="36"/>
        <v>1</v>
      </c>
      <c r="I21" s="413">
        <f t="shared" si="36"/>
        <v>2</v>
      </c>
      <c r="J21" s="413">
        <f t="shared" si="36"/>
        <v>2</v>
      </c>
      <c r="K21" s="414">
        <f t="shared" si="36"/>
        <v>5</v>
      </c>
      <c r="L21" s="413">
        <f t="shared" si="36"/>
        <v>1</v>
      </c>
      <c r="M21" s="413">
        <f t="shared" si="36"/>
        <v>1</v>
      </c>
      <c r="N21" s="413">
        <f t="shared" si="36"/>
        <v>2</v>
      </c>
      <c r="O21" s="414">
        <f t="shared" si="36"/>
        <v>4</v>
      </c>
      <c r="P21" s="413">
        <f t="shared" si="36"/>
        <v>1</v>
      </c>
      <c r="Q21" s="413">
        <f t="shared" si="36"/>
        <v>1</v>
      </c>
      <c r="R21" s="413">
        <f t="shared" si="36"/>
        <v>1</v>
      </c>
      <c r="S21" s="414">
        <f t="shared" si="36"/>
        <v>3</v>
      </c>
      <c r="T21" s="414">
        <f t="shared" si="36"/>
        <v>14</v>
      </c>
      <c r="U21" s="333"/>
      <c r="V21" s="165"/>
      <c r="W21" s="165"/>
      <c r="X21" s="165"/>
      <c r="Y21" s="44"/>
      <c r="Z21" s="44"/>
      <c r="AA21" s="44"/>
      <c r="AB21" s="44"/>
      <c r="AC21" s="44"/>
      <c r="AD21" s="44"/>
      <c r="AE21" s="44"/>
      <c r="AF21" s="44"/>
      <c r="AG21" s="44"/>
      <c r="AH21" s="44"/>
      <c r="AI21" s="44"/>
      <c r="AJ21" s="44"/>
      <c r="AK21" s="44"/>
      <c r="AL21" s="44"/>
      <c r="AM21" s="44"/>
      <c r="AN21" s="44"/>
      <c r="AO21" s="44"/>
      <c r="AP21" s="44"/>
      <c r="AQ21" s="44"/>
      <c r="AR21" s="44"/>
      <c r="AS21" s="44"/>
      <c r="AT21" s="44"/>
      <c r="AU21" s="44"/>
      <c r="AV21" s="44"/>
      <c r="AW21" s="44"/>
      <c r="AX21" s="44"/>
      <c r="AY21" s="44"/>
      <c r="AZ21" s="44"/>
      <c r="BA21" s="44"/>
      <c r="BB21" s="44"/>
      <c r="BC21" s="44"/>
      <c r="BD21" s="44"/>
      <c r="BE21" s="44"/>
      <c r="BF21" s="44"/>
      <c r="BG21" s="44"/>
    </row>
    <row r="22" spans="2:59" s="44" customFormat="1">
      <c r="B22" s="448"/>
      <c r="C22" s="448"/>
      <c r="D22" s="448"/>
      <c r="E22" s="448"/>
      <c r="F22" s="448"/>
      <c r="G22" s="456"/>
      <c r="H22" s="456"/>
      <c r="I22" s="456"/>
      <c r="J22" s="456"/>
      <c r="K22" s="456"/>
      <c r="L22" s="456"/>
      <c r="M22" s="456"/>
      <c r="N22" s="456"/>
      <c r="O22" s="456"/>
      <c r="P22" s="456"/>
      <c r="Q22" s="456"/>
      <c r="R22" s="456"/>
      <c r="S22" s="456"/>
      <c r="T22" s="456"/>
      <c r="U22" s="165"/>
      <c r="V22" s="165"/>
      <c r="W22" s="165"/>
      <c r="X22" s="165"/>
    </row>
    <row r="23" spans="2:59" ht="17.25">
      <c r="B23" s="144"/>
      <c r="C23" s="1507" t="s">
        <v>527</v>
      </c>
      <c r="D23" s="1507"/>
      <c r="E23" s="1507"/>
      <c r="F23" s="1507"/>
      <c r="G23" s="1507"/>
      <c r="H23" s="1507"/>
      <c r="I23" s="1507"/>
      <c r="J23" s="1507"/>
      <c r="K23" s="1507"/>
      <c r="L23" s="1507"/>
      <c r="M23" s="1507"/>
      <c r="N23" s="1507"/>
      <c r="O23" s="1507"/>
      <c r="P23" s="1507"/>
      <c r="Q23" s="1507"/>
      <c r="R23" s="1507"/>
      <c r="S23" s="1507"/>
      <c r="T23" s="1507"/>
      <c r="U23" s="333"/>
      <c r="V23" s="165"/>
      <c r="W23" s="165"/>
      <c r="X23" s="165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44"/>
      <c r="AN23" s="44"/>
      <c r="AO23" s="44"/>
      <c r="AP23" s="44"/>
      <c r="AQ23" s="44"/>
      <c r="AR23" s="44"/>
      <c r="AS23" s="44"/>
      <c r="AT23" s="44"/>
      <c r="AU23" s="44"/>
      <c r="AV23" s="44"/>
      <c r="AW23" s="44"/>
      <c r="AX23" s="44"/>
      <c r="AY23" s="44"/>
      <c r="AZ23" s="44"/>
      <c r="BA23" s="44"/>
      <c r="BB23" s="44"/>
      <c r="BC23" s="44"/>
      <c r="BD23" s="44"/>
      <c r="BE23" s="44"/>
      <c r="BF23" s="44"/>
      <c r="BG23" s="44"/>
    </row>
    <row r="24" spans="2:59">
      <c r="B24" s="1508" t="s">
        <v>515</v>
      </c>
      <c r="C24" s="475" t="s">
        <v>57</v>
      </c>
      <c r="D24" s="413">
        <v>1</v>
      </c>
      <c r="E24" s="413">
        <v>1</v>
      </c>
      <c r="F24" s="413">
        <v>0</v>
      </c>
      <c r="G24" s="414">
        <f t="shared" ref="G24:G37" si="37">SUM(D24:F24)</f>
        <v>2</v>
      </c>
      <c r="H24" s="413">
        <v>1</v>
      </c>
      <c r="I24" s="413">
        <v>1</v>
      </c>
      <c r="J24" s="413">
        <v>2</v>
      </c>
      <c r="K24" s="414">
        <f t="shared" ref="K24:K37" si="38">SUM(H24:J24)</f>
        <v>4</v>
      </c>
      <c r="L24" s="413">
        <v>1</v>
      </c>
      <c r="M24" s="413">
        <v>1</v>
      </c>
      <c r="N24" s="413">
        <v>1</v>
      </c>
      <c r="O24" s="414">
        <f t="shared" ref="O24:O37" si="39">SUM(L24:N24)</f>
        <v>3</v>
      </c>
      <c r="P24" s="413">
        <v>1</v>
      </c>
      <c r="Q24" s="413">
        <v>1</v>
      </c>
      <c r="R24" s="413">
        <v>1</v>
      </c>
      <c r="S24" s="414">
        <f t="shared" ref="S24:S37" si="40">SUM(P24:R24)</f>
        <v>3</v>
      </c>
      <c r="T24" s="414">
        <f t="shared" ref="T24:T37" si="41">S24+O24+K24+G24</f>
        <v>12</v>
      </c>
      <c r="U24" s="737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L24" s="44"/>
      <c r="AM24" s="44"/>
      <c r="AN24" s="44"/>
      <c r="AO24" s="44"/>
      <c r="AP24" s="44"/>
      <c r="AQ24" s="44"/>
      <c r="AR24" s="44"/>
      <c r="AS24" s="44"/>
      <c r="AT24" s="44"/>
      <c r="AU24" s="44"/>
      <c r="AV24" s="44"/>
      <c r="AW24" s="44"/>
      <c r="AX24" s="44"/>
      <c r="AY24" s="44"/>
      <c r="AZ24" s="44"/>
      <c r="BA24" s="44"/>
      <c r="BB24" s="44"/>
      <c r="BC24" s="44"/>
      <c r="BD24" s="44"/>
      <c r="BE24" s="44"/>
      <c r="BF24" s="44"/>
      <c r="BG24" s="44"/>
    </row>
    <row r="25" spans="2:59">
      <c r="B25" s="1508"/>
      <c r="C25" s="475" t="s">
        <v>56</v>
      </c>
      <c r="D25" s="413">
        <v>1</v>
      </c>
      <c r="E25" s="413">
        <v>1</v>
      </c>
      <c r="F25" s="413">
        <v>1</v>
      </c>
      <c r="G25" s="414">
        <f t="shared" si="37"/>
        <v>3</v>
      </c>
      <c r="H25" s="413">
        <v>2</v>
      </c>
      <c r="I25" s="413">
        <v>2</v>
      </c>
      <c r="J25" s="413">
        <v>2</v>
      </c>
      <c r="K25" s="414">
        <f t="shared" si="38"/>
        <v>6</v>
      </c>
      <c r="L25" s="413">
        <v>2</v>
      </c>
      <c r="M25" s="413">
        <v>2</v>
      </c>
      <c r="N25" s="413">
        <v>1</v>
      </c>
      <c r="O25" s="414">
        <f t="shared" si="39"/>
        <v>5</v>
      </c>
      <c r="P25" s="413">
        <v>1</v>
      </c>
      <c r="Q25" s="413">
        <v>1</v>
      </c>
      <c r="R25" s="413">
        <v>2</v>
      </c>
      <c r="S25" s="414">
        <f t="shared" si="40"/>
        <v>4</v>
      </c>
      <c r="T25" s="414">
        <f t="shared" si="41"/>
        <v>18</v>
      </c>
      <c r="U25" s="737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  <c r="AH25" s="44"/>
      <c r="AI25" s="44"/>
      <c r="AJ25" s="44"/>
      <c r="AK25" s="44"/>
      <c r="AL25" s="44"/>
      <c r="AM25" s="44"/>
      <c r="AN25" s="44"/>
      <c r="AO25" s="44"/>
      <c r="AP25" s="44"/>
      <c r="AQ25" s="44"/>
      <c r="AR25" s="44"/>
      <c r="AS25" s="44"/>
      <c r="AT25" s="44"/>
      <c r="AU25" s="44"/>
      <c r="AV25" s="44"/>
      <c r="AW25" s="44"/>
      <c r="AX25" s="44"/>
      <c r="AY25" s="44"/>
      <c r="AZ25" s="44"/>
      <c r="BA25" s="44"/>
      <c r="BB25" s="44"/>
      <c r="BC25" s="44"/>
      <c r="BD25" s="44"/>
      <c r="BE25" s="44"/>
      <c r="BF25" s="44"/>
      <c r="BG25" s="44"/>
    </row>
    <row r="26" spans="2:59">
      <c r="B26" s="1508"/>
      <c r="C26" s="475" t="s">
        <v>58</v>
      </c>
      <c r="D26" s="413">
        <v>1</v>
      </c>
      <c r="E26" s="413">
        <v>1</v>
      </c>
      <c r="F26" s="413">
        <v>0</v>
      </c>
      <c r="G26" s="414">
        <f t="shared" si="37"/>
        <v>2</v>
      </c>
      <c r="H26" s="413">
        <v>1</v>
      </c>
      <c r="I26" s="413">
        <v>1</v>
      </c>
      <c r="J26" s="413">
        <v>2</v>
      </c>
      <c r="K26" s="414">
        <f t="shared" si="38"/>
        <v>4</v>
      </c>
      <c r="L26" s="413">
        <v>1</v>
      </c>
      <c r="M26" s="413">
        <v>1</v>
      </c>
      <c r="N26" s="413">
        <v>1</v>
      </c>
      <c r="O26" s="414">
        <f t="shared" si="39"/>
        <v>3</v>
      </c>
      <c r="P26" s="413">
        <v>1</v>
      </c>
      <c r="Q26" s="413">
        <v>1</v>
      </c>
      <c r="R26" s="413">
        <v>1</v>
      </c>
      <c r="S26" s="414">
        <f t="shared" si="40"/>
        <v>3</v>
      </c>
      <c r="T26" s="414">
        <f t="shared" si="41"/>
        <v>12</v>
      </c>
      <c r="U26" s="737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44"/>
      <c r="AK26" s="44"/>
      <c r="AL26" s="44"/>
      <c r="AM26" s="44"/>
      <c r="AN26" s="44"/>
      <c r="AO26" s="44"/>
      <c r="AP26" s="44"/>
      <c r="AQ26" s="44"/>
      <c r="AR26" s="44"/>
      <c r="AS26" s="44"/>
      <c r="AT26" s="44"/>
      <c r="AU26" s="44"/>
      <c r="AV26" s="44"/>
      <c r="AW26" s="44"/>
      <c r="AX26" s="44"/>
      <c r="AY26" s="44"/>
      <c r="AZ26" s="44"/>
      <c r="BA26" s="44"/>
      <c r="BB26" s="44"/>
      <c r="BC26" s="44"/>
      <c r="BD26" s="44"/>
      <c r="BE26" s="44"/>
      <c r="BF26" s="44"/>
      <c r="BG26" s="44"/>
    </row>
    <row r="27" spans="2:59">
      <c r="B27" s="1508"/>
      <c r="C27" s="475" t="s">
        <v>59</v>
      </c>
      <c r="D27" s="413">
        <v>0</v>
      </c>
      <c r="E27" s="413">
        <v>0</v>
      </c>
      <c r="F27" s="413">
        <v>1</v>
      </c>
      <c r="G27" s="414">
        <f t="shared" si="37"/>
        <v>1</v>
      </c>
      <c r="H27" s="413">
        <v>1</v>
      </c>
      <c r="I27" s="413">
        <v>1</v>
      </c>
      <c r="J27" s="413">
        <v>0</v>
      </c>
      <c r="K27" s="414">
        <f t="shared" si="38"/>
        <v>2</v>
      </c>
      <c r="L27" s="413">
        <v>1</v>
      </c>
      <c r="M27" s="413">
        <v>1</v>
      </c>
      <c r="N27" s="413">
        <v>0</v>
      </c>
      <c r="O27" s="414">
        <f t="shared" si="39"/>
        <v>2</v>
      </c>
      <c r="P27" s="413">
        <v>0</v>
      </c>
      <c r="Q27" s="413">
        <v>0</v>
      </c>
      <c r="R27" s="413">
        <v>1</v>
      </c>
      <c r="S27" s="414">
        <f t="shared" si="40"/>
        <v>1</v>
      </c>
      <c r="T27" s="414">
        <f t="shared" si="41"/>
        <v>6</v>
      </c>
      <c r="U27" s="737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  <c r="AH27" s="44"/>
      <c r="AI27" s="44"/>
      <c r="AJ27" s="44"/>
      <c r="AK27" s="44"/>
      <c r="AL27" s="44"/>
      <c r="AM27" s="44"/>
      <c r="AN27" s="44"/>
      <c r="AO27" s="44"/>
      <c r="AP27" s="44"/>
      <c r="AQ27" s="44"/>
      <c r="AR27" s="44"/>
      <c r="AS27" s="44"/>
      <c r="AT27" s="44"/>
      <c r="AU27" s="44"/>
      <c r="AV27" s="44"/>
      <c r="AW27" s="44"/>
      <c r="AX27" s="44"/>
      <c r="AY27" s="44"/>
      <c r="AZ27" s="44"/>
      <c r="BA27" s="44"/>
      <c r="BB27" s="44"/>
      <c r="BC27" s="44"/>
      <c r="BD27" s="44"/>
      <c r="BE27" s="44"/>
      <c r="BF27" s="44"/>
      <c r="BG27" s="44"/>
    </row>
    <row r="28" spans="2:59">
      <c r="B28" s="1508" t="s">
        <v>520</v>
      </c>
      <c r="C28" s="475" t="s">
        <v>63</v>
      </c>
      <c r="D28" s="413">
        <v>0</v>
      </c>
      <c r="E28" s="413">
        <v>0</v>
      </c>
      <c r="F28" s="413">
        <v>1</v>
      </c>
      <c r="G28" s="414">
        <f t="shared" si="37"/>
        <v>1</v>
      </c>
      <c r="H28" s="413">
        <v>0</v>
      </c>
      <c r="I28" s="413">
        <v>0</v>
      </c>
      <c r="J28" s="413">
        <v>1</v>
      </c>
      <c r="K28" s="414">
        <f t="shared" si="38"/>
        <v>1</v>
      </c>
      <c r="L28" s="413">
        <v>0</v>
      </c>
      <c r="M28" s="413">
        <v>0</v>
      </c>
      <c r="N28" s="413">
        <v>1</v>
      </c>
      <c r="O28" s="414">
        <f t="shared" si="39"/>
        <v>1</v>
      </c>
      <c r="P28" s="413">
        <v>0</v>
      </c>
      <c r="Q28" s="413">
        <v>0</v>
      </c>
      <c r="R28" s="413">
        <v>1</v>
      </c>
      <c r="S28" s="414">
        <f t="shared" si="40"/>
        <v>1</v>
      </c>
      <c r="T28" s="414">
        <f t="shared" si="41"/>
        <v>4</v>
      </c>
      <c r="U28" s="737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  <c r="AH28" s="44"/>
      <c r="AI28" s="44"/>
      <c r="AJ28" s="44"/>
      <c r="AK28" s="44"/>
      <c r="AL28" s="44"/>
      <c r="AM28" s="44"/>
      <c r="AN28" s="44"/>
      <c r="AO28" s="44"/>
      <c r="AP28" s="44"/>
      <c r="AQ28" s="44"/>
      <c r="AR28" s="44"/>
      <c r="AS28" s="44"/>
      <c r="AT28" s="44"/>
      <c r="AU28" s="44"/>
      <c r="AV28" s="44"/>
      <c r="AW28" s="44"/>
      <c r="AX28" s="44"/>
      <c r="AY28" s="44"/>
      <c r="AZ28" s="44"/>
      <c r="BA28" s="44"/>
      <c r="BB28" s="44"/>
      <c r="BC28" s="44"/>
      <c r="BD28" s="44"/>
      <c r="BE28" s="44"/>
      <c r="BF28" s="44"/>
      <c r="BG28" s="44"/>
    </row>
    <row r="29" spans="2:59">
      <c r="B29" s="1508"/>
      <c r="C29" s="475" t="s">
        <v>55</v>
      </c>
      <c r="D29" s="413">
        <v>1</v>
      </c>
      <c r="E29" s="413">
        <v>1</v>
      </c>
      <c r="F29" s="413">
        <v>2</v>
      </c>
      <c r="G29" s="414">
        <f t="shared" si="37"/>
        <v>4</v>
      </c>
      <c r="H29" s="413">
        <v>3</v>
      </c>
      <c r="I29" s="413">
        <v>3</v>
      </c>
      <c r="J29" s="413">
        <v>3</v>
      </c>
      <c r="K29" s="414">
        <f t="shared" si="38"/>
        <v>9</v>
      </c>
      <c r="L29" s="413">
        <v>2</v>
      </c>
      <c r="M29" s="413">
        <v>2</v>
      </c>
      <c r="N29" s="413">
        <v>3</v>
      </c>
      <c r="O29" s="414">
        <f t="shared" si="39"/>
        <v>7</v>
      </c>
      <c r="P29" s="413">
        <v>2</v>
      </c>
      <c r="Q29" s="413">
        <v>2</v>
      </c>
      <c r="R29" s="413">
        <v>1</v>
      </c>
      <c r="S29" s="414">
        <f t="shared" si="40"/>
        <v>5</v>
      </c>
      <c r="T29" s="414">
        <f t="shared" si="41"/>
        <v>25</v>
      </c>
      <c r="U29" s="737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44"/>
      <c r="AV29" s="44"/>
      <c r="AW29" s="44"/>
      <c r="AX29" s="44"/>
      <c r="AY29" s="44"/>
      <c r="AZ29" s="44"/>
      <c r="BA29" s="44"/>
      <c r="BB29" s="44"/>
      <c r="BC29" s="44"/>
      <c r="BD29" s="44"/>
      <c r="BE29" s="44"/>
      <c r="BF29" s="44"/>
      <c r="BG29" s="44"/>
    </row>
    <row r="30" spans="2:59">
      <c r="B30" s="1508"/>
      <c r="C30" s="475" t="s">
        <v>61</v>
      </c>
      <c r="D30" s="413">
        <v>0</v>
      </c>
      <c r="E30" s="413">
        <v>0</v>
      </c>
      <c r="F30" s="413">
        <v>1</v>
      </c>
      <c r="G30" s="414">
        <f t="shared" si="37"/>
        <v>1</v>
      </c>
      <c r="H30" s="413">
        <v>1</v>
      </c>
      <c r="I30" s="413">
        <v>1</v>
      </c>
      <c r="J30" s="413">
        <v>0</v>
      </c>
      <c r="K30" s="414">
        <f t="shared" si="38"/>
        <v>2</v>
      </c>
      <c r="L30" s="413">
        <v>1</v>
      </c>
      <c r="M30" s="413">
        <v>1</v>
      </c>
      <c r="N30" s="413">
        <v>0</v>
      </c>
      <c r="O30" s="414">
        <f t="shared" si="39"/>
        <v>2</v>
      </c>
      <c r="P30" s="413">
        <v>0</v>
      </c>
      <c r="Q30" s="413">
        <v>0</v>
      </c>
      <c r="R30" s="413">
        <v>1</v>
      </c>
      <c r="S30" s="414">
        <f t="shared" si="40"/>
        <v>1</v>
      </c>
      <c r="T30" s="414">
        <f t="shared" si="41"/>
        <v>6</v>
      </c>
      <c r="U30" s="737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44"/>
      <c r="AT30" s="44"/>
      <c r="AU30" s="44"/>
      <c r="AV30" s="44"/>
      <c r="AW30" s="44"/>
      <c r="AX30" s="44"/>
      <c r="AY30" s="44"/>
      <c r="AZ30" s="44"/>
      <c r="BA30" s="44"/>
      <c r="BB30" s="44"/>
      <c r="BC30" s="44"/>
      <c r="BD30" s="44"/>
      <c r="BE30" s="44"/>
      <c r="BF30" s="44"/>
      <c r="BG30" s="44"/>
    </row>
    <row r="31" spans="2:59">
      <c r="B31" s="1508"/>
      <c r="C31" s="475" t="s">
        <v>62</v>
      </c>
      <c r="D31" s="413">
        <v>0</v>
      </c>
      <c r="E31" s="413">
        <v>0</v>
      </c>
      <c r="F31" s="413">
        <v>1</v>
      </c>
      <c r="G31" s="414">
        <f t="shared" si="37"/>
        <v>1</v>
      </c>
      <c r="H31" s="413">
        <v>0</v>
      </c>
      <c r="I31" s="413">
        <v>0</v>
      </c>
      <c r="J31" s="413">
        <v>1</v>
      </c>
      <c r="K31" s="414">
        <f t="shared" si="38"/>
        <v>1</v>
      </c>
      <c r="L31" s="413">
        <v>0</v>
      </c>
      <c r="M31" s="413">
        <v>0</v>
      </c>
      <c r="N31" s="413">
        <v>1</v>
      </c>
      <c r="O31" s="414">
        <f t="shared" si="39"/>
        <v>1</v>
      </c>
      <c r="P31" s="413">
        <v>0</v>
      </c>
      <c r="Q31" s="413">
        <v>0</v>
      </c>
      <c r="R31" s="413">
        <v>1</v>
      </c>
      <c r="S31" s="414">
        <f t="shared" si="40"/>
        <v>1</v>
      </c>
      <c r="T31" s="414">
        <f t="shared" si="41"/>
        <v>4</v>
      </c>
      <c r="U31" s="737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44"/>
      <c r="AT31" s="44"/>
      <c r="AU31" s="44"/>
      <c r="AV31" s="44"/>
      <c r="AW31" s="44"/>
      <c r="AX31" s="44"/>
      <c r="AY31" s="44"/>
      <c r="AZ31" s="44"/>
      <c r="BA31" s="44"/>
      <c r="BB31" s="44"/>
      <c r="BC31" s="44"/>
      <c r="BD31" s="44"/>
      <c r="BE31" s="44"/>
      <c r="BF31" s="44"/>
      <c r="BG31" s="44"/>
    </row>
    <row r="32" spans="2:59">
      <c r="B32" s="1508" t="s">
        <v>522</v>
      </c>
      <c r="C32" s="475" t="s">
        <v>66</v>
      </c>
      <c r="D32" s="413">
        <v>0</v>
      </c>
      <c r="E32" s="413">
        <v>0</v>
      </c>
      <c r="F32" s="413">
        <v>0</v>
      </c>
      <c r="G32" s="414">
        <f t="shared" si="37"/>
        <v>0</v>
      </c>
      <c r="H32" s="413">
        <v>0</v>
      </c>
      <c r="I32" s="413">
        <v>0</v>
      </c>
      <c r="J32" s="413">
        <v>0</v>
      </c>
      <c r="K32" s="414">
        <f t="shared" si="38"/>
        <v>0</v>
      </c>
      <c r="L32" s="413">
        <v>0</v>
      </c>
      <c r="M32" s="413">
        <v>0</v>
      </c>
      <c r="N32" s="413">
        <v>0</v>
      </c>
      <c r="O32" s="414">
        <f t="shared" si="39"/>
        <v>0</v>
      </c>
      <c r="P32" s="413">
        <v>0</v>
      </c>
      <c r="Q32" s="413">
        <v>0</v>
      </c>
      <c r="R32" s="413">
        <v>0</v>
      </c>
      <c r="S32" s="414">
        <f t="shared" si="40"/>
        <v>0</v>
      </c>
      <c r="T32" s="414">
        <f t="shared" si="41"/>
        <v>0</v>
      </c>
      <c r="U32" s="737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  <c r="AH32" s="44"/>
      <c r="AI32" s="44"/>
      <c r="AJ32" s="44"/>
      <c r="AK32" s="44"/>
      <c r="AL32" s="44"/>
      <c r="AM32" s="44"/>
      <c r="AN32" s="44"/>
      <c r="AO32" s="44"/>
      <c r="AP32" s="44"/>
      <c r="AQ32" s="44"/>
      <c r="AR32" s="44"/>
      <c r="AS32" s="44"/>
      <c r="AT32" s="44"/>
      <c r="AU32" s="44"/>
      <c r="AV32" s="44"/>
      <c r="AW32" s="44"/>
      <c r="AX32" s="44"/>
      <c r="AY32" s="44"/>
      <c r="AZ32" s="44"/>
      <c r="BA32" s="44"/>
      <c r="BB32" s="44"/>
      <c r="BC32" s="44"/>
      <c r="BD32" s="44"/>
      <c r="BE32" s="44"/>
      <c r="BF32" s="44"/>
      <c r="BG32" s="44"/>
    </row>
    <row r="33" spans="2:59">
      <c r="B33" s="1508"/>
      <c r="C33" s="475" t="s">
        <v>65</v>
      </c>
      <c r="D33" s="413">
        <v>0</v>
      </c>
      <c r="E33" s="413">
        <v>0</v>
      </c>
      <c r="F33" s="413">
        <v>0</v>
      </c>
      <c r="G33" s="414">
        <f t="shared" si="37"/>
        <v>0</v>
      </c>
      <c r="H33" s="413">
        <v>0</v>
      </c>
      <c r="I33" s="413">
        <v>0</v>
      </c>
      <c r="J33" s="413">
        <v>1</v>
      </c>
      <c r="K33" s="414">
        <f t="shared" si="38"/>
        <v>1</v>
      </c>
      <c r="L33" s="413">
        <v>0</v>
      </c>
      <c r="M33" s="413">
        <v>0</v>
      </c>
      <c r="N33" s="413">
        <v>0</v>
      </c>
      <c r="O33" s="414">
        <f t="shared" si="39"/>
        <v>0</v>
      </c>
      <c r="P33" s="413">
        <v>0</v>
      </c>
      <c r="Q33" s="413">
        <v>0</v>
      </c>
      <c r="R33" s="413">
        <v>0</v>
      </c>
      <c r="S33" s="414">
        <f t="shared" si="40"/>
        <v>0</v>
      </c>
      <c r="T33" s="414">
        <f t="shared" si="41"/>
        <v>1</v>
      </c>
      <c r="U33" s="737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  <c r="AI33" s="44"/>
      <c r="AJ33" s="44"/>
      <c r="AK33" s="44"/>
      <c r="AL33" s="44"/>
      <c r="AM33" s="44"/>
      <c r="AN33" s="44"/>
      <c r="AO33" s="44"/>
      <c r="AP33" s="44"/>
      <c r="AQ33" s="44"/>
      <c r="AR33" s="44"/>
      <c r="AS33" s="44"/>
      <c r="AT33" s="44"/>
      <c r="AU33" s="44"/>
      <c r="AV33" s="44"/>
      <c r="AW33" s="44"/>
      <c r="AX33" s="44"/>
      <c r="AY33" s="44"/>
      <c r="AZ33" s="44"/>
      <c r="BA33" s="44"/>
      <c r="BB33" s="44"/>
      <c r="BC33" s="44"/>
      <c r="BD33" s="44"/>
      <c r="BE33" s="44"/>
      <c r="BF33" s="44"/>
      <c r="BG33" s="44"/>
    </row>
    <row r="34" spans="2:59">
      <c r="B34" s="1508"/>
      <c r="C34" s="475" t="s">
        <v>67</v>
      </c>
      <c r="D34" s="413">
        <v>0</v>
      </c>
      <c r="E34" s="413">
        <v>0</v>
      </c>
      <c r="F34" s="413">
        <v>1</v>
      </c>
      <c r="G34" s="414">
        <f t="shared" si="37"/>
        <v>1</v>
      </c>
      <c r="H34" s="413">
        <v>0</v>
      </c>
      <c r="I34" s="413">
        <v>0</v>
      </c>
      <c r="J34" s="413">
        <v>1</v>
      </c>
      <c r="K34" s="414">
        <f t="shared" si="38"/>
        <v>1</v>
      </c>
      <c r="L34" s="413">
        <v>0</v>
      </c>
      <c r="M34" s="413">
        <v>0</v>
      </c>
      <c r="N34" s="413">
        <v>1</v>
      </c>
      <c r="O34" s="414">
        <f t="shared" si="39"/>
        <v>1</v>
      </c>
      <c r="P34" s="413">
        <v>0</v>
      </c>
      <c r="Q34" s="413">
        <v>0</v>
      </c>
      <c r="R34" s="413">
        <v>1</v>
      </c>
      <c r="S34" s="414">
        <f t="shared" si="40"/>
        <v>1</v>
      </c>
      <c r="T34" s="414">
        <f t="shared" si="41"/>
        <v>4</v>
      </c>
      <c r="U34" s="737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  <c r="AJ34" s="44"/>
      <c r="AK34" s="44"/>
      <c r="AL34" s="44"/>
      <c r="AM34" s="44"/>
      <c r="AN34" s="44"/>
      <c r="AO34" s="44"/>
      <c r="AP34" s="44"/>
      <c r="AQ34" s="44"/>
      <c r="AR34" s="44"/>
      <c r="AS34" s="44"/>
      <c r="AT34" s="44"/>
      <c r="AU34" s="44"/>
      <c r="AV34" s="44"/>
      <c r="AW34" s="44"/>
      <c r="AX34" s="44"/>
      <c r="AY34" s="44"/>
      <c r="AZ34" s="44"/>
      <c r="BA34" s="44"/>
      <c r="BB34" s="44"/>
      <c r="BC34" s="44"/>
      <c r="BD34" s="44"/>
      <c r="BE34" s="44"/>
      <c r="BF34" s="44"/>
      <c r="BG34" s="44"/>
    </row>
    <row r="35" spans="2:59">
      <c r="B35" s="1508"/>
      <c r="C35" s="475" t="s">
        <v>64</v>
      </c>
      <c r="D35" s="413">
        <v>0</v>
      </c>
      <c r="E35" s="413">
        <v>0</v>
      </c>
      <c r="F35" s="413">
        <v>0</v>
      </c>
      <c r="G35" s="414">
        <f t="shared" si="37"/>
        <v>0</v>
      </c>
      <c r="H35" s="413">
        <v>0</v>
      </c>
      <c r="I35" s="413">
        <v>0</v>
      </c>
      <c r="J35" s="413">
        <v>1</v>
      </c>
      <c r="K35" s="414">
        <f t="shared" si="38"/>
        <v>1</v>
      </c>
      <c r="L35" s="413">
        <v>0</v>
      </c>
      <c r="M35" s="413">
        <v>0</v>
      </c>
      <c r="N35" s="413">
        <v>1</v>
      </c>
      <c r="O35" s="414">
        <f t="shared" si="39"/>
        <v>1</v>
      </c>
      <c r="P35" s="413">
        <v>0</v>
      </c>
      <c r="Q35" s="413">
        <v>0</v>
      </c>
      <c r="R35" s="413">
        <v>1</v>
      </c>
      <c r="S35" s="414">
        <f t="shared" si="40"/>
        <v>1</v>
      </c>
      <c r="T35" s="414">
        <f t="shared" si="41"/>
        <v>3</v>
      </c>
      <c r="U35" s="737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  <c r="AJ35" s="44"/>
      <c r="AK35" s="44"/>
      <c r="AL35" s="44"/>
      <c r="AM35" s="44"/>
      <c r="AN35" s="44"/>
      <c r="AO35" s="44"/>
      <c r="AP35" s="44"/>
      <c r="AQ35" s="44"/>
      <c r="AR35" s="44"/>
      <c r="AS35" s="44"/>
      <c r="AT35" s="44"/>
      <c r="AU35" s="44"/>
      <c r="AV35" s="44"/>
      <c r="AW35" s="44"/>
      <c r="AX35" s="44"/>
      <c r="AY35" s="44"/>
      <c r="AZ35" s="44"/>
      <c r="BA35" s="44"/>
      <c r="BB35" s="44"/>
      <c r="BC35" s="44"/>
      <c r="BD35" s="44"/>
      <c r="BE35" s="44"/>
      <c r="BF35" s="44"/>
      <c r="BG35" s="44"/>
    </row>
    <row r="36" spans="2:59">
      <c r="B36" s="1508"/>
      <c r="C36" s="475" t="s">
        <v>60</v>
      </c>
      <c r="D36" s="413">
        <v>0</v>
      </c>
      <c r="E36" s="413">
        <v>0</v>
      </c>
      <c r="F36" s="413">
        <v>1</v>
      </c>
      <c r="G36" s="414">
        <f t="shared" si="37"/>
        <v>1</v>
      </c>
      <c r="H36" s="413">
        <v>1</v>
      </c>
      <c r="I36" s="413">
        <v>1</v>
      </c>
      <c r="J36" s="413">
        <v>0</v>
      </c>
      <c r="K36" s="414">
        <f t="shared" si="38"/>
        <v>2</v>
      </c>
      <c r="L36" s="413">
        <v>1</v>
      </c>
      <c r="M36" s="413">
        <v>1</v>
      </c>
      <c r="N36" s="413">
        <v>0</v>
      </c>
      <c r="O36" s="414">
        <f t="shared" si="39"/>
        <v>2</v>
      </c>
      <c r="P36" s="413">
        <v>0</v>
      </c>
      <c r="Q36" s="413">
        <v>0</v>
      </c>
      <c r="R36" s="413">
        <v>1</v>
      </c>
      <c r="S36" s="414">
        <f t="shared" si="40"/>
        <v>1</v>
      </c>
      <c r="T36" s="414">
        <f t="shared" si="41"/>
        <v>6</v>
      </c>
      <c r="U36" s="737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  <c r="AH36" s="44"/>
      <c r="AI36" s="44"/>
      <c r="AJ36" s="44"/>
      <c r="AK36" s="44"/>
      <c r="AL36" s="44"/>
      <c r="AM36" s="44"/>
      <c r="AN36" s="44"/>
      <c r="AO36" s="44"/>
      <c r="AP36" s="44"/>
      <c r="AQ36" s="44"/>
      <c r="AR36" s="44"/>
      <c r="AS36" s="44"/>
      <c r="AT36" s="44"/>
      <c r="AU36" s="44"/>
      <c r="AV36" s="44"/>
      <c r="AW36" s="44"/>
      <c r="AX36" s="44"/>
      <c r="AY36" s="44"/>
      <c r="AZ36" s="44"/>
      <c r="BA36" s="44"/>
      <c r="BB36" s="44"/>
      <c r="BC36" s="44"/>
      <c r="BD36" s="44"/>
      <c r="BE36" s="44"/>
      <c r="BF36" s="44"/>
      <c r="BG36" s="44"/>
    </row>
    <row r="37" spans="2:59">
      <c r="B37" s="475" t="s">
        <v>523</v>
      </c>
      <c r="C37" s="475" t="s">
        <v>524</v>
      </c>
      <c r="D37" s="413">
        <v>25</v>
      </c>
      <c r="E37" s="413">
        <v>25</v>
      </c>
      <c r="F37" s="413">
        <v>26</v>
      </c>
      <c r="G37" s="414">
        <f t="shared" si="37"/>
        <v>76</v>
      </c>
      <c r="H37" s="413">
        <v>34</v>
      </c>
      <c r="I37" s="413">
        <v>34</v>
      </c>
      <c r="J37" s="413">
        <v>33</v>
      </c>
      <c r="K37" s="414">
        <f t="shared" si="38"/>
        <v>101</v>
      </c>
      <c r="L37" s="413">
        <v>28</v>
      </c>
      <c r="M37" s="413">
        <v>28</v>
      </c>
      <c r="N37" s="413">
        <v>28</v>
      </c>
      <c r="O37" s="414">
        <f t="shared" si="39"/>
        <v>84</v>
      </c>
      <c r="P37" s="413">
        <v>22</v>
      </c>
      <c r="Q37" s="413">
        <v>22</v>
      </c>
      <c r="R37" s="413">
        <v>3</v>
      </c>
      <c r="S37" s="414">
        <f t="shared" si="40"/>
        <v>47</v>
      </c>
      <c r="T37" s="414">
        <f t="shared" si="41"/>
        <v>308</v>
      </c>
      <c r="U37" s="737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  <c r="AH37" s="44"/>
      <c r="AI37" s="44"/>
      <c r="AJ37" s="44"/>
      <c r="AK37" s="44"/>
      <c r="AL37" s="44"/>
      <c r="AM37" s="44"/>
      <c r="AN37" s="44"/>
      <c r="AO37" s="44"/>
      <c r="AP37" s="44"/>
      <c r="AQ37" s="44"/>
      <c r="AR37" s="44"/>
      <c r="AS37" s="44"/>
      <c r="AT37" s="44"/>
      <c r="AU37" s="44"/>
      <c r="AV37" s="44"/>
      <c r="AW37" s="44"/>
      <c r="AX37" s="44"/>
      <c r="AY37" s="44"/>
      <c r="AZ37" s="44"/>
      <c r="BA37" s="44"/>
      <c r="BB37" s="44"/>
      <c r="BC37" s="44"/>
      <c r="BD37" s="44"/>
      <c r="BE37" s="44"/>
      <c r="BF37" s="44"/>
      <c r="BG37" s="44"/>
    </row>
    <row r="38" spans="2:59" ht="42.75">
      <c r="B38" s="475"/>
      <c r="C38" s="476" t="s">
        <v>525</v>
      </c>
      <c r="D38" s="413">
        <f t="shared" ref="D38:T38" si="42">SUM(D24:D36)</f>
        <v>4</v>
      </c>
      <c r="E38" s="413">
        <f t="shared" si="42"/>
        <v>4</v>
      </c>
      <c r="F38" s="413">
        <f t="shared" si="42"/>
        <v>9</v>
      </c>
      <c r="G38" s="414">
        <f t="shared" si="42"/>
        <v>17</v>
      </c>
      <c r="H38" s="413">
        <f t="shared" si="42"/>
        <v>10</v>
      </c>
      <c r="I38" s="413">
        <f t="shared" si="42"/>
        <v>10</v>
      </c>
      <c r="J38" s="413">
        <f t="shared" si="42"/>
        <v>14</v>
      </c>
      <c r="K38" s="414">
        <f t="shared" si="42"/>
        <v>34</v>
      </c>
      <c r="L38" s="413">
        <f t="shared" si="42"/>
        <v>9</v>
      </c>
      <c r="M38" s="413">
        <f t="shared" si="42"/>
        <v>9</v>
      </c>
      <c r="N38" s="413">
        <f t="shared" si="42"/>
        <v>10</v>
      </c>
      <c r="O38" s="414">
        <f t="shared" si="42"/>
        <v>28</v>
      </c>
      <c r="P38" s="413">
        <f t="shared" si="42"/>
        <v>5</v>
      </c>
      <c r="Q38" s="413">
        <f t="shared" si="42"/>
        <v>5</v>
      </c>
      <c r="R38" s="413">
        <f t="shared" si="42"/>
        <v>12</v>
      </c>
      <c r="S38" s="414">
        <f t="shared" si="42"/>
        <v>22</v>
      </c>
      <c r="T38" s="414">
        <f t="shared" si="42"/>
        <v>101</v>
      </c>
      <c r="U38" s="737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4"/>
      <c r="AL38" s="44"/>
      <c r="AM38" s="44"/>
      <c r="AN38" s="44"/>
      <c r="AO38" s="44"/>
      <c r="AP38" s="44"/>
      <c r="AQ38" s="44"/>
      <c r="AR38" s="44"/>
      <c r="AS38" s="44"/>
      <c r="AT38" s="44"/>
      <c r="AU38" s="44"/>
      <c r="AV38" s="44"/>
      <c r="AW38" s="44"/>
      <c r="AX38" s="44"/>
      <c r="AY38" s="44"/>
      <c r="AZ38" s="44"/>
      <c r="BA38" s="44"/>
      <c r="BB38" s="44"/>
      <c r="BC38" s="44"/>
      <c r="BD38" s="44"/>
      <c r="BE38" s="44"/>
      <c r="BF38" s="44"/>
      <c r="BG38" s="44"/>
    </row>
    <row r="39" spans="2:59" ht="42.75">
      <c r="B39" s="475"/>
      <c r="C39" s="476" t="s">
        <v>526</v>
      </c>
      <c r="D39" s="413">
        <f t="shared" ref="D39:T39" si="43">D31</f>
        <v>0</v>
      </c>
      <c r="E39" s="413">
        <f t="shared" si="43"/>
        <v>0</v>
      </c>
      <c r="F39" s="413">
        <f t="shared" si="43"/>
        <v>1</v>
      </c>
      <c r="G39" s="414">
        <f t="shared" si="43"/>
        <v>1</v>
      </c>
      <c r="H39" s="413">
        <f t="shared" si="43"/>
        <v>0</v>
      </c>
      <c r="I39" s="413">
        <f t="shared" si="43"/>
        <v>0</v>
      </c>
      <c r="J39" s="413">
        <f t="shared" si="43"/>
        <v>1</v>
      </c>
      <c r="K39" s="414">
        <f t="shared" si="43"/>
        <v>1</v>
      </c>
      <c r="L39" s="413">
        <f t="shared" si="43"/>
        <v>0</v>
      </c>
      <c r="M39" s="413">
        <f t="shared" si="43"/>
        <v>0</v>
      </c>
      <c r="N39" s="413">
        <f t="shared" si="43"/>
        <v>1</v>
      </c>
      <c r="O39" s="414">
        <f t="shared" si="43"/>
        <v>1</v>
      </c>
      <c r="P39" s="413">
        <f t="shared" si="43"/>
        <v>0</v>
      </c>
      <c r="Q39" s="413">
        <f t="shared" si="43"/>
        <v>0</v>
      </c>
      <c r="R39" s="413">
        <f t="shared" si="43"/>
        <v>1</v>
      </c>
      <c r="S39" s="414">
        <f t="shared" si="43"/>
        <v>1</v>
      </c>
      <c r="T39" s="414">
        <f t="shared" si="43"/>
        <v>4</v>
      </c>
      <c r="U39" s="737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  <c r="AH39" s="44"/>
      <c r="AI39" s="44"/>
      <c r="AJ39" s="44"/>
      <c r="AK39" s="44"/>
      <c r="AL39" s="44"/>
      <c r="AM39" s="44"/>
      <c r="AN39" s="44"/>
      <c r="AO39" s="44"/>
      <c r="AP39" s="44"/>
      <c r="AQ39" s="44"/>
      <c r="AR39" s="44"/>
      <c r="AS39" s="44"/>
      <c r="AT39" s="44"/>
      <c r="AU39" s="44"/>
      <c r="AV39" s="44"/>
      <c r="AW39" s="44"/>
      <c r="AX39" s="44"/>
      <c r="AY39" s="44"/>
      <c r="AZ39" s="44"/>
      <c r="BA39" s="44"/>
      <c r="BB39" s="44"/>
      <c r="BC39" s="44"/>
      <c r="BD39" s="44"/>
      <c r="BE39" s="44"/>
      <c r="BF39" s="44"/>
      <c r="BG39" s="44"/>
    </row>
    <row r="40" spans="2:59" s="44" customFormat="1">
      <c r="B40" s="448"/>
      <c r="C40" s="477"/>
      <c r="D40" s="477"/>
      <c r="E40" s="477"/>
      <c r="F40" s="477"/>
      <c r="G40" s="456"/>
      <c r="H40" s="456"/>
      <c r="I40" s="456"/>
      <c r="J40" s="456"/>
      <c r="K40" s="456"/>
      <c r="L40" s="456"/>
      <c r="M40" s="456"/>
      <c r="N40" s="456"/>
      <c r="O40" s="456"/>
      <c r="P40" s="456"/>
      <c r="Q40" s="456"/>
      <c r="R40" s="456"/>
      <c r="S40" s="456"/>
      <c r="T40" s="456"/>
    </row>
    <row r="41" spans="2:59" ht="17.25">
      <c r="B41" s="144"/>
      <c r="C41" s="1507" t="s">
        <v>528</v>
      </c>
      <c r="D41" s="1507"/>
      <c r="E41" s="1507"/>
      <c r="F41" s="1507"/>
      <c r="G41" s="1507"/>
      <c r="H41" s="1507"/>
      <c r="I41" s="1507"/>
      <c r="J41" s="1507"/>
      <c r="K41" s="1507"/>
      <c r="L41" s="1507"/>
      <c r="M41" s="1507"/>
      <c r="N41" s="1507"/>
      <c r="O41" s="1507"/>
      <c r="P41" s="1507"/>
      <c r="Q41" s="1507"/>
      <c r="R41" s="1507"/>
      <c r="S41" s="1507"/>
      <c r="T41" s="1507"/>
      <c r="U41" s="737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44"/>
      <c r="AT41" s="44"/>
      <c r="AU41" s="44"/>
      <c r="AV41" s="44"/>
      <c r="AW41" s="44"/>
      <c r="AX41" s="44"/>
      <c r="AY41" s="44"/>
      <c r="AZ41" s="44"/>
      <c r="BA41" s="44"/>
      <c r="BB41" s="44"/>
      <c r="BC41" s="44"/>
      <c r="BD41" s="44"/>
      <c r="BE41" s="44"/>
      <c r="BF41" s="44"/>
      <c r="BG41" s="44"/>
    </row>
    <row r="42" spans="2:59">
      <c r="B42" s="1508" t="s">
        <v>515</v>
      </c>
      <c r="C42" s="475" t="s">
        <v>57</v>
      </c>
      <c r="D42" s="413">
        <v>9</v>
      </c>
      <c r="E42" s="413">
        <v>9</v>
      </c>
      <c r="F42" s="413">
        <v>10</v>
      </c>
      <c r="G42" s="414">
        <f t="shared" ref="G42:G55" si="44">SUM(D42:F42)</f>
        <v>28</v>
      </c>
      <c r="H42" s="413">
        <v>32</v>
      </c>
      <c r="I42" s="413">
        <v>32</v>
      </c>
      <c r="J42" s="413">
        <v>33</v>
      </c>
      <c r="K42" s="414">
        <f t="shared" ref="K42:K55" si="45">SUM(H42:J42)</f>
        <v>97</v>
      </c>
      <c r="L42" s="413">
        <v>28</v>
      </c>
      <c r="M42" s="413">
        <v>28</v>
      </c>
      <c r="N42" s="413">
        <v>27</v>
      </c>
      <c r="O42" s="414">
        <f t="shared" ref="O42:O55" si="46">SUM(L42:N42)</f>
        <v>83</v>
      </c>
      <c r="P42" s="413">
        <v>23</v>
      </c>
      <c r="Q42" s="413">
        <v>23</v>
      </c>
      <c r="R42" s="413">
        <v>23</v>
      </c>
      <c r="S42" s="414">
        <f t="shared" ref="S42:S55" si="47">SUM(P42:R42)</f>
        <v>69</v>
      </c>
      <c r="T42" s="414">
        <f t="shared" ref="T42:T55" si="48">S42+O42+K42+G42</f>
        <v>277</v>
      </c>
      <c r="U42" s="737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  <c r="AH42" s="44"/>
      <c r="AI42" s="44"/>
      <c r="AJ42" s="44"/>
      <c r="AK42" s="44"/>
      <c r="AL42" s="44"/>
      <c r="AM42" s="44"/>
      <c r="AN42" s="44"/>
      <c r="AO42" s="44"/>
      <c r="AP42" s="44"/>
      <c r="AQ42" s="44"/>
      <c r="AR42" s="44"/>
      <c r="AS42" s="44"/>
      <c r="AT42" s="44"/>
      <c r="AU42" s="44"/>
      <c r="AV42" s="44"/>
      <c r="AW42" s="44"/>
      <c r="AX42" s="44"/>
      <c r="AY42" s="44"/>
      <c r="AZ42" s="44"/>
      <c r="BA42" s="44"/>
      <c r="BB42" s="44"/>
      <c r="BC42" s="44"/>
      <c r="BD42" s="44"/>
      <c r="BE42" s="44"/>
      <c r="BF42" s="44"/>
      <c r="BG42" s="44"/>
    </row>
    <row r="43" spans="2:59">
      <c r="B43" s="1508"/>
      <c r="C43" s="475" t="s">
        <v>56</v>
      </c>
      <c r="D43" s="413">
        <v>10</v>
      </c>
      <c r="E43" s="413">
        <v>10</v>
      </c>
      <c r="F43" s="413">
        <v>9</v>
      </c>
      <c r="G43" s="414">
        <f t="shared" si="44"/>
        <v>29</v>
      </c>
      <c r="H43" s="413">
        <v>33</v>
      </c>
      <c r="I43" s="413">
        <v>33</v>
      </c>
      <c r="J43" s="413">
        <v>34</v>
      </c>
      <c r="K43" s="414">
        <f t="shared" si="45"/>
        <v>100</v>
      </c>
      <c r="L43" s="413">
        <v>29</v>
      </c>
      <c r="M43" s="413">
        <v>29</v>
      </c>
      <c r="N43" s="413">
        <v>29</v>
      </c>
      <c r="O43" s="414">
        <f t="shared" si="46"/>
        <v>87</v>
      </c>
      <c r="P43" s="413">
        <v>24</v>
      </c>
      <c r="Q43" s="413">
        <v>24</v>
      </c>
      <c r="R43" s="413">
        <v>24</v>
      </c>
      <c r="S43" s="414">
        <f t="shared" si="47"/>
        <v>72</v>
      </c>
      <c r="T43" s="414">
        <f t="shared" si="48"/>
        <v>288</v>
      </c>
      <c r="U43" s="737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  <c r="AH43" s="44"/>
      <c r="AI43" s="44"/>
      <c r="AJ43" s="44"/>
      <c r="AK43" s="44"/>
      <c r="AL43" s="44"/>
      <c r="AM43" s="44"/>
      <c r="AN43" s="44"/>
      <c r="AO43" s="44"/>
      <c r="AP43" s="44"/>
      <c r="AQ43" s="44"/>
      <c r="AR43" s="44"/>
      <c r="AS43" s="44"/>
      <c r="AT43" s="44"/>
      <c r="AU43" s="44"/>
      <c r="AV43" s="44"/>
      <c r="AW43" s="44"/>
      <c r="AX43" s="44"/>
      <c r="AY43" s="44"/>
      <c r="AZ43" s="44"/>
      <c r="BA43" s="44"/>
      <c r="BB43" s="44"/>
      <c r="BC43" s="44"/>
      <c r="BD43" s="44"/>
      <c r="BE43" s="44"/>
      <c r="BF43" s="44"/>
      <c r="BG43" s="44"/>
    </row>
    <row r="44" spans="2:59">
      <c r="B44" s="1508"/>
      <c r="C44" s="475" t="s">
        <v>58</v>
      </c>
      <c r="D44" s="413">
        <v>3</v>
      </c>
      <c r="E44" s="413">
        <v>3</v>
      </c>
      <c r="F44" s="413">
        <v>2</v>
      </c>
      <c r="G44" s="414">
        <f t="shared" si="44"/>
        <v>8</v>
      </c>
      <c r="H44" s="413">
        <v>9</v>
      </c>
      <c r="I44" s="413">
        <v>9</v>
      </c>
      <c r="J44" s="413">
        <v>8</v>
      </c>
      <c r="K44" s="414">
        <f t="shared" si="45"/>
        <v>26</v>
      </c>
      <c r="L44" s="413">
        <v>8</v>
      </c>
      <c r="M44" s="413">
        <v>8</v>
      </c>
      <c r="N44" s="413">
        <v>8</v>
      </c>
      <c r="O44" s="414">
        <f t="shared" si="46"/>
        <v>24</v>
      </c>
      <c r="P44" s="413">
        <v>7</v>
      </c>
      <c r="Q44" s="413">
        <v>7</v>
      </c>
      <c r="R44" s="413">
        <v>7</v>
      </c>
      <c r="S44" s="414">
        <f t="shared" si="47"/>
        <v>21</v>
      </c>
      <c r="T44" s="414">
        <f t="shared" si="48"/>
        <v>79</v>
      </c>
      <c r="U44" s="737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  <c r="AH44" s="44"/>
      <c r="AI44" s="44"/>
      <c r="AJ44" s="44"/>
      <c r="AK44" s="44"/>
      <c r="AL44" s="44"/>
      <c r="AM44" s="44"/>
      <c r="AN44" s="44"/>
      <c r="AO44" s="44"/>
      <c r="AP44" s="44"/>
      <c r="AQ44" s="44"/>
      <c r="AR44" s="44"/>
      <c r="AS44" s="44"/>
      <c r="AT44" s="44"/>
      <c r="AU44" s="44"/>
      <c r="AV44" s="44"/>
      <c r="AW44" s="44"/>
      <c r="AX44" s="44"/>
      <c r="AY44" s="44"/>
      <c r="AZ44" s="44"/>
      <c r="BA44" s="44"/>
      <c r="BB44" s="44"/>
      <c r="BC44" s="44"/>
      <c r="BD44" s="44"/>
      <c r="BE44" s="44"/>
      <c r="BF44" s="44"/>
      <c r="BG44" s="44"/>
    </row>
    <row r="45" spans="2:59">
      <c r="B45" s="1508"/>
      <c r="C45" s="475" t="s">
        <v>59</v>
      </c>
      <c r="D45" s="413">
        <v>2</v>
      </c>
      <c r="E45" s="413">
        <v>2</v>
      </c>
      <c r="F45" s="413">
        <v>1</v>
      </c>
      <c r="G45" s="414">
        <f t="shared" si="44"/>
        <v>5</v>
      </c>
      <c r="H45" s="413">
        <v>6</v>
      </c>
      <c r="I45" s="413">
        <v>6</v>
      </c>
      <c r="J45" s="413">
        <v>6</v>
      </c>
      <c r="K45" s="414">
        <f t="shared" si="45"/>
        <v>18</v>
      </c>
      <c r="L45" s="413">
        <v>5</v>
      </c>
      <c r="M45" s="413">
        <v>5</v>
      </c>
      <c r="N45" s="413">
        <v>5</v>
      </c>
      <c r="O45" s="414">
        <f t="shared" si="46"/>
        <v>15</v>
      </c>
      <c r="P45" s="413">
        <v>4</v>
      </c>
      <c r="Q45" s="413">
        <v>4</v>
      </c>
      <c r="R45" s="413">
        <v>4</v>
      </c>
      <c r="S45" s="414">
        <f t="shared" si="47"/>
        <v>12</v>
      </c>
      <c r="T45" s="414">
        <f t="shared" si="48"/>
        <v>50</v>
      </c>
      <c r="U45" s="737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  <c r="AH45" s="44"/>
      <c r="AI45" s="44"/>
      <c r="AJ45" s="44"/>
      <c r="AK45" s="44"/>
      <c r="AL45" s="44"/>
      <c r="AM45" s="44"/>
      <c r="AN45" s="44"/>
      <c r="AO45" s="44"/>
      <c r="AP45" s="44"/>
      <c r="AQ45" s="44"/>
      <c r="AR45" s="44"/>
      <c r="AS45" s="44"/>
      <c r="AT45" s="44"/>
      <c r="AU45" s="44"/>
      <c r="AV45" s="44"/>
      <c r="AW45" s="44"/>
      <c r="AX45" s="44"/>
      <c r="AY45" s="44"/>
      <c r="AZ45" s="44"/>
      <c r="BA45" s="44"/>
      <c r="BB45" s="44"/>
      <c r="BC45" s="44"/>
      <c r="BD45" s="44"/>
      <c r="BE45" s="44"/>
      <c r="BF45" s="44"/>
      <c r="BG45" s="44"/>
    </row>
    <row r="46" spans="2:59">
      <c r="B46" s="1508" t="s">
        <v>520</v>
      </c>
      <c r="C46" s="475" t="s">
        <v>63</v>
      </c>
      <c r="D46" s="413">
        <v>1</v>
      </c>
      <c r="E46" s="413">
        <v>1</v>
      </c>
      <c r="F46" s="413">
        <v>2</v>
      </c>
      <c r="G46" s="414">
        <f t="shared" si="44"/>
        <v>4</v>
      </c>
      <c r="H46" s="413">
        <v>4</v>
      </c>
      <c r="I46" s="413">
        <v>4</v>
      </c>
      <c r="J46" s="413">
        <v>5</v>
      </c>
      <c r="K46" s="414">
        <f t="shared" si="45"/>
        <v>13</v>
      </c>
      <c r="L46" s="413">
        <v>4</v>
      </c>
      <c r="M46" s="413">
        <v>4</v>
      </c>
      <c r="N46" s="413">
        <v>3</v>
      </c>
      <c r="O46" s="414">
        <f t="shared" si="46"/>
        <v>11</v>
      </c>
      <c r="P46" s="413">
        <v>3</v>
      </c>
      <c r="Q46" s="413">
        <v>3</v>
      </c>
      <c r="R46" s="413">
        <v>3</v>
      </c>
      <c r="S46" s="414">
        <f t="shared" si="47"/>
        <v>9</v>
      </c>
      <c r="T46" s="414">
        <f t="shared" si="48"/>
        <v>37</v>
      </c>
      <c r="U46" s="737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  <c r="AJ46" s="44"/>
      <c r="AK46" s="44"/>
      <c r="AL46" s="44"/>
      <c r="AM46" s="44"/>
      <c r="AN46" s="44"/>
      <c r="AO46" s="44"/>
      <c r="AP46" s="44"/>
      <c r="AQ46" s="44"/>
      <c r="AR46" s="44"/>
      <c r="AS46" s="44"/>
      <c r="AT46" s="44"/>
      <c r="AU46" s="44"/>
      <c r="AV46" s="44"/>
      <c r="AW46" s="44"/>
      <c r="AX46" s="44"/>
      <c r="AY46" s="44"/>
      <c r="AZ46" s="44"/>
      <c r="BA46" s="44"/>
      <c r="BB46" s="44"/>
      <c r="BC46" s="44"/>
      <c r="BD46" s="44"/>
      <c r="BE46" s="44"/>
      <c r="BF46" s="44"/>
      <c r="BG46" s="44"/>
    </row>
    <row r="47" spans="2:59">
      <c r="B47" s="1508"/>
      <c r="C47" s="475" t="s">
        <v>55</v>
      </c>
      <c r="D47" s="413">
        <v>14</v>
      </c>
      <c r="E47" s="413">
        <v>14</v>
      </c>
      <c r="F47" s="413">
        <v>14</v>
      </c>
      <c r="G47" s="414">
        <f t="shared" si="44"/>
        <v>42</v>
      </c>
      <c r="H47" s="413">
        <v>48</v>
      </c>
      <c r="I47" s="413">
        <v>48</v>
      </c>
      <c r="J47" s="413">
        <v>49</v>
      </c>
      <c r="K47" s="414">
        <f t="shared" si="45"/>
        <v>145</v>
      </c>
      <c r="L47" s="413">
        <v>42</v>
      </c>
      <c r="M47" s="413">
        <v>42</v>
      </c>
      <c r="N47" s="413">
        <v>41</v>
      </c>
      <c r="O47" s="414">
        <f t="shared" si="46"/>
        <v>125</v>
      </c>
      <c r="P47" s="413">
        <v>35</v>
      </c>
      <c r="Q47" s="413">
        <v>35</v>
      </c>
      <c r="R47" s="413">
        <v>35</v>
      </c>
      <c r="S47" s="414">
        <f t="shared" si="47"/>
        <v>105</v>
      </c>
      <c r="T47" s="414">
        <f t="shared" si="48"/>
        <v>417</v>
      </c>
      <c r="U47" s="737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  <c r="AH47" s="44"/>
      <c r="AI47" s="44"/>
      <c r="AJ47" s="44"/>
      <c r="AK47" s="44"/>
      <c r="AL47" s="44"/>
      <c r="AM47" s="44"/>
      <c r="AN47" s="44"/>
      <c r="AO47" s="44"/>
      <c r="AP47" s="44"/>
      <c r="AQ47" s="44"/>
      <c r="AR47" s="44"/>
      <c r="AS47" s="44"/>
      <c r="AT47" s="44"/>
      <c r="AU47" s="44"/>
      <c r="AV47" s="44"/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</row>
    <row r="48" spans="2:59">
      <c r="B48" s="1508"/>
      <c r="C48" s="475" t="s">
        <v>61</v>
      </c>
      <c r="D48" s="413">
        <v>1</v>
      </c>
      <c r="E48" s="413">
        <v>1</v>
      </c>
      <c r="F48" s="413">
        <v>2</v>
      </c>
      <c r="G48" s="414">
        <f t="shared" si="44"/>
        <v>4</v>
      </c>
      <c r="H48" s="413">
        <v>4</v>
      </c>
      <c r="I48" s="413">
        <v>4</v>
      </c>
      <c r="J48" s="413">
        <v>5</v>
      </c>
      <c r="K48" s="414">
        <f t="shared" si="45"/>
        <v>13</v>
      </c>
      <c r="L48" s="413">
        <v>4</v>
      </c>
      <c r="M48" s="413">
        <v>4</v>
      </c>
      <c r="N48" s="413">
        <v>3</v>
      </c>
      <c r="O48" s="414">
        <f t="shared" si="46"/>
        <v>11</v>
      </c>
      <c r="P48" s="413">
        <v>3</v>
      </c>
      <c r="Q48" s="413">
        <v>3</v>
      </c>
      <c r="R48" s="413">
        <v>3</v>
      </c>
      <c r="S48" s="414">
        <f t="shared" si="47"/>
        <v>9</v>
      </c>
      <c r="T48" s="414">
        <f t="shared" si="48"/>
        <v>37</v>
      </c>
      <c r="U48" s="737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44"/>
      <c r="AK48" s="44"/>
      <c r="AL48" s="44"/>
      <c r="AM48" s="44"/>
      <c r="AN48" s="44"/>
      <c r="AO48" s="44"/>
      <c r="AP48" s="44"/>
      <c r="AQ48" s="44"/>
      <c r="AR48" s="44"/>
      <c r="AS48" s="44"/>
      <c r="AT48" s="44"/>
      <c r="AU48" s="44"/>
      <c r="AV48" s="44"/>
      <c r="AW48" s="44"/>
      <c r="AX48" s="44"/>
      <c r="AY48" s="44"/>
      <c r="AZ48" s="44"/>
      <c r="BA48" s="44"/>
      <c r="BB48" s="44"/>
      <c r="BC48" s="44"/>
      <c r="BD48" s="44"/>
      <c r="BE48" s="44"/>
      <c r="BF48" s="44"/>
      <c r="BG48" s="44"/>
    </row>
    <row r="49" spans="2:59">
      <c r="B49" s="1508"/>
      <c r="C49" s="475" t="s">
        <v>62</v>
      </c>
      <c r="D49" s="413">
        <v>2</v>
      </c>
      <c r="E49" s="413">
        <v>2</v>
      </c>
      <c r="F49" s="413">
        <v>1</v>
      </c>
      <c r="G49" s="414">
        <f t="shared" si="44"/>
        <v>5</v>
      </c>
      <c r="H49" s="413">
        <v>6</v>
      </c>
      <c r="I49" s="413">
        <v>6</v>
      </c>
      <c r="J49" s="413">
        <v>5</v>
      </c>
      <c r="K49" s="414">
        <f t="shared" si="45"/>
        <v>17</v>
      </c>
      <c r="L49" s="413">
        <v>5</v>
      </c>
      <c r="M49" s="413">
        <v>5</v>
      </c>
      <c r="N49" s="413">
        <v>4</v>
      </c>
      <c r="O49" s="414">
        <f t="shared" si="46"/>
        <v>14</v>
      </c>
      <c r="P49" s="413">
        <v>4</v>
      </c>
      <c r="Q49" s="413">
        <v>4</v>
      </c>
      <c r="R49" s="413">
        <v>4</v>
      </c>
      <c r="S49" s="414">
        <f t="shared" si="47"/>
        <v>12</v>
      </c>
      <c r="T49" s="414">
        <f t="shared" si="48"/>
        <v>48</v>
      </c>
      <c r="U49" s="737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  <c r="AH49" s="44"/>
      <c r="AI49" s="44"/>
      <c r="AJ49" s="44"/>
      <c r="AK49" s="44"/>
      <c r="AL49" s="44"/>
      <c r="AM49" s="44"/>
      <c r="AN49" s="44"/>
      <c r="AO49" s="44"/>
      <c r="AP49" s="44"/>
      <c r="AQ49" s="44"/>
      <c r="AR49" s="44"/>
      <c r="AS49" s="44"/>
      <c r="AT49" s="44"/>
      <c r="AU49" s="44"/>
      <c r="AV49" s="44"/>
      <c r="AW49" s="44"/>
      <c r="AX49" s="44"/>
      <c r="AY49" s="44"/>
      <c r="AZ49" s="44"/>
      <c r="BA49" s="44"/>
      <c r="BB49" s="44"/>
      <c r="BC49" s="44"/>
      <c r="BD49" s="44"/>
      <c r="BE49" s="44"/>
      <c r="BF49" s="44"/>
      <c r="BG49" s="44"/>
    </row>
    <row r="50" spans="2:59">
      <c r="B50" s="1508" t="s">
        <v>522</v>
      </c>
      <c r="C50" s="475" t="s">
        <v>66</v>
      </c>
      <c r="D50" s="413">
        <v>1</v>
      </c>
      <c r="E50" s="413">
        <v>1</v>
      </c>
      <c r="F50" s="413">
        <v>1</v>
      </c>
      <c r="G50" s="414">
        <f t="shared" si="44"/>
        <v>3</v>
      </c>
      <c r="H50" s="413">
        <v>3</v>
      </c>
      <c r="I50" s="413">
        <v>3</v>
      </c>
      <c r="J50" s="413">
        <v>3</v>
      </c>
      <c r="K50" s="414">
        <f t="shared" si="45"/>
        <v>9</v>
      </c>
      <c r="L50" s="413">
        <v>3</v>
      </c>
      <c r="M50" s="413">
        <v>3</v>
      </c>
      <c r="N50" s="413">
        <v>2</v>
      </c>
      <c r="O50" s="414">
        <f t="shared" si="46"/>
        <v>8</v>
      </c>
      <c r="P50" s="413">
        <v>2</v>
      </c>
      <c r="Q50" s="413">
        <v>2</v>
      </c>
      <c r="R50" s="413">
        <v>2</v>
      </c>
      <c r="S50" s="414">
        <f t="shared" si="47"/>
        <v>6</v>
      </c>
      <c r="T50" s="414">
        <f t="shared" si="48"/>
        <v>26</v>
      </c>
      <c r="U50" s="737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  <c r="AH50" s="44"/>
      <c r="AI50" s="44"/>
      <c r="AJ50" s="44"/>
      <c r="AK50" s="44"/>
      <c r="AL50" s="44"/>
      <c r="AM50" s="44"/>
      <c r="AN50" s="44"/>
      <c r="AO50" s="44"/>
      <c r="AP50" s="44"/>
      <c r="AQ50" s="44"/>
      <c r="AR50" s="44"/>
      <c r="AS50" s="44"/>
      <c r="AT50" s="44"/>
      <c r="AU50" s="44"/>
      <c r="AV50" s="44"/>
      <c r="AW50" s="44"/>
      <c r="AX50" s="44"/>
      <c r="AY50" s="44"/>
      <c r="AZ50" s="44"/>
      <c r="BA50" s="44"/>
      <c r="BB50" s="44"/>
      <c r="BC50" s="44"/>
      <c r="BD50" s="44"/>
      <c r="BE50" s="44"/>
      <c r="BF50" s="44"/>
      <c r="BG50" s="44"/>
    </row>
    <row r="51" spans="2:59">
      <c r="B51" s="1508"/>
      <c r="C51" s="475" t="s">
        <v>65</v>
      </c>
      <c r="D51" s="413">
        <v>1</v>
      </c>
      <c r="E51" s="413">
        <v>1</v>
      </c>
      <c r="F51" s="413">
        <v>1</v>
      </c>
      <c r="G51" s="414">
        <f t="shared" si="44"/>
        <v>3</v>
      </c>
      <c r="H51" s="413">
        <v>3</v>
      </c>
      <c r="I51" s="413">
        <v>3</v>
      </c>
      <c r="J51" s="413">
        <v>3</v>
      </c>
      <c r="K51" s="414">
        <f t="shared" si="45"/>
        <v>9</v>
      </c>
      <c r="L51" s="413">
        <v>3</v>
      </c>
      <c r="M51" s="413">
        <v>3</v>
      </c>
      <c r="N51" s="413">
        <v>2</v>
      </c>
      <c r="O51" s="414">
        <f t="shared" si="46"/>
        <v>8</v>
      </c>
      <c r="P51" s="413">
        <v>2</v>
      </c>
      <c r="Q51" s="413">
        <v>2</v>
      </c>
      <c r="R51" s="413">
        <v>2</v>
      </c>
      <c r="S51" s="414">
        <f t="shared" si="47"/>
        <v>6</v>
      </c>
      <c r="T51" s="414">
        <f t="shared" si="48"/>
        <v>26</v>
      </c>
      <c r="U51" s="737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44"/>
      <c r="AN51" s="44"/>
      <c r="AO51" s="44"/>
      <c r="AP51" s="44"/>
      <c r="AQ51" s="44"/>
      <c r="AR51" s="44"/>
      <c r="AS51" s="44"/>
      <c r="AT51" s="44"/>
      <c r="AU51" s="44"/>
      <c r="AV51" s="44"/>
      <c r="AW51" s="44"/>
      <c r="AX51" s="44"/>
      <c r="AY51" s="44"/>
      <c r="AZ51" s="44"/>
      <c r="BA51" s="44"/>
      <c r="BB51" s="44"/>
      <c r="BC51" s="44"/>
      <c r="BD51" s="44"/>
      <c r="BE51" s="44"/>
      <c r="BF51" s="44"/>
      <c r="BG51" s="44"/>
    </row>
    <row r="52" spans="2:59">
      <c r="B52" s="1508"/>
      <c r="C52" s="475" t="s">
        <v>67</v>
      </c>
      <c r="D52" s="413">
        <v>0</v>
      </c>
      <c r="E52" s="413">
        <v>0</v>
      </c>
      <c r="F52" s="413">
        <v>0</v>
      </c>
      <c r="G52" s="414">
        <f t="shared" si="44"/>
        <v>0</v>
      </c>
      <c r="H52" s="413">
        <v>0</v>
      </c>
      <c r="I52" s="413">
        <v>0</v>
      </c>
      <c r="J52" s="413">
        <v>0</v>
      </c>
      <c r="K52" s="414">
        <f t="shared" si="45"/>
        <v>0</v>
      </c>
      <c r="L52" s="413">
        <v>0</v>
      </c>
      <c r="M52" s="413">
        <v>0</v>
      </c>
      <c r="N52" s="413">
        <v>0</v>
      </c>
      <c r="O52" s="414">
        <f t="shared" si="46"/>
        <v>0</v>
      </c>
      <c r="P52" s="413">
        <v>0</v>
      </c>
      <c r="Q52" s="413">
        <v>0</v>
      </c>
      <c r="R52" s="413">
        <v>0</v>
      </c>
      <c r="S52" s="414">
        <f t="shared" si="47"/>
        <v>0</v>
      </c>
      <c r="T52" s="414">
        <f t="shared" si="48"/>
        <v>0</v>
      </c>
      <c r="U52" s="737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44"/>
      <c r="AK52" s="44"/>
      <c r="AL52" s="44"/>
      <c r="AM52" s="44"/>
      <c r="AN52" s="44"/>
      <c r="AO52" s="44"/>
      <c r="AP52" s="44"/>
      <c r="AQ52" s="44"/>
      <c r="AR52" s="44"/>
      <c r="AS52" s="44"/>
      <c r="AT52" s="44"/>
      <c r="AU52" s="44"/>
      <c r="AV52" s="44"/>
      <c r="AW52" s="44"/>
      <c r="AX52" s="44"/>
      <c r="AY52" s="44"/>
      <c r="AZ52" s="44"/>
      <c r="BA52" s="44"/>
      <c r="BB52" s="44"/>
      <c r="BC52" s="44"/>
      <c r="BD52" s="44"/>
      <c r="BE52" s="44"/>
      <c r="BF52" s="44"/>
      <c r="BG52" s="44"/>
    </row>
    <row r="53" spans="2:59">
      <c r="B53" s="1508"/>
      <c r="C53" s="475" t="s">
        <v>64</v>
      </c>
      <c r="D53" s="413">
        <v>1</v>
      </c>
      <c r="E53" s="413">
        <v>1</v>
      </c>
      <c r="F53" s="413">
        <v>0</v>
      </c>
      <c r="G53" s="414">
        <f t="shared" si="44"/>
        <v>2</v>
      </c>
      <c r="H53" s="413">
        <v>3</v>
      </c>
      <c r="I53" s="413">
        <v>3</v>
      </c>
      <c r="J53" s="413">
        <v>2</v>
      </c>
      <c r="K53" s="414">
        <f t="shared" si="45"/>
        <v>8</v>
      </c>
      <c r="L53" s="413">
        <v>2</v>
      </c>
      <c r="M53" s="413">
        <v>2</v>
      </c>
      <c r="N53" s="413">
        <v>3</v>
      </c>
      <c r="O53" s="414">
        <f t="shared" si="46"/>
        <v>7</v>
      </c>
      <c r="P53" s="413">
        <v>2</v>
      </c>
      <c r="Q53" s="413">
        <v>2</v>
      </c>
      <c r="R53" s="413">
        <v>2</v>
      </c>
      <c r="S53" s="414">
        <f t="shared" si="47"/>
        <v>6</v>
      </c>
      <c r="T53" s="414">
        <f t="shared" si="48"/>
        <v>23</v>
      </c>
      <c r="U53" s="737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44"/>
      <c r="AJ53" s="44"/>
      <c r="AK53" s="44"/>
      <c r="AL53" s="44"/>
      <c r="AM53" s="44"/>
      <c r="AN53" s="44"/>
      <c r="AO53" s="44"/>
      <c r="AP53" s="44"/>
      <c r="AQ53" s="44"/>
      <c r="AR53" s="44"/>
      <c r="AS53" s="44"/>
      <c r="AT53" s="44"/>
      <c r="AU53" s="44"/>
      <c r="AV53" s="44"/>
      <c r="AW53" s="44"/>
      <c r="AX53" s="44"/>
      <c r="AY53" s="44"/>
      <c r="AZ53" s="44"/>
      <c r="BA53" s="44"/>
      <c r="BB53" s="44"/>
      <c r="BC53" s="44"/>
      <c r="BD53" s="44"/>
      <c r="BE53" s="44"/>
      <c r="BF53" s="44"/>
      <c r="BG53" s="44"/>
    </row>
    <row r="54" spans="2:59">
      <c r="B54" s="1508"/>
      <c r="C54" s="475" t="s">
        <v>60</v>
      </c>
      <c r="D54" s="413">
        <v>2</v>
      </c>
      <c r="E54" s="413">
        <v>2</v>
      </c>
      <c r="F54" s="413">
        <v>1</v>
      </c>
      <c r="G54" s="414">
        <f t="shared" si="44"/>
        <v>5</v>
      </c>
      <c r="H54" s="413">
        <v>5</v>
      </c>
      <c r="I54" s="413">
        <v>5</v>
      </c>
      <c r="J54" s="413">
        <v>6</v>
      </c>
      <c r="K54" s="414">
        <f t="shared" si="45"/>
        <v>16</v>
      </c>
      <c r="L54" s="413">
        <v>5</v>
      </c>
      <c r="M54" s="413">
        <v>5</v>
      </c>
      <c r="N54" s="413">
        <v>4</v>
      </c>
      <c r="O54" s="414">
        <f t="shared" si="46"/>
        <v>14</v>
      </c>
      <c r="P54" s="413">
        <v>4</v>
      </c>
      <c r="Q54" s="413">
        <v>4</v>
      </c>
      <c r="R54" s="413">
        <v>4</v>
      </c>
      <c r="S54" s="414">
        <f t="shared" si="47"/>
        <v>12</v>
      </c>
      <c r="T54" s="414">
        <f t="shared" si="48"/>
        <v>47</v>
      </c>
      <c r="U54" s="737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44"/>
      <c r="AK54" s="44"/>
      <c r="AL54" s="44"/>
      <c r="AM54" s="44"/>
      <c r="AN54" s="44"/>
      <c r="AO54" s="44"/>
      <c r="AP54" s="44"/>
      <c r="AQ54" s="44"/>
      <c r="AR54" s="44"/>
      <c r="AS54" s="44"/>
      <c r="AT54" s="44"/>
      <c r="AU54" s="44"/>
      <c r="AV54" s="44"/>
      <c r="AW54" s="44"/>
      <c r="AX54" s="44"/>
      <c r="AY54" s="44"/>
      <c r="AZ54" s="44"/>
      <c r="BA54" s="44"/>
      <c r="BB54" s="44"/>
      <c r="BC54" s="44"/>
      <c r="BD54" s="44"/>
      <c r="BE54" s="44"/>
      <c r="BF54" s="44"/>
      <c r="BG54" s="44"/>
    </row>
    <row r="55" spans="2:59">
      <c r="B55" s="475" t="s">
        <v>523</v>
      </c>
      <c r="C55" s="475" t="s">
        <v>524</v>
      </c>
      <c r="D55" s="413">
        <v>43</v>
      </c>
      <c r="E55" s="413">
        <v>43</v>
      </c>
      <c r="F55" s="413">
        <v>43</v>
      </c>
      <c r="G55" s="414">
        <f t="shared" si="44"/>
        <v>129</v>
      </c>
      <c r="H55" s="413">
        <v>150</v>
      </c>
      <c r="I55" s="413">
        <v>150</v>
      </c>
      <c r="J55" s="413">
        <v>150</v>
      </c>
      <c r="K55" s="414">
        <f t="shared" si="45"/>
        <v>450</v>
      </c>
      <c r="L55" s="413">
        <v>129</v>
      </c>
      <c r="M55" s="413">
        <v>129</v>
      </c>
      <c r="N55" s="413">
        <v>129</v>
      </c>
      <c r="O55" s="414">
        <f t="shared" si="46"/>
        <v>387</v>
      </c>
      <c r="P55" s="413">
        <v>107</v>
      </c>
      <c r="Q55" s="413">
        <v>107</v>
      </c>
      <c r="R55" s="413">
        <v>107</v>
      </c>
      <c r="S55" s="414">
        <f t="shared" si="47"/>
        <v>321</v>
      </c>
      <c r="T55" s="414">
        <f t="shared" si="48"/>
        <v>1287</v>
      </c>
      <c r="U55" s="737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  <c r="AJ55" s="44"/>
      <c r="AK55" s="44"/>
      <c r="AL55" s="44"/>
      <c r="AM55" s="44"/>
      <c r="AN55" s="44"/>
      <c r="AO55" s="44"/>
      <c r="AP55" s="44"/>
      <c r="AQ55" s="44"/>
      <c r="AR55" s="44"/>
      <c r="AS55" s="44"/>
      <c r="AT55" s="44"/>
      <c r="AU55" s="44"/>
      <c r="AV55" s="44"/>
      <c r="AW55" s="44"/>
      <c r="AX55" s="44"/>
      <c r="AY55" s="44"/>
      <c r="AZ55" s="44"/>
      <c r="BA55" s="44"/>
      <c r="BB55" s="44"/>
      <c r="BC55" s="44"/>
      <c r="BD55" s="44"/>
      <c r="BE55" s="44"/>
      <c r="BF55" s="44"/>
      <c r="BG55" s="44"/>
    </row>
    <row r="56" spans="2:59" ht="42.75">
      <c r="B56" s="475"/>
      <c r="C56" s="476" t="s">
        <v>525</v>
      </c>
      <c r="D56" s="413">
        <f t="shared" ref="D56:T56" si="49">SUM(D42:D54)</f>
        <v>47</v>
      </c>
      <c r="E56" s="413">
        <f t="shared" si="49"/>
        <v>47</v>
      </c>
      <c r="F56" s="413">
        <f t="shared" si="49"/>
        <v>44</v>
      </c>
      <c r="G56" s="414">
        <f t="shared" si="49"/>
        <v>138</v>
      </c>
      <c r="H56" s="413">
        <f t="shared" si="49"/>
        <v>156</v>
      </c>
      <c r="I56" s="413">
        <f t="shared" si="49"/>
        <v>156</v>
      </c>
      <c r="J56" s="413">
        <f t="shared" si="49"/>
        <v>159</v>
      </c>
      <c r="K56" s="414">
        <f t="shared" si="49"/>
        <v>471</v>
      </c>
      <c r="L56" s="413">
        <f t="shared" si="49"/>
        <v>138</v>
      </c>
      <c r="M56" s="413">
        <f t="shared" si="49"/>
        <v>138</v>
      </c>
      <c r="N56" s="413">
        <f t="shared" si="49"/>
        <v>131</v>
      </c>
      <c r="O56" s="414">
        <f t="shared" si="49"/>
        <v>407</v>
      </c>
      <c r="P56" s="413">
        <f t="shared" si="49"/>
        <v>113</v>
      </c>
      <c r="Q56" s="413">
        <f t="shared" si="49"/>
        <v>113</v>
      </c>
      <c r="R56" s="413">
        <f t="shared" si="49"/>
        <v>113</v>
      </c>
      <c r="S56" s="414">
        <f t="shared" si="49"/>
        <v>339</v>
      </c>
      <c r="T56" s="414">
        <f t="shared" si="49"/>
        <v>1355</v>
      </c>
      <c r="U56" s="737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/>
      <c r="AI56" s="44"/>
      <c r="AJ56" s="44"/>
      <c r="AK56" s="44"/>
      <c r="AL56" s="44"/>
      <c r="AM56" s="44"/>
      <c r="AN56" s="44"/>
      <c r="AO56" s="44"/>
      <c r="AP56" s="44"/>
      <c r="AQ56" s="44"/>
      <c r="AR56" s="44"/>
      <c r="AS56" s="44"/>
      <c r="AT56" s="44"/>
      <c r="AU56" s="44"/>
      <c r="AV56" s="44"/>
      <c r="AW56" s="44"/>
      <c r="AX56" s="44"/>
      <c r="AY56" s="44"/>
      <c r="AZ56" s="44"/>
      <c r="BA56" s="44"/>
      <c r="BB56" s="44"/>
      <c r="BC56" s="44"/>
      <c r="BD56" s="44"/>
      <c r="BE56" s="44"/>
      <c r="BF56" s="44"/>
      <c r="BG56" s="44"/>
    </row>
    <row r="57" spans="2:59" ht="42.75">
      <c r="B57" s="475"/>
      <c r="C57" s="476" t="s">
        <v>526</v>
      </c>
      <c r="D57" s="413">
        <f t="shared" ref="D57:T57" si="50">D49</f>
        <v>2</v>
      </c>
      <c r="E57" s="413">
        <f t="shared" si="50"/>
        <v>2</v>
      </c>
      <c r="F57" s="413">
        <f t="shared" si="50"/>
        <v>1</v>
      </c>
      <c r="G57" s="414">
        <f t="shared" si="50"/>
        <v>5</v>
      </c>
      <c r="H57" s="413">
        <f t="shared" si="50"/>
        <v>6</v>
      </c>
      <c r="I57" s="413">
        <f t="shared" si="50"/>
        <v>6</v>
      </c>
      <c r="J57" s="413">
        <f t="shared" si="50"/>
        <v>5</v>
      </c>
      <c r="K57" s="414">
        <f t="shared" si="50"/>
        <v>17</v>
      </c>
      <c r="L57" s="413">
        <f t="shared" si="50"/>
        <v>5</v>
      </c>
      <c r="M57" s="413">
        <f t="shared" si="50"/>
        <v>5</v>
      </c>
      <c r="N57" s="413">
        <f t="shared" si="50"/>
        <v>4</v>
      </c>
      <c r="O57" s="414">
        <f t="shared" si="50"/>
        <v>14</v>
      </c>
      <c r="P57" s="413">
        <f t="shared" si="50"/>
        <v>4</v>
      </c>
      <c r="Q57" s="413">
        <f t="shared" si="50"/>
        <v>4</v>
      </c>
      <c r="R57" s="413">
        <f t="shared" si="50"/>
        <v>4</v>
      </c>
      <c r="S57" s="414">
        <f t="shared" si="50"/>
        <v>12</v>
      </c>
      <c r="T57" s="414">
        <f t="shared" si="50"/>
        <v>48</v>
      </c>
      <c r="U57" s="737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44"/>
      <c r="AN57" s="44"/>
      <c r="AO57" s="44"/>
      <c r="AP57" s="44"/>
      <c r="AQ57" s="44"/>
      <c r="AR57" s="44"/>
      <c r="AS57" s="44"/>
      <c r="AT57" s="44"/>
      <c r="AU57" s="44"/>
      <c r="AV57" s="44"/>
      <c r="AW57" s="44"/>
      <c r="AX57" s="44"/>
      <c r="AY57" s="44"/>
      <c r="AZ57" s="44"/>
      <c r="BA57" s="44"/>
      <c r="BB57" s="44"/>
      <c r="BC57" s="44"/>
      <c r="BD57" s="44"/>
      <c r="BE57" s="44"/>
      <c r="BF57" s="44"/>
      <c r="BG57" s="44"/>
    </row>
    <row r="58" spans="2:59" s="44" customFormat="1">
      <c r="B58" s="448"/>
      <c r="C58" s="448"/>
      <c r="D58" s="448"/>
      <c r="E58" s="448"/>
      <c r="F58" s="448"/>
      <c r="G58" s="456"/>
      <c r="H58" s="456"/>
      <c r="I58" s="456"/>
      <c r="J58" s="456"/>
      <c r="K58" s="456"/>
      <c r="L58" s="456"/>
      <c r="M58" s="456"/>
      <c r="N58" s="456"/>
      <c r="O58" s="456"/>
      <c r="P58" s="456"/>
      <c r="Q58" s="456"/>
      <c r="R58" s="456"/>
      <c r="S58" s="456"/>
      <c r="T58" s="456"/>
    </row>
    <row r="59" spans="2:59" ht="17.25">
      <c r="B59" s="144"/>
      <c r="C59" s="1507" t="s">
        <v>529</v>
      </c>
      <c r="D59" s="1507"/>
      <c r="E59" s="1507"/>
      <c r="F59" s="1507"/>
      <c r="G59" s="1507"/>
      <c r="H59" s="1507"/>
      <c r="I59" s="1507"/>
      <c r="J59" s="1507"/>
      <c r="K59" s="1507"/>
      <c r="L59" s="1507"/>
      <c r="M59" s="1507"/>
      <c r="N59" s="1507"/>
      <c r="O59" s="1507"/>
      <c r="P59" s="1507"/>
      <c r="Q59" s="1507"/>
      <c r="R59" s="1507"/>
      <c r="S59" s="1507"/>
      <c r="T59" s="1507"/>
      <c r="U59" s="737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  <c r="AK59" s="44"/>
      <c r="AL59" s="44"/>
      <c r="AM59" s="44"/>
      <c r="AN59" s="44"/>
      <c r="AO59" s="44"/>
      <c r="AP59" s="44"/>
      <c r="AQ59" s="44"/>
      <c r="AR59" s="44"/>
      <c r="AS59" s="44"/>
      <c r="AT59" s="44"/>
      <c r="AU59" s="44"/>
      <c r="AV59" s="44"/>
      <c r="AW59" s="44"/>
      <c r="AX59" s="44"/>
      <c r="AY59" s="44"/>
      <c r="AZ59" s="44"/>
      <c r="BA59" s="44"/>
      <c r="BB59" s="44"/>
      <c r="BC59" s="44"/>
      <c r="BD59" s="44"/>
      <c r="BE59" s="44"/>
      <c r="BF59" s="44"/>
      <c r="BG59" s="44"/>
    </row>
    <row r="60" spans="2:59">
      <c r="B60" s="1508" t="s">
        <v>515</v>
      </c>
      <c r="C60" s="475" t="s">
        <v>57</v>
      </c>
      <c r="D60" s="413">
        <v>2</v>
      </c>
      <c r="E60" s="413">
        <v>2</v>
      </c>
      <c r="F60" s="413">
        <v>2</v>
      </c>
      <c r="G60" s="414">
        <f t="shared" ref="G60:G73" si="51">SUM(D60:F60)</f>
        <v>6</v>
      </c>
      <c r="H60" s="413">
        <v>6</v>
      </c>
      <c r="I60" s="413">
        <v>6</v>
      </c>
      <c r="J60" s="413">
        <v>7</v>
      </c>
      <c r="K60" s="414">
        <f t="shared" ref="K60:K73" si="52">SUM(H60:J60)</f>
        <v>19</v>
      </c>
      <c r="L60" s="413">
        <v>6</v>
      </c>
      <c r="M60" s="413">
        <v>6</v>
      </c>
      <c r="N60" s="413">
        <v>5</v>
      </c>
      <c r="O60" s="414">
        <f t="shared" ref="O60:O73" si="53">SUM(L60:N60)</f>
        <v>17</v>
      </c>
      <c r="P60" s="413">
        <v>5</v>
      </c>
      <c r="Q60" s="413">
        <v>5</v>
      </c>
      <c r="R60" s="413">
        <v>4</v>
      </c>
      <c r="S60" s="414">
        <f t="shared" ref="S60:S73" si="54">SUM(P60:R60)</f>
        <v>14</v>
      </c>
      <c r="T60" s="414">
        <f t="shared" ref="T60:T73" si="55">S60+O60+K60+G60</f>
        <v>56</v>
      </c>
      <c r="U60" s="737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44"/>
      <c r="AN60" s="44"/>
      <c r="AO60" s="44"/>
      <c r="AP60" s="44"/>
      <c r="AQ60" s="44"/>
      <c r="AR60" s="44"/>
      <c r="AS60" s="44"/>
      <c r="AT60" s="44"/>
      <c r="AU60" s="44"/>
      <c r="AV60" s="44"/>
      <c r="AW60" s="44"/>
      <c r="AX60" s="44"/>
      <c r="AY60" s="44"/>
      <c r="AZ60" s="44"/>
      <c r="BA60" s="44"/>
      <c r="BB60" s="44"/>
      <c r="BC60" s="44"/>
      <c r="BD60" s="44"/>
      <c r="BE60" s="44"/>
      <c r="BF60" s="44"/>
      <c r="BG60" s="44"/>
    </row>
    <row r="61" spans="2:59">
      <c r="B61" s="1508"/>
      <c r="C61" s="475" t="s">
        <v>56</v>
      </c>
      <c r="D61" s="413">
        <v>2</v>
      </c>
      <c r="E61" s="413">
        <v>2</v>
      </c>
      <c r="F61" s="413">
        <v>2</v>
      </c>
      <c r="G61" s="414">
        <f t="shared" si="51"/>
        <v>6</v>
      </c>
      <c r="H61" s="413">
        <v>7</v>
      </c>
      <c r="I61" s="413">
        <v>7</v>
      </c>
      <c r="J61" s="413">
        <v>8</v>
      </c>
      <c r="K61" s="414">
        <f t="shared" si="52"/>
        <v>22</v>
      </c>
      <c r="L61" s="413">
        <v>6</v>
      </c>
      <c r="M61" s="413">
        <v>6</v>
      </c>
      <c r="N61" s="413">
        <v>5</v>
      </c>
      <c r="O61" s="414">
        <f t="shared" si="53"/>
        <v>17</v>
      </c>
      <c r="P61" s="413">
        <v>5</v>
      </c>
      <c r="Q61" s="413">
        <v>5</v>
      </c>
      <c r="R61" s="413">
        <v>4</v>
      </c>
      <c r="S61" s="414">
        <f t="shared" si="54"/>
        <v>14</v>
      </c>
      <c r="T61" s="414">
        <f t="shared" si="55"/>
        <v>59</v>
      </c>
      <c r="U61" s="737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  <c r="AH61" s="44"/>
      <c r="AI61" s="44"/>
      <c r="AJ61" s="44"/>
      <c r="AK61" s="44"/>
      <c r="AL61" s="44"/>
      <c r="AM61" s="44"/>
      <c r="AN61" s="44"/>
      <c r="AO61" s="44"/>
      <c r="AP61" s="44"/>
      <c r="AQ61" s="44"/>
      <c r="AR61" s="44"/>
      <c r="AS61" s="44"/>
      <c r="AT61" s="44"/>
      <c r="AU61" s="44"/>
      <c r="AV61" s="44"/>
      <c r="AW61" s="44"/>
      <c r="AX61" s="44"/>
      <c r="AY61" s="44"/>
      <c r="AZ61" s="44"/>
      <c r="BA61" s="44"/>
      <c r="BB61" s="44"/>
      <c r="BC61" s="44"/>
      <c r="BD61" s="44"/>
      <c r="BE61" s="44"/>
      <c r="BF61" s="44"/>
      <c r="BG61" s="44"/>
    </row>
    <row r="62" spans="2:59">
      <c r="B62" s="1508"/>
      <c r="C62" s="475" t="s">
        <v>58</v>
      </c>
      <c r="D62" s="413">
        <v>1</v>
      </c>
      <c r="E62" s="413">
        <v>1</v>
      </c>
      <c r="F62" s="413">
        <v>0</v>
      </c>
      <c r="G62" s="414">
        <f t="shared" si="51"/>
        <v>2</v>
      </c>
      <c r="H62" s="413">
        <v>2</v>
      </c>
      <c r="I62" s="413">
        <v>2</v>
      </c>
      <c r="J62" s="413">
        <v>2</v>
      </c>
      <c r="K62" s="414">
        <f t="shared" si="52"/>
        <v>6</v>
      </c>
      <c r="L62" s="413">
        <v>2</v>
      </c>
      <c r="M62" s="413">
        <v>2</v>
      </c>
      <c r="N62" s="413">
        <v>1</v>
      </c>
      <c r="O62" s="414">
        <f t="shared" si="53"/>
        <v>5</v>
      </c>
      <c r="P62" s="413">
        <v>1</v>
      </c>
      <c r="Q62" s="413">
        <v>1</v>
      </c>
      <c r="R62" s="413">
        <v>2</v>
      </c>
      <c r="S62" s="414">
        <f t="shared" si="54"/>
        <v>4</v>
      </c>
      <c r="T62" s="414">
        <f t="shared" si="55"/>
        <v>17</v>
      </c>
      <c r="U62" s="737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44"/>
      <c r="AN62" s="44"/>
      <c r="AO62" s="44"/>
      <c r="AP62" s="44"/>
      <c r="AQ62" s="44"/>
      <c r="AR62" s="44"/>
      <c r="AS62" s="44"/>
      <c r="AT62" s="44"/>
      <c r="AU62" s="44"/>
      <c r="AV62" s="44"/>
      <c r="AW62" s="44"/>
      <c r="AX62" s="44"/>
      <c r="AY62" s="44"/>
      <c r="AZ62" s="44"/>
      <c r="BA62" s="44"/>
      <c r="BB62" s="44"/>
      <c r="BC62" s="44"/>
      <c r="BD62" s="44"/>
      <c r="BE62" s="44"/>
      <c r="BF62" s="44"/>
      <c r="BG62" s="44"/>
    </row>
    <row r="63" spans="2:59">
      <c r="B63" s="1508"/>
      <c r="C63" s="475" t="s">
        <v>59</v>
      </c>
      <c r="D63" s="413">
        <v>0</v>
      </c>
      <c r="E63" s="413">
        <v>0</v>
      </c>
      <c r="F63" s="413">
        <v>1</v>
      </c>
      <c r="G63" s="414">
        <f t="shared" si="51"/>
        <v>1</v>
      </c>
      <c r="H63" s="413">
        <v>1</v>
      </c>
      <c r="I63" s="413">
        <v>1</v>
      </c>
      <c r="J63" s="413">
        <v>2</v>
      </c>
      <c r="K63" s="414">
        <f t="shared" si="52"/>
        <v>4</v>
      </c>
      <c r="L63" s="413">
        <v>1</v>
      </c>
      <c r="M63" s="413">
        <v>1</v>
      </c>
      <c r="N63" s="413">
        <v>1</v>
      </c>
      <c r="O63" s="414">
        <f t="shared" si="53"/>
        <v>3</v>
      </c>
      <c r="P63" s="413">
        <v>1</v>
      </c>
      <c r="Q63" s="413">
        <v>1</v>
      </c>
      <c r="R63" s="413">
        <v>1</v>
      </c>
      <c r="S63" s="414">
        <f t="shared" si="54"/>
        <v>3</v>
      </c>
      <c r="T63" s="414">
        <f t="shared" si="55"/>
        <v>11</v>
      </c>
      <c r="U63" s="737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  <c r="AH63" s="44"/>
      <c r="AI63" s="44"/>
      <c r="AJ63" s="44"/>
      <c r="AK63" s="44"/>
      <c r="AL63" s="44"/>
      <c r="AM63" s="44"/>
      <c r="AN63" s="44"/>
      <c r="AO63" s="44"/>
      <c r="AP63" s="44"/>
      <c r="AQ63" s="44"/>
      <c r="AR63" s="44"/>
      <c r="AS63" s="44"/>
      <c r="AT63" s="44"/>
      <c r="AU63" s="44"/>
      <c r="AV63" s="44"/>
      <c r="AW63" s="44"/>
      <c r="AX63" s="44"/>
      <c r="AY63" s="44"/>
      <c r="AZ63" s="44"/>
      <c r="BA63" s="44"/>
      <c r="BB63" s="44"/>
      <c r="BC63" s="44"/>
      <c r="BD63" s="44"/>
      <c r="BE63" s="44"/>
      <c r="BF63" s="44"/>
      <c r="BG63" s="44"/>
    </row>
    <row r="64" spans="2:59">
      <c r="B64" s="1508" t="s">
        <v>520</v>
      </c>
      <c r="C64" s="475" t="s">
        <v>63</v>
      </c>
      <c r="D64" s="413">
        <v>0</v>
      </c>
      <c r="E64" s="413">
        <v>0</v>
      </c>
      <c r="F64" s="413">
        <v>1</v>
      </c>
      <c r="G64" s="414">
        <f t="shared" si="51"/>
        <v>1</v>
      </c>
      <c r="H64" s="413">
        <v>1</v>
      </c>
      <c r="I64" s="413">
        <v>1</v>
      </c>
      <c r="J64" s="413">
        <v>1</v>
      </c>
      <c r="K64" s="414">
        <f t="shared" si="52"/>
        <v>3</v>
      </c>
      <c r="L64" s="413">
        <v>1</v>
      </c>
      <c r="M64" s="413">
        <v>1</v>
      </c>
      <c r="N64" s="413">
        <v>0</v>
      </c>
      <c r="O64" s="414">
        <f t="shared" si="53"/>
        <v>2</v>
      </c>
      <c r="P64" s="413">
        <v>1</v>
      </c>
      <c r="Q64" s="413">
        <v>1</v>
      </c>
      <c r="R64" s="413">
        <v>0</v>
      </c>
      <c r="S64" s="414">
        <f t="shared" si="54"/>
        <v>2</v>
      </c>
      <c r="T64" s="414">
        <f t="shared" si="55"/>
        <v>8</v>
      </c>
      <c r="U64" s="737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44"/>
      <c r="AV64" s="44"/>
      <c r="AW64" s="44"/>
      <c r="AX64" s="44"/>
      <c r="AY64" s="44"/>
      <c r="AZ64" s="44"/>
      <c r="BA64" s="44"/>
      <c r="BB64" s="44"/>
      <c r="BC64" s="44"/>
      <c r="BD64" s="44"/>
      <c r="BE64" s="44"/>
      <c r="BF64" s="44"/>
      <c r="BG64" s="44"/>
    </row>
    <row r="65" spans="2:59">
      <c r="B65" s="1508"/>
      <c r="C65" s="475" t="s">
        <v>55</v>
      </c>
      <c r="D65" s="413">
        <v>3</v>
      </c>
      <c r="E65" s="413">
        <v>3</v>
      </c>
      <c r="F65" s="413">
        <v>2</v>
      </c>
      <c r="G65" s="414">
        <f t="shared" si="51"/>
        <v>8</v>
      </c>
      <c r="H65" s="413">
        <v>10</v>
      </c>
      <c r="I65" s="413">
        <v>10</v>
      </c>
      <c r="J65" s="413">
        <v>9</v>
      </c>
      <c r="K65" s="414">
        <f t="shared" si="52"/>
        <v>29</v>
      </c>
      <c r="L65" s="413">
        <v>8</v>
      </c>
      <c r="M65" s="413">
        <v>8</v>
      </c>
      <c r="N65" s="413">
        <v>7</v>
      </c>
      <c r="O65" s="414">
        <f t="shared" si="53"/>
        <v>23</v>
      </c>
      <c r="P65" s="413">
        <v>7</v>
      </c>
      <c r="Q65" s="413">
        <v>7</v>
      </c>
      <c r="R65" s="413">
        <v>7</v>
      </c>
      <c r="S65" s="414">
        <f t="shared" si="54"/>
        <v>21</v>
      </c>
      <c r="T65" s="414">
        <f t="shared" si="55"/>
        <v>81</v>
      </c>
      <c r="U65" s="737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/>
      <c r="AI65" s="44"/>
      <c r="AJ65" s="44"/>
      <c r="AK65" s="44"/>
      <c r="AL65" s="44"/>
      <c r="AM65" s="44"/>
      <c r="AN65" s="44"/>
      <c r="AO65" s="44"/>
      <c r="AP65" s="44"/>
      <c r="AQ65" s="44"/>
      <c r="AR65" s="44"/>
      <c r="AS65" s="44"/>
      <c r="AT65" s="44"/>
      <c r="AU65" s="44"/>
      <c r="AV65" s="44"/>
      <c r="AW65" s="44"/>
      <c r="AX65" s="44"/>
      <c r="AY65" s="44"/>
      <c r="AZ65" s="44"/>
      <c r="BA65" s="44"/>
      <c r="BB65" s="44"/>
      <c r="BC65" s="44"/>
      <c r="BD65" s="44"/>
      <c r="BE65" s="44"/>
      <c r="BF65" s="44"/>
      <c r="BG65" s="44"/>
    </row>
    <row r="66" spans="2:59">
      <c r="B66" s="1508"/>
      <c r="C66" s="475" t="s">
        <v>61</v>
      </c>
      <c r="D66" s="413">
        <v>0</v>
      </c>
      <c r="E66" s="413">
        <v>0</v>
      </c>
      <c r="F66" s="413">
        <v>1</v>
      </c>
      <c r="G66" s="414">
        <f t="shared" si="51"/>
        <v>1</v>
      </c>
      <c r="H66" s="413">
        <v>1</v>
      </c>
      <c r="I66" s="413">
        <v>1</v>
      </c>
      <c r="J66" s="413">
        <v>1</v>
      </c>
      <c r="K66" s="414">
        <f t="shared" si="52"/>
        <v>3</v>
      </c>
      <c r="L66" s="413">
        <v>1</v>
      </c>
      <c r="M66" s="413">
        <v>1</v>
      </c>
      <c r="N66" s="413">
        <v>0</v>
      </c>
      <c r="O66" s="414">
        <f t="shared" si="53"/>
        <v>2</v>
      </c>
      <c r="P66" s="413">
        <v>1</v>
      </c>
      <c r="Q66" s="413">
        <v>1</v>
      </c>
      <c r="R66" s="413">
        <v>0</v>
      </c>
      <c r="S66" s="414">
        <f t="shared" si="54"/>
        <v>2</v>
      </c>
      <c r="T66" s="414">
        <f t="shared" si="55"/>
        <v>8</v>
      </c>
      <c r="U66" s="737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  <c r="AK66" s="44"/>
      <c r="AL66" s="44"/>
      <c r="AM66" s="44"/>
      <c r="AN66" s="44"/>
      <c r="AO66" s="44"/>
      <c r="AP66" s="44"/>
      <c r="AQ66" s="44"/>
      <c r="AR66" s="44"/>
      <c r="AS66" s="44"/>
      <c r="AT66" s="44"/>
      <c r="AU66" s="44"/>
      <c r="AV66" s="44"/>
      <c r="AW66" s="44"/>
      <c r="AX66" s="44"/>
      <c r="AY66" s="44"/>
      <c r="AZ66" s="44"/>
      <c r="BA66" s="44"/>
      <c r="BB66" s="44"/>
      <c r="BC66" s="44"/>
      <c r="BD66" s="44"/>
      <c r="BE66" s="44"/>
      <c r="BF66" s="44"/>
      <c r="BG66" s="44"/>
    </row>
    <row r="67" spans="2:59">
      <c r="B67" s="1508"/>
      <c r="C67" s="475" t="s">
        <v>62</v>
      </c>
      <c r="D67" s="413">
        <v>0</v>
      </c>
      <c r="E67" s="413">
        <v>0</v>
      </c>
      <c r="F67" s="413">
        <v>1</v>
      </c>
      <c r="G67" s="414">
        <f t="shared" si="51"/>
        <v>1</v>
      </c>
      <c r="H67" s="413">
        <v>1</v>
      </c>
      <c r="I67" s="413">
        <v>1</v>
      </c>
      <c r="J67" s="413">
        <v>1</v>
      </c>
      <c r="K67" s="414">
        <f t="shared" si="52"/>
        <v>3</v>
      </c>
      <c r="L67" s="413">
        <v>1</v>
      </c>
      <c r="M67" s="413">
        <v>1</v>
      </c>
      <c r="N67" s="413">
        <v>1</v>
      </c>
      <c r="O67" s="414">
        <f t="shared" si="53"/>
        <v>3</v>
      </c>
      <c r="P67" s="413">
        <v>1</v>
      </c>
      <c r="Q67" s="413">
        <v>1</v>
      </c>
      <c r="R67" s="413">
        <v>0</v>
      </c>
      <c r="S67" s="414">
        <f t="shared" si="54"/>
        <v>2</v>
      </c>
      <c r="T67" s="414">
        <f t="shared" si="55"/>
        <v>9</v>
      </c>
      <c r="U67" s="737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  <c r="AH67" s="44"/>
      <c r="AI67" s="44"/>
      <c r="AJ67" s="44"/>
      <c r="AK67" s="44"/>
      <c r="AL67" s="44"/>
      <c r="AM67" s="44"/>
      <c r="AN67" s="44"/>
      <c r="AO67" s="44"/>
      <c r="AP67" s="44"/>
      <c r="AQ67" s="44"/>
      <c r="AR67" s="44"/>
      <c r="AS67" s="44"/>
      <c r="AT67" s="44"/>
      <c r="AU67" s="44"/>
      <c r="AV67" s="44"/>
      <c r="AW67" s="44"/>
      <c r="AX67" s="44"/>
      <c r="AY67" s="44"/>
      <c r="AZ67" s="44"/>
      <c r="BA67" s="44"/>
      <c r="BB67" s="44"/>
      <c r="BC67" s="44"/>
      <c r="BD67" s="44"/>
      <c r="BE67" s="44"/>
      <c r="BF67" s="44"/>
      <c r="BG67" s="44"/>
    </row>
    <row r="68" spans="2:59">
      <c r="B68" s="1508" t="s">
        <v>522</v>
      </c>
      <c r="C68" s="475" t="s">
        <v>66</v>
      </c>
      <c r="D68" s="413">
        <v>0</v>
      </c>
      <c r="E68" s="413">
        <v>0</v>
      </c>
      <c r="F68" s="413">
        <v>1</v>
      </c>
      <c r="G68" s="414">
        <f t="shared" si="51"/>
        <v>1</v>
      </c>
      <c r="H68" s="413">
        <v>1</v>
      </c>
      <c r="I68" s="413">
        <v>1</v>
      </c>
      <c r="J68" s="413">
        <v>0</v>
      </c>
      <c r="K68" s="414">
        <f t="shared" si="52"/>
        <v>2</v>
      </c>
      <c r="L68" s="413">
        <v>1</v>
      </c>
      <c r="M68" s="413">
        <v>1</v>
      </c>
      <c r="N68" s="413">
        <v>0</v>
      </c>
      <c r="O68" s="414">
        <f t="shared" si="53"/>
        <v>2</v>
      </c>
      <c r="P68" s="413">
        <v>0</v>
      </c>
      <c r="Q68" s="413">
        <v>0</v>
      </c>
      <c r="R68" s="413">
        <v>1</v>
      </c>
      <c r="S68" s="414">
        <f t="shared" si="54"/>
        <v>1</v>
      </c>
      <c r="T68" s="414">
        <f t="shared" si="55"/>
        <v>6</v>
      </c>
      <c r="U68" s="737"/>
      <c r="V68" s="737"/>
      <c r="W68" s="737"/>
      <c r="X68" s="737"/>
      <c r="Y68" s="737"/>
      <c r="Z68" s="737"/>
      <c r="AA68" s="737"/>
      <c r="AB68" s="737"/>
      <c r="AC68" s="737"/>
      <c r="AD68" s="737"/>
      <c r="AE68" s="737"/>
      <c r="AF68" s="737"/>
      <c r="AG68" s="737"/>
      <c r="AH68" s="737"/>
      <c r="AI68" s="737"/>
      <c r="AJ68" s="737"/>
      <c r="AK68" s="737"/>
      <c r="AL68" s="737"/>
      <c r="AM68" s="737"/>
      <c r="AN68" s="737"/>
      <c r="AO68" s="737"/>
      <c r="AP68" s="737"/>
      <c r="AQ68" s="737"/>
      <c r="AR68" s="737"/>
      <c r="AS68" s="737"/>
      <c r="AT68" s="737"/>
      <c r="AU68" s="737"/>
      <c r="AV68" s="737"/>
      <c r="AW68" s="737"/>
      <c r="AX68" s="737"/>
      <c r="AY68" s="737"/>
      <c r="AZ68" s="737"/>
      <c r="BA68" s="737"/>
      <c r="BB68" s="737"/>
      <c r="BC68" s="737"/>
      <c r="BD68" s="737"/>
      <c r="BE68" s="737"/>
      <c r="BF68" s="737"/>
      <c r="BG68" s="737"/>
    </row>
    <row r="69" spans="2:59">
      <c r="B69" s="1508"/>
      <c r="C69" s="475" t="s">
        <v>65</v>
      </c>
      <c r="D69" s="413">
        <v>0</v>
      </c>
      <c r="E69" s="413">
        <v>0</v>
      </c>
      <c r="F69" s="413">
        <v>1</v>
      </c>
      <c r="G69" s="414">
        <f t="shared" si="51"/>
        <v>1</v>
      </c>
      <c r="H69" s="413">
        <v>1</v>
      </c>
      <c r="I69" s="413">
        <v>1</v>
      </c>
      <c r="J69" s="413">
        <v>0</v>
      </c>
      <c r="K69" s="414">
        <f t="shared" si="52"/>
        <v>2</v>
      </c>
      <c r="L69" s="413">
        <v>1</v>
      </c>
      <c r="M69" s="413">
        <v>1</v>
      </c>
      <c r="N69" s="413">
        <v>0</v>
      </c>
      <c r="O69" s="414">
        <f t="shared" si="53"/>
        <v>2</v>
      </c>
      <c r="P69" s="413">
        <v>0</v>
      </c>
      <c r="Q69" s="413">
        <v>0</v>
      </c>
      <c r="R69" s="413">
        <v>1</v>
      </c>
      <c r="S69" s="414">
        <f t="shared" si="54"/>
        <v>1</v>
      </c>
      <c r="T69" s="414">
        <f t="shared" si="55"/>
        <v>6</v>
      </c>
      <c r="U69" s="737"/>
      <c r="V69" s="737"/>
      <c r="W69" s="737"/>
      <c r="X69" s="737"/>
      <c r="Y69" s="737"/>
      <c r="Z69" s="737"/>
      <c r="AA69" s="737"/>
      <c r="AB69" s="737"/>
      <c r="AC69" s="737"/>
      <c r="AD69" s="737"/>
      <c r="AE69" s="737"/>
      <c r="AF69" s="737"/>
      <c r="AG69" s="737"/>
      <c r="AH69" s="737"/>
      <c r="AI69" s="737"/>
      <c r="AJ69" s="737"/>
      <c r="AK69" s="737"/>
      <c r="AL69" s="737"/>
      <c r="AM69" s="737"/>
      <c r="AN69" s="737"/>
      <c r="AO69" s="737"/>
      <c r="AP69" s="737"/>
      <c r="AQ69" s="737"/>
      <c r="AR69" s="737"/>
      <c r="AS69" s="737"/>
      <c r="AT69" s="737"/>
      <c r="AU69" s="737"/>
      <c r="AV69" s="737"/>
      <c r="AW69" s="737"/>
      <c r="AX69" s="737"/>
      <c r="AY69" s="737"/>
      <c r="AZ69" s="737"/>
      <c r="BA69" s="737"/>
      <c r="BB69" s="737"/>
      <c r="BC69" s="737"/>
      <c r="BD69" s="737"/>
      <c r="BE69" s="737"/>
      <c r="BF69" s="737"/>
      <c r="BG69" s="737"/>
    </row>
    <row r="70" spans="2:59">
      <c r="B70" s="1508"/>
      <c r="C70" s="475" t="s">
        <v>67</v>
      </c>
      <c r="D70" s="413">
        <v>0</v>
      </c>
      <c r="E70" s="413">
        <v>0</v>
      </c>
      <c r="F70" s="413">
        <v>0</v>
      </c>
      <c r="G70" s="414">
        <f t="shared" si="51"/>
        <v>0</v>
      </c>
      <c r="H70" s="413">
        <v>0</v>
      </c>
      <c r="I70" s="413">
        <v>0</v>
      </c>
      <c r="J70" s="413">
        <v>0</v>
      </c>
      <c r="K70" s="414">
        <f t="shared" si="52"/>
        <v>0</v>
      </c>
      <c r="L70" s="413">
        <v>0</v>
      </c>
      <c r="M70" s="413">
        <v>0</v>
      </c>
      <c r="N70" s="413">
        <v>0</v>
      </c>
      <c r="O70" s="414">
        <f t="shared" si="53"/>
        <v>0</v>
      </c>
      <c r="P70" s="413">
        <v>0</v>
      </c>
      <c r="Q70" s="413">
        <v>0</v>
      </c>
      <c r="R70" s="413">
        <v>0</v>
      </c>
      <c r="S70" s="414">
        <f t="shared" si="54"/>
        <v>0</v>
      </c>
      <c r="T70" s="414">
        <f t="shared" si="55"/>
        <v>0</v>
      </c>
      <c r="U70" s="737"/>
      <c r="V70" s="737"/>
      <c r="W70" s="737"/>
      <c r="X70" s="737"/>
      <c r="Y70" s="737"/>
      <c r="Z70" s="737"/>
      <c r="AA70" s="737"/>
      <c r="AB70" s="737"/>
      <c r="AC70" s="737"/>
      <c r="AD70" s="737"/>
      <c r="AE70" s="737"/>
      <c r="AF70" s="737"/>
      <c r="AG70" s="737"/>
      <c r="AH70" s="737"/>
      <c r="AI70" s="737"/>
      <c r="AJ70" s="737"/>
      <c r="AK70" s="737"/>
      <c r="AL70" s="737"/>
      <c r="AM70" s="737"/>
      <c r="AN70" s="737"/>
      <c r="AO70" s="737"/>
      <c r="AP70" s="737"/>
      <c r="AQ70" s="737"/>
      <c r="AR70" s="737"/>
      <c r="AS70" s="737"/>
      <c r="AT70" s="737"/>
      <c r="AU70" s="737"/>
      <c r="AV70" s="737"/>
      <c r="AW70" s="737"/>
      <c r="AX70" s="737"/>
      <c r="AY70" s="737"/>
      <c r="AZ70" s="737"/>
      <c r="BA70" s="737"/>
      <c r="BB70" s="737"/>
      <c r="BC70" s="737"/>
      <c r="BD70" s="737"/>
      <c r="BE70" s="737"/>
      <c r="BF70" s="737"/>
      <c r="BG70" s="737"/>
    </row>
    <row r="71" spans="2:59">
      <c r="B71" s="1508"/>
      <c r="C71" s="475" t="s">
        <v>64</v>
      </c>
      <c r="D71" s="413">
        <v>0</v>
      </c>
      <c r="E71" s="413">
        <v>0</v>
      </c>
      <c r="F71" s="413">
        <v>0</v>
      </c>
      <c r="G71" s="414">
        <f t="shared" si="51"/>
        <v>0</v>
      </c>
      <c r="H71" s="413">
        <v>1</v>
      </c>
      <c r="I71" s="413">
        <v>1</v>
      </c>
      <c r="J71" s="413">
        <v>0</v>
      </c>
      <c r="K71" s="414">
        <f t="shared" si="52"/>
        <v>2</v>
      </c>
      <c r="L71" s="413">
        <v>0</v>
      </c>
      <c r="M71" s="413">
        <v>0</v>
      </c>
      <c r="N71" s="413">
        <v>1</v>
      </c>
      <c r="O71" s="414">
        <f t="shared" si="53"/>
        <v>1</v>
      </c>
      <c r="P71" s="413">
        <v>0</v>
      </c>
      <c r="Q71" s="413">
        <v>0</v>
      </c>
      <c r="R71" s="413">
        <v>1</v>
      </c>
      <c r="S71" s="414">
        <f t="shared" si="54"/>
        <v>1</v>
      </c>
      <c r="T71" s="414">
        <f t="shared" si="55"/>
        <v>4</v>
      </c>
      <c r="U71" s="737"/>
      <c r="V71" s="737"/>
      <c r="W71" s="737"/>
      <c r="X71" s="737"/>
      <c r="Y71" s="737"/>
      <c r="Z71" s="737"/>
      <c r="AA71" s="737"/>
      <c r="AB71" s="737"/>
      <c r="AC71" s="737"/>
      <c r="AD71" s="737"/>
      <c r="AE71" s="737"/>
      <c r="AF71" s="737"/>
      <c r="AG71" s="737"/>
      <c r="AH71" s="737"/>
      <c r="AI71" s="737"/>
      <c r="AJ71" s="737"/>
      <c r="AK71" s="737"/>
      <c r="AL71" s="737"/>
      <c r="AM71" s="737"/>
      <c r="AN71" s="737"/>
      <c r="AO71" s="737"/>
      <c r="AP71" s="737"/>
      <c r="AQ71" s="737"/>
      <c r="AR71" s="737"/>
      <c r="AS71" s="737"/>
      <c r="AT71" s="737"/>
      <c r="AU71" s="737"/>
      <c r="AV71" s="737"/>
      <c r="AW71" s="737"/>
      <c r="AX71" s="737"/>
      <c r="AY71" s="737"/>
      <c r="AZ71" s="737"/>
      <c r="BA71" s="737"/>
      <c r="BB71" s="737"/>
      <c r="BC71" s="737"/>
      <c r="BD71" s="737"/>
      <c r="BE71" s="737"/>
      <c r="BF71" s="737"/>
      <c r="BG71" s="737"/>
    </row>
    <row r="72" spans="2:59">
      <c r="B72" s="1508"/>
      <c r="C72" s="475" t="s">
        <v>60</v>
      </c>
      <c r="D72" s="413">
        <v>0</v>
      </c>
      <c r="E72" s="413">
        <v>0</v>
      </c>
      <c r="F72" s="413">
        <v>1</v>
      </c>
      <c r="G72" s="414">
        <f t="shared" si="51"/>
        <v>1</v>
      </c>
      <c r="H72" s="413">
        <v>1</v>
      </c>
      <c r="I72" s="413">
        <v>1</v>
      </c>
      <c r="J72" s="413">
        <v>1</v>
      </c>
      <c r="K72" s="414">
        <f t="shared" si="52"/>
        <v>3</v>
      </c>
      <c r="L72" s="413">
        <v>1</v>
      </c>
      <c r="M72" s="413">
        <v>1</v>
      </c>
      <c r="N72" s="413">
        <v>1</v>
      </c>
      <c r="O72" s="414">
        <f t="shared" si="53"/>
        <v>3</v>
      </c>
      <c r="P72" s="413">
        <v>1</v>
      </c>
      <c r="Q72" s="413">
        <v>1</v>
      </c>
      <c r="R72" s="413">
        <v>0</v>
      </c>
      <c r="S72" s="414">
        <f t="shared" si="54"/>
        <v>2</v>
      </c>
      <c r="T72" s="414">
        <f t="shared" si="55"/>
        <v>9</v>
      </c>
      <c r="U72" s="737"/>
      <c r="V72" s="737"/>
      <c r="W72" s="737"/>
      <c r="X72" s="737"/>
      <c r="Y72" s="737"/>
      <c r="Z72" s="737"/>
      <c r="AA72" s="737"/>
      <c r="AB72" s="737"/>
      <c r="AC72" s="737"/>
      <c r="AD72" s="737"/>
      <c r="AE72" s="737"/>
      <c r="AF72" s="737"/>
      <c r="AG72" s="737"/>
      <c r="AH72" s="737"/>
      <c r="AI72" s="737"/>
      <c r="AJ72" s="737"/>
      <c r="AK72" s="737"/>
      <c r="AL72" s="737"/>
      <c r="AM72" s="737"/>
      <c r="AN72" s="737"/>
      <c r="AO72" s="737"/>
      <c r="AP72" s="737"/>
      <c r="AQ72" s="737"/>
      <c r="AR72" s="737"/>
      <c r="AS72" s="737"/>
      <c r="AT72" s="737"/>
      <c r="AU72" s="737"/>
      <c r="AV72" s="737"/>
      <c r="AW72" s="737"/>
      <c r="AX72" s="737"/>
      <c r="AY72" s="737"/>
      <c r="AZ72" s="737"/>
      <c r="BA72" s="737"/>
      <c r="BB72" s="737"/>
      <c r="BC72" s="737"/>
      <c r="BD72" s="737"/>
      <c r="BE72" s="737"/>
      <c r="BF72" s="737"/>
      <c r="BG72" s="737"/>
    </row>
    <row r="73" spans="2:59">
      <c r="B73" s="475" t="s">
        <v>523</v>
      </c>
      <c r="C73" s="475" t="s">
        <v>524</v>
      </c>
      <c r="D73" s="413">
        <v>9</v>
      </c>
      <c r="E73" s="413">
        <v>9</v>
      </c>
      <c r="F73" s="413">
        <v>8</v>
      </c>
      <c r="G73" s="414">
        <f t="shared" si="51"/>
        <v>26</v>
      </c>
      <c r="H73" s="413">
        <v>30</v>
      </c>
      <c r="I73" s="413">
        <v>30</v>
      </c>
      <c r="J73" s="413">
        <v>30</v>
      </c>
      <c r="K73" s="414">
        <f t="shared" si="52"/>
        <v>90</v>
      </c>
      <c r="L73" s="413">
        <v>26</v>
      </c>
      <c r="M73" s="413">
        <v>26</v>
      </c>
      <c r="N73" s="413">
        <v>25</v>
      </c>
      <c r="O73" s="414">
        <f t="shared" si="53"/>
        <v>77</v>
      </c>
      <c r="P73" s="413">
        <v>21</v>
      </c>
      <c r="Q73" s="413">
        <v>21</v>
      </c>
      <c r="R73" s="413">
        <v>22</v>
      </c>
      <c r="S73" s="414">
        <f t="shared" si="54"/>
        <v>64</v>
      </c>
      <c r="T73" s="414">
        <f t="shared" si="55"/>
        <v>257</v>
      </c>
      <c r="U73" s="737"/>
      <c r="V73" s="737"/>
      <c r="W73" s="737"/>
      <c r="X73" s="737"/>
      <c r="Y73" s="737"/>
      <c r="Z73" s="737"/>
      <c r="AA73" s="737"/>
      <c r="AB73" s="737"/>
      <c r="AC73" s="737"/>
      <c r="AD73" s="737"/>
      <c r="AE73" s="737"/>
      <c r="AF73" s="737"/>
      <c r="AG73" s="737"/>
      <c r="AH73" s="737"/>
      <c r="AI73" s="737"/>
      <c r="AJ73" s="737"/>
      <c r="AK73" s="737"/>
      <c r="AL73" s="737"/>
      <c r="AM73" s="737"/>
      <c r="AN73" s="737"/>
      <c r="AO73" s="737"/>
      <c r="AP73" s="737"/>
      <c r="AQ73" s="737"/>
      <c r="AR73" s="737"/>
      <c r="AS73" s="737"/>
      <c r="AT73" s="737"/>
      <c r="AU73" s="737"/>
      <c r="AV73" s="737"/>
      <c r="AW73" s="737"/>
      <c r="AX73" s="737"/>
      <c r="AY73" s="737"/>
      <c r="AZ73" s="737"/>
      <c r="BA73" s="737"/>
      <c r="BB73" s="737"/>
      <c r="BC73" s="737"/>
      <c r="BD73" s="737"/>
      <c r="BE73" s="737"/>
      <c r="BF73" s="737"/>
      <c r="BG73" s="737"/>
    </row>
    <row r="74" spans="2:59" ht="42.75">
      <c r="B74" s="475"/>
      <c r="C74" s="476" t="s">
        <v>525</v>
      </c>
      <c r="D74" s="413">
        <f t="shared" ref="D74:T74" si="56">SUM(D60:D72)</f>
        <v>8</v>
      </c>
      <c r="E74" s="413">
        <f t="shared" si="56"/>
        <v>8</v>
      </c>
      <c r="F74" s="413">
        <f t="shared" si="56"/>
        <v>13</v>
      </c>
      <c r="G74" s="414">
        <f t="shared" si="56"/>
        <v>29</v>
      </c>
      <c r="H74" s="413">
        <f t="shared" si="56"/>
        <v>33</v>
      </c>
      <c r="I74" s="413">
        <f t="shared" si="56"/>
        <v>33</v>
      </c>
      <c r="J74" s="413">
        <f t="shared" si="56"/>
        <v>32</v>
      </c>
      <c r="K74" s="414">
        <f t="shared" si="56"/>
        <v>98</v>
      </c>
      <c r="L74" s="413">
        <f t="shared" si="56"/>
        <v>29</v>
      </c>
      <c r="M74" s="413">
        <f t="shared" si="56"/>
        <v>29</v>
      </c>
      <c r="N74" s="413">
        <f t="shared" si="56"/>
        <v>22</v>
      </c>
      <c r="O74" s="414">
        <f t="shared" si="56"/>
        <v>80</v>
      </c>
      <c r="P74" s="413">
        <f t="shared" si="56"/>
        <v>23</v>
      </c>
      <c r="Q74" s="413">
        <f t="shared" si="56"/>
        <v>23</v>
      </c>
      <c r="R74" s="413">
        <f t="shared" si="56"/>
        <v>21</v>
      </c>
      <c r="S74" s="414">
        <f t="shared" si="56"/>
        <v>67</v>
      </c>
      <c r="T74" s="414">
        <f t="shared" si="56"/>
        <v>274</v>
      </c>
      <c r="U74" s="737"/>
      <c r="V74" s="737"/>
      <c r="W74" s="737"/>
      <c r="X74" s="737"/>
      <c r="Y74" s="737"/>
      <c r="Z74" s="737"/>
      <c r="AA74" s="737"/>
      <c r="AB74" s="737"/>
      <c r="AC74" s="737"/>
      <c r="AD74" s="737"/>
      <c r="AE74" s="737"/>
      <c r="AF74" s="737"/>
      <c r="AG74" s="737"/>
      <c r="AH74" s="737"/>
      <c r="AI74" s="737"/>
      <c r="AJ74" s="737"/>
      <c r="AK74" s="737"/>
      <c r="AL74" s="737"/>
      <c r="AM74" s="737"/>
      <c r="AN74" s="737"/>
      <c r="AO74" s="737"/>
      <c r="AP74" s="737"/>
      <c r="AQ74" s="737"/>
      <c r="AR74" s="737"/>
      <c r="AS74" s="737"/>
      <c r="AT74" s="737"/>
      <c r="AU74" s="737"/>
      <c r="AV74" s="737"/>
      <c r="AW74" s="737"/>
      <c r="AX74" s="737"/>
      <c r="AY74" s="737"/>
      <c r="AZ74" s="737"/>
      <c r="BA74" s="737"/>
      <c r="BB74" s="737"/>
      <c r="BC74" s="737"/>
      <c r="BD74" s="737"/>
      <c r="BE74" s="737"/>
      <c r="BF74" s="737"/>
      <c r="BG74" s="737"/>
    </row>
    <row r="75" spans="2:59" ht="42.75">
      <c r="B75" s="475"/>
      <c r="C75" s="476" t="s">
        <v>526</v>
      </c>
      <c r="D75" s="413">
        <f t="shared" ref="D75:T75" si="57">D67</f>
        <v>0</v>
      </c>
      <c r="E75" s="413">
        <f t="shared" si="57"/>
        <v>0</v>
      </c>
      <c r="F75" s="413">
        <f t="shared" si="57"/>
        <v>1</v>
      </c>
      <c r="G75" s="414">
        <f t="shared" si="57"/>
        <v>1</v>
      </c>
      <c r="H75" s="413">
        <f t="shared" si="57"/>
        <v>1</v>
      </c>
      <c r="I75" s="413">
        <f t="shared" si="57"/>
        <v>1</v>
      </c>
      <c r="J75" s="413">
        <f t="shared" si="57"/>
        <v>1</v>
      </c>
      <c r="K75" s="414">
        <f t="shared" si="57"/>
        <v>3</v>
      </c>
      <c r="L75" s="413">
        <f t="shared" si="57"/>
        <v>1</v>
      </c>
      <c r="M75" s="413">
        <f t="shared" si="57"/>
        <v>1</v>
      </c>
      <c r="N75" s="413">
        <f t="shared" si="57"/>
        <v>1</v>
      </c>
      <c r="O75" s="414">
        <f t="shared" si="57"/>
        <v>3</v>
      </c>
      <c r="P75" s="413">
        <f t="shared" si="57"/>
        <v>1</v>
      </c>
      <c r="Q75" s="413">
        <f t="shared" si="57"/>
        <v>1</v>
      </c>
      <c r="R75" s="413">
        <f t="shared" si="57"/>
        <v>0</v>
      </c>
      <c r="S75" s="414">
        <f t="shared" si="57"/>
        <v>2</v>
      </c>
      <c r="T75" s="414">
        <f t="shared" si="57"/>
        <v>9</v>
      </c>
      <c r="U75" s="737"/>
      <c r="V75" s="737"/>
      <c r="W75" s="737"/>
      <c r="X75" s="737"/>
      <c r="Y75" s="737"/>
      <c r="Z75" s="737"/>
      <c r="AA75" s="737"/>
      <c r="AB75" s="737"/>
      <c r="AC75" s="737"/>
      <c r="AD75" s="737"/>
      <c r="AE75" s="737"/>
      <c r="AF75" s="737"/>
      <c r="AG75" s="737"/>
      <c r="AH75" s="737"/>
      <c r="AI75" s="737"/>
      <c r="AJ75" s="737"/>
      <c r="AK75" s="737"/>
      <c r="AL75" s="737"/>
      <c r="AM75" s="737"/>
      <c r="AN75" s="737"/>
      <c r="AO75" s="737"/>
      <c r="AP75" s="737"/>
      <c r="AQ75" s="737"/>
      <c r="AR75" s="737"/>
      <c r="AS75" s="737"/>
      <c r="AT75" s="737"/>
      <c r="AU75" s="737"/>
      <c r="AV75" s="737"/>
      <c r="AW75" s="737"/>
      <c r="AX75" s="737"/>
      <c r="AY75" s="737"/>
      <c r="AZ75" s="737"/>
      <c r="BA75" s="737"/>
      <c r="BB75" s="737"/>
      <c r="BC75" s="737"/>
      <c r="BD75" s="737"/>
      <c r="BE75" s="737"/>
      <c r="BF75" s="737"/>
      <c r="BG75" s="737"/>
    </row>
  </sheetData>
  <customSheetViews>
    <customSheetView guid="{F9015B81-4D5E-47E3-BFA8-A54438E9D1FF}" scale="55" showGridLines="0" topLeftCell="A31">
      <selection activeCell="V39" sqref="V39"/>
      <pageMargins left="0.7" right="0.7" top="0.78740157499999996" bottom="0.78740157499999996" header="0.3" footer="0.3"/>
    </customSheetView>
  </customSheetViews>
  <mergeCells count="27">
    <mergeCell ref="V4:AJ4"/>
    <mergeCell ref="V6:V8"/>
    <mergeCell ref="V9:V11"/>
    <mergeCell ref="V12:V14"/>
    <mergeCell ref="B24:B27"/>
    <mergeCell ref="D5:T5"/>
    <mergeCell ref="B6:B9"/>
    <mergeCell ref="B10:B13"/>
    <mergeCell ref="B14:B18"/>
    <mergeCell ref="C23:T23"/>
    <mergeCell ref="B2:T2"/>
    <mergeCell ref="B3:C3"/>
    <mergeCell ref="D3:G3"/>
    <mergeCell ref="H3:K3"/>
    <mergeCell ref="L3:O3"/>
    <mergeCell ref="P3:S3"/>
    <mergeCell ref="T3:T4"/>
    <mergeCell ref="C59:T59"/>
    <mergeCell ref="B60:B63"/>
    <mergeCell ref="B64:B67"/>
    <mergeCell ref="B68:B72"/>
    <mergeCell ref="B28:B31"/>
    <mergeCell ref="B32:B36"/>
    <mergeCell ref="C41:T41"/>
    <mergeCell ref="B42:B45"/>
    <mergeCell ref="B46:B49"/>
    <mergeCell ref="B50:B54"/>
  </mergeCells>
  <hyperlinks>
    <hyperlink ref="A1" location="MENU!A1" display="MENU" xr:uid="{BB274E2D-5D56-4ED7-A22D-0CB5BC2066A7}"/>
  </hyperlinks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2FFFD-6F8C-4780-B9B8-E3BC7BB83E1F}">
  <sheetPr>
    <tabColor rgb="FFFF66CC"/>
  </sheetPr>
  <dimension ref="A1:W96"/>
  <sheetViews>
    <sheetView showGridLines="0" zoomScale="55" zoomScaleNormal="55" workbookViewId="0"/>
  </sheetViews>
  <sheetFormatPr defaultColWidth="8.77734375" defaultRowHeight="14.25" outlineLevelCol="1"/>
  <cols>
    <col min="1" max="1" width="8.77734375" style="55"/>
    <col min="2" max="2" width="18.33203125" style="55" customWidth="1"/>
    <col min="3" max="3" width="15.33203125" style="55" customWidth="1"/>
    <col min="4" max="6" width="13.44140625" style="55" customWidth="1" outlineLevel="1"/>
    <col min="7" max="7" width="13.44140625" style="55" customWidth="1"/>
    <col min="8" max="10" width="13.44140625" style="55" customWidth="1" outlineLevel="1"/>
    <col min="11" max="11" width="13.44140625" style="55" customWidth="1"/>
    <col min="12" max="14" width="13.44140625" style="55" customWidth="1" outlineLevel="1"/>
    <col min="15" max="15" width="13.44140625" style="55" customWidth="1"/>
    <col min="16" max="18" width="13.44140625" style="55" customWidth="1" outlineLevel="1"/>
    <col min="19" max="19" width="13.44140625" style="55" customWidth="1"/>
    <col min="20" max="20" width="20" style="55" customWidth="1"/>
    <col min="21" max="16384" width="8.77734375" style="55"/>
  </cols>
  <sheetData>
    <row r="1" spans="1:20" ht="22.5" customHeight="1" thickBot="1">
      <c r="A1" s="107" t="s">
        <v>1</v>
      </c>
      <c r="B1" s="737"/>
      <c r="C1" s="737"/>
      <c r="D1" s="737"/>
      <c r="E1" s="737"/>
      <c r="F1" s="737"/>
      <c r="G1" s="737"/>
      <c r="H1" s="737"/>
      <c r="I1" s="737"/>
      <c r="J1" s="737"/>
      <c r="K1" s="737"/>
      <c r="L1" s="737"/>
      <c r="M1" s="737"/>
      <c r="N1" s="737"/>
      <c r="O1" s="737"/>
      <c r="P1" s="737"/>
      <c r="Q1" s="737"/>
      <c r="R1" s="737"/>
      <c r="S1" s="737"/>
      <c r="T1" s="737"/>
    </row>
    <row r="2" spans="1:20" s="737" customFormat="1" ht="22.5" customHeight="1" thickBot="1">
      <c r="A2" s="738"/>
      <c r="B2" s="1509" t="s">
        <v>530</v>
      </c>
      <c r="C2" s="1510"/>
      <c r="D2" s="1510"/>
      <c r="E2" s="1510"/>
      <c r="F2" s="1510"/>
      <c r="G2" s="1510"/>
      <c r="H2" s="1510"/>
      <c r="I2" s="1510"/>
      <c r="J2" s="1510"/>
      <c r="K2" s="1510"/>
      <c r="L2" s="1510"/>
      <c r="M2" s="1510"/>
      <c r="N2" s="1510"/>
      <c r="O2" s="1510"/>
      <c r="P2" s="1510"/>
      <c r="Q2" s="1510"/>
      <c r="R2" s="1510"/>
      <c r="S2" s="1510"/>
      <c r="T2" s="1511"/>
    </row>
    <row r="3" spans="1:20" s="737" customFormat="1" ht="22.5" customHeight="1" thickBot="1">
      <c r="A3" s="738"/>
      <c r="B3" s="1512" t="s">
        <v>502</v>
      </c>
      <c r="C3" s="1488"/>
      <c r="D3" s="1531" t="s">
        <v>258</v>
      </c>
      <c r="E3" s="1532"/>
      <c r="F3" s="1532"/>
      <c r="G3" s="1533"/>
      <c r="H3" s="1534" t="s">
        <v>262</v>
      </c>
      <c r="I3" s="1532"/>
      <c r="J3" s="1532"/>
      <c r="K3" s="1533"/>
      <c r="L3" s="1534" t="s">
        <v>266</v>
      </c>
      <c r="M3" s="1532"/>
      <c r="N3" s="1532"/>
      <c r="O3" s="1533"/>
      <c r="P3" s="1534" t="s">
        <v>270</v>
      </c>
      <c r="Q3" s="1532"/>
      <c r="R3" s="1532"/>
      <c r="S3" s="1533"/>
      <c r="T3" s="1516" t="s">
        <v>503</v>
      </c>
    </row>
    <row r="4" spans="1:20" s="737" customFormat="1" ht="22.5" customHeight="1" thickBot="1">
      <c r="A4" s="738"/>
      <c r="B4" s="450"/>
      <c r="C4" s="451"/>
      <c r="D4" s="1350" t="s">
        <v>255</v>
      </c>
      <c r="E4" s="1351" t="s">
        <v>256</v>
      </c>
      <c r="F4" s="1351" t="s">
        <v>257</v>
      </c>
      <c r="G4" s="1354" t="s">
        <v>504</v>
      </c>
      <c r="H4" s="1350" t="s">
        <v>259</v>
      </c>
      <c r="I4" s="1351" t="s">
        <v>260</v>
      </c>
      <c r="J4" s="1351" t="s">
        <v>263</v>
      </c>
      <c r="K4" s="1354" t="s">
        <v>505</v>
      </c>
      <c r="L4" s="1350" t="s">
        <v>263</v>
      </c>
      <c r="M4" s="1351" t="s">
        <v>264</v>
      </c>
      <c r="N4" s="1351" t="s">
        <v>506</v>
      </c>
      <c r="O4" s="1354" t="s">
        <v>507</v>
      </c>
      <c r="P4" s="1350" t="s">
        <v>267</v>
      </c>
      <c r="Q4" s="1351" t="s">
        <v>268</v>
      </c>
      <c r="R4" s="1351" t="s">
        <v>269</v>
      </c>
      <c r="S4" s="1352" t="s">
        <v>508</v>
      </c>
      <c r="T4" s="1517"/>
    </row>
    <row r="5" spans="1:20" s="737" customFormat="1" ht="22.5" customHeight="1">
      <c r="A5" s="738"/>
      <c r="B5" s="449"/>
      <c r="C5" s="452"/>
      <c r="D5" s="1526" t="s">
        <v>531</v>
      </c>
      <c r="E5" s="1526"/>
      <c r="F5" s="1526"/>
      <c r="G5" s="1526"/>
      <c r="H5" s="1526"/>
      <c r="I5" s="1526"/>
      <c r="J5" s="1526"/>
      <c r="K5" s="1526"/>
      <c r="L5" s="1526"/>
      <c r="M5" s="1526"/>
      <c r="N5" s="1526"/>
      <c r="O5" s="1526"/>
      <c r="P5" s="1526"/>
      <c r="Q5" s="1526"/>
      <c r="R5" s="1526"/>
      <c r="S5" s="1526"/>
      <c r="T5" s="1527"/>
    </row>
    <row r="6" spans="1:20" s="737" customFormat="1" ht="22.5" customHeight="1">
      <c r="A6" s="738"/>
      <c r="B6" s="1528" t="s">
        <v>515</v>
      </c>
      <c r="C6" s="144" t="s">
        <v>57</v>
      </c>
      <c r="D6" s="453">
        <f>D27+D45+D63+D81</f>
        <v>9431000</v>
      </c>
      <c r="E6" s="453">
        <f t="shared" ref="E6:F6" si="0">E27+E45+E63+E81</f>
        <v>9431000</v>
      </c>
      <c r="F6" s="453">
        <f t="shared" si="0"/>
        <v>10879000</v>
      </c>
      <c r="G6" s="454">
        <f t="shared" ref="G6:G19" si="1">SUM(D6:F6)</f>
        <v>29741000</v>
      </c>
      <c r="H6" s="453">
        <f>H27+H45+H63+H81</f>
        <v>30302000</v>
      </c>
      <c r="I6" s="453">
        <f t="shared" ref="I6:J6" si="2">I27+I45+I63+I81</f>
        <v>30970500</v>
      </c>
      <c r="J6" s="453">
        <f t="shared" si="2"/>
        <v>31838000</v>
      </c>
      <c r="K6" s="454">
        <f t="shared" ref="K6:K19" si="3">SUM(H6:J6)</f>
        <v>93110500</v>
      </c>
      <c r="L6" s="453">
        <f>L27+L45+L63+L81</f>
        <v>27028000</v>
      </c>
      <c r="M6" s="453">
        <f t="shared" ref="M6:N6" si="4">M27+M45+M63+M81</f>
        <v>26359500</v>
      </c>
      <c r="N6" s="453">
        <f t="shared" si="4"/>
        <v>25531000</v>
      </c>
      <c r="O6" s="454">
        <f t="shared" ref="O6:O19" si="5">SUM(L6:N6)</f>
        <v>78918500</v>
      </c>
      <c r="P6" s="453">
        <f>P27+P45+P63+P81</f>
        <v>22257000</v>
      </c>
      <c r="Q6" s="453">
        <f t="shared" ref="Q6:R6" si="6">Q27+Q45+Q63+Q81</f>
        <v>21588500</v>
      </c>
      <c r="R6" s="453">
        <f t="shared" si="6"/>
        <v>21578500</v>
      </c>
      <c r="S6" s="454">
        <f t="shared" ref="S6:S19" si="7">SUM(P6:R6)</f>
        <v>65424000</v>
      </c>
      <c r="T6" s="454">
        <f t="shared" ref="T6:T19" si="8">G6+K6+O6+S6</f>
        <v>267194000</v>
      </c>
    </row>
    <row r="7" spans="1:20" s="737" customFormat="1" ht="22.5" customHeight="1">
      <c r="A7" s="738"/>
      <c r="B7" s="1529"/>
      <c r="C7" s="144" t="s">
        <v>56</v>
      </c>
      <c r="D7" s="453">
        <f t="shared" ref="D7:F19" si="9">D28+D46+D64+D82</f>
        <v>11586500</v>
      </c>
      <c r="E7" s="453">
        <f t="shared" si="9"/>
        <v>11586500</v>
      </c>
      <c r="F7" s="453">
        <f t="shared" si="9"/>
        <v>10768000</v>
      </c>
      <c r="G7" s="454">
        <f t="shared" si="1"/>
        <v>33941000</v>
      </c>
      <c r="H7" s="453">
        <f t="shared" ref="H7:J7" si="10">H28+H46+H64+H82</f>
        <v>33843500</v>
      </c>
      <c r="I7" s="453">
        <f t="shared" si="10"/>
        <v>33843500</v>
      </c>
      <c r="J7" s="453">
        <f t="shared" si="10"/>
        <v>34672000</v>
      </c>
      <c r="K7" s="454">
        <f t="shared" si="3"/>
        <v>102359000</v>
      </c>
      <c r="L7" s="453">
        <f t="shared" ref="L7:N7" si="11">L28+L46+L64+L82</f>
        <v>29891000</v>
      </c>
      <c r="M7" s="453">
        <f t="shared" si="11"/>
        <v>29222500</v>
      </c>
      <c r="N7" s="453">
        <f t="shared" si="11"/>
        <v>29173500</v>
      </c>
      <c r="O7" s="454">
        <f t="shared" si="5"/>
        <v>88287000</v>
      </c>
      <c r="P7" s="453">
        <f t="shared" ref="P7:R7" si="12">P28+P46+P64+P82</f>
        <v>23744000</v>
      </c>
      <c r="Q7" s="453">
        <f t="shared" si="12"/>
        <v>24412500</v>
      </c>
      <c r="R7" s="453">
        <f t="shared" si="12"/>
        <v>24441500</v>
      </c>
      <c r="S7" s="454">
        <f t="shared" si="7"/>
        <v>72598000</v>
      </c>
      <c r="T7" s="454">
        <f t="shared" si="8"/>
        <v>297185000</v>
      </c>
    </row>
    <row r="8" spans="1:20" s="737" customFormat="1" ht="22.5" customHeight="1">
      <c r="A8" s="738"/>
      <c r="B8" s="1529"/>
      <c r="C8" s="144" t="s">
        <v>58</v>
      </c>
      <c r="D8" s="453">
        <f t="shared" si="9"/>
        <v>4510000</v>
      </c>
      <c r="E8" s="453">
        <f t="shared" si="9"/>
        <v>4510000</v>
      </c>
      <c r="F8" s="453">
        <f t="shared" si="9"/>
        <v>4311000</v>
      </c>
      <c r="G8" s="454">
        <f t="shared" si="1"/>
        <v>13331000</v>
      </c>
      <c r="H8" s="453">
        <f t="shared" ref="H8:J8" si="13">H29+H47+H65+H83</f>
        <v>11436500</v>
      </c>
      <c r="I8" s="453">
        <f t="shared" si="13"/>
        <v>12105000</v>
      </c>
      <c r="J8" s="453">
        <f t="shared" si="13"/>
        <v>11325500</v>
      </c>
      <c r="K8" s="454">
        <f t="shared" si="3"/>
        <v>34867000</v>
      </c>
      <c r="L8" s="453">
        <f t="shared" ref="L8:N8" si="14">L29+L47+L65+L83</f>
        <v>9949500</v>
      </c>
      <c r="M8" s="453">
        <f t="shared" si="14"/>
        <v>10618000</v>
      </c>
      <c r="N8" s="453">
        <f t="shared" si="14"/>
        <v>10608000</v>
      </c>
      <c r="O8" s="454">
        <f t="shared" si="5"/>
        <v>31175500</v>
      </c>
      <c r="P8" s="453">
        <f t="shared" ref="P8:R8" si="15">P29+P47+P65+P83</f>
        <v>9121000</v>
      </c>
      <c r="Q8" s="453">
        <f t="shared" si="15"/>
        <v>8452500</v>
      </c>
      <c r="R8" s="453">
        <f t="shared" si="15"/>
        <v>8462500</v>
      </c>
      <c r="S8" s="454">
        <f t="shared" si="7"/>
        <v>26036000</v>
      </c>
      <c r="T8" s="454">
        <f t="shared" si="8"/>
        <v>105409500</v>
      </c>
    </row>
    <row r="9" spans="1:20" s="737" customFormat="1" ht="22.5" customHeight="1">
      <c r="A9" s="738"/>
      <c r="B9" s="1530"/>
      <c r="C9" s="144" t="s">
        <v>59</v>
      </c>
      <c r="D9" s="453">
        <f t="shared" si="9"/>
        <v>2305500</v>
      </c>
      <c r="E9" s="453">
        <f t="shared" si="9"/>
        <v>2305500</v>
      </c>
      <c r="F9" s="453">
        <f t="shared" si="9"/>
        <v>2204500</v>
      </c>
      <c r="G9" s="454">
        <f t="shared" si="1"/>
        <v>6815500</v>
      </c>
      <c r="H9" s="453">
        <f t="shared" ref="H9:J9" si="16">H30+H48+H66+H84</f>
        <v>7634000</v>
      </c>
      <c r="I9" s="453">
        <f t="shared" si="16"/>
        <v>6965500</v>
      </c>
      <c r="J9" s="453">
        <f t="shared" si="16"/>
        <v>6936500</v>
      </c>
      <c r="K9" s="454">
        <f t="shared" si="3"/>
        <v>21536000</v>
      </c>
      <c r="L9" s="453">
        <f t="shared" ref="L9:N9" si="17">L30+L48+L66+L84</f>
        <v>5478500</v>
      </c>
      <c r="M9" s="453">
        <f t="shared" si="17"/>
        <v>6147000</v>
      </c>
      <c r="N9" s="453">
        <f t="shared" si="17"/>
        <v>6108000</v>
      </c>
      <c r="O9" s="454">
        <f t="shared" si="5"/>
        <v>17733500</v>
      </c>
      <c r="P9" s="453">
        <f t="shared" ref="P9:R9" si="18">P30+P48+P66+P84</f>
        <v>5289500</v>
      </c>
      <c r="Q9" s="453">
        <f t="shared" si="18"/>
        <v>4621000</v>
      </c>
      <c r="R9" s="453">
        <f t="shared" si="18"/>
        <v>3991500</v>
      </c>
      <c r="S9" s="454">
        <f t="shared" si="7"/>
        <v>13902000</v>
      </c>
      <c r="T9" s="454">
        <f t="shared" si="8"/>
        <v>59987000</v>
      </c>
    </row>
    <row r="10" spans="1:20" s="737" customFormat="1" ht="22.5" customHeight="1">
      <c r="A10" s="738"/>
      <c r="B10" s="1528" t="s">
        <v>520</v>
      </c>
      <c r="C10" s="144" t="s">
        <v>63</v>
      </c>
      <c r="D10" s="453">
        <f t="shared" si="9"/>
        <v>1487000</v>
      </c>
      <c r="E10" s="453">
        <f t="shared" si="9"/>
        <v>1487000</v>
      </c>
      <c r="F10" s="453">
        <f t="shared" si="9"/>
        <v>2354500</v>
      </c>
      <c r="G10" s="454">
        <f t="shared" si="1"/>
        <v>5328500</v>
      </c>
      <c r="H10" s="453">
        <f t="shared" ref="H10:J10" si="19">H31+H49+H67+H85</f>
        <v>5289500</v>
      </c>
      <c r="I10" s="453">
        <f t="shared" si="19"/>
        <v>4621000</v>
      </c>
      <c r="J10" s="453">
        <f t="shared" si="19"/>
        <v>5478500</v>
      </c>
      <c r="K10" s="454">
        <f t="shared" si="3"/>
        <v>15389000</v>
      </c>
      <c r="L10" s="453">
        <f t="shared" ref="L10:N10" si="20">L31+L49+L67+L85</f>
        <v>4621000</v>
      </c>
      <c r="M10" s="453">
        <f t="shared" si="20"/>
        <v>4621000</v>
      </c>
      <c r="N10" s="453">
        <f t="shared" si="20"/>
        <v>3831500</v>
      </c>
      <c r="O10" s="454">
        <f t="shared" si="5"/>
        <v>13073500</v>
      </c>
      <c r="P10" s="453">
        <f t="shared" ref="P10:R10" si="21">P31+P49+P67+P85</f>
        <v>3134000</v>
      </c>
      <c r="Q10" s="453">
        <f t="shared" si="21"/>
        <v>3802500</v>
      </c>
      <c r="R10" s="453">
        <f t="shared" si="21"/>
        <v>3831500</v>
      </c>
      <c r="S10" s="454">
        <f t="shared" si="7"/>
        <v>10768000</v>
      </c>
      <c r="T10" s="454">
        <f t="shared" si="8"/>
        <v>44559000</v>
      </c>
    </row>
    <row r="11" spans="1:20" s="737" customFormat="1" ht="22.5" customHeight="1">
      <c r="A11" s="738"/>
      <c r="B11" s="1529"/>
      <c r="C11" s="144" t="s">
        <v>55</v>
      </c>
      <c r="D11" s="453">
        <f t="shared" si="9"/>
        <v>15539000</v>
      </c>
      <c r="E11" s="453">
        <f t="shared" si="9"/>
        <v>15539000</v>
      </c>
      <c r="F11" s="453">
        <f t="shared" si="9"/>
        <v>16905000</v>
      </c>
      <c r="G11" s="454">
        <f t="shared" si="1"/>
        <v>47983000</v>
      </c>
      <c r="H11" s="453">
        <f t="shared" ref="H11:J11" si="22">H32+H50+H68+H86</f>
        <v>48195500</v>
      </c>
      <c r="I11" s="453">
        <f t="shared" si="22"/>
        <v>48195500</v>
      </c>
      <c r="J11" s="453">
        <f t="shared" si="22"/>
        <v>49004000</v>
      </c>
      <c r="K11" s="454">
        <f t="shared" si="3"/>
        <v>145395000</v>
      </c>
      <c r="L11" s="453">
        <f t="shared" ref="L11:N11" si="23">L32+L50+L68+L86</f>
        <v>41888500</v>
      </c>
      <c r="M11" s="453">
        <f t="shared" si="23"/>
        <v>41888500</v>
      </c>
      <c r="N11" s="453">
        <f t="shared" si="23"/>
        <v>41099000</v>
      </c>
      <c r="O11" s="454">
        <f t="shared" si="5"/>
        <v>124876000</v>
      </c>
      <c r="P11" s="453">
        <f t="shared" ref="P11:R11" si="24">P32+P50+P68+P86</f>
        <v>34143500</v>
      </c>
      <c r="Q11" s="453">
        <f t="shared" si="24"/>
        <v>34812000</v>
      </c>
      <c r="R11" s="453">
        <f t="shared" si="24"/>
        <v>34773000</v>
      </c>
      <c r="S11" s="454">
        <f t="shared" si="7"/>
        <v>103728500</v>
      </c>
      <c r="T11" s="454">
        <f t="shared" si="8"/>
        <v>421982500</v>
      </c>
    </row>
    <row r="12" spans="1:20" s="737" customFormat="1" ht="22.5" customHeight="1">
      <c r="A12" s="738"/>
      <c r="B12" s="1529"/>
      <c r="C12" s="144" t="s">
        <v>61</v>
      </c>
      <c r="D12" s="453">
        <f t="shared" si="9"/>
        <v>1487000</v>
      </c>
      <c r="E12" s="453">
        <f t="shared" si="9"/>
        <v>2155500</v>
      </c>
      <c r="F12" s="453">
        <f t="shared" si="9"/>
        <v>3691500</v>
      </c>
      <c r="G12" s="454">
        <f t="shared" si="1"/>
        <v>7334000</v>
      </c>
      <c r="H12" s="453">
        <f t="shared" ref="H12:J12" si="25">H33+H51+H69+H87</f>
        <v>5328500</v>
      </c>
      <c r="I12" s="453">
        <f t="shared" si="25"/>
        <v>5997000</v>
      </c>
      <c r="J12" s="453">
        <f t="shared" si="25"/>
        <v>6776500</v>
      </c>
      <c r="K12" s="454">
        <f t="shared" si="3"/>
        <v>18102000</v>
      </c>
      <c r="L12" s="453">
        <f t="shared" ref="L12:N12" si="26">L33+L51+L69+L87</f>
        <v>5328500</v>
      </c>
      <c r="M12" s="453">
        <f t="shared" si="26"/>
        <v>5328500</v>
      </c>
      <c r="N12" s="453">
        <f t="shared" si="26"/>
        <v>4461000</v>
      </c>
      <c r="O12" s="454">
        <f t="shared" si="5"/>
        <v>15118000</v>
      </c>
      <c r="P12" s="453">
        <f t="shared" ref="P12:R12" si="27">P33+P51+P69+P87</f>
        <v>4471000</v>
      </c>
      <c r="Q12" s="453">
        <f t="shared" si="27"/>
        <v>3802500</v>
      </c>
      <c r="R12" s="453">
        <f t="shared" si="27"/>
        <v>3831500</v>
      </c>
      <c r="S12" s="454">
        <f t="shared" si="7"/>
        <v>12105000</v>
      </c>
      <c r="T12" s="454">
        <f t="shared" si="8"/>
        <v>52659000</v>
      </c>
    </row>
    <row r="13" spans="1:20" s="737" customFormat="1" ht="22.5" customHeight="1">
      <c r="A13" s="738"/>
      <c r="B13" s="1530"/>
      <c r="C13" s="144" t="s">
        <v>62</v>
      </c>
      <c r="D13" s="453">
        <f t="shared" si="9"/>
        <v>1637000</v>
      </c>
      <c r="E13" s="453">
        <f t="shared" si="9"/>
        <v>2455500</v>
      </c>
      <c r="F13" s="453">
        <f t="shared" si="9"/>
        <v>1688700</v>
      </c>
      <c r="G13" s="454">
        <f t="shared" si="1"/>
        <v>5781200</v>
      </c>
      <c r="H13" s="453">
        <f t="shared" ref="H13:J13" si="28">H34+H52+H70+H88</f>
        <v>5740700</v>
      </c>
      <c r="I13" s="453">
        <f t="shared" si="28"/>
        <v>6559200</v>
      </c>
      <c r="J13" s="453">
        <f t="shared" si="28"/>
        <v>5781200</v>
      </c>
      <c r="K13" s="454">
        <f t="shared" si="3"/>
        <v>18081100</v>
      </c>
      <c r="L13" s="453">
        <f t="shared" ref="L13:N13" si="29">L34+L52+L70+L88</f>
        <v>4922200</v>
      </c>
      <c r="M13" s="453">
        <f t="shared" si="29"/>
        <v>4922200</v>
      </c>
      <c r="N13" s="453">
        <f t="shared" si="29"/>
        <v>4962700</v>
      </c>
      <c r="O13" s="454">
        <f t="shared" si="5"/>
        <v>14807100</v>
      </c>
      <c r="P13" s="453">
        <f t="shared" ref="P13:R13" si="30">P34+P52+P70+P88</f>
        <v>4103700</v>
      </c>
      <c r="Q13" s="453">
        <f t="shared" si="30"/>
        <v>4103700</v>
      </c>
      <c r="R13" s="453">
        <f t="shared" si="30"/>
        <v>4133000</v>
      </c>
      <c r="S13" s="454">
        <f t="shared" si="7"/>
        <v>12340400</v>
      </c>
      <c r="T13" s="454">
        <f t="shared" si="8"/>
        <v>51009800</v>
      </c>
    </row>
    <row r="14" spans="1:20" s="737" customFormat="1" ht="22.5" customHeight="1">
      <c r="A14" s="738"/>
      <c r="B14" s="1528" t="s">
        <v>522</v>
      </c>
      <c r="C14" s="144" t="s">
        <v>66</v>
      </c>
      <c r="D14" s="453">
        <f t="shared" si="9"/>
        <v>818500</v>
      </c>
      <c r="E14" s="453">
        <f t="shared" si="9"/>
        <v>818500</v>
      </c>
      <c r="F14" s="453">
        <f t="shared" si="9"/>
        <v>1497000</v>
      </c>
      <c r="G14" s="454">
        <f t="shared" si="1"/>
        <v>3134000</v>
      </c>
      <c r="H14" s="453">
        <f t="shared" ref="H14:J14" si="31">H35+H53+H71+H89</f>
        <v>2465500</v>
      </c>
      <c r="I14" s="453">
        <f t="shared" si="31"/>
        <v>3134000</v>
      </c>
      <c r="J14" s="453">
        <f t="shared" si="31"/>
        <v>3124000</v>
      </c>
      <c r="K14" s="454">
        <f t="shared" si="3"/>
        <v>8723500</v>
      </c>
      <c r="L14" s="453">
        <f t="shared" ref="L14:N14" si="32">L35+L53+L71+L89</f>
        <v>3134000</v>
      </c>
      <c r="M14" s="453">
        <f t="shared" si="32"/>
        <v>3134000</v>
      </c>
      <c r="N14" s="453">
        <f t="shared" si="32"/>
        <v>1637000</v>
      </c>
      <c r="O14" s="454">
        <f t="shared" si="5"/>
        <v>7905000</v>
      </c>
      <c r="P14" s="453">
        <f t="shared" ref="P14:R14" si="33">P35+P53+P71+P89</f>
        <v>2305500</v>
      </c>
      <c r="Q14" s="453">
        <f t="shared" si="33"/>
        <v>1637000</v>
      </c>
      <c r="R14" s="453">
        <f t="shared" si="33"/>
        <v>1647000</v>
      </c>
      <c r="S14" s="454">
        <f t="shared" si="7"/>
        <v>5589500</v>
      </c>
      <c r="T14" s="454">
        <f t="shared" si="8"/>
        <v>25352000</v>
      </c>
    </row>
    <row r="15" spans="1:20" s="737" customFormat="1" ht="22.5" customHeight="1">
      <c r="A15" s="738"/>
      <c r="B15" s="1529"/>
      <c r="C15" s="144" t="s">
        <v>65</v>
      </c>
      <c r="D15" s="453">
        <f t="shared" si="9"/>
        <v>818500</v>
      </c>
      <c r="E15" s="453">
        <f t="shared" si="9"/>
        <v>818500</v>
      </c>
      <c r="F15" s="453">
        <f t="shared" si="9"/>
        <v>1497000</v>
      </c>
      <c r="G15" s="454">
        <f t="shared" si="1"/>
        <v>3134000</v>
      </c>
      <c r="H15" s="453">
        <f t="shared" ref="H15:J15" si="34">H36+H54+H72+H90</f>
        <v>3134000</v>
      </c>
      <c r="I15" s="453">
        <f t="shared" si="34"/>
        <v>3134000</v>
      </c>
      <c r="J15" s="453">
        <f t="shared" si="34"/>
        <v>3163000</v>
      </c>
      <c r="K15" s="454">
        <f t="shared" si="3"/>
        <v>9431000</v>
      </c>
      <c r="L15" s="453">
        <f>L36+L54+L72+L90</f>
        <v>3134000</v>
      </c>
      <c r="M15" s="453">
        <f t="shared" ref="M15:N15" si="35">M36+M54+M72+M90</f>
        <v>3134000</v>
      </c>
      <c r="N15" s="453">
        <f t="shared" si="35"/>
        <v>1637000</v>
      </c>
      <c r="O15" s="454">
        <f t="shared" si="5"/>
        <v>7905000</v>
      </c>
      <c r="P15" s="453">
        <f t="shared" ref="P15:R15" si="36">P36+P54+P72+P90</f>
        <v>1637000</v>
      </c>
      <c r="Q15" s="453">
        <f t="shared" si="36"/>
        <v>2305500</v>
      </c>
      <c r="R15" s="453">
        <f t="shared" si="36"/>
        <v>2315500</v>
      </c>
      <c r="S15" s="454">
        <f t="shared" si="7"/>
        <v>6258000</v>
      </c>
      <c r="T15" s="454">
        <f t="shared" si="8"/>
        <v>26728000</v>
      </c>
    </row>
    <row r="16" spans="1:20" s="737" customFormat="1" ht="22.5" customHeight="1">
      <c r="A16" s="738"/>
      <c r="B16" s="1529"/>
      <c r="C16" s="144" t="s">
        <v>67</v>
      </c>
      <c r="D16" s="453">
        <f t="shared" si="9"/>
        <v>668500</v>
      </c>
      <c r="E16" s="453">
        <f t="shared" si="9"/>
        <v>668500</v>
      </c>
      <c r="F16" s="453">
        <f t="shared" si="9"/>
        <v>707500</v>
      </c>
      <c r="G16" s="454">
        <f t="shared" si="1"/>
        <v>2044500</v>
      </c>
      <c r="H16" s="453">
        <f t="shared" ref="H16:J16" si="37">H37+H55+H73+H91</f>
        <v>1337000</v>
      </c>
      <c r="I16" s="453">
        <f t="shared" si="37"/>
        <v>1337000</v>
      </c>
      <c r="J16" s="453">
        <f t="shared" si="37"/>
        <v>1376000</v>
      </c>
      <c r="K16" s="454">
        <f t="shared" si="3"/>
        <v>4050000</v>
      </c>
      <c r="L16" s="453">
        <f t="shared" ref="L16:N16" si="38">L37+L55+L73+L91</f>
        <v>1337000</v>
      </c>
      <c r="M16" s="453">
        <f t="shared" si="38"/>
        <v>1337000</v>
      </c>
      <c r="N16" s="453">
        <f t="shared" si="38"/>
        <v>707500</v>
      </c>
      <c r="O16" s="454">
        <f t="shared" si="5"/>
        <v>3381500</v>
      </c>
      <c r="P16" s="453">
        <f t="shared" ref="P16:R16" si="39">P37+P55+P73+P91</f>
        <v>1337000</v>
      </c>
      <c r="Q16" s="453">
        <f t="shared" si="39"/>
        <v>668500</v>
      </c>
      <c r="R16" s="453">
        <f t="shared" si="39"/>
        <v>707500</v>
      </c>
      <c r="S16" s="454">
        <f t="shared" si="7"/>
        <v>2713000</v>
      </c>
      <c r="T16" s="454">
        <f t="shared" si="8"/>
        <v>12189000</v>
      </c>
    </row>
    <row r="17" spans="1:23" s="737" customFormat="1" ht="22.5" customHeight="1">
      <c r="A17" s="738"/>
      <c r="B17" s="1529"/>
      <c r="C17" s="144" t="s">
        <v>64</v>
      </c>
      <c r="D17" s="453">
        <f t="shared" si="9"/>
        <v>1487000</v>
      </c>
      <c r="E17" s="453">
        <f t="shared" si="9"/>
        <v>818500</v>
      </c>
      <c r="F17" s="453">
        <f t="shared" si="9"/>
        <v>668500</v>
      </c>
      <c r="G17" s="454">
        <f t="shared" si="1"/>
        <v>2974000</v>
      </c>
      <c r="H17" s="453">
        <f t="shared" ref="H17:J17" si="40">H38+H56+H74+H92</f>
        <v>3802500</v>
      </c>
      <c r="I17" s="453">
        <f t="shared" si="40"/>
        <v>3134000</v>
      </c>
      <c r="J17" s="453">
        <f t="shared" si="40"/>
        <v>2344500</v>
      </c>
      <c r="K17" s="454">
        <f t="shared" si="3"/>
        <v>9281000</v>
      </c>
      <c r="L17" s="453">
        <f t="shared" ref="L17:N17" si="41">L38+L56+L74+L92</f>
        <v>2305500</v>
      </c>
      <c r="M17" s="453">
        <f t="shared" si="41"/>
        <v>2305500</v>
      </c>
      <c r="N17" s="453">
        <f t="shared" si="41"/>
        <v>3173000</v>
      </c>
      <c r="O17" s="454">
        <f t="shared" si="5"/>
        <v>7784000</v>
      </c>
      <c r="P17" s="453">
        <f t="shared" ref="P17:R17" si="42">P38+P56+P74+P92</f>
        <v>2305500</v>
      </c>
      <c r="Q17" s="453">
        <f t="shared" si="42"/>
        <v>2305500</v>
      </c>
      <c r="R17" s="453">
        <f t="shared" si="42"/>
        <v>2354500</v>
      </c>
      <c r="S17" s="454">
        <f t="shared" si="7"/>
        <v>6965500</v>
      </c>
      <c r="T17" s="454">
        <f t="shared" si="8"/>
        <v>27004500</v>
      </c>
    </row>
    <row r="18" spans="1:23" s="737" customFormat="1" ht="22.5" customHeight="1">
      <c r="A18" s="738"/>
      <c r="B18" s="1530"/>
      <c r="C18" s="144" t="s">
        <v>60</v>
      </c>
      <c r="D18" s="453">
        <f t="shared" si="9"/>
        <v>2305500</v>
      </c>
      <c r="E18" s="453">
        <f t="shared" si="9"/>
        <v>2974000</v>
      </c>
      <c r="F18" s="453">
        <f t="shared" si="9"/>
        <v>2204500</v>
      </c>
      <c r="G18" s="454">
        <f t="shared" si="1"/>
        <v>7484000</v>
      </c>
      <c r="H18" s="453">
        <f t="shared" ref="H18:J18" si="43">H39+H57+H75+H93</f>
        <v>6815500</v>
      </c>
      <c r="I18" s="453">
        <f t="shared" si="43"/>
        <v>6147000</v>
      </c>
      <c r="J18" s="453">
        <f t="shared" si="43"/>
        <v>6926500</v>
      </c>
      <c r="K18" s="454">
        <f t="shared" si="3"/>
        <v>19889000</v>
      </c>
      <c r="L18" s="453">
        <f t="shared" ref="L18:N18" si="44">L39+L57+L75+L93</f>
        <v>6147000</v>
      </c>
      <c r="M18" s="453">
        <f t="shared" si="44"/>
        <v>6147000</v>
      </c>
      <c r="N18" s="453">
        <f t="shared" si="44"/>
        <v>4621000</v>
      </c>
      <c r="O18" s="454">
        <f t="shared" si="5"/>
        <v>16915000</v>
      </c>
      <c r="P18" s="453">
        <f t="shared" ref="P18:R18" si="45">P39+P57+P75+P93</f>
        <v>5958000</v>
      </c>
      <c r="Q18" s="453">
        <f t="shared" si="45"/>
        <v>4621000</v>
      </c>
      <c r="R18" s="453">
        <f t="shared" si="45"/>
        <v>3981500</v>
      </c>
      <c r="S18" s="454">
        <f t="shared" si="7"/>
        <v>14560500</v>
      </c>
      <c r="T18" s="454">
        <f t="shared" si="8"/>
        <v>58848500</v>
      </c>
    </row>
    <row r="19" spans="1:23" s="737" customFormat="1" ht="36" customHeight="1">
      <c r="A19" s="738"/>
      <c r="B19" s="144" t="s">
        <v>523</v>
      </c>
      <c r="C19" s="1355" t="s">
        <v>524</v>
      </c>
      <c r="D19" s="453">
        <f t="shared" si="9"/>
        <v>120491500</v>
      </c>
      <c r="E19" s="453">
        <f t="shared" si="9"/>
        <v>120491500</v>
      </c>
      <c r="F19" s="453">
        <f t="shared" si="9"/>
        <v>121189000</v>
      </c>
      <c r="G19" s="454">
        <f t="shared" si="1"/>
        <v>362172000</v>
      </c>
      <c r="H19" s="453">
        <f t="shared" ref="H19:J19" si="46">H40+H58+H76+H94</f>
        <v>236870999.83333331</v>
      </c>
      <c r="I19" s="453">
        <f t="shared" si="46"/>
        <v>236870999.83333331</v>
      </c>
      <c r="J19" s="453">
        <f t="shared" si="46"/>
        <v>236831999.83333331</v>
      </c>
      <c r="K19" s="454">
        <f t="shared" si="3"/>
        <v>710573999.5</v>
      </c>
      <c r="L19" s="453">
        <f t="shared" ref="L19:N19" si="47">L40+L58+L76+L94</f>
        <v>200663499.8611111</v>
      </c>
      <c r="M19" s="453">
        <f t="shared" si="47"/>
        <v>200663499.8611111</v>
      </c>
      <c r="N19" s="453">
        <f t="shared" si="47"/>
        <v>200653499.8611111</v>
      </c>
      <c r="O19" s="454">
        <f t="shared" si="5"/>
        <v>601980499.58333325</v>
      </c>
      <c r="P19" s="453">
        <f t="shared" ref="P19:R19" si="48">P40+P58+P76+P94</f>
        <v>163627499.8888889</v>
      </c>
      <c r="Q19" s="453">
        <f t="shared" si="48"/>
        <v>163627499.8888889</v>
      </c>
      <c r="R19" s="453">
        <f t="shared" si="48"/>
        <v>162896499.8888889</v>
      </c>
      <c r="S19" s="454">
        <f t="shared" si="7"/>
        <v>490151499.66666669</v>
      </c>
      <c r="T19" s="454">
        <f t="shared" si="8"/>
        <v>2164877998.75</v>
      </c>
    </row>
    <row r="20" spans="1:23" s="737" customFormat="1" ht="48.95" customHeight="1">
      <c r="A20" s="738"/>
      <c r="B20" s="144"/>
      <c r="C20" s="146" t="s">
        <v>525</v>
      </c>
      <c r="D20" s="453">
        <f t="shared" ref="D20:T20" si="49">SUM(D6:D18)</f>
        <v>54081000</v>
      </c>
      <c r="E20" s="453">
        <f t="shared" si="49"/>
        <v>55568000</v>
      </c>
      <c r="F20" s="453">
        <f t="shared" si="49"/>
        <v>59376700</v>
      </c>
      <c r="G20" s="454">
        <f t="shared" si="49"/>
        <v>169025700</v>
      </c>
      <c r="H20" s="453">
        <f t="shared" si="49"/>
        <v>165324700</v>
      </c>
      <c r="I20" s="453">
        <f t="shared" si="49"/>
        <v>166143200</v>
      </c>
      <c r="J20" s="453">
        <f t="shared" si="49"/>
        <v>168746200</v>
      </c>
      <c r="K20" s="454">
        <f t="shared" si="49"/>
        <v>500214100</v>
      </c>
      <c r="L20" s="453">
        <f t="shared" si="49"/>
        <v>145164700</v>
      </c>
      <c r="M20" s="453">
        <f t="shared" si="49"/>
        <v>145164700</v>
      </c>
      <c r="N20" s="453">
        <f t="shared" si="49"/>
        <v>137550200</v>
      </c>
      <c r="O20" s="454">
        <f t="shared" si="49"/>
        <v>427879600</v>
      </c>
      <c r="P20" s="453">
        <f t="shared" si="49"/>
        <v>119806700</v>
      </c>
      <c r="Q20" s="453">
        <f t="shared" si="49"/>
        <v>117132700</v>
      </c>
      <c r="R20" s="453">
        <f t="shared" si="49"/>
        <v>116049000</v>
      </c>
      <c r="S20" s="454">
        <f t="shared" si="49"/>
        <v>352988400</v>
      </c>
      <c r="T20" s="454">
        <f t="shared" si="49"/>
        <v>1450107800</v>
      </c>
    </row>
    <row r="21" spans="1:23" s="737" customFormat="1" ht="44.1" customHeight="1">
      <c r="A21" s="738"/>
      <c r="B21" s="144"/>
      <c r="C21" s="146" t="s">
        <v>526</v>
      </c>
      <c r="D21" s="453">
        <f t="shared" ref="D21:T21" si="50">D13</f>
        <v>1637000</v>
      </c>
      <c r="E21" s="453">
        <f t="shared" si="50"/>
        <v>2455500</v>
      </c>
      <c r="F21" s="453">
        <f t="shared" si="50"/>
        <v>1688700</v>
      </c>
      <c r="G21" s="454">
        <f t="shared" si="50"/>
        <v>5781200</v>
      </c>
      <c r="H21" s="453">
        <f t="shared" si="50"/>
        <v>5740700</v>
      </c>
      <c r="I21" s="453">
        <f t="shared" si="50"/>
        <v>6559200</v>
      </c>
      <c r="J21" s="453">
        <f t="shared" si="50"/>
        <v>5781200</v>
      </c>
      <c r="K21" s="454">
        <f t="shared" si="50"/>
        <v>18081100</v>
      </c>
      <c r="L21" s="453">
        <f t="shared" si="50"/>
        <v>4922200</v>
      </c>
      <c r="M21" s="453">
        <f t="shared" si="50"/>
        <v>4922200</v>
      </c>
      <c r="N21" s="453">
        <f t="shared" si="50"/>
        <v>4962700</v>
      </c>
      <c r="O21" s="454">
        <f t="shared" si="50"/>
        <v>14807100</v>
      </c>
      <c r="P21" s="453">
        <f t="shared" si="50"/>
        <v>4103700</v>
      </c>
      <c r="Q21" s="453">
        <f t="shared" si="50"/>
        <v>4103700</v>
      </c>
      <c r="R21" s="453">
        <f t="shared" si="50"/>
        <v>4133000</v>
      </c>
      <c r="S21" s="454">
        <f t="shared" si="50"/>
        <v>12340400</v>
      </c>
      <c r="T21" s="454">
        <f t="shared" si="50"/>
        <v>51009800</v>
      </c>
    </row>
    <row r="22" spans="1:23" s="737" customFormat="1" ht="22.5" customHeight="1" thickBot="1">
      <c r="A22" s="738"/>
    </row>
    <row r="23" spans="1:23" ht="23.25" customHeight="1" thickBot="1">
      <c r="A23" s="737"/>
      <c r="B23" s="1509" t="s">
        <v>532</v>
      </c>
      <c r="C23" s="1510"/>
      <c r="D23" s="1510"/>
      <c r="E23" s="1510"/>
      <c r="F23" s="1510"/>
      <c r="G23" s="1510"/>
      <c r="H23" s="1510"/>
      <c r="I23" s="1510"/>
      <c r="J23" s="1510"/>
      <c r="K23" s="1510"/>
      <c r="L23" s="1510"/>
      <c r="M23" s="1510"/>
      <c r="N23" s="1510"/>
      <c r="O23" s="1510"/>
      <c r="P23" s="1510"/>
      <c r="Q23" s="1510"/>
      <c r="R23" s="1510"/>
      <c r="S23" s="1510"/>
      <c r="T23" s="1511"/>
      <c r="U23" s="737"/>
      <c r="V23" s="737"/>
      <c r="W23" s="737"/>
    </row>
    <row r="24" spans="1:23" ht="15" customHeight="1" thickBot="1">
      <c r="A24" s="737"/>
      <c r="B24" s="1512" t="s">
        <v>502</v>
      </c>
      <c r="C24" s="1488"/>
      <c r="D24" s="1531" t="s">
        <v>258</v>
      </c>
      <c r="E24" s="1532"/>
      <c r="F24" s="1532"/>
      <c r="G24" s="1533"/>
      <c r="H24" s="1534" t="s">
        <v>262</v>
      </c>
      <c r="I24" s="1532"/>
      <c r="J24" s="1532"/>
      <c r="K24" s="1533"/>
      <c r="L24" s="1534" t="s">
        <v>266</v>
      </c>
      <c r="M24" s="1532"/>
      <c r="N24" s="1532"/>
      <c r="O24" s="1533"/>
      <c r="P24" s="1534" t="s">
        <v>270</v>
      </c>
      <c r="Q24" s="1532"/>
      <c r="R24" s="1532"/>
      <c r="S24" s="1533"/>
      <c r="T24" s="1516" t="s">
        <v>503</v>
      </c>
      <c r="U24" s="737"/>
      <c r="V24" s="737"/>
      <c r="W24" s="737"/>
    </row>
    <row r="25" spans="1:23" ht="15" thickBot="1">
      <c r="A25" s="737"/>
      <c r="B25" s="450"/>
      <c r="C25" s="451"/>
      <c r="D25" s="1350" t="s">
        <v>255</v>
      </c>
      <c r="E25" s="1351" t="s">
        <v>256</v>
      </c>
      <c r="F25" s="1351" t="s">
        <v>257</v>
      </c>
      <c r="G25" s="1354" t="s">
        <v>504</v>
      </c>
      <c r="H25" s="1350" t="s">
        <v>259</v>
      </c>
      <c r="I25" s="1351" t="s">
        <v>260</v>
      </c>
      <c r="J25" s="1351" t="s">
        <v>263</v>
      </c>
      <c r="K25" s="1354" t="s">
        <v>505</v>
      </c>
      <c r="L25" s="1350" t="s">
        <v>263</v>
      </c>
      <c r="M25" s="1351" t="s">
        <v>264</v>
      </c>
      <c r="N25" s="1351" t="s">
        <v>506</v>
      </c>
      <c r="O25" s="1354" t="s">
        <v>507</v>
      </c>
      <c r="P25" s="1350" t="s">
        <v>267</v>
      </c>
      <c r="Q25" s="1351" t="s">
        <v>268</v>
      </c>
      <c r="R25" s="1351" t="s">
        <v>269</v>
      </c>
      <c r="S25" s="1352" t="s">
        <v>508</v>
      </c>
      <c r="T25" s="1517"/>
      <c r="U25" s="737"/>
      <c r="V25" s="737"/>
      <c r="W25" s="737"/>
    </row>
    <row r="26" spans="1:23">
      <c r="A26" s="737"/>
      <c r="B26" s="449"/>
      <c r="C26" s="452"/>
      <c r="D26" s="1526" t="s">
        <v>510</v>
      </c>
      <c r="E26" s="1526"/>
      <c r="F26" s="1526"/>
      <c r="G26" s="1526"/>
      <c r="H26" s="1526"/>
      <c r="I26" s="1526"/>
      <c r="J26" s="1526"/>
      <c r="K26" s="1526"/>
      <c r="L26" s="1526"/>
      <c r="M26" s="1526"/>
      <c r="N26" s="1526"/>
      <c r="O26" s="1526"/>
      <c r="P26" s="1526"/>
      <c r="Q26" s="1526"/>
      <c r="R26" s="1526"/>
      <c r="S26" s="1526"/>
      <c r="T26" s="1527"/>
      <c r="U26" s="737"/>
      <c r="V26" s="737"/>
      <c r="W26" s="737"/>
    </row>
    <row r="27" spans="1:23">
      <c r="A27" s="737"/>
      <c r="B27" s="1528" t="s">
        <v>515</v>
      </c>
      <c r="C27" s="144" t="s">
        <v>57</v>
      </c>
      <c r="D27" s="453">
        <f>'PL. Prodeje'!D6*Produkty!$C$4</f>
        <v>2005500</v>
      </c>
      <c r="E27" s="453">
        <f>'PL. Prodeje'!E6*Produkty!$C$4</f>
        <v>2005500</v>
      </c>
      <c r="F27" s="453">
        <f>'PL. Prodeje'!F6*Produkty!$C$4</f>
        <v>2674000</v>
      </c>
      <c r="G27" s="454">
        <f t="shared" ref="G27:G40" si="51">SUM(D27:F27)</f>
        <v>6685000</v>
      </c>
      <c r="H27" s="453">
        <f>'PL. Prodeje'!H6*Produkty!$C$4</f>
        <v>4011000</v>
      </c>
      <c r="I27" s="453">
        <f>'PL. Prodeje'!I6*Produkty!$C$4</f>
        <v>4679500</v>
      </c>
      <c r="J27" s="453">
        <f>'PL. Prodeje'!J6*Produkty!$C$4</f>
        <v>4679500</v>
      </c>
      <c r="K27" s="454">
        <f t="shared" ref="K27:K40" si="52">SUM(H27:J27)</f>
        <v>13370000</v>
      </c>
      <c r="L27" s="453">
        <f>'PL. Prodeje'!L6*Produkty!$C$4</f>
        <v>4011000</v>
      </c>
      <c r="M27" s="453">
        <f>'PL. Prodeje'!M6*Produkty!$C$4</f>
        <v>3342500</v>
      </c>
      <c r="N27" s="453">
        <f>'PL. Prodeje'!N6*Produkty!$C$4</f>
        <v>3342500</v>
      </c>
      <c r="O27" s="454">
        <f t="shared" ref="O27:O40" si="53">SUM(L27:N27)</f>
        <v>10696000</v>
      </c>
      <c r="P27" s="453">
        <f>'PL. Prodeje'!P6*Produkty!$C$4</f>
        <v>3342500</v>
      </c>
      <c r="Q27" s="453">
        <f>'PL. Prodeje'!Q6*Produkty!$C$4</f>
        <v>2674000</v>
      </c>
      <c r="R27" s="453">
        <f>'PL. Prodeje'!R6*Produkty!$C$4</f>
        <v>2674000</v>
      </c>
      <c r="S27" s="454">
        <f t="shared" ref="S27:S40" si="54">SUM(P27:R27)</f>
        <v>8690500</v>
      </c>
      <c r="T27" s="454">
        <f t="shared" ref="T27:T40" si="55">G27+K27+O27+S27</f>
        <v>39441500</v>
      </c>
      <c r="U27" s="737"/>
      <c r="V27" s="737"/>
      <c r="W27" s="737"/>
    </row>
    <row r="28" spans="1:23">
      <c r="A28" s="737"/>
      <c r="B28" s="1529"/>
      <c r="C28" s="144" t="s">
        <v>56</v>
      </c>
      <c r="D28" s="453">
        <f>'PL. Prodeje'!D7*Produkty!$C$4</f>
        <v>3342500</v>
      </c>
      <c r="E28" s="453">
        <f>'PL. Prodeje'!E7*Produkty!$C$4</f>
        <v>3342500</v>
      </c>
      <c r="F28" s="453">
        <f>'PL. Prodeje'!F7*Produkty!$C$4</f>
        <v>3342500</v>
      </c>
      <c r="G28" s="454">
        <f t="shared" si="51"/>
        <v>10027500</v>
      </c>
      <c r="H28" s="453">
        <f>'PL. Prodeje'!H7*Produkty!$C$4</f>
        <v>6685000</v>
      </c>
      <c r="I28" s="453">
        <f>'PL. Prodeje'!I7*Produkty!$C$4</f>
        <v>6685000</v>
      </c>
      <c r="J28" s="453">
        <f>'PL. Prodeje'!J7*Produkty!$C$4</f>
        <v>6685000</v>
      </c>
      <c r="K28" s="454">
        <f t="shared" si="52"/>
        <v>20055000</v>
      </c>
      <c r="L28" s="453">
        <f>'PL. Prodeje'!L7*Produkty!$C$4</f>
        <v>6016500</v>
      </c>
      <c r="M28" s="453">
        <f>'PL. Prodeje'!M7*Produkty!$C$4</f>
        <v>5348000</v>
      </c>
      <c r="N28" s="453">
        <f>'PL. Prodeje'!N7*Produkty!$C$4</f>
        <v>5348000</v>
      </c>
      <c r="O28" s="454">
        <f t="shared" si="53"/>
        <v>16712500</v>
      </c>
      <c r="P28" s="453">
        <f>'PL. Prodeje'!P7*Produkty!$C$4</f>
        <v>4011000</v>
      </c>
      <c r="Q28" s="453">
        <f>'PL. Prodeje'!Q7*Produkty!$C$4</f>
        <v>4679500</v>
      </c>
      <c r="R28" s="453">
        <f>'PL. Prodeje'!R7*Produkty!$C$4</f>
        <v>4679500</v>
      </c>
      <c r="S28" s="454">
        <f t="shared" si="54"/>
        <v>13370000</v>
      </c>
      <c r="T28" s="454">
        <f t="shared" si="55"/>
        <v>60165000</v>
      </c>
      <c r="U28" s="333"/>
      <c r="V28" s="333"/>
      <c r="W28" s="333"/>
    </row>
    <row r="29" spans="1:23" ht="15">
      <c r="A29" s="737"/>
      <c r="B29" s="1529"/>
      <c r="C29" s="144" t="s">
        <v>58</v>
      </c>
      <c r="D29" s="453">
        <f>'PL. Prodeje'!D8*Produkty!$C$4</f>
        <v>2005500</v>
      </c>
      <c r="E29" s="453">
        <f>'PL. Prodeje'!E8*Produkty!$C$4</f>
        <v>2005500</v>
      </c>
      <c r="F29" s="453">
        <f>'PL. Prodeje'!F8*Produkty!$C$4</f>
        <v>2674000</v>
      </c>
      <c r="G29" s="454">
        <f t="shared" si="51"/>
        <v>6685000</v>
      </c>
      <c r="H29" s="453">
        <f>'PL. Prodeje'!H8*Produkty!$C$4</f>
        <v>4011000</v>
      </c>
      <c r="I29" s="453">
        <f>'PL. Prodeje'!I8*Produkty!$C$4</f>
        <v>4679500</v>
      </c>
      <c r="J29" s="453">
        <f>'PL. Prodeje'!J8*Produkty!$C$4</f>
        <v>4679500</v>
      </c>
      <c r="K29" s="454">
        <f t="shared" si="52"/>
        <v>13370000</v>
      </c>
      <c r="L29" s="453">
        <f>'PL. Prodeje'!L8*Produkty!$C$4</f>
        <v>3342500</v>
      </c>
      <c r="M29" s="453">
        <f>'PL. Prodeje'!M8*Produkty!$C$4</f>
        <v>4011000</v>
      </c>
      <c r="N29" s="453">
        <f>'PL. Prodeje'!N8*Produkty!$C$4</f>
        <v>4011000</v>
      </c>
      <c r="O29" s="454">
        <f t="shared" si="53"/>
        <v>11364500</v>
      </c>
      <c r="P29" s="453">
        <f>'PL. Prodeje'!P8*Produkty!$C$4</f>
        <v>3342500</v>
      </c>
      <c r="Q29" s="453">
        <f>'PL. Prodeje'!Q8*Produkty!$C$4</f>
        <v>2674000</v>
      </c>
      <c r="R29" s="453">
        <f>'PL. Prodeje'!R8*Produkty!$C$4</f>
        <v>2674000</v>
      </c>
      <c r="S29" s="454">
        <f t="shared" si="54"/>
        <v>8690500</v>
      </c>
      <c r="T29" s="454">
        <f t="shared" si="55"/>
        <v>40110000</v>
      </c>
      <c r="U29" s="335"/>
      <c r="V29" s="333"/>
      <c r="W29" s="333"/>
    </row>
    <row r="30" spans="1:23">
      <c r="A30" s="737"/>
      <c r="B30" s="1530"/>
      <c r="C30" s="144" t="s">
        <v>59</v>
      </c>
      <c r="D30" s="453">
        <f>'PL. Prodeje'!D9*Produkty!$C$4</f>
        <v>668500</v>
      </c>
      <c r="E30" s="453">
        <f>'PL. Prodeje'!E9*Produkty!$C$4</f>
        <v>668500</v>
      </c>
      <c r="F30" s="453">
        <f>'PL. Prodeje'!F9*Produkty!$C$4</f>
        <v>1337000</v>
      </c>
      <c r="G30" s="454">
        <f t="shared" si="51"/>
        <v>2674000</v>
      </c>
      <c r="H30" s="453">
        <f>'PL. Prodeje'!H9*Produkty!$C$4</f>
        <v>2674000</v>
      </c>
      <c r="I30" s="453">
        <f>'PL. Prodeje'!I9*Produkty!$C$4</f>
        <v>2005500</v>
      </c>
      <c r="J30" s="453">
        <f>'PL. Prodeje'!J9*Produkty!$C$4</f>
        <v>2005500</v>
      </c>
      <c r="K30" s="454">
        <f t="shared" si="52"/>
        <v>6685000</v>
      </c>
      <c r="L30" s="453">
        <f>'PL. Prodeje'!L9*Produkty!$C$4</f>
        <v>1337000</v>
      </c>
      <c r="M30" s="453">
        <f>'PL. Prodeje'!M9*Produkty!$C$4</f>
        <v>2005500</v>
      </c>
      <c r="N30" s="453">
        <f>'PL. Prodeje'!N9*Produkty!$C$4</f>
        <v>2005500</v>
      </c>
      <c r="O30" s="454">
        <f t="shared" si="53"/>
        <v>5348000</v>
      </c>
      <c r="P30" s="453">
        <f>'PL. Prodeje'!P9*Produkty!$C$4</f>
        <v>2005500</v>
      </c>
      <c r="Q30" s="453">
        <f>'PL. Prodeje'!Q9*Produkty!$C$4</f>
        <v>1337000</v>
      </c>
      <c r="R30" s="453">
        <f>'PL. Prodeje'!R9*Produkty!$C$4</f>
        <v>668500</v>
      </c>
      <c r="S30" s="454">
        <f t="shared" si="54"/>
        <v>4011000</v>
      </c>
      <c r="T30" s="454">
        <f t="shared" si="55"/>
        <v>18718000</v>
      </c>
      <c r="U30" s="338"/>
      <c r="V30" s="333"/>
      <c r="W30" s="333"/>
    </row>
    <row r="31" spans="1:23">
      <c r="A31" s="737"/>
      <c r="B31" s="1528" t="s">
        <v>520</v>
      </c>
      <c r="C31" s="144" t="s">
        <v>63</v>
      </c>
      <c r="D31" s="453">
        <f>'PL. Prodeje'!D10*Produkty!$C$4</f>
        <v>668500</v>
      </c>
      <c r="E31" s="453">
        <f>'PL. Prodeje'!E10*Produkty!$C$4</f>
        <v>668500</v>
      </c>
      <c r="F31" s="453">
        <f>'PL. Prodeje'!F10*Produkty!$C$4</f>
        <v>668500</v>
      </c>
      <c r="G31" s="454">
        <f t="shared" si="51"/>
        <v>2005500</v>
      </c>
      <c r="H31" s="453">
        <f>'PL. Prodeje'!H10*Produkty!$C$4</f>
        <v>2005500</v>
      </c>
      <c r="I31" s="453">
        <f>'PL. Prodeje'!I10*Produkty!$C$4</f>
        <v>1337000</v>
      </c>
      <c r="J31" s="453">
        <f>'PL. Prodeje'!J10*Produkty!$C$4</f>
        <v>1337000</v>
      </c>
      <c r="K31" s="454">
        <f t="shared" si="52"/>
        <v>4679500</v>
      </c>
      <c r="L31" s="453">
        <f>'PL. Prodeje'!L10*Produkty!$C$4</f>
        <v>1337000</v>
      </c>
      <c r="M31" s="453">
        <f>'PL. Prodeje'!M10*Produkty!$C$4</f>
        <v>1337000</v>
      </c>
      <c r="N31" s="453">
        <f>'PL. Prodeje'!N10*Produkty!$C$4</f>
        <v>1337000</v>
      </c>
      <c r="O31" s="454">
        <f t="shared" si="53"/>
        <v>4011000</v>
      </c>
      <c r="P31" s="453">
        <f>'PL. Prodeje'!P10*Produkty!$C$4</f>
        <v>668500</v>
      </c>
      <c r="Q31" s="453">
        <f>'PL. Prodeje'!Q10*Produkty!$C$4</f>
        <v>1337000</v>
      </c>
      <c r="R31" s="453">
        <f>'PL. Prodeje'!R10*Produkty!$C$4</f>
        <v>1337000</v>
      </c>
      <c r="S31" s="454">
        <f t="shared" si="54"/>
        <v>3342500</v>
      </c>
      <c r="T31" s="454">
        <f t="shared" si="55"/>
        <v>14038500</v>
      </c>
      <c r="U31" s="333"/>
      <c r="V31" s="333"/>
      <c r="W31" s="333"/>
    </row>
    <row r="32" spans="1:23">
      <c r="A32" s="737"/>
      <c r="B32" s="1529"/>
      <c r="C32" s="144" t="s">
        <v>55</v>
      </c>
      <c r="D32" s="453">
        <f>'PL. Prodeje'!D11*Produkty!$C$4</f>
        <v>4011000</v>
      </c>
      <c r="E32" s="453">
        <f>'PL. Prodeje'!E11*Produkty!$C$4</f>
        <v>4011000</v>
      </c>
      <c r="F32" s="453">
        <f>'PL. Prodeje'!F11*Produkty!$C$4</f>
        <v>5348000</v>
      </c>
      <c r="G32" s="454">
        <f t="shared" si="51"/>
        <v>13370000</v>
      </c>
      <c r="H32" s="453">
        <f>'PL. Prodeje'!H11*Produkty!$C$4</f>
        <v>8690500</v>
      </c>
      <c r="I32" s="453">
        <f>'PL. Prodeje'!I11*Produkty!$C$4</f>
        <v>8690500</v>
      </c>
      <c r="J32" s="453">
        <f>'PL. Prodeje'!J11*Produkty!$C$4</f>
        <v>8690500</v>
      </c>
      <c r="K32" s="454">
        <f t="shared" si="52"/>
        <v>26071500</v>
      </c>
      <c r="L32" s="453">
        <f>'PL. Prodeje'!L11*Produkty!$C$4</f>
        <v>7353500</v>
      </c>
      <c r="M32" s="453">
        <f>'PL. Prodeje'!M11*Produkty!$C$4</f>
        <v>7353500</v>
      </c>
      <c r="N32" s="453">
        <f>'PL. Prodeje'!N11*Produkty!$C$4</f>
        <v>7353500</v>
      </c>
      <c r="O32" s="454">
        <f t="shared" si="53"/>
        <v>22060500</v>
      </c>
      <c r="P32" s="453">
        <f>'PL. Prodeje'!P11*Produkty!$C$4</f>
        <v>5348000</v>
      </c>
      <c r="Q32" s="453">
        <f>'PL. Prodeje'!Q11*Produkty!$C$4</f>
        <v>6016500</v>
      </c>
      <c r="R32" s="453">
        <f>'PL. Prodeje'!R11*Produkty!$C$4</f>
        <v>6016500</v>
      </c>
      <c r="S32" s="454">
        <f t="shared" si="54"/>
        <v>17381000</v>
      </c>
      <c r="T32" s="454">
        <f t="shared" si="55"/>
        <v>78883000</v>
      </c>
      <c r="U32" s="338"/>
      <c r="V32" s="333"/>
      <c r="W32" s="333"/>
    </row>
    <row r="33" spans="2:23">
      <c r="B33" s="1529"/>
      <c r="C33" s="144" t="s">
        <v>61</v>
      </c>
      <c r="D33" s="453">
        <f>'PL. Prodeje'!D12*Produkty!$C$4</f>
        <v>668500</v>
      </c>
      <c r="E33" s="453">
        <f>'PL. Prodeje'!E12*Produkty!$C$4</f>
        <v>1337000</v>
      </c>
      <c r="F33" s="453">
        <f>'PL. Prodeje'!F12*Produkty!$C$4</f>
        <v>2005500</v>
      </c>
      <c r="G33" s="454">
        <f t="shared" si="51"/>
        <v>4011000</v>
      </c>
      <c r="H33" s="453">
        <f>'PL. Prodeje'!H12*Produkty!$C$4</f>
        <v>2005500</v>
      </c>
      <c r="I33" s="453">
        <f>'PL. Prodeje'!I12*Produkty!$C$4</f>
        <v>2674000</v>
      </c>
      <c r="J33" s="453">
        <f>'PL. Prodeje'!J12*Produkty!$C$4</f>
        <v>2674000</v>
      </c>
      <c r="K33" s="454">
        <f t="shared" si="52"/>
        <v>7353500</v>
      </c>
      <c r="L33" s="453">
        <f>'PL. Prodeje'!L12*Produkty!$C$4</f>
        <v>2005500</v>
      </c>
      <c r="M33" s="453">
        <f>'PL. Prodeje'!M12*Produkty!$C$4</f>
        <v>2005500</v>
      </c>
      <c r="N33" s="453">
        <f>'PL. Prodeje'!N12*Produkty!$C$4</f>
        <v>2005500</v>
      </c>
      <c r="O33" s="454">
        <f t="shared" si="53"/>
        <v>6016500</v>
      </c>
      <c r="P33" s="453">
        <f>'PL. Prodeje'!P12*Produkty!$C$4</f>
        <v>2005500</v>
      </c>
      <c r="Q33" s="453">
        <f>'PL. Prodeje'!Q12*Produkty!$C$4</f>
        <v>1337000</v>
      </c>
      <c r="R33" s="453">
        <f>'PL. Prodeje'!R12*Produkty!$C$4</f>
        <v>1337000</v>
      </c>
      <c r="S33" s="454">
        <f t="shared" si="54"/>
        <v>4679500</v>
      </c>
      <c r="T33" s="454">
        <f t="shared" si="55"/>
        <v>22060500</v>
      </c>
      <c r="U33" s="333"/>
      <c r="V33" s="333"/>
      <c r="W33" s="333"/>
    </row>
    <row r="34" spans="2:23">
      <c r="B34" s="1530"/>
      <c r="C34" s="144" t="s">
        <v>62</v>
      </c>
      <c r="D34" s="453">
        <f>'PL. Prodeje'!D13*Produkty!$B$4</f>
        <v>0</v>
      </c>
      <c r="E34" s="453">
        <f>'PL. Prodeje'!E13*Produkty!$B$4</f>
        <v>818500</v>
      </c>
      <c r="F34" s="453">
        <f>'PL. Prodeje'!F13*Produkty!$B$4</f>
        <v>818500</v>
      </c>
      <c r="G34" s="454">
        <f t="shared" si="51"/>
        <v>1637000</v>
      </c>
      <c r="H34" s="453">
        <f>'PL. Prodeje'!H13*Produkty!$B$4</f>
        <v>818500</v>
      </c>
      <c r="I34" s="453">
        <f>'PL. Prodeje'!I13*Produkty!$B$4</f>
        <v>1637000</v>
      </c>
      <c r="J34" s="453">
        <f>'PL. Prodeje'!J13*Produkty!$B$4</f>
        <v>1637000</v>
      </c>
      <c r="K34" s="454">
        <f t="shared" si="52"/>
        <v>4092500</v>
      </c>
      <c r="L34" s="453">
        <f>'PL. Prodeje'!L13*Produkty!$B$4</f>
        <v>818500</v>
      </c>
      <c r="M34" s="453">
        <f>'PL. Prodeje'!M13*Produkty!$B$4</f>
        <v>818500</v>
      </c>
      <c r="N34" s="453">
        <f>'PL. Prodeje'!N13*Produkty!$B$4</f>
        <v>1637000</v>
      </c>
      <c r="O34" s="454">
        <f t="shared" si="53"/>
        <v>3274000</v>
      </c>
      <c r="P34" s="453">
        <f>'PL. Prodeje'!P13*Produkty!$B$4</f>
        <v>818500</v>
      </c>
      <c r="Q34" s="453">
        <f>'PL. Prodeje'!Q13*Produkty!$B$4</f>
        <v>818500</v>
      </c>
      <c r="R34" s="453">
        <f>'PL. Prodeje'!R13*Produkty!$B$4</f>
        <v>818500</v>
      </c>
      <c r="S34" s="454">
        <f t="shared" si="54"/>
        <v>2455500</v>
      </c>
      <c r="T34" s="454">
        <f t="shared" si="55"/>
        <v>11459000</v>
      </c>
      <c r="U34" s="338"/>
      <c r="V34" s="333"/>
      <c r="W34" s="333"/>
    </row>
    <row r="35" spans="2:23">
      <c r="B35" s="1528" t="s">
        <v>522</v>
      </c>
      <c r="C35" s="144" t="s">
        <v>66</v>
      </c>
      <c r="D35" s="453">
        <f>'PL. Prodeje'!D14*Produkty!$C$4</f>
        <v>0</v>
      </c>
      <c r="E35" s="453">
        <f>'PL. Prodeje'!E14*Produkty!$C$4</f>
        <v>0</v>
      </c>
      <c r="F35" s="453">
        <f>'PL. Prodeje'!F14*Produkty!$C$4</f>
        <v>668500</v>
      </c>
      <c r="G35" s="454">
        <f t="shared" si="51"/>
        <v>668500</v>
      </c>
      <c r="H35" s="453">
        <f>'PL. Prodeje'!H14*Produkty!$C$4</f>
        <v>0</v>
      </c>
      <c r="I35" s="453">
        <f>'PL. Prodeje'!I14*Produkty!$C$4</f>
        <v>668500</v>
      </c>
      <c r="J35" s="453">
        <f>'PL. Prodeje'!J14*Produkty!$C$4</f>
        <v>668500</v>
      </c>
      <c r="K35" s="454">
        <f t="shared" si="52"/>
        <v>1337000</v>
      </c>
      <c r="L35" s="453">
        <f>'PL. Prodeje'!L14*Produkty!$C$4</f>
        <v>668500</v>
      </c>
      <c r="M35" s="453">
        <f>'PL. Prodeje'!M14*Produkty!$C$4</f>
        <v>668500</v>
      </c>
      <c r="N35" s="453">
        <f>'PL. Prodeje'!N14*Produkty!$C$4</f>
        <v>0</v>
      </c>
      <c r="O35" s="454">
        <f t="shared" si="53"/>
        <v>1337000</v>
      </c>
      <c r="P35" s="453">
        <f>'PL. Prodeje'!P14*Produkty!$C$4</f>
        <v>668500</v>
      </c>
      <c r="Q35" s="453">
        <f>'PL. Prodeje'!Q14*Produkty!$C$4</f>
        <v>0</v>
      </c>
      <c r="R35" s="453">
        <f>'PL. Prodeje'!R14*Produkty!$C$4</f>
        <v>0</v>
      </c>
      <c r="S35" s="454">
        <f t="shared" si="54"/>
        <v>668500</v>
      </c>
      <c r="T35" s="454">
        <f t="shared" si="55"/>
        <v>4011000</v>
      </c>
      <c r="U35" s="333"/>
      <c r="V35" s="333"/>
      <c r="W35" s="333"/>
    </row>
    <row r="36" spans="2:23">
      <c r="B36" s="1529"/>
      <c r="C36" s="144" t="s">
        <v>65</v>
      </c>
      <c r="D36" s="453">
        <f>'PL. Prodeje'!D15*Produkty!$C$4</f>
        <v>0</v>
      </c>
      <c r="E36" s="453">
        <f>'PL. Prodeje'!E15*Produkty!$C$4</f>
        <v>0</v>
      </c>
      <c r="F36" s="453">
        <f>'PL. Prodeje'!F15*Produkty!$C$4</f>
        <v>668500</v>
      </c>
      <c r="G36" s="454">
        <f t="shared" si="51"/>
        <v>668500</v>
      </c>
      <c r="H36" s="453">
        <f>'PL. Prodeje'!H15*Produkty!$C$4</f>
        <v>668500</v>
      </c>
      <c r="I36" s="453">
        <f>'PL. Prodeje'!I15*Produkty!$C$4</f>
        <v>668500</v>
      </c>
      <c r="J36" s="453">
        <f>'PL. Prodeje'!J15*Produkty!$C$4</f>
        <v>668500</v>
      </c>
      <c r="K36" s="454">
        <f t="shared" si="52"/>
        <v>2005500</v>
      </c>
      <c r="L36" s="453">
        <f>'PL. Prodeje'!L15*Produkty!$C$4</f>
        <v>668500</v>
      </c>
      <c r="M36" s="453">
        <f>'PL. Prodeje'!M15*Produkty!$C$4</f>
        <v>668500</v>
      </c>
      <c r="N36" s="453">
        <f>'PL. Prodeje'!N15*Produkty!$C$4</f>
        <v>0</v>
      </c>
      <c r="O36" s="454">
        <f t="shared" si="53"/>
        <v>1337000</v>
      </c>
      <c r="P36" s="453">
        <f>'PL. Prodeje'!P15*Produkty!$C$4</f>
        <v>0</v>
      </c>
      <c r="Q36" s="453">
        <f>'PL. Prodeje'!Q15*Produkty!$C$4</f>
        <v>668500</v>
      </c>
      <c r="R36" s="453">
        <f>'PL. Prodeje'!R15*Produkty!$C$4</f>
        <v>668500</v>
      </c>
      <c r="S36" s="454">
        <f t="shared" si="54"/>
        <v>1337000</v>
      </c>
      <c r="T36" s="454">
        <f t="shared" si="55"/>
        <v>5348000</v>
      </c>
      <c r="U36" s="338"/>
      <c r="V36" s="333"/>
      <c r="W36" s="333"/>
    </row>
    <row r="37" spans="2:23">
      <c r="B37" s="1529"/>
      <c r="C37" s="144" t="s">
        <v>67</v>
      </c>
      <c r="D37" s="453">
        <f>'PL. Prodeje'!D16*Produkty!$C$4</f>
        <v>668500</v>
      </c>
      <c r="E37" s="453">
        <f>'PL. Prodeje'!E16*Produkty!$C$4</f>
        <v>668500</v>
      </c>
      <c r="F37" s="453">
        <f>'PL. Prodeje'!F16*Produkty!$C$4</f>
        <v>668500</v>
      </c>
      <c r="G37" s="454">
        <f t="shared" si="51"/>
        <v>2005500</v>
      </c>
      <c r="H37" s="453">
        <f>'PL. Prodeje'!H16*Produkty!$C$4</f>
        <v>1337000</v>
      </c>
      <c r="I37" s="453">
        <f>'PL. Prodeje'!I16*Produkty!$C$4</f>
        <v>1337000</v>
      </c>
      <c r="J37" s="453">
        <f>'PL. Prodeje'!J16*Produkty!$C$4</f>
        <v>1337000</v>
      </c>
      <c r="K37" s="454">
        <f t="shared" si="52"/>
        <v>4011000</v>
      </c>
      <c r="L37" s="453">
        <f>'PL. Prodeje'!L16*Produkty!$C$4</f>
        <v>1337000</v>
      </c>
      <c r="M37" s="453">
        <f>'PL. Prodeje'!M16*Produkty!$C$4</f>
        <v>1337000</v>
      </c>
      <c r="N37" s="453">
        <f>'PL. Prodeje'!N16*Produkty!$C$4</f>
        <v>668500</v>
      </c>
      <c r="O37" s="454">
        <f t="shared" si="53"/>
        <v>3342500</v>
      </c>
      <c r="P37" s="453">
        <f>'PL. Prodeje'!P16*Produkty!$C$4</f>
        <v>1337000</v>
      </c>
      <c r="Q37" s="453">
        <f>'PL. Prodeje'!Q16*Produkty!$C$4</f>
        <v>668500</v>
      </c>
      <c r="R37" s="453">
        <f>'PL. Prodeje'!R16*Produkty!$C$4</f>
        <v>668500</v>
      </c>
      <c r="S37" s="454">
        <f t="shared" si="54"/>
        <v>2674000</v>
      </c>
      <c r="T37" s="454">
        <f t="shared" si="55"/>
        <v>12033000</v>
      </c>
      <c r="U37" s="333"/>
      <c r="V37" s="333"/>
      <c r="W37" s="333"/>
    </row>
    <row r="38" spans="2:23">
      <c r="B38" s="1529"/>
      <c r="C38" s="144" t="s">
        <v>64</v>
      </c>
      <c r="D38" s="453">
        <f>'PL. Prodeje'!D17*Produkty!$C$4</f>
        <v>668500</v>
      </c>
      <c r="E38" s="453">
        <f>'PL. Prodeje'!E17*Produkty!$C$4</f>
        <v>0</v>
      </c>
      <c r="F38" s="453">
        <f>'PL. Prodeje'!F17*Produkty!$C$4</f>
        <v>668500</v>
      </c>
      <c r="G38" s="454">
        <f t="shared" si="51"/>
        <v>1337000</v>
      </c>
      <c r="H38" s="453">
        <f>'PL. Prodeje'!H17*Produkty!$C$4</f>
        <v>1337000</v>
      </c>
      <c r="I38" s="453">
        <f>'PL. Prodeje'!I17*Produkty!$C$4</f>
        <v>668500</v>
      </c>
      <c r="J38" s="453">
        <f>'PL. Prodeje'!J17*Produkty!$C$4</f>
        <v>668500</v>
      </c>
      <c r="K38" s="454">
        <f t="shared" si="52"/>
        <v>2674000</v>
      </c>
      <c r="L38" s="453">
        <f>'PL. Prodeje'!L17*Produkty!$C$4</f>
        <v>668500</v>
      </c>
      <c r="M38" s="453">
        <f>'PL. Prodeje'!M17*Produkty!$C$4</f>
        <v>668500</v>
      </c>
      <c r="N38" s="453">
        <f>'PL. Prodeje'!N17*Produkty!$C$4</f>
        <v>668500</v>
      </c>
      <c r="O38" s="454">
        <f t="shared" si="53"/>
        <v>2005500</v>
      </c>
      <c r="P38" s="453">
        <f>'PL. Prodeje'!P17*Produkty!$C$4</f>
        <v>668500</v>
      </c>
      <c r="Q38" s="453">
        <f>'PL. Prodeje'!Q17*Produkty!$C$4</f>
        <v>668500</v>
      </c>
      <c r="R38" s="453">
        <f>'PL. Prodeje'!R17*Produkty!$C$4</f>
        <v>668500</v>
      </c>
      <c r="S38" s="454">
        <f t="shared" si="54"/>
        <v>2005500</v>
      </c>
      <c r="T38" s="454">
        <f t="shared" si="55"/>
        <v>8022000</v>
      </c>
      <c r="U38" s="333"/>
      <c r="V38" s="333"/>
      <c r="W38" s="333"/>
    </row>
    <row r="39" spans="2:23">
      <c r="B39" s="1530"/>
      <c r="C39" s="144" t="s">
        <v>60</v>
      </c>
      <c r="D39" s="453">
        <f>'PL. Prodeje'!D18*Produkty!$C$4</f>
        <v>668500</v>
      </c>
      <c r="E39" s="453">
        <f>'PL. Prodeje'!E18*Produkty!$C$4</f>
        <v>1337000</v>
      </c>
      <c r="F39" s="453">
        <f>'PL. Prodeje'!F18*Produkty!$C$4</f>
        <v>1337000</v>
      </c>
      <c r="G39" s="454">
        <f t="shared" si="51"/>
        <v>3342500</v>
      </c>
      <c r="H39" s="453">
        <f>'PL. Prodeje'!H18*Produkty!$C$4</f>
        <v>2674000</v>
      </c>
      <c r="I39" s="453">
        <f>'PL. Prodeje'!I18*Produkty!$C$4</f>
        <v>2005500</v>
      </c>
      <c r="J39" s="453">
        <f>'PL. Prodeje'!J18*Produkty!$C$4</f>
        <v>2005500</v>
      </c>
      <c r="K39" s="454">
        <f t="shared" si="52"/>
        <v>6685000</v>
      </c>
      <c r="L39" s="453">
        <f>'PL. Prodeje'!L18*Produkty!$C$4</f>
        <v>2005500</v>
      </c>
      <c r="M39" s="453">
        <f>'PL. Prodeje'!M18*Produkty!$C$4</f>
        <v>2005500</v>
      </c>
      <c r="N39" s="453">
        <f>'PL. Prodeje'!N18*Produkty!$C$4</f>
        <v>1337000</v>
      </c>
      <c r="O39" s="454">
        <f t="shared" si="53"/>
        <v>5348000</v>
      </c>
      <c r="P39" s="453">
        <f>'PL. Prodeje'!P18*Produkty!$C$4</f>
        <v>2674000</v>
      </c>
      <c r="Q39" s="453">
        <f>'PL. Prodeje'!Q18*Produkty!$C$4</f>
        <v>1337000</v>
      </c>
      <c r="R39" s="453">
        <f>'PL. Prodeje'!R18*Produkty!$C$4</f>
        <v>668500</v>
      </c>
      <c r="S39" s="454">
        <f t="shared" si="54"/>
        <v>4679500</v>
      </c>
      <c r="T39" s="454">
        <f t="shared" si="55"/>
        <v>20055000</v>
      </c>
      <c r="U39" s="333"/>
      <c r="V39" s="333"/>
      <c r="W39" s="333"/>
    </row>
    <row r="40" spans="2:23">
      <c r="B40" s="144" t="s">
        <v>523</v>
      </c>
      <c r="C40" s="144" t="s">
        <v>524</v>
      </c>
      <c r="D40" s="453">
        <f>'PL. Prodeje'!D19*Produkty!$C$4</f>
        <v>84231000</v>
      </c>
      <c r="E40" s="453">
        <f>'PL. Prodeje'!E19*Produkty!$C$4</f>
        <v>84231000</v>
      </c>
      <c r="F40" s="453">
        <f>'PL. Prodeje'!F19*Produkty!$C$4</f>
        <v>84899500</v>
      </c>
      <c r="G40" s="454">
        <f t="shared" si="51"/>
        <v>253361500</v>
      </c>
      <c r="H40" s="453">
        <f>'PL. Prodeje'!H19*Produkty!$C$4</f>
        <v>112469999.83333333</v>
      </c>
      <c r="I40" s="453">
        <f>'PL. Prodeje'!I19*Produkty!$C$4</f>
        <v>112469999.83333333</v>
      </c>
      <c r="J40" s="453">
        <f>'PL. Prodeje'!J19*Produkty!$C$4</f>
        <v>112469999.83333333</v>
      </c>
      <c r="K40" s="454">
        <f t="shared" si="52"/>
        <v>337409999.5</v>
      </c>
      <c r="L40" s="453">
        <f>'PL. Prodeje'!L19*Produkty!$C$4</f>
        <v>93724999.861111119</v>
      </c>
      <c r="M40" s="453">
        <f>'PL. Prodeje'!M19*Produkty!$C$4</f>
        <v>93724999.861111119</v>
      </c>
      <c r="N40" s="453">
        <f>'PL. Prodeje'!N19*Produkty!$C$4</f>
        <v>93724999.861111119</v>
      </c>
      <c r="O40" s="454">
        <f t="shared" si="53"/>
        <v>281174999.58333337</v>
      </c>
      <c r="P40" s="453">
        <f>'PL. Prodeje'!P19*Produkty!$C$4</f>
        <v>74979999.888888881</v>
      </c>
      <c r="Q40" s="453">
        <f>'PL. Prodeje'!Q19*Produkty!$C$4</f>
        <v>74979999.888888881</v>
      </c>
      <c r="R40" s="453">
        <f>'PL. Prodeje'!R19*Produkty!$C$4</f>
        <v>74979999.88888891</v>
      </c>
      <c r="S40" s="454">
        <f t="shared" si="54"/>
        <v>224939999.66666669</v>
      </c>
      <c r="T40" s="454">
        <f t="shared" si="55"/>
        <v>1096886498.75</v>
      </c>
      <c r="U40" s="333"/>
      <c r="V40" s="333"/>
      <c r="W40" s="333"/>
    </row>
    <row r="41" spans="2:23" ht="42.75">
      <c r="B41" s="144"/>
      <c r="C41" s="146" t="s">
        <v>525</v>
      </c>
      <c r="D41" s="453">
        <f t="shared" ref="D41:T41" si="56">SUM(D27:D39)</f>
        <v>15375500</v>
      </c>
      <c r="E41" s="453">
        <f t="shared" si="56"/>
        <v>16862500</v>
      </c>
      <c r="F41" s="453">
        <f t="shared" si="56"/>
        <v>22879000</v>
      </c>
      <c r="G41" s="454">
        <f t="shared" si="56"/>
        <v>55117000</v>
      </c>
      <c r="H41" s="453">
        <f t="shared" si="56"/>
        <v>36917500</v>
      </c>
      <c r="I41" s="453">
        <f t="shared" si="56"/>
        <v>37736000</v>
      </c>
      <c r="J41" s="453">
        <f t="shared" si="56"/>
        <v>37736000</v>
      </c>
      <c r="K41" s="454">
        <f t="shared" si="56"/>
        <v>112389500</v>
      </c>
      <c r="L41" s="453">
        <f t="shared" si="56"/>
        <v>31569500</v>
      </c>
      <c r="M41" s="453">
        <f t="shared" si="56"/>
        <v>31569500</v>
      </c>
      <c r="N41" s="453">
        <f t="shared" si="56"/>
        <v>29714000</v>
      </c>
      <c r="O41" s="454">
        <f t="shared" si="56"/>
        <v>92853000</v>
      </c>
      <c r="P41" s="453">
        <f t="shared" si="56"/>
        <v>26890000</v>
      </c>
      <c r="Q41" s="453">
        <f t="shared" si="56"/>
        <v>24216000</v>
      </c>
      <c r="R41" s="453">
        <f t="shared" si="56"/>
        <v>22879000</v>
      </c>
      <c r="S41" s="454">
        <f t="shared" si="56"/>
        <v>73985000</v>
      </c>
      <c r="T41" s="454">
        <f t="shared" si="56"/>
        <v>334344500</v>
      </c>
      <c r="U41" s="333"/>
      <c r="V41" s="333"/>
      <c r="W41" s="333"/>
    </row>
    <row r="42" spans="2:23" ht="42.75">
      <c r="B42" s="144"/>
      <c r="C42" s="146" t="s">
        <v>526</v>
      </c>
      <c r="D42" s="453">
        <f t="shared" ref="D42:T42" si="57">D34</f>
        <v>0</v>
      </c>
      <c r="E42" s="453">
        <f t="shared" si="57"/>
        <v>818500</v>
      </c>
      <c r="F42" s="453">
        <f t="shared" si="57"/>
        <v>818500</v>
      </c>
      <c r="G42" s="454">
        <f t="shared" si="57"/>
        <v>1637000</v>
      </c>
      <c r="H42" s="453">
        <f t="shared" si="57"/>
        <v>818500</v>
      </c>
      <c r="I42" s="453">
        <f t="shared" si="57"/>
        <v>1637000</v>
      </c>
      <c r="J42" s="453">
        <f t="shared" si="57"/>
        <v>1637000</v>
      </c>
      <c r="K42" s="454">
        <f t="shared" si="57"/>
        <v>4092500</v>
      </c>
      <c r="L42" s="453">
        <f t="shared" si="57"/>
        <v>818500</v>
      </c>
      <c r="M42" s="453">
        <f t="shared" si="57"/>
        <v>818500</v>
      </c>
      <c r="N42" s="453">
        <f t="shared" si="57"/>
        <v>1637000</v>
      </c>
      <c r="O42" s="454">
        <f t="shared" si="57"/>
        <v>3274000</v>
      </c>
      <c r="P42" s="453">
        <f t="shared" si="57"/>
        <v>818500</v>
      </c>
      <c r="Q42" s="453">
        <f t="shared" si="57"/>
        <v>818500</v>
      </c>
      <c r="R42" s="453">
        <f t="shared" si="57"/>
        <v>818500</v>
      </c>
      <c r="S42" s="454">
        <f t="shared" si="57"/>
        <v>2455500</v>
      </c>
      <c r="T42" s="454">
        <f t="shared" si="57"/>
        <v>11459000</v>
      </c>
      <c r="U42" s="333"/>
      <c r="V42" s="333"/>
      <c r="W42" s="333"/>
    </row>
    <row r="43" spans="2:23" s="44" customFormat="1">
      <c r="B43" s="448"/>
      <c r="C43" s="448"/>
      <c r="D43" s="448"/>
      <c r="E43" s="448"/>
      <c r="F43" s="448"/>
      <c r="G43" s="456"/>
      <c r="H43" s="456"/>
      <c r="I43" s="456"/>
      <c r="J43" s="456"/>
      <c r="K43" s="456"/>
      <c r="L43" s="456"/>
      <c r="M43" s="456"/>
      <c r="N43" s="456"/>
      <c r="O43" s="456"/>
      <c r="P43" s="456"/>
      <c r="Q43" s="456"/>
      <c r="R43" s="456"/>
      <c r="S43" s="456"/>
      <c r="T43" s="456"/>
      <c r="U43" s="165"/>
      <c r="V43" s="165"/>
      <c r="W43" s="165"/>
    </row>
    <row r="44" spans="2:23">
      <c r="B44" s="144"/>
      <c r="C44" s="1535" t="s">
        <v>527</v>
      </c>
      <c r="D44" s="1535"/>
      <c r="E44" s="1535"/>
      <c r="F44" s="1535"/>
      <c r="G44" s="1535"/>
      <c r="H44" s="1535"/>
      <c r="I44" s="1535"/>
      <c r="J44" s="1535"/>
      <c r="K44" s="1535"/>
      <c r="L44" s="1535"/>
      <c r="M44" s="1535"/>
      <c r="N44" s="1535"/>
      <c r="O44" s="1535"/>
      <c r="P44" s="1535"/>
      <c r="Q44" s="1535"/>
      <c r="R44" s="1535"/>
      <c r="S44" s="1535"/>
      <c r="T44" s="1535"/>
      <c r="U44" s="333"/>
      <c r="V44" s="333"/>
      <c r="W44" s="333"/>
    </row>
    <row r="45" spans="2:23">
      <c r="B45" s="1536" t="s">
        <v>515</v>
      </c>
      <c r="C45" s="144" t="s">
        <v>57</v>
      </c>
      <c r="D45" s="453">
        <f>'PL. Prodeje'!D24*Produkty!$H$12</f>
        <v>39000</v>
      </c>
      <c r="E45" s="453">
        <f>'PL. Prodeje'!E24*Produkty!$H$12</f>
        <v>39000</v>
      </c>
      <c r="F45" s="453">
        <f>'PL. Prodeje'!F24*Produkty!$H$12</f>
        <v>0</v>
      </c>
      <c r="G45" s="454">
        <f t="shared" ref="G45:G58" si="58">SUM(D45:F45)</f>
        <v>78000</v>
      </c>
      <c r="H45" s="453">
        <f>'PL. Prodeje'!H24*Produkty!$H$12</f>
        <v>39000</v>
      </c>
      <c r="I45" s="453">
        <f>'PL. Prodeje'!I24*Produkty!$H$12</f>
        <v>39000</v>
      </c>
      <c r="J45" s="453">
        <f>'PL. Prodeje'!J24*Produkty!$H$12</f>
        <v>78000</v>
      </c>
      <c r="K45" s="454">
        <f t="shared" ref="K45:K58" si="59">SUM(H45:J45)</f>
        <v>156000</v>
      </c>
      <c r="L45" s="453">
        <f>'PL. Prodeje'!L24*Produkty!$H$12</f>
        <v>39000</v>
      </c>
      <c r="M45" s="453">
        <f>'PL. Prodeje'!M24*Produkty!$H$12</f>
        <v>39000</v>
      </c>
      <c r="N45" s="453">
        <f>'PL. Prodeje'!N24*Produkty!$H$12</f>
        <v>39000</v>
      </c>
      <c r="O45" s="454">
        <f t="shared" ref="O45:O58" si="60">SUM(L45:N45)</f>
        <v>117000</v>
      </c>
      <c r="P45" s="453">
        <f>'PL. Prodeje'!P24*Produkty!$H$12</f>
        <v>39000</v>
      </c>
      <c r="Q45" s="453">
        <f>'PL. Prodeje'!Q24*Produkty!$H$12</f>
        <v>39000</v>
      </c>
      <c r="R45" s="453">
        <f>'PL. Prodeje'!R24*Produkty!$H$12</f>
        <v>39000</v>
      </c>
      <c r="S45" s="454">
        <f t="shared" ref="S45:S58" si="61">SUM(P45:R45)</f>
        <v>117000</v>
      </c>
      <c r="T45" s="454">
        <f t="shared" ref="T45:T58" si="62">G45+K45+O45+S45</f>
        <v>468000</v>
      </c>
      <c r="U45" s="737"/>
      <c r="V45" s="737"/>
      <c r="W45" s="737"/>
    </row>
    <row r="46" spans="2:23">
      <c r="B46" s="1536"/>
      <c r="C46" s="144" t="s">
        <v>56</v>
      </c>
      <c r="D46" s="453">
        <f>'PL. Prodeje'!D25*Produkty!$H$12</f>
        <v>39000</v>
      </c>
      <c r="E46" s="453">
        <f>'PL. Prodeje'!E25*Produkty!$H$12</f>
        <v>39000</v>
      </c>
      <c r="F46" s="453">
        <f>'PL. Prodeje'!F25*Produkty!$H$12</f>
        <v>39000</v>
      </c>
      <c r="G46" s="454">
        <f t="shared" si="58"/>
        <v>117000</v>
      </c>
      <c r="H46" s="453">
        <f>'PL. Prodeje'!H25*Produkty!$H$12</f>
        <v>78000</v>
      </c>
      <c r="I46" s="453">
        <f>'PL. Prodeje'!I25*Produkty!$H$12</f>
        <v>78000</v>
      </c>
      <c r="J46" s="453">
        <f>'PL. Prodeje'!J25*Produkty!$H$12</f>
        <v>78000</v>
      </c>
      <c r="K46" s="454">
        <f t="shared" si="59"/>
        <v>234000</v>
      </c>
      <c r="L46" s="453">
        <f>'PL. Prodeje'!L25*Produkty!$H$12</f>
        <v>78000</v>
      </c>
      <c r="M46" s="453">
        <f>'PL. Prodeje'!M25*Produkty!$H$12</f>
        <v>78000</v>
      </c>
      <c r="N46" s="453">
        <f>'PL. Prodeje'!N25*Produkty!$H$12</f>
        <v>39000</v>
      </c>
      <c r="O46" s="454">
        <f t="shared" si="60"/>
        <v>195000</v>
      </c>
      <c r="P46" s="453">
        <f>'PL. Prodeje'!P25*Produkty!$H$12</f>
        <v>39000</v>
      </c>
      <c r="Q46" s="453">
        <f>'PL. Prodeje'!Q25*Produkty!$H$12</f>
        <v>39000</v>
      </c>
      <c r="R46" s="453">
        <f>'PL. Prodeje'!R25*Produkty!$H$12</f>
        <v>78000</v>
      </c>
      <c r="S46" s="454">
        <f t="shared" si="61"/>
        <v>156000</v>
      </c>
      <c r="T46" s="454">
        <f t="shared" si="62"/>
        <v>702000</v>
      </c>
      <c r="U46" s="737"/>
      <c r="V46" s="737"/>
      <c r="W46" s="737"/>
    </row>
    <row r="47" spans="2:23">
      <c r="B47" s="1536"/>
      <c r="C47" s="144" t="s">
        <v>58</v>
      </c>
      <c r="D47" s="453">
        <f>'PL. Prodeje'!D26*Produkty!$H$12</f>
        <v>39000</v>
      </c>
      <c r="E47" s="453">
        <f>'PL. Prodeje'!E26*Produkty!$H$12</f>
        <v>39000</v>
      </c>
      <c r="F47" s="453">
        <f>'PL. Prodeje'!F26*Produkty!$H$12</f>
        <v>0</v>
      </c>
      <c r="G47" s="454">
        <f t="shared" si="58"/>
        <v>78000</v>
      </c>
      <c r="H47" s="453">
        <f>'PL. Prodeje'!H26*Produkty!$H$12</f>
        <v>39000</v>
      </c>
      <c r="I47" s="453">
        <f>'PL. Prodeje'!I26*Produkty!$H$12</f>
        <v>39000</v>
      </c>
      <c r="J47" s="453">
        <f>'PL. Prodeje'!J26*Produkty!$H$12</f>
        <v>78000</v>
      </c>
      <c r="K47" s="454">
        <f t="shared" si="59"/>
        <v>156000</v>
      </c>
      <c r="L47" s="453">
        <f>'PL. Prodeje'!L26*Produkty!$H$12</f>
        <v>39000</v>
      </c>
      <c r="M47" s="453">
        <f>'PL. Prodeje'!M26*Produkty!$H$12</f>
        <v>39000</v>
      </c>
      <c r="N47" s="453">
        <f>'PL. Prodeje'!N26*Produkty!$H$12</f>
        <v>39000</v>
      </c>
      <c r="O47" s="454">
        <f t="shared" si="60"/>
        <v>117000</v>
      </c>
      <c r="P47" s="453">
        <f>'PL. Prodeje'!P26*Produkty!$H$12</f>
        <v>39000</v>
      </c>
      <c r="Q47" s="453">
        <f>'PL. Prodeje'!Q26*Produkty!$H$12</f>
        <v>39000</v>
      </c>
      <c r="R47" s="453">
        <f>'PL. Prodeje'!R26*Produkty!$H$12</f>
        <v>39000</v>
      </c>
      <c r="S47" s="454">
        <f t="shared" si="61"/>
        <v>117000</v>
      </c>
      <c r="T47" s="454">
        <f t="shared" si="62"/>
        <v>468000</v>
      </c>
      <c r="U47" s="737"/>
      <c r="V47" s="737"/>
      <c r="W47" s="737"/>
    </row>
    <row r="48" spans="2:23">
      <c r="B48" s="1536"/>
      <c r="C48" s="144" t="s">
        <v>59</v>
      </c>
      <c r="D48" s="453">
        <f>'PL. Prodeje'!D27*Produkty!$H$12</f>
        <v>0</v>
      </c>
      <c r="E48" s="453">
        <f>'PL. Prodeje'!E27*Produkty!$H$12</f>
        <v>0</v>
      </c>
      <c r="F48" s="453">
        <f>'PL. Prodeje'!F27*Produkty!$H$12</f>
        <v>39000</v>
      </c>
      <c r="G48" s="454">
        <f t="shared" si="58"/>
        <v>39000</v>
      </c>
      <c r="H48" s="453">
        <f>'PL. Prodeje'!H27*Produkty!$H$12</f>
        <v>39000</v>
      </c>
      <c r="I48" s="453">
        <f>'PL. Prodeje'!I27*Produkty!$H$12</f>
        <v>39000</v>
      </c>
      <c r="J48" s="453">
        <f>'PL. Prodeje'!J27*Produkty!$H$12</f>
        <v>0</v>
      </c>
      <c r="K48" s="454">
        <f t="shared" si="59"/>
        <v>78000</v>
      </c>
      <c r="L48" s="453">
        <f>'PL. Prodeje'!L27*Produkty!$H$12</f>
        <v>39000</v>
      </c>
      <c r="M48" s="453">
        <f>'PL. Prodeje'!M27*Produkty!$H$12</f>
        <v>39000</v>
      </c>
      <c r="N48" s="453">
        <f>'PL. Prodeje'!N27*Produkty!$H$12</f>
        <v>0</v>
      </c>
      <c r="O48" s="454">
        <f t="shared" si="60"/>
        <v>78000</v>
      </c>
      <c r="P48" s="453">
        <f>'PL. Prodeje'!P27*Produkty!$H$12</f>
        <v>0</v>
      </c>
      <c r="Q48" s="453">
        <f>'PL. Prodeje'!Q27*Produkty!$H$12</f>
        <v>0</v>
      </c>
      <c r="R48" s="453">
        <f>'PL. Prodeje'!R27*Produkty!$H$12</f>
        <v>39000</v>
      </c>
      <c r="S48" s="454">
        <f t="shared" si="61"/>
        <v>39000</v>
      </c>
      <c r="T48" s="454">
        <f t="shared" si="62"/>
        <v>234000</v>
      </c>
      <c r="U48" s="737"/>
      <c r="V48" s="737"/>
      <c r="W48" s="737"/>
    </row>
    <row r="49" spans="2:20">
      <c r="B49" s="1536" t="s">
        <v>520</v>
      </c>
      <c r="C49" s="144" t="s">
        <v>63</v>
      </c>
      <c r="D49" s="453">
        <f>'PL. Prodeje'!D28*Produkty!$H$12</f>
        <v>0</v>
      </c>
      <c r="E49" s="453">
        <f>'PL. Prodeje'!E28*Produkty!$H$12</f>
        <v>0</v>
      </c>
      <c r="F49" s="453">
        <f>'PL. Prodeje'!F28*Produkty!$H$12</f>
        <v>39000</v>
      </c>
      <c r="G49" s="454">
        <f t="shared" si="58"/>
        <v>39000</v>
      </c>
      <c r="H49" s="453">
        <f>'PL. Prodeje'!H28*Produkty!$H$12</f>
        <v>0</v>
      </c>
      <c r="I49" s="453">
        <f>'PL. Prodeje'!I28*Produkty!$H$12</f>
        <v>0</v>
      </c>
      <c r="J49" s="453">
        <f>'PL. Prodeje'!J28*Produkty!$H$12</f>
        <v>39000</v>
      </c>
      <c r="K49" s="454">
        <f t="shared" si="59"/>
        <v>39000</v>
      </c>
      <c r="L49" s="453">
        <f>'PL. Prodeje'!L28*Produkty!$H$12</f>
        <v>0</v>
      </c>
      <c r="M49" s="453">
        <f>'PL. Prodeje'!M28*Produkty!$H$12</f>
        <v>0</v>
      </c>
      <c r="N49" s="453">
        <f>'PL. Prodeje'!N28*Produkty!$H$12</f>
        <v>39000</v>
      </c>
      <c r="O49" s="454">
        <f t="shared" si="60"/>
        <v>39000</v>
      </c>
      <c r="P49" s="453">
        <f>'PL. Prodeje'!P28*Produkty!$H$12</f>
        <v>0</v>
      </c>
      <c r="Q49" s="453">
        <f>'PL. Prodeje'!Q28*Produkty!$H$12</f>
        <v>0</v>
      </c>
      <c r="R49" s="453">
        <f>'PL. Prodeje'!R28*Produkty!$H$12</f>
        <v>39000</v>
      </c>
      <c r="S49" s="454">
        <f t="shared" si="61"/>
        <v>39000</v>
      </c>
      <c r="T49" s="454">
        <f t="shared" si="62"/>
        <v>156000</v>
      </c>
    </row>
    <row r="50" spans="2:20">
      <c r="B50" s="1536"/>
      <c r="C50" s="144" t="s">
        <v>55</v>
      </c>
      <c r="D50" s="453">
        <f>'PL. Prodeje'!D29*Produkty!$H$12</f>
        <v>39000</v>
      </c>
      <c r="E50" s="453">
        <f>'PL. Prodeje'!E29*Produkty!$H$12</f>
        <v>39000</v>
      </c>
      <c r="F50" s="453">
        <f>'PL. Prodeje'!F29*Produkty!$H$12</f>
        <v>78000</v>
      </c>
      <c r="G50" s="454">
        <f t="shared" si="58"/>
        <v>156000</v>
      </c>
      <c r="H50" s="453">
        <f>'PL. Prodeje'!H29*Produkty!$H$12</f>
        <v>117000</v>
      </c>
      <c r="I50" s="453">
        <f>'PL. Prodeje'!I29*Produkty!$H$12</f>
        <v>117000</v>
      </c>
      <c r="J50" s="453">
        <f>'PL. Prodeje'!J29*Produkty!$H$12</f>
        <v>117000</v>
      </c>
      <c r="K50" s="454">
        <f t="shared" si="59"/>
        <v>351000</v>
      </c>
      <c r="L50" s="453">
        <f>'PL. Prodeje'!L29*Produkty!$H$12</f>
        <v>78000</v>
      </c>
      <c r="M50" s="453">
        <f>'PL. Prodeje'!M29*Produkty!$H$12</f>
        <v>78000</v>
      </c>
      <c r="N50" s="453">
        <f>'PL. Prodeje'!N29*Produkty!$H$12</f>
        <v>117000</v>
      </c>
      <c r="O50" s="454">
        <f t="shared" si="60"/>
        <v>273000</v>
      </c>
      <c r="P50" s="453">
        <f>'PL. Prodeje'!P29*Produkty!$H$12</f>
        <v>78000</v>
      </c>
      <c r="Q50" s="453">
        <f>'PL. Prodeje'!Q29*Produkty!$H$12</f>
        <v>78000</v>
      </c>
      <c r="R50" s="453">
        <f>'PL. Prodeje'!R29*Produkty!$H$12</f>
        <v>39000</v>
      </c>
      <c r="S50" s="454">
        <f t="shared" si="61"/>
        <v>195000</v>
      </c>
      <c r="T50" s="454">
        <f t="shared" si="62"/>
        <v>975000</v>
      </c>
    </row>
    <row r="51" spans="2:20">
      <c r="B51" s="1536"/>
      <c r="C51" s="144" t="s">
        <v>61</v>
      </c>
      <c r="D51" s="453">
        <f>'PL. Prodeje'!D30*Produkty!$H$12</f>
        <v>0</v>
      </c>
      <c r="E51" s="453">
        <f>'PL. Prodeje'!E30*Produkty!$H$12</f>
        <v>0</v>
      </c>
      <c r="F51" s="453">
        <f>'PL. Prodeje'!F30*Produkty!$H$12</f>
        <v>39000</v>
      </c>
      <c r="G51" s="454">
        <f t="shared" si="58"/>
        <v>39000</v>
      </c>
      <c r="H51" s="453">
        <f>'PL. Prodeje'!H30*Produkty!$H$12</f>
        <v>39000</v>
      </c>
      <c r="I51" s="453">
        <f>'PL. Prodeje'!I30*Produkty!$H$12</f>
        <v>39000</v>
      </c>
      <c r="J51" s="453">
        <f>'PL. Prodeje'!J30*Produkty!$H$12</f>
        <v>0</v>
      </c>
      <c r="K51" s="454">
        <f t="shared" si="59"/>
        <v>78000</v>
      </c>
      <c r="L51" s="453">
        <f>'PL. Prodeje'!L30*Produkty!$H$12</f>
        <v>39000</v>
      </c>
      <c r="M51" s="453">
        <f>'PL. Prodeje'!M30*Produkty!$H$12</f>
        <v>39000</v>
      </c>
      <c r="N51" s="453">
        <f>'PL. Prodeje'!N30*Produkty!$H$12</f>
        <v>0</v>
      </c>
      <c r="O51" s="454">
        <f t="shared" si="60"/>
        <v>78000</v>
      </c>
      <c r="P51" s="453">
        <f>'PL. Prodeje'!P30*Produkty!$H$12</f>
        <v>0</v>
      </c>
      <c r="Q51" s="453">
        <f>'PL. Prodeje'!Q30*Produkty!$H$12</f>
        <v>0</v>
      </c>
      <c r="R51" s="453">
        <f>'PL. Prodeje'!R30*Produkty!$H$12</f>
        <v>39000</v>
      </c>
      <c r="S51" s="454">
        <f t="shared" si="61"/>
        <v>39000</v>
      </c>
      <c r="T51" s="454">
        <f t="shared" si="62"/>
        <v>234000</v>
      </c>
    </row>
    <row r="52" spans="2:20">
      <c r="B52" s="1536"/>
      <c r="C52" s="144" t="s">
        <v>62</v>
      </c>
      <c r="D52" s="453">
        <f>'PL. Prodeje'!D31*Produkty!$G$12</f>
        <v>0</v>
      </c>
      <c r="E52" s="453">
        <f>'PL. Prodeje'!E31*Produkty!$G$12</f>
        <v>0</v>
      </c>
      <c r="F52" s="453">
        <f>'PL. Prodeje'!F31*Produkty!$G$12</f>
        <v>40500</v>
      </c>
      <c r="G52" s="454">
        <f t="shared" si="58"/>
        <v>40500</v>
      </c>
      <c r="H52" s="453">
        <f>'PL. Prodeje'!H31*Produkty!$G$12</f>
        <v>0</v>
      </c>
      <c r="I52" s="453">
        <f>'PL. Prodeje'!I31*Produkty!$G$12</f>
        <v>0</v>
      </c>
      <c r="J52" s="453">
        <f>'PL. Prodeje'!J31*Produkty!$G$12</f>
        <v>40500</v>
      </c>
      <c r="K52" s="454">
        <f t="shared" si="59"/>
        <v>40500</v>
      </c>
      <c r="L52" s="453">
        <f>'PL. Prodeje'!L31*Produkty!$G$12</f>
        <v>0</v>
      </c>
      <c r="M52" s="453">
        <f>'PL. Prodeje'!M31*Produkty!$G$12</f>
        <v>0</v>
      </c>
      <c r="N52" s="453">
        <f>'PL. Prodeje'!N31*Produkty!$G$12</f>
        <v>40500</v>
      </c>
      <c r="O52" s="454">
        <f t="shared" si="60"/>
        <v>40500</v>
      </c>
      <c r="P52" s="453">
        <f>'PL. Prodeje'!P31*Produkty!$G$12</f>
        <v>0</v>
      </c>
      <c r="Q52" s="453">
        <f>'PL. Prodeje'!Q31*Produkty!$G$12</f>
        <v>0</v>
      </c>
      <c r="R52" s="453">
        <f>'PL. Prodeje'!R31*Produkty!$G$12</f>
        <v>40500</v>
      </c>
      <c r="S52" s="454">
        <f t="shared" si="61"/>
        <v>40500</v>
      </c>
      <c r="T52" s="454">
        <f t="shared" si="62"/>
        <v>162000</v>
      </c>
    </row>
    <row r="53" spans="2:20">
      <c r="B53" s="1536" t="s">
        <v>522</v>
      </c>
      <c r="C53" s="144" t="s">
        <v>66</v>
      </c>
      <c r="D53" s="453">
        <f>'PL. Prodeje'!D32*Produkty!$H$12</f>
        <v>0</v>
      </c>
      <c r="E53" s="453">
        <f>'PL. Prodeje'!E32*Produkty!$H$12</f>
        <v>0</v>
      </c>
      <c r="F53" s="453">
        <f>'PL. Prodeje'!F32*Produkty!$H$12</f>
        <v>0</v>
      </c>
      <c r="G53" s="454">
        <f t="shared" si="58"/>
        <v>0</v>
      </c>
      <c r="H53" s="453">
        <f>'PL. Prodeje'!H32*Produkty!$H$12</f>
        <v>0</v>
      </c>
      <c r="I53" s="453">
        <f>'PL. Prodeje'!I32*Produkty!$H$12</f>
        <v>0</v>
      </c>
      <c r="J53" s="453">
        <f>'PL. Prodeje'!J32*Produkty!$H$12</f>
        <v>0</v>
      </c>
      <c r="K53" s="454">
        <f t="shared" si="59"/>
        <v>0</v>
      </c>
      <c r="L53" s="453">
        <f>'PL. Prodeje'!L32*Produkty!$H$12</f>
        <v>0</v>
      </c>
      <c r="M53" s="453">
        <f>'PL. Prodeje'!M32*Produkty!$H$12</f>
        <v>0</v>
      </c>
      <c r="N53" s="453">
        <f>'PL. Prodeje'!N32*Produkty!$H$12</f>
        <v>0</v>
      </c>
      <c r="O53" s="454">
        <f t="shared" si="60"/>
        <v>0</v>
      </c>
      <c r="P53" s="453">
        <f>'PL. Prodeje'!P32*Produkty!$H$12</f>
        <v>0</v>
      </c>
      <c r="Q53" s="453">
        <f>'PL. Prodeje'!Q32*Produkty!$H$12</f>
        <v>0</v>
      </c>
      <c r="R53" s="453">
        <f>'PL. Prodeje'!R32*Produkty!$H$12</f>
        <v>0</v>
      </c>
      <c r="S53" s="454">
        <f t="shared" si="61"/>
        <v>0</v>
      </c>
      <c r="T53" s="454">
        <f t="shared" si="62"/>
        <v>0</v>
      </c>
    </row>
    <row r="54" spans="2:20">
      <c r="B54" s="1536"/>
      <c r="C54" s="144" t="s">
        <v>65</v>
      </c>
      <c r="D54" s="453">
        <f>'PL. Prodeje'!D33*Produkty!$H$12</f>
        <v>0</v>
      </c>
      <c r="E54" s="453">
        <f>'PL. Prodeje'!E33*Produkty!$H$12</f>
        <v>0</v>
      </c>
      <c r="F54" s="453">
        <f>'PL. Prodeje'!F33*Produkty!$H$12</f>
        <v>0</v>
      </c>
      <c r="G54" s="454">
        <f t="shared" si="58"/>
        <v>0</v>
      </c>
      <c r="H54" s="453">
        <f>'PL. Prodeje'!H33*Produkty!$H$12</f>
        <v>0</v>
      </c>
      <c r="I54" s="453">
        <f>'PL. Prodeje'!I33*Produkty!$H$12</f>
        <v>0</v>
      </c>
      <c r="J54" s="453">
        <f>'PL. Prodeje'!J33*Produkty!$H$12</f>
        <v>39000</v>
      </c>
      <c r="K54" s="454">
        <f t="shared" si="59"/>
        <v>39000</v>
      </c>
      <c r="L54" s="453">
        <f>'PL. Prodeje'!L33*Produkty!$H$12</f>
        <v>0</v>
      </c>
      <c r="M54" s="453">
        <f>'PL. Prodeje'!M33*Produkty!$H$12</f>
        <v>0</v>
      </c>
      <c r="N54" s="453">
        <f>'PL. Prodeje'!N33*Produkty!$H$12</f>
        <v>0</v>
      </c>
      <c r="O54" s="454">
        <f t="shared" si="60"/>
        <v>0</v>
      </c>
      <c r="P54" s="453">
        <f>'PL. Prodeje'!P33*Produkty!$H$12</f>
        <v>0</v>
      </c>
      <c r="Q54" s="453">
        <f>'PL. Prodeje'!Q33*Produkty!$H$12</f>
        <v>0</v>
      </c>
      <c r="R54" s="453">
        <f>'PL. Prodeje'!R33*Produkty!$H$12</f>
        <v>0</v>
      </c>
      <c r="S54" s="454">
        <f t="shared" si="61"/>
        <v>0</v>
      </c>
      <c r="T54" s="454">
        <f t="shared" si="62"/>
        <v>39000</v>
      </c>
    </row>
    <row r="55" spans="2:20">
      <c r="B55" s="1536"/>
      <c r="C55" s="144" t="s">
        <v>67</v>
      </c>
      <c r="D55" s="453">
        <f>'PL. Prodeje'!D34*Produkty!$H$12</f>
        <v>0</v>
      </c>
      <c r="E55" s="453">
        <f>'PL. Prodeje'!E34*Produkty!$H$12</f>
        <v>0</v>
      </c>
      <c r="F55" s="453">
        <f>'PL. Prodeje'!F34*Produkty!$H$12</f>
        <v>39000</v>
      </c>
      <c r="G55" s="454">
        <f t="shared" si="58"/>
        <v>39000</v>
      </c>
      <c r="H55" s="453">
        <f>'PL. Prodeje'!H34*Produkty!$H$12</f>
        <v>0</v>
      </c>
      <c r="I55" s="453">
        <f>'PL. Prodeje'!I34*Produkty!$H$12</f>
        <v>0</v>
      </c>
      <c r="J55" s="453">
        <f>'PL. Prodeje'!J34*Produkty!$H$12</f>
        <v>39000</v>
      </c>
      <c r="K55" s="454">
        <f t="shared" si="59"/>
        <v>39000</v>
      </c>
      <c r="L55" s="453">
        <f>'PL. Prodeje'!L34*Produkty!$H$12</f>
        <v>0</v>
      </c>
      <c r="M55" s="453">
        <f>'PL. Prodeje'!M34*Produkty!$H$12</f>
        <v>0</v>
      </c>
      <c r="N55" s="453">
        <f>'PL. Prodeje'!N34*Produkty!$H$12</f>
        <v>39000</v>
      </c>
      <c r="O55" s="454">
        <f t="shared" si="60"/>
        <v>39000</v>
      </c>
      <c r="P55" s="453">
        <f>'PL. Prodeje'!P34*Produkty!$H$12</f>
        <v>0</v>
      </c>
      <c r="Q55" s="453">
        <f>'PL. Prodeje'!Q34*Produkty!$H$12</f>
        <v>0</v>
      </c>
      <c r="R55" s="453">
        <f>'PL. Prodeje'!R34*Produkty!$H$12</f>
        <v>39000</v>
      </c>
      <c r="S55" s="454">
        <f t="shared" si="61"/>
        <v>39000</v>
      </c>
      <c r="T55" s="454">
        <f t="shared" si="62"/>
        <v>156000</v>
      </c>
    </row>
    <row r="56" spans="2:20">
      <c r="B56" s="1536"/>
      <c r="C56" s="144" t="s">
        <v>64</v>
      </c>
      <c r="D56" s="453">
        <f>'PL. Prodeje'!D35*Produkty!$H$12</f>
        <v>0</v>
      </c>
      <c r="E56" s="453">
        <f>'PL. Prodeje'!E35*Produkty!$H$12</f>
        <v>0</v>
      </c>
      <c r="F56" s="453">
        <f>'PL. Prodeje'!F35*Produkty!$H$12</f>
        <v>0</v>
      </c>
      <c r="G56" s="454">
        <f t="shared" si="58"/>
        <v>0</v>
      </c>
      <c r="H56" s="453">
        <f>'PL. Prodeje'!H35*Produkty!$H$12</f>
        <v>0</v>
      </c>
      <c r="I56" s="453">
        <f>'PL. Prodeje'!I35*Produkty!$H$12</f>
        <v>0</v>
      </c>
      <c r="J56" s="453">
        <f>'PL. Prodeje'!J35*Produkty!$H$12</f>
        <v>39000</v>
      </c>
      <c r="K56" s="454">
        <f t="shared" si="59"/>
        <v>39000</v>
      </c>
      <c r="L56" s="453">
        <f>'PL. Prodeje'!L35*Produkty!$H$12</f>
        <v>0</v>
      </c>
      <c r="M56" s="453">
        <f>'PL. Prodeje'!M35*Produkty!$H$12</f>
        <v>0</v>
      </c>
      <c r="N56" s="453">
        <f>'PL. Prodeje'!N35*Produkty!$H$12</f>
        <v>39000</v>
      </c>
      <c r="O56" s="454">
        <f t="shared" si="60"/>
        <v>39000</v>
      </c>
      <c r="P56" s="453">
        <f>'PL. Prodeje'!P35*Produkty!$H$12</f>
        <v>0</v>
      </c>
      <c r="Q56" s="453">
        <f>'PL. Prodeje'!Q35*Produkty!$H$12</f>
        <v>0</v>
      </c>
      <c r="R56" s="453">
        <f>'PL. Prodeje'!R35*Produkty!$H$12</f>
        <v>39000</v>
      </c>
      <c r="S56" s="454">
        <f t="shared" si="61"/>
        <v>39000</v>
      </c>
      <c r="T56" s="454">
        <f t="shared" si="62"/>
        <v>117000</v>
      </c>
    </row>
    <row r="57" spans="2:20">
      <c r="B57" s="1536"/>
      <c r="C57" s="144" t="s">
        <v>60</v>
      </c>
      <c r="D57" s="453">
        <f>'PL. Prodeje'!D36*Produkty!$H$12</f>
        <v>0</v>
      </c>
      <c r="E57" s="453">
        <f>'PL. Prodeje'!E36*Produkty!$H$12</f>
        <v>0</v>
      </c>
      <c r="F57" s="453">
        <f>'PL. Prodeje'!F36*Produkty!$H$12</f>
        <v>39000</v>
      </c>
      <c r="G57" s="454">
        <f t="shared" si="58"/>
        <v>39000</v>
      </c>
      <c r="H57" s="453">
        <f>'PL. Prodeje'!H36*Produkty!$H$12</f>
        <v>39000</v>
      </c>
      <c r="I57" s="453">
        <f>'PL. Prodeje'!I36*Produkty!$H$12</f>
        <v>39000</v>
      </c>
      <c r="J57" s="453">
        <f>'PL. Prodeje'!J36*Produkty!$H$12</f>
        <v>0</v>
      </c>
      <c r="K57" s="454">
        <f t="shared" si="59"/>
        <v>78000</v>
      </c>
      <c r="L57" s="453">
        <f>'PL. Prodeje'!L36*Produkty!$H$12</f>
        <v>39000</v>
      </c>
      <c r="M57" s="453">
        <f>'PL. Prodeje'!M36*Produkty!$H$12</f>
        <v>39000</v>
      </c>
      <c r="N57" s="453">
        <f>'PL. Prodeje'!N36*Produkty!$H$12</f>
        <v>0</v>
      </c>
      <c r="O57" s="454">
        <f t="shared" si="60"/>
        <v>78000</v>
      </c>
      <c r="P57" s="453">
        <f>'PL. Prodeje'!P36*Produkty!$H$12</f>
        <v>0</v>
      </c>
      <c r="Q57" s="453">
        <f>'PL. Prodeje'!Q36*Produkty!$H$12</f>
        <v>0</v>
      </c>
      <c r="R57" s="453">
        <f>'PL. Prodeje'!R36*Produkty!$H$12</f>
        <v>39000</v>
      </c>
      <c r="S57" s="454">
        <f t="shared" si="61"/>
        <v>39000</v>
      </c>
      <c r="T57" s="454">
        <f t="shared" si="62"/>
        <v>234000</v>
      </c>
    </row>
    <row r="58" spans="2:20">
      <c r="B58" s="144" t="s">
        <v>523</v>
      </c>
      <c r="C58" s="144" t="s">
        <v>524</v>
      </c>
      <c r="D58" s="453">
        <f>'PL. Prodeje'!D37*Produkty!$H$12</f>
        <v>975000</v>
      </c>
      <c r="E58" s="453">
        <f>'PL. Prodeje'!E37*Produkty!$H$12</f>
        <v>975000</v>
      </c>
      <c r="F58" s="453">
        <f>'PL. Prodeje'!F37*Produkty!$H$12</f>
        <v>1014000</v>
      </c>
      <c r="G58" s="454">
        <f t="shared" si="58"/>
        <v>2964000</v>
      </c>
      <c r="H58" s="453">
        <f>'PL. Prodeje'!H37*Produkty!$H$12</f>
        <v>1326000</v>
      </c>
      <c r="I58" s="453">
        <f>'PL. Prodeje'!I37*Produkty!$H$12</f>
        <v>1326000</v>
      </c>
      <c r="J58" s="453">
        <f>'PL. Prodeje'!J37*Produkty!$H$12</f>
        <v>1287000</v>
      </c>
      <c r="K58" s="454">
        <f t="shared" si="59"/>
        <v>3939000</v>
      </c>
      <c r="L58" s="453">
        <f>'PL. Prodeje'!L37*Produkty!$H$12</f>
        <v>1092000</v>
      </c>
      <c r="M58" s="453">
        <f>'PL. Prodeje'!M37*Produkty!$H$12</f>
        <v>1092000</v>
      </c>
      <c r="N58" s="453">
        <f>'PL. Prodeje'!N37*Produkty!$H$12</f>
        <v>1092000</v>
      </c>
      <c r="O58" s="454">
        <f t="shared" si="60"/>
        <v>3276000</v>
      </c>
      <c r="P58" s="453">
        <f>'PL. Prodeje'!P37*Produkty!$H$12</f>
        <v>858000</v>
      </c>
      <c r="Q58" s="453">
        <f>'PL. Prodeje'!Q37*Produkty!$H$12</f>
        <v>858000</v>
      </c>
      <c r="R58" s="453">
        <f>'PL. Prodeje'!R37*Produkty!$H$12</f>
        <v>117000</v>
      </c>
      <c r="S58" s="454">
        <f t="shared" si="61"/>
        <v>1833000</v>
      </c>
      <c r="T58" s="454">
        <f t="shared" si="62"/>
        <v>12012000</v>
      </c>
    </row>
    <row r="59" spans="2:20" ht="42.75">
      <c r="B59" s="144"/>
      <c r="C59" s="146" t="s">
        <v>525</v>
      </c>
      <c r="D59" s="453">
        <f t="shared" ref="D59:T59" si="63">SUM(D45:D57)</f>
        <v>156000</v>
      </c>
      <c r="E59" s="453">
        <f t="shared" si="63"/>
        <v>156000</v>
      </c>
      <c r="F59" s="453">
        <f t="shared" si="63"/>
        <v>352500</v>
      </c>
      <c r="G59" s="454">
        <f t="shared" si="63"/>
        <v>664500</v>
      </c>
      <c r="H59" s="453">
        <f t="shared" si="63"/>
        <v>390000</v>
      </c>
      <c r="I59" s="453">
        <f t="shared" si="63"/>
        <v>390000</v>
      </c>
      <c r="J59" s="453">
        <f t="shared" si="63"/>
        <v>547500</v>
      </c>
      <c r="K59" s="454">
        <f t="shared" si="63"/>
        <v>1327500</v>
      </c>
      <c r="L59" s="453">
        <f t="shared" si="63"/>
        <v>351000</v>
      </c>
      <c r="M59" s="453">
        <f t="shared" si="63"/>
        <v>351000</v>
      </c>
      <c r="N59" s="453">
        <f t="shared" si="63"/>
        <v>391500</v>
      </c>
      <c r="O59" s="454">
        <f t="shared" si="63"/>
        <v>1093500</v>
      </c>
      <c r="P59" s="453">
        <f t="shared" si="63"/>
        <v>195000</v>
      </c>
      <c r="Q59" s="453">
        <f t="shared" si="63"/>
        <v>195000</v>
      </c>
      <c r="R59" s="453">
        <f t="shared" si="63"/>
        <v>469500</v>
      </c>
      <c r="S59" s="454">
        <f t="shared" si="63"/>
        <v>859500</v>
      </c>
      <c r="T59" s="454">
        <f t="shared" si="63"/>
        <v>3945000</v>
      </c>
    </row>
    <row r="60" spans="2:20" ht="42.75">
      <c r="B60" s="144"/>
      <c r="C60" s="146" t="s">
        <v>526</v>
      </c>
      <c r="D60" s="453">
        <f t="shared" ref="D60:T60" si="64">D52</f>
        <v>0</v>
      </c>
      <c r="E60" s="453">
        <f t="shared" si="64"/>
        <v>0</v>
      </c>
      <c r="F60" s="453">
        <f t="shared" si="64"/>
        <v>40500</v>
      </c>
      <c r="G60" s="454">
        <f t="shared" si="64"/>
        <v>40500</v>
      </c>
      <c r="H60" s="453">
        <f t="shared" si="64"/>
        <v>0</v>
      </c>
      <c r="I60" s="453">
        <f t="shared" si="64"/>
        <v>0</v>
      </c>
      <c r="J60" s="453">
        <f t="shared" si="64"/>
        <v>40500</v>
      </c>
      <c r="K60" s="454">
        <f t="shared" si="64"/>
        <v>40500</v>
      </c>
      <c r="L60" s="453">
        <f t="shared" si="64"/>
        <v>0</v>
      </c>
      <c r="M60" s="453">
        <f t="shared" si="64"/>
        <v>0</v>
      </c>
      <c r="N60" s="453">
        <f t="shared" si="64"/>
        <v>40500</v>
      </c>
      <c r="O60" s="454">
        <f t="shared" si="64"/>
        <v>40500</v>
      </c>
      <c r="P60" s="453">
        <f t="shared" si="64"/>
        <v>0</v>
      </c>
      <c r="Q60" s="453">
        <f t="shared" si="64"/>
        <v>0</v>
      </c>
      <c r="R60" s="453">
        <f t="shared" si="64"/>
        <v>40500</v>
      </c>
      <c r="S60" s="454">
        <f t="shared" si="64"/>
        <v>40500</v>
      </c>
      <c r="T60" s="454">
        <f t="shared" si="64"/>
        <v>162000</v>
      </c>
    </row>
    <row r="61" spans="2:20">
      <c r="B61" s="1365"/>
      <c r="C61" s="416"/>
      <c r="D61" s="416"/>
      <c r="E61" s="416"/>
      <c r="F61" s="416"/>
      <c r="G61" s="418"/>
      <c r="H61" s="415"/>
      <c r="I61" s="415"/>
      <c r="J61" s="415"/>
      <c r="K61" s="418"/>
      <c r="L61" s="415"/>
      <c r="M61" s="415"/>
      <c r="N61" s="415"/>
      <c r="O61" s="418"/>
      <c r="P61" s="415"/>
      <c r="Q61" s="415"/>
      <c r="R61" s="415"/>
      <c r="S61" s="418"/>
      <c r="T61" s="418"/>
    </row>
    <row r="62" spans="2:20">
      <c r="B62" s="144"/>
      <c r="C62" s="1535" t="s">
        <v>528</v>
      </c>
      <c r="D62" s="1535"/>
      <c r="E62" s="1535"/>
      <c r="F62" s="1535"/>
      <c r="G62" s="1535"/>
      <c r="H62" s="1535"/>
      <c r="I62" s="1535"/>
      <c r="J62" s="1535"/>
      <c r="K62" s="1535"/>
      <c r="L62" s="1535"/>
      <c r="M62" s="1535"/>
      <c r="N62" s="1535"/>
      <c r="O62" s="1535"/>
      <c r="P62" s="1535"/>
      <c r="Q62" s="1535"/>
      <c r="R62" s="1535"/>
      <c r="S62" s="1535"/>
      <c r="T62" s="1535"/>
    </row>
    <row r="63" spans="2:20">
      <c r="B63" s="1536" t="s">
        <v>515</v>
      </c>
      <c r="C63" s="144" t="s">
        <v>57</v>
      </c>
      <c r="D63" s="453">
        <f>'PL. Prodeje'!D42*Produkty!$B$4</f>
        <v>7366500</v>
      </c>
      <c r="E63" s="453">
        <f>'PL. Prodeje'!E42*Produkty!$B$4</f>
        <v>7366500</v>
      </c>
      <c r="F63" s="453">
        <f>'PL. Prodeje'!F42*Produkty!$B$4</f>
        <v>8185000</v>
      </c>
      <c r="G63" s="454">
        <f t="shared" ref="G63:G76" si="65">SUM(D63:F63)</f>
        <v>22918000</v>
      </c>
      <c r="H63" s="453">
        <f>'PL. Prodeje'!H42*Produkty!$B$4</f>
        <v>26192000</v>
      </c>
      <c r="I63" s="453">
        <f>'PL. Prodeje'!I42*Produkty!$B$4</f>
        <v>26192000</v>
      </c>
      <c r="J63" s="453">
        <f>'PL. Prodeje'!J42*Produkty!$B$4</f>
        <v>27010500</v>
      </c>
      <c r="K63" s="454">
        <f t="shared" ref="K63:K76" si="66">SUM(H63:J63)</f>
        <v>79394500</v>
      </c>
      <c r="L63" s="453">
        <f>'PL. Prodeje'!L42*Produkty!$B$4</f>
        <v>22918000</v>
      </c>
      <c r="M63" s="453">
        <f>'PL. Prodeje'!M42*Produkty!$B$4</f>
        <v>22918000</v>
      </c>
      <c r="N63" s="453">
        <f>'PL. Prodeje'!N42*Produkty!$B$4</f>
        <v>22099500</v>
      </c>
      <c r="O63" s="454">
        <f t="shared" ref="O63:O76" si="67">SUM(L63:N63)</f>
        <v>67935500</v>
      </c>
      <c r="P63" s="453">
        <f>'PL. Prodeje'!P42*Produkty!$B$4</f>
        <v>18825500</v>
      </c>
      <c r="Q63" s="453">
        <f>'PL. Prodeje'!Q42*Produkty!$B$4</f>
        <v>18825500</v>
      </c>
      <c r="R63" s="453">
        <f>'PL. Prodeje'!R42*Produkty!$B$4</f>
        <v>18825500</v>
      </c>
      <c r="S63" s="454">
        <f t="shared" ref="S63:S76" si="68">SUM(P63:R63)</f>
        <v>56476500</v>
      </c>
      <c r="T63" s="454">
        <f t="shared" ref="T63:T76" si="69">G63+K63+O63+S63</f>
        <v>226724500</v>
      </c>
    </row>
    <row r="64" spans="2:20">
      <c r="B64" s="1536"/>
      <c r="C64" s="144" t="s">
        <v>56</v>
      </c>
      <c r="D64" s="453">
        <f>'PL. Prodeje'!D43*Produkty!$B$4</f>
        <v>8185000</v>
      </c>
      <c r="E64" s="453">
        <f>'PL. Prodeje'!E43*Produkty!$B$4</f>
        <v>8185000</v>
      </c>
      <c r="F64" s="453">
        <f>'PL. Prodeje'!F43*Produkty!$B$4</f>
        <v>7366500</v>
      </c>
      <c r="G64" s="454">
        <f t="shared" si="65"/>
        <v>23736500</v>
      </c>
      <c r="H64" s="453">
        <f>'PL. Prodeje'!H43*Produkty!$B$4</f>
        <v>27010500</v>
      </c>
      <c r="I64" s="453">
        <f>'PL. Prodeje'!I43*Produkty!$B$4</f>
        <v>27010500</v>
      </c>
      <c r="J64" s="453">
        <f>'PL. Prodeje'!J43*Produkty!$B$4</f>
        <v>27829000</v>
      </c>
      <c r="K64" s="454">
        <f t="shared" si="66"/>
        <v>81850000</v>
      </c>
      <c r="L64" s="453">
        <f>'PL. Prodeje'!L43*Produkty!$B$4</f>
        <v>23736500</v>
      </c>
      <c r="M64" s="453">
        <f>'PL. Prodeje'!M43*Produkty!$B$4</f>
        <v>23736500</v>
      </c>
      <c r="N64" s="453">
        <f>'PL. Prodeje'!N43*Produkty!$B$4</f>
        <v>23736500</v>
      </c>
      <c r="O64" s="454">
        <f t="shared" si="67"/>
        <v>71209500</v>
      </c>
      <c r="P64" s="453">
        <f>'PL. Prodeje'!P43*Produkty!$B$4</f>
        <v>19644000</v>
      </c>
      <c r="Q64" s="453">
        <f>'PL. Prodeje'!Q43*Produkty!$B$4</f>
        <v>19644000</v>
      </c>
      <c r="R64" s="453">
        <f>'PL. Prodeje'!R43*Produkty!$B$4</f>
        <v>19644000</v>
      </c>
      <c r="S64" s="454">
        <f t="shared" si="68"/>
        <v>58932000</v>
      </c>
      <c r="T64" s="454">
        <f t="shared" si="69"/>
        <v>235728000</v>
      </c>
    </row>
    <row r="65" spans="2:20">
      <c r="B65" s="1536"/>
      <c r="C65" s="144" t="s">
        <v>58</v>
      </c>
      <c r="D65" s="453">
        <f>'PL. Prodeje'!D44*Produkty!$B$4</f>
        <v>2455500</v>
      </c>
      <c r="E65" s="453">
        <f>'PL. Prodeje'!E44*Produkty!$B$4</f>
        <v>2455500</v>
      </c>
      <c r="F65" s="453">
        <f>'PL. Prodeje'!F44*Produkty!$B$4</f>
        <v>1637000</v>
      </c>
      <c r="G65" s="454">
        <f t="shared" si="65"/>
        <v>6548000</v>
      </c>
      <c r="H65" s="453">
        <f>'PL. Prodeje'!H44*Produkty!$B$4</f>
        <v>7366500</v>
      </c>
      <c r="I65" s="453">
        <f>'PL. Prodeje'!I44*Produkty!$B$4</f>
        <v>7366500</v>
      </c>
      <c r="J65" s="453">
        <f>'PL. Prodeje'!J44*Produkty!$B$4</f>
        <v>6548000</v>
      </c>
      <c r="K65" s="454">
        <f t="shared" si="66"/>
        <v>21281000</v>
      </c>
      <c r="L65" s="453">
        <f>'PL. Prodeje'!L44*Produkty!$B$4</f>
        <v>6548000</v>
      </c>
      <c r="M65" s="453">
        <f>'PL. Prodeje'!M44*Produkty!$B$4</f>
        <v>6548000</v>
      </c>
      <c r="N65" s="453">
        <f>'PL. Prodeje'!N44*Produkty!$B$4</f>
        <v>6548000</v>
      </c>
      <c r="O65" s="454">
        <f t="shared" si="67"/>
        <v>19644000</v>
      </c>
      <c r="P65" s="453">
        <f>'PL. Prodeje'!P44*Produkty!$B$4</f>
        <v>5729500</v>
      </c>
      <c r="Q65" s="453">
        <f>'PL. Prodeje'!Q44*Produkty!$B$4</f>
        <v>5729500</v>
      </c>
      <c r="R65" s="453">
        <f>'PL. Prodeje'!R44*Produkty!$B$4</f>
        <v>5729500</v>
      </c>
      <c r="S65" s="454">
        <f t="shared" si="68"/>
        <v>17188500</v>
      </c>
      <c r="T65" s="454">
        <f t="shared" si="69"/>
        <v>64661500</v>
      </c>
    </row>
    <row r="66" spans="2:20">
      <c r="B66" s="1536"/>
      <c r="C66" s="144" t="s">
        <v>59</v>
      </c>
      <c r="D66" s="453">
        <f>'PL. Prodeje'!D45*Produkty!$B$4</f>
        <v>1637000</v>
      </c>
      <c r="E66" s="453">
        <f>'PL. Prodeje'!E45*Produkty!$B$4</f>
        <v>1637000</v>
      </c>
      <c r="F66" s="453">
        <f>'PL. Prodeje'!F45*Produkty!$B$4</f>
        <v>818500</v>
      </c>
      <c r="G66" s="454">
        <f t="shared" si="65"/>
        <v>4092500</v>
      </c>
      <c r="H66" s="453">
        <f>'PL. Prodeje'!H45*Produkty!$B$4</f>
        <v>4911000</v>
      </c>
      <c r="I66" s="453">
        <f>'PL. Prodeje'!I45*Produkty!$B$4</f>
        <v>4911000</v>
      </c>
      <c r="J66" s="453">
        <f>'PL. Prodeje'!J45*Produkty!$B$4</f>
        <v>4911000</v>
      </c>
      <c r="K66" s="454">
        <f t="shared" si="66"/>
        <v>14733000</v>
      </c>
      <c r="L66" s="453">
        <f>'PL. Prodeje'!L45*Produkty!$B$4</f>
        <v>4092500</v>
      </c>
      <c r="M66" s="453">
        <f>'PL. Prodeje'!M45*Produkty!$B$4</f>
        <v>4092500</v>
      </c>
      <c r="N66" s="453">
        <f>'PL. Prodeje'!N45*Produkty!$B$4</f>
        <v>4092500</v>
      </c>
      <c r="O66" s="454">
        <f t="shared" si="67"/>
        <v>12277500</v>
      </c>
      <c r="P66" s="453">
        <f>'PL. Prodeje'!P45*Produkty!$B$4</f>
        <v>3274000</v>
      </c>
      <c r="Q66" s="453">
        <f>'PL. Prodeje'!Q45*Produkty!$B$4</f>
        <v>3274000</v>
      </c>
      <c r="R66" s="453">
        <f>'PL. Prodeje'!R45*Produkty!$B$4</f>
        <v>3274000</v>
      </c>
      <c r="S66" s="454">
        <f t="shared" si="68"/>
        <v>9822000</v>
      </c>
      <c r="T66" s="454">
        <f t="shared" si="69"/>
        <v>40925000</v>
      </c>
    </row>
    <row r="67" spans="2:20">
      <c r="B67" s="1536" t="s">
        <v>520</v>
      </c>
      <c r="C67" s="144" t="s">
        <v>63</v>
      </c>
      <c r="D67" s="453">
        <f>'PL. Prodeje'!D46*Produkty!$B$4</f>
        <v>818500</v>
      </c>
      <c r="E67" s="453">
        <f>'PL. Prodeje'!E46*Produkty!$B$4</f>
        <v>818500</v>
      </c>
      <c r="F67" s="453">
        <f>'PL. Prodeje'!F46*Produkty!$B$4</f>
        <v>1637000</v>
      </c>
      <c r="G67" s="454">
        <f t="shared" si="65"/>
        <v>3274000</v>
      </c>
      <c r="H67" s="453">
        <f>'PL. Prodeje'!H46*Produkty!$B$4</f>
        <v>3274000</v>
      </c>
      <c r="I67" s="453">
        <f>'PL. Prodeje'!I46*Produkty!$B$4</f>
        <v>3274000</v>
      </c>
      <c r="J67" s="453">
        <f>'PL. Prodeje'!J46*Produkty!$B$4</f>
        <v>4092500</v>
      </c>
      <c r="K67" s="454">
        <f t="shared" si="66"/>
        <v>10640500</v>
      </c>
      <c r="L67" s="453">
        <f>'PL. Prodeje'!L46*Produkty!$B$4</f>
        <v>3274000</v>
      </c>
      <c r="M67" s="453">
        <f>'PL. Prodeje'!M46*Produkty!$B$4</f>
        <v>3274000</v>
      </c>
      <c r="N67" s="453">
        <f>'PL. Prodeje'!N46*Produkty!$B$4</f>
        <v>2455500</v>
      </c>
      <c r="O67" s="454">
        <f t="shared" si="67"/>
        <v>9003500</v>
      </c>
      <c r="P67" s="453">
        <f>'PL. Prodeje'!P46*Produkty!$B$4</f>
        <v>2455500</v>
      </c>
      <c r="Q67" s="453">
        <f>'PL. Prodeje'!Q46*Produkty!$B$4</f>
        <v>2455500</v>
      </c>
      <c r="R67" s="453">
        <f>'PL. Prodeje'!R46*Produkty!$B$4</f>
        <v>2455500</v>
      </c>
      <c r="S67" s="454">
        <f t="shared" si="68"/>
        <v>7366500</v>
      </c>
      <c r="T67" s="454">
        <f t="shared" si="69"/>
        <v>30284500</v>
      </c>
    </row>
    <row r="68" spans="2:20">
      <c r="B68" s="1536"/>
      <c r="C68" s="144" t="s">
        <v>55</v>
      </c>
      <c r="D68" s="453">
        <f>'PL. Prodeje'!D47*Produkty!$B$4</f>
        <v>11459000</v>
      </c>
      <c r="E68" s="453">
        <f>'PL. Prodeje'!E47*Produkty!$B$4</f>
        <v>11459000</v>
      </c>
      <c r="F68" s="453">
        <f>'PL. Prodeje'!F47*Produkty!$B$4</f>
        <v>11459000</v>
      </c>
      <c r="G68" s="454">
        <f t="shared" si="65"/>
        <v>34377000</v>
      </c>
      <c r="H68" s="453">
        <f>'PL. Prodeje'!H47*Produkty!$B$4</f>
        <v>39288000</v>
      </c>
      <c r="I68" s="453">
        <f>'PL. Prodeje'!I47*Produkty!$B$4</f>
        <v>39288000</v>
      </c>
      <c r="J68" s="453">
        <f>'PL. Prodeje'!J47*Produkty!$B$4</f>
        <v>40106500</v>
      </c>
      <c r="K68" s="454">
        <f t="shared" si="66"/>
        <v>118682500</v>
      </c>
      <c r="L68" s="453">
        <f>'PL. Prodeje'!L47*Produkty!$B$4</f>
        <v>34377000</v>
      </c>
      <c r="M68" s="453">
        <f>'PL. Prodeje'!M47*Produkty!$B$4</f>
        <v>34377000</v>
      </c>
      <c r="N68" s="453">
        <f>'PL. Prodeje'!N47*Produkty!$B$4</f>
        <v>33558500</v>
      </c>
      <c r="O68" s="454">
        <f t="shared" si="67"/>
        <v>102312500</v>
      </c>
      <c r="P68" s="453">
        <f>'PL. Prodeje'!P47*Produkty!$B$4</f>
        <v>28647500</v>
      </c>
      <c r="Q68" s="453">
        <f>'PL. Prodeje'!Q47*Produkty!$B$4</f>
        <v>28647500</v>
      </c>
      <c r="R68" s="453">
        <f>'PL. Prodeje'!R47*Produkty!$B$4</f>
        <v>28647500</v>
      </c>
      <c r="S68" s="454">
        <f t="shared" si="68"/>
        <v>85942500</v>
      </c>
      <c r="T68" s="454">
        <f t="shared" si="69"/>
        <v>341314500</v>
      </c>
    </row>
    <row r="69" spans="2:20">
      <c r="B69" s="1536"/>
      <c r="C69" s="144" t="s">
        <v>61</v>
      </c>
      <c r="D69" s="453">
        <f>'PL. Prodeje'!D48*Produkty!$B$4</f>
        <v>818500</v>
      </c>
      <c r="E69" s="453">
        <f>'PL. Prodeje'!E48*Produkty!$B$4</f>
        <v>818500</v>
      </c>
      <c r="F69" s="453">
        <f>'PL. Prodeje'!F48*Produkty!$B$4</f>
        <v>1637000</v>
      </c>
      <c r="G69" s="454">
        <f t="shared" si="65"/>
        <v>3274000</v>
      </c>
      <c r="H69" s="453">
        <f>'PL. Prodeje'!H48*Produkty!$B$4</f>
        <v>3274000</v>
      </c>
      <c r="I69" s="453">
        <f>'PL. Prodeje'!I48*Produkty!$B$4</f>
        <v>3274000</v>
      </c>
      <c r="J69" s="453">
        <f>'PL. Prodeje'!J48*Produkty!$B$4</f>
        <v>4092500</v>
      </c>
      <c r="K69" s="454">
        <f t="shared" si="66"/>
        <v>10640500</v>
      </c>
      <c r="L69" s="453">
        <f>'PL. Prodeje'!L48*Produkty!$B$4</f>
        <v>3274000</v>
      </c>
      <c r="M69" s="453">
        <f>'PL. Prodeje'!M48*Produkty!$B$4</f>
        <v>3274000</v>
      </c>
      <c r="N69" s="453">
        <f>'PL. Prodeje'!N48*Produkty!$B$4</f>
        <v>2455500</v>
      </c>
      <c r="O69" s="454">
        <f t="shared" si="67"/>
        <v>9003500</v>
      </c>
      <c r="P69" s="453">
        <f>'PL. Prodeje'!P48*Produkty!$B$4</f>
        <v>2455500</v>
      </c>
      <c r="Q69" s="453">
        <f>'PL. Prodeje'!Q48*Produkty!$B$4</f>
        <v>2455500</v>
      </c>
      <c r="R69" s="453">
        <f>'PL. Prodeje'!R48*Produkty!$B$4</f>
        <v>2455500</v>
      </c>
      <c r="S69" s="454">
        <f t="shared" si="68"/>
        <v>7366500</v>
      </c>
      <c r="T69" s="454">
        <f t="shared" si="69"/>
        <v>30284500</v>
      </c>
    </row>
    <row r="70" spans="2:20">
      <c r="B70" s="1536"/>
      <c r="C70" s="144" t="s">
        <v>62</v>
      </c>
      <c r="D70" s="453">
        <f>'PL. Prodeje'!D49*Produkty!$B$4</f>
        <v>1637000</v>
      </c>
      <c r="E70" s="453">
        <f>'PL. Prodeje'!E49*Produkty!$B$4</f>
        <v>1637000</v>
      </c>
      <c r="F70" s="453">
        <f>'PL. Prodeje'!F49*Produkty!$B$4</f>
        <v>818500</v>
      </c>
      <c r="G70" s="454">
        <f t="shared" si="65"/>
        <v>4092500</v>
      </c>
      <c r="H70" s="453">
        <f>'PL. Prodeje'!H49*Produkty!$B$4</f>
        <v>4911000</v>
      </c>
      <c r="I70" s="453">
        <f>'PL. Prodeje'!I49*Produkty!$B$4</f>
        <v>4911000</v>
      </c>
      <c r="J70" s="453">
        <f>'PL. Prodeje'!J49*Produkty!$B$4</f>
        <v>4092500</v>
      </c>
      <c r="K70" s="454">
        <f t="shared" si="66"/>
        <v>13914500</v>
      </c>
      <c r="L70" s="453">
        <f>'PL. Prodeje'!L49*Produkty!$B$4</f>
        <v>4092500</v>
      </c>
      <c r="M70" s="453">
        <f>'PL. Prodeje'!M49*Produkty!$B$4</f>
        <v>4092500</v>
      </c>
      <c r="N70" s="453">
        <f>'PL. Prodeje'!N49*Produkty!$B$4</f>
        <v>3274000</v>
      </c>
      <c r="O70" s="454">
        <f t="shared" si="67"/>
        <v>11459000</v>
      </c>
      <c r="P70" s="453">
        <f>'PL. Prodeje'!P49*Produkty!$B$4</f>
        <v>3274000</v>
      </c>
      <c r="Q70" s="453">
        <f>'PL. Prodeje'!Q49*Produkty!$B$4</f>
        <v>3274000</v>
      </c>
      <c r="R70" s="453">
        <f>'PL. Prodeje'!R49*Produkty!$B$4</f>
        <v>3274000</v>
      </c>
      <c r="S70" s="454">
        <f t="shared" si="68"/>
        <v>9822000</v>
      </c>
      <c r="T70" s="454">
        <f t="shared" si="69"/>
        <v>39288000</v>
      </c>
    </row>
    <row r="71" spans="2:20">
      <c r="B71" s="1536" t="s">
        <v>522</v>
      </c>
      <c r="C71" s="144" t="s">
        <v>66</v>
      </c>
      <c r="D71" s="453">
        <f>'PL. Prodeje'!D50*Produkty!$B$4</f>
        <v>818500</v>
      </c>
      <c r="E71" s="453">
        <f>'PL. Prodeje'!E50*Produkty!$B$4</f>
        <v>818500</v>
      </c>
      <c r="F71" s="453">
        <f>'PL. Prodeje'!F50*Produkty!$B$4</f>
        <v>818500</v>
      </c>
      <c r="G71" s="454">
        <f t="shared" si="65"/>
        <v>2455500</v>
      </c>
      <c r="H71" s="453">
        <f>'PL. Prodeje'!H50*Produkty!$B$4</f>
        <v>2455500</v>
      </c>
      <c r="I71" s="453">
        <f>'PL. Prodeje'!I50*Produkty!$B$4</f>
        <v>2455500</v>
      </c>
      <c r="J71" s="453">
        <f>'PL. Prodeje'!J50*Produkty!$B$4</f>
        <v>2455500</v>
      </c>
      <c r="K71" s="454">
        <f t="shared" si="66"/>
        <v>7366500</v>
      </c>
      <c r="L71" s="453">
        <f>'PL. Prodeje'!L50*Produkty!$B$4</f>
        <v>2455500</v>
      </c>
      <c r="M71" s="453">
        <f>'PL. Prodeje'!M50*Produkty!$B$4</f>
        <v>2455500</v>
      </c>
      <c r="N71" s="453">
        <f>'PL. Prodeje'!N50*Produkty!$B$4</f>
        <v>1637000</v>
      </c>
      <c r="O71" s="454">
        <f t="shared" si="67"/>
        <v>6548000</v>
      </c>
      <c r="P71" s="453">
        <f>'PL. Prodeje'!P50*Produkty!$B$4</f>
        <v>1637000</v>
      </c>
      <c r="Q71" s="453">
        <f>'PL. Prodeje'!Q50*Produkty!$B$4</f>
        <v>1637000</v>
      </c>
      <c r="R71" s="453">
        <f>'PL. Prodeje'!R50*Produkty!$B$4</f>
        <v>1637000</v>
      </c>
      <c r="S71" s="454">
        <f t="shared" si="68"/>
        <v>4911000</v>
      </c>
      <c r="T71" s="454">
        <f t="shared" si="69"/>
        <v>21281000</v>
      </c>
    </row>
    <row r="72" spans="2:20">
      <c r="B72" s="1536"/>
      <c r="C72" s="144" t="s">
        <v>65</v>
      </c>
      <c r="D72" s="453">
        <f>'PL. Prodeje'!D51*Produkty!$B$4</f>
        <v>818500</v>
      </c>
      <c r="E72" s="453">
        <f>'PL. Prodeje'!E51*Produkty!$B$4</f>
        <v>818500</v>
      </c>
      <c r="F72" s="453">
        <f>'PL. Prodeje'!F51*Produkty!$B$4</f>
        <v>818500</v>
      </c>
      <c r="G72" s="454">
        <f t="shared" si="65"/>
        <v>2455500</v>
      </c>
      <c r="H72" s="453">
        <f>'PL. Prodeje'!H51*Produkty!$B$4</f>
        <v>2455500</v>
      </c>
      <c r="I72" s="453">
        <f>'PL. Prodeje'!I51*Produkty!$B$4</f>
        <v>2455500</v>
      </c>
      <c r="J72" s="453">
        <f>'PL. Prodeje'!J51*Produkty!$B$4</f>
        <v>2455500</v>
      </c>
      <c r="K72" s="454">
        <f t="shared" si="66"/>
        <v>7366500</v>
      </c>
      <c r="L72" s="453">
        <f>'PL. Prodeje'!L51*Produkty!$B$4</f>
        <v>2455500</v>
      </c>
      <c r="M72" s="453">
        <f>'PL. Prodeje'!M51*Produkty!$B$4</f>
        <v>2455500</v>
      </c>
      <c r="N72" s="453">
        <f>'PL. Prodeje'!N51*Produkty!$B$4</f>
        <v>1637000</v>
      </c>
      <c r="O72" s="454">
        <f t="shared" si="67"/>
        <v>6548000</v>
      </c>
      <c r="P72" s="453">
        <f>'PL. Prodeje'!P51*Produkty!$B$4</f>
        <v>1637000</v>
      </c>
      <c r="Q72" s="453">
        <f>'PL. Prodeje'!Q51*Produkty!$B$4</f>
        <v>1637000</v>
      </c>
      <c r="R72" s="453">
        <f>'PL. Prodeje'!R51*Produkty!$B$4</f>
        <v>1637000</v>
      </c>
      <c r="S72" s="454">
        <f t="shared" si="68"/>
        <v>4911000</v>
      </c>
      <c r="T72" s="454">
        <f t="shared" si="69"/>
        <v>21281000</v>
      </c>
    </row>
    <row r="73" spans="2:20">
      <c r="B73" s="1536"/>
      <c r="C73" s="144" t="s">
        <v>67</v>
      </c>
      <c r="D73" s="453">
        <f>'PL. Prodeje'!D52*Produkty!$B$4</f>
        <v>0</v>
      </c>
      <c r="E73" s="453">
        <f>'PL. Prodeje'!E52*Produkty!$B$4</f>
        <v>0</v>
      </c>
      <c r="F73" s="453">
        <f>'PL. Prodeje'!F52*Produkty!$B$4</f>
        <v>0</v>
      </c>
      <c r="G73" s="454">
        <f t="shared" si="65"/>
        <v>0</v>
      </c>
      <c r="H73" s="453">
        <f>'PL. Prodeje'!H52*Produkty!$B$4</f>
        <v>0</v>
      </c>
      <c r="I73" s="453">
        <f>'PL. Prodeje'!I52*Produkty!$B$4</f>
        <v>0</v>
      </c>
      <c r="J73" s="453">
        <f>'PL. Prodeje'!J52*Produkty!$B$4</f>
        <v>0</v>
      </c>
      <c r="K73" s="454">
        <f t="shared" si="66"/>
        <v>0</v>
      </c>
      <c r="L73" s="453">
        <f>'PL. Prodeje'!L52*Produkty!$B$4</f>
        <v>0</v>
      </c>
      <c r="M73" s="453">
        <f>'PL. Prodeje'!M52*Produkty!$B$4</f>
        <v>0</v>
      </c>
      <c r="N73" s="453">
        <f>'PL. Prodeje'!N52*Produkty!$B$4</f>
        <v>0</v>
      </c>
      <c r="O73" s="454">
        <f t="shared" si="67"/>
        <v>0</v>
      </c>
      <c r="P73" s="453">
        <f>'PL. Prodeje'!P52*Produkty!$B$4</f>
        <v>0</v>
      </c>
      <c r="Q73" s="453">
        <f>'PL. Prodeje'!Q52*Produkty!$B$4</f>
        <v>0</v>
      </c>
      <c r="R73" s="453">
        <f>'PL. Prodeje'!R52*Produkty!$B$4</f>
        <v>0</v>
      </c>
      <c r="S73" s="454">
        <f t="shared" si="68"/>
        <v>0</v>
      </c>
      <c r="T73" s="454">
        <f t="shared" si="69"/>
        <v>0</v>
      </c>
    </row>
    <row r="74" spans="2:20">
      <c r="B74" s="1536"/>
      <c r="C74" s="144" t="s">
        <v>64</v>
      </c>
      <c r="D74" s="453">
        <f>'PL. Prodeje'!D53*Produkty!$B$4</f>
        <v>818500</v>
      </c>
      <c r="E74" s="453">
        <f>'PL. Prodeje'!E53*Produkty!$B$4</f>
        <v>818500</v>
      </c>
      <c r="F74" s="453">
        <f>'PL. Prodeje'!F53*Produkty!$B$4</f>
        <v>0</v>
      </c>
      <c r="G74" s="454">
        <f t="shared" si="65"/>
        <v>1637000</v>
      </c>
      <c r="H74" s="453">
        <f>'PL. Prodeje'!H53*Produkty!$B$4</f>
        <v>2455500</v>
      </c>
      <c r="I74" s="453">
        <f>'PL. Prodeje'!I53*Produkty!$B$4</f>
        <v>2455500</v>
      </c>
      <c r="J74" s="453">
        <f>'PL. Prodeje'!J53*Produkty!$B$4</f>
        <v>1637000</v>
      </c>
      <c r="K74" s="454">
        <f t="shared" si="66"/>
        <v>6548000</v>
      </c>
      <c r="L74" s="453">
        <f>'PL. Prodeje'!L53*Produkty!$B$4</f>
        <v>1637000</v>
      </c>
      <c r="M74" s="453">
        <f>'PL. Prodeje'!M53*Produkty!$B$4</f>
        <v>1637000</v>
      </c>
      <c r="N74" s="453">
        <f>'PL. Prodeje'!N53*Produkty!$B$4</f>
        <v>2455500</v>
      </c>
      <c r="O74" s="454">
        <f t="shared" si="67"/>
        <v>5729500</v>
      </c>
      <c r="P74" s="453">
        <f>'PL. Prodeje'!P53*Produkty!$B$4</f>
        <v>1637000</v>
      </c>
      <c r="Q74" s="453">
        <f>'PL. Prodeje'!Q53*Produkty!$B$4</f>
        <v>1637000</v>
      </c>
      <c r="R74" s="453">
        <f>'PL. Prodeje'!R53*Produkty!$B$4</f>
        <v>1637000</v>
      </c>
      <c r="S74" s="454">
        <f t="shared" si="68"/>
        <v>4911000</v>
      </c>
      <c r="T74" s="454">
        <f t="shared" si="69"/>
        <v>18825500</v>
      </c>
    </row>
    <row r="75" spans="2:20">
      <c r="B75" s="1536"/>
      <c r="C75" s="144" t="s">
        <v>60</v>
      </c>
      <c r="D75" s="453">
        <f>'PL. Prodeje'!D54*Produkty!$B$4</f>
        <v>1637000</v>
      </c>
      <c r="E75" s="453">
        <f>'PL. Prodeje'!E54*Produkty!$B$4</f>
        <v>1637000</v>
      </c>
      <c r="F75" s="453">
        <f>'PL. Prodeje'!F54*Produkty!$B$4</f>
        <v>818500</v>
      </c>
      <c r="G75" s="454">
        <f t="shared" si="65"/>
        <v>4092500</v>
      </c>
      <c r="H75" s="453">
        <f>'PL. Prodeje'!H54*Produkty!$B$4</f>
        <v>4092500</v>
      </c>
      <c r="I75" s="453">
        <f>'PL. Prodeje'!I54*Produkty!$B$4</f>
        <v>4092500</v>
      </c>
      <c r="J75" s="453">
        <f>'PL. Prodeje'!J54*Produkty!$B$4</f>
        <v>4911000</v>
      </c>
      <c r="K75" s="454">
        <f t="shared" si="66"/>
        <v>13096000</v>
      </c>
      <c r="L75" s="453">
        <f>'PL. Prodeje'!L54*Produkty!$B$4</f>
        <v>4092500</v>
      </c>
      <c r="M75" s="453">
        <f>'PL. Prodeje'!M54*Produkty!$B$4</f>
        <v>4092500</v>
      </c>
      <c r="N75" s="453">
        <f>'PL. Prodeje'!N54*Produkty!$B$4</f>
        <v>3274000</v>
      </c>
      <c r="O75" s="454">
        <f t="shared" si="67"/>
        <v>11459000</v>
      </c>
      <c r="P75" s="453">
        <f>'PL. Prodeje'!P54*Produkty!$B$4</f>
        <v>3274000</v>
      </c>
      <c r="Q75" s="453">
        <f>'PL. Prodeje'!Q54*Produkty!$B$4</f>
        <v>3274000</v>
      </c>
      <c r="R75" s="453">
        <f>'PL. Prodeje'!R54*Produkty!$B$4</f>
        <v>3274000</v>
      </c>
      <c r="S75" s="454">
        <f t="shared" si="68"/>
        <v>9822000</v>
      </c>
      <c r="T75" s="454">
        <f t="shared" si="69"/>
        <v>38469500</v>
      </c>
    </row>
    <row r="76" spans="2:20">
      <c r="B76" s="144" t="s">
        <v>523</v>
      </c>
      <c r="C76" s="144" t="s">
        <v>524</v>
      </c>
      <c r="D76" s="453">
        <f>'PL. Prodeje'!D55*Produkty!$B$4</f>
        <v>35195500</v>
      </c>
      <c r="E76" s="453">
        <f>'PL. Prodeje'!E55*Produkty!$B$4</f>
        <v>35195500</v>
      </c>
      <c r="F76" s="453">
        <f>'PL. Prodeje'!F55*Produkty!$B$4</f>
        <v>35195500</v>
      </c>
      <c r="G76" s="454">
        <f t="shared" si="65"/>
        <v>105586500</v>
      </c>
      <c r="H76" s="453">
        <f>'PL. Prodeje'!H55*Produkty!$B$4</f>
        <v>122775000</v>
      </c>
      <c r="I76" s="453">
        <f>'PL. Prodeje'!I55*Produkty!$B$4</f>
        <v>122775000</v>
      </c>
      <c r="J76" s="453">
        <f>'PL. Prodeje'!J55*Produkty!$B$4</f>
        <v>122775000</v>
      </c>
      <c r="K76" s="454">
        <f t="shared" si="66"/>
        <v>368325000</v>
      </c>
      <c r="L76" s="453">
        <f>'PL. Prodeje'!L55*Produkty!$B$4</f>
        <v>105586500</v>
      </c>
      <c r="M76" s="453">
        <f>'PL. Prodeje'!M55*Produkty!$B$4</f>
        <v>105586500</v>
      </c>
      <c r="N76" s="453">
        <f>'PL. Prodeje'!N55*Produkty!$B$4</f>
        <v>105586500</v>
      </c>
      <c r="O76" s="454">
        <f t="shared" si="67"/>
        <v>316759500</v>
      </c>
      <c r="P76" s="453">
        <f>'PL. Prodeje'!P55*Produkty!$B$4</f>
        <v>87579500</v>
      </c>
      <c r="Q76" s="453">
        <f>'PL. Prodeje'!Q55*Produkty!$B$4</f>
        <v>87579500</v>
      </c>
      <c r="R76" s="453">
        <f>'PL. Prodeje'!R55*Produkty!$B$4</f>
        <v>87579500</v>
      </c>
      <c r="S76" s="454">
        <f t="shared" si="68"/>
        <v>262738500</v>
      </c>
      <c r="T76" s="454">
        <f t="shared" si="69"/>
        <v>1053409500</v>
      </c>
    </row>
    <row r="77" spans="2:20" ht="42.75">
      <c r="B77" s="144"/>
      <c r="C77" s="146" t="s">
        <v>525</v>
      </c>
      <c r="D77" s="453">
        <f t="shared" ref="D77:T77" si="70">SUM(D63:D75)</f>
        <v>38469500</v>
      </c>
      <c r="E77" s="453">
        <f t="shared" si="70"/>
        <v>38469500</v>
      </c>
      <c r="F77" s="453">
        <f t="shared" si="70"/>
        <v>36014000</v>
      </c>
      <c r="G77" s="454">
        <f t="shared" si="70"/>
        <v>112953000</v>
      </c>
      <c r="H77" s="453">
        <f t="shared" si="70"/>
        <v>127686000</v>
      </c>
      <c r="I77" s="453">
        <f t="shared" si="70"/>
        <v>127686000</v>
      </c>
      <c r="J77" s="453">
        <f t="shared" si="70"/>
        <v>130141500</v>
      </c>
      <c r="K77" s="454">
        <f t="shared" si="70"/>
        <v>385513500</v>
      </c>
      <c r="L77" s="453">
        <f t="shared" si="70"/>
        <v>112953000</v>
      </c>
      <c r="M77" s="453">
        <f t="shared" si="70"/>
        <v>112953000</v>
      </c>
      <c r="N77" s="453">
        <f t="shared" si="70"/>
        <v>107223500</v>
      </c>
      <c r="O77" s="454">
        <f t="shared" si="70"/>
        <v>333129500</v>
      </c>
      <c r="P77" s="453">
        <f t="shared" si="70"/>
        <v>92490500</v>
      </c>
      <c r="Q77" s="453">
        <f t="shared" si="70"/>
        <v>92490500</v>
      </c>
      <c r="R77" s="453">
        <f t="shared" si="70"/>
        <v>92490500</v>
      </c>
      <c r="S77" s="454">
        <f t="shared" si="70"/>
        <v>277471500</v>
      </c>
      <c r="T77" s="454">
        <f t="shared" si="70"/>
        <v>1109067500</v>
      </c>
    </row>
    <row r="78" spans="2:20" ht="42.75">
      <c r="B78" s="144"/>
      <c r="C78" s="146" t="s">
        <v>526</v>
      </c>
      <c r="D78" s="453">
        <f t="shared" ref="D78:T78" si="71">D70</f>
        <v>1637000</v>
      </c>
      <c r="E78" s="453">
        <f t="shared" si="71"/>
        <v>1637000</v>
      </c>
      <c r="F78" s="453">
        <f t="shared" si="71"/>
        <v>818500</v>
      </c>
      <c r="G78" s="454">
        <f t="shared" si="71"/>
        <v>4092500</v>
      </c>
      <c r="H78" s="453">
        <f t="shared" si="71"/>
        <v>4911000</v>
      </c>
      <c r="I78" s="453">
        <f t="shared" si="71"/>
        <v>4911000</v>
      </c>
      <c r="J78" s="453">
        <f t="shared" si="71"/>
        <v>4092500</v>
      </c>
      <c r="K78" s="454">
        <f t="shared" si="71"/>
        <v>13914500</v>
      </c>
      <c r="L78" s="453">
        <f t="shared" si="71"/>
        <v>4092500</v>
      </c>
      <c r="M78" s="453">
        <f t="shared" si="71"/>
        <v>4092500</v>
      </c>
      <c r="N78" s="453">
        <f t="shared" si="71"/>
        <v>3274000</v>
      </c>
      <c r="O78" s="454">
        <f t="shared" si="71"/>
        <v>11459000</v>
      </c>
      <c r="P78" s="453">
        <f t="shared" si="71"/>
        <v>3274000</v>
      </c>
      <c r="Q78" s="453">
        <f t="shared" si="71"/>
        <v>3274000</v>
      </c>
      <c r="R78" s="453">
        <f t="shared" si="71"/>
        <v>3274000</v>
      </c>
      <c r="S78" s="454">
        <f t="shared" si="71"/>
        <v>9822000</v>
      </c>
      <c r="T78" s="454">
        <f t="shared" si="71"/>
        <v>39288000</v>
      </c>
    </row>
    <row r="79" spans="2:20">
      <c r="B79" s="1365"/>
      <c r="C79" s="1365"/>
      <c r="D79" s="1365"/>
      <c r="E79" s="1365"/>
      <c r="F79" s="1365"/>
      <c r="G79" s="418"/>
      <c r="H79" s="415"/>
      <c r="I79" s="415"/>
      <c r="J79" s="415"/>
      <c r="K79" s="418"/>
      <c r="L79" s="415"/>
      <c r="M79" s="415"/>
      <c r="N79" s="415"/>
      <c r="O79" s="418"/>
      <c r="P79" s="415"/>
      <c r="Q79" s="415"/>
      <c r="R79" s="415"/>
      <c r="S79" s="418"/>
      <c r="T79" s="418"/>
    </row>
    <row r="80" spans="2:20">
      <c r="B80" s="144"/>
      <c r="C80" s="1535" t="s">
        <v>529</v>
      </c>
      <c r="D80" s="1535"/>
      <c r="E80" s="1535"/>
      <c r="F80" s="1535"/>
      <c r="G80" s="1535"/>
      <c r="H80" s="1535"/>
      <c r="I80" s="1535"/>
      <c r="J80" s="1535"/>
      <c r="K80" s="1535"/>
      <c r="L80" s="1535"/>
      <c r="M80" s="1535"/>
      <c r="N80" s="1535"/>
      <c r="O80" s="1535"/>
      <c r="P80" s="1535"/>
      <c r="Q80" s="1535"/>
      <c r="R80" s="1535"/>
      <c r="S80" s="1535"/>
      <c r="T80" s="1535"/>
    </row>
    <row r="81" spans="2:20">
      <c r="B81" s="1536" t="s">
        <v>515</v>
      </c>
      <c r="C81" s="144" t="s">
        <v>57</v>
      </c>
      <c r="D81" s="453">
        <f>'PL. Prodeje'!D60*Produkty!$H$11</f>
        <v>20000</v>
      </c>
      <c r="E81" s="453">
        <f>'PL. Prodeje'!E60*Produkty!$H$11</f>
        <v>20000</v>
      </c>
      <c r="F81" s="453">
        <f>'PL. Prodeje'!F60*Produkty!$H$11</f>
        <v>20000</v>
      </c>
      <c r="G81" s="454">
        <f t="shared" ref="G81:G94" si="72">SUM(D81:F81)</f>
        <v>60000</v>
      </c>
      <c r="H81" s="453">
        <f>'PL. Prodeje'!H60*Produkty!$H$11</f>
        <v>60000</v>
      </c>
      <c r="I81" s="453">
        <f>'PL. Prodeje'!I60*Produkty!$H$11</f>
        <v>60000</v>
      </c>
      <c r="J81" s="453">
        <f>'PL. Prodeje'!J60*Produkty!$H$11</f>
        <v>70000</v>
      </c>
      <c r="K81" s="454">
        <f t="shared" ref="K81:K94" si="73">SUM(H81:J81)</f>
        <v>190000</v>
      </c>
      <c r="L81" s="453">
        <f>'PL. Prodeje'!L60*Produkty!$H$11</f>
        <v>60000</v>
      </c>
      <c r="M81" s="453">
        <f>'PL. Prodeje'!M60*Produkty!$H$11</f>
        <v>60000</v>
      </c>
      <c r="N81" s="453">
        <f>'PL. Prodeje'!N60*Produkty!$H$11</f>
        <v>50000</v>
      </c>
      <c r="O81" s="454">
        <f t="shared" ref="O81:O94" si="74">SUM(L81:N81)</f>
        <v>170000</v>
      </c>
      <c r="P81" s="453">
        <f>'PL. Prodeje'!P60*Produkty!$H$11</f>
        <v>50000</v>
      </c>
      <c r="Q81" s="453">
        <f>'PL. Prodeje'!Q60*Produkty!$H$11</f>
        <v>50000</v>
      </c>
      <c r="R81" s="453">
        <f>'PL. Prodeje'!R60*Produkty!$H$11</f>
        <v>40000</v>
      </c>
      <c r="S81" s="454">
        <f t="shared" ref="S81:S94" si="75">SUM(P81:R81)</f>
        <v>140000</v>
      </c>
      <c r="T81" s="454">
        <f t="shared" ref="T81:T94" si="76">G81+K81+O81+S81</f>
        <v>560000</v>
      </c>
    </row>
    <row r="82" spans="2:20">
      <c r="B82" s="1536"/>
      <c r="C82" s="144" t="s">
        <v>56</v>
      </c>
      <c r="D82" s="453">
        <f>'PL. Prodeje'!D61*Produkty!$H$11</f>
        <v>20000</v>
      </c>
      <c r="E82" s="453">
        <f>'PL. Prodeje'!E61*Produkty!$H$11</f>
        <v>20000</v>
      </c>
      <c r="F82" s="453">
        <f>'PL. Prodeje'!F61*Produkty!$H$11</f>
        <v>20000</v>
      </c>
      <c r="G82" s="454">
        <f t="shared" si="72"/>
        <v>60000</v>
      </c>
      <c r="H82" s="453">
        <f>'PL. Prodeje'!H61*Produkty!$H$11</f>
        <v>70000</v>
      </c>
      <c r="I82" s="453">
        <f>'PL. Prodeje'!I61*Produkty!$H$11</f>
        <v>70000</v>
      </c>
      <c r="J82" s="453">
        <f>'PL. Prodeje'!J61*Produkty!$H$11</f>
        <v>80000</v>
      </c>
      <c r="K82" s="454">
        <f t="shared" si="73"/>
        <v>220000</v>
      </c>
      <c r="L82" s="453">
        <f>'PL. Prodeje'!L61*Produkty!$H$11</f>
        <v>60000</v>
      </c>
      <c r="M82" s="453">
        <f>'PL. Prodeje'!M61*Produkty!$H$11</f>
        <v>60000</v>
      </c>
      <c r="N82" s="453">
        <f>'PL. Prodeje'!N61*Produkty!$H$11</f>
        <v>50000</v>
      </c>
      <c r="O82" s="454">
        <f t="shared" si="74"/>
        <v>170000</v>
      </c>
      <c r="P82" s="453">
        <f>'PL. Prodeje'!P61*Produkty!$H$11</f>
        <v>50000</v>
      </c>
      <c r="Q82" s="453">
        <f>'PL. Prodeje'!Q61*Produkty!$H$11</f>
        <v>50000</v>
      </c>
      <c r="R82" s="453">
        <f>'PL. Prodeje'!R61*Produkty!$H$11</f>
        <v>40000</v>
      </c>
      <c r="S82" s="454">
        <f t="shared" si="75"/>
        <v>140000</v>
      </c>
      <c r="T82" s="454">
        <f t="shared" si="76"/>
        <v>590000</v>
      </c>
    </row>
    <row r="83" spans="2:20">
      <c r="B83" s="1536"/>
      <c r="C83" s="144" t="s">
        <v>58</v>
      </c>
      <c r="D83" s="453">
        <f>'PL. Prodeje'!D62*Produkty!$H$11</f>
        <v>10000</v>
      </c>
      <c r="E83" s="453">
        <f>'PL. Prodeje'!E62*Produkty!$H$11</f>
        <v>10000</v>
      </c>
      <c r="F83" s="453">
        <f>'PL. Prodeje'!F62*Produkty!$H$11</f>
        <v>0</v>
      </c>
      <c r="G83" s="454">
        <f t="shared" si="72"/>
        <v>20000</v>
      </c>
      <c r="H83" s="453">
        <f>'PL. Prodeje'!H62*Produkty!$H$11</f>
        <v>20000</v>
      </c>
      <c r="I83" s="453">
        <f>'PL. Prodeje'!I62*Produkty!$H$11</f>
        <v>20000</v>
      </c>
      <c r="J83" s="453">
        <f>'PL. Prodeje'!J62*Produkty!$H$11</f>
        <v>20000</v>
      </c>
      <c r="K83" s="454">
        <f t="shared" si="73"/>
        <v>60000</v>
      </c>
      <c r="L83" s="453">
        <f>'PL. Prodeje'!L62*Produkty!$H$11</f>
        <v>20000</v>
      </c>
      <c r="M83" s="453">
        <f>'PL. Prodeje'!M62*Produkty!$H$11</f>
        <v>20000</v>
      </c>
      <c r="N83" s="453">
        <f>'PL. Prodeje'!N62*Produkty!$H$11</f>
        <v>10000</v>
      </c>
      <c r="O83" s="454">
        <f t="shared" si="74"/>
        <v>50000</v>
      </c>
      <c r="P83" s="453">
        <f>'PL. Prodeje'!P62*Produkty!$H$11</f>
        <v>10000</v>
      </c>
      <c r="Q83" s="453">
        <f>'PL. Prodeje'!Q62*Produkty!$H$11</f>
        <v>10000</v>
      </c>
      <c r="R83" s="453">
        <f>'PL. Prodeje'!R62*Produkty!$H$11</f>
        <v>20000</v>
      </c>
      <c r="S83" s="454">
        <f t="shared" si="75"/>
        <v>40000</v>
      </c>
      <c r="T83" s="454">
        <f t="shared" si="76"/>
        <v>170000</v>
      </c>
    </row>
    <row r="84" spans="2:20">
      <c r="B84" s="1536"/>
      <c r="C84" s="144" t="s">
        <v>59</v>
      </c>
      <c r="D84" s="453">
        <f>'PL. Prodeje'!D63*Produkty!$H$11</f>
        <v>0</v>
      </c>
      <c r="E84" s="453">
        <f>'PL. Prodeje'!E63*Produkty!$H$11</f>
        <v>0</v>
      </c>
      <c r="F84" s="453">
        <f>'PL. Prodeje'!F63*Produkty!$H$11</f>
        <v>10000</v>
      </c>
      <c r="G84" s="454">
        <f t="shared" si="72"/>
        <v>10000</v>
      </c>
      <c r="H84" s="453">
        <f>'PL. Prodeje'!H63*Produkty!$H$11</f>
        <v>10000</v>
      </c>
      <c r="I84" s="453">
        <f>'PL. Prodeje'!I63*Produkty!$H$11</f>
        <v>10000</v>
      </c>
      <c r="J84" s="453">
        <f>'PL. Prodeje'!J63*Produkty!$H$11</f>
        <v>20000</v>
      </c>
      <c r="K84" s="454">
        <f t="shared" si="73"/>
        <v>40000</v>
      </c>
      <c r="L84" s="453">
        <f>'PL. Prodeje'!L63*Produkty!$H$11</f>
        <v>10000</v>
      </c>
      <c r="M84" s="453">
        <f>'PL. Prodeje'!M63*Produkty!$H$11</f>
        <v>10000</v>
      </c>
      <c r="N84" s="453">
        <f>'PL. Prodeje'!N63*Produkty!$H$11</f>
        <v>10000</v>
      </c>
      <c r="O84" s="454">
        <f t="shared" si="74"/>
        <v>30000</v>
      </c>
      <c r="P84" s="453">
        <f>'PL. Prodeje'!P63*Produkty!$H$11</f>
        <v>10000</v>
      </c>
      <c r="Q84" s="453">
        <f>'PL. Prodeje'!Q63*Produkty!$H$11</f>
        <v>10000</v>
      </c>
      <c r="R84" s="453">
        <f>'PL. Prodeje'!R63*Produkty!$H$11</f>
        <v>10000</v>
      </c>
      <c r="S84" s="454">
        <f t="shared" si="75"/>
        <v>30000</v>
      </c>
      <c r="T84" s="454">
        <f t="shared" si="76"/>
        <v>110000</v>
      </c>
    </row>
    <row r="85" spans="2:20">
      <c r="B85" s="1536" t="s">
        <v>520</v>
      </c>
      <c r="C85" s="144" t="s">
        <v>63</v>
      </c>
      <c r="D85" s="453">
        <f>'PL. Prodeje'!D64*Produkty!$H$11</f>
        <v>0</v>
      </c>
      <c r="E85" s="453">
        <f>'PL. Prodeje'!E64*Produkty!$H$11</f>
        <v>0</v>
      </c>
      <c r="F85" s="453">
        <f>'PL. Prodeje'!F64*Produkty!$H$11</f>
        <v>10000</v>
      </c>
      <c r="G85" s="454">
        <f t="shared" si="72"/>
        <v>10000</v>
      </c>
      <c r="H85" s="453">
        <f>'PL. Prodeje'!H64*Produkty!$H$11</f>
        <v>10000</v>
      </c>
      <c r="I85" s="453">
        <f>'PL. Prodeje'!I64*Produkty!$H$11</f>
        <v>10000</v>
      </c>
      <c r="J85" s="453">
        <f>'PL. Prodeje'!J64*Produkty!$H$11</f>
        <v>10000</v>
      </c>
      <c r="K85" s="454">
        <f t="shared" si="73"/>
        <v>30000</v>
      </c>
      <c r="L85" s="453">
        <f>'PL. Prodeje'!L64*Produkty!$H$11</f>
        <v>10000</v>
      </c>
      <c r="M85" s="453">
        <f>'PL. Prodeje'!M64*Produkty!$H$11</f>
        <v>10000</v>
      </c>
      <c r="N85" s="453">
        <f>'PL. Prodeje'!N64*Produkty!$H$11</f>
        <v>0</v>
      </c>
      <c r="O85" s="454">
        <f t="shared" si="74"/>
        <v>20000</v>
      </c>
      <c r="P85" s="453">
        <f>'PL. Prodeje'!P64*Produkty!$H$11</f>
        <v>10000</v>
      </c>
      <c r="Q85" s="453">
        <f>'PL. Prodeje'!Q64*Produkty!$H$11</f>
        <v>10000</v>
      </c>
      <c r="R85" s="453">
        <f>'PL. Prodeje'!R64*Produkty!$H$11</f>
        <v>0</v>
      </c>
      <c r="S85" s="454">
        <f t="shared" si="75"/>
        <v>20000</v>
      </c>
      <c r="T85" s="454">
        <f t="shared" si="76"/>
        <v>80000</v>
      </c>
    </row>
    <row r="86" spans="2:20">
      <c r="B86" s="1536"/>
      <c r="C86" s="144" t="s">
        <v>55</v>
      </c>
      <c r="D86" s="453">
        <f>'PL. Prodeje'!D65*Produkty!$H$11</f>
        <v>30000</v>
      </c>
      <c r="E86" s="453">
        <f>'PL. Prodeje'!E65*Produkty!$H$11</f>
        <v>30000</v>
      </c>
      <c r="F86" s="453">
        <f>'PL. Prodeje'!F65*Produkty!$H$11</f>
        <v>20000</v>
      </c>
      <c r="G86" s="454">
        <f t="shared" si="72"/>
        <v>80000</v>
      </c>
      <c r="H86" s="453">
        <f>'PL. Prodeje'!H65*Produkty!$H$11</f>
        <v>100000</v>
      </c>
      <c r="I86" s="453">
        <f>'PL. Prodeje'!I65*Produkty!$H$11</f>
        <v>100000</v>
      </c>
      <c r="J86" s="453">
        <f>'PL. Prodeje'!J65*Produkty!$H$11</f>
        <v>90000</v>
      </c>
      <c r="K86" s="454">
        <f t="shared" si="73"/>
        <v>290000</v>
      </c>
      <c r="L86" s="453">
        <f>'PL. Prodeje'!L65*Produkty!$H$11</f>
        <v>80000</v>
      </c>
      <c r="M86" s="453">
        <f>'PL. Prodeje'!M65*Produkty!$H$11</f>
        <v>80000</v>
      </c>
      <c r="N86" s="453">
        <f>'PL. Prodeje'!N65*Produkty!$H$11</f>
        <v>70000</v>
      </c>
      <c r="O86" s="454">
        <f t="shared" si="74"/>
        <v>230000</v>
      </c>
      <c r="P86" s="453">
        <f>'PL. Prodeje'!P65*Produkty!$H$11</f>
        <v>70000</v>
      </c>
      <c r="Q86" s="453">
        <f>'PL. Prodeje'!Q65*Produkty!$H$11</f>
        <v>70000</v>
      </c>
      <c r="R86" s="453">
        <f>'PL. Prodeje'!R65*Produkty!$H$11</f>
        <v>70000</v>
      </c>
      <c r="S86" s="454">
        <f t="shared" si="75"/>
        <v>210000</v>
      </c>
      <c r="T86" s="454">
        <f t="shared" si="76"/>
        <v>810000</v>
      </c>
    </row>
    <row r="87" spans="2:20">
      <c r="B87" s="1536"/>
      <c r="C87" s="144" t="s">
        <v>61</v>
      </c>
      <c r="D87" s="453">
        <f>'PL. Prodeje'!D66*Produkty!$H$11</f>
        <v>0</v>
      </c>
      <c r="E87" s="453">
        <f>'PL. Prodeje'!E66*Produkty!$H$11</f>
        <v>0</v>
      </c>
      <c r="F87" s="453">
        <f>'PL. Prodeje'!F66*Produkty!$H$11</f>
        <v>10000</v>
      </c>
      <c r="G87" s="454">
        <f t="shared" si="72"/>
        <v>10000</v>
      </c>
      <c r="H87" s="453">
        <f>'PL. Prodeje'!H66*Produkty!$H$11</f>
        <v>10000</v>
      </c>
      <c r="I87" s="453">
        <f>'PL. Prodeje'!I66*Produkty!$H$11</f>
        <v>10000</v>
      </c>
      <c r="J87" s="453">
        <f>'PL. Prodeje'!J66*Produkty!$H$11</f>
        <v>10000</v>
      </c>
      <c r="K87" s="454">
        <f t="shared" si="73"/>
        <v>30000</v>
      </c>
      <c r="L87" s="453">
        <f>'PL. Prodeje'!L66*Produkty!$H$11</f>
        <v>10000</v>
      </c>
      <c r="M87" s="453">
        <f>'PL. Prodeje'!M66*Produkty!$H$11</f>
        <v>10000</v>
      </c>
      <c r="N87" s="453">
        <f>'PL. Prodeje'!N66*Produkty!$H$11</f>
        <v>0</v>
      </c>
      <c r="O87" s="454">
        <f t="shared" si="74"/>
        <v>20000</v>
      </c>
      <c r="P87" s="453">
        <f>'PL. Prodeje'!P66*Produkty!$H$11</f>
        <v>10000</v>
      </c>
      <c r="Q87" s="453">
        <f>'PL. Prodeje'!Q66*Produkty!$H$11</f>
        <v>10000</v>
      </c>
      <c r="R87" s="453">
        <f>'PL. Prodeje'!R66*Produkty!$H$11</f>
        <v>0</v>
      </c>
      <c r="S87" s="454">
        <f t="shared" si="75"/>
        <v>20000</v>
      </c>
      <c r="T87" s="454">
        <f t="shared" si="76"/>
        <v>80000</v>
      </c>
    </row>
    <row r="88" spans="2:20">
      <c r="B88" s="1536"/>
      <c r="C88" s="144" t="s">
        <v>62</v>
      </c>
      <c r="D88" s="453">
        <f>'PL. Prodeje'!D67*Produkty!$G$11</f>
        <v>0</v>
      </c>
      <c r="E88" s="453">
        <f>'PL. Prodeje'!E67*Produkty!$G$11</f>
        <v>0</v>
      </c>
      <c r="F88" s="453">
        <f>'PL. Prodeje'!F67*Produkty!$G$11</f>
        <v>11200</v>
      </c>
      <c r="G88" s="454">
        <f t="shared" si="72"/>
        <v>11200</v>
      </c>
      <c r="H88" s="453">
        <f>'PL. Prodeje'!H67*Produkty!$G$11</f>
        <v>11200</v>
      </c>
      <c r="I88" s="453">
        <f>'PL. Prodeje'!I67*Produkty!$G$11</f>
        <v>11200</v>
      </c>
      <c r="J88" s="453">
        <f>'PL. Prodeje'!J67*Produkty!$G$11</f>
        <v>11200</v>
      </c>
      <c r="K88" s="454">
        <f t="shared" si="73"/>
        <v>33600</v>
      </c>
      <c r="L88" s="453">
        <f>'PL. Prodeje'!L67*Produkty!$G$11</f>
        <v>11200</v>
      </c>
      <c r="M88" s="453">
        <f>'PL. Prodeje'!M67*Produkty!$G$11</f>
        <v>11200</v>
      </c>
      <c r="N88" s="453">
        <f>'PL. Prodeje'!N67*Produkty!$G$11</f>
        <v>11200</v>
      </c>
      <c r="O88" s="454">
        <f t="shared" si="74"/>
        <v>33600</v>
      </c>
      <c r="P88" s="453">
        <f>'PL. Prodeje'!P67*Produkty!$G$11</f>
        <v>11200</v>
      </c>
      <c r="Q88" s="453">
        <f>'PL. Prodeje'!Q67*Produkty!$G$11</f>
        <v>11200</v>
      </c>
      <c r="R88" s="453">
        <f>'PL. Prodeje'!R67*Produkty!$G$11</f>
        <v>0</v>
      </c>
      <c r="S88" s="454">
        <f t="shared" si="75"/>
        <v>22400</v>
      </c>
      <c r="T88" s="454">
        <f t="shared" si="76"/>
        <v>100800</v>
      </c>
    </row>
    <row r="89" spans="2:20">
      <c r="B89" s="1536" t="s">
        <v>522</v>
      </c>
      <c r="C89" s="144" t="s">
        <v>66</v>
      </c>
      <c r="D89" s="453">
        <f>'PL. Prodeje'!D68*Produkty!$H$11</f>
        <v>0</v>
      </c>
      <c r="E89" s="453">
        <f>'PL. Prodeje'!E68*Produkty!$H$11</f>
        <v>0</v>
      </c>
      <c r="F89" s="453">
        <f>'PL. Prodeje'!F68*Produkty!$H$11</f>
        <v>10000</v>
      </c>
      <c r="G89" s="454">
        <f t="shared" si="72"/>
        <v>10000</v>
      </c>
      <c r="H89" s="453">
        <f>'PL. Prodeje'!H68*Produkty!$H$11</f>
        <v>10000</v>
      </c>
      <c r="I89" s="453">
        <f>'PL. Prodeje'!I68*Produkty!$H$11</f>
        <v>10000</v>
      </c>
      <c r="J89" s="453">
        <f>'PL. Prodeje'!J68*Produkty!$H$11</f>
        <v>0</v>
      </c>
      <c r="K89" s="454">
        <f t="shared" si="73"/>
        <v>20000</v>
      </c>
      <c r="L89" s="453">
        <f>'PL. Prodeje'!L68*Produkty!$H$11</f>
        <v>10000</v>
      </c>
      <c r="M89" s="453">
        <f>'PL. Prodeje'!M68*Produkty!$H$11</f>
        <v>10000</v>
      </c>
      <c r="N89" s="453">
        <f>'PL. Prodeje'!N68*Produkty!$H$11</f>
        <v>0</v>
      </c>
      <c r="O89" s="454">
        <f t="shared" si="74"/>
        <v>20000</v>
      </c>
      <c r="P89" s="453">
        <f>'PL. Prodeje'!P68*Produkty!$H$11</f>
        <v>0</v>
      </c>
      <c r="Q89" s="453">
        <f>'PL. Prodeje'!Q68*Produkty!$H$11</f>
        <v>0</v>
      </c>
      <c r="R89" s="453">
        <f>'PL. Prodeje'!R68*Produkty!$H$11</f>
        <v>10000</v>
      </c>
      <c r="S89" s="454">
        <f t="shared" si="75"/>
        <v>10000</v>
      </c>
      <c r="T89" s="454">
        <f t="shared" si="76"/>
        <v>60000</v>
      </c>
    </row>
    <row r="90" spans="2:20">
      <c r="B90" s="1536"/>
      <c r="C90" s="144" t="s">
        <v>65</v>
      </c>
      <c r="D90" s="453">
        <f>'PL. Prodeje'!D69*Produkty!$H$11</f>
        <v>0</v>
      </c>
      <c r="E90" s="453">
        <f>'PL. Prodeje'!E69*Produkty!$H$11</f>
        <v>0</v>
      </c>
      <c r="F90" s="453">
        <f>'PL. Prodeje'!F69*Produkty!$H$11</f>
        <v>10000</v>
      </c>
      <c r="G90" s="454">
        <f t="shared" si="72"/>
        <v>10000</v>
      </c>
      <c r="H90" s="453">
        <f>'PL. Prodeje'!H69*Produkty!$H$11</f>
        <v>10000</v>
      </c>
      <c r="I90" s="453">
        <f>'PL. Prodeje'!I69*Produkty!$H$11</f>
        <v>10000</v>
      </c>
      <c r="J90" s="453">
        <f>'PL. Prodeje'!J69*Produkty!$H$11</f>
        <v>0</v>
      </c>
      <c r="K90" s="454">
        <f t="shared" si="73"/>
        <v>20000</v>
      </c>
      <c r="L90" s="453">
        <f>'PL. Prodeje'!L69*Produkty!$H$11</f>
        <v>10000</v>
      </c>
      <c r="M90" s="453">
        <f>'PL. Prodeje'!M69*Produkty!$H$11</f>
        <v>10000</v>
      </c>
      <c r="N90" s="453">
        <f>'PL. Prodeje'!N69*Produkty!$H$11</f>
        <v>0</v>
      </c>
      <c r="O90" s="454">
        <f t="shared" si="74"/>
        <v>20000</v>
      </c>
      <c r="P90" s="453">
        <f>'PL. Prodeje'!P69*Produkty!$H$11</f>
        <v>0</v>
      </c>
      <c r="Q90" s="453">
        <f>'PL. Prodeje'!Q69*Produkty!$H$11</f>
        <v>0</v>
      </c>
      <c r="R90" s="453">
        <f>'PL. Prodeje'!R69*Produkty!$H$11</f>
        <v>10000</v>
      </c>
      <c r="S90" s="454">
        <f t="shared" si="75"/>
        <v>10000</v>
      </c>
      <c r="T90" s="454">
        <f t="shared" si="76"/>
        <v>60000</v>
      </c>
    </row>
    <row r="91" spans="2:20">
      <c r="B91" s="1536"/>
      <c r="C91" s="144" t="s">
        <v>67</v>
      </c>
      <c r="D91" s="453">
        <f>'PL. Prodeje'!D70*Produkty!$H$11</f>
        <v>0</v>
      </c>
      <c r="E91" s="453">
        <f>'PL. Prodeje'!E70*Produkty!$H$11</f>
        <v>0</v>
      </c>
      <c r="F91" s="453">
        <f>'PL. Prodeje'!F70*Produkty!$H$11</f>
        <v>0</v>
      </c>
      <c r="G91" s="454">
        <f t="shared" si="72"/>
        <v>0</v>
      </c>
      <c r="H91" s="453">
        <f>'PL. Prodeje'!H70*Produkty!$H$11</f>
        <v>0</v>
      </c>
      <c r="I91" s="453">
        <f>'PL. Prodeje'!I70*Produkty!$H$11</f>
        <v>0</v>
      </c>
      <c r="J91" s="453">
        <f>'PL. Prodeje'!J70*Produkty!$H$11</f>
        <v>0</v>
      </c>
      <c r="K91" s="454">
        <f t="shared" si="73"/>
        <v>0</v>
      </c>
      <c r="L91" s="453">
        <f>'PL. Prodeje'!L70*Produkty!$H$11</f>
        <v>0</v>
      </c>
      <c r="M91" s="453">
        <f>'PL. Prodeje'!M70*Produkty!$H$11</f>
        <v>0</v>
      </c>
      <c r="N91" s="453">
        <f>'PL. Prodeje'!N70*Produkty!$H$11</f>
        <v>0</v>
      </c>
      <c r="O91" s="454">
        <f t="shared" si="74"/>
        <v>0</v>
      </c>
      <c r="P91" s="453">
        <f>'PL. Prodeje'!P70*Produkty!$H$11</f>
        <v>0</v>
      </c>
      <c r="Q91" s="453">
        <f>'PL. Prodeje'!Q70*Produkty!$H$11</f>
        <v>0</v>
      </c>
      <c r="R91" s="453">
        <f>'PL. Prodeje'!R70*Produkty!$H$11</f>
        <v>0</v>
      </c>
      <c r="S91" s="454">
        <f t="shared" si="75"/>
        <v>0</v>
      </c>
      <c r="T91" s="454">
        <f t="shared" si="76"/>
        <v>0</v>
      </c>
    </row>
    <row r="92" spans="2:20">
      <c r="B92" s="1536"/>
      <c r="C92" s="144" t="s">
        <v>64</v>
      </c>
      <c r="D92" s="453">
        <f>'PL. Prodeje'!D71*Produkty!$H$11</f>
        <v>0</v>
      </c>
      <c r="E92" s="453">
        <f>'PL. Prodeje'!E71*Produkty!$H$11</f>
        <v>0</v>
      </c>
      <c r="F92" s="453">
        <f>'PL. Prodeje'!F71*Produkty!$H$11</f>
        <v>0</v>
      </c>
      <c r="G92" s="454">
        <f t="shared" si="72"/>
        <v>0</v>
      </c>
      <c r="H92" s="453">
        <f>'PL. Prodeje'!H71*Produkty!$H$11</f>
        <v>10000</v>
      </c>
      <c r="I92" s="453">
        <f>'PL. Prodeje'!I71*Produkty!$H$11</f>
        <v>10000</v>
      </c>
      <c r="J92" s="453">
        <f>'PL. Prodeje'!J71*Produkty!$H$11</f>
        <v>0</v>
      </c>
      <c r="K92" s="454">
        <f t="shared" si="73"/>
        <v>20000</v>
      </c>
      <c r="L92" s="453">
        <f>'PL. Prodeje'!L71*Produkty!$H$11</f>
        <v>0</v>
      </c>
      <c r="M92" s="453">
        <f>'PL. Prodeje'!M71*Produkty!$H$11</f>
        <v>0</v>
      </c>
      <c r="N92" s="453">
        <f>'PL. Prodeje'!N71*Produkty!$H$11</f>
        <v>10000</v>
      </c>
      <c r="O92" s="454">
        <f t="shared" si="74"/>
        <v>10000</v>
      </c>
      <c r="P92" s="453">
        <f>'PL. Prodeje'!P71*Produkty!$H$11</f>
        <v>0</v>
      </c>
      <c r="Q92" s="453">
        <f>'PL. Prodeje'!Q71*Produkty!$H$11</f>
        <v>0</v>
      </c>
      <c r="R92" s="453">
        <f>'PL. Prodeje'!R71*Produkty!$H$11</f>
        <v>10000</v>
      </c>
      <c r="S92" s="454">
        <f t="shared" si="75"/>
        <v>10000</v>
      </c>
      <c r="T92" s="454">
        <f t="shared" si="76"/>
        <v>40000</v>
      </c>
    </row>
    <row r="93" spans="2:20">
      <c r="B93" s="1536"/>
      <c r="C93" s="144" t="s">
        <v>60</v>
      </c>
      <c r="D93" s="453">
        <f>'PL. Prodeje'!D72*Produkty!$H$11</f>
        <v>0</v>
      </c>
      <c r="E93" s="453">
        <f>'PL. Prodeje'!E72*Produkty!$H$11</f>
        <v>0</v>
      </c>
      <c r="F93" s="453">
        <f>'PL. Prodeje'!F72*Produkty!$H$11</f>
        <v>10000</v>
      </c>
      <c r="G93" s="454">
        <f t="shared" si="72"/>
        <v>10000</v>
      </c>
      <c r="H93" s="453">
        <f>'PL. Prodeje'!H72*Produkty!$H$11</f>
        <v>10000</v>
      </c>
      <c r="I93" s="453">
        <f>'PL. Prodeje'!I72*Produkty!$H$11</f>
        <v>10000</v>
      </c>
      <c r="J93" s="453">
        <f>'PL. Prodeje'!J72*Produkty!$H$11</f>
        <v>10000</v>
      </c>
      <c r="K93" s="454">
        <f t="shared" si="73"/>
        <v>30000</v>
      </c>
      <c r="L93" s="453">
        <f>'PL. Prodeje'!L72*Produkty!$H$11</f>
        <v>10000</v>
      </c>
      <c r="M93" s="453">
        <f>'PL. Prodeje'!M72*Produkty!$H$11</f>
        <v>10000</v>
      </c>
      <c r="N93" s="453">
        <f>'PL. Prodeje'!N72*Produkty!$H$11</f>
        <v>10000</v>
      </c>
      <c r="O93" s="454">
        <f t="shared" si="74"/>
        <v>30000</v>
      </c>
      <c r="P93" s="453">
        <f>'PL. Prodeje'!P72*Produkty!$H$11</f>
        <v>10000</v>
      </c>
      <c r="Q93" s="453">
        <f>'PL. Prodeje'!Q72*Produkty!$H$11</f>
        <v>10000</v>
      </c>
      <c r="R93" s="453">
        <f>'PL. Prodeje'!R72*Produkty!$H$11</f>
        <v>0</v>
      </c>
      <c r="S93" s="454">
        <f t="shared" si="75"/>
        <v>20000</v>
      </c>
      <c r="T93" s="454">
        <f t="shared" si="76"/>
        <v>90000</v>
      </c>
    </row>
    <row r="94" spans="2:20">
      <c r="B94" s="144" t="s">
        <v>523</v>
      </c>
      <c r="C94" s="144" t="s">
        <v>524</v>
      </c>
      <c r="D94" s="453">
        <f>'PL. Prodeje'!D73*Produkty!$H$11</f>
        <v>90000</v>
      </c>
      <c r="E94" s="453">
        <f>'PL. Prodeje'!E73*Produkty!$H$11</f>
        <v>90000</v>
      </c>
      <c r="F94" s="453">
        <f>'PL. Prodeje'!F73*Produkty!$H$11</f>
        <v>80000</v>
      </c>
      <c r="G94" s="454">
        <f t="shared" si="72"/>
        <v>260000</v>
      </c>
      <c r="H94" s="453">
        <f>'PL. Prodeje'!H73*Produkty!$H$11</f>
        <v>300000</v>
      </c>
      <c r="I94" s="453">
        <f>'PL. Prodeje'!I73*Produkty!$H$11</f>
        <v>300000</v>
      </c>
      <c r="J94" s="453">
        <f>'PL. Prodeje'!J73*Produkty!$H$11</f>
        <v>300000</v>
      </c>
      <c r="K94" s="454">
        <f t="shared" si="73"/>
        <v>900000</v>
      </c>
      <c r="L94" s="453">
        <f>'PL. Prodeje'!L73*Produkty!$H$11</f>
        <v>260000</v>
      </c>
      <c r="M94" s="453">
        <f>'PL. Prodeje'!M73*Produkty!$H$11</f>
        <v>260000</v>
      </c>
      <c r="N94" s="453">
        <f>'PL. Prodeje'!N73*Produkty!$H$11</f>
        <v>250000</v>
      </c>
      <c r="O94" s="454">
        <f t="shared" si="74"/>
        <v>770000</v>
      </c>
      <c r="P94" s="453">
        <f>'PL. Prodeje'!P73*Produkty!$H$11</f>
        <v>210000</v>
      </c>
      <c r="Q94" s="453">
        <f>'PL. Prodeje'!Q73*Produkty!$H$11</f>
        <v>210000</v>
      </c>
      <c r="R94" s="453">
        <f>'PL. Prodeje'!R73*Produkty!$H$11</f>
        <v>220000</v>
      </c>
      <c r="S94" s="454">
        <f t="shared" si="75"/>
        <v>640000</v>
      </c>
      <c r="T94" s="454">
        <f t="shared" si="76"/>
        <v>2570000</v>
      </c>
    </row>
    <row r="95" spans="2:20" ht="42.75">
      <c r="B95" s="144"/>
      <c r="C95" s="146" t="s">
        <v>525</v>
      </c>
      <c r="D95" s="453">
        <f t="shared" ref="D95:T95" si="77">SUM(D81:D93)</f>
        <v>80000</v>
      </c>
      <c r="E95" s="453">
        <f t="shared" si="77"/>
        <v>80000</v>
      </c>
      <c r="F95" s="453">
        <f t="shared" si="77"/>
        <v>131200</v>
      </c>
      <c r="G95" s="454">
        <f t="shared" si="77"/>
        <v>291200</v>
      </c>
      <c r="H95" s="453">
        <f t="shared" si="77"/>
        <v>331200</v>
      </c>
      <c r="I95" s="453">
        <f t="shared" si="77"/>
        <v>331200</v>
      </c>
      <c r="J95" s="453">
        <f t="shared" si="77"/>
        <v>321200</v>
      </c>
      <c r="K95" s="454">
        <f t="shared" si="77"/>
        <v>983600</v>
      </c>
      <c r="L95" s="453">
        <f t="shared" si="77"/>
        <v>291200</v>
      </c>
      <c r="M95" s="453">
        <f t="shared" si="77"/>
        <v>291200</v>
      </c>
      <c r="N95" s="453">
        <f t="shared" si="77"/>
        <v>221200</v>
      </c>
      <c r="O95" s="454">
        <f t="shared" si="77"/>
        <v>803600</v>
      </c>
      <c r="P95" s="453">
        <f t="shared" si="77"/>
        <v>231200</v>
      </c>
      <c r="Q95" s="453">
        <f t="shared" si="77"/>
        <v>231200</v>
      </c>
      <c r="R95" s="453">
        <f t="shared" si="77"/>
        <v>210000</v>
      </c>
      <c r="S95" s="454">
        <f t="shared" si="77"/>
        <v>672400</v>
      </c>
      <c r="T95" s="454">
        <f t="shared" si="77"/>
        <v>2750800</v>
      </c>
    </row>
    <row r="96" spans="2:20" ht="42.75">
      <c r="B96" s="144"/>
      <c r="C96" s="146" t="s">
        <v>526</v>
      </c>
      <c r="D96" s="453">
        <f t="shared" ref="D96:T96" si="78">D88</f>
        <v>0</v>
      </c>
      <c r="E96" s="453">
        <f t="shared" si="78"/>
        <v>0</v>
      </c>
      <c r="F96" s="453">
        <f t="shared" si="78"/>
        <v>11200</v>
      </c>
      <c r="G96" s="454">
        <f t="shared" si="78"/>
        <v>11200</v>
      </c>
      <c r="H96" s="453">
        <f t="shared" si="78"/>
        <v>11200</v>
      </c>
      <c r="I96" s="453">
        <f t="shared" si="78"/>
        <v>11200</v>
      </c>
      <c r="J96" s="453">
        <f t="shared" si="78"/>
        <v>11200</v>
      </c>
      <c r="K96" s="454">
        <f t="shared" si="78"/>
        <v>33600</v>
      </c>
      <c r="L96" s="453">
        <f t="shared" si="78"/>
        <v>11200</v>
      </c>
      <c r="M96" s="453">
        <f t="shared" si="78"/>
        <v>11200</v>
      </c>
      <c r="N96" s="453">
        <f t="shared" si="78"/>
        <v>11200</v>
      </c>
      <c r="O96" s="454">
        <f t="shared" si="78"/>
        <v>33600</v>
      </c>
      <c r="P96" s="453">
        <f t="shared" si="78"/>
        <v>11200</v>
      </c>
      <c r="Q96" s="453">
        <f t="shared" si="78"/>
        <v>11200</v>
      </c>
      <c r="R96" s="453">
        <f t="shared" si="78"/>
        <v>0</v>
      </c>
      <c r="S96" s="454">
        <f t="shared" si="78"/>
        <v>22400</v>
      </c>
      <c r="T96" s="454">
        <f t="shared" si="78"/>
        <v>100800</v>
      </c>
    </row>
  </sheetData>
  <customSheetViews>
    <customSheetView guid="{F9015B81-4D5E-47E3-BFA8-A54438E9D1FF}" scale="55" showGridLines="0" topLeftCell="E1">
      <pageMargins left="0.7" right="0.7" top="0.78740157499999996" bottom="0.78740157499999996" header="0.3" footer="0.3"/>
    </customSheetView>
  </customSheetViews>
  <mergeCells count="34">
    <mergeCell ref="B23:T23"/>
    <mergeCell ref="B24:C24"/>
    <mergeCell ref="D24:G24"/>
    <mergeCell ref="H24:K24"/>
    <mergeCell ref="L24:O24"/>
    <mergeCell ref="P24:S24"/>
    <mergeCell ref="T24:T25"/>
    <mergeCell ref="C80:T80"/>
    <mergeCell ref="B81:B84"/>
    <mergeCell ref="B85:B88"/>
    <mergeCell ref="B89:B93"/>
    <mergeCell ref="D26:T26"/>
    <mergeCell ref="B49:B52"/>
    <mergeCell ref="B53:B57"/>
    <mergeCell ref="C62:T62"/>
    <mergeCell ref="B63:B66"/>
    <mergeCell ref="B67:B70"/>
    <mergeCell ref="B71:B75"/>
    <mergeCell ref="B27:B30"/>
    <mergeCell ref="B31:B34"/>
    <mergeCell ref="B35:B39"/>
    <mergeCell ref="C44:T44"/>
    <mergeCell ref="B45:B48"/>
    <mergeCell ref="D5:T5"/>
    <mergeCell ref="B6:B9"/>
    <mergeCell ref="B10:B13"/>
    <mergeCell ref="B14:B18"/>
    <mergeCell ref="B2:T2"/>
    <mergeCell ref="B3:C3"/>
    <mergeCell ref="D3:G3"/>
    <mergeCell ref="H3:K3"/>
    <mergeCell ref="L3:O3"/>
    <mergeCell ref="P3:S3"/>
    <mergeCell ref="T3:T4"/>
  </mergeCells>
  <hyperlinks>
    <hyperlink ref="A1" location="MENU!A1" display="MENU" xr:uid="{7318D291-0FB1-43BC-A79A-C03DD338629F}"/>
  </hyperlinks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58324-013E-4085-BDF5-053F3F4F6073}">
  <sheetPr>
    <tabColor rgb="FFFF66CC"/>
  </sheetPr>
  <dimension ref="A1:W33"/>
  <sheetViews>
    <sheetView showGridLines="0" topLeftCell="E1" zoomScale="55" zoomScaleNormal="55" workbookViewId="0">
      <selection activeCell="D27" sqref="D27"/>
    </sheetView>
  </sheetViews>
  <sheetFormatPr defaultColWidth="8.77734375" defaultRowHeight="14.25" outlineLevelCol="1"/>
  <cols>
    <col min="1" max="1" width="8.77734375" style="55"/>
    <col min="2" max="3" width="14.44140625" style="55" customWidth="1"/>
    <col min="4" max="6" width="14.44140625" style="55" customWidth="1" outlineLevel="1"/>
    <col min="7" max="7" width="14.44140625" style="55" customWidth="1"/>
    <col min="8" max="10" width="14.44140625" style="55" customWidth="1" outlineLevel="1"/>
    <col min="11" max="11" width="14.44140625" style="55" customWidth="1"/>
    <col min="12" max="14" width="14.44140625" style="55" customWidth="1" outlineLevel="1"/>
    <col min="15" max="15" width="14.44140625" style="55" customWidth="1"/>
    <col min="16" max="18" width="14.44140625" style="55" customWidth="1" outlineLevel="1"/>
    <col min="19" max="20" width="14.44140625" style="55" customWidth="1"/>
    <col min="21" max="21" width="13.109375" style="55" customWidth="1"/>
    <col min="22" max="16384" width="8.77734375" style="55"/>
  </cols>
  <sheetData>
    <row r="1" spans="1:23" ht="22.5" customHeight="1" thickBot="1">
      <c r="A1" s="107" t="s">
        <v>1</v>
      </c>
      <c r="B1" s="737"/>
      <c r="C1" s="737"/>
      <c r="D1" s="737"/>
      <c r="E1" s="737"/>
      <c r="F1" s="737"/>
      <c r="G1" s="737"/>
      <c r="H1" s="737"/>
      <c r="I1" s="737"/>
      <c r="J1" s="737"/>
      <c r="K1" s="737"/>
      <c r="L1" s="737"/>
      <c r="M1" s="737"/>
      <c r="N1" s="737"/>
      <c r="O1" s="737"/>
      <c r="P1" s="737"/>
      <c r="Q1" s="737"/>
      <c r="R1" s="737"/>
      <c r="S1" s="737"/>
      <c r="T1" s="737"/>
      <c r="U1" s="737"/>
      <c r="V1" s="737"/>
      <c r="W1" s="737"/>
    </row>
    <row r="2" spans="1:23" ht="23.25" customHeight="1" thickBot="1">
      <c r="A2" s="737"/>
      <c r="B2" s="1509" t="s">
        <v>533</v>
      </c>
      <c r="C2" s="1510"/>
      <c r="D2" s="1510"/>
      <c r="E2" s="1510"/>
      <c r="F2" s="1510"/>
      <c r="G2" s="1510"/>
      <c r="H2" s="1510"/>
      <c r="I2" s="1510"/>
      <c r="J2" s="1510"/>
      <c r="K2" s="1510"/>
      <c r="L2" s="1510"/>
      <c r="M2" s="1510"/>
      <c r="N2" s="1510"/>
      <c r="O2" s="1510"/>
      <c r="P2" s="1510"/>
      <c r="Q2" s="1510"/>
      <c r="R2" s="1510"/>
      <c r="S2" s="1510"/>
      <c r="T2" s="1511"/>
      <c r="U2" s="737"/>
      <c r="V2" s="737"/>
      <c r="W2" s="737"/>
    </row>
    <row r="3" spans="1:23" ht="15" thickBot="1">
      <c r="A3" s="737"/>
      <c r="B3" s="1512" t="s">
        <v>502</v>
      </c>
      <c r="C3" s="1488"/>
      <c r="D3" s="1513" t="s">
        <v>258</v>
      </c>
      <c r="E3" s="1514"/>
      <c r="F3" s="1514"/>
      <c r="G3" s="1515"/>
      <c r="H3" s="1512" t="s">
        <v>262</v>
      </c>
      <c r="I3" s="1514"/>
      <c r="J3" s="1514"/>
      <c r="K3" s="1515"/>
      <c r="L3" s="1512" t="s">
        <v>266</v>
      </c>
      <c r="M3" s="1514"/>
      <c r="N3" s="1514"/>
      <c r="O3" s="1515"/>
      <c r="P3" s="1512" t="s">
        <v>270</v>
      </c>
      <c r="Q3" s="1514"/>
      <c r="R3" s="1514"/>
      <c r="S3" s="1515"/>
      <c r="T3" s="1516" t="s">
        <v>503</v>
      </c>
      <c r="U3" s="737"/>
      <c r="V3" s="737"/>
      <c r="W3" s="737"/>
    </row>
    <row r="4" spans="1:23" ht="15" thickBot="1">
      <c r="A4" s="737"/>
      <c r="B4" s="450"/>
      <c r="C4" s="451"/>
      <c r="D4" s="1350" t="s">
        <v>255</v>
      </c>
      <c r="E4" s="1351" t="s">
        <v>256</v>
      </c>
      <c r="F4" s="1351" t="s">
        <v>257</v>
      </c>
      <c r="G4" s="1354" t="s">
        <v>504</v>
      </c>
      <c r="H4" s="1350" t="s">
        <v>259</v>
      </c>
      <c r="I4" s="1351" t="s">
        <v>260</v>
      </c>
      <c r="J4" s="1351" t="s">
        <v>263</v>
      </c>
      <c r="K4" s="1354" t="s">
        <v>505</v>
      </c>
      <c r="L4" s="1350" t="s">
        <v>263</v>
      </c>
      <c r="M4" s="1351" t="s">
        <v>264</v>
      </c>
      <c r="N4" s="1351" t="s">
        <v>506</v>
      </c>
      <c r="O4" s="1354" t="s">
        <v>507</v>
      </c>
      <c r="P4" s="1350" t="s">
        <v>267</v>
      </c>
      <c r="Q4" s="1351" t="s">
        <v>268</v>
      </c>
      <c r="R4" s="1351" t="s">
        <v>269</v>
      </c>
      <c r="S4" s="1352" t="s">
        <v>508</v>
      </c>
      <c r="T4" s="1517"/>
      <c r="U4" s="770" t="s">
        <v>245</v>
      </c>
      <c r="V4" s="737"/>
      <c r="W4" s="737"/>
    </row>
    <row r="5" spans="1:23">
      <c r="A5" s="737"/>
      <c r="B5" s="449" t="s">
        <v>534</v>
      </c>
      <c r="C5" s="452" t="s">
        <v>535</v>
      </c>
      <c r="D5" s="1526" t="s">
        <v>536</v>
      </c>
      <c r="E5" s="1526"/>
      <c r="F5" s="1526"/>
      <c r="G5" s="1526"/>
      <c r="H5" s="1526"/>
      <c r="I5" s="1526"/>
      <c r="J5" s="1526"/>
      <c r="K5" s="1526"/>
      <c r="L5" s="1526"/>
      <c r="M5" s="1526"/>
      <c r="N5" s="1526"/>
      <c r="O5" s="1526"/>
      <c r="P5" s="1526"/>
      <c r="Q5" s="1526"/>
      <c r="R5" s="1526"/>
      <c r="S5" s="1526"/>
      <c r="T5" s="1527"/>
      <c r="U5" s="737"/>
      <c r="V5" s="737"/>
      <c r="W5" s="737"/>
    </row>
    <row r="6" spans="1:23">
      <c r="A6" s="737"/>
      <c r="B6" s="1536" t="s">
        <v>515</v>
      </c>
      <c r="C6" s="144" t="s">
        <v>57</v>
      </c>
      <c r="D6" s="453">
        <f>E6*0.92</f>
        <v>8676520</v>
      </c>
      <c r="E6" s="453">
        <f>'PL. Výnosů'!$D$27+'PL. Výnosů'!$D$45+'PL. Výnosů'!$D$63+'PL. Výnosů'!$D$81</f>
        <v>9431000</v>
      </c>
      <c r="F6" s="453">
        <f>'PL. Výnosů'!$E$27+'PL. Výnosů'!$E$45+'PL. Výnosů'!$E$63+'PL. Výnosů'!$I$8</f>
        <v>21516000</v>
      </c>
      <c r="G6" s="454">
        <f>SUM(D6:F6)</f>
        <v>39623520</v>
      </c>
      <c r="H6" s="453">
        <f>'PL. Výnosů'!$F$27+'PL. Výnosů'!$F$45+'PL. Výnosů'!$F$63+'PL. Výnosů'!$F$81</f>
        <v>10879000</v>
      </c>
      <c r="I6" s="453">
        <f>'PL. Výnosů'!$H$27+'PL. Výnosů'!$H$45+'PL. Výnosů'!$H$63+'PL. Výnosů'!$H$81</f>
        <v>30302000</v>
      </c>
      <c r="J6" s="453">
        <f>'PL. Výnosů'!$I$27+'PL. Výnosů'!$I$45+'PL. Výnosů'!$I$63+'PL. Výnosů'!$I$81</f>
        <v>30970500</v>
      </c>
      <c r="K6" s="454">
        <f>SUM(H6:J6)</f>
        <v>72151500</v>
      </c>
      <c r="L6" s="453">
        <f>'PL. Výnosů'!$J$27+'PL. Výnosů'!$J$45+'PL. Výnosů'!$J$63+'PL. Výnosů'!$J$81</f>
        <v>31838000</v>
      </c>
      <c r="M6" s="453">
        <f>'PL. Výnosů'!$L$27+'PL. Výnosů'!$L$45+'PL. Výnosů'!$L$63+'PL. Výnosů'!$L$81</f>
        <v>27028000</v>
      </c>
      <c r="N6" s="453">
        <f>'PL. Výnosů'!$M$27+'PL. Výnosů'!$M$45+'PL. Výnosů'!$M$63+'PL. Výnosů'!$M$81</f>
        <v>26359500</v>
      </c>
      <c r="O6" s="454">
        <f>SUM(L6:N6)</f>
        <v>85225500</v>
      </c>
      <c r="P6" s="453">
        <f>'PL. Výnosů'!$N$27+'PL. Výnosů'!$N$45+'PL. Výnosů'!$N$63+'PL. Výnosů'!$N$81</f>
        <v>25531000</v>
      </c>
      <c r="Q6" s="453">
        <f>'PL. Výnosů'!$P$27+'PL. Výnosů'!$P$45+'PL. Výnosů'!$P$63+'PL. Výnosů'!$P$81</f>
        <v>22257000</v>
      </c>
      <c r="R6" s="453">
        <f>'PL. Výnosů'!$Q$27+'PL. Výnosů'!$Q$45+'PL. Výnosů'!$Q$63+'PL. Výnosů'!$Q$81</f>
        <v>21588500</v>
      </c>
      <c r="S6" s="454">
        <f>SUM(P6:R6)</f>
        <v>69376500</v>
      </c>
      <c r="T6" s="454">
        <f t="shared" ref="T6:T18" si="0">G6+K6+O6+S6</f>
        <v>266377020</v>
      </c>
      <c r="U6" s="453">
        <f>'PL. Výnosů'!$R$27+'PL. Výnosů'!$R$45+'PL. Výnosů'!$R$63+'PL. Výnosů'!$R$81</f>
        <v>21578500</v>
      </c>
      <c r="V6" s="737"/>
      <c r="W6" s="737"/>
    </row>
    <row r="7" spans="1:23">
      <c r="A7" s="737"/>
      <c r="B7" s="1536"/>
      <c r="C7" s="144" t="s">
        <v>56</v>
      </c>
      <c r="D7" s="453">
        <f t="shared" ref="D7:D19" si="1">E7*0.92</f>
        <v>10659580</v>
      </c>
      <c r="E7" s="453">
        <f>'PL. Výnosů'!$D$28+'PL. Výnosů'!$D$46+'PL. Výnosů'!$D$64+'PL. Výnosů'!$D$82</f>
        <v>11586500</v>
      </c>
      <c r="F7" s="453">
        <f>'PL. Výnosů'!$E$28+'PL. Výnosů'!$E$46+'PL. Výnosů'!$E$64+'PL. Výnosů'!$E$82</f>
        <v>11586500</v>
      </c>
      <c r="G7" s="454">
        <f t="shared" ref="G7:G19" si="2">SUM(D7:F7)</f>
        <v>33832580</v>
      </c>
      <c r="H7" s="453">
        <f>'PL. Výnosů'!$F$28+'PL. Výnosů'!$F$46+'PL. Výnosů'!$F$64+'PL. Výnosů'!$F$82</f>
        <v>10768000</v>
      </c>
      <c r="I7" s="453">
        <f>'PL. Výnosů'!$H$28+'PL. Výnosů'!$H$46+'PL. Výnosů'!$H$64+'PL. Výnosů'!$H$82</f>
        <v>33843500</v>
      </c>
      <c r="J7" s="453">
        <f>'PL. Výnosů'!$I$28+'PL. Výnosů'!$I$46+'PL. Výnosů'!$I$64+'PL. Výnosů'!$I$82</f>
        <v>33843500</v>
      </c>
      <c r="K7" s="454">
        <f t="shared" ref="K7:K19" si="3">SUM(H7:J7)</f>
        <v>78455000</v>
      </c>
      <c r="L7" s="453">
        <f>'PL. Výnosů'!$J$28+'PL. Výnosů'!$J$46+'PL. Výnosů'!$J$64+'PL. Výnosů'!$J$82</f>
        <v>34672000</v>
      </c>
      <c r="M7" s="453">
        <f>'PL. Výnosů'!$L$28+'PL. Výnosů'!$L$46+'PL. Výnosů'!$L$64+'PL. Výnosů'!$L$82</f>
        <v>29891000</v>
      </c>
      <c r="N7" s="453">
        <f>'PL. Výnosů'!$M$28+'PL. Výnosů'!$M$46+'PL. Výnosů'!$M$64+'PL. Výnosů'!$M$82</f>
        <v>29222500</v>
      </c>
      <c r="O7" s="454">
        <f t="shared" ref="O7:O19" si="4">SUM(L7:N7)</f>
        <v>93785500</v>
      </c>
      <c r="P7" s="453">
        <f>'PL. Výnosů'!$N$28+'PL. Výnosů'!$N$46+'PL. Výnosů'!$N$64+'PL. Výnosů'!$N$82</f>
        <v>29173500</v>
      </c>
      <c r="Q7" s="453">
        <f>'PL. Výnosů'!$P$28+'PL. Výnosů'!$P$46+'PL. Výnosů'!$P$64+'PL. Výnosů'!$P$82</f>
        <v>23744000</v>
      </c>
      <c r="R7" s="453">
        <f>'PL. Výnosů'!$Q$28+'PL. Výnosů'!$Q$46+'PL. Výnosů'!$Q$64+'PL. Výnosů'!$Q$82</f>
        <v>24412500</v>
      </c>
      <c r="S7" s="454">
        <f t="shared" ref="S7:S19" si="5">SUM(P7:R7)</f>
        <v>77330000</v>
      </c>
      <c r="T7" s="454">
        <f t="shared" si="0"/>
        <v>283403080</v>
      </c>
      <c r="U7" s="453">
        <f>'PL. Výnosů'!$R$28+'PL. Výnosů'!$R$46+'PL. Výnosů'!$R$64+'PL. Výnosů'!$R$82</f>
        <v>24441500</v>
      </c>
      <c r="V7" s="333"/>
      <c r="W7" s="333"/>
    </row>
    <row r="8" spans="1:23">
      <c r="A8" s="737"/>
      <c r="B8" s="1536"/>
      <c r="C8" s="144" t="s">
        <v>58</v>
      </c>
      <c r="D8" s="453">
        <f t="shared" si="1"/>
        <v>4149200</v>
      </c>
      <c r="E8" s="453">
        <f>'PL. Výnosů'!$D$29+'PL. Výnosů'!$D$47+'PL. Výnosů'!$D$65+'PL. Výnosů'!$D$83</f>
        <v>4510000</v>
      </c>
      <c r="F8" s="453">
        <f>'PL. Výnosů'!$E$29+'PL. Výnosů'!$E$47+'PL. Výnosů'!$E$65+'PL. Výnosů'!$E$83</f>
        <v>4510000</v>
      </c>
      <c r="G8" s="454">
        <f t="shared" si="2"/>
        <v>13169200</v>
      </c>
      <c r="H8" s="453">
        <f>'PL. Výnosů'!$F$29+'PL. Výnosů'!$F$47+'PL. Výnosů'!$F$65+'PL. Výnosů'!$F$83</f>
        <v>4311000</v>
      </c>
      <c r="I8" s="453">
        <f>'PL. Výnosů'!$H$29+'PL. Výnosů'!$H$47+'PL. Výnosů'!$H$65+'PL. Výnosů'!$H$83</f>
        <v>11436500</v>
      </c>
      <c r="J8" s="453">
        <f>'PL. Výnosů'!$I$29+'PL. Výnosů'!$I$47+'PL. Výnosů'!$I$65+'PL. Výnosů'!$I$83</f>
        <v>12105000</v>
      </c>
      <c r="K8" s="454">
        <f t="shared" si="3"/>
        <v>27852500</v>
      </c>
      <c r="L8" s="453">
        <f>'PL. Výnosů'!$J$29+'PL. Výnosů'!$J$47+'PL. Výnosů'!$J$65+'PL. Výnosů'!$J$83</f>
        <v>11325500</v>
      </c>
      <c r="M8" s="453">
        <f>'PL. Výnosů'!$L$29+'PL. Výnosů'!$L$47+'PL. Výnosů'!$L$65+'PL. Výnosů'!$L$83</f>
        <v>9949500</v>
      </c>
      <c r="N8" s="453">
        <f>'PL. Výnosů'!$M$29+'PL. Výnosů'!$M$47+'PL. Výnosů'!$M$65+'PL. Výnosů'!$M$83</f>
        <v>10618000</v>
      </c>
      <c r="O8" s="454">
        <f t="shared" si="4"/>
        <v>31893000</v>
      </c>
      <c r="P8" s="453">
        <f>'PL. Výnosů'!$N$29+'PL. Výnosů'!$N$47+'PL. Výnosů'!$N$65+'PL. Výnosů'!$N$83</f>
        <v>10608000</v>
      </c>
      <c r="Q8" s="453">
        <f>'PL. Výnosů'!$P$29+'PL. Výnosů'!$P$47+'PL. Výnosů'!$P$65+'PL. Výnosů'!$P$83</f>
        <v>9121000</v>
      </c>
      <c r="R8" s="453">
        <f>'PL. Výnosů'!$Q$29+'PL. Výnosů'!$Q$47+'PL. Výnosů'!$Q$65+'PL. Výnosů'!$Q$83</f>
        <v>8452500</v>
      </c>
      <c r="S8" s="454">
        <f t="shared" si="5"/>
        <v>28181500</v>
      </c>
      <c r="T8" s="454">
        <f t="shared" si="0"/>
        <v>101096200</v>
      </c>
      <c r="U8" s="453">
        <f>'PL. Výnosů'!$R$29+'PL. Výnosů'!$R$47+'PL. Výnosů'!$R$65+'PL. Výnosů'!$R$83</f>
        <v>8462500</v>
      </c>
      <c r="V8" s="333"/>
      <c r="W8" s="333"/>
    </row>
    <row r="9" spans="1:23">
      <c r="A9" s="737"/>
      <c r="B9" s="1536"/>
      <c r="C9" s="144" t="s">
        <v>59</v>
      </c>
      <c r="D9" s="453">
        <f t="shared" si="1"/>
        <v>2121060</v>
      </c>
      <c r="E9" s="453">
        <f>'PL. Výnosů'!$D$30+'PL. Výnosů'!$D$48+'PL. Výnosů'!$D$66+'PL. Výnosů'!$D$84</f>
        <v>2305500</v>
      </c>
      <c r="F9" s="453">
        <f>'PL. Výnosů'!$E$30+'PL. Výnosů'!$E$48+'PL. Výnosů'!$E$66+'PL. Výnosů'!$E$84</f>
        <v>2305500</v>
      </c>
      <c r="G9" s="454">
        <f t="shared" si="2"/>
        <v>6732060</v>
      </c>
      <c r="H9" s="453">
        <f>'PL. Výnosů'!$F$30+'PL. Výnosů'!$F$48+'PL. Výnosů'!$F$66+'PL. Výnosů'!$F$84</f>
        <v>2204500</v>
      </c>
      <c r="I9" s="453">
        <f>'PL. Výnosů'!$H$30+'PL. Výnosů'!$H$48+'PL. Výnosů'!$H$66+'PL. Výnosů'!$H$84</f>
        <v>7634000</v>
      </c>
      <c r="J9" s="453">
        <f>'PL. Výnosů'!$I$30+'PL. Výnosů'!$I$48+'PL. Výnosů'!$I$66+'PL. Výnosů'!$I$84</f>
        <v>6965500</v>
      </c>
      <c r="K9" s="454">
        <f t="shared" si="3"/>
        <v>16804000</v>
      </c>
      <c r="L9" s="453">
        <f>'PL. Výnosů'!$J$30+'PL. Výnosů'!$J$48+'PL. Výnosů'!$J$66+'PL. Výnosů'!$J$84</f>
        <v>6936500</v>
      </c>
      <c r="M9" s="453">
        <f>'PL. Výnosů'!$L$30+'PL. Výnosů'!$L$48+'PL. Výnosů'!$L$66+'PL. Výnosů'!$L$84</f>
        <v>5478500</v>
      </c>
      <c r="N9" s="453">
        <f>'PL. Výnosů'!$M$30+'PL. Výnosů'!$M$48+'PL. Výnosů'!$M$66+'PL. Výnosů'!$M$84</f>
        <v>6147000</v>
      </c>
      <c r="O9" s="454">
        <f t="shared" si="4"/>
        <v>18562000</v>
      </c>
      <c r="P9" s="453">
        <f>'PL. Výnosů'!$N$30+'PL. Výnosů'!$N$48+'PL. Výnosů'!$N$66+'PL. Výnosů'!$N$84</f>
        <v>6108000</v>
      </c>
      <c r="Q9" s="453">
        <f>'PL. Výnosů'!$P$30+'PL. Výnosů'!$P$48+'PL. Výnosů'!$P$66+'PL. Výnosů'!$P$84</f>
        <v>5289500</v>
      </c>
      <c r="R9" s="453">
        <f>'PL. Výnosů'!$Q$30+'PL. Výnosů'!$Q$48+'PL. Výnosů'!$Q$66+'PL. Výnosů'!$Q$84</f>
        <v>4621000</v>
      </c>
      <c r="S9" s="454">
        <f t="shared" si="5"/>
        <v>16018500</v>
      </c>
      <c r="T9" s="454">
        <f t="shared" si="0"/>
        <v>58116560</v>
      </c>
      <c r="U9" s="453">
        <f>'PL. Výnosů'!$R$30+'PL. Výnosů'!$R$48+'PL. Výnosů'!$R$66+'PL. Výnosů'!$R$84</f>
        <v>3991500</v>
      </c>
      <c r="V9" s="333"/>
      <c r="W9" s="333"/>
    </row>
    <row r="10" spans="1:23">
      <c r="A10" s="737"/>
      <c r="B10" s="1536" t="s">
        <v>520</v>
      </c>
      <c r="C10" s="144" t="s">
        <v>63</v>
      </c>
      <c r="D10" s="453">
        <f t="shared" si="1"/>
        <v>1368040</v>
      </c>
      <c r="E10" s="453">
        <f>'PL. Výnosů'!$D$31+'PL. Výnosů'!$D$49+'PL. Výnosů'!$D$67+'PL. Výnosů'!$D$85</f>
        <v>1487000</v>
      </c>
      <c r="F10" s="453">
        <f>'PL. Výnosů'!$E$31+'PL. Výnosů'!$E$49+'PL. Výnosů'!$E$67+'PL. Výnosů'!$E$85</f>
        <v>1487000</v>
      </c>
      <c r="G10" s="454">
        <f t="shared" si="2"/>
        <v>4342040</v>
      </c>
      <c r="H10" s="453">
        <f>'PL. Výnosů'!$F$31+'PL. Výnosů'!$F$49+'PL. Výnosů'!$F$67+'PL. Výnosů'!$F$85</f>
        <v>2354500</v>
      </c>
      <c r="I10" s="453">
        <f>'PL. Výnosů'!$H$31+'PL. Výnosů'!$H$49+'PL. Výnosů'!$H$67+'PL. Výnosů'!$H$85</f>
        <v>5289500</v>
      </c>
      <c r="J10" s="453">
        <f>'PL. Výnosů'!$I$31+'PL. Výnosů'!$I$49+'PL. Výnosů'!$I$67+'PL. Výnosů'!$I$85</f>
        <v>4621000</v>
      </c>
      <c r="K10" s="454">
        <f t="shared" si="3"/>
        <v>12265000</v>
      </c>
      <c r="L10" s="453">
        <f>'PL. Výnosů'!$J$31+'PL. Výnosů'!$J$49+'PL. Výnosů'!$J$67+'PL. Výnosů'!$J$85</f>
        <v>5478500</v>
      </c>
      <c r="M10" s="453">
        <f>'PL. Výnosů'!$L$31+'PL. Výnosů'!$L$49+'PL. Výnosů'!$L$67+'PL. Výnosů'!$L$85</f>
        <v>4621000</v>
      </c>
      <c r="N10" s="453">
        <f>'PL. Výnosů'!$M$31+'PL. Výnosů'!$M$49+'PL. Výnosů'!$M$67+'PL. Výnosů'!$M$85</f>
        <v>4621000</v>
      </c>
      <c r="O10" s="454">
        <f t="shared" si="4"/>
        <v>14720500</v>
      </c>
      <c r="P10" s="453">
        <f>'PL. Výnosů'!$N$31+'PL. Výnosů'!$N$49+'PL. Výnosů'!$N$67+'PL. Výnosů'!$N$85</f>
        <v>3831500</v>
      </c>
      <c r="Q10" s="453">
        <f>'PL. Výnosů'!$P$31+'PL. Výnosů'!$P$49+'PL. Výnosů'!$P$67+'PL. Výnosů'!$P$85</f>
        <v>3134000</v>
      </c>
      <c r="R10" s="453">
        <f>'PL. Výnosů'!$Q$31+'PL. Výnosů'!$Q$49+'PL. Výnosů'!$Q$67+'PL. Výnosů'!$Q$85</f>
        <v>3802500</v>
      </c>
      <c r="S10" s="454">
        <f t="shared" si="5"/>
        <v>10768000</v>
      </c>
      <c r="T10" s="454">
        <f t="shared" si="0"/>
        <v>42095540</v>
      </c>
      <c r="U10" s="453">
        <f>'PL. Výnosů'!$R$31+'PL. Výnosů'!$R$49+'PL. Výnosů'!$R$67+'PL. Výnosů'!$R$85</f>
        <v>3831500</v>
      </c>
      <c r="V10" s="333"/>
      <c r="W10" s="333"/>
    </row>
    <row r="11" spans="1:23">
      <c r="A11" s="737"/>
      <c r="B11" s="1536"/>
      <c r="C11" s="144" t="s">
        <v>55</v>
      </c>
      <c r="D11" s="453">
        <f t="shared" si="1"/>
        <v>14295880</v>
      </c>
      <c r="E11" s="453">
        <f>'PL. Výnosů'!$D$32+'PL. Výnosů'!$D$50+'PL. Výnosů'!$D$68+'PL. Výnosů'!$D$86</f>
        <v>15539000</v>
      </c>
      <c r="F11" s="453">
        <f>'PL. Výnosů'!$E$32+'PL. Výnosů'!$E$50+'PL. Výnosů'!$E$68+'PL. Výnosů'!$E$86</f>
        <v>15539000</v>
      </c>
      <c r="G11" s="454">
        <f t="shared" si="2"/>
        <v>45373880</v>
      </c>
      <c r="H11" s="453">
        <f>'PL. Výnosů'!$F$32+'PL. Výnosů'!$F$50+'PL. Výnosů'!$F$68+'PL. Výnosů'!$F$86</f>
        <v>16905000</v>
      </c>
      <c r="I11" s="453">
        <f>'PL. Výnosů'!$H$32+'PL. Výnosů'!$H$50+'PL. Výnosů'!$H$68+'PL. Výnosů'!$H$86</f>
        <v>48195500</v>
      </c>
      <c r="J11" s="453">
        <f>'PL. Výnosů'!$I$32+'PL. Výnosů'!$I$50+'PL. Výnosů'!$I$68+'PL. Výnosů'!$I$86</f>
        <v>48195500</v>
      </c>
      <c r="K11" s="454">
        <f t="shared" si="3"/>
        <v>113296000</v>
      </c>
      <c r="L11" s="453">
        <f>'PL. Výnosů'!$J$32+'PL. Výnosů'!$J$50+'PL. Výnosů'!$J$68+'PL. Výnosů'!$J$86</f>
        <v>49004000</v>
      </c>
      <c r="M11" s="453">
        <f>'PL. Výnosů'!$L$32+'PL. Výnosů'!$L$50+'PL. Výnosů'!$L$68+'PL. Výnosů'!$L$86</f>
        <v>41888500</v>
      </c>
      <c r="N11" s="453">
        <f>'PL. Výnosů'!$M$32+'PL. Výnosů'!$M$50+'PL. Výnosů'!$M$68+'PL. Výnosů'!$M$86</f>
        <v>41888500</v>
      </c>
      <c r="O11" s="454">
        <f t="shared" si="4"/>
        <v>132781000</v>
      </c>
      <c r="P11" s="453">
        <f>'PL. Výnosů'!$N$32+'PL. Výnosů'!$N$50+'PL. Výnosů'!$N$68+'PL. Výnosů'!$N$86</f>
        <v>41099000</v>
      </c>
      <c r="Q11" s="453">
        <f>'PL. Výnosů'!$P$32+'PL. Výnosů'!$P$50+'PL. Výnosů'!$P$68+'PL. Výnosů'!$P$86</f>
        <v>34143500</v>
      </c>
      <c r="R11" s="453">
        <f>'PL. Výnosů'!$Q$32+'PL. Výnosů'!$Q$50+'PL. Výnosů'!$Q$68+'PL. Výnosů'!$Q$86</f>
        <v>34812000</v>
      </c>
      <c r="S11" s="454">
        <f t="shared" si="5"/>
        <v>110054500</v>
      </c>
      <c r="T11" s="454">
        <f t="shared" si="0"/>
        <v>401505380</v>
      </c>
      <c r="U11" s="453">
        <f>'PL. Výnosů'!$R$32+'PL. Výnosů'!$R$50+'PL. Výnosů'!$R$68+'PL. Výnosů'!$R$86</f>
        <v>34773000</v>
      </c>
      <c r="V11" s="333"/>
      <c r="W11" s="333"/>
    </row>
    <row r="12" spans="1:23">
      <c r="A12" s="737"/>
      <c r="B12" s="1536"/>
      <c r="C12" s="144" t="s">
        <v>61</v>
      </c>
      <c r="D12" s="453">
        <f t="shared" si="1"/>
        <v>1368040</v>
      </c>
      <c r="E12" s="453">
        <f>'PL. Výnosů'!$D$33+'PL. Výnosů'!$D$51+'PL. Výnosů'!$D$69+'PL. Výnosů'!$D$87</f>
        <v>1487000</v>
      </c>
      <c r="F12" s="453">
        <f>'PL. Výnosů'!$E$33+'PL. Výnosů'!$E$51+'PL. Výnosů'!$E$69+'PL. Výnosů'!$E$87</f>
        <v>2155500</v>
      </c>
      <c r="G12" s="454">
        <f t="shared" si="2"/>
        <v>5010540</v>
      </c>
      <c r="H12" s="453">
        <f>'PL. Výnosů'!$F$33+'PL. Výnosů'!$F$51+'PL. Výnosů'!$F$69+'PL. Výnosů'!$F$87</f>
        <v>3691500</v>
      </c>
      <c r="I12" s="453">
        <f>'PL. Výnosů'!$H$33+'PL. Výnosů'!$H$51+'PL. Výnosů'!$H$69+'PL. Výnosů'!$H$87</f>
        <v>5328500</v>
      </c>
      <c r="J12" s="453">
        <f>'PL. Výnosů'!$I$33+'PL. Výnosů'!$I$51+'PL. Výnosů'!$I$69+'PL. Výnosů'!$I$87</f>
        <v>5997000</v>
      </c>
      <c r="K12" s="454">
        <f t="shared" si="3"/>
        <v>15017000</v>
      </c>
      <c r="L12" s="453">
        <f>'PL. Výnosů'!$J$33+'PL. Výnosů'!$J$51+'PL. Výnosů'!$J$69+'PL. Výnosů'!$J$87</f>
        <v>6776500</v>
      </c>
      <c r="M12" s="453">
        <f>'PL. Výnosů'!$L$33+'PL. Výnosů'!$L$51+'PL. Výnosů'!$L$69+'PL. Výnosů'!$L$87</f>
        <v>5328500</v>
      </c>
      <c r="N12" s="453">
        <f>'PL. Výnosů'!$M$33+'PL. Výnosů'!$M$51+'PL. Výnosů'!$M$69+'PL. Výnosů'!$M$87</f>
        <v>5328500</v>
      </c>
      <c r="O12" s="454">
        <f t="shared" si="4"/>
        <v>17433500</v>
      </c>
      <c r="P12" s="453">
        <f>'PL. Výnosů'!$N$33+'PL. Výnosů'!$N$51+'PL. Výnosů'!$N$69+'PL. Výnosů'!$N$87</f>
        <v>4461000</v>
      </c>
      <c r="Q12" s="453">
        <f>'PL. Výnosů'!$P$33+'PL. Výnosů'!$P$51+'PL. Výnosů'!$P$69+'PL. Výnosů'!$P$87</f>
        <v>4471000</v>
      </c>
      <c r="R12" s="453">
        <f>'PL. Výnosů'!$Q$33+'PL. Výnosů'!$Q$51+'PL. Výnosů'!$Q$69+'PL. Výnosů'!$Q$87</f>
        <v>3802500</v>
      </c>
      <c r="S12" s="454">
        <f t="shared" si="5"/>
        <v>12734500</v>
      </c>
      <c r="T12" s="454">
        <f t="shared" si="0"/>
        <v>50195540</v>
      </c>
      <c r="U12" s="453">
        <f>'PL. Výnosů'!$R$33+'PL. Výnosů'!$R$51+'PL. Výnosů'!$R$69+'PL. Výnosů'!$R$87</f>
        <v>3831500</v>
      </c>
      <c r="V12" s="333"/>
      <c r="W12" s="333"/>
    </row>
    <row r="13" spans="1:23">
      <c r="A13" s="737"/>
      <c r="B13" s="1536"/>
      <c r="C13" s="144" t="s">
        <v>62</v>
      </c>
      <c r="D13" s="453">
        <f t="shared" si="1"/>
        <v>1506040</v>
      </c>
      <c r="E13" s="453">
        <f>'PL. Výnosů'!$D$34+'PL. Výnosů'!$D$52+'PL. Výnosů'!$D$70+'PL. Výnosů'!$D$88</f>
        <v>1637000</v>
      </c>
      <c r="F13" s="453">
        <f>'PL. Výnosů'!$E$34+'PL. Výnosů'!$E$52+'PL. Výnosů'!$E$70+'PL. Výnosů'!$E$88</f>
        <v>2455500</v>
      </c>
      <c r="G13" s="454">
        <f t="shared" si="2"/>
        <v>5598540</v>
      </c>
      <c r="H13" s="453">
        <f>'PL. Výnosů'!$F$34+'PL. Výnosů'!$F$52+'PL. Výnosů'!$F$70+'PL. Výnosů'!$F$88</f>
        <v>1688700</v>
      </c>
      <c r="I13" s="453">
        <f>'PL. Výnosů'!$H$34+'PL. Výnosů'!$H$52+'PL. Výnosů'!$H$70+'PL. Výnosů'!$H$88</f>
        <v>5740700</v>
      </c>
      <c r="J13" s="453">
        <f>'PL. Výnosů'!$I$34+'PL. Výnosů'!$I$52+'PL. Výnosů'!$I$70+'PL. Výnosů'!$I$88</f>
        <v>6559200</v>
      </c>
      <c r="K13" s="454">
        <f t="shared" si="3"/>
        <v>13988600</v>
      </c>
      <c r="L13" s="453">
        <f>'PL. Výnosů'!$J$34+'PL. Výnosů'!$J$52+'PL. Výnosů'!$J$70+'PL. Výnosů'!$J$88</f>
        <v>5781200</v>
      </c>
      <c r="M13" s="453">
        <f>'PL. Výnosů'!$L$34+'PL. Výnosů'!$L$52+'PL. Výnosů'!$L$70+'PL. Výnosů'!$L$88</f>
        <v>4922200</v>
      </c>
      <c r="N13" s="453">
        <f>'PL. Výnosů'!$M$34+'PL. Výnosů'!$M$52+'PL. Výnosů'!$M$70+'PL. Výnosů'!$M$88</f>
        <v>4922200</v>
      </c>
      <c r="O13" s="454">
        <f t="shared" si="4"/>
        <v>15625600</v>
      </c>
      <c r="P13" s="453">
        <f>'PL. Výnosů'!$N$34+'PL. Výnosů'!$N$52+'PL. Výnosů'!$N$70+'PL. Výnosů'!$N$88</f>
        <v>4962700</v>
      </c>
      <c r="Q13" s="453">
        <f>'PL. Výnosů'!$P$34+'PL. Výnosů'!$P$52+'PL. Výnosů'!$P$70+'PL. Výnosů'!$P$88</f>
        <v>4103700</v>
      </c>
      <c r="R13" s="453">
        <f>'PL. Výnosů'!$Q$34+'PL. Výnosů'!$Q$52+'PL. Výnosů'!$Q$70+'PL. Výnosů'!$Q$88</f>
        <v>4103700</v>
      </c>
      <c r="S13" s="454">
        <f t="shared" si="5"/>
        <v>13170100</v>
      </c>
      <c r="T13" s="454">
        <f t="shared" si="0"/>
        <v>48382840</v>
      </c>
      <c r="U13" s="453">
        <f>'PL. Výnosů'!$R$34+'PL. Výnosů'!$R$52+'PL. Výnosů'!$R$70+'PL. Výnosů'!$R$88</f>
        <v>4133000</v>
      </c>
      <c r="V13" s="333"/>
      <c r="W13" s="333"/>
    </row>
    <row r="14" spans="1:23">
      <c r="A14" s="737"/>
      <c r="B14" s="1536" t="s">
        <v>522</v>
      </c>
      <c r="C14" s="144" t="s">
        <v>66</v>
      </c>
      <c r="D14" s="453">
        <f t="shared" si="1"/>
        <v>753020</v>
      </c>
      <c r="E14" s="453">
        <f>'PL. Výnosů'!$D$35+'PL. Výnosů'!$D$53+'PL. Výnosů'!$D$71+'PL. Výnosů'!$D$89</f>
        <v>818500</v>
      </c>
      <c r="F14" s="453">
        <f>'PL. Výnosů'!$E$35+'PL. Výnosů'!$E$53+'PL. Výnosů'!$E$71+'PL. Výnosů'!$E$89</f>
        <v>818500</v>
      </c>
      <c r="G14" s="454">
        <f t="shared" si="2"/>
        <v>2390020</v>
      </c>
      <c r="H14" s="453">
        <f>'PL. Výnosů'!$F$35+'PL. Výnosů'!$F$53+'PL. Výnosů'!$F$71+'PL. Výnosů'!$F$89</f>
        <v>1497000</v>
      </c>
      <c r="I14" s="453">
        <f>'PL. Výnosů'!$H$35+'PL. Výnosů'!$H$53+'PL. Výnosů'!$H$71+'PL. Výnosů'!$H$89</f>
        <v>2465500</v>
      </c>
      <c r="J14" s="453">
        <f>'PL. Výnosů'!$I$35+'PL. Výnosů'!$I$53+'PL. Výnosů'!$I$71+'PL. Výnosů'!$I$89</f>
        <v>3134000</v>
      </c>
      <c r="K14" s="454">
        <f t="shared" si="3"/>
        <v>7096500</v>
      </c>
      <c r="L14" s="453">
        <f>'PL. Výnosů'!$J$35+'PL. Výnosů'!$J$53+'PL. Výnosů'!$J$71+'PL. Výnosů'!$J$89</f>
        <v>3124000</v>
      </c>
      <c r="M14" s="453">
        <f>'PL. Výnosů'!$L$35+'PL. Výnosů'!$L$53+'PL. Výnosů'!$L$71+'PL. Výnosů'!$L$89</f>
        <v>3134000</v>
      </c>
      <c r="N14" s="453">
        <f>'PL. Výnosů'!$M$35+'PL. Výnosů'!$M$53+'PL. Výnosů'!$M$71+'PL. Výnosů'!$M$89</f>
        <v>3134000</v>
      </c>
      <c r="O14" s="454">
        <f t="shared" si="4"/>
        <v>9392000</v>
      </c>
      <c r="P14" s="453">
        <f>'PL. Výnosů'!$N$35+'PL. Výnosů'!$N$53+'PL. Výnosů'!$N$71+'PL. Výnosů'!$N$89</f>
        <v>1637000</v>
      </c>
      <c r="Q14" s="453">
        <f>'PL. Výnosů'!$P$35+'PL. Výnosů'!$P$53+'PL. Výnosů'!$P$71+'PL. Výnosů'!$P$89</f>
        <v>2305500</v>
      </c>
      <c r="R14" s="453">
        <f>'PL. Výnosů'!$Q$35+'PL. Výnosů'!$Q$53+'PL. Výnosů'!$Q$71+'PL. Výnosů'!$Q$89</f>
        <v>1637000</v>
      </c>
      <c r="S14" s="454">
        <f t="shared" si="5"/>
        <v>5579500</v>
      </c>
      <c r="T14" s="454">
        <f t="shared" si="0"/>
        <v>24458020</v>
      </c>
      <c r="U14" s="453">
        <f>'PL. Výnosů'!$R$35+'PL. Výnosů'!$R$53+'PL. Výnosů'!$R$71+'PL. Výnosů'!$R$89</f>
        <v>1647000</v>
      </c>
      <c r="V14" s="333"/>
      <c r="W14" s="333"/>
    </row>
    <row r="15" spans="1:23">
      <c r="A15" s="737"/>
      <c r="B15" s="1536"/>
      <c r="C15" s="144" t="s">
        <v>65</v>
      </c>
      <c r="D15" s="453">
        <f t="shared" si="1"/>
        <v>753020</v>
      </c>
      <c r="E15" s="453">
        <f>'PL. Výnosů'!$D$36+'PL. Výnosů'!$D$54+'PL. Výnosů'!$D$72+'PL. Výnosů'!$D$90</f>
        <v>818500</v>
      </c>
      <c r="F15" s="453">
        <f>'PL. Výnosů'!$E$36+'PL. Výnosů'!$E$54+'PL. Výnosů'!$E$72+'PL. Výnosů'!$E$90</f>
        <v>818500</v>
      </c>
      <c r="G15" s="454">
        <f t="shared" si="2"/>
        <v>2390020</v>
      </c>
      <c r="H15" s="453">
        <f>'PL. Výnosů'!$F$36+'PL. Výnosů'!$F$54+'PL. Výnosů'!$F$72+'PL. Výnosů'!$F$90</f>
        <v>1497000</v>
      </c>
      <c r="I15" s="453">
        <f>'PL. Výnosů'!$H$36+'PL. Výnosů'!$H$54+'PL. Výnosů'!$H$72+'PL. Výnosů'!$H$90</f>
        <v>3134000</v>
      </c>
      <c r="J15" s="453">
        <f>'PL. Výnosů'!$I$36+'PL. Výnosů'!$I$54+'PL. Výnosů'!$I$72+'PL. Výnosů'!$I$90</f>
        <v>3134000</v>
      </c>
      <c r="K15" s="454">
        <f t="shared" si="3"/>
        <v>7765000</v>
      </c>
      <c r="L15" s="453">
        <f>'PL. Výnosů'!$J$36+'PL. Výnosů'!$J$54+'PL. Výnosů'!$J$72+'PL. Výnosů'!$J$90</f>
        <v>3163000</v>
      </c>
      <c r="M15" s="453">
        <f>'PL. Výnosů'!$L$36+'PL. Výnosů'!$L$54+'PL. Výnosů'!$L$72+'PL. Výnosů'!$L$90</f>
        <v>3134000</v>
      </c>
      <c r="N15" s="453">
        <f>'PL. Výnosů'!$M$36+'PL. Výnosů'!$M$54+'PL. Výnosů'!$M$72+'PL. Výnosů'!$M$90</f>
        <v>3134000</v>
      </c>
      <c r="O15" s="454">
        <f t="shared" si="4"/>
        <v>9431000</v>
      </c>
      <c r="P15" s="453">
        <f>'PL. Výnosů'!$N$36+'PL. Výnosů'!$N$54+'PL. Výnosů'!$N$72+'PL. Výnosů'!$N$90</f>
        <v>1637000</v>
      </c>
      <c r="Q15" s="453">
        <f>'PL. Výnosů'!$P$36+'PL. Výnosů'!$P$54+'PL. Výnosů'!$P$72+'PL. Výnosů'!$P$90</f>
        <v>1637000</v>
      </c>
      <c r="R15" s="453">
        <f>'PL. Výnosů'!$Q$36+'PL. Výnosů'!$Q$54+'PL. Výnosů'!$Q$72+'PL. Výnosů'!$Q$90</f>
        <v>2305500</v>
      </c>
      <c r="S15" s="454">
        <f t="shared" si="5"/>
        <v>5579500</v>
      </c>
      <c r="T15" s="454">
        <f t="shared" si="0"/>
        <v>25165520</v>
      </c>
      <c r="U15" s="453">
        <f>'PL. Výnosů'!$R$36+'PL. Výnosů'!$R$54+'PL. Výnosů'!$R$72+'PL. Výnosů'!$R$90</f>
        <v>2315500</v>
      </c>
      <c r="V15" s="333"/>
      <c r="W15" s="333"/>
    </row>
    <row r="16" spans="1:23">
      <c r="A16" s="737"/>
      <c r="B16" s="1536"/>
      <c r="C16" s="144" t="s">
        <v>67</v>
      </c>
      <c r="D16" s="453">
        <f t="shared" si="1"/>
        <v>615020</v>
      </c>
      <c r="E16" s="453">
        <f>'PL. Výnosů'!$D$37+'PL. Výnosů'!$D$55+'PL. Výnosů'!$D$73+'PL. Výnosů'!$D$91</f>
        <v>668500</v>
      </c>
      <c r="F16" s="453">
        <f>'PL. Výnosů'!$E$37+'PL. Výnosů'!$E$55+'PL. Výnosů'!$E$73+'PL. Výnosů'!$E$91</f>
        <v>668500</v>
      </c>
      <c r="G16" s="454">
        <f t="shared" si="2"/>
        <v>1952020</v>
      </c>
      <c r="H16" s="453">
        <f>'PL. Výnosů'!$F$37+'PL. Výnosů'!$F$55+'PL. Výnosů'!$F$73+'PL. Výnosů'!$F$91</f>
        <v>707500</v>
      </c>
      <c r="I16" s="453">
        <f>'PL. Výnosů'!$H$37+'PL. Výnosů'!$H$55+'PL. Výnosů'!$H$73+'PL. Výnosů'!$H$91</f>
        <v>1337000</v>
      </c>
      <c r="J16" s="453">
        <f>'PL. Výnosů'!$I$37+'PL. Výnosů'!$I$55+'PL. Výnosů'!$I$73+'PL. Výnosů'!$I$91</f>
        <v>1337000</v>
      </c>
      <c r="K16" s="454">
        <f t="shared" si="3"/>
        <v>3381500</v>
      </c>
      <c r="L16" s="453">
        <f>'PL. Výnosů'!$J$37+'PL. Výnosů'!$J$55+'PL. Výnosů'!$J$73+'PL. Výnosů'!$J$91</f>
        <v>1376000</v>
      </c>
      <c r="M16" s="453">
        <f>'PL. Výnosů'!$L$37+'PL. Výnosů'!$L$55+'PL. Výnosů'!$L$73+'PL. Výnosů'!$L$91</f>
        <v>1337000</v>
      </c>
      <c r="N16" s="453">
        <f>'PL. Výnosů'!$M$37+'PL. Výnosů'!$M$55+'PL. Výnosů'!$M$73+'PL. Výnosů'!$M$91</f>
        <v>1337000</v>
      </c>
      <c r="O16" s="454">
        <f t="shared" si="4"/>
        <v>4050000</v>
      </c>
      <c r="P16" s="453">
        <f>'PL. Výnosů'!$N$37+'PL. Výnosů'!$N$55+'PL. Výnosů'!$N$73+'PL. Výnosů'!$N$91</f>
        <v>707500</v>
      </c>
      <c r="Q16" s="453">
        <f>'PL. Výnosů'!$P$37+'PL. Výnosů'!$P$55+'PL. Výnosů'!$P$73+'PL. Výnosů'!$P$91</f>
        <v>1337000</v>
      </c>
      <c r="R16" s="453">
        <f>'PL. Výnosů'!$Q$37+'PL. Výnosů'!$Q$55+'PL. Výnosů'!$Q$73+'PL. Výnosů'!$Q$91</f>
        <v>668500</v>
      </c>
      <c r="S16" s="454">
        <f t="shared" si="5"/>
        <v>2713000</v>
      </c>
      <c r="T16" s="454">
        <f t="shared" si="0"/>
        <v>12096520</v>
      </c>
      <c r="U16" s="453">
        <f>'PL. Výnosů'!$R$37+'PL. Výnosů'!$R$55+'PL. Výnosů'!$R$73+'PL. Výnosů'!$R$91</f>
        <v>707500</v>
      </c>
      <c r="V16" s="333"/>
      <c r="W16" s="333"/>
    </row>
    <row r="17" spans="2:23">
      <c r="B17" s="1536"/>
      <c r="C17" s="144" t="s">
        <v>64</v>
      </c>
      <c r="D17" s="453">
        <f t="shared" si="1"/>
        <v>1368040</v>
      </c>
      <c r="E17" s="453">
        <f>'PL. Výnosů'!$D$38+'PL. Výnosů'!$D$56+'PL. Výnosů'!$D$74+'PL. Výnosů'!$D$92</f>
        <v>1487000</v>
      </c>
      <c r="F17" s="453">
        <f>'PL. Výnosů'!$E$38+'PL. Výnosů'!$E$56+'PL. Výnosů'!$E$74+'PL. Výnosů'!$E$92</f>
        <v>818500</v>
      </c>
      <c r="G17" s="454">
        <f t="shared" si="2"/>
        <v>3673540</v>
      </c>
      <c r="H17" s="453">
        <f>'PL. Výnosů'!$F$38+'PL. Výnosů'!$F$56+'PL. Výnosů'!$F$74+'PL. Výnosů'!$F$92</f>
        <v>668500</v>
      </c>
      <c r="I17" s="453">
        <f>'PL. Výnosů'!$H$38+'PL. Výnosů'!$H$56+'PL. Výnosů'!$H$74+'PL. Výnosů'!$H$92</f>
        <v>3802500</v>
      </c>
      <c r="J17" s="453">
        <f>'PL. Výnosů'!$I$38+'PL. Výnosů'!$I$56+'PL. Výnosů'!$I$74+'PL. Výnosů'!$I$92</f>
        <v>3134000</v>
      </c>
      <c r="K17" s="454">
        <f t="shared" si="3"/>
        <v>7605000</v>
      </c>
      <c r="L17" s="453">
        <f>'PL. Výnosů'!$J$38+'PL. Výnosů'!$J$56+'PL. Výnosů'!$J$74+'PL. Výnosů'!$J$92</f>
        <v>2344500</v>
      </c>
      <c r="M17" s="453">
        <f>'PL. Výnosů'!$L$38+'PL. Výnosů'!$L$56+'PL. Výnosů'!$L$74+'PL. Výnosů'!$L$92</f>
        <v>2305500</v>
      </c>
      <c r="N17" s="453">
        <f>'PL. Výnosů'!$M$38+'PL. Výnosů'!$M$56+'PL. Výnosů'!$M$74+'PL. Výnosů'!$M$92</f>
        <v>2305500</v>
      </c>
      <c r="O17" s="454">
        <f t="shared" si="4"/>
        <v>6955500</v>
      </c>
      <c r="P17" s="453">
        <f>'PL. Výnosů'!$N$38+'PL. Výnosů'!$N$56+'PL. Výnosů'!$N$74+'PL. Výnosů'!$N$92</f>
        <v>3173000</v>
      </c>
      <c r="Q17" s="453">
        <f>'PL. Výnosů'!$P$38+'PL. Výnosů'!$P$56+'PL. Výnosů'!$P$74+'PL. Výnosů'!$P$92</f>
        <v>2305500</v>
      </c>
      <c r="R17" s="453">
        <f>'PL. Výnosů'!$Q$38+'PL. Výnosů'!$Q$56+'PL. Výnosů'!$Q$74+'PL. Výnosů'!$Q$92</f>
        <v>2305500</v>
      </c>
      <c r="S17" s="454">
        <f t="shared" si="5"/>
        <v>7784000</v>
      </c>
      <c r="T17" s="454">
        <f t="shared" si="0"/>
        <v>26018040</v>
      </c>
      <c r="U17" s="453">
        <f>'PL. Výnosů'!$R$38+'PL. Výnosů'!$R$56+'PL. Výnosů'!$R$74+'PL. Výnosů'!$R$92</f>
        <v>2354500</v>
      </c>
      <c r="V17" s="333"/>
      <c r="W17" s="333"/>
    </row>
    <row r="18" spans="2:23">
      <c r="B18" s="1536"/>
      <c r="C18" s="144" t="s">
        <v>60</v>
      </c>
      <c r="D18" s="453">
        <f t="shared" si="1"/>
        <v>2121060</v>
      </c>
      <c r="E18" s="453">
        <f>'PL. Výnosů'!$D$39+'PL. Výnosů'!$D$57+'PL. Výnosů'!$D$75+'PL. Výnosů'!$D$93</f>
        <v>2305500</v>
      </c>
      <c r="F18" s="453">
        <f>'PL. Výnosů'!$E$39+'PL. Výnosů'!$E$57+'PL. Výnosů'!$E$75+'PL. Výnosů'!$E$93</f>
        <v>2974000</v>
      </c>
      <c r="G18" s="454">
        <f t="shared" si="2"/>
        <v>7400560</v>
      </c>
      <c r="H18" s="453">
        <f>'PL. Výnosů'!$F$39+'PL. Výnosů'!$F$57+'PL. Výnosů'!$F$75+'PL. Výnosů'!$F$93</f>
        <v>2204500</v>
      </c>
      <c r="I18" s="453">
        <f>'PL. Výnosů'!$H$39+'PL. Výnosů'!$H$57+'PL. Výnosů'!$H$75+'PL. Výnosů'!$H$93</f>
        <v>6815500</v>
      </c>
      <c r="J18" s="453">
        <f>'PL. Výnosů'!$I$39+'PL. Výnosů'!$I$57+'PL. Výnosů'!$I$75+'PL. Výnosů'!$I$93</f>
        <v>6147000</v>
      </c>
      <c r="K18" s="454">
        <f t="shared" si="3"/>
        <v>15167000</v>
      </c>
      <c r="L18" s="453">
        <f>'PL. Výnosů'!$J$39+'PL. Výnosů'!$J$57+'PL. Výnosů'!$J$75+'PL. Výnosů'!$J$93</f>
        <v>6926500</v>
      </c>
      <c r="M18" s="453">
        <f>'PL. Výnosů'!$L$39+'PL. Výnosů'!$L$57+'PL. Výnosů'!$L$75+'PL. Výnosů'!$L$93</f>
        <v>6147000</v>
      </c>
      <c r="N18" s="453">
        <f>'PL. Výnosů'!$M$39+'PL. Výnosů'!$M$57+'PL. Výnosů'!$M$75+'PL. Výnosů'!$M$93</f>
        <v>6147000</v>
      </c>
      <c r="O18" s="454">
        <f t="shared" si="4"/>
        <v>19220500</v>
      </c>
      <c r="P18" s="453">
        <f>'PL. Výnosů'!$N$39+'PL. Výnosů'!$N$57+'PL. Výnosů'!$N$75+'PL. Výnosů'!$N$93</f>
        <v>4621000</v>
      </c>
      <c r="Q18" s="453">
        <f>'PL. Výnosů'!$P$39+'PL. Výnosů'!$P$57+'PL. Výnosů'!$P$75+'PL. Výnosů'!$P$93</f>
        <v>5958000</v>
      </c>
      <c r="R18" s="453">
        <f>'PL. Výnosů'!$Q$39+'PL. Výnosů'!$Q$57+'PL. Výnosů'!$Q$75+'PL. Výnosů'!$Q$93</f>
        <v>4621000</v>
      </c>
      <c r="S18" s="454">
        <f t="shared" si="5"/>
        <v>15200000</v>
      </c>
      <c r="T18" s="454">
        <f t="shared" si="0"/>
        <v>56988060</v>
      </c>
      <c r="U18" s="453">
        <f>'PL. Výnosů'!$R$39+'PL. Výnosů'!$R$57+'PL. Výnosů'!$R$75+'PL. Výnosů'!$R$93</f>
        <v>3981500</v>
      </c>
      <c r="V18" s="333"/>
      <c r="W18" s="333"/>
    </row>
    <row r="19" spans="2:23">
      <c r="B19" s="144" t="s">
        <v>523</v>
      </c>
      <c r="C19" s="144" t="s">
        <v>524</v>
      </c>
      <c r="D19" s="453">
        <f t="shared" si="1"/>
        <v>110852180</v>
      </c>
      <c r="E19" s="453">
        <f>'PL. Výnosů'!$D$40+'PL. Výnosů'!$D$58+'PL. Výnosů'!$D$76+'PL. Výnosů'!$D$94</f>
        <v>120491500</v>
      </c>
      <c r="F19" s="453">
        <f>'PL. Výnosů'!$E$40+'PL. Výnosů'!$E$58+'PL. Výnosů'!$E$76+'PL. Výnosů'!$E$94</f>
        <v>120491500</v>
      </c>
      <c r="G19" s="454">
        <f t="shared" si="2"/>
        <v>351835180</v>
      </c>
      <c r="H19" s="453">
        <f>'PL. Výnosů'!$F$40+'PL. Výnosů'!$F$58+'PL. Výnosů'!$F$76+'PL. Výnosů'!$F$94</f>
        <v>121189000</v>
      </c>
      <c r="I19" s="453">
        <f>'PL. Výnosů'!$H$40+'PL. Výnosů'!$H$58+'PL. Výnosů'!$H$76+'PL. Výnosů'!$H$94</f>
        <v>236870999.83333331</v>
      </c>
      <c r="J19" s="453">
        <f>'PL. Výnosů'!$I$40+'PL. Výnosů'!$I$58+'PL. Výnosů'!$I$76+'PL. Výnosů'!$I$94</f>
        <v>236870999.83333331</v>
      </c>
      <c r="K19" s="454">
        <f t="shared" si="3"/>
        <v>594930999.66666663</v>
      </c>
      <c r="L19" s="453">
        <f>'PL. Výnosů'!$J$40+'PL. Výnosů'!$J$58+'PL. Výnosů'!$J$76+'PL. Výnosů'!$J$94</f>
        <v>236831999.83333331</v>
      </c>
      <c r="M19" s="453">
        <f>'PL. Výnosů'!$L$40+'PL. Výnosů'!$L$58+'PL. Výnosů'!$L$76+'PL. Výnosů'!$L$94</f>
        <v>200663499.8611111</v>
      </c>
      <c r="N19" s="453">
        <f>'PL. Výnosů'!$M$40+'PL. Výnosů'!$M$58+'PL. Výnosů'!$M$76+'PL. Výnosů'!$M$94</f>
        <v>200663499.8611111</v>
      </c>
      <c r="O19" s="454">
        <f t="shared" si="4"/>
        <v>638158999.55555558</v>
      </c>
      <c r="P19" s="453">
        <f>'PL. Výnosů'!$N$40+'PL. Výnosů'!$N$58+'PL. Výnosů'!$N$76+'PL. Výnosů'!$N$94</f>
        <v>200653499.8611111</v>
      </c>
      <c r="Q19" s="453">
        <f>'PL. Výnosů'!$P$40+'PL. Výnosů'!$P$58+'PL. Výnosů'!$P$76+'PL. Výnosů'!$P$94</f>
        <v>163627499.8888889</v>
      </c>
      <c r="R19" s="453">
        <f>'PL. Výnosů'!$Q$40+'PL. Výnosů'!$Q$58+'PL. Výnosů'!$Q$76+'PL. Výnosů'!$Q$94</f>
        <v>163627499.8888889</v>
      </c>
      <c r="S19" s="454">
        <f t="shared" si="5"/>
        <v>527908499.6388889</v>
      </c>
      <c r="T19" s="454">
        <f>G19+K19+O19+S19</f>
        <v>2112833678.8611112</v>
      </c>
      <c r="U19" s="453">
        <f>'PL. Výnosů'!$R$40+'PL. Výnosů'!$R$58+'PL. Výnosů'!$R$76+'PL. Výnosů'!$R$94</f>
        <v>162896499.8888889</v>
      </c>
      <c r="V19" s="333"/>
      <c r="W19" s="333"/>
    </row>
    <row r="20" spans="2:23" ht="42.75">
      <c r="B20" s="144"/>
      <c r="C20" s="146" t="s">
        <v>525</v>
      </c>
      <c r="D20" s="453">
        <f>SUM(D6:D18)</f>
        <v>49754520</v>
      </c>
      <c r="E20" s="453">
        <f>SUM(E6:E18)</f>
        <v>54081000</v>
      </c>
      <c r="F20" s="453">
        <f>SUM(F6:F19)</f>
        <v>188144500</v>
      </c>
      <c r="G20" s="454">
        <f t="shared" ref="G20:Q20" si="6">SUM(G6:G19)</f>
        <v>523323700</v>
      </c>
      <c r="H20" s="453">
        <f t="shared" si="6"/>
        <v>180565700</v>
      </c>
      <c r="I20" s="453">
        <f t="shared" si="6"/>
        <v>402195699.83333331</v>
      </c>
      <c r="J20" s="453">
        <f>SUM(J6:J19)</f>
        <v>403014199.83333331</v>
      </c>
      <c r="K20" s="454">
        <f>SUM(K6:K19)</f>
        <v>985775599.66666663</v>
      </c>
      <c r="L20" s="453">
        <f t="shared" si="6"/>
        <v>405578199.83333331</v>
      </c>
      <c r="M20" s="453">
        <f t="shared" si="6"/>
        <v>345828199.8611111</v>
      </c>
      <c r="N20" s="453">
        <f t="shared" si="6"/>
        <v>345828199.8611111</v>
      </c>
      <c r="O20" s="454">
        <f t="shared" si="6"/>
        <v>1097234599.5555556</v>
      </c>
      <c r="P20" s="453">
        <f t="shared" si="6"/>
        <v>338203699.8611111</v>
      </c>
      <c r="Q20" s="453">
        <f t="shared" si="6"/>
        <v>283434199.8888889</v>
      </c>
      <c r="R20" s="453">
        <f>SUM(R6:R19)</f>
        <v>280760199.8888889</v>
      </c>
      <c r="S20" s="454">
        <f t="shared" ref="S20:T20" si="7">SUM(S6:S18)</f>
        <v>374489600</v>
      </c>
      <c r="T20" s="454">
        <f t="shared" si="7"/>
        <v>1395898320</v>
      </c>
      <c r="U20" s="454">
        <f>SUM(U6:U18)</f>
        <v>116049000</v>
      </c>
      <c r="V20" s="333"/>
      <c r="W20" s="333"/>
    </row>
    <row r="21" spans="2:23" ht="42.75">
      <c r="B21" s="144"/>
      <c r="C21" s="146" t="s">
        <v>526</v>
      </c>
      <c r="D21" s="453">
        <f>$D$13</f>
        <v>1506040</v>
      </c>
      <c r="E21" s="453">
        <f>$E$13</f>
        <v>1637000</v>
      </c>
      <c r="F21" s="453">
        <f>F13</f>
        <v>2455500</v>
      </c>
      <c r="G21" s="454">
        <f t="shared" ref="G21:R21" si="8">G13</f>
        <v>5598540</v>
      </c>
      <c r="H21" s="453">
        <f t="shared" si="8"/>
        <v>1688700</v>
      </c>
      <c r="I21" s="453">
        <f t="shared" si="8"/>
        <v>5740700</v>
      </c>
      <c r="J21" s="453">
        <f t="shared" si="8"/>
        <v>6559200</v>
      </c>
      <c r="K21" s="454">
        <f t="shared" si="8"/>
        <v>13988600</v>
      </c>
      <c r="L21" s="453">
        <f t="shared" si="8"/>
        <v>5781200</v>
      </c>
      <c r="M21" s="453">
        <f t="shared" si="8"/>
        <v>4922200</v>
      </c>
      <c r="N21" s="453">
        <f t="shared" si="8"/>
        <v>4922200</v>
      </c>
      <c r="O21" s="454">
        <f t="shared" si="8"/>
        <v>15625600</v>
      </c>
      <c r="P21" s="453">
        <f t="shared" si="8"/>
        <v>4962700</v>
      </c>
      <c r="Q21" s="453">
        <f t="shared" si="8"/>
        <v>4103700</v>
      </c>
      <c r="R21" s="453">
        <f t="shared" si="8"/>
        <v>4103700</v>
      </c>
      <c r="S21" s="454">
        <f t="shared" ref="S21:T21" si="9">S13</f>
        <v>13170100</v>
      </c>
      <c r="T21" s="454">
        <f t="shared" si="9"/>
        <v>48382840</v>
      </c>
      <c r="U21" s="454">
        <f>U13</f>
        <v>4133000</v>
      </c>
      <c r="V21" s="333"/>
      <c r="W21" s="333"/>
    </row>
    <row r="22" spans="2:23" s="737" customFormat="1" ht="15" thickBot="1">
      <c r="B22" s="769"/>
      <c r="E22" s="333"/>
      <c r="F22" s="333"/>
      <c r="G22" s="333"/>
      <c r="H22" s="333"/>
      <c r="I22" s="333"/>
      <c r="J22" s="333"/>
      <c r="K22" s="333"/>
      <c r="L22" s="333"/>
      <c r="M22" s="333"/>
      <c r="N22" s="333"/>
      <c r="O22" s="333"/>
      <c r="P22" s="333"/>
      <c r="Q22" s="333"/>
      <c r="R22" s="333"/>
      <c r="S22" s="333"/>
      <c r="T22" s="333"/>
      <c r="U22" s="333"/>
      <c r="V22" s="333"/>
      <c r="W22" s="333"/>
    </row>
    <row r="23" spans="2:23" ht="15.75" thickBot="1">
      <c r="B23" s="1509" t="s">
        <v>537</v>
      </c>
      <c r="C23" s="1510"/>
      <c r="D23" s="1510"/>
      <c r="E23" s="1510"/>
      <c r="F23" s="1510"/>
      <c r="G23" s="1510"/>
      <c r="H23" s="1510"/>
      <c r="I23" s="1510"/>
      <c r="J23" s="1510"/>
      <c r="K23" s="1510"/>
      <c r="L23" s="1510"/>
      <c r="M23" s="1510"/>
      <c r="N23" s="1510"/>
      <c r="O23" s="1510"/>
      <c r="P23" s="1510"/>
      <c r="Q23" s="1510"/>
      <c r="R23" s="1510"/>
      <c r="S23" s="1510"/>
      <c r="T23" s="1511"/>
      <c r="U23" s="333"/>
      <c r="V23" s="333"/>
      <c r="W23" s="333"/>
    </row>
    <row r="24" spans="2:23" ht="15" thickBot="1">
      <c r="B24" s="1512" t="s">
        <v>502</v>
      </c>
      <c r="C24" s="1488"/>
      <c r="D24" s="1513" t="s">
        <v>258</v>
      </c>
      <c r="E24" s="1514"/>
      <c r="F24" s="1514"/>
      <c r="G24" s="1515"/>
      <c r="H24" s="1512" t="s">
        <v>262</v>
      </c>
      <c r="I24" s="1514"/>
      <c r="J24" s="1514"/>
      <c r="K24" s="1515"/>
      <c r="L24" s="1512" t="s">
        <v>266</v>
      </c>
      <c r="M24" s="1514"/>
      <c r="N24" s="1514"/>
      <c r="O24" s="1515"/>
      <c r="P24" s="1512" t="s">
        <v>270</v>
      </c>
      <c r="Q24" s="1514"/>
      <c r="R24" s="1514"/>
      <c r="S24" s="1515"/>
      <c r="T24" s="1516" t="s">
        <v>503</v>
      </c>
      <c r="U24" s="333"/>
      <c r="V24" s="333"/>
      <c r="W24" s="333"/>
    </row>
    <row r="25" spans="2:23" ht="15" thickBot="1">
      <c r="B25" s="450"/>
      <c r="C25" s="451"/>
      <c r="D25" s="1350" t="s">
        <v>255</v>
      </c>
      <c r="E25" s="1351" t="s">
        <v>256</v>
      </c>
      <c r="F25" s="1351" t="s">
        <v>257</v>
      </c>
      <c r="G25" s="1354" t="s">
        <v>504</v>
      </c>
      <c r="H25" s="1350" t="s">
        <v>259</v>
      </c>
      <c r="I25" s="1351" t="s">
        <v>260</v>
      </c>
      <c r="J25" s="1351" t="s">
        <v>263</v>
      </c>
      <c r="K25" s="1354" t="s">
        <v>505</v>
      </c>
      <c r="L25" s="1350" t="s">
        <v>263</v>
      </c>
      <c r="M25" s="1351" t="s">
        <v>264</v>
      </c>
      <c r="N25" s="1351" t="s">
        <v>506</v>
      </c>
      <c r="O25" s="1354" t="s">
        <v>507</v>
      </c>
      <c r="P25" s="1350" t="s">
        <v>267</v>
      </c>
      <c r="Q25" s="1351" t="s">
        <v>268</v>
      </c>
      <c r="R25" s="1351" t="s">
        <v>269</v>
      </c>
      <c r="S25" s="1352" t="s">
        <v>508</v>
      </c>
      <c r="T25" s="1517"/>
      <c r="U25" s="770" t="s">
        <v>245</v>
      </c>
      <c r="V25" s="737"/>
      <c r="W25" s="737"/>
    </row>
    <row r="26" spans="2:23">
      <c r="B26" s="449" t="s">
        <v>534</v>
      </c>
      <c r="C26" s="452" t="s">
        <v>535</v>
      </c>
      <c r="D26" s="1526"/>
      <c r="E26" s="1526"/>
      <c r="F26" s="1526"/>
      <c r="G26" s="1526"/>
      <c r="H26" s="1526"/>
      <c r="I26" s="1526"/>
      <c r="J26" s="1526"/>
      <c r="K26" s="1526"/>
      <c r="L26" s="1526"/>
      <c r="M26" s="1526"/>
      <c r="N26" s="1526"/>
      <c r="O26" s="1526"/>
      <c r="P26" s="1526"/>
      <c r="Q26" s="1526"/>
      <c r="R26" s="1526"/>
      <c r="S26" s="1526"/>
      <c r="T26" s="1527"/>
      <c r="U26" s="737"/>
      <c r="V26" s="737"/>
      <c r="W26" s="737"/>
    </row>
    <row r="27" spans="2:23" ht="28.5">
      <c r="B27" s="1536"/>
      <c r="C27" s="1355" t="s">
        <v>538</v>
      </c>
      <c r="D27" s="453">
        <f>0.92*E27</f>
        <v>14145460</v>
      </c>
      <c r="E27" s="453">
        <f>'PL. Výnosů'!$D$41</f>
        <v>15375500</v>
      </c>
      <c r="F27" s="453">
        <f>'PL. Výnosů'!$E$41</f>
        <v>16862500</v>
      </c>
      <c r="G27" s="454">
        <f t="shared" ref="G27:G32" si="10">SUM(D27:F27)</f>
        <v>46383460</v>
      </c>
      <c r="H27" s="453">
        <f>'PL. Výnosů'!$F$41</f>
        <v>22879000</v>
      </c>
      <c r="I27" s="453">
        <f>'PL. Výnosů'!$H$41</f>
        <v>36917500</v>
      </c>
      <c r="J27" s="453">
        <f>'PL. Výnosů'!$I$41</f>
        <v>37736000</v>
      </c>
      <c r="K27" s="454">
        <f t="shared" ref="K27:K32" si="11">SUM(H27:J27)</f>
        <v>97532500</v>
      </c>
      <c r="L27" s="453">
        <f>'PL. Výnosů'!$J$41</f>
        <v>37736000</v>
      </c>
      <c r="M27" s="453">
        <f>'PL. Výnosů'!$L$41</f>
        <v>31569500</v>
      </c>
      <c r="N27" s="453">
        <f>'PL. Výnosů'!$M$41</f>
        <v>31569500</v>
      </c>
      <c r="O27" s="454">
        <f t="shared" ref="O27:O32" si="12">SUM(L27:N27)</f>
        <v>100875000</v>
      </c>
      <c r="P27" s="453">
        <f>'PL. Výnosů'!$N$41</f>
        <v>29714000</v>
      </c>
      <c r="Q27" s="453">
        <f>'PL. Výnosů'!$P$41</f>
        <v>26890000</v>
      </c>
      <c r="R27" s="453">
        <f>'PL. Výnosů'!$Q$41</f>
        <v>24216000</v>
      </c>
      <c r="S27" s="454">
        <f t="shared" ref="S27:S32" si="13">SUM(P27:R27)</f>
        <v>80820000</v>
      </c>
      <c r="T27" s="454">
        <f t="shared" ref="T27:T31" si="14">G27+K27+O27+S27</f>
        <v>325610960</v>
      </c>
      <c r="U27" s="453">
        <f>'PL. Výnosů'!$R$41</f>
        <v>22879000</v>
      </c>
      <c r="V27" s="737"/>
      <c r="W27" s="737"/>
    </row>
    <row r="28" spans="2:23">
      <c r="B28" s="1536"/>
      <c r="C28" s="1355" t="s">
        <v>527</v>
      </c>
      <c r="D28" s="453">
        <f t="shared" ref="D28:D32" si="15">0.92*E28</f>
        <v>143520</v>
      </c>
      <c r="E28" s="453">
        <f>'PL. Výnosů'!$D$59</f>
        <v>156000</v>
      </c>
      <c r="F28" s="453">
        <f>'PL. Výnosů'!$E$59</f>
        <v>156000</v>
      </c>
      <c r="G28" s="454">
        <f t="shared" si="10"/>
        <v>455520</v>
      </c>
      <c r="H28" s="453">
        <f>'PL. Výnosů'!$F$59</f>
        <v>352500</v>
      </c>
      <c r="I28" s="453">
        <f>'PL. Výnosů'!$H$59</f>
        <v>390000</v>
      </c>
      <c r="J28" s="453">
        <f>'PL. Výnosů'!$I$59</f>
        <v>390000</v>
      </c>
      <c r="K28" s="454">
        <f t="shared" si="11"/>
        <v>1132500</v>
      </c>
      <c r="L28" s="453">
        <f>'PL. Výnosů'!$J$59</f>
        <v>547500</v>
      </c>
      <c r="M28" s="453">
        <f>'PL. Výnosů'!$L$59</f>
        <v>351000</v>
      </c>
      <c r="N28" s="453">
        <f>'PL. Výnosů'!$M$59</f>
        <v>351000</v>
      </c>
      <c r="O28" s="454">
        <f t="shared" si="12"/>
        <v>1249500</v>
      </c>
      <c r="P28" s="453">
        <f>'PL. Výnosů'!$N$59</f>
        <v>391500</v>
      </c>
      <c r="Q28" s="453">
        <f>'PL. Výnosů'!$P$59</f>
        <v>195000</v>
      </c>
      <c r="R28" s="453">
        <f>'PL. Výnosů'!$Q$59</f>
        <v>195000</v>
      </c>
      <c r="S28" s="454">
        <f t="shared" si="13"/>
        <v>781500</v>
      </c>
      <c r="T28" s="454">
        <f t="shared" si="14"/>
        <v>3619020</v>
      </c>
      <c r="U28" s="453">
        <f>'PL. Výnosů'!$R$59</f>
        <v>469500</v>
      </c>
      <c r="V28" s="737"/>
      <c r="W28" s="737"/>
    </row>
    <row r="29" spans="2:23">
      <c r="B29" s="1536"/>
      <c r="C29" s="144"/>
      <c r="D29" s="453"/>
      <c r="E29" s="453"/>
      <c r="F29" s="453"/>
      <c r="G29" s="454">
        <f t="shared" si="10"/>
        <v>0</v>
      </c>
      <c r="H29" s="453"/>
      <c r="I29" s="453"/>
      <c r="J29" s="453"/>
      <c r="K29" s="454">
        <f t="shared" si="11"/>
        <v>0</v>
      </c>
      <c r="L29" s="453"/>
      <c r="M29" s="453"/>
      <c r="N29" s="453"/>
      <c r="O29" s="454">
        <f t="shared" si="12"/>
        <v>0</v>
      </c>
      <c r="P29" s="453"/>
      <c r="Q29" s="453"/>
      <c r="R29" s="453"/>
      <c r="S29" s="454">
        <f t="shared" si="13"/>
        <v>0</v>
      </c>
      <c r="T29" s="454">
        <f t="shared" si="14"/>
        <v>0</v>
      </c>
      <c r="U29" s="453"/>
      <c r="V29" s="737"/>
      <c r="W29" s="737"/>
    </row>
    <row r="30" spans="2:23">
      <c r="B30" s="1536"/>
      <c r="C30" s="144"/>
      <c r="D30" s="453"/>
      <c r="E30" s="453"/>
      <c r="F30" s="453"/>
      <c r="G30" s="454">
        <f t="shared" si="10"/>
        <v>0</v>
      </c>
      <c r="H30" s="453"/>
      <c r="I30" s="453"/>
      <c r="J30" s="453"/>
      <c r="K30" s="454">
        <f t="shared" si="11"/>
        <v>0</v>
      </c>
      <c r="L30" s="453"/>
      <c r="M30" s="453"/>
      <c r="N30" s="453"/>
      <c r="O30" s="454">
        <f t="shared" si="12"/>
        <v>0</v>
      </c>
      <c r="P30" s="453"/>
      <c r="Q30" s="453"/>
      <c r="R30" s="453"/>
      <c r="S30" s="454">
        <f t="shared" si="13"/>
        <v>0</v>
      </c>
      <c r="T30" s="454">
        <f t="shared" si="14"/>
        <v>0</v>
      </c>
      <c r="U30" s="453"/>
      <c r="V30" s="737"/>
      <c r="W30" s="737"/>
    </row>
    <row r="31" spans="2:23" ht="28.5">
      <c r="B31" s="1536"/>
      <c r="C31" s="1355" t="s">
        <v>528</v>
      </c>
      <c r="D31" s="453">
        <f t="shared" si="15"/>
        <v>35391940</v>
      </c>
      <c r="E31" s="453">
        <f>'PL. Výnosů'!$D$77</f>
        <v>38469500</v>
      </c>
      <c r="F31" s="453">
        <f>'PL. Výnosů'!$E$77</f>
        <v>38469500</v>
      </c>
      <c r="G31" s="454">
        <f t="shared" si="10"/>
        <v>112330940</v>
      </c>
      <c r="H31" s="453">
        <f>'PL. Výnosů'!$F$77</f>
        <v>36014000</v>
      </c>
      <c r="I31" s="453">
        <f>'PL. Výnosů'!$H$77</f>
        <v>127686000</v>
      </c>
      <c r="J31" s="453">
        <f>'PL. Výnosů'!$I$77</f>
        <v>127686000</v>
      </c>
      <c r="K31" s="454">
        <f t="shared" si="11"/>
        <v>291386000</v>
      </c>
      <c r="L31" s="453">
        <f>'PL. Výnosů'!$J$77</f>
        <v>130141500</v>
      </c>
      <c r="M31" s="453">
        <f>'PL. Výnosů'!$L$77</f>
        <v>112953000</v>
      </c>
      <c r="N31" s="453">
        <f>'PL. Výnosů'!$M$77</f>
        <v>112953000</v>
      </c>
      <c r="O31" s="454">
        <f t="shared" si="12"/>
        <v>356047500</v>
      </c>
      <c r="P31" s="453">
        <f>'PL. Výnosů'!$N$77</f>
        <v>107223500</v>
      </c>
      <c r="Q31" s="453">
        <f>'PL. Výnosů'!$P$77</f>
        <v>92490500</v>
      </c>
      <c r="R31" s="453">
        <f>'PL. Výnosů'!$Q$77</f>
        <v>92490500</v>
      </c>
      <c r="S31" s="454">
        <f t="shared" si="13"/>
        <v>292204500</v>
      </c>
      <c r="T31" s="454">
        <f t="shared" si="14"/>
        <v>1051968940</v>
      </c>
      <c r="U31" s="453">
        <f>'PL. Výnosů'!$R$77</f>
        <v>92490500</v>
      </c>
      <c r="V31" s="737"/>
      <c r="W31" s="737"/>
    </row>
    <row r="32" spans="2:23">
      <c r="B32" s="1536"/>
      <c r="C32" s="1355" t="s">
        <v>529</v>
      </c>
      <c r="D32" s="453">
        <f t="shared" si="15"/>
        <v>73600</v>
      </c>
      <c r="E32" s="453">
        <f>'PL. Výnosů'!$D$95</f>
        <v>80000</v>
      </c>
      <c r="F32" s="453">
        <f>'PL. Výnosů'!$E$95</f>
        <v>80000</v>
      </c>
      <c r="G32" s="454">
        <f t="shared" si="10"/>
        <v>233600</v>
      </c>
      <c r="H32" s="453">
        <f>'PL. Výnosů'!$F$95</f>
        <v>131200</v>
      </c>
      <c r="I32" s="453">
        <f>'PL. Výnosů'!$H$95</f>
        <v>331200</v>
      </c>
      <c r="J32" s="453">
        <f>'PL. Výnosů'!$I$95</f>
        <v>331200</v>
      </c>
      <c r="K32" s="454">
        <f t="shared" si="11"/>
        <v>793600</v>
      </c>
      <c r="L32" s="453">
        <f>'PL. Výnosů'!$J$95</f>
        <v>321200</v>
      </c>
      <c r="M32" s="453">
        <f>'PL. Výnosů'!$L$95</f>
        <v>291200</v>
      </c>
      <c r="N32" s="453">
        <f>'PL. Výnosů'!$M$95</f>
        <v>291200</v>
      </c>
      <c r="O32" s="454">
        <f t="shared" si="12"/>
        <v>903600</v>
      </c>
      <c r="P32" s="453">
        <f>'PL. Výnosů'!$N$95</f>
        <v>221200</v>
      </c>
      <c r="Q32" s="453">
        <f>'PL. Výnosů'!$P$95</f>
        <v>231200</v>
      </c>
      <c r="R32" s="453">
        <f>'PL. Výnosů'!$Q$95</f>
        <v>231200</v>
      </c>
      <c r="S32" s="454">
        <f t="shared" si="13"/>
        <v>683600</v>
      </c>
      <c r="T32" s="454">
        <f>G32+K32+O32+S32</f>
        <v>2614400</v>
      </c>
      <c r="U32" s="453">
        <f>'PL. Výnosů'!$R$95</f>
        <v>210000</v>
      </c>
      <c r="V32" s="737"/>
      <c r="W32" s="737"/>
    </row>
    <row r="33" spans="2:21">
      <c r="B33" s="144"/>
      <c r="C33" s="146" t="s">
        <v>271</v>
      </c>
      <c r="D33" s="453">
        <f t="shared" ref="D33:U33" si="16">SUM(D27:D32)</f>
        <v>49754520</v>
      </c>
      <c r="E33" s="453">
        <f t="shared" si="16"/>
        <v>54081000</v>
      </c>
      <c r="F33" s="453">
        <f t="shared" si="16"/>
        <v>55568000</v>
      </c>
      <c r="G33" s="454">
        <f t="shared" si="16"/>
        <v>159403520</v>
      </c>
      <c r="H33" s="453">
        <f t="shared" si="16"/>
        <v>59376700</v>
      </c>
      <c r="I33" s="453">
        <f t="shared" si="16"/>
        <v>165324700</v>
      </c>
      <c r="J33" s="453">
        <f t="shared" si="16"/>
        <v>166143200</v>
      </c>
      <c r="K33" s="454">
        <f t="shared" si="16"/>
        <v>390844600</v>
      </c>
      <c r="L33" s="453">
        <f t="shared" si="16"/>
        <v>168746200</v>
      </c>
      <c r="M33" s="453">
        <f t="shared" si="16"/>
        <v>145164700</v>
      </c>
      <c r="N33" s="453">
        <f t="shared" si="16"/>
        <v>145164700</v>
      </c>
      <c r="O33" s="454">
        <f t="shared" si="16"/>
        <v>459075600</v>
      </c>
      <c r="P33" s="453">
        <f t="shared" si="16"/>
        <v>137550200</v>
      </c>
      <c r="Q33" s="453">
        <f t="shared" si="16"/>
        <v>119806700</v>
      </c>
      <c r="R33" s="453">
        <f t="shared" si="16"/>
        <v>117132700</v>
      </c>
      <c r="S33" s="454">
        <f t="shared" si="16"/>
        <v>374489600</v>
      </c>
      <c r="T33" s="454">
        <f t="shared" si="16"/>
        <v>1383813320</v>
      </c>
      <c r="U33" s="454">
        <f t="shared" si="16"/>
        <v>116049000</v>
      </c>
    </row>
  </sheetData>
  <customSheetViews>
    <customSheetView guid="{F9015B81-4D5E-47E3-BFA8-A54438E9D1FF}" scale="55" showGridLines="0">
      <pageMargins left="0.7" right="0.7" top="0.78740157499999996" bottom="0.78740157499999996" header="0.3" footer="0.3"/>
      <pageSetup paperSize="9" orientation="portrait" r:id="rId1"/>
    </customSheetView>
  </customSheetViews>
  <mergeCells count="21">
    <mergeCell ref="B2:T2"/>
    <mergeCell ref="B3:C3"/>
    <mergeCell ref="D3:G3"/>
    <mergeCell ref="H3:K3"/>
    <mergeCell ref="L3:O3"/>
    <mergeCell ref="P3:S3"/>
    <mergeCell ref="T3:T4"/>
    <mergeCell ref="D5:T5"/>
    <mergeCell ref="B6:B9"/>
    <mergeCell ref="B10:B13"/>
    <mergeCell ref="B14:B18"/>
    <mergeCell ref="B23:T23"/>
    <mergeCell ref="T24:T25"/>
    <mergeCell ref="D26:T26"/>
    <mergeCell ref="B27:B30"/>
    <mergeCell ref="B31:B32"/>
    <mergeCell ref="B24:C24"/>
    <mergeCell ref="D24:G24"/>
    <mergeCell ref="H24:K24"/>
    <mergeCell ref="L24:O24"/>
    <mergeCell ref="P24:S24"/>
  </mergeCells>
  <hyperlinks>
    <hyperlink ref="A1" location="MENU!A1" display="MENU" xr:uid="{6A987B0B-3380-4691-B57B-2423E93167CB}"/>
  </hyperlinks>
  <pageMargins left="0.7" right="0.7" top="0.78740157499999996" bottom="0.78740157499999996" header="0.3" footer="0.3"/>
  <pageSetup paperSize="9"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F1858-2D6D-4D8C-B0F0-92AF5AE63126}">
  <sheetPr>
    <tabColor rgb="FFFFC000"/>
  </sheetPr>
  <dimension ref="A1:W24"/>
  <sheetViews>
    <sheetView showGridLines="0" zoomScale="70" zoomScaleNormal="70" workbookViewId="0"/>
  </sheetViews>
  <sheetFormatPr defaultColWidth="8.77734375" defaultRowHeight="14.25"/>
  <cols>
    <col min="1" max="1" width="8.77734375" style="55"/>
    <col min="2" max="2" width="4.44140625" style="55" customWidth="1"/>
    <col min="3" max="3" width="23.44140625" style="55" bestFit="1" customWidth="1"/>
    <col min="4" max="15" width="8.109375" style="55" customWidth="1"/>
    <col min="16" max="16" width="11.44140625" style="55" customWidth="1"/>
    <col min="17" max="16384" width="8.77734375" style="55"/>
  </cols>
  <sheetData>
    <row r="1" spans="1:23" ht="22.5" customHeight="1" thickBot="1">
      <c r="A1" s="107" t="s">
        <v>1</v>
      </c>
      <c r="B1" s="737"/>
      <c r="C1" s="1545" t="s">
        <v>539</v>
      </c>
      <c r="D1" s="1546"/>
      <c r="E1" s="1546"/>
      <c r="F1" s="1546"/>
      <c r="G1" s="1546"/>
      <c r="H1" s="1546"/>
      <c r="I1" s="1546"/>
      <c r="J1" s="1546"/>
      <c r="K1" s="1546"/>
      <c r="L1" s="1546"/>
      <c r="M1" s="1546"/>
      <c r="N1" s="1546"/>
      <c r="O1" s="1546"/>
      <c r="P1" s="1547"/>
      <c r="Q1" s="737"/>
      <c r="R1" s="737"/>
      <c r="S1" s="737"/>
      <c r="T1" s="737"/>
      <c r="U1" s="737"/>
      <c r="V1" s="737"/>
      <c r="W1" s="737"/>
    </row>
    <row r="2" spans="1:23" ht="23.25" customHeight="1" thickBot="1">
      <c r="A2" s="737"/>
      <c r="B2" s="737"/>
      <c r="C2" s="359" t="s">
        <v>511</v>
      </c>
      <c r="D2" s="360">
        <v>1</v>
      </c>
      <c r="E2" s="360">
        <v>2</v>
      </c>
      <c r="F2" s="360">
        <v>3</v>
      </c>
      <c r="G2" s="360">
        <v>4</v>
      </c>
      <c r="H2" s="360">
        <v>5</v>
      </c>
      <c r="I2" s="360">
        <v>6</v>
      </c>
      <c r="J2" s="360">
        <v>7</v>
      </c>
      <c r="K2" s="360">
        <v>8</v>
      </c>
      <c r="L2" s="360">
        <v>9</v>
      </c>
      <c r="M2" s="360">
        <v>10</v>
      </c>
      <c r="N2" s="360">
        <v>11</v>
      </c>
      <c r="O2" s="361">
        <v>12</v>
      </c>
      <c r="P2" s="358" t="s">
        <v>512</v>
      </c>
      <c r="Q2" s="737"/>
      <c r="R2" s="737"/>
      <c r="S2" s="737"/>
      <c r="T2" s="737"/>
      <c r="U2" s="737"/>
      <c r="V2" s="737"/>
      <c r="W2" s="737"/>
    </row>
    <row r="3" spans="1:23">
      <c r="A3" s="737"/>
      <c r="B3" s="737"/>
      <c r="C3" s="497" t="s">
        <v>7</v>
      </c>
      <c r="D3" s="496">
        <f>'PL. Prodeje'!X6</f>
        <v>70</v>
      </c>
      <c r="E3" s="496">
        <f>'PL. Prodeje'!Y6</f>
        <v>72</v>
      </c>
      <c r="F3" s="496">
        <f>'PL. Prodeje'!Z6</f>
        <v>78</v>
      </c>
      <c r="G3" s="496">
        <f>'PL. Prodeje'!AA6</f>
        <v>211</v>
      </c>
      <c r="H3" s="496">
        <f>'PL. Prodeje'!AB6</f>
        <v>212</v>
      </c>
      <c r="I3" s="496">
        <f>'PL. Prodeje'!AC6</f>
        <v>215</v>
      </c>
      <c r="J3" s="496">
        <f>'PL. Prodeje'!AD6</f>
        <v>185</v>
      </c>
      <c r="K3" s="496">
        <f>'PL. Prodeje'!AE6</f>
        <v>185</v>
      </c>
      <c r="L3" s="496">
        <f>'PL. Prodeje'!AF6</f>
        <v>175</v>
      </c>
      <c r="M3" s="496">
        <f>'PL. Prodeje'!AG6</f>
        <v>153</v>
      </c>
      <c r="N3" s="496">
        <f>'PL. Prodeje'!AH6</f>
        <v>149</v>
      </c>
      <c r="O3" s="562">
        <f>'PL. Prodeje'!AI6</f>
        <v>147</v>
      </c>
      <c r="P3" s="362">
        <f>SUM(D3:O3)</f>
        <v>1852</v>
      </c>
      <c r="Q3" s="737"/>
      <c r="R3" s="737"/>
      <c r="S3" s="737"/>
      <c r="T3" s="737"/>
      <c r="U3" s="737"/>
      <c r="V3" s="737"/>
      <c r="W3" s="737"/>
    </row>
    <row r="4" spans="1:23">
      <c r="A4" s="737"/>
      <c r="B4" s="737"/>
      <c r="C4" s="498" t="s">
        <v>540</v>
      </c>
      <c r="D4" s="52">
        <f>ROUND(Produkty!$H$4/12,0)-1</f>
        <v>166</v>
      </c>
      <c r="E4" s="52">
        <f>ROUND(Produkty!$H$4/12,0)-1</f>
        <v>166</v>
      </c>
      <c r="F4" s="52">
        <f>ROUND(Produkty!$H$4/12,0)-1</f>
        <v>166</v>
      </c>
      <c r="G4" s="52">
        <f>ROUND(Produkty!$H$4/12,0)-1</f>
        <v>166</v>
      </c>
      <c r="H4" s="52">
        <f>ROUND(Produkty!$H$4/12,0)-1</f>
        <v>166</v>
      </c>
      <c r="I4" s="52">
        <f>ROUND(Produkty!$H$4/12,0)-1</f>
        <v>166</v>
      </c>
      <c r="J4" s="52">
        <f>ROUND(Produkty!$H$4/12,0)-1</f>
        <v>166</v>
      </c>
      <c r="K4" s="52">
        <f>ROUND(Produkty!$H$4/12,0)-1</f>
        <v>166</v>
      </c>
      <c r="L4" s="52">
        <f>ROUND(Produkty!$H$4/12,0)-1</f>
        <v>166</v>
      </c>
      <c r="M4" s="52">
        <f>ROUND(Produkty!$H$4/12,0)-1</f>
        <v>166</v>
      </c>
      <c r="N4" s="52">
        <f>ROUND(Produkty!$H$4/12,0)-1</f>
        <v>166</v>
      </c>
      <c r="O4" s="244">
        <f>ROUND(Produkty!$H$4/12,0)-1</f>
        <v>166</v>
      </c>
      <c r="P4" s="363">
        <f>SUM(D4:O4)</f>
        <v>1992</v>
      </c>
      <c r="Q4" s="737"/>
      <c r="R4" s="737"/>
      <c r="S4" s="737"/>
      <c r="T4" s="737"/>
      <c r="U4" s="737"/>
      <c r="V4" s="737"/>
      <c r="W4" s="737"/>
    </row>
    <row r="5" spans="1:23" ht="15" thickBot="1">
      <c r="A5" s="737"/>
      <c r="B5" s="737"/>
      <c r="C5" s="498" t="s">
        <v>541</v>
      </c>
      <c r="D5" s="512">
        <f>D4-D3</f>
        <v>96</v>
      </c>
      <c r="E5" s="512">
        <f t="shared" ref="E5:O5" si="0">E4-E3</f>
        <v>94</v>
      </c>
      <c r="F5" s="512">
        <f t="shared" si="0"/>
        <v>88</v>
      </c>
      <c r="G5" s="512">
        <f t="shared" si="0"/>
        <v>-45</v>
      </c>
      <c r="H5" s="512">
        <f t="shared" si="0"/>
        <v>-46</v>
      </c>
      <c r="I5" s="512">
        <f t="shared" si="0"/>
        <v>-49</v>
      </c>
      <c r="J5" s="512">
        <f t="shared" si="0"/>
        <v>-19</v>
      </c>
      <c r="K5" s="512">
        <f t="shared" si="0"/>
        <v>-19</v>
      </c>
      <c r="L5" s="512">
        <f t="shared" si="0"/>
        <v>-9</v>
      </c>
      <c r="M5" s="512">
        <f t="shared" si="0"/>
        <v>13</v>
      </c>
      <c r="N5" s="512">
        <f t="shared" si="0"/>
        <v>17</v>
      </c>
      <c r="O5" s="563">
        <f t="shared" si="0"/>
        <v>19</v>
      </c>
      <c r="P5" s="564"/>
      <c r="Q5" s="737"/>
      <c r="R5" s="737"/>
      <c r="S5" s="737"/>
      <c r="T5" s="737"/>
      <c r="U5" s="737"/>
      <c r="V5" s="737"/>
      <c r="W5" s="737"/>
    </row>
    <row r="6" spans="1:23" ht="15.75" thickBot="1">
      <c r="A6" s="737"/>
      <c r="B6" s="737"/>
      <c r="C6" s="1548" t="s">
        <v>542</v>
      </c>
      <c r="D6" s="1549"/>
      <c r="E6" s="1549"/>
      <c r="F6" s="1549"/>
      <c r="G6" s="1549"/>
      <c r="H6" s="1549"/>
      <c r="I6" s="1549"/>
      <c r="J6" s="1549"/>
      <c r="K6" s="1549"/>
      <c r="L6" s="1549"/>
      <c r="M6" s="1549"/>
      <c r="N6" s="1549"/>
      <c r="O6" s="1550"/>
      <c r="P6" s="513">
        <f>ABS(SUMIF(D5:O5,"&lt;0"))</f>
        <v>187</v>
      </c>
      <c r="Q6" s="737"/>
      <c r="R6" s="737"/>
      <c r="S6" s="737"/>
      <c r="T6" s="737"/>
      <c r="U6" s="737"/>
      <c r="V6" s="737"/>
      <c r="W6" s="737"/>
    </row>
    <row r="7" spans="1:23">
      <c r="A7" s="737"/>
      <c r="B7" s="737"/>
      <c r="C7" s="514"/>
      <c r="D7" s="515"/>
      <c r="E7" s="515"/>
      <c r="F7" s="515"/>
      <c r="G7" s="515"/>
      <c r="H7" s="515"/>
      <c r="I7" s="515"/>
      <c r="J7" s="515"/>
      <c r="K7" s="515"/>
      <c r="L7" s="515"/>
      <c r="M7" s="1551" t="s">
        <v>543</v>
      </c>
      <c r="N7" s="1552"/>
      <c r="O7" s="1552"/>
      <c r="P7" s="572"/>
      <c r="Q7" s="333"/>
      <c r="R7" s="333"/>
      <c r="S7" s="333"/>
      <c r="T7" s="333"/>
      <c r="U7" s="333"/>
      <c r="V7" s="333"/>
      <c r="W7" s="333"/>
    </row>
    <row r="8" spans="1:23" ht="15">
      <c r="A8" s="737"/>
      <c r="B8" s="737"/>
      <c r="C8" s="510" t="s">
        <v>129</v>
      </c>
      <c r="D8" s="499"/>
      <c r="E8" s="499"/>
      <c r="F8" s="500"/>
      <c r="G8" s="501"/>
      <c r="H8" s="501"/>
      <c r="I8" s="501"/>
      <c r="J8" s="501"/>
      <c r="K8" s="501"/>
      <c r="L8" s="501"/>
      <c r="M8" s="502">
        <f>ROUND('Záznamy o prodeji'!P20,0)+ROUND('Záznamy o prodeji'!P56,0)</f>
        <v>152</v>
      </c>
      <c r="N8" s="502">
        <f>ROUND('Záznamy o prodeji'!Q20,0)+ROUND('Záznamy o prodeji'!Q56,0)</f>
        <v>149</v>
      </c>
      <c r="O8" s="565">
        <f>ROUND('Záznamy o prodeji'!R20,0)+ROUND('Záznamy o prodeji'!R56,0)</f>
        <v>146</v>
      </c>
      <c r="P8" s="573"/>
      <c r="Q8" s="335"/>
      <c r="R8" s="335"/>
      <c r="S8" s="335"/>
      <c r="T8" s="335"/>
      <c r="U8" s="335"/>
      <c r="V8" s="333"/>
      <c r="W8" s="333"/>
    </row>
    <row r="9" spans="1:23">
      <c r="A9" s="737"/>
      <c r="B9" s="737"/>
      <c r="C9" s="511" t="s">
        <v>544</v>
      </c>
      <c r="D9" s="499"/>
      <c r="E9" s="499"/>
      <c r="F9" s="503"/>
      <c r="G9" s="504"/>
      <c r="H9" s="505"/>
      <c r="I9" s="505"/>
      <c r="J9" s="505"/>
      <c r="K9" s="500"/>
      <c r="L9" s="505"/>
      <c r="M9" s="506">
        <v>160</v>
      </c>
      <c r="N9" s="507">
        <v>155</v>
      </c>
      <c r="O9" s="566">
        <v>147</v>
      </c>
      <c r="P9" s="574" t="s">
        <v>545</v>
      </c>
      <c r="Q9" s="337"/>
      <c r="R9" s="338"/>
      <c r="S9" s="338"/>
      <c r="T9" s="338"/>
      <c r="U9" s="338"/>
      <c r="V9" s="333"/>
      <c r="W9" s="333"/>
    </row>
    <row r="10" spans="1:23" ht="15" thickBot="1">
      <c r="A10" s="737"/>
      <c r="B10" s="737"/>
      <c r="C10" s="516" t="s">
        <v>546</v>
      </c>
      <c r="D10" s="517"/>
      <c r="E10" s="517"/>
      <c r="F10" s="518"/>
      <c r="G10" s="518"/>
      <c r="H10" s="518"/>
      <c r="I10" s="518"/>
      <c r="J10" s="518"/>
      <c r="K10" s="518"/>
      <c r="L10" s="518"/>
      <c r="M10" s="519">
        <f>M9-M8</f>
        <v>8</v>
      </c>
      <c r="N10" s="519">
        <f t="shared" ref="N10:O10" si="1">N9-N8</f>
        <v>6</v>
      </c>
      <c r="O10" s="567">
        <f t="shared" si="1"/>
        <v>1</v>
      </c>
      <c r="P10" s="575">
        <f>SUM(M10:O10)</f>
        <v>15</v>
      </c>
      <c r="Q10" s="333"/>
      <c r="R10" s="333"/>
      <c r="S10" s="333"/>
      <c r="T10" s="333"/>
      <c r="U10" s="333"/>
      <c r="V10" s="333"/>
      <c r="W10" s="333"/>
    </row>
    <row r="11" spans="1:23" ht="15" thickBot="1">
      <c r="A11" s="737"/>
      <c r="B11" s="737"/>
      <c r="C11" s="520"/>
      <c r="D11" s="1553" t="s">
        <v>547</v>
      </c>
      <c r="E11" s="1554"/>
      <c r="F11" s="1555"/>
      <c r="G11" s="515"/>
      <c r="H11" s="515"/>
      <c r="I11" s="515"/>
      <c r="J11" s="515"/>
      <c r="K11" s="515"/>
      <c r="L11" s="515"/>
      <c r="M11" s="515"/>
      <c r="N11" s="515"/>
      <c r="O11" s="568"/>
      <c r="P11" s="576"/>
      <c r="Q11" s="337"/>
      <c r="R11" s="338"/>
      <c r="S11" s="338"/>
      <c r="T11" s="338"/>
      <c r="U11" s="338"/>
      <c r="V11" s="333"/>
      <c r="W11" s="333"/>
    </row>
    <row r="12" spans="1:23">
      <c r="A12" s="737"/>
      <c r="B12" s="737"/>
      <c r="C12" s="511" t="s">
        <v>544</v>
      </c>
      <c r="D12" s="508">
        <f>D17</f>
        <v>152</v>
      </c>
      <c r="E12" s="508">
        <f t="shared" ref="E12:F12" si="2">E17</f>
        <v>158</v>
      </c>
      <c r="F12" s="508">
        <f t="shared" si="2"/>
        <v>156</v>
      </c>
      <c r="G12" s="499"/>
      <c r="H12" s="1537" t="s">
        <v>548</v>
      </c>
      <c r="I12" s="1538"/>
      <c r="J12" s="1538"/>
      <c r="K12" s="1539"/>
      <c r="L12" s="499"/>
      <c r="M12" s="499"/>
      <c r="N12" s="499"/>
      <c r="O12" s="569"/>
      <c r="P12" s="576"/>
      <c r="Q12" s="333"/>
      <c r="R12" s="333"/>
      <c r="S12" s="333"/>
      <c r="T12" s="333"/>
      <c r="U12" s="333"/>
      <c r="V12" s="333"/>
      <c r="W12" s="333"/>
    </row>
    <row r="13" spans="1:23">
      <c r="A13" s="737"/>
      <c r="B13" s="737"/>
      <c r="C13" s="511" t="s">
        <v>546</v>
      </c>
      <c r="D13" s="509">
        <f>D12-D3</f>
        <v>82</v>
      </c>
      <c r="E13" s="509">
        <f t="shared" ref="E13:F13" si="3">E12-E3</f>
        <v>86</v>
      </c>
      <c r="F13" s="509">
        <f t="shared" si="3"/>
        <v>78</v>
      </c>
      <c r="G13" s="499"/>
      <c r="H13" s="1540" t="str">
        <f>IF(F14&gt;P6,"ANO","NE")</f>
        <v>ANO</v>
      </c>
      <c r="I13" s="1541"/>
      <c r="J13" s="1541"/>
      <c r="K13" s="1542"/>
      <c r="L13" s="499"/>
      <c r="M13" s="499"/>
      <c r="N13" s="499"/>
      <c r="O13" s="569"/>
      <c r="P13" s="573"/>
      <c r="Q13" s="337"/>
      <c r="R13" s="338"/>
      <c r="S13" s="338"/>
      <c r="T13" s="338"/>
      <c r="U13" s="338"/>
      <c r="V13" s="333"/>
      <c r="W13" s="333"/>
    </row>
    <row r="14" spans="1:23" ht="15" thickBot="1">
      <c r="A14" s="737"/>
      <c r="B14" s="737"/>
      <c r="C14" s="521" t="s">
        <v>549</v>
      </c>
      <c r="D14" s="512">
        <f>P10+D13</f>
        <v>97</v>
      </c>
      <c r="E14" s="522">
        <f>D14+E13</f>
        <v>183</v>
      </c>
      <c r="F14" s="522">
        <f>E14+F13</f>
        <v>261</v>
      </c>
      <c r="G14" s="523"/>
      <c r="H14" s="1543" t="s">
        <v>550</v>
      </c>
      <c r="I14" s="1544"/>
      <c r="J14" s="1544"/>
      <c r="K14" s="524">
        <f>F14-P6</f>
        <v>74</v>
      </c>
      <c r="L14" s="523"/>
      <c r="M14" s="523"/>
      <c r="N14" s="523"/>
      <c r="O14" s="570"/>
      <c r="P14" s="577"/>
      <c r="Q14" s="333"/>
      <c r="R14" s="333"/>
      <c r="S14" s="333"/>
      <c r="T14" s="333"/>
      <c r="U14" s="333"/>
      <c r="V14" s="333"/>
      <c r="W14" s="333"/>
    </row>
    <row r="15" spans="1:23" customFormat="1" ht="15" thickBot="1">
      <c r="A15" s="737"/>
      <c r="B15" s="737"/>
      <c r="C15" s="525"/>
      <c r="D15" s="526"/>
      <c r="E15" s="526"/>
      <c r="F15" s="526"/>
      <c r="G15" s="526"/>
      <c r="H15" s="526"/>
      <c r="I15" s="526"/>
      <c r="J15" s="526"/>
      <c r="K15" s="526"/>
      <c r="L15" s="526"/>
      <c r="M15" s="526"/>
      <c r="N15" s="526"/>
      <c r="O15" s="571"/>
      <c r="P15" s="578"/>
      <c r="Q15" s="737"/>
      <c r="R15" s="737"/>
      <c r="S15" s="737"/>
      <c r="T15" s="737"/>
      <c r="U15" s="737"/>
      <c r="V15" s="737"/>
      <c r="W15" s="737"/>
    </row>
    <row r="16" spans="1:23" ht="24" customHeight="1" thickBot="1">
      <c r="A16" s="737"/>
      <c r="B16" s="737"/>
      <c r="C16" s="356" t="s">
        <v>511</v>
      </c>
      <c r="D16" s="355">
        <v>1</v>
      </c>
      <c r="E16" s="355">
        <v>2</v>
      </c>
      <c r="F16" s="355">
        <v>3</v>
      </c>
      <c r="G16" s="355">
        <v>4</v>
      </c>
      <c r="H16" s="355">
        <v>5</v>
      </c>
      <c r="I16" s="355">
        <v>6</v>
      </c>
      <c r="J16" s="355">
        <v>7</v>
      </c>
      <c r="K16" s="355">
        <v>8</v>
      </c>
      <c r="L16" s="355">
        <v>9</v>
      </c>
      <c r="M16" s="355">
        <v>10</v>
      </c>
      <c r="N16" s="355">
        <v>11</v>
      </c>
      <c r="O16" s="364">
        <v>12</v>
      </c>
      <c r="P16" s="357" t="s">
        <v>512</v>
      </c>
      <c r="Q16" s="337"/>
      <c r="R16" s="338"/>
      <c r="S16" s="338"/>
      <c r="T16" s="338"/>
      <c r="U16" s="338"/>
      <c r="V16" s="333"/>
      <c r="W16" s="333"/>
    </row>
    <row r="17" spans="3:23" ht="21" customHeight="1" thickBot="1">
      <c r="C17" s="585" t="s">
        <v>551</v>
      </c>
      <c r="D17" s="579">
        <v>152</v>
      </c>
      <c r="E17" s="580">
        <v>158</v>
      </c>
      <c r="F17" s="580">
        <v>156</v>
      </c>
      <c r="G17" s="580">
        <v>160</v>
      </c>
      <c r="H17" s="580">
        <v>162</v>
      </c>
      <c r="I17" s="580">
        <v>160</v>
      </c>
      <c r="J17" s="580">
        <v>132</v>
      </c>
      <c r="K17" s="580">
        <v>136</v>
      </c>
      <c r="L17" s="580">
        <v>156</v>
      </c>
      <c r="M17" s="580">
        <v>160</v>
      </c>
      <c r="N17" s="580">
        <v>154</v>
      </c>
      <c r="O17" s="580">
        <v>148</v>
      </c>
      <c r="P17" s="584">
        <f>SUM(D17:O17)</f>
        <v>1834</v>
      </c>
      <c r="Q17" s="333"/>
      <c r="R17" s="333" t="s">
        <v>552</v>
      </c>
      <c r="S17" s="333"/>
      <c r="T17" s="333"/>
      <c r="U17" s="333"/>
      <c r="V17" s="333"/>
      <c r="W17" s="333"/>
    </row>
    <row r="18" spans="3:23" ht="15" thickBot="1">
      <c r="C18" s="582" t="s">
        <v>553</v>
      </c>
      <c r="D18" s="581">
        <f>Sklad!P8</f>
        <v>117</v>
      </c>
      <c r="E18" s="581">
        <f>Sklad!Q8</f>
        <v>203</v>
      </c>
      <c r="F18" s="581">
        <f>Sklad!R8</f>
        <v>281</v>
      </c>
      <c r="G18" s="581">
        <f>Sklad!S8</f>
        <v>230</v>
      </c>
      <c r="H18" s="581">
        <f>Sklad!T8</f>
        <v>180</v>
      </c>
      <c r="I18" s="581">
        <f>Sklad!U8</f>
        <v>125</v>
      </c>
      <c r="J18" s="581">
        <f>Sklad!V8</f>
        <v>72</v>
      </c>
      <c r="K18" s="581">
        <f>Sklad!W8</f>
        <v>23</v>
      </c>
      <c r="L18" s="581">
        <f>Sklad!X8</f>
        <v>4</v>
      </c>
      <c r="M18" s="581">
        <f>Sklad!Y8</f>
        <v>11</v>
      </c>
      <c r="N18" s="581">
        <f>Sklad!Z8</f>
        <v>16</v>
      </c>
      <c r="O18" s="581">
        <f>Sklad!AA8</f>
        <v>17</v>
      </c>
      <c r="P18" s="583"/>
      <c r="Q18" s="333"/>
      <c r="R18" s="333"/>
      <c r="S18" s="333"/>
      <c r="T18" s="333"/>
      <c r="U18" s="333"/>
      <c r="V18" s="333"/>
      <c r="W18" s="333"/>
    </row>
    <row r="19" spans="3:23">
      <c r="C19" s="737"/>
      <c r="D19" s="737"/>
      <c r="E19" s="333"/>
      <c r="F19" s="333"/>
      <c r="G19" s="333"/>
      <c r="H19" s="333"/>
      <c r="I19" s="333"/>
      <c r="J19" s="333"/>
      <c r="K19" s="333"/>
      <c r="L19" s="333"/>
      <c r="M19" s="333"/>
      <c r="N19" s="333"/>
      <c r="O19" s="333"/>
      <c r="P19" s="333"/>
      <c r="Q19" s="333"/>
      <c r="R19" s="333"/>
      <c r="S19" s="333"/>
      <c r="T19" s="333"/>
      <c r="U19" s="333"/>
      <c r="V19" s="333"/>
      <c r="W19" s="333"/>
    </row>
    <row r="20" spans="3:23">
      <c r="C20" s="737"/>
      <c r="D20" s="737"/>
      <c r="E20" s="333"/>
      <c r="F20" s="333"/>
      <c r="G20" s="333"/>
      <c r="H20" s="333"/>
      <c r="I20" s="333"/>
      <c r="J20" s="333"/>
      <c r="K20" s="333"/>
      <c r="L20" s="333"/>
      <c r="M20" s="333"/>
      <c r="N20" s="333"/>
      <c r="O20" s="333"/>
      <c r="P20" s="333"/>
      <c r="Q20" s="333"/>
      <c r="R20" s="333"/>
      <c r="S20" s="333"/>
      <c r="T20" s="333"/>
      <c r="U20" s="333"/>
      <c r="V20" s="333"/>
      <c r="W20" s="333"/>
    </row>
    <row r="21" spans="3:23">
      <c r="C21" s="737"/>
      <c r="D21" s="737"/>
      <c r="E21" s="333"/>
      <c r="F21" s="333"/>
      <c r="G21" s="333"/>
      <c r="H21" s="333"/>
      <c r="I21" s="333"/>
      <c r="J21" s="333"/>
      <c r="K21" s="333"/>
      <c r="L21" s="333"/>
      <c r="M21" s="333"/>
      <c r="N21" s="333"/>
      <c r="O21" s="333"/>
      <c r="P21" s="333"/>
      <c r="Q21" s="333"/>
      <c r="R21" s="333"/>
      <c r="S21" s="333"/>
      <c r="T21" s="333"/>
      <c r="U21" s="333"/>
      <c r="V21" s="333"/>
      <c r="W21" s="333"/>
    </row>
    <row r="22" spans="3:23">
      <c r="C22" s="737"/>
      <c r="D22" s="737"/>
      <c r="E22" s="333"/>
      <c r="F22" s="333"/>
      <c r="G22" s="333"/>
      <c r="H22" s="333"/>
      <c r="I22" s="333"/>
      <c r="J22" s="333"/>
      <c r="K22" s="333"/>
      <c r="L22" s="333"/>
      <c r="M22" s="333"/>
      <c r="N22" s="333"/>
      <c r="O22" s="333"/>
      <c r="P22" s="333"/>
      <c r="Q22" s="333"/>
      <c r="R22" s="333"/>
      <c r="S22" s="333"/>
      <c r="T22" s="333"/>
      <c r="U22" s="333"/>
      <c r="V22" s="333"/>
      <c r="W22" s="333"/>
    </row>
    <row r="23" spans="3:23">
      <c r="C23" s="737"/>
      <c r="D23" s="737"/>
      <c r="E23" s="333"/>
      <c r="F23" s="333"/>
      <c r="G23" s="333"/>
      <c r="H23" s="333"/>
      <c r="I23" s="333"/>
      <c r="J23" s="333"/>
      <c r="K23" s="333"/>
      <c r="L23" s="333"/>
      <c r="M23" s="333"/>
      <c r="N23" s="333"/>
      <c r="O23" s="333"/>
      <c r="P23" s="333"/>
      <c r="Q23" s="333"/>
      <c r="R23" s="333"/>
      <c r="S23" s="333"/>
      <c r="T23" s="333"/>
      <c r="U23" s="333"/>
      <c r="V23" s="333"/>
      <c r="W23" s="333"/>
    </row>
    <row r="24" spans="3:23">
      <c r="C24" s="737"/>
      <c r="D24" s="737"/>
      <c r="E24" s="333"/>
      <c r="F24" s="333"/>
      <c r="G24" s="333"/>
      <c r="H24" s="333"/>
      <c r="I24" s="333"/>
      <c r="J24" s="333"/>
      <c r="K24" s="333"/>
      <c r="L24" s="333"/>
      <c r="M24" s="333"/>
      <c r="N24" s="333"/>
      <c r="O24" s="333"/>
      <c r="P24" s="333"/>
      <c r="Q24" s="333"/>
      <c r="R24" s="333"/>
      <c r="S24" s="333"/>
      <c r="T24" s="333"/>
      <c r="U24" s="333"/>
      <c r="V24" s="333"/>
      <c r="W24" s="333"/>
    </row>
  </sheetData>
  <customSheetViews>
    <customSheetView guid="{F9015B81-4D5E-47E3-BFA8-A54438E9D1FF}" scale="70" showGridLines="0">
      <pageMargins left="0.7" right="0.7" top="0.78740157499999996" bottom="0.78740157499999996" header="0.3" footer="0.3"/>
    </customSheetView>
  </customSheetViews>
  <mergeCells count="7">
    <mergeCell ref="H12:K12"/>
    <mergeCell ref="H13:K13"/>
    <mergeCell ref="H14:J14"/>
    <mergeCell ref="C1:P1"/>
    <mergeCell ref="C6:O6"/>
    <mergeCell ref="M7:O7"/>
    <mergeCell ref="D11:F11"/>
  </mergeCells>
  <conditionalFormatting sqref="D5:O5">
    <cfRule type="cellIs" dxfId="4" priority="3" operator="lessThan">
      <formula>0</formula>
    </cfRule>
  </conditionalFormatting>
  <conditionalFormatting sqref="H13:K13">
    <cfRule type="containsText" dxfId="3" priority="1" operator="containsText" text="NE">
      <formula>NOT(ISERROR(SEARCH("NE",H13)))</formula>
    </cfRule>
    <cfRule type="containsText" dxfId="2" priority="2" operator="containsText" text="ANO">
      <formula>NOT(ISERROR(SEARCH("ANO",H13)))</formula>
    </cfRule>
  </conditionalFormatting>
  <hyperlinks>
    <hyperlink ref="A1" location="MENU!A1" display="MENU" xr:uid="{BB100722-3707-4440-BDE8-EFB7C1AD087B}"/>
  </hyperlinks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1D90A-D9CD-473F-A329-2A58219C96B1}">
  <sheetPr>
    <tabColor rgb="FFFFC000"/>
  </sheetPr>
  <dimension ref="A1:AA27"/>
  <sheetViews>
    <sheetView showGridLines="0" topLeftCell="G1" zoomScale="70" zoomScaleNormal="70" workbookViewId="0">
      <selection activeCell="V19" sqref="V19"/>
    </sheetView>
  </sheetViews>
  <sheetFormatPr defaultColWidth="8.77734375" defaultRowHeight="14.25" outlineLevelCol="1"/>
  <cols>
    <col min="1" max="1" width="11.33203125" style="55" bestFit="1" customWidth="1"/>
    <col min="2" max="2" width="7.44140625" style="55" customWidth="1"/>
    <col min="3" max="3" width="15" style="55" customWidth="1"/>
    <col min="4" max="6" width="9.77734375" style="55" customWidth="1" outlineLevel="1"/>
    <col min="7" max="7" width="9.77734375" style="55" customWidth="1"/>
    <col min="8" max="10" width="9.77734375" style="55" customWidth="1" outlineLevel="1"/>
    <col min="11" max="11" width="9.77734375" style="55" customWidth="1"/>
    <col min="12" max="14" width="9.77734375" style="55" customWidth="1" outlineLevel="1"/>
    <col min="15" max="15" width="9.77734375" style="55" customWidth="1"/>
    <col min="16" max="18" width="9.77734375" style="55" customWidth="1" outlineLevel="1"/>
    <col min="19" max="19" width="9.77734375" style="55" customWidth="1"/>
    <col min="20" max="20" width="19.21875" style="55" customWidth="1"/>
    <col min="21" max="21" width="17.77734375" style="55" customWidth="1"/>
    <col min="22" max="22" width="15.109375" style="55" customWidth="1"/>
    <col min="23" max="23" width="13.33203125" style="55" customWidth="1"/>
    <col min="24" max="16384" width="8.77734375" style="55"/>
  </cols>
  <sheetData>
    <row r="1" spans="1:27" ht="22.5" customHeight="1" thickBot="1">
      <c r="A1" s="107" t="s">
        <v>1</v>
      </c>
      <c r="B1" s="737"/>
      <c r="C1" s="1556" t="s">
        <v>554</v>
      </c>
      <c r="D1" s="1557"/>
      <c r="E1" s="1557"/>
      <c r="F1" s="1557"/>
      <c r="G1" s="1557"/>
      <c r="H1" s="1557"/>
      <c r="I1" s="1557"/>
      <c r="J1" s="1557"/>
      <c r="K1" s="1557"/>
      <c r="L1" s="1557"/>
      <c r="M1" s="1557"/>
      <c r="N1" s="1557"/>
      <c r="O1" s="1557"/>
      <c r="P1" s="1557"/>
      <c r="Q1" s="1557"/>
      <c r="R1" s="1557"/>
      <c r="S1" s="1557"/>
      <c r="T1" s="1558"/>
      <c r="U1" s="737"/>
      <c r="V1" s="737"/>
      <c r="W1" s="737"/>
      <c r="X1" s="737"/>
      <c r="Y1" s="737"/>
      <c r="Z1" s="737"/>
      <c r="AA1" s="737"/>
    </row>
    <row r="2" spans="1:27" ht="23.25" customHeight="1" thickBot="1">
      <c r="A2" s="737"/>
      <c r="B2" s="737"/>
      <c r="C2" s="356" t="s">
        <v>555</v>
      </c>
      <c r="D2" s="355">
        <v>1</v>
      </c>
      <c r="E2" s="355">
        <v>2</v>
      </c>
      <c r="F2" s="355">
        <v>3</v>
      </c>
      <c r="G2" s="355" t="s">
        <v>258</v>
      </c>
      <c r="H2" s="355">
        <v>4</v>
      </c>
      <c r="I2" s="355">
        <v>5</v>
      </c>
      <c r="J2" s="355">
        <v>6</v>
      </c>
      <c r="K2" s="355" t="s">
        <v>262</v>
      </c>
      <c r="L2" s="355">
        <v>7</v>
      </c>
      <c r="M2" s="355">
        <v>8</v>
      </c>
      <c r="N2" s="355">
        <v>9</v>
      </c>
      <c r="O2" s="355" t="s">
        <v>266</v>
      </c>
      <c r="P2" s="355">
        <v>10</v>
      </c>
      <c r="Q2" s="355">
        <v>11</v>
      </c>
      <c r="R2" s="355">
        <v>12</v>
      </c>
      <c r="S2" s="355" t="s">
        <v>270</v>
      </c>
      <c r="T2" s="459" t="s">
        <v>512</v>
      </c>
      <c r="U2" s="455" t="s">
        <v>556</v>
      </c>
      <c r="V2" s="455" t="s">
        <v>557</v>
      </c>
      <c r="W2" s="455" t="s">
        <v>558</v>
      </c>
      <c r="X2" s="737"/>
      <c r="Y2" s="737"/>
      <c r="Z2" s="737"/>
      <c r="AA2" s="737"/>
    </row>
    <row r="3" spans="1:27" ht="16.5" customHeight="1" thickBot="1">
      <c r="A3" s="737"/>
      <c r="B3" s="737"/>
      <c r="C3" s="712" t="s">
        <v>309</v>
      </c>
      <c r="D3" s="711">
        <f t="shared" ref="D3:R3" si="0">SUM(D4:D8)</f>
        <v>6510434.2795000002</v>
      </c>
      <c r="E3" s="711">
        <f t="shared" si="0"/>
        <v>6815302.4249999998</v>
      </c>
      <c r="F3" s="711">
        <f t="shared" si="0"/>
        <v>8312595.8624999998</v>
      </c>
      <c r="G3" s="715">
        <f t="shared" ref="G3:G14" si="1">SUM(D3:F3)</f>
        <v>21638332.567000002</v>
      </c>
      <c r="H3" s="711">
        <f t="shared" si="0"/>
        <v>6915302.4249999998</v>
      </c>
      <c r="I3" s="711">
        <f t="shared" si="0"/>
        <v>6815302.4249999998</v>
      </c>
      <c r="J3" s="711">
        <f t="shared" si="0"/>
        <v>8312595.8624999998</v>
      </c>
      <c r="K3" s="715">
        <f t="shared" ref="K3:K14" si="2">SUM(H3:J3)</f>
        <v>22043200.712499999</v>
      </c>
      <c r="L3" s="711">
        <f t="shared" si="0"/>
        <v>7073302.4249999998</v>
      </c>
      <c r="M3" s="711">
        <f t="shared" si="0"/>
        <v>6815302.4249999998</v>
      </c>
      <c r="N3" s="711">
        <f t="shared" si="0"/>
        <v>8312595.8624999998</v>
      </c>
      <c r="O3" s="715">
        <f t="shared" ref="O3:O14" si="3">SUM(L3:N3)</f>
        <v>22201200.712499999</v>
      </c>
      <c r="P3" s="711">
        <f t="shared" si="0"/>
        <v>6915302.4249999998</v>
      </c>
      <c r="Q3" s="711">
        <f t="shared" si="0"/>
        <v>6815302.4249999998</v>
      </c>
      <c r="R3" s="711">
        <f t="shared" si="0"/>
        <v>8312595.8624999998</v>
      </c>
      <c r="S3" s="715">
        <f t="shared" ref="S3:S14" si="4">SUM(P3:R3)</f>
        <v>22043200.712499999</v>
      </c>
      <c r="T3" s="713">
        <f>G3+K3+O3+S3</f>
        <v>87925934.70449999</v>
      </c>
      <c r="U3" s="771">
        <v>7680173</v>
      </c>
      <c r="V3" s="444">
        <f>'Roční Rozpočet '!C4</f>
        <v>88330802.849999994</v>
      </c>
      <c r="W3" s="737"/>
      <c r="X3" s="737"/>
      <c r="Y3" s="737"/>
      <c r="Z3" s="737"/>
      <c r="AA3" s="737"/>
    </row>
    <row r="4" spans="1:27" ht="15" thickBot="1">
      <c r="A4" s="737"/>
      <c r="B4" s="737"/>
      <c r="C4" s="368" t="s">
        <v>275</v>
      </c>
      <c r="D4" s="384">
        <f>'Roční Rozpočet '!$C$5/12*0.94</f>
        <v>4691519.4375</v>
      </c>
      <c r="E4" s="393">
        <f>'Roční Rozpočet '!$C$5/12</f>
        <v>4990978.125</v>
      </c>
      <c r="F4" s="393">
        <f>'Roční Rozpočet '!$C$5/12</f>
        <v>4990978.125</v>
      </c>
      <c r="G4" s="716">
        <f t="shared" si="1"/>
        <v>14673475.6875</v>
      </c>
      <c r="H4" s="393">
        <f>'Roční Rozpočet '!$C$5/12</f>
        <v>4990978.125</v>
      </c>
      <c r="I4" s="393">
        <f>'Roční Rozpočet '!$C$5/12</f>
        <v>4990978.125</v>
      </c>
      <c r="J4" s="393">
        <f>'Roční Rozpočet '!$C$5/12</f>
        <v>4990978.125</v>
      </c>
      <c r="K4" s="716">
        <f t="shared" si="2"/>
        <v>14972934.375</v>
      </c>
      <c r="L4" s="393">
        <f>'Roční Rozpočet '!$C$5/12</f>
        <v>4990978.125</v>
      </c>
      <c r="M4" s="393">
        <f>'Roční Rozpočet '!$C$5/12</f>
        <v>4990978.125</v>
      </c>
      <c r="N4" s="393">
        <f>'Roční Rozpočet '!$C$5/12</f>
        <v>4990978.125</v>
      </c>
      <c r="O4" s="716">
        <f t="shared" si="3"/>
        <v>14972934.375</v>
      </c>
      <c r="P4" s="393">
        <f>'Roční Rozpočet '!$C$5/12</f>
        <v>4990978.125</v>
      </c>
      <c r="Q4" s="393">
        <f>'Roční Rozpočet '!$C$5/12</f>
        <v>4990978.125</v>
      </c>
      <c r="R4" s="393">
        <f>'Roční Rozpočet '!$C$5/12</f>
        <v>4990978.125</v>
      </c>
      <c r="S4" s="716">
        <f t="shared" si="4"/>
        <v>14972934.375</v>
      </c>
      <c r="T4" s="713">
        <f t="shared" ref="T4:T26" si="5">G4+K4+O4+S4</f>
        <v>59592278.8125</v>
      </c>
      <c r="U4" s="737"/>
      <c r="V4" s="444">
        <f>'Roční Rozpočet '!C5</f>
        <v>59891737.5</v>
      </c>
      <c r="W4" s="737" t="s">
        <v>559</v>
      </c>
      <c r="X4" s="737"/>
      <c r="Y4" s="737"/>
      <c r="Z4" s="737"/>
      <c r="AA4" s="737"/>
    </row>
    <row r="5" spans="1:27" ht="15" thickBot="1">
      <c r="A5" s="737"/>
      <c r="B5" s="737"/>
      <c r="C5" s="365" t="s">
        <v>560</v>
      </c>
      <c r="D5" s="385">
        <f>'Roční Rozpočet '!$C$6/12*0.94</f>
        <v>1651414.8419999997</v>
      </c>
      <c r="E5" s="395">
        <f>'Roční Rozpočet '!$C$6/12</f>
        <v>1756824.2999999998</v>
      </c>
      <c r="F5" s="395">
        <f>'Roční Rozpočet '!$C$6/12</f>
        <v>1756824.2999999998</v>
      </c>
      <c r="G5" s="717">
        <f t="shared" si="1"/>
        <v>5165063.4419999998</v>
      </c>
      <c r="H5" s="395">
        <f>'Roční Rozpočet '!$C$6/12</f>
        <v>1756824.2999999998</v>
      </c>
      <c r="I5" s="395">
        <f>'Roční Rozpočet '!$C$6/12</f>
        <v>1756824.2999999998</v>
      </c>
      <c r="J5" s="395">
        <f>'Roční Rozpočet '!$C$6/12</f>
        <v>1756824.2999999998</v>
      </c>
      <c r="K5" s="717">
        <f t="shared" si="2"/>
        <v>5270472.8999999994</v>
      </c>
      <c r="L5" s="395">
        <f>'Roční Rozpočet '!$C$6/12</f>
        <v>1756824.2999999998</v>
      </c>
      <c r="M5" s="395">
        <f>'Roční Rozpočet '!$C$6/12</f>
        <v>1756824.2999999998</v>
      </c>
      <c r="N5" s="395">
        <f>'Roční Rozpočet '!$C$6/12</f>
        <v>1756824.2999999998</v>
      </c>
      <c r="O5" s="717">
        <f t="shared" si="3"/>
        <v>5270472.8999999994</v>
      </c>
      <c r="P5" s="395">
        <f>'Roční Rozpočet '!$C$6/12</f>
        <v>1756824.2999999998</v>
      </c>
      <c r="Q5" s="395">
        <f>'Roční Rozpočet '!$C$6/12</f>
        <v>1756824.2999999998</v>
      </c>
      <c r="R5" s="395">
        <f>'Roční Rozpočet '!$C$6/12</f>
        <v>1756824.2999999998</v>
      </c>
      <c r="S5" s="717">
        <f t="shared" si="4"/>
        <v>5270472.8999999994</v>
      </c>
      <c r="T5" s="713">
        <f t="shared" si="5"/>
        <v>20976482.141999997</v>
      </c>
      <c r="U5" s="737"/>
      <c r="V5" s="444">
        <f>'Roční Rozpočet '!C6</f>
        <v>21081891.599999998</v>
      </c>
      <c r="W5" s="737"/>
      <c r="X5" s="737"/>
      <c r="Y5" s="737"/>
      <c r="Z5" s="737"/>
      <c r="AA5" s="737"/>
    </row>
    <row r="6" spans="1:27" ht="15" thickBot="1">
      <c r="A6" s="737"/>
      <c r="B6" s="737"/>
      <c r="C6" s="366" t="s">
        <v>561</v>
      </c>
      <c r="D6" s="385"/>
      <c r="E6" s="386"/>
      <c r="F6" s="386">
        <f>'Roční Rozpočet '!$C$7/4</f>
        <v>1497293.4375</v>
      </c>
      <c r="G6" s="718">
        <f t="shared" si="1"/>
        <v>1497293.4375</v>
      </c>
      <c r="H6" s="386"/>
      <c r="I6" s="386"/>
      <c r="J6" s="386">
        <f>'Roční Rozpočet '!$C$7/4</f>
        <v>1497293.4375</v>
      </c>
      <c r="K6" s="718">
        <f t="shared" si="2"/>
        <v>1497293.4375</v>
      </c>
      <c r="L6" s="386"/>
      <c r="M6" s="386"/>
      <c r="N6" s="386">
        <f>'Roční Rozpočet '!$C$7/4</f>
        <v>1497293.4375</v>
      </c>
      <c r="O6" s="718">
        <f t="shared" si="3"/>
        <v>1497293.4375</v>
      </c>
      <c r="P6" s="386"/>
      <c r="Q6" s="386"/>
      <c r="R6" s="394">
        <f>'Roční Rozpočet '!$C$7/4</f>
        <v>1497293.4375</v>
      </c>
      <c r="S6" s="718">
        <f t="shared" si="4"/>
        <v>1497293.4375</v>
      </c>
      <c r="T6" s="713">
        <f t="shared" si="5"/>
        <v>5989173.75</v>
      </c>
      <c r="U6" s="737"/>
      <c r="V6" s="444">
        <f>'Roční Rozpočet '!C7</f>
        <v>5989173.75</v>
      </c>
      <c r="W6" s="737"/>
      <c r="X6" s="737"/>
      <c r="Y6" s="737"/>
      <c r="Z6" s="737"/>
      <c r="AA6" s="737"/>
    </row>
    <row r="7" spans="1:27" ht="15" thickBot="1">
      <c r="A7" s="737"/>
      <c r="B7" s="737"/>
      <c r="C7" s="366" t="s">
        <v>562</v>
      </c>
      <c r="D7" s="385">
        <f>(V7-L7)/3</f>
        <v>100000</v>
      </c>
      <c r="E7" s="386"/>
      <c r="F7" s="387"/>
      <c r="G7" s="719">
        <f t="shared" si="1"/>
        <v>100000</v>
      </c>
      <c r="H7" s="387">
        <f>(V7-L7)/3</f>
        <v>100000</v>
      </c>
      <c r="I7" s="387"/>
      <c r="J7" s="387"/>
      <c r="K7" s="719">
        <f t="shared" si="2"/>
        <v>100000</v>
      </c>
      <c r="L7" s="387">
        <f>V7-300000</f>
        <v>258000</v>
      </c>
      <c r="M7" s="387"/>
      <c r="N7" s="387"/>
      <c r="O7" s="719">
        <f t="shared" si="3"/>
        <v>258000</v>
      </c>
      <c r="P7" s="387">
        <f>(V7-L7)/3</f>
        <v>100000</v>
      </c>
      <c r="Q7" s="387"/>
      <c r="R7" s="388"/>
      <c r="S7" s="719">
        <f t="shared" si="4"/>
        <v>100000</v>
      </c>
      <c r="T7" s="713">
        <f t="shared" si="5"/>
        <v>558000</v>
      </c>
      <c r="U7" s="333"/>
      <c r="V7" s="444">
        <f>'Roční Rozpočet '!C8</f>
        <v>558000</v>
      </c>
      <c r="W7" s="333" t="s">
        <v>563</v>
      </c>
      <c r="X7" s="333"/>
      <c r="Y7" s="333"/>
      <c r="Z7" s="333"/>
      <c r="AA7" s="333"/>
    </row>
    <row r="8" spans="1:27" ht="15.75" thickBot="1">
      <c r="A8" s="737"/>
      <c r="B8" s="737"/>
      <c r="C8" s="367" t="s">
        <v>564</v>
      </c>
      <c r="D8" s="389">
        <f>$V$8/12</f>
        <v>67500</v>
      </c>
      <c r="E8" s="389">
        <f t="shared" ref="E8:R8" si="6">$V$8/12</f>
        <v>67500</v>
      </c>
      <c r="F8" s="389">
        <f t="shared" si="6"/>
        <v>67500</v>
      </c>
      <c r="G8" s="720">
        <f t="shared" si="1"/>
        <v>202500</v>
      </c>
      <c r="H8" s="389">
        <f t="shared" si="6"/>
        <v>67500</v>
      </c>
      <c r="I8" s="389">
        <f t="shared" si="6"/>
        <v>67500</v>
      </c>
      <c r="J8" s="389">
        <f t="shared" si="6"/>
        <v>67500</v>
      </c>
      <c r="K8" s="720">
        <f t="shared" si="2"/>
        <v>202500</v>
      </c>
      <c r="L8" s="389">
        <f t="shared" si="6"/>
        <v>67500</v>
      </c>
      <c r="M8" s="389">
        <f t="shared" si="6"/>
        <v>67500</v>
      </c>
      <c r="N8" s="389">
        <f t="shared" si="6"/>
        <v>67500</v>
      </c>
      <c r="O8" s="720">
        <f t="shared" si="3"/>
        <v>202500</v>
      </c>
      <c r="P8" s="389">
        <f t="shared" si="6"/>
        <v>67500</v>
      </c>
      <c r="Q8" s="389">
        <f t="shared" si="6"/>
        <v>67500</v>
      </c>
      <c r="R8" s="389">
        <f t="shared" si="6"/>
        <v>67500</v>
      </c>
      <c r="S8" s="720">
        <f t="shared" si="4"/>
        <v>202500</v>
      </c>
      <c r="T8" s="713">
        <f t="shared" si="5"/>
        <v>810000</v>
      </c>
      <c r="U8" s="335"/>
      <c r="V8" s="444">
        <f>'Roční Rozpočet '!C9</f>
        <v>810000</v>
      </c>
      <c r="W8" s="335"/>
      <c r="X8" s="335"/>
      <c r="Y8" s="335"/>
      <c r="Z8" s="333"/>
      <c r="AA8" s="333"/>
    </row>
    <row r="9" spans="1:27" ht="15" thickBot="1">
      <c r="A9" s="737"/>
      <c r="B9" s="737"/>
      <c r="C9" s="369" t="s">
        <v>428</v>
      </c>
      <c r="D9" s="465">
        <f t="shared" ref="D9:R9" si="7">SUM(D10:D12)</f>
        <v>532986.11111111112</v>
      </c>
      <c r="E9" s="465">
        <f t="shared" si="7"/>
        <v>532986.11111111112</v>
      </c>
      <c r="F9" s="465">
        <f t="shared" si="7"/>
        <v>532986.11111111112</v>
      </c>
      <c r="G9" s="721">
        <f t="shared" si="1"/>
        <v>1598958.3333333335</v>
      </c>
      <c r="H9" s="465">
        <f t="shared" si="7"/>
        <v>532986.11111111112</v>
      </c>
      <c r="I9" s="465">
        <f t="shared" si="7"/>
        <v>532986.11111111112</v>
      </c>
      <c r="J9" s="465">
        <f t="shared" si="7"/>
        <v>532986.11111111112</v>
      </c>
      <c r="K9" s="721">
        <f t="shared" si="2"/>
        <v>1598958.3333333335</v>
      </c>
      <c r="L9" s="465">
        <f t="shared" si="7"/>
        <v>532986.11111111112</v>
      </c>
      <c r="M9" s="465">
        <f t="shared" si="7"/>
        <v>532986.11111111112</v>
      </c>
      <c r="N9" s="465">
        <f t="shared" si="7"/>
        <v>532986.11111111112</v>
      </c>
      <c r="O9" s="721">
        <f t="shared" si="3"/>
        <v>1598958.3333333335</v>
      </c>
      <c r="P9" s="465">
        <f t="shared" si="7"/>
        <v>532986.11111111112</v>
      </c>
      <c r="Q9" s="465">
        <f t="shared" si="7"/>
        <v>532986.11111111112</v>
      </c>
      <c r="R9" s="465">
        <f t="shared" si="7"/>
        <v>532986.11111111112</v>
      </c>
      <c r="S9" s="721">
        <f t="shared" si="4"/>
        <v>1598958.3333333335</v>
      </c>
      <c r="T9" s="713">
        <f t="shared" si="5"/>
        <v>6395833.333333334</v>
      </c>
      <c r="U9" s="337"/>
      <c r="V9" s="444">
        <f>'Roční Rozpočet '!C10</f>
        <v>6395833.333333333</v>
      </c>
      <c r="W9" s="338"/>
      <c r="X9" s="338"/>
      <c r="Y9" s="338"/>
      <c r="Z9" s="333"/>
      <c r="AA9" s="333"/>
    </row>
    <row r="10" spans="1:27" ht="15" thickBot="1">
      <c r="A10" s="737"/>
      <c r="B10" s="737"/>
      <c r="C10" s="370" t="s">
        <v>565</v>
      </c>
      <c r="D10" s="390">
        <f>'NS + DHM'!$J$9/12</f>
        <v>178444.44444444441</v>
      </c>
      <c r="E10" s="470">
        <f>'NS + DHM'!$J$9/12</f>
        <v>178444.44444444441</v>
      </c>
      <c r="F10" s="470">
        <f>'NS + DHM'!$J$9/12</f>
        <v>178444.44444444441</v>
      </c>
      <c r="G10" s="722">
        <f t="shared" si="1"/>
        <v>535333.33333333326</v>
      </c>
      <c r="H10" s="470">
        <f>'NS + DHM'!$J$9/12</f>
        <v>178444.44444444441</v>
      </c>
      <c r="I10" s="470">
        <f>'NS + DHM'!$J$9/12</f>
        <v>178444.44444444441</v>
      </c>
      <c r="J10" s="470">
        <f>'NS + DHM'!$J$9/12</f>
        <v>178444.44444444441</v>
      </c>
      <c r="K10" s="722">
        <f t="shared" si="2"/>
        <v>535333.33333333326</v>
      </c>
      <c r="L10" s="470">
        <f>'NS + DHM'!$J$9/12</f>
        <v>178444.44444444441</v>
      </c>
      <c r="M10" s="470">
        <f>'NS + DHM'!$J$9/12</f>
        <v>178444.44444444441</v>
      </c>
      <c r="N10" s="470">
        <f>'NS + DHM'!$J$9/12</f>
        <v>178444.44444444441</v>
      </c>
      <c r="O10" s="722">
        <f t="shared" si="3"/>
        <v>535333.33333333326</v>
      </c>
      <c r="P10" s="470">
        <f>'NS + DHM'!$J$9/12</f>
        <v>178444.44444444441</v>
      </c>
      <c r="Q10" s="470">
        <f>'NS + DHM'!$J$9/12</f>
        <v>178444.44444444441</v>
      </c>
      <c r="R10" s="471">
        <f>'NS + DHM'!$J$9/12</f>
        <v>178444.44444444441</v>
      </c>
      <c r="S10" s="722">
        <f t="shared" si="4"/>
        <v>535333.33333333326</v>
      </c>
      <c r="T10" s="713">
        <f t="shared" si="5"/>
        <v>2141333.333333333</v>
      </c>
      <c r="U10" s="333"/>
      <c r="V10" s="444">
        <f>'Roční Rozpočet '!C11</f>
        <v>2141333.333333333</v>
      </c>
      <c r="W10" s="333"/>
      <c r="X10" s="333"/>
      <c r="Y10" s="333"/>
      <c r="Z10" s="333"/>
      <c r="AA10" s="333"/>
    </row>
    <row r="11" spans="1:27" ht="15" thickBot="1">
      <c r="A11" s="737"/>
      <c r="B11" s="737"/>
      <c r="C11" s="371" t="s">
        <v>566</v>
      </c>
      <c r="D11" s="391">
        <f>'NS + DHM'!$B$24/12</f>
        <v>272916.66666666669</v>
      </c>
      <c r="E11" s="386">
        <f>'NS + DHM'!$B$24/12</f>
        <v>272916.66666666669</v>
      </c>
      <c r="F11" s="386">
        <f>'NS + DHM'!$B$24/12</f>
        <v>272916.66666666669</v>
      </c>
      <c r="G11" s="718">
        <f t="shared" si="1"/>
        <v>818750</v>
      </c>
      <c r="H11" s="386">
        <f>'NS + DHM'!$B$24/12</f>
        <v>272916.66666666669</v>
      </c>
      <c r="I11" s="386">
        <f>'NS + DHM'!$B$24/12</f>
        <v>272916.66666666669</v>
      </c>
      <c r="J11" s="386">
        <f>'NS + DHM'!$B$24/12</f>
        <v>272916.66666666669</v>
      </c>
      <c r="K11" s="718">
        <f t="shared" si="2"/>
        <v>818750</v>
      </c>
      <c r="L11" s="386">
        <f>'NS + DHM'!$B$24/12</f>
        <v>272916.66666666669</v>
      </c>
      <c r="M11" s="386">
        <f>'NS + DHM'!$B$24/12</f>
        <v>272916.66666666669</v>
      </c>
      <c r="N11" s="386">
        <f>'NS + DHM'!$B$24/12</f>
        <v>272916.66666666669</v>
      </c>
      <c r="O11" s="718">
        <f t="shared" si="3"/>
        <v>818750</v>
      </c>
      <c r="P11" s="386">
        <f>'NS + DHM'!$B$24/12</f>
        <v>272916.66666666669</v>
      </c>
      <c r="Q11" s="386">
        <f>'NS + DHM'!$B$24/12</f>
        <v>272916.66666666669</v>
      </c>
      <c r="R11" s="472">
        <f>'NS + DHM'!$B$24/12</f>
        <v>272916.66666666669</v>
      </c>
      <c r="S11" s="718">
        <f t="shared" si="4"/>
        <v>818750</v>
      </c>
      <c r="T11" s="713">
        <f t="shared" si="5"/>
        <v>3275000</v>
      </c>
      <c r="U11" s="337"/>
      <c r="V11" s="444">
        <f>'Roční Rozpočet '!C12</f>
        <v>3275000</v>
      </c>
      <c r="W11" s="338"/>
      <c r="X11" s="338"/>
      <c r="Y11" s="338"/>
      <c r="Z11" s="333"/>
      <c r="AA11" s="333"/>
    </row>
    <row r="12" spans="1:27" ht="15" thickBot="1">
      <c r="A12" s="737"/>
      <c r="B12" s="737"/>
      <c r="C12" s="372" t="s">
        <v>567</v>
      </c>
      <c r="D12" s="392">
        <f>$V$12/12</f>
        <v>81625</v>
      </c>
      <c r="E12" s="473">
        <f t="shared" ref="E12:R12" si="8">$V$12/12</f>
        <v>81625</v>
      </c>
      <c r="F12" s="473">
        <f t="shared" si="8"/>
        <v>81625</v>
      </c>
      <c r="G12" s="723">
        <f t="shared" si="1"/>
        <v>244875</v>
      </c>
      <c r="H12" s="473">
        <f t="shared" si="8"/>
        <v>81625</v>
      </c>
      <c r="I12" s="473">
        <f t="shared" si="8"/>
        <v>81625</v>
      </c>
      <c r="J12" s="473">
        <f t="shared" si="8"/>
        <v>81625</v>
      </c>
      <c r="K12" s="723">
        <f t="shared" si="2"/>
        <v>244875</v>
      </c>
      <c r="L12" s="473">
        <f t="shared" si="8"/>
        <v>81625</v>
      </c>
      <c r="M12" s="473">
        <f t="shared" si="8"/>
        <v>81625</v>
      </c>
      <c r="N12" s="473">
        <f t="shared" si="8"/>
        <v>81625</v>
      </c>
      <c r="O12" s="723">
        <f t="shared" si="3"/>
        <v>244875</v>
      </c>
      <c r="P12" s="473">
        <f t="shared" si="8"/>
        <v>81625</v>
      </c>
      <c r="Q12" s="473">
        <f t="shared" si="8"/>
        <v>81625</v>
      </c>
      <c r="R12" s="474">
        <f t="shared" si="8"/>
        <v>81625</v>
      </c>
      <c r="S12" s="723">
        <f t="shared" si="4"/>
        <v>244875</v>
      </c>
      <c r="T12" s="713">
        <f t="shared" si="5"/>
        <v>979500</v>
      </c>
      <c r="U12" s="333"/>
      <c r="V12" s="444">
        <f>'Roční Rozpočet '!C13</f>
        <v>979500</v>
      </c>
      <c r="W12" s="333"/>
      <c r="X12" s="333"/>
      <c r="Y12" s="333"/>
      <c r="Z12" s="333"/>
      <c r="AA12" s="333"/>
    </row>
    <row r="13" spans="1:27" ht="15" thickBot="1">
      <c r="A13" s="737"/>
      <c r="B13" s="737"/>
      <c r="C13" s="373" t="s">
        <v>429</v>
      </c>
      <c r="D13" s="466">
        <f>$V13/12</f>
        <v>7291.666666666667</v>
      </c>
      <c r="E13" s="467">
        <f t="shared" ref="E13:R13" si="9">$V13/12</f>
        <v>7291.666666666667</v>
      </c>
      <c r="F13" s="467">
        <f t="shared" si="9"/>
        <v>7291.666666666667</v>
      </c>
      <c r="G13" s="724">
        <f t="shared" si="1"/>
        <v>21875</v>
      </c>
      <c r="H13" s="468">
        <f t="shared" si="9"/>
        <v>7291.666666666667</v>
      </c>
      <c r="I13" s="468">
        <f t="shared" si="9"/>
        <v>7291.666666666667</v>
      </c>
      <c r="J13" s="468">
        <f t="shared" si="9"/>
        <v>7291.666666666667</v>
      </c>
      <c r="K13" s="724">
        <f t="shared" si="2"/>
        <v>21875</v>
      </c>
      <c r="L13" s="468">
        <f t="shared" si="9"/>
        <v>7291.666666666667</v>
      </c>
      <c r="M13" s="468">
        <f t="shared" si="9"/>
        <v>7291.666666666667</v>
      </c>
      <c r="N13" s="468">
        <f t="shared" si="9"/>
        <v>7291.666666666667</v>
      </c>
      <c r="O13" s="724">
        <f t="shared" si="3"/>
        <v>21875</v>
      </c>
      <c r="P13" s="468">
        <f t="shared" si="9"/>
        <v>7291.666666666667</v>
      </c>
      <c r="Q13" s="468">
        <f t="shared" si="9"/>
        <v>7291.666666666667</v>
      </c>
      <c r="R13" s="469">
        <f t="shared" si="9"/>
        <v>7291.666666666667</v>
      </c>
      <c r="S13" s="724">
        <f t="shared" si="4"/>
        <v>21875</v>
      </c>
      <c r="T13" s="713">
        <f t="shared" si="5"/>
        <v>87500</v>
      </c>
      <c r="U13" s="337"/>
      <c r="V13" s="444">
        <f>'Roční Rozpočet '!C14</f>
        <v>87500</v>
      </c>
      <c r="W13" s="338"/>
      <c r="X13" s="338"/>
      <c r="Y13" s="338"/>
      <c r="Z13" s="333"/>
      <c r="AA13" s="333"/>
    </row>
    <row r="14" spans="1:27" ht="15" thickBot="1">
      <c r="A14" s="737"/>
      <c r="B14" s="737"/>
      <c r="C14" s="374" t="s">
        <v>430</v>
      </c>
      <c r="D14" s="460">
        <f t="shared" ref="D14:R25" si="10">$V14/12</f>
        <v>8000</v>
      </c>
      <c r="E14" s="461">
        <f t="shared" si="10"/>
        <v>8000</v>
      </c>
      <c r="F14" s="461">
        <f t="shared" si="10"/>
        <v>8000</v>
      </c>
      <c r="G14" s="725">
        <f t="shared" si="1"/>
        <v>24000</v>
      </c>
      <c r="H14" s="461">
        <f t="shared" si="10"/>
        <v>8000</v>
      </c>
      <c r="I14" s="461">
        <f t="shared" si="10"/>
        <v>8000</v>
      </c>
      <c r="J14" s="461">
        <f t="shared" si="10"/>
        <v>8000</v>
      </c>
      <c r="K14" s="725">
        <f t="shared" si="2"/>
        <v>24000</v>
      </c>
      <c r="L14" s="461">
        <f t="shared" si="10"/>
        <v>8000</v>
      </c>
      <c r="M14" s="461">
        <f t="shared" si="10"/>
        <v>8000</v>
      </c>
      <c r="N14" s="461">
        <f t="shared" si="10"/>
        <v>8000</v>
      </c>
      <c r="O14" s="725">
        <f t="shared" si="3"/>
        <v>24000</v>
      </c>
      <c r="P14" s="461">
        <f t="shared" si="10"/>
        <v>8000</v>
      </c>
      <c r="Q14" s="461">
        <f t="shared" si="10"/>
        <v>8000</v>
      </c>
      <c r="R14" s="462">
        <f t="shared" si="10"/>
        <v>8000</v>
      </c>
      <c r="S14" s="725">
        <f t="shared" si="4"/>
        <v>24000</v>
      </c>
      <c r="T14" s="713">
        <f t="shared" si="5"/>
        <v>96000</v>
      </c>
      <c r="U14" s="333"/>
      <c r="V14" s="444">
        <f>'Roční Rozpočet '!C15</f>
        <v>96000</v>
      </c>
      <c r="W14" s="333"/>
      <c r="X14" s="333"/>
      <c r="Y14" s="333"/>
      <c r="Z14" s="333"/>
      <c r="AA14" s="333"/>
    </row>
    <row r="15" spans="1:27" ht="15" thickBot="1">
      <c r="A15" s="737"/>
      <c r="B15" s="737"/>
      <c r="C15" s="374" t="s">
        <v>431</v>
      </c>
      <c r="D15" s="460">
        <f t="shared" si="10"/>
        <v>1324852.5</v>
      </c>
      <c r="E15" s="461">
        <f t="shared" si="10"/>
        <v>1324852.5</v>
      </c>
      <c r="F15" s="461">
        <f t="shared" si="10"/>
        <v>1324852.5</v>
      </c>
      <c r="G15" s="725">
        <f t="shared" ref="G15:G25" si="11">SUM(D15:F15)</f>
        <v>3974557.5</v>
      </c>
      <c r="H15" s="463">
        <f t="shared" si="10"/>
        <v>1324852.5</v>
      </c>
      <c r="I15" s="463">
        <f t="shared" si="10"/>
        <v>1324852.5</v>
      </c>
      <c r="J15" s="463">
        <f t="shared" si="10"/>
        <v>1324852.5</v>
      </c>
      <c r="K15" s="725">
        <f t="shared" ref="K15:K25" si="12">SUM(H15:J15)</f>
        <v>3974557.5</v>
      </c>
      <c r="L15" s="463">
        <f t="shared" si="10"/>
        <v>1324852.5</v>
      </c>
      <c r="M15" s="463">
        <f t="shared" si="10"/>
        <v>1324852.5</v>
      </c>
      <c r="N15" s="463">
        <f t="shared" si="10"/>
        <v>1324852.5</v>
      </c>
      <c r="O15" s="725">
        <f t="shared" ref="O15:O25" si="13">SUM(L15:N15)</f>
        <v>3974557.5</v>
      </c>
      <c r="P15" s="463">
        <f t="shared" si="10"/>
        <v>1324852.5</v>
      </c>
      <c r="Q15" s="463">
        <f t="shared" si="10"/>
        <v>1324852.5</v>
      </c>
      <c r="R15" s="464">
        <f t="shared" si="10"/>
        <v>1324852.5</v>
      </c>
      <c r="S15" s="725">
        <f t="shared" ref="S15:S25" si="14">SUM(P15:R15)</f>
        <v>3974557.5</v>
      </c>
      <c r="T15" s="713">
        <f t="shared" si="5"/>
        <v>15898230</v>
      </c>
      <c r="U15" s="337"/>
      <c r="V15" s="444">
        <f>'Roční Rozpočet '!C16</f>
        <v>15898230</v>
      </c>
      <c r="W15" s="338"/>
      <c r="X15" s="338"/>
      <c r="Y15" s="338"/>
      <c r="Z15" s="333"/>
      <c r="AA15" s="333"/>
    </row>
    <row r="16" spans="1:27" ht="15" thickBot="1">
      <c r="A16" s="737"/>
      <c r="B16" s="737"/>
      <c r="C16" s="374" t="s">
        <v>432</v>
      </c>
      <c r="D16" s="376">
        <f t="shared" si="10"/>
        <v>6008.333333333333</v>
      </c>
      <c r="E16" s="377">
        <f t="shared" si="10"/>
        <v>6008.333333333333</v>
      </c>
      <c r="F16" s="377">
        <f t="shared" si="10"/>
        <v>6008.333333333333</v>
      </c>
      <c r="G16" s="725">
        <f t="shared" si="11"/>
        <v>18025</v>
      </c>
      <c r="H16" s="377">
        <f t="shared" si="10"/>
        <v>6008.333333333333</v>
      </c>
      <c r="I16" s="377">
        <f t="shared" si="10"/>
        <v>6008.333333333333</v>
      </c>
      <c r="J16" s="377">
        <f t="shared" si="10"/>
        <v>6008.333333333333</v>
      </c>
      <c r="K16" s="725">
        <f t="shared" si="12"/>
        <v>18025</v>
      </c>
      <c r="L16" s="377">
        <f t="shared" si="10"/>
        <v>6008.333333333333</v>
      </c>
      <c r="M16" s="377">
        <f t="shared" si="10"/>
        <v>6008.333333333333</v>
      </c>
      <c r="N16" s="377">
        <f t="shared" si="10"/>
        <v>6008.333333333333</v>
      </c>
      <c r="O16" s="725">
        <f t="shared" si="13"/>
        <v>18025</v>
      </c>
      <c r="P16" s="377">
        <f t="shared" si="10"/>
        <v>6008.333333333333</v>
      </c>
      <c r="Q16" s="377">
        <f t="shared" si="10"/>
        <v>6008.333333333333</v>
      </c>
      <c r="R16" s="378">
        <f t="shared" si="10"/>
        <v>6008.333333333333</v>
      </c>
      <c r="S16" s="725">
        <f t="shared" si="14"/>
        <v>18025</v>
      </c>
      <c r="T16" s="713">
        <f t="shared" si="5"/>
        <v>72100</v>
      </c>
      <c r="U16" s="333"/>
      <c r="V16" s="444">
        <f>'Roční Rozpočet '!C17</f>
        <v>72100</v>
      </c>
      <c r="W16" s="333"/>
      <c r="X16" s="333"/>
      <c r="Y16" s="333"/>
      <c r="Z16" s="333"/>
      <c r="AA16" s="333"/>
    </row>
    <row r="17" spans="3:27" ht="15" thickBot="1">
      <c r="C17" s="374" t="s">
        <v>433</v>
      </c>
      <c r="D17" s="376">
        <f t="shared" si="10"/>
        <v>66707.5</v>
      </c>
      <c r="E17" s="377">
        <f t="shared" si="10"/>
        <v>66707.5</v>
      </c>
      <c r="F17" s="377">
        <f t="shared" si="10"/>
        <v>66707.5</v>
      </c>
      <c r="G17" s="725">
        <f t="shared" si="11"/>
        <v>200122.5</v>
      </c>
      <c r="H17" s="377">
        <f t="shared" si="10"/>
        <v>66707.5</v>
      </c>
      <c r="I17" s="377">
        <f t="shared" si="10"/>
        <v>66707.5</v>
      </c>
      <c r="J17" s="377">
        <f t="shared" si="10"/>
        <v>66707.5</v>
      </c>
      <c r="K17" s="725">
        <f t="shared" si="12"/>
        <v>200122.5</v>
      </c>
      <c r="L17" s="377">
        <f t="shared" si="10"/>
        <v>66707.5</v>
      </c>
      <c r="M17" s="377">
        <f t="shared" si="10"/>
        <v>66707.5</v>
      </c>
      <c r="N17" s="377">
        <f t="shared" si="10"/>
        <v>66707.5</v>
      </c>
      <c r="O17" s="725">
        <f t="shared" si="13"/>
        <v>200122.5</v>
      </c>
      <c r="P17" s="377">
        <f t="shared" si="10"/>
        <v>66707.5</v>
      </c>
      <c r="Q17" s="377">
        <f t="shared" si="10"/>
        <v>66707.5</v>
      </c>
      <c r="R17" s="378">
        <f t="shared" si="10"/>
        <v>66707.5</v>
      </c>
      <c r="S17" s="725">
        <f t="shared" si="14"/>
        <v>200122.5</v>
      </c>
      <c r="T17" s="713">
        <f t="shared" si="5"/>
        <v>800490</v>
      </c>
      <c r="U17" s="333"/>
      <c r="V17" s="444">
        <f>'Roční Rozpočet '!C18</f>
        <v>800490</v>
      </c>
      <c r="W17" s="333"/>
      <c r="X17" s="333"/>
      <c r="Y17" s="333"/>
      <c r="Z17" s="333"/>
      <c r="AA17" s="333"/>
    </row>
    <row r="18" spans="3:27" ht="15" thickBot="1">
      <c r="C18" s="374" t="s">
        <v>434</v>
      </c>
      <c r="D18" s="376">
        <f t="shared" si="10"/>
        <v>41666.666666666664</v>
      </c>
      <c r="E18" s="377">
        <f t="shared" si="10"/>
        <v>41666.666666666664</v>
      </c>
      <c r="F18" s="377">
        <f t="shared" si="10"/>
        <v>41666.666666666664</v>
      </c>
      <c r="G18" s="725">
        <f t="shared" si="11"/>
        <v>125000</v>
      </c>
      <c r="H18" s="377">
        <f t="shared" si="10"/>
        <v>41666.666666666664</v>
      </c>
      <c r="I18" s="377">
        <f t="shared" si="10"/>
        <v>41666.666666666664</v>
      </c>
      <c r="J18" s="377">
        <f t="shared" si="10"/>
        <v>41666.666666666664</v>
      </c>
      <c r="K18" s="725">
        <f t="shared" si="12"/>
        <v>125000</v>
      </c>
      <c r="L18" s="377">
        <f t="shared" si="10"/>
        <v>41666.666666666664</v>
      </c>
      <c r="M18" s="377">
        <f t="shared" si="10"/>
        <v>41666.666666666664</v>
      </c>
      <c r="N18" s="377">
        <f t="shared" si="10"/>
        <v>41666.666666666664</v>
      </c>
      <c r="O18" s="725">
        <f t="shared" si="13"/>
        <v>125000</v>
      </c>
      <c r="P18" s="377">
        <f t="shared" si="10"/>
        <v>41666.666666666664</v>
      </c>
      <c r="Q18" s="377">
        <f t="shared" si="10"/>
        <v>41666.666666666664</v>
      </c>
      <c r="R18" s="378">
        <f t="shared" si="10"/>
        <v>41666.666666666664</v>
      </c>
      <c r="S18" s="725">
        <f t="shared" si="14"/>
        <v>125000</v>
      </c>
      <c r="T18" s="713">
        <f t="shared" si="5"/>
        <v>500000</v>
      </c>
      <c r="U18" s="333"/>
      <c r="V18" s="444">
        <f>'Roční Rozpočet '!C19</f>
        <v>500000</v>
      </c>
      <c r="W18" s="333"/>
      <c r="X18" s="333"/>
      <c r="Y18" s="333"/>
      <c r="Z18" s="333"/>
      <c r="AA18" s="333"/>
    </row>
    <row r="19" spans="3:27" ht="15" thickBot="1">
      <c r="C19" s="374" t="s">
        <v>435</v>
      </c>
      <c r="D19" s="376">
        <f t="shared" si="10"/>
        <v>176708.33333333334</v>
      </c>
      <c r="E19" s="377">
        <f t="shared" si="10"/>
        <v>176708.33333333334</v>
      </c>
      <c r="F19" s="377">
        <f t="shared" si="10"/>
        <v>176708.33333333334</v>
      </c>
      <c r="G19" s="725">
        <f t="shared" si="11"/>
        <v>530125</v>
      </c>
      <c r="H19" s="377">
        <f t="shared" si="10"/>
        <v>176708.33333333334</v>
      </c>
      <c r="I19" s="377">
        <f t="shared" si="10"/>
        <v>176708.33333333334</v>
      </c>
      <c r="J19" s="377">
        <f t="shared" si="10"/>
        <v>176708.33333333334</v>
      </c>
      <c r="K19" s="725">
        <f t="shared" si="12"/>
        <v>530125</v>
      </c>
      <c r="L19" s="377">
        <f t="shared" si="10"/>
        <v>176708.33333333334</v>
      </c>
      <c r="M19" s="377">
        <f t="shared" si="10"/>
        <v>176708.33333333334</v>
      </c>
      <c r="N19" s="377">
        <f t="shared" si="10"/>
        <v>176708.33333333334</v>
      </c>
      <c r="O19" s="725">
        <f t="shared" si="13"/>
        <v>530125</v>
      </c>
      <c r="P19" s="377">
        <f t="shared" si="10"/>
        <v>176708.33333333334</v>
      </c>
      <c r="Q19" s="377">
        <f t="shared" si="10"/>
        <v>176708.33333333334</v>
      </c>
      <c r="R19" s="378">
        <f t="shared" si="10"/>
        <v>176708.33333333334</v>
      </c>
      <c r="S19" s="725">
        <f t="shared" si="14"/>
        <v>530125</v>
      </c>
      <c r="T19" s="713">
        <f t="shared" si="5"/>
        <v>2120500</v>
      </c>
      <c r="U19" s="333"/>
      <c r="V19" s="444">
        <f>'Roční Rozpočet '!C20</f>
        <v>2120500</v>
      </c>
      <c r="W19" s="333"/>
      <c r="X19" s="333"/>
      <c r="Y19" s="333"/>
      <c r="Z19" s="333"/>
      <c r="AA19" s="333"/>
    </row>
    <row r="20" spans="3:27" ht="15" thickBot="1">
      <c r="C20" s="374" t="s">
        <v>436</v>
      </c>
      <c r="D20" s="376">
        <f t="shared" si="10"/>
        <v>8750</v>
      </c>
      <c r="E20" s="377">
        <f t="shared" si="10"/>
        <v>8750</v>
      </c>
      <c r="F20" s="377">
        <f t="shared" si="10"/>
        <v>8750</v>
      </c>
      <c r="G20" s="725">
        <f t="shared" si="11"/>
        <v>26250</v>
      </c>
      <c r="H20" s="377">
        <f t="shared" si="10"/>
        <v>8750</v>
      </c>
      <c r="I20" s="377">
        <f t="shared" si="10"/>
        <v>8750</v>
      </c>
      <c r="J20" s="377">
        <f t="shared" si="10"/>
        <v>8750</v>
      </c>
      <c r="K20" s="725">
        <f t="shared" si="12"/>
        <v>26250</v>
      </c>
      <c r="L20" s="377">
        <f t="shared" si="10"/>
        <v>8750</v>
      </c>
      <c r="M20" s="377">
        <f t="shared" si="10"/>
        <v>8750</v>
      </c>
      <c r="N20" s="377">
        <f t="shared" si="10"/>
        <v>8750</v>
      </c>
      <c r="O20" s="725">
        <f t="shared" si="13"/>
        <v>26250</v>
      </c>
      <c r="P20" s="377">
        <f t="shared" si="10"/>
        <v>8750</v>
      </c>
      <c r="Q20" s="377">
        <f t="shared" si="10"/>
        <v>8750</v>
      </c>
      <c r="R20" s="378">
        <f t="shared" si="10"/>
        <v>8750</v>
      </c>
      <c r="S20" s="725">
        <f t="shared" si="14"/>
        <v>26250</v>
      </c>
      <c r="T20" s="713">
        <f t="shared" si="5"/>
        <v>105000</v>
      </c>
      <c r="U20" s="333"/>
      <c r="V20" s="444">
        <f>'Roční Rozpočet '!C21</f>
        <v>105000</v>
      </c>
      <c r="W20" s="333"/>
      <c r="X20" s="333"/>
      <c r="Y20" s="333"/>
      <c r="Z20" s="333"/>
      <c r="AA20" s="333"/>
    </row>
    <row r="21" spans="3:27" ht="15" thickBot="1">
      <c r="C21" s="374" t="s">
        <v>437</v>
      </c>
      <c r="D21" s="376">
        <f t="shared" si="10"/>
        <v>158166.66666666666</v>
      </c>
      <c r="E21" s="377">
        <f t="shared" si="10"/>
        <v>158166.66666666666</v>
      </c>
      <c r="F21" s="377">
        <f t="shared" si="10"/>
        <v>158166.66666666666</v>
      </c>
      <c r="G21" s="725">
        <f t="shared" si="11"/>
        <v>474500</v>
      </c>
      <c r="H21" s="377">
        <f t="shared" si="10"/>
        <v>158166.66666666666</v>
      </c>
      <c r="I21" s="377">
        <f t="shared" si="10"/>
        <v>158166.66666666666</v>
      </c>
      <c r="J21" s="377">
        <f t="shared" si="10"/>
        <v>158166.66666666666</v>
      </c>
      <c r="K21" s="725">
        <f t="shared" si="12"/>
        <v>474500</v>
      </c>
      <c r="L21" s="377">
        <f t="shared" si="10"/>
        <v>158166.66666666666</v>
      </c>
      <c r="M21" s="377">
        <f t="shared" si="10"/>
        <v>158166.66666666666</v>
      </c>
      <c r="N21" s="377">
        <f t="shared" si="10"/>
        <v>158166.66666666666</v>
      </c>
      <c r="O21" s="725">
        <f t="shared" si="13"/>
        <v>474500</v>
      </c>
      <c r="P21" s="377">
        <f t="shared" si="10"/>
        <v>158166.66666666666</v>
      </c>
      <c r="Q21" s="377">
        <f t="shared" si="10"/>
        <v>158166.66666666666</v>
      </c>
      <c r="R21" s="378">
        <f t="shared" si="10"/>
        <v>158166.66666666666</v>
      </c>
      <c r="S21" s="725">
        <f t="shared" si="14"/>
        <v>474500</v>
      </c>
      <c r="T21" s="713">
        <f t="shared" si="5"/>
        <v>1898000</v>
      </c>
      <c r="U21" s="333"/>
      <c r="V21" s="444">
        <f>'Roční Rozpočet '!C22</f>
        <v>1898000</v>
      </c>
      <c r="W21" s="333"/>
      <c r="X21" s="333"/>
      <c r="Y21" s="333"/>
      <c r="Z21" s="333"/>
      <c r="AA21" s="333"/>
    </row>
    <row r="22" spans="3:27" ht="15" thickBot="1">
      <c r="C22" s="374" t="s">
        <v>438</v>
      </c>
      <c r="D22" s="376">
        <f t="shared" si="10"/>
        <v>78210.833333333328</v>
      </c>
      <c r="E22" s="377">
        <f t="shared" si="10"/>
        <v>78210.833333333328</v>
      </c>
      <c r="F22" s="377">
        <f t="shared" si="10"/>
        <v>78210.833333333328</v>
      </c>
      <c r="G22" s="725">
        <f t="shared" si="11"/>
        <v>234632.5</v>
      </c>
      <c r="H22" s="377">
        <f t="shared" si="10"/>
        <v>78210.833333333328</v>
      </c>
      <c r="I22" s="377">
        <f t="shared" si="10"/>
        <v>78210.833333333328</v>
      </c>
      <c r="J22" s="377">
        <f t="shared" si="10"/>
        <v>78210.833333333328</v>
      </c>
      <c r="K22" s="725">
        <f t="shared" si="12"/>
        <v>234632.5</v>
      </c>
      <c r="L22" s="377">
        <f t="shared" si="10"/>
        <v>78210.833333333328</v>
      </c>
      <c r="M22" s="377">
        <f t="shared" si="10"/>
        <v>78210.833333333328</v>
      </c>
      <c r="N22" s="377">
        <f t="shared" si="10"/>
        <v>78210.833333333328</v>
      </c>
      <c r="O22" s="725">
        <f t="shared" si="13"/>
        <v>234632.5</v>
      </c>
      <c r="P22" s="377">
        <f t="shared" si="10"/>
        <v>78210.833333333328</v>
      </c>
      <c r="Q22" s="377">
        <f t="shared" si="10"/>
        <v>78210.833333333328</v>
      </c>
      <c r="R22" s="378">
        <f t="shared" si="10"/>
        <v>78210.833333333328</v>
      </c>
      <c r="S22" s="725">
        <f t="shared" si="14"/>
        <v>234632.5</v>
      </c>
      <c r="T22" s="713">
        <f t="shared" si="5"/>
        <v>938530</v>
      </c>
      <c r="U22" s="333"/>
      <c r="V22" s="444">
        <f>'Roční Rozpočet '!C23</f>
        <v>938530</v>
      </c>
      <c r="W22" s="333"/>
      <c r="X22" s="333"/>
      <c r="Y22" s="333"/>
      <c r="Z22" s="333"/>
      <c r="AA22" s="333"/>
    </row>
    <row r="23" spans="3:27" ht="15" thickBot="1">
      <c r="C23" s="374" t="s">
        <v>439</v>
      </c>
      <c r="D23" s="376">
        <f t="shared" si="10"/>
        <v>119858.33333333333</v>
      </c>
      <c r="E23" s="377">
        <f t="shared" si="10"/>
        <v>119858.33333333333</v>
      </c>
      <c r="F23" s="377">
        <f t="shared" si="10"/>
        <v>119858.33333333333</v>
      </c>
      <c r="G23" s="725">
        <f t="shared" si="11"/>
        <v>359575</v>
      </c>
      <c r="H23" s="377">
        <f t="shared" si="10"/>
        <v>119858.33333333333</v>
      </c>
      <c r="I23" s="377">
        <f t="shared" si="10"/>
        <v>119858.33333333333</v>
      </c>
      <c r="J23" s="377">
        <f t="shared" si="10"/>
        <v>119858.33333333333</v>
      </c>
      <c r="K23" s="725">
        <f t="shared" si="12"/>
        <v>359575</v>
      </c>
      <c r="L23" s="377">
        <f t="shared" si="10"/>
        <v>119858.33333333333</v>
      </c>
      <c r="M23" s="377">
        <f t="shared" si="10"/>
        <v>119858.33333333333</v>
      </c>
      <c r="N23" s="377">
        <f t="shared" si="10"/>
        <v>119858.33333333333</v>
      </c>
      <c r="O23" s="725">
        <f t="shared" si="13"/>
        <v>359575</v>
      </c>
      <c r="P23" s="377">
        <f t="shared" si="10"/>
        <v>119858.33333333333</v>
      </c>
      <c r="Q23" s="377">
        <f t="shared" si="10"/>
        <v>119858.33333333333</v>
      </c>
      <c r="R23" s="378">
        <f t="shared" si="10"/>
        <v>119858.33333333333</v>
      </c>
      <c r="S23" s="725">
        <f t="shared" si="14"/>
        <v>359575</v>
      </c>
      <c r="T23" s="713">
        <f t="shared" si="5"/>
        <v>1438300</v>
      </c>
      <c r="U23" s="333"/>
      <c r="V23" s="444">
        <f>'Roční Rozpočet '!C24</f>
        <v>1438300</v>
      </c>
      <c r="W23" s="333"/>
      <c r="X23" s="333"/>
      <c r="Y23" s="333"/>
      <c r="Z23" s="333"/>
      <c r="AA23" s="333"/>
    </row>
    <row r="24" spans="3:27" ht="15" thickBot="1">
      <c r="C24" s="374" t="s">
        <v>440</v>
      </c>
      <c r="D24" s="376"/>
      <c r="E24" s="379"/>
      <c r="F24" s="379"/>
      <c r="G24" s="725">
        <f t="shared" si="11"/>
        <v>0</v>
      </c>
      <c r="H24" s="379"/>
      <c r="I24" s="379"/>
      <c r="J24" s="379"/>
      <c r="K24" s="725">
        <f t="shared" si="12"/>
        <v>0</v>
      </c>
      <c r="L24" s="379"/>
      <c r="M24" s="379"/>
      <c r="N24" s="379"/>
      <c r="O24" s="725">
        <f t="shared" si="13"/>
        <v>0</v>
      </c>
      <c r="P24" s="379"/>
      <c r="Q24" s="379"/>
      <c r="R24" s="380"/>
      <c r="S24" s="725">
        <f t="shared" si="14"/>
        <v>0</v>
      </c>
      <c r="T24" s="713">
        <f t="shared" si="5"/>
        <v>0</v>
      </c>
      <c r="U24" s="737"/>
      <c r="V24" s="444">
        <f>'Roční Rozpočet '!C25</f>
        <v>988825058.80214286</v>
      </c>
      <c r="W24" s="737" t="s">
        <v>568</v>
      </c>
      <c r="X24" s="737"/>
      <c r="Y24" s="737"/>
      <c r="Z24" s="737"/>
      <c r="AA24" s="737"/>
    </row>
    <row r="25" spans="3:27" ht="15" thickBot="1">
      <c r="C25" s="375" t="s">
        <v>441</v>
      </c>
      <c r="D25" s="381">
        <f t="shared" si="10"/>
        <v>208333.33333333334</v>
      </c>
      <c r="E25" s="382">
        <f t="shared" ref="E25:R25" si="15">$V25/12</f>
        <v>208333.33333333334</v>
      </c>
      <c r="F25" s="382">
        <f t="shared" si="15"/>
        <v>208333.33333333334</v>
      </c>
      <c r="G25" s="725">
        <f t="shared" si="11"/>
        <v>625000</v>
      </c>
      <c r="H25" s="382">
        <f t="shared" si="15"/>
        <v>208333.33333333334</v>
      </c>
      <c r="I25" s="382">
        <f t="shared" si="15"/>
        <v>208333.33333333334</v>
      </c>
      <c r="J25" s="382">
        <f t="shared" si="15"/>
        <v>208333.33333333334</v>
      </c>
      <c r="K25" s="725">
        <f t="shared" si="12"/>
        <v>625000</v>
      </c>
      <c r="L25" s="382">
        <f t="shared" si="15"/>
        <v>208333.33333333334</v>
      </c>
      <c r="M25" s="382">
        <f t="shared" si="15"/>
        <v>208333.33333333334</v>
      </c>
      <c r="N25" s="382">
        <f t="shared" si="15"/>
        <v>208333.33333333334</v>
      </c>
      <c r="O25" s="725">
        <f t="shared" si="13"/>
        <v>625000</v>
      </c>
      <c r="P25" s="382">
        <f t="shared" si="15"/>
        <v>208333.33333333334</v>
      </c>
      <c r="Q25" s="382">
        <f t="shared" si="15"/>
        <v>208333.33333333334</v>
      </c>
      <c r="R25" s="383">
        <f t="shared" si="15"/>
        <v>208333.33333333334</v>
      </c>
      <c r="S25" s="725">
        <f t="shared" si="14"/>
        <v>625000</v>
      </c>
      <c r="T25" s="713">
        <f t="shared" si="5"/>
        <v>2500000</v>
      </c>
      <c r="U25" s="737"/>
      <c r="V25" s="444">
        <f>'Roční Rozpočet '!C26</f>
        <v>2500000</v>
      </c>
      <c r="W25" s="737"/>
      <c r="X25" s="737"/>
      <c r="Y25" s="737"/>
      <c r="Z25" s="737"/>
      <c r="AA25" s="737"/>
    </row>
    <row r="26" spans="3:27" ht="21" customHeight="1" thickBot="1">
      <c r="C26" s="356" t="s">
        <v>247</v>
      </c>
      <c r="D26" s="649">
        <f t="shared" ref="D26:R26" si="16">SUM(D3,D9,D13:D25)</f>
        <v>9247974.55727778</v>
      </c>
      <c r="E26" s="649">
        <f t="shared" si="16"/>
        <v>9552842.7027777787</v>
      </c>
      <c r="F26" s="649">
        <f t="shared" si="16"/>
        <v>11050136.140277779</v>
      </c>
      <c r="G26" s="649">
        <f t="shared" si="16"/>
        <v>29850953.400333334</v>
      </c>
      <c r="H26" s="649">
        <f t="shared" si="16"/>
        <v>9652842.7027777787</v>
      </c>
      <c r="I26" s="649">
        <f t="shared" si="16"/>
        <v>9552842.7027777787</v>
      </c>
      <c r="J26" s="649">
        <f t="shared" si="16"/>
        <v>11050136.140277779</v>
      </c>
      <c r="K26" s="649">
        <f t="shared" ref="K26" si="17">SUM(K3,K9,K13:K25)</f>
        <v>30255821.545833331</v>
      </c>
      <c r="L26" s="649">
        <f t="shared" si="16"/>
        <v>9810842.7027777787</v>
      </c>
      <c r="M26" s="649">
        <f t="shared" si="16"/>
        <v>9552842.7027777787</v>
      </c>
      <c r="N26" s="649">
        <f t="shared" si="16"/>
        <v>11050136.140277779</v>
      </c>
      <c r="O26" s="649">
        <f t="shared" ref="O26" si="18">SUM(O3,O9,O13:O25)</f>
        <v>30413821.545833331</v>
      </c>
      <c r="P26" s="649">
        <f t="shared" si="16"/>
        <v>9652842.7027777787</v>
      </c>
      <c r="Q26" s="649">
        <f t="shared" si="16"/>
        <v>9552842.7027777787</v>
      </c>
      <c r="R26" s="649">
        <f t="shared" si="16"/>
        <v>11050136.140277779</v>
      </c>
      <c r="S26" s="649">
        <f t="shared" ref="S26" si="19">SUM(S3,S9,S13:S25)</f>
        <v>30255821.545833331</v>
      </c>
      <c r="T26" s="713">
        <f t="shared" si="5"/>
        <v>120776418.03783333</v>
      </c>
      <c r="U26" s="737"/>
      <c r="V26" s="444">
        <f>'Roční Rozpočet '!C27</f>
        <v>1110006344.9854763</v>
      </c>
      <c r="W26" s="737"/>
      <c r="X26" s="737"/>
      <c r="Y26" s="737"/>
      <c r="Z26" s="737"/>
      <c r="AA26" s="737"/>
    </row>
    <row r="27" spans="3:27">
      <c r="C27" s="737"/>
      <c r="D27" s="868">
        <f>D26-D3</f>
        <v>2737540.2777777798</v>
      </c>
      <c r="E27" s="868">
        <f t="shared" ref="E27:T27" si="20">E26-E3</f>
        <v>2737540.2777777789</v>
      </c>
      <c r="F27" s="868">
        <f t="shared" si="20"/>
        <v>2737540.2777777789</v>
      </c>
      <c r="G27" s="868">
        <f t="shared" si="20"/>
        <v>8212620.8333333321</v>
      </c>
      <c r="H27" s="868">
        <f t="shared" si="20"/>
        <v>2737540.2777777789</v>
      </c>
      <c r="I27" s="868">
        <f t="shared" si="20"/>
        <v>2737540.2777777789</v>
      </c>
      <c r="J27" s="868">
        <f t="shared" si="20"/>
        <v>2737540.2777777789</v>
      </c>
      <c r="K27" s="868">
        <f t="shared" si="20"/>
        <v>8212620.8333333321</v>
      </c>
      <c r="L27" s="868">
        <f t="shared" si="20"/>
        <v>2737540.2777777789</v>
      </c>
      <c r="M27" s="868">
        <f t="shared" si="20"/>
        <v>2737540.2777777789</v>
      </c>
      <c r="N27" s="868">
        <f t="shared" si="20"/>
        <v>2737540.2777777789</v>
      </c>
      <c r="O27" s="868">
        <f t="shared" si="20"/>
        <v>8212620.8333333321</v>
      </c>
      <c r="P27" s="868">
        <f t="shared" si="20"/>
        <v>2737540.2777777789</v>
      </c>
      <c r="Q27" s="868">
        <f t="shared" si="20"/>
        <v>2737540.2777777789</v>
      </c>
      <c r="R27" s="868">
        <f t="shared" si="20"/>
        <v>2737540.2777777789</v>
      </c>
      <c r="S27" s="868">
        <f t="shared" si="20"/>
        <v>8212620.8333333321</v>
      </c>
      <c r="T27" s="868">
        <f t="shared" si="20"/>
        <v>32850483.333333343</v>
      </c>
      <c r="U27" s="737"/>
      <c r="V27" s="737"/>
      <c r="W27" s="737"/>
      <c r="X27" s="737"/>
      <c r="Y27" s="737"/>
      <c r="Z27" s="737"/>
      <c r="AA27" s="737"/>
    </row>
  </sheetData>
  <customSheetViews>
    <customSheetView guid="{F9015B81-4D5E-47E3-BFA8-A54438E9D1FF}" scale="70" showGridLines="0" topLeftCell="G1">
      <selection activeCell="V19" sqref="V19"/>
      <pageMargins left="0.7" right="0.7" top="0.78740157499999996" bottom="0.78740157499999996" header="0.3" footer="0.3"/>
    </customSheetView>
  </customSheetViews>
  <mergeCells count="1">
    <mergeCell ref="C1:T1"/>
  </mergeCells>
  <conditionalFormatting sqref="V3:V26">
    <cfRule type="cellIs" dxfId="1" priority="1" operator="notEqual">
      <formula>T3</formula>
    </cfRule>
    <cfRule type="cellIs" dxfId="0" priority="2" operator="equal">
      <formula>T3</formula>
    </cfRule>
  </conditionalFormatting>
  <hyperlinks>
    <hyperlink ref="A1" location="MENU!A1" display="MENU" xr:uid="{1E4AB701-CB8A-475D-A672-687A7663281A}"/>
  </hyperlinks>
  <pageMargins left="0.7" right="0.7" top="0.78740157499999996" bottom="0.78740157499999996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56503-6504-4596-A24F-D86E1D6F14C5}">
  <sheetPr>
    <tabColor rgb="FFFFC000"/>
  </sheetPr>
  <dimension ref="A1:AO49"/>
  <sheetViews>
    <sheetView showGridLines="0" topLeftCell="W16" zoomScale="70" zoomScaleNormal="70" workbookViewId="0">
      <selection activeCell="O43" sqref="O43"/>
    </sheetView>
  </sheetViews>
  <sheetFormatPr defaultColWidth="8.77734375" defaultRowHeight="14.25" outlineLevelCol="1"/>
  <cols>
    <col min="1" max="1" width="8.77734375" style="55"/>
    <col min="2" max="2" width="3.77734375" style="55" customWidth="1"/>
    <col min="3" max="3" width="25.77734375" style="55" customWidth="1"/>
    <col min="4" max="4" width="9.77734375" style="55" customWidth="1"/>
    <col min="5" max="5" width="11" style="55" customWidth="1"/>
    <col min="6" max="8" width="9.33203125" style="55" customWidth="1" outlineLevel="1"/>
    <col min="9" max="9" width="9.33203125" style="55" customWidth="1"/>
    <col min="10" max="12" width="9.33203125" style="55" customWidth="1" outlineLevel="1"/>
    <col min="13" max="13" width="9.33203125" style="55" customWidth="1"/>
    <col min="14" max="16" width="9.33203125" style="55" customWidth="1" outlineLevel="1"/>
    <col min="17" max="17" width="9.33203125" style="55" customWidth="1"/>
    <col min="18" max="20" width="9.33203125" style="55" customWidth="1" outlineLevel="1"/>
    <col min="21" max="21" width="9.33203125" style="55" customWidth="1"/>
    <col min="22" max="22" width="13.33203125" style="55" customWidth="1"/>
    <col min="23" max="23" width="2.44140625" style="55" customWidth="1"/>
    <col min="24" max="24" width="12.21875" style="55" customWidth="1"/>
    <col min="25" max="27" width="10.77734375" style="55" customWidth="1" outlineLevel="1"/>
    <col min="28" max="28" width="10.77734375" style="737" customWidth="1"/>
    <col min="29" max="31" width="10.77734375" style="55" customWidth="1" outlineLevel="1"/>
    <col min="32" max="32" width="10.77734375" style="737" customWidth="1"/>
    <col min="33" max="35" width="10.77734375" style="55" customWidth="1" outlineLevel="1"/>
    <col min="36" max="36" width="10.77734375" style="737" customWidth="1"/>
    <col min="37" max="39" width="10.77734375" style="55" customWidth="1" outlineLevel="1"/>
    <col min="40" max="40" width="10.77734375" style="737" customWidth="1"/>
    <col min="41" max="41" width="16.44140625" style="55" customWidth="1"/>
    <col min="42" max="16384" width="8.77734375" style="55"/>
  </cols>
  <sheetData>
    <row r="1" spans="1:41" ht="22.5" customHeight="1" thickBot="1">
      <c r="A1" s="107" t="s">
        <v>1</v>
      </c>
      <c r="B1" s="737"/>
      <c r="C1" s="1545" t="s">
        <v>569</v>
      </c>
      <c r="D1" s="1546"/>
      <c r="E1" s="1546"/>
      <c r="F1" s="1546"/>
      <c r="G1" s="1546"/>
      <c r="H1" s="1546"/>
      <c r="I1" s="1546"/>
      <c r="J1" s="1546"/>
      <c r="K1" s="1546"/>
      <c r="L1" s="1546"/>
      <c r="M1" s="1546"/>
      <c r="N1" s="1546"/>
      <c r="O1" s="1546"/>
      <c r="P1" s="1546"/>
      <c r="Q1" s="1546"/>
      <c r="R1" s="1546"/>
      <c r="S1" s="1546"/>
      <c r="T1" s="1546"/>
      <c r="U1" s="1546"/>
      <c r="V1" s="1547"/>
      <c r="W1" s="737"/>
      <c r="X1" s="1545" t="s">
        <v>570</v>
      </c>
      <c r="Y1" s="1546"/>
      <c r="Z1" s="1546"/>
      <c r="AA1" s="1546"/>
      <c r="AB1" s="1546"/>
      <c r="AC1" s="1546"/>
      <c r="AD1" s="1546"/>
      <c r="AE1" s="1546"/>
      <c r="AF1" s="1546"/>
      <c r="AG1" s="1546"/>
      <c r="AH1" s="1546"/>
      <c r="AI1" s="1546"/>
      <c r="AJ1" s="1546"/>
      <c r="AK1" s="1546"/>
      <c r="AL1" s="1546"/>
      <c r="AM1" s="1546"/>
      <c r="AN1" s="1546"/>
      <c r="AO1" s="1547"/>
    </row>
    <row r="2" spans="1:41" ht="23.25" customHeight="1" thickBot="1">
      <c r="A2" s="737"/>
      <c r="B2" s="737"/>
      <c r="C2" s="1548" t="s">
        <v>571</v>
      </c>
      <c r="D2" s="1549"/>
      <c r="E2" s="1550"/>
      <c r="F2" s="360">
        <v>1</v>
      </c>
      <c r="G2" s="360">
        <v>2</v>
      </c>
      <c r="H2" s="360">
        <v>3</v>
      </c>
      <c r="I2" s="360" t="s">
        <v>258</v>
      </c>
      <c r="J2" s="360">
        <v>4</v>
      </c>
      <c r="K2" s="360">
        <v>5</v>
      </c>
      <c r="L2" s="360">
        <v>6</v>
      </c>
      <c r="M2" s="360" t="s">
        <v>262</v>
      </c>
      <c r="N2" s="360">
        <v>7</v>
      </c>
      <c r="O2" s="360">
        <v>8</v>
      </c>
      <c r="P2" s="360">
        <v>9</v>
      </c>
      <c r="Q2" s="360" t="s">
        <v>266</v>
      </c>
      <c r="R2" s="360">
        <v>10</v>
      </c>
      <c r="S2" s="360">
        <v>11</v>
      </c>
      <c r="T2" s="361">
        <v>12</v>
      </c>
      <c r="U2" s="699" t="s">
        <v>270</v>
      </c>
      <c r="V2" s="358" t="s">
        <v>512</v>
      </c>
      <c r="W2" s="737"/>
      <c r="X2" s="1356" t="s">
        <v>572</v>
      </c>
      <c r="Y2" s="360">
        <v>1</v>
      </c>
      <c r="Z2" s="360">
        <v>2</v>
      </c>
      <c r="AA2" s="360">
        <v>3</v>
      </c>
      <c r="AB2" s="360" t="s">
        <v>258</v>
      </c>
      <c r="AC2" s="360">
        <v>4</v>
      </c>
      <c r="AD2" s="360">
        <v>5</v>
      </c>
      <c r="AE2" s="360">
        <v>6</v>
      </c>
      <c r="AF2" s="360" t="s">
        <v>262</v>
      </c>
      <c r="AG2" s="360">
        <v>7</v>
      </c>
      <c r="AH2" s="360">
        <v>8</v>
      </c>
      <c r="AI2" s="360">
        <v>9</v>
      </c>
      <c r="AJ2" s="360" t="s">
        <v>266</v>
      </c>
      <c r="AK2" s="360">
        <v>10</v>
      </c>
      <c r="AL2" s="360">
        <v>11</v>
      </c>
      <c r="AM2" s="361">
        <v>12</v>
      </c>
      <c r="AN2" s="699" t="s">
        <v>270</v>
      </c>
      <c r="AO2" s="358" t="s">
        <v>512</v>
      </c>
    </row>
    <row r="3" spans="1:41" ht="23.25" customHeight="1" thickBot="1">
      <c r="A3" s="737"/>
      <c r="B3" s="737"/>
      <c r="C3" s="1567" t="s">
        <v>573</v>
      </c>
      <c r="D3" s="1568"/>
      <c r="E3" s="1578"/>
      <c r="F3" s="586">
        <f>'PL. Výroby'!D17</f>
        <v>152</v>
      </c>
      <c r="G3" s="586">
        <f>'PL. Výroby'!E17</f>
        <v>158</v>
      </c>
      <c r="H3" s="586">
        <f>'PL. Výroby'!F17</f>
        <v>156</v>
      </c>
      <c r="I3" s="586">
        <f>SUM(F3:H3)</f>
        <v>466</v>
      </c>
      <c r="J3" s="586">
        <f>'PL. Výroby'!G17</f>
        <v>160</v>
      </c>
      <c r="K3" s="586">
        <f>'PL. Výroby'!H17</f>
        <v>162</v>
      </c>
      <c r="L3" s="586">
        <f>'PL. Výroby'!I17</f>
        <v>160</v>
      </c>
      <c r="M3" s="586">
        <f>SUM(J3:L3)</f>
        <v>482</v>
      </c>
      <c r="N3" s="586">
        <f>'PL. Výroby'!J17</f>
        <v>132</v>
      </c>
      <c r="O3" s="586">
        <f>'PL. Výroby'!K17</f>
        <v>136</v>
      </c>
      <c r="P3" s="586">
        <f>'PL. Výroby'!L17</f>
        <v>156</v>
      </c>
      <c r="Q3" s="586">
        <f>SUM(N3:P3)</f>
        <v>424</v>
      </c>
      <c r="R3" s="586">
        <f>'PL. Výroby'!M17</f>
        <v>160</v>
      </c>
      <c r="S3" s="586">
        <f>'PL. Výroby'!N17</f>
        <v>154</v>
      </c>
      <c r="T3" s="590">
        <f>'PL. Výroby'!O17</f>
        <v>148</v>
      </c>
      <c r="U3" s="590">
        <f>SUM(R3:T3)</f>
        <v>462</v>
      </c>
      <c r="V3" s="591">
        <f>SUM(F3:T3)</f>
        <v>3206</v>
      </c>
      <c r="W3" s="737"/>
      <c r="X3" s="1576"/>
      <c r="Y3" s="1577"/>
      <c r="Z3" s="1577"/>
      <c r="AA3" s="1577"/>
      <c r="AB3" s="1577"/>
      <c r="AC3" s="1577"/>
      <c r="AD3" s="1577"/>
      <c r="AE3" s="1577"/>
      <c r="AF3" s="1577"/>
      <c r="AG3" s="1577"/>
      <c r="AH3" s="1577"/>
      <c r="AI3" s="1577"/>
      <c r="AJ3" s="1577"/>
      <c r="AK3" s="1577"/>
      <c r="AL3" s="1577"/>
      <c r="AM3" s="1577"/>
      <c r="AN3" s="1577"/>
      <c r="AO3" s="1577"/>
    </row>
    <row r="4" spans="1:41" ht="15.75" thickBot="1">
      <c r="A4" s="737"/>
      <c r="B4" s="737"/>
      <c r="C4" s="592" t="s">
        <v>574</v>
      </c>
      <c r="D4" s="593" t="s">
        <v>575</v>
      </c>
      <c r="E4" s="594" t="s">
        <v>576</v>
      </c>
      <c r="F4" s="1573"/>
      <c r="G4" s="1574"/>
      <c r="H4" s="1574"/>
      <c r="I4" s="1574"/>
      <c r="J4" s="1574"/>
      <c r="K4" s="1574"/>
      <c r="L4" s="1574"/>
      <c r="M4" s="1574"/>
      <c r="N4" s="1574"/>
      <c r="O4" s="1574"/>
      <c r="P4" s="1574"/>
      <c r="Q4" s="1574"/>
      <c r="R4" s="1574"/>
      <c r="S4" s="1574"/>
      <c r="T4" s="1574"/>
      <c r="U4" s="1574"/>
      <c r="V4" s="1575"/>
      <c r="W4" s="737"/>
      <c r="X4" s="640" t="s">
        <v>577</v>
      </c>
      <c r="Y4" s="1573"/>
      <c r="Z4" s="1574"/>
      <c r="AA4" s="1574"/>
      <c r="AB4" s="1574"/>
      <c r="AC4" s="1574"/>
      <c r="AD4" s="1574"/>
      <c r="AE4" s="1574"/>
      <c r="AF4" s="1574"/>
      <c r="AG4" s="1574"/>
      <c r="AH4" s="1574"/>
      <c r="AI4" s="1574"/>
      <c r="AJ4" s="1574"/>
      <c r="AK4" s="1574"/>
      <c r="AL4" s="1574"/>
      <c r="AM4" s="1574"/>
      <c r="AN4" s="1574"/>
      <c r="AO4" s="1575"/>
    </row>
    <row r="5" spans="1:41" ht="15" thickBot="1">
      <c r="A5" s="737"/>
      <c r="B5" s="737"/>
      <c r="C5" s="587" t="str">
        <f>PVN!C4</f>
        <v>Elektromotor - inwheel</v>
      </c>
      <c r="D5" s="614">
        <f>PVN!D4</f>
        <v>4</v>
      </c>
      <c r="E5" s="615">
        <f>ROUND(D5/2,0)</f>
        <v>2</v>
      </c>
      <c r="F5" s="605">
        <f>F$3*$D5</f>
        <v>608</v>
      </c>
      <c r="G5" s="604">
        <f>G$3*$D5+E5</f>
        <v>634</v>
      </c>
      <c r="H5" s="604">
        <f t="shared" ref="H5:S20" si="0">H$3*$D5</f>
        <v>624</v>
      </c>
      <c r="I5" s="727">
        <f>SUM(F5:H5)</f>
        <v>1866</v>
      </c>
      <c r="J5" s="604">
        <f t="shared" ref="J5:J32" si="1">J$3*$D5+E5</f>
        <v>642</v>
      </c>
      <c r="K5" s="604">
        <f t="shared" si="0"/>
        <v>648</v>
      </c>
      <c r="L5" s="604">
        <f t="shared" ref="L5:L32" si="2">L$3*$D5+E5</f>
        <v>642</v>
      </c>
      <c r="M5" s="727">
        <f>SUM(J5:L5)</f>
        <v>1932</v>
      </c>
      <c r="N5" s="604">
        <f t="shared" si="0"/>
        <v>528</v>
      </c>
      <c r="O5" s="604">
        <f t="shared" ref="O5:O32" si="3">O$3*$D5+E5</f>
        <v>546</v>
      </c>
      <c r="P5" s="604">
        <f t="shared" si="0"/>
        <v>624</v>
      </c>
      <c r="Q5" s="727">
        <f>SUM(N5:P5)</f>
        <v>1698</v>
      </c>
      <c r="R5" s="604">
        <f t="shared" ref="R5:R32" si="4">R$3*$D5+E5</f>
        <v>642</v>
      </c>
      <c r="S5" s="604">
        <f t="shared" si="0"/>
        <v>616</v>
      </c>
      <c r="T5" s="631">
        <f t="shared" ref="T5:T32" si="5">T$3*$D5+E5</f>
        <v>594</v>
      </c>
      <c r="U5" s="727">
        <f>SUM(R5:T5)</f>
        <v>1852</v>
      </c>
      <c r="V5" s="639">
        <f>I5+M5+Q5+U5</f>
        <v>7348</v>
      </c>
      <c r="W5" s="737"/>
      <c r="X5" s="739">
        <f>PVN!E4</f>
        <v>6680</v>
      </c>
      <c r="Y5" s="750">
        <f>F5*$X5</f>
        <v>4061440</v>
      </c>
      <c r="Z5" s="644">
        <f t="shared" ref="Z5:Z32" si="6">G5*$X5</f>
        <v>4235120</v>
      </c>
      <c r="AA5" s="644">
        <f t="shared" ref="AA5:AA32" si="7">H5*$X5</f>
        <v>4168320</v>
      </c>
      <c r="AB5" s="756">
        <f>SUM(Y5:AA5)</f>
        <v>12464880</v>
      </c>
      <c r="AC5" s="644">
        <f t="shared" ref="AC5:AC32" si="8">J5*$X5</f>
        <v>4288560</v>
      </c>
      <c r="AD5" s="644">
        <f t="shared" ref="AD5:AD32" si="9">K5*$X5</f>
        <v>4328640</v>
      </c>
      <c r="AE5" s="644">
        <f t="shared" ref="AE5:AE32" si="10">L5*$X5</f>
        <v>4288560</v>
      </c>
      <c r="AF5" s="756">
        <f>SUM(AC5:AE5)</f>
        <v>12905760</v>
      </c>
      <c r="AG5" s="644">
        <f t="shared" ref="AG5:AG32" si="11">N5*$X5</f>
        <v>3527040</v>
      </c>
      <c r="AH5" s="644">
        <f t="shared" ref="AH5:AH32" si="12">O5*$X5</f>
        <v>3647280</v>
      </c>
      <c r="AI5" s="644">
        <f t="shared" ref="AI5:AI32" si="13">P5*$X5</f>
        <v>4168320</v>
      </c>
      <c r="AJ5" s="756">
        <f>SUM(AG5:AI5)</f>
        <v>11342640</v>
      </c>
      <c r="AK5" s="644">
        <f t="shared" ref="AK5:AK32" si="14">R5*$X5</f>
        <v>4288560</v>
      </c>
      <c r="AL5" s="644">
        <f t="shared" ref="AL5:AL32" si="15">S5*$X5</f>
        <v>4114880</v>
      </c>
      <c r="AM5" s="644">
        <f t="shared" ref="AM5:AM32" si="16">T5*$X5</f>
        <v>3967920</v>
      </c>
      <c r="AN5" s="759">
        <f>SUM(AK5:AM5)</f>
        <v>12371360</v>
      </c>
      <c r="AO5" s="748">
        <f>AB5+AF5+AJ5+AN5</f>
        <v>49084640</v>
      </c>
    </row>
    <row r="6" spans="1:41" ht="15" thickBot="1">
      <c r="A6" s="737"/>
      <c r="B6" s="737"/>
      <c r="C6" s="595" t="str">
        <f>PVN!C5</f>
        <v>Elektromotor - stepper</v>
      </c>
      <c r="D6" s="616">
        <f>PVN!D5</f>
        <v>4</v>
      </c>
      <c r="E6" s="617">
        <f t="shared" ref="E6:E32" si="17">ROUND(D6/2,0)</f>
        <v>2</v>
      </c>
      <c r="F6" s="606">
        <f t="shared" ref="F6:F32" si="18">F$3*$D6</f>
        <v>608</v>
      </c>
      <c r="G6" s="536">
        <f t="shared" ref="G6:G32" si="19">G$3*$D6+E6</f>
        <v>634</v>
      </c>
      <c r="H6" s="536">
        <f t="shared" si="0"/>
        <v>624</v>
      </c>
      <c r="I6" s="728">
        <f>SUM(F6:H6)</f>
        <v>1866</v>
      </c>
      <c r="J6" s="536">
        <f t="shared" si="1"/>
        <v>642</v>
      </c>
      <c r="K6" s="536">
        <f t="shared" si="0"/>
        <v>648</v>
      </c>
      <c r="L6" s="536">
        <f t="shared" si="2"/>
        <v>642</v>
      </c>
      <c r="M6" s="728">
        <f>SUM(J6:L6)</f>
        <v>1932</v>
      </c>
      <c r="N6" s="536">
        <f t="shared" si="0"/>
        <v>528</v>
      </c>
      <c r="O6" s="536">
        <f t="shared" si="3"/>
        <v>546</v>
      </c>
      <c r="P6" s="536">
        <f t="shared" si="0"/>
        <v>624</v>
      </c>
      <c r="Q6" s="728">
        <f>SUM(N6:P6)</f>
        <v>1698</v>
      </c>
      <c r="R6" s="536">
        <f t="shared" si="4"/>
        <v>642</v>
      </c>
      <c r="S6" s="536">
        <f t="shared" si="0"/>
        <v>616</v>
      </c>
      <c r="T6" s="632">
        <f t="shared" si="5"/>
        <v>594</v>
      </c>
      <c r="U6" s="728">
        <f>SUM(R6:T6)</f>
        <v>1852</v>
      </c>
      <c r="V6" s="639">
        <f t="shared" ref="V6:V32" si="20">I6+M6+Q6+U6</f>
        <v>7348</v>
      </c>
      <c r="W6" s="737"/>
      <c r="X6" s="740">
        <f>PVN!E5</f>
        <v>3200</v>
      </c>
      <c r="Y6" s="751">
        <f t="shared" ref="Y6:Y32" si="21">F6*$X6</f>
        <v>1945600</v>
      </c>
      <c r="Z6" s="641">
        <f t="shared" si="6"/>
        <v>2028800</v>
      </c>
      <c r="AA6" s="641">
        <f t="shared" si="7"/>
        <v>1996800</v>
      </c>
      <c r="AB6" s="757">
        <f t="shared" ref="AB6:AB32" si="22">SUM(Y6:AA6)</f>
        <v>5971200</v>
      </c>
      <c r="AC6" s="641">
        <f t="shared" si="8"/>
        <v>2054400</v>
      </c>
      <c r="AD6" s="641">
        <f t="shared" si="9"/>
        <v>2073600</v>
      </c>
      <c r="AE6" s="641">
        <f t="shared" si="10"/>
        <v>2054400</v>
      </c>
      <c r="AF6" s="757">
        <f t="shared" ref="AF6:AF32" si="23">SUM(AC6:AE6)</f>
        <v>6182400</v>
      </c>
      <c r="AG6" s="641">
        <f t="shared" si="11"/>
        <v>1689600</v>
      </c>
      <c r="AH6" s="641">
        <f t="shared" si="12"/>
        <v>1747200</v>
      </c>
      <c r="AI6" s="641">
        <f t="shared" si="13"/>
        <v>1996800</v>
      </c>
      <c r="AJ6" s="757">
        <f t="shared" ref="AJ6:AJ32" si="24">SUM(AG6:AI6)</f>
        <v>5433600</v>
      </c>
      <c r="AK6" s="641">
        <f t="shared" si="14"/>
        <v>2054400</v>
      </c>
      <c r="AL6" s="641">
        <f t="shared" si="15"/>
        <v>1971200</v>
      </c>
      <c r="AM6" s="641">
        <f t="shared" si="16"/>
        <v>1900800</v>
      </c>
      <c r="AN6" s="760">
        <f t="shared" ref="AN6:AN32" si="25">SUM(AK6:AM6)</f>
        <v>5926400</v>
      </c>
      <c r="AO6" s="748">
        <f t="shared" ref="AO6:AO33" si="26">AB6+AF6+AJ6+AN6</f>
        <v>23513600</v>
      </c>
    </row>
    <row r="7" spans="1:41" ht="14.25" customHeight="1" thickBot="1">
      <c r="A7" s="737"/>
      <c r="B7" s="737"/>
      <c r="C7" s="595" t="str">
        <f>PVN!C6</f>
        <v>Elektromotor - rotor</v>
      </c>
      <c r="D7" s="616">
        <f>PVN!D6</f>
        <v>3</v>
      </c>
      <c r="E7" s="617">
        <f t="shared" si="17"/>
        <v>2</v>
      </c>
      <c r="F7" s="606">
        <f t="shared" si="18"/>
        <v>456</v>
      </c>
      <c r="G7" s="536">
        <f t="shared" si="19"/>
        <v>476</v>
      </c>
      <c r="H7" s="536">
        <f t="shared" si="0"/>
        <v>468</v>
      </c>
      <c r="I7" s="728">
        <f t="shared" ref="I7:I32" si="27">SUM(F7:H7)</f>
        <v>1400</v>
      </c>
      <c r="J7" s="536">
        <f t="shared" si="1"/>
        <v>482</v>
      </c>
      <c r="K7" s="536">
        <f t="shared" si="0"/>
        <v>486</v>
      </c>
      <c r="L7" s="536">
        <f t="shared" si="2"/>
        <v>482</v>
      </c>
      <c r="M7" s="728">
        <f t="shared" ref="M7:M32" si="28">SUM(J7:L7)</f>
        <v>1450</v>
      </c>
      <c r="N7" s="536">
        <f t="shared" si="0"/>
        <v>396</v>
      </c>
      <c r="O7" s="536">
        <f t="shared" si="3"/>
        <v>410</v>
      </c>
      <c r="P7" s="536">
        <f t="shared" si="0"/>
        <v>468</v>
      </c>
      <c r="Q7" s="728">
        <f t="shared" ref="Q7:Q32" si="29">SUM(N7:P7)</f>
        <v>1274</v>
      </c>
      <c r="R7" s="536">
        <f t="shared" si="4"/>
        <v>482</v>
      </c>
      <c r="S7" s="536">
        <f t="shared" si="0"/>
        <v>462</v>
      </c>
      <c r="T7" s="632">
        <f t="shared" si="5"/>
        <v>446</v>
      </c>
      <c r="U7" s="728">
        <f t="shared" ref="U7:U32" si="30">SUM(R7:T7)</f>
        <v>1390</v>
      </c>
      <c r="V7" s="639">
        <f t="shared" si="20"/>
        <v>5514</v>
      </c>
      <c r="W7" s="737"/>
      <c r="X7" s="740">
        <f>PVN!E6</f>
        <v>2400</v>
      </c>
      <c r="Y7" s="751">
        <f t="shared" si="21"/>
        <v>1094400</v>
      </c>
      <c r="Z7" s="641">
        <f t="shared" si="6"/>
        <v>1142400</v>
      </c>
      <c r="AA7" s="641">
        <f t="shared" si="7"/>
        <v>1123200</v>
      </c>
      <c r="AB7" s="757">
        <f t="shared" si="22"/>
        <v>3360000</v>
      </c>
      <c r="AC7" s="641">
        <f t="shared" si="8"/>
        <v>1156800</v>
      </c>
      <c r="AD7" s="641">
        <f t="shared" si="9"/>
        <v>1166400</v>
      </c>
      <c r="AE7" s="641">
        <f t="shared" si="10"/>
        <v>1156800</v>
      </c>
      <c r="AF7" s="757">
        <f t="shared" si="23"/>
        <v>3480000</v>
      </c>
      <c r="AG7" s="641">
        <f t="shared" si="11"/>
        <v>950400</v>
      </c>
      <c r="AH7" s="641">
        <f t="shared" si="12"/>
        <v>984000</v>
      </c>
      <c r="AI7" s="641">
        <f t="shared" si="13"/>
        <v>1123200</v>
      </c>
      <c r="AJ7" s="757">
        <f t="shared" si="24"/>
        <v>3057600</v>
      </c>
      <c r="AK7" s="641">
        <f t="shared" si="14"/>
        <v>1156800</v>
      </c>
      <c r="AL7" s="641">
        <f t="shared" si="15"/>
        <v>1108800</v>
      </c>
      <c r="AM7" s="641">
        <f t="shared" si="16"/>
        <v>1070400</v>
      </c>
      <c r="AN7" s="760">
        <f t="shared" si="25"/>
        <v>3336000</v>
      </c>
      <c r="AO7" s="748">
        <f t="shared" si="26"/>
        <v>13233600</v>
      </c>
    </row>
    <row r="8" spans="1:41" ht="14.25" customHeight="1" thickBot="1">
      <c r="A8" s="737"/>
      <c r="B8" s="737"/>
      <c r="C8" s="595" t="str">
        <f>PVN!C7</f>
        <v>Řídící jednotka</v>
      </c>
      <c r="D8" s="616">
        <f>PVN!D7</f>
        <v>1</v>
      </c>
      <c r="E8" s="617">
        <f t="shared" si="17"/>
        <v>1</v>
      </c>
      <c r="F8" s="606">
        <f t="shared" si="18"/>
        <v>152</v>
      </c>
      <c r="G8" s="536">
        <f t="shared" si="19"/>
        <v>159</v>
      </c>
      <c r="H8" s="601">
        <f t="shared" si="0"/>
        <v>156</v>
      </c>
      <c r="I8" s="728">
        <f t="shared" si="27"/>
        <v>467</v>
      </c>
      <c r="J8" s="601">
        <f t="shared" si="1"/>
        <v>161</v>
      </c>
      <c r="K8" s="601">
        <f t="shared" si="0"/>
        <v>162</v>
      </c>
      <c r="L8" s="601">
        <f t="shared" si="2"/>
        <v>161</v>
      </c>
      <c r="M8" s="728">
        <f t="shared" si="28"/>
        <v>484</v>
      </c>
      <c r="N8" s="601">
        <f t="shared" si="0"/>
        <v>132</v>
      </c>
      <c r="O8" s="601">
        <f t="shared" si="3"/>
        <v>137</v>
      </c>
      <c r="P8" s="601">
        <f t="shared" si="0"/>
        <v>156</v>
      </c>
      <c r="Q8" s="728">
        <f t="shared" si="29"/>
        <v>425</v>
      </c>
      <c r="R8" s="601">
        <f t="shared" si="4"/>
        <v>161</v>
      </c>
      <c r="S8" s="601">
        <f t="shared" si="0"/>
        <v>154</v>
      </c>
      <c r="T8" s="633">
        <f t="shared" si="5"/>
        <v>149</v>
      </c>
      <c r="U8" s="728">
        <f t="shared" si="30"/>
        <v>464</v>
      </c>
      <c r="V8" s="639">
        <f t="shared" si="20"/>
        <v>1840</v>
      </c>
      <c r="W8" s="333"/>
      <c r="X8" s="740">
        <f>PVN!E7</f>
        <v>17322</v>
      </c>
      <c r="Y8" s="752">
        <f t="shared" si="21"/>
        <v>2632944</v>
      </c>
      <c r="Z8" s="642">
        <f t="shared" si="6"/>
        <v>2754198</v>
      </c>
      <c r="AA8" s="642">
        <f t="shared" si="7"/>
        <v>2702232</v>
      </c>
      <c r="AB8" s="757">
        <f t="shared" si="22"/>
        <v>8089374</v>
      </c>
      <c r="AC8" s="641">
        <f t="shared" si="8"/>
        <v>2788842</v>
      </c>
      <c r="AD8" s="641">
        <f t="shared" si="9"/>
        <v>2806164</v>
      </c>
      <c r="AE8" s="641">
        <f t="shared" si="10"/>
        <v>2788842</v>
      </c>
      <c r="AF8" s="757">
        <f t="shared" si="23"/>
        <v>8383848</v>
      </c>
      <c r="AG8" s="641">
        <f t="shared" si="11"/>
        <v>2286504</v>
      </c>
      <c r="AH8" s="641">
        <f t="shared" si="12"/>
        <v>2373114</v>
      </c>
      <c r="AI8" s="641">
        <f t="shared" si="13"/>
        <v>2702232</v>
      </c>
      <c r="AJ8" s="757">
        <f t="shared" si="24"/>
        <v>7361850</v>
      </c>
      <c r="AK8" s="641">
        <f t="shared" si="14"/>
        <v>2788842</v>
      </c>
      <c r="AL8" s="641">
        <f t="shared" si="15"/>
        <v>2667588</v>
      </c>
      <c r="AM8" s="641">
        <f t="shared" si="16"/>
        <v>2580978</v>
      </c>
      <c r="AN8" s="760">
        <f t="shared" si="25"/>
        <v>8037408</v>
      </c>
      <c r="AO8" s="748">
        <f t="shared" si="26"/>
        <v>31872480</v>
      </c>
    </row>
    <row r="9" spans="1:41" ht="15.75" thickBot="1">
      <c r="A9" s="737"/>
      <c r="B9" s="737"/>
      <c r="C9" s="595" t="str">
        <f>PVN!C8</f>
        <v>Baterie</v>
      </c>
      <c r="D9" s="616">
        <f>PVN!D8</f>
        <v>10</v>
      </c>
      <c r="E9" s="617">
        <f t="shared" si="17"/>
        <v>5</v>
      </c>
      <c r="F9" s="606">
        <f t="shared" si="18"/>
        <v>1520</v>
      </c>
      <c r="G9" s="536">
        <f t="shared" si="19"/>
        <v>1585</v>
      </c>
      <c r="H9" s="601">
        <f t="shared" si="0"/>
        <v>1560</v>
      </c>
      <c r="I9" s="728">
        <f t="shared" si="27"/>
        <v>4665</v>
      </c>
      <c r="J9" s="602">
        <f t="shared" si="1"/>
        <v>1605</v>
      </c>
      <c r="K9" s="602">
        <f t="shared" si="0"/>
        <v>1620</v>
      </c>
      <c r="L9" s="602">
        <f t="shared" si="2"/>
        <v>1605</v>
      </c>
      <c r="M9" s="728">
        <f t="shared" si="28"/>
        <v>4830</v>
      </c>
      <c r="N9" s="602">
        <f t="shared" si="0"/>
        <v>1320</v>
      </c>
      <c r="O9" s="602">
        <f t="shared" si="3"/>
        <v>1365</v>
      </c>
      <c r="P9" s="602">
        <f t="shared" si="0"/>
        <v>1560</v>
      </c>
      <c r="Q9" s="728">
        <f t="shared" si="29"/>
        <v>4245</v>
      </c>
      <c r="R9" s="602">
        <f t="shared" si="4"/>
        <v>1605</v>
      </c>
      <c r="S9" s="602">
        <f t="shared" si="0"/>
        <v>1540</v>
      </c>
      <c r="T9" s="634">
        <f t="shared" si="5"/>
        <v>1485</v>
      </c>
      <c r="U9" s="728">
        <f t="shared" si="30"/>
        <v>4630</v>
      </c>
      <c r="V9" s="639">
        <f t="shared" si="20"/>
        <v>18370</v>
      </c>
      <c r="W9" s="335"/>
      <c r="X9" s="740">
        <f>PVN!E8</f>
        <v>18560</v>
      </c>
      <c r="Y9" s="753">
        <f t="shared" si="21"/>
        <v>28211200</v>
      </c>
      <c r="Z9" s="642">
        <f t="shared" si="6"/>
        <v>29417600</v>
      </c>
      <c r="AA9" s="642">
        <f t="shared" si="7"/>
        <v>28953600</v>
      </c>
      <c r="AB9" s="757">
        <f t="shared" si="22"/>
        <v>86582400</v>
      </c>
      <c r="AC9" s="641">
        <f t="shared" si="8"/>
        <v>29788800</v>
      </c>
      <c r="AD9" s="641">
        <f t="shared" si="9"/>
        <v>30067200</v>
      </c>
      <c r="AE9" s="641">
        <f t="shared" si="10"/>
        <v>29788800</v>
      </c>
      <c r="AF9" s="757">
        <f t="shared" si="23"/>
        <v>89644800</v>
      </c>
      <c r="AG9" s="641">
        <f t="shared" si="11"/>
        <v>24499200</v>
      </c>
      <c r="AH9" s="641">
        <f t="shared" si="12"/>
        <v>25334400</v>
      </c>
      <c r="AI9" s="641">
        <f t="shared" si="13"/>
        <v>28953600</v>
      </c>
      <c r="AJ9" s="757">
        <f t="shared" si="24"/>
        <v>78787200</v>
      </c>
      <c r="AK9" s="641">
        <f t="shared" si="14"/>
        <v>29788800</v>
      </c>
      <c r="AL9" s="641">
        <f t="shared" si="15"/>
        <v>28582400</v>
      </c>
      <c r="AM9" s="641">
        <f t="shared" si="16"/>
        <v>27561600</v>
      </c>
      <c r="AN9" s="760">
        <f t="shared" si="25"/>
        <v>85932800</v>
      </c>
      <c r="AO9" s="748">
        <f t="shared" si="26"/>
        <v>340947200</v>
      </c>
    </row>
    <row r="10" spans="1:41" ht="15" thickBot="1">
      <c r="A10" s="737"/>
      <c r="B10" s="737"/>
      <c r="C10" s="595" t="str">
        <f>PVN!C9</f>
        <v>Výstražná světla</v>
      </c>
      <c r="D10" s="616">
        <f>PVN!D9</f>
        <v>4</v>
      </c>
      <c r="E10" s="617">
        <f t="shared" si="17"/>
        <v>2</v>
      </c>
      <c r="F10" s="606">
        <f t="shared" si="18"/>
        <v>608</v>
      </c>
      <c r="G10" s="536">
        <f t="shared" si="19"/>
        <v>634</v>
      </c>
      <c r="H10" s="601">
        <f t="shared" si="0"/>
        <v>624</v>
      </c>
      <c r="I10" s="728">
        <f t="shared" si="27"/>
        <v>1866</v>
      </c>
      <c r="J10" s="601">
        <f t="shared" si="1"/>
        <v>642</v>
      </c>
      <c r="K10" s="603">
        <f t="shared" si="0"/>
        <v>648</v>
      </c>
      <c r="L10" s="603">
        <f t="shared" si="2"/>
        <v>642</v>
      </c>
      <c r="M10" s="728">
        <f t="shared" si="28"/>
        <v>1932</v>
      </c>
      <c r="N10" s="603">
        <f t="shared" si="0"/>
        <v>528</v>
      </c>
      <c r="O10" s="601">
        <f t="shared" si="3"/>
        <v>546</v>
      </c>
      <c r="P10" s="603">
        <f t="shared" si="0"/>
        <v>624</v>
      </c>
      <c r="Q10" s="728">
        <f t="shared" si="29"/>
        <v>1698</v>
      </c>
      <c r="R10" s="603">
        <f t="shared" si="4"/>
        <v>642</v>
      </c>
      <c r="S10" s="601">
        <f t="shared" si="0"/>
        <v>616</v>
      </c>
      <c r="T10" s="635">
        <f t="shared" si="5"/>
        <v>594</v>
      </c>
      <c r="U10" s="728">
        <f t="shared" si="30"/>
        <v>1852</v>
      </c>
      <c r="V10" s="639">
        <f t="shared" si="20"/>
        <v>7348</v>
      </c>
      <c r="W10" s="337"/>
      <c r="X10" s="740">
        <f>PVN!E9</f>
        <v>450</v>
      </c>
      <c r="Y10" s="754">
        <f t="shared" si="21"/>
        <v>273600</v>
      </c>
      <c r="Z10" s="642">
        <f t="shared" si="6"/>
        <v>285300</v>
      </c>
      <c r="AA10" s="642">
        <f t="shared" si="7"/>
        <v>280800</v>
      </c>
      <c r="AB10" s="757">
        <f t="shared" si="22"/>
        <v>839700</v>
      </c>
      <c r="AC10" s="641">
        <f t="shared" si="8"/>
        <v>288900</v>
      </c>
      <c r="AD10" s="641">
        <f t="shared" si="9"/>
        <v>291600</v>
      </c>
      <c r="AE10" s="641">
        <f t="shared" si="10"/>
        <v>288900</v>
      </c>
      <c r="AF10" s="757">
        <f t="shared" si="23"/>
        <v>869400</v>
      </c>
      <c r="AG10" s="641">
        <f t="shared" si="11"/>
        <v>237600</v>
      </c>
      <c r="AH10" s="641">
        <f t="shared" si="12"/>
        <v>245700</v>
      </c>
      <c r="AI10" s="641">
        <f t="shared" si="13"/>
        <v>280800</v>
      </c>
      <c r="AJ10" s="757">
        <f t="shared" si="24"/>
        <v>764100</v>
      </c>
      <c r="AK10" s="641">
        <f t="shared" si="14"/>
        <v>288900</v>
      </c>
      <c r="AL10" s="641">
        <f t="shared" si="15"/>
        <v>277200</v>
      </c>
      <c r="AM10" s="641">
        <f t="shared" si="16"/>
        <v>267300</v>
      </c>
      <c r="AN10" s="760">
        <f t="shared" si="25"/>
        <v>833400</v>
      </c>
      <c r="AO10" s="748">
        <f t="shared" si="26"/>
        <v>3306600</v>
      </c>
    </row>
    <row r="11" spans="1:41" ht="15" thickBot="1">
      <c r="A11" s="737"/>
      <c r="B11" s="737"/>
      <c r="C11" s="595" t="str">
        <f>PVN!C10</f>
        <v>Alarm</v>
      </c>
      <c r="D11" s="616">
        <f>PVN!D10</f>
        <v>1</v>
      </c>
      <c r="E11" s="617">
        <f t="shared" si="17"/>
        <v>1</v>
      </c>
      <c r="F11" s="606">
        <f t="shared" si="18"/>
        <v>152</v>
      </c>
      <c r="G11" s="536">
        <f t="shared" si="19"/>
        <v>159</v>
      </c>
      <c r="H11" s="601">
        <f t="shared" si="0"/>
        <v>156</v>
      </c>
      <c r="I11" s="728">
        <f t="shared" si="27"/>
        <v>467</v>
      </c>
      <c r="J11" s="601">
        <f t="shared" si="1"/>
        <v>161</v>
      </c>
      <c r="K11" s="601">
        <f t="shared" si="0"/>
        <v>162</v>
      </c>
      <c r="L11" s="601">
        <f t="shared" si="2"/>
        <v>161</v>
      </c>
      <c r="M11" s="728">
        <f t="shared" si="28"/>
        <v>484</v>
      </c>
      <c r="N11" s="601">
        <f t="shared" si="0"/>
        <v>132</v>
      </c>
      <c r="O11" s="601">
        <f t="shared" si="3"/>
        <v>137</v>
      </c>
      <c r="P11" s="601">
        <f t="shared" si="0"/>
        <v>156</v>
      </c>
      <c r="Q11" s="728">
        <f t="shared" si="29"/>
        <v>425</v>
      </c>
      <c r="R11" s="601">
        <f t="shared" si="4"/>
        <v>161</v>
      </c>
      <c r="S11" s="601">
        <f t="shared" si="0"/>
        <v>154</v>
      </c>
      <c r="T11" s="633">
        <f t="shared" si="5"/>
        <v>149</v>
      </c>
      <c r="U11" s="728">
        <f t="shared" si="30"/>
        <v>464</v>
      </c>
      <c r="V11" s="639">
        <f t="shared" si="20"/>
        <v>1840</v>
      </c>
      <c r="W11" s="333"/>
      <c r="X11" s="740">
        <f>PVN!E10</f>
        <v>980</v>
      </c>
      <c r="Y11" s="752">
        <f t="shared" si="21"/>
        <v>148960</v>
      </c>
      <c r="Z11" s="642">
        <f t="shared" si="6"/>
        <v>155820</v>
      </c>
      <c r="AA11" s="642">
        <f t="shared" si="7"/>
        <v>152880</v>
      </c>
      <c r="AB11" s="757">
        <f t="shared" si="22"/>
        <v>457660</v>
      </c>
      <c r="AC11" s="641">
        <f t="shared" si="8"/>
        <v>157780</v>
      </c>
      <c r="AD11" s="641">
        <f t="shared" si="9"/>
        <v>158760</v>
      </c>
      <c r="AE11" s="641">
        <f t="shared" si="10"/>
        <v>157780</v>
      </c>
      <c r="AF11" s="757">
        <f t="shared" si="23"/>
        <v>474320</v>
      </c>
      <c r="AG11" s="641">
        <f t="shared" si="11"/>
        <v>129360</v>
      </c>
      <c r="AH11" s="641">
        <f t="shared" si="12"/>
        <v>134260</v>
      </c>
      <c r="AI11" s="641">
        <f t="shared" si="13"/>
        <v>152880</v>
      </c>
      <c r="AJ11" s="757">
        <f t="shared" si="24"/>
        <v>416500</v>
      </c>
      <c r="AK11" s="641">
        <f t="shared" si="14"/>
        <v>157780</v>
      </c>
      <c r="AL11" s="641">
        <f t="shared" si="15"/>
        <v>150920</v>
      </c>
      <c r="AM11" s="641">
        <f t="shared" si="16"/>
        <v>146020</v>
      </c>
      <c r="AN11" s="760">
        <f t="shared" si="25"/>
        <v>454720</v>
      </c>
      <c r="AO11" s="748">
        <f t="shared" si="26"/>
        <v>1803200</v>
      </c>
    </row>
    <row r="12" spans="1:41" ht="15" thickBot="1">
      <c r="A12" s="737"/>
      <c r="B12" s="737"/>
      <c r="C12" s="595" t="str">
        <f>PVN!C11</f>
        <v>Wifi reciever and transmitter</v>
      </c>
      <c r="D12" s="616">
        <f>PVN!D11</f>
        <v>1</v>
      </c>
      <c r="E12" s="617">
        <f t="shared" si="17"/>
        <v>1</v>
      </c>
      <c r="F12" s="606">
        <f t="shared" si="18"/>
        <v>152</v>
      </c>
      <c r="G12" s="536">
        <f t="shared" si="19"/>
        <v>159</v>
      </c>
      <c r="H12" s="601">
        <f t="shared" si="0"/>
        <v>156</v>
      </c>
      <c r="I12" s="728">
        <f t="shared" si="27"/>
        <v>467</v>
      </c>
      <c r="J12" s="601">
        <f t="shared" si="1"/>
        <v>161</v>
      </c>
      <c r="K12" s="603">
        <f t="shared" si="0"/>
        <v>162</v>
      </c>
      <c r="L12" s="603">
        <f t="shared" si="2"/>
        <v>161</v>
      </c>
      <c r="M12" s="728">
        <f t="shared" si="28"/>
        <v>484</v>
      </c>
      <c r="N12" s="603">
        <f t="shared" si="0"/>
        <v>132</v>
      </c>
      <c r="O12" s="603">
        <f t="shared" si="3"/>
        <v>137</v>
      </c>
      <c r="P12" s="603">
        <f t="shared" si="0"/>
        <v>156</v>
      </c>
      <c r="Q12" s="728">
        <f t="shared" si="29"/>
        <v>425</v>
      </c>
      <c r="R12" s="603">
        <f t="shared" si="4"/>
        <v>161</v>
      </c>
      <c r="S12" s="603">
        <f t="shared" si="0"/>
        <v>154</v>
      </c>
      <c r="T12" s="635">
        <f t="shared" si="5"/>
        <v>149</v>
      </c>
      <c r="U12" s="728">
        <f t="shared" si="30"/>
        <v>464</v>
      </c>
      <c r="V12" s="639">
        <f t="shared" si="20"/>
        <v>1840</v>
      </c>
      <c r="W12" s="337"/>
      <c r="X12" s="740">
        <f>PVN!E11</f>
        <v>2590</v>
      </c>
      <c r="Y12" s="754">
        <f t="shared" si="21"/>
        <v>393680</v>
      </c>
      <c r="Z12" s="642">
        <f t="shared" si="6"/>
        <v>411810</v>
      </c>
      <c r="AA12" s="642">
        <f t="shared" si="7"/>
        <v>404040</v>
      </c>
      <c r="AB12" s="757">
        <f t="shared" si="22"/>
        <v>1209530</v>
      </c>
      <c r="AC12" s="641">
        <f t="shared" si="8"/>
        <v>416990</v>
      </c>
      <c r="AD12" s="641">
        <f t="shared" si="9"/>
        <v>419580</v>
      </c>
      <c r="AE12" s="641">
        <f t="shared" si="10"/>
        <v>416990</v>
      </c>
      <c r="AF12" s="757">
        <f t="shared" si="23"/>
        <v>1253560</v>
      </c>
      <c r="AG12" s="641">
        <f t="shared" si="11"/>
        <v>341880</v>
      </c>
      <c r="AH12" s="641">
        <f t="shared" si="12"/>
        <v>354830</v>
      </c>
      <c r="AI12" s="641">
        <f t="shared" si="13"/>
        <v>404040</v>
      </c>
      <c r="AJ12" s="757">
        <f t="shared" si="24"/>
        <v>1100750</v>
      </c>
      <c r="AK12" s="641">
        <f t="shared" si="14"/>
        <v>416990</v>
      </c>
      <c r="AL12" s="641">
        <f t="shared" si="15"/>
        <v>398860</v>
      </c>
      <c r="AM12" s="641">
        <f t="shared" si="16"/>
        <v>385910</v>
      </c>
      <c r="AN12" s="760">
        <f t="shared" si="25"/>
        <v>1201760</v>
      </c>
      <c r="AO12" s="748">
        <f t="shared" si="26"/>
        <v>4765600</v>
      </c>
    </row>
    <row r="13" spans="1:41" ht="15" thickBot="1">
      <c r="A13" s="737"/>
      <c r="B13" s="737"/>
      <c r="C13" s="595" t="str">
        <f>PVN!C12</f>
        <v>GPS module</v>
      </c>
      <c r="D13" s="616">
        <f>PVN!D12</f>
        <v>1</v>
      </c>
      <c r="E13" s="617">
        <f t="shared" si="17"/>
        <v>1</v>
      </c>
      <c r="F13" s="606">
        <f t="shared" si="18"/>
        <v>152</v>
      </c>
      <c r="G13" s="601">
        <f t="shared" si="19"/>
        <v>159</v>
      </c>
      <c r="H13" s="601">
        <f t="shared" si="0"/>
        <v>156</v>
      </c>
      <c r="I13" s="728">
        <f t="shared" si="27"/>
        <v>467</v>
      </c>
      <c r="J13" s="601">
        <f t="shared" si="1"/>
        <v>161</v>
      </c>
      <c r="K13" s="601">
        <f t="shared" si="0"/>
        <v>162</v>
      </c>
      <c r="L13" s="601">
        <f t="shared" si="2"/>
        <v>161</v>
      </c>
      <c r="M13" s="728">
        <f t="shared" si="28"/>
        <v>484</v>
      </c>
      <c r="N13" s="601">
        <f t="shared" si="0"/>
        <v>132</v>
      </c>
      <c r="O13" s="601">
        <f t="shared" si="3"/>
        <v>137</v>
      </c>
      <c r="P13" s="601">
        <f t="shared" si="0"/>
        <v>156</v>
      </c>
      <c r="Q13" s="728">
        <f t="shared" si="29"/>
        <v>425</v>
      </c>
      <c r="R13" s="601">
        <f t="shared" si="4"/>
        <v>161</v>
      </c>
      <c r="S13" s="601">
        <f t="shared" si="0"/>
        <v>154</v>
      </c>
      <c r="T13" s="633">
        <f t="shared" si="5"/>
        <v>149</v>
      </c>
      <c r="U13" s="728">
        <f t="shared" si="30"/>
        <v>464</v>
      </c>
      <c r="V13" s="639">
        <f t="shared" si="20"/>
        <v>1840</v>
      </c>
      <c r="W13" s="333"/>
      <c r="X13" s="740">
        <f>PVN!E12</f>
        <v>969</v>
      </c>
      <c r="Y13" s="752">
        <f t="shared" si="21"/>
        <v>147288</v>
      </c>
      <c r="Z13" s="642">
        <f t="shared" si="6"/>
        <v>154071</v>
      </c>
      <c r="AA13" s="642">
        <f t="shared" si="7"/>
        <v>151164</v>
      </c>
      <c r="AB13" s="757">
        <f t="shared" si="22"/>
        <v>452523</v>
      </c>
      <c r="AC13" s="641">
        <f t="shared" si="8"/>
        <v>156009</v>
      </c>
      <c r="AD13" s="641">
        <f t="shared" si="9"/>
        <v>156978</v>
      </c>
      <c r="AE13" s="641">
        <f t="shared" si="10"/>
        <v>156009</v>
      </c>
      <c r="AF13" s="757">
        <f t="shared" si="23"/>
        <v>468996</v>
      </c>
      <c r="AG13" s="641">
        <f t="shared" si="11"/>
        <v>127908</v>
      </c>
      <c r="AH13" s="641">
        <f t="shared" si="12"/>
        <v>132753</v>
      </c>
      <c r="AI13" s="641">
        <f t="shared" si="13"/>
        <v>151164</v>
      </c>
      <c r="AJ13" s="757">
        <f t="shared" si="24"/>
        <v>411825</v>
      </c>
      <c r="AK13" s="641">
        <f t="shared" si="14"/>
        <v>156009</v>
      </c>
      <c r="AL13" s="641">
        <f t="shared" si="15"/>
        <v>149226</v>
      </c>
      <c r="AM13" s="641">
        <f t="shared" si="16"/>
        <v>144381</v>
      </c>
      <c r="AN13" s="760">
        <f t="shared" si="25"/>
        <v>449616</v>
      </c>
      <c r="AO13" s="748">
        <f t="shared" si="26"/>
        <v>1782960</v>
      </c>
    </row>
    <row r="14" spans="1:41" ht="15" thickBot="1">
      <c r="A14" s="737"/>
      <c r="B14" s="737"/>
      <c r="C14" s="595" t="str">
        <f>PVN!C13</f>
        <v>Koncové sensory</v>
      </c>
      <c r="D14" s="616">
        <f>PVN!D13</f>
        <v>18</v>
      </c>
      <c r="E14" s="617">
        <f t="shared" si="17"/>
        <v>9</v>
      </c>
      <c r="F14" s="606">
        <f t="shared" si="18"/>
        <v>2736</v>
      </c>
      <c r="G14" s="601">
        <f t="shared" si="19"/>
        <v>2853</v>
      </c>
      <c r="H14" s="601">
        <f t="shared" si="0"/>
        <v>2808</v>
      </c>
      <c r="I14" s="728">
        <f t="shared" si="27"/>
        <v>8397</v>
      </c>
      <c r="J14" s="603">
        <f t="shared" si="1"/>
        <v>2889</v>
      </c>
      <c r="K14" s="603">
        <f t="shared" si="0"/>
        <v>2916</v>
      </c>
      <c r="L14" s="603">
        <f t="shared" si="2"/>
        <v>2889</v>
      </c>
      <c r="M14" s="728">
        <f t="shared" si="28"/>
        <v>8694</v>
      </c>
      <c r="N14" s="603">
        <f t="shared" si="0"/>
        <v>2376</v>
      </c>
      <c r="O14" s="603">
        <f t="shared" si="3"/>
        <v>2457</v>
      </c>
      <c r="P14" s="603">
        <f t="shared" si="0"/>
        <v>2808</v>
      </c>
      <c r="Q14" s="728">
        <f t="shared" si="29"/>
        <v>7641</v>
      </c>
      <c r="R14" s="603">
        <f t="shared" si="4"/>
        <v>2889</v>
      </c>
      <c r="S14" s="603">
        <f t="shared" si="0"/>
        <v>2772</v>
      </c>
      <c r="T14" s="635">
        <f t="shared" si="5"/>
        <v>2673</v>
      </c>
      <c r="U14" s="728">
        <f t="shared" si="30"/>
        <v>8334</v>
      </c>
      <c r="V14" s="639">
        <f t="shared" si="20"/>
        <v>33066</v>
      </c>
      <c r="W14" s="337"/>
      <c r="X14" s="740">
        <f>PVN!E13</f>
        <v>180</v>
      </c>
      <c r="Y14" s="754">
        <f t="shared" si="21"/>
        <v>492480</v>
      </c>
      <c r="Z14" s="642">
        <f t="shared" si="6"/>
        <v>513540</v>
      </c>
      <c r="AA14" s="642">
        <f t="shared" si="7"/>
        <v>505440</v>
      </c>
      <c r="AB14" s="757">
        <f t="shared" si="22"/>
        <v>1511460</v>
      </c>
      <c r="AC14" s="641">
        <f t="shared" si="8"/>
        <v>520020</v>
      </c>
      <c r="AD14" s="641">
        <f t="shared" si="9"/>
        <v>524880</v>
      </c>
      <c r="AE14" s="641">
        <f t="shared" si="10"/>
        <v>520020</v>
      </c>
      <c r="AF14" s="757">
        <f t="shared" si="23"/>
        <v>1564920</v>
      </c>
      <c r="AG14" s="641">
        <f t="shared" si="11"/>
        <v>427680</v>
      </c>
      <c r="AH14" s="641">
        <f t="shared" si="12"/>
        <v>442260</v>
      </c>
      <c r="AI14" s="641">
        <f t="shared" si="13"/>
        <v>505440</v>
      </c>
      <c r="AJ14" s="757">
        <f t="shared" si="24"/>
        <v>1375380</v>
      </c>
      <c r="AK14" s="641">
        <f t="shared" si="14"/>
        <v>520020</v>
      </c>
      <c r="AL14" s="641">
        <f t="shared" si="15"/>
        <v>498960</v>
      </c>
      <c r="AM14" s="641">
        <f t="shared" si="16"/>
        <v>481140</v>
      </c>
      <c r="AN14" s="760">
        <f t="shared" si="25"/>
        <v>1500120</v>
      </c>
      <c r="AO14" s="748">
        <f t="shared" si="26"/>
        <v>5951880</v>
      </c>
    </row>
    <row r="15" spans="1:41" ht="15" thickBot="1">
      <c r="A15" s="737"/>
      <c r="B15" s="737"/>
      <c r="C15" s="595" t="str">
        <f>PVN!C14</f>
        <v>RADAR sensors</v>
      </c>
      <c r="D15" s="616">
        <f>PVN!D14</f>
        <v>4</v>
      </c>
      <c r="E15" s="617">
        <f t="shared" si="17"/>
        <v>2</v>
      </c>
      <c r="F15" s="606">
        <f t="shared" si="18"/>
        <v>608</v>
      </c>
      <c r="G15" s="601">
        <f t="shared" si="19"/>
        <v>634</v>
      </c>
      <c r="H15" s="601">
        <f t="shared" si="0"/>
        <v>624</v>
      </c>
      <c r="I15" s="728">
        <f t="shared" si="27"/>
        <v>1866</v>
      </c>
      <c r="J15" s="601">
        <f t="shared" si="1"/>
        <v>642</v>
      </c>
      <c r="K15" s="601">
        <f t="shared" si="0"/>
        <v>648</v>
      </c>
      <c r="L15" s="601">
        <f t="shared" si="2"/>
        <v>642</v>
      </c>
      <c r="M15" s="728">
        <f t="shared" si="28"/>
        <v>1932</v>
      </c>
      <c r="N15" s="601">
        <f t="shared" si="0"/>
        <v>528</v>
      </c>
      <c r="O15" s="601">
        <f t="shared" si="3"/>
        <v>546</v>
      </c>
      <c r="P15" s="601">
        <f t="shared" si="0"/>
        <v>624</v>
      </c>
      <c r="Q15" s="728">
        <f t="shared" si="29"/>
        <v>1698</v>
      </c>
      <c r="R15" s="601">
        <f t="shared" si="4"/>
        <v>642</v>
      </c>
      <c r="S15" s="601">
        <f t="shared" si="0"/>
        <v>616</v>
      </c>
      <c r="T15" s="633">
        <f t="shared" si="5"/>
        <v>594</v>
      </c>
      <c r="U15" s="728">
        <f t="shared" si="30"/>
        <v>1852</v>
      </c>
      <c r="V15" s="639">
        <f t="shared" si="20"/>
        <v>7348</v>
      </c>
      <c r="W15" s="333"/>
      <c r="X15" s="740">
        <f>PVN!E14</f>
        <v>2109</v>
      </c>
      <c r="Y15" s="752">
        <f t="shared" si="21"/>
        <v>1282272</v>
      </c>
      <c r="Z15" s="642">
        <f t="shared" si="6"/>
        <v>1337106</v>
      </c>
      <c r="AA15" s="642">
        <f t="shared" si="7"/>
        <v>1316016</v>
      </c>
      <c r="AB15" s="757">
        <f t="shared" si="22"/>
        <v>3935394</v>
      </c>
      <c r="AC15" s="641">
        <f t="shared" si="8"/>
        <v>1353978</v>
      </c>
      <c r="AD15" s="641">
        <f t="shared" si="9"/>
        <v>1366632</v>
      </c>
      <c r="AE15" s="641">
        <f t="shared" si="10"/>
        <v>1353978</v>
      </c>
      <c r="AF15" s="757">
        <f t="shared" si="23"/>
        <v>4074588</v>
      </c>
      <c r="AG15" s="641">
        <f t="shared" si="11"/>
        <v>1113552</v>
      </c>
      <c r="AH15" s="641">
        <f t="shared" si="12"/>
        <v>1151514</v>
      </c>
      <c r="AI15" s="641">
        <f t="shared" si="13"/>
        <v>1316016</v>
      </c>
      <c r="AJ15" s="757">
        <f t="shared" si="24"/>
        <v>3581082</v>
      </c>
      <c r="AK15" s="641">
        <f t="shared" si="14"/>
        <v>1353978</v>
      </c>
      <c r="AL15" s="641">
        <f t="shared" si="15"/>
        <v>1299144</v>
      </c>
      <c r="AM15" s="641">
        <f t="shared" si="16"/>
        <v>1252746</v>
      </c>
      <c r="AN15" s="760">
        <f t="shared" si="25"/>
        <v>3905868</v>
      </c>
      <c r="AO15" s="748">
        <f t="shared" si="26"/>
        <v>15496932</v>
      </c>
    </row>
    <row r="16" spans="1:41" ht="15" thickBot="1">
      <c r="A16" s="737"/>
      <c r="B16" s="737"/>
      <c r="C16" s="595" t="str">
        <f>PVN!C15</f>
        <v>Optic Camera sensors</v>
      </c>
      <c r="D16" s="616">
        <f>PVN!D15</f>
        <v>2</v>
      </c>
      <c r="E16" s="617">
        <f t="shared" si="17"/>
        <v>1</v>
      </c>
      <c r="F16" s="606">
        <f t="shared" si="18"/>
        <v>304</v>
      </c>
      <c r="G16" s="601">
        <f t="shared" si="19"/>
        <v>317</v>
      </c>
      <c r="H16" s="601">
        <f t="shared" si="0"/>
        <v>312</v>
      </c>
      <c r="I16" s="728">
        <f t="shared" si="27"/>
        <v>933</v>
      </c>
      <c r="J16" s="603">
        <f t="shared" si="1"/>
        <v>321</v>
      </c>
      <c r="K16" s="603">
        <f t="shared" si="0"/>
        <v>324</v>
      </c>
      <c r="L16" s="603">
        <f t="shared" si="2"/>
        <v>321</v>
      </c>
      <c r="M16" s="728">
        <f t="shared" si="28"/>
        <v>966</v>
      </c>
      <c r="N16" s="603">
        <f t="shared" si="0"/>
        <v>264</v>
      </c>
      <c r="O16" s="603">
        <f t="shared" si="3"/>
        <v>273</v>
      </c>
      <c r="P16" s="603">
        <f t="shared" si="0"/>
        <v>312</v>
      </c>
      <c r="Q16" s="728">
        <f t="shared" si="29"/>
        <v>849</v>
      </c>
      <c r="R16" s="603">
        <f t="shared" si="4"/>
        <v>321</v>
      </c>
      <c r="S16" s="603">
        <f t="shared" si="0"/>
        <v>308</v>
      </c>
      <c r="T16" s="635">
        <f t="shared" si="5"/>
        <v>297</v>
      </c>
      <c r="U16" s="728">
        <f t="shared" si="30"/>
        <v>926</v>
      </c>
      <c r="V16" s="639">
        <f t="shared" si="20"/>
        <v>3674</v>
      </c>
      <c r="W16" s="337"/>
      <c r="X16" s="740">
        <f>PVN!E15</f>
        <v>4560</v>
      </c>
      <c r="Y16" s="754">
        <f t="shared" si="21"/>
        <v>1386240</v>
      </c>
      <c r="Z16" s="642">
        <f t="shared" si="6"/>
        <v>1445520</v>
      </c>
      <c r="AA16" s="642">
        <f t="shared" si="7"/>
        <v>1422720</v>
      </c>
      <c r="AB16" s="757">
        <f t="shared" si="22"/>
        <v>4254480</v>
      </c>
      <c r="AC16" s="641">
        <f t="shared" si="8"/>
        <v>1463760</v>
      </c>
      <c r="AD16" s="641">
        <f t="shared" si="9"/>
        <v>1477440</v>
      </c>
      <c r="AE16" s="641">
        <f t="shared" si="10"/>
        <v>1463760</v>
      </c>
      <c r="AF16" s="757">
        <f t="shared" si="23"/>
        <v>4404960</v>
      </c>
      <c r="AG16" s="641">
        <f t="shared" si="11"/>
        <v>1203840</v>
      </c>
      <c r="AH16" s="641">
        <f t="shared" si="12"/>
        <v>1244880</v>
      </c>
      <c r="AI16" s="641">
        <f t="shared" si="13"/>
        <v>1422720</v>
      </c>
      <c r="AJ16" s="757">
        <f t="shared" si="24"/>
        <v>3871440</v>
      </c>
      <c r="AK16" s="641">
        <f t="shared" si="14"/>
        <v>1463760</v>
      </c>
      <c r="AL16" s="641">
        <f t="shared" si="15"/>
        <v>1404480</v>
      </c>
      <c r="AM16" s="641">
        <f t="shared" si="16"/>
        <v>1354320</v>
      </c>
      <c r="AN16" s="760">
        <f t="shared" si="25"/>
        <v>4222560</v>
      </c>
      <c r="AO16" s="748">
        <f t="shared" si="26"/>
        <v>16753440</v>
      </c>
    </row>
    <row r="17" spans="3:41" ht="15" thickBot="1">
      <c r="C17" s="595" t="str">
        <f>PVN!C16</f>
        <v>Elektrohydraulika</v>
      </c>
      <c r="D17" s="616">
        <f>PVN!D16</f>
        <v>1</v>
      </c>
      <c r="E17" s="617">
        <f t="shared" si="17"/>
        <v>1</v>
      </c>
      <c r="F17" s="606">
        <f t="shared" si="18"/>
        <v>152</v>
      </c>
      <c r="G17" s="601">
        <f t="shared" si="19"/>
        <v>159</v>
      </c>
      <c r="H17" s="601">
        <f t="shared" si="0"/>
        <v>156</v>
      </c>
      <c r="I17" s="728">
        <f t="shared" si="27"/>
        <v>467</v>
      </c>
      <c r="J17" s="601">
        <f t="shared" si="1"/>
        <v>161</v>
      </c>
      <c r="K17" s="601">
        <f t="shared" si="0"/>
        <v>162</v>
      </c>
      <c r="L17" s="601">
        <f t="shared" si="2"/>
        <v>161</v>
      </c>
      <c r="M17" s="728">
        <f t="shared" si="28"/>
        <v>484</v>
      </c>
      <c r="N17" s="601">
        <f t="shared" si="0"/>
        <v>132</v>
      </c>
      <c r="O17" s="601">
        <f t="shared" si="3"/>
        <v>137</v>
      </c>
      <c r="P17" s="601">
        <f t="shared" si="0"/>
        <v>156</v>
      </c>
      <c r="Q17" s="728">
        <f t="shared" si="29"/>
        <v>425</v>
      </c>
      <c r="R17" s="601">
        <f t="shared" si="4"/>
        <v>161</v>
      </c>
      <c r="S17" s="601">
        <f t="shared" si="0"/>
        <v>154</v>
      </c>
      <c r="T17" s="633">
        <f t="shared" si="5"/>
        <v>149</v>
      </c>
      <c r="U17" s="728">
        <f t="shared" si="30"/>
        <v>464</v>
      </c>
      <c r="V17" s="639">
        <f t="shared" si="20"/>
        <v>1840</v>
      </c>
      <c r="W17" s="333"/>
      <c r="X17" s="740">
        <f>PVN!E16</f>
        <v>27050</v>
      </c>
      <c r="Y17" s="752">
        <f t="shared" si="21"/>
        <v>4111600</v>
      </c>
      <c r="Z17" s="642">
        <f t="shared" si="6"/>
        <v>4300950</v>
      </c>
      <c r="AA17" s="642">
        <f t="shared" si="7"/>
        <v>4219800</v>
      </c>
      <c r="AB17" s="757">
        <f t="shared" si="22"/>
        <v>12632350</v>
      </c>
      <c r="AC17" s="641">
        <f t="shared" si="8"/>
        <v>4355050</v>
      </c>
      <c r="AD17" s="641">
        <f t="shared" si="9"/>
        <v>4382100</v>
      </c>
      <c r="AE17" s="641">
        <f t="shared" si="10"/>
        <v>4355050</v>
      </c>
      <c r="AF17" s="757">
        <f t="shared" si="23"/>
        <v>13092200</v>
      </c>
      <c r="AG17" s="641">
        <f t="shared" si="11"/>
        <v>3570600</v>
      </c>
      <c r="AH17" s="641">
        <f t="shared" si="12"/>
        <v>3705850</v>
      </c>
      <c r="AI17" s="641">
        <f t="shared" si="13"/>
        <v>4219800</v>
      </c>
      <c r="AJ17" s="757">
        <f t="shared" si="24"/>
        <v>11496250</v>
      </c>
      <c r="AK17" s="641">
        <f t="shared" si="14"/>
        <v>4355050</v>
      </c>
      <c r="AL17" s="641">
        <f t="shared" si="15"/>
        <v>4165700</v>
      </c>
      <c r="AM17" s="641">
        <f t="shared" si="16"/>
        <v>4030450</v>
      </c>
      <c r="AN17" s="760">
        <f t="shared" si="25"/>
        <v>12551200</v>
      </c>
      <c r="AO17" s="748">
        <f t="shared" si="26"/>
        <v>49772000</v>
      </c>
    </row>
    <row r="18" spans="3:41" ht="15" thickBot="1">
      <c r="C18" s="595" t="str">
        <f>PVN!C17</f>
        <v>Charging Dock</v>
      </c>
      <c r="D18" s="616">
        <f>PVN!D17</f>
        <v>1</v>
      </c>
      <c r="E18" s="617">
        <f t="shared" si="17"/>
        <v>1</v>
      </c>
      <c r="F18" s="606">
        <f t="shared" si="18"/>
        <v>152</v>
      </c>
      <c r="G18" s="601">
        <f t="shared" si="19"/>
        <v>159</v>
      </c>
      <c r="H18" s="601">
        <f t="shared" si="0"/>
        <v>156</v>
      </c>
      <c r="I18" s="728">
        <f t="shared" si="27"/>
        <v>467</v>
      </c>
      <c r="J18" s="601">
        <f t="shared" si="1"/>
        <v>161</v>
      </c>
      <c r="K18" s="601">
        <f t="shared" si="0"/>
        <v>162</v>
      </c>
      <c r="L18" s="601">
        <f t="shared" si="2"/>
        <v>161</v>
      </c>
      <c r="M18" s="728">
        <f t="shared" si="28"/>
        <v>484</v>
      </c>
      <c r="N18" s="601">
        <f t="shared" si="0"/>
        <v>132</v>
      </c>
      <c r="O18" s="601">
        <f t="shared" si="3"/>
        <v>137</v>
      </c>
      <c r="P18" s="601">
        <f t="shared" si="0"/>
        <v>156</v>
      </c>
      <c r="Q18" s="728">
        <f t="shared" si="29"/>
        <v>425</v>
      </c>
      <c r="R18" s="601">
        <f t="shared" si="4"/>
        <v>161</v>
      </c>
      <c r="S18" s="601">
        <f t="shared" si="0"/>
        <v>154</v>
      </c>
      <c r="T18" s="633">
        <f t="shared" si="5"/>
        <v>149</v>
      </c>
      <c r="U18" s="728">
        <f t="shared" si="30"/>
        <v>464</v>
      </c>
      <c r="V18" s="639">
        <f t="shared" si="20"/>
        <v>1840</v>
      </c>
      <c r="W18" s="333"/>
      <c r="X18" s="740">
        <f>PVN!E17</f>
        <v>12300</v>
      </c>
      <c r="Y18" s="752">
        <f t="shared" si="21"/>
        <v>1869600</v>
      </c>
      <c r="Z18" s="642">
        <f t="shared" si="6"/>
        <v>1955700</v>
      </c>
      <c r="AA18" s="642">
        <f t="shared" si="7"/>
        <v>1918800</v>
      </c>
      <c r="AB18" s="757">
        <f t="shared" si="22"/>
        <v>5744100</v>
      </c>
      <c r="AC18" s="641">
        <f t="shared" si="8"/>
        <v>1980300</v>
      </c>
      <c r="AD18" s="641">
        <f t="shared" si="9"/>
        <v>1992600</v>
      </c>
      <c r="AE18" s="641">
        <f t="shared" si="10"/>
        <v>1980300</v>
      </c>
      <c r="AF18" s="757">
        <f t="shared" si="23"/>
        <v>5953200</v>
      </c>
      <c r="AG18" s="641">
        <f t="shared" si="11"/>
        <v>1623600</v>
      </c>
      <c r="AH18" s="641">
        <f t="shared" si="12"/>
        <v>1685100</v>
      </c>
      <c r="AI18" s="641">
        <f t="shared" si="13"/>
        <v>1918800</v>
      </c>
      <c r="AJ18" s="757">
        <f t="shared" si="24"/>
        <v>5227500</v>
      </c>
      <c r="AK18" s="641">
        <f t="shared" si="14"/>
        <v>1980300</v>
      </c>
      <c r="AL18" s="641">
        <f t="shared" si="15"/>
        <v>1894200</v>
      </c>
      <c r="AM18" s="641">
        <f t="shared" si="16"/>
        <v>1832700</v>
      </c>
      <c r="AN18" s="760">
        <f t="shared" si="25"/>
        <v>5707200</v>
      </c>
      <c r="AO18" s="748">
        <f t="shared" si="26"/>
        <v>22632000</v>
      </c>
    </row>
    <row r="19" spans="3:41" ht="15" thickBot="1">
      <c r="C19" s="596" t="str">
        <f>PVN!C18</f>
        <v>Ostatní elektronika</v>
      </c>
      <c r="D19" s="618">
        <f>PVN!D18</f>
        <v>1</v>
      </c>
      <c r="E19" s="619">
        <f t="shared" si="17"/>
        <v>1</v>
      </c>
      <c r="F19" s="608">
        <f t="shared" si="18"/>
        <v>152</v>
      </c>
      <c r="G19" s="609">
        <f t="shared" si="19"/>
        <v>159</v>
      </c>
      <c r="H19" s="609">
        <f t="shared" si="0"/>
        <v>156</v>
      </c>
      <c r="I19" s="729">
        <f t="shared" si="27"/>
        <v>467</v>
      </c>
      <c r="J19" s="609">
        <f t="shared" si="1"/>
        <v>161</v>
      </c>
      <c r="K19" s="609">
        <f t="shared" si="0"/>
        <v>162</v>
      </c>
      <c r="L19" s="609">
        <f t="shared" si="2"/>
        <v>161</v>
      </c>
      <c r="M19" s="729">
        <f t="shared" si="28"/>
        <v>484</v>
      </c>
      <c r="N19" s="609">
        <f t="shared" si="0"/>
        <v>132</v>
      </c>
      <c r="O19" s="609">
        <f t="shared" si="3"/>
        <v>137</v>
      </c>
      <c r="P19" s="609">
        <f t="shared" si="0"/>
        <v>156</v>
      </c>
      <c r="Q19" s="729">
        <f t="shared" si="29"/>
        <v>425</v>
      </c>
      <c r="R19" s="609">
        <f t="shared" si="4"/>
        <v>161</v>
      </c>
      <c r="S19" s="609">
        <f t="shared" si="0"/>
        <v>154</v>
      </c>
      <c r="T19" s="636">
        <f t="shared" si="5"/>
        <v>149</v>
      </c>
      <c r="U19" s="729">
        <f t="shared" si="30"/>
        <v>464</v>
      </c>
      <c r="V19" s="639">
        <f t="shared" si="20"/>
        <v>1840</v>
      </c>
      <c r="W19" s="333"/>
      <c r="X19" s="741">
        <f>PVN!E18</f>
        <v>5000</v>
      </c>
      <c r="Y19" s="752">
        <f t="shared" si="21"/>
        <v>760000</v>
      </c>
      <c r="Z19" s="642">
        <f t="shared" si="6"/>
        <v>795000</v>
      </c>
      <c r="AA19" s="642">
        <f t="shared" si="7"/>
        <v>780000</v>
      </c>
      <c r="AB19" s="757">
        <f t="shared" si="22"/>
        <v>2335000</v>
      </c>
      <c r="AC19" s="641">
        <f t="shared" si="8"/>
        <v>805000</v>
      </c>
      <c r="AD19" s="641">
        <f t="shared" si="9"/>
        <v>810000</v>
      </c>
      <c r="AE19" s="641">
        <f t="shared" si="10"/>
        <v>805000</v>
      </c>
      <c r="AF19" s="757">
        <f t="shared" si="23"/>
        <v>2420000</v>
      </c>
      <c r="AG19" s="641">
        <f t="shared" si="11"/>
        <v>660000</v>
      </c>
      <c r="AH19" s="641">
        <f t="shared" si="12"/>
        <v>685000</v>
      </c>
      <c r="AI19" s="641">
        <f t="shared" si="13"/>
        <v>780000</v>
      </c>
      <c r="AJ19" s="757">
        <f t="shared" si="24"/>
        <v>2125000</v>
      </c>
      <c r="AK19" s="641">
        <f t="shared" si="14"/>
        <v>805000</v>
      </c>
      <c r="AL19" s="641">
        <f t="shared" si="15"/>
        <v>770000</v>
      </c>
      <c r="AM19" s="641">
        <f t="shared" si="16"/>
        <v>745000</v>
      </c>
      <c r="AN19" s="760">
        <f t="shared" si="25"/>
        <v>2320000</v>
      </c>
      <c r="AO19" s="748">
        <f t="shared" si="26"/>
        <v>9200000</v>
      </c>
    </row>
    <row r="20" spans="3:41" ht="15" thickBot="1">
      <c r="C20" s="597" t="str">
        <f>PVN!C20</f>
        <v>Výpalky</v>
      </c>
      <c r="D20" s="620">
        <f>PVN!D20</f>
        <v>15</v>
      </c>
      <c r="E20" s="621">
        <f t="shared" si="17"/>
        <v>8</v>
      </c>
      <c r="F20" s="610">
        <f t="shared" si="18"/>
        <v>2280</v>
      </c>
      <c r="G20" s="611">
        <f t="shared" si="19"/>
        <v>2378</v>
      </c>
      <c r="H20" s="611">
        <f t="shared" si="0"/>
        <v>2340</v>
      </c>
      <c r="I20" s="730">
        <f t="shared" si="27"/>
        <v>6998</v>
      </c>
      <c r="J20" s="611">
        <f t="shared" si="1"/>
        <v>2408</v>
      </c>
      <c r="K20" s="611">
        <f t="shared" si="0"/>
        <v>2430</v>
      </c>
      <c r="L20" s="611">
        <f t="shared" si="2"/>
        <v>2408</v>
      </c>
      <c r="M20" s="730">
        <f t="shared" si="28"/>
        <v>7246</v>
      </c>
      <c r="N20" s="611">
        <f t="shared" si="0"/>
        <v>1980</v>
      </c>
      <c r="O20" s="611">
        <f t="shared" si="3"/>
        <v>2048</v>
      </c>
      <c r="P20" s="611">
        <f t="shared" si="0"/>
        <v>2340</v>
      </c>
      <c r="Q20" s="730">
        <f t="shared" si="29"/>
        <v>6368</v>
      </c>
      <c r="R20" s="611">
        <f t="shared" si="4"/>
        <v>2408</v>
      </c>
      <c r="S20" s="611">
        <f t="shared" si="0"/>
        <v>2310</v>
      </c>
      <c r="T20" s="637">
        <f t="shared" si="5"/>
        <v>2228</v>
      </c>
      <c r="U20" s="730">
        <f t="shared" si="30"/>
        <v>6946</v>
      </c>
      <c r="V20" s="639">
        <f t="shared" si="20"/>
        <v>27558</v>
      </c>
      <c r="W20" s="333"/>
      <c r="X20" s="742">
        <f>PVN!E20</f>
        <v>1120</v>
      </c>
      <c r="Y20" s="752">
        <f t="shared" si="21"/>
        <v>2553600</v>
      </c>
      <c r="Z20" s="642">
        <f t="shared" si="6"/>
        <v>2663360</v>
      </c>
      <c r="AA20" s="642">
        <f t="shared" si="7"/>
        <v>2620800</v>
      </c>
      <c r="AB20" s="757">
        <f t="shared" si="22"/>
        <v>7837760</v>
      </c>
      <c r="AC20" s="641">
        <f t="shared" si="8"/>
        <v>2696960</v>
      </c>
      <c r="AD20" s="641">
        <f t="shared" si="9"/>
        <v>2721600</v>
      </c>
      <c r="AE20" s="641">
        <f t="shared" si="10"/>
        <v>2696960</v>
      </c>
      <c r="AF20" s="757">
        <f t="shared" si="23"/>
        <v>8115520</v>
      </c>
      <c r="AG20" s="641">
        <f t="shared" si="11"/>
        <v>2217600</v>
      </c>
      <c r="AH20" s="641">
        <f t="shared" si="12"/>
        <v>2293760</v>
      </c>
      <c r="AI20" s="641">
        <f t="shared" si="13"/>
        <v>2620800</v>
      </c>
      <c r="AJ20" s="757">
        <f t="shared" si="24"/>
        <v>7132160</v>
      </c>
      <c r="AK20" s="641">
        <f t="shared" si="14"/>
        <v>2696960</v>
      </c>
      <c r="AL20" s="641">
        <f t="shared" si="15"/>
        <v>2587200</v>
      </c>
      <c r="AM20" s="641">
        <f t="shared" si="16"/>
        <v>2495360</v>
      </c>
      <c r="AN20" s="760">
        <f t="shared" si="25"/>
        <v>7779520</v>
      </c>
      <c r="AO20" s="748">
        <f t="shared" si="26"/>
        <v>30864960</v>
      </c>
    </row>
    <row r="21" spans="3:41" ht="15" thickBot="1">
      <c r="C21" s="588" t="str">
        <f>PVN!C21</f>
        <v>Výkovky</v>
      </c>
      <c r="D21" s="455">
        <f>PVN!D21</f>
        <v>3</v>
      </c>
      <c r="E21" s="622">
        <f t="shared" si="17"/>
        <v>2</v>
      </c>
      <c r="F21" s="612">
        <f t="shared" si="18"/>
        <v>456</v>
      </c>
      <c r="G21" s="601">
        <f t="shared" si="19"/>
        <v>476</v>
      </c>
      <c r="H21" s="601">
        <f t="shared" ref="H21:S32" si="31">H$3*$D21</f>
        <v>468</v>
      </c>
      <c r="I21" s="731">
        <f t="shared" si="27"/>
        <v>1400</v>
      </c>
      <c r="J21" s="601">
        <f t="shared" si="1"/>
        <v>482</v>
      </c>
      <c r="K21" s="601">
        <f t="shared" si="31"/>
        <v>486</v>
      </c>
      <c r="L21" s="601">
        <f t="shared" si="2"/>
        <v>482</v>
      </c>
      <c r="M21" s="731">
        <f t="shared" si="28"/>
        <v>1450</v>
      </c>
      <c r="N21" s="601">
        <f t="shared" si="31"/>
        <v>396</v>
      </c>
      <c r="O21" s="601">
        <f t="shared" si="3"/>
        <v>410</v>
      </c>
      <c r="P21" s="601">
        <f t="shared" si="31"/>
        <v>468</v>
      </c>
      <c r="Q21" s="731">
        <f t="shared" si="29"/>
        <v>1274</v>
      </c>
      <c r="R21" s="601">
        <f t="shared" si="4"/>
        <v>482</v>
      </c>
      <c r="S21" s="601">
        <f t="shared" si="31"/>
        <v>462</v>
      </c>
      <c r="T21" s="633">
        <f t="shared" si="5"/>
        <v>446</v>
      </c>
      <c r="U21" s="731">
        <f t="shared" si="30"/>
        <v>1390</v>
      </c>
      <c r="V21" s="639">
        <f t="shared" si="20"/>
        <v>5514</v>
      </c>
      <c r="W21" s="333"/>
      <c r="X21" s="743">
        <f>PVN!E21</f>
        <v>1660</v>
      </c>
      <c r="Y21" s="752">
        <f t="shared" si="21"/>
        <v>756960</v>
      </c>
      <c r="Z21" s="642">
        <f t="shared" si="6"/>
        <v>790160</v>
      </c>
      <c r="AA21" s="642">
        <f t="shared" si="7"/>
        <v>776880</v>
      </c>
      <c r="AB21" s="757">
        <f t="shared" si="22"/>
        <v>2324000</v>
      </c>
      <c r="AC21" s="641">
        <f t="shared" si="8"/>
        <v>800120</v>
      </c>
      <c r="AD21" s="641">
        <f t="shared" si="9"/>
        <v>806760</v>
      </c>
      <c r="AE21" s="641">
        <f t="shared" si="10"/>
        <v>800120</v>
      </c>
      <c r="AF21" s="757">
        <f t="shared" si="23"/>
        <v>2407000</v>
      </c>
      <c r="AG21" s="641">
        <f t="shared" si="11"/>
        <v>657360</v>
      </c>
      <c r="AH21" s="641">
        <f t="shared" si="12"/>
        <v>680600</v>
      </c>
      <c r="AI21" s="641">
        <f t="shared" si="13"/>
        <v>776880</v>
      </c>
      <c r="AJ21" s="757">
        <f t="shared" si="24"/>
        <v>2114840</v>
      </c>
      <c r="AK21" s="641">
        <f t="shared" si="14"/>
        <v>800120</v>
      </c>
      <c r="AL21" s="641">
        <f t="shared" si="15"/>
        <v>766920</v>
      </c>
      <c r="AM21" s="641">
        <f t="shared" si="16"/>
        <v>740360</v>
      </c>
      <c r="AN21" s="760">
        <f t="shared" si="25"/>
        <v>2307400</v>
      </c>
      <c r="AO21" s="748">
        <f t="shared" si="26"/>
        <v>9153240</v>
      </c>
    </row>
    <row r="22" spans="3:41" ht="15" thickBot="1">
      <c r="C22" s="588" t="str">
        <f>PVN!C22</f>
        <v>Ohýbané plechové díly</v>
      </c>
      <c r="D22" s="455">
        <f>PVN!D22</f>
        <v>12</v>
      </c>
      <c r="E22" s="622">
        <f t="shared" si="17"/>
        <v>6</v>
      </c>
      <c r="F22" s="612">
        <f t="shared" si="18"/>
        <v>1824</v>
      </c>
      <c r="G22" s="601">
        <f t="shared" si="19"/>
        <v>1902</v>
      </c>
      <c r="H22" s="601">
        <f t="shared" si="31"/>
        <v>1872</v>
      </c>
      <c r="I22" s="731">
        <f t="shared" si="27"/>
        <v>5598</v>
      </c>
      <c r="J22" s="601">
        <f t="shared" si="1"/>
        <v>1926</v>
      </c>
      <c r="K22" s="601">
        <f t="shared" si="31"/>
        <v>1944</v>
      </c>
      <c r="L22" s="601">
        <f t="shared" si="2"/>
        <v>1926</v>
      </c>
      <c r="M22" s="731">
        <f t="shared" si="28"/>
        <v>5796</v>
      </c>
      <c r="N22" s="601">
        <f t="shared" si="31"/>
        <v>1584</v>
      </c>
      <c r="O22" s="601">
        <f t="shared" si="3"/>
        <v>1638</v>
      </c>
      <c r="P22" s="601">
        <f t="shared" si="31"/>
        <v>1872</v>
      </c>
      <c r="Q22" s="731">
        <f t="shared" si="29"/>
        <v>5094</v>
      </c>
      <c r="R22" s="601">
        <f t="shared" si="4"/>
        <v>1926</v>
      </c>
      <c r="S22" s="601">
        <f t="shared" si="31"/>
        <v>1848</v>
      </c>
      <c r="T22" s="633">
        <f t="shared" si="5"/>
        <v>1782</v>
      </c>
      <c r="U22" s="731">
        <f t="shared" si="30"/>
        <v>5556</v>
      </c>
      <c r="V22" s="639">
        <f t="shared" si="20"/>
        <v>22044</v>
      </c>
      <c r="W22" s="333"/>
      <c r="X22" s="743">
        <f>PVN!E22</f>
        <v>1798</v>
      </c>
      <c r="Y22" s="752">
        <f t="shared" si="21"/>
        <v>3279552</v>
      </c>
      <c r="Z22" s="642">
        <f t="shared" si="6"/>
        <v>3419796</v>
      </c>
      <c r="AA22" s="642">
        <f t="shared" si="7"/>
        <v>3365856</v>
      </c>
      <c r="AB22" s="757">
        <f t="shared" si="22"/>
        <v>10065204</v>
      </c>
      <c r="AC22" s="641">
        <f t="shared" si="8"/>
        <v>3462948</v>
      </c>
      <c r="AD22" s="641">
        <f t="shared" si="9"/>
        <v>3495312</v>
      </c>
      <c r="AE22" s="641">
        <f t="shared" si="10"/>
        <v>3462948</v>
      </c>
      <c r="AF22" s="757">
        <f t="shared" si="23"/>
        <v>10421208</v>
      </c>
      <c r="AG22" s="641">
        <f t="shared" si="11"/>
        <v>2848032</v>
      </c>
      <c r="AH22" s="641">
        <f t="shared" si="12"/>
        <v>2945124</v>
      </c>
      <c r="AI22" s="641">
        <f t="shared" si="13"/>
        <v>3365856</v>
      </c>
      <c r="AJ22" s="757">
        <f t="shared" si="24"/>
        <v>9159012</v>
      </c>
      <c r="AK22" s="641">
        <f t="shared" si="14"/>
        <v>3462948</v>
      </c>
      <c r="AL22" s="641">
        <f t="shared" si="15"/>
        <v>3322704</v>
      </c>
      <c r="AM22" s="641">
        <f t="shared" si="16"/>
        <v>3204036</v>
      </c>
      <c r="AN22" s="760">
        <f t="shared" si="25"/>
        <v>9989688</v>
      </c>
      <c r="AO22" s="748">
        <f t="shared" si="26"/>
        <v>39635112</v>
      </c>
    </row>
    <row r="23" spans="3:41" ht="15" thickBot="1">
      <c r="C23" s="588" t="str">
        <f>PVN!C23</f>
        <v>Obrobky</v>
      </c>
      <c r="D23" s="455">
        <f>PVN!D23</f>
        <v>10</v>
      </c>
      <c r="E23" s="622">
        <f t="shared" si="17"/>
        <v>5</v>
      </c>
      <c r="F23" s="612">
        <f t="shared" si="18"/>
        <v>1520</v>
      </c>
      <c r="G23" s="601">
        <f t="shared" si="19"/>
        <v>1585</v>
      </c>
      <c r="H23" s="601">
        <f t="shared" si="31"/>
        <v>1560</v>
      </c>
      <c r="I23" s="731">
        <f t="shared" si="27"/>
        <v>4665</v>
      </c>
      <c r="J23" s="601">
        <f t="shared" si="1"/>
        <v>1605</v>
      </c>
      <c r="K23" s="601">
        <f t="shared" si="31"/>
        <v>1620</v>
      </c>
      <c r="L23" s="601">
        <f t="shared" si="2"/>
        <v>1605</v>
      </c>
      <c r="M23" s="731">
        <f t="shared" si="28"/>
        <v>4830</v>
      </c>
      <c r="N23" s="601">
        <f t="shared" si="31"/>
        <v>1320</v>
      </c>
      <c r="O23" s="601">
        <f t="shared" si="3"/>
        <v>1365</v>
      </c>
      <c r="P23" s="601">
        <f t="shared" si="31"/>
        <v>1560</v>
      </c>
      <c r="Q23" s="731">
        <f t="shared" si="29"/>
        <v>4245</v>
      </c>
      <c r="R23" s="601">
        <f t="shared" si="4"/>
        <v>1605</v>
      </c>
      <c r="S23" s="601">
        <f t="shared" si="31"/>
        <v>1540</v>
      </c>
      <c r="T23" s="633">
        <f t="shared" si="5"/>
        <v>1485</v>
      </c>
      <c r="U23" s="731">
        <f t="shared" si="30"/>
        <v>4630</v>
      </c>
      <c r="V23" s="639">
        <f t="shared" si="20"/>
        <v>18370</v>
      </c>
      <c r="W23" s="333"/>
      <c r="X23" s="743">
        <f>PVN!E23</f>
        <v>2367</v>
      </c>
      <c r="Y23" s="752">
        <f t="shared" si="21"/>
        <v>3597840</v>
      </c>
      <c r="Z23" s="642">
        <f t="shared" si="6"/>
        <v>3751695</v>
      </c>
      <c r="AA23" s="642">
        <f t="shared" si="7"/>
        <v>3692520</v>
      </c>
      <c r="AB23" s="757">
        <f t="shared" si="22"/>
        <v>11042055</v>
      </c>
      <c r="AC23" s="641">
        <f t="shared" si="8"/>
        <v>3799035</v>
      </c>
      <c r="AD23" s="641">
        <f t="shared" si="9"/>
        <v>3834540</v>
      </c>
      <c r="AE23" s="641">
        <f t="shared" si="10"/>
        <v>3799035</v>
      </c>
      <c r="AF23" s="757">
        <f t="shared" si="23"/>
        <v>11432610</v>
      </c>
      <c r="AG23" s="641">
        <f t="shared" si="11"/>
        <v>3124440</v>
      </c>
      <c r="AH23" s="641">
        <f t="shared" si="12"/>
        <v>3230955</v>
      </c>
      <c r="AI23" s="641">
        <f t="shared" si="13"/>
        <v>3692520</v>
      </c>
      <c r="AJ23" s="757">
        <f t="shared" si="24"/>
        <v>10047915</v>
      </c>
      <c r="AK23" s="641">
        <f t="shared" si="14"/>
        <v>3799035</v>
      </c>
      <c r="AL23" s="641">
        <f t="shared" si="15"/>
        <v>3645180</v>
      </c>
      <c r="AM23" s="641">
        <f t="shared" si="16"/>
        <v>3514995</v>
      </c>
      <c r="AN23" s="760">
        <f t="shared" si="25"/>
        <v>10959210</v>
      </c>
      <c r="AO23" s="748">
        <f t="shared" si="26"/>
        <v>43481790</v>
      </c>
    </row>
    <row r="24" spans="3:41" ht="15" thickBot="1">
      <c r="C24" s="588" t="str">
        <f>PVN!C24</f>
        <v>Nože</v>
      </c>
      <c r="D24" s="455">
        <f>PVN!D24</f>
        <v>3</v>
      </c>
      <c r="E24" s="622">
        <f t="shared" si="17"/>
        <v>2</v>
      </c>
      <c r="F24" s="612">
        <f t="shared" si="18"/>
        <v>456</v>
      </c>
      <c r="G24" s="536">
        <f t="shared" si="19"/>
        <v>476</v>
      </c>
      <c r="H24" s="536">
        <f t="shared" si="31"/>
        <v>468</v>
      </c>
      <c r="I24" s="731">
        <f t="shared" si="27"/>
        <v>1400</v>
      </c>
      <c r="J24" s="536">
        <f t="shared" si="1"/>
        <v>482</v>
      </c>
      <c r="K24" s="536">
        <f t="shared" si="31"/>
        <v>486</v>
      </c>
      <c r="L24" s="536">
        <f t="shared" si="2"/>
        <v>482</v>
      </c>
      <c r="M24" s="731">
        <f t="shared" si="28"/>
        <v>1450</v>
      </c>
      <c r="N24" s="536">
        <f t="shared" si="31"/>
        <v>396</v>
      </c>
      <c r="O24" s="536">
        <f t="shared" si="3"/>
        <v>410</v>
      </c>
      <c r="P24" s="536">
        <f t="shared" si="31"/>
        <v>468</v>
      </c>
      <c r="Q24" s="731">
        <f t="shared" si="29"/>
        <v>1274</v>
      </c>
      <c r="R24" s="536">
        <f t="shared" si="4"/>
        <v>482</v>
      </c>
      <c r="S24" s="536">
        <f t="shared" si="31"/>
        <v>462</v>
      </c>
      <c r="T24" s="632">
        <f t="shared" si="5"/>
        <v>446</v>
      </c>
      <c r="U24" s="731">
        <f t="shared" si="30"/>
        <v>1390</v>
      </c>
      <c r="V24" s="639">
        <f t="shared" si="20"/>
        <v>5514</v>
      </c>
      <c r="W24" s="737"/>
      <c r="X24" s="743">
        <f>PVN!E24</f>
        <v>1200</v>
      </c>
      <c r="Y24" s="751">
        <f t="shared" si="21"/>
        <v>547200</v>
      </c>
      <c r="Z24" s="641">
        <f t="shared" si="6"/>
        <v>571200</v>
      </c>
      <c r="AA24" s="641">
        <f t="shared" si="7"/>
        <v>561600</v>
      </c>
      <c r="AB24" s="757">
        <f t="shared" si="22"/>
        <v>1680000</v>
      </c>
      <c r="AC24" s="641">
        <f t="shared" si="8"/>
        <v>578400</v>
      </c>
      <c r="AD24" s="641">
        <f t="shared" si="9"/>
        <v>583200</v>
      </c>
      <c r="AE24" s="641">
        <f t="shared" si="10"/>
        <v>578400</v>
      </c>
      <c r="AF24" s="757">
        <f t="shared" si="23"/>
        <v>1740000</v>
      </c>
      <c r="AG24" s="641">
        <f t="shared" si="11"/>
        <v>475200</v>
      </c>
      <c r="AH24" s="641">
        <f t="shared" si="12"/>
        <v>492000</v>
      </c>
      <c r="AI24" s="641">
        <f t="shared" si="13"/>
        <v>561600</v>
      </c>
      <c r="AJ24" s="757">
        <f t="shared" si="24"/>
        <v>1528800</v>
      </c>
      <c r="AK24" s="641">
        <f t="shared" si="14"/>
        <v>578400</v>
      </c>
      <c r="AL24" s="641">
        <f t="shared" si="15"/>
        <v>554400</v>
      </c>
      <c r="AM24" s="641">
        <f t="shared" si="16"/>
        <v>535200</v>
      </c>
      <c r="AN24" s="760">
        <f t="shared" si="25"/>
        <v>1668000</v>
      </c>
      <c r="AO24" s="748">
        <f t="shared" si="26"/>
        <v>6616800</v>
      </c>
    </row>
    <row r="25" spans="3:41" ht="15" thickBot="1">
      <c r="C25" s="588" t="str">
        <f>PVN!C25</f>
        <v>Písty</v>
      </c>
      <c r="D25" s="455">
        <f>PVN!D25</f>
        <v>4</v>
      </c>
      <c r="E25" s="622">
        <f t="shared" si="17"/>
        <v>2</v>
      </c>
      <c r="F25" s="612">
        <f t="shared" si="18"/>
        <v>608</v>
      </c>
      <c r="G25" s="536">
        <f t="shared" si="19"/>
        <v>634</v>
      </c>
      <c r="H25" s="536">
        <f t="shared" si="31"/>
        <v>624</v>
      </c>
      <c r="I25" s="731">
        <f t="shared" si="27"/>
        <v>1866</v>
      </c>
      <c r="J25" s="536">
        <f t="shared" si="1"/>
        <v>642</v>
      </c>
      <c r="K25" s="536">
        <f t="shared" si="31"/>
        <v>648</v>
      </c>
      <c r="L25" s="536">
        <f t="shared" si="2"/>
        <v>642</v>
      </c>
      <c r="M25" s="731">
        <f t="shared" si="28"/>
        <v>1932</v>
      </c>
      <c r="N25" s="536">
        <f t="shared" si="31"/>
        <v>528</v>
      </c>
      <c r="O25" s="536">
        <f t="shared" si="3"/>
        <v>546</v>
      </c>
      <c r="P25" s="536">
        <f t="shared" si="31"/>
        <v>624</v>
      </c>
      <c r="Q25" s="731">
        <f t="shared" si="29"/>
        <v>1698</v>
      </c>
      <c r="R25" s="536">
        <f t="shared" si="4"/>
        <v>642</v>
      </c>
      <c r="S25" s="536">
        <f t="shared" si="31"/>
        <v>616</v>
      </c>
      <c r="T25" s="632">
        <f t="shared" si="5"/>
        <v>594</v>
      </c>
      <c r="U25" s="731">
        <f t="shared" si="30"/>
        <v>1852</v>
      </c>
      <c r="V25" s="639">
        <f t="shared" si="20"/>
        <v>7348</v>
      </c>
      <c r="W25" s="737"/>
      <c r="X25" s="743">
        <f>PVN!E25</f>
        <v>2002</v>
      </c>
      <c r="Y25" s="751">
        <f t="shared" si="21"/>
        <v>1217216</v>
      </c>
      <c r="Z25" s="641">
        <f t="shared" si="6"/>
        <v>1269268</v>
      </c>
      <c r="AA25" s="641">
        <f t="shared" si="7"/>
        <v>1249248</v>
      </c>
      <c r="AB25" s="757">
        <f t="shared" si="22"/>
        <v>3735732</v>
      </c>
      <c r="AC25" s="641">
        <f t="shared" si="8"/>
        <v>1285284</v>
      </c>
      <c r="AD25" s="641">
        <f t="shared" si="9"/>
        <v>1297296</v>
      </c>
      <c r="AE25" s="641">
        <f t="shared" si="10"/>
        <v>1285284</v>
      </c>
      <c r="AF25" s="757">
        <f t="shared" si="23"/>
        <v>3867864</v>
      </c>
      <c r="AG25" s="641">
        <f t="shared" si="11"/>
        <v>1057056</v>
      </c>
      <c r="AH25" s="641">
        <f t="shared" si="12"/>
        <v>1093092</v>
      </c>
      <c r="AI25" s="641">
        <f t="shared" si="13"/>
        <v>1249248</v>
      </c>
      <c r="AJ25" s="757">
        <f t="shared" si="24"/>
        <v>3399396</v>
      </c>
      <c r="AK25" s="641">
        <f t="shared" si="14"/>
        <v>1285284</v>
      </c>
      <c r="AL25" s="641">
        <f t="shared" si="15"/>
        <v>1233232</v>
      </c>
      <c r="AM25" s="641">
        <f t="shared" si="16"/>
        <v>1189188</v>
      </c>
      <c r="AN25" s="760">
        <f t="shared" si="25"/>
        <v>3707704</v>
      </c>
      <c r="AO25" s="748">
        <f t="shared" si="26"/>
        <v>14710696</v>
      </c>
    </row>
    <row r="26" spans="3:41" ht="15" thickBot="1">
      <c r="C26" s="598" t="str">
        <f>PVN!C26</f>
        <v>Spojovací materiál</v>
      </c>
      <c r="D26" s="623">
        <f>PVN!D26</f>
        <v>1</v>
      </c>
      <c r="E26" s="624">
        <f t="shared" si="17"/>
        <v>1</v>
      </c>
      <c r="F26" s="613">
        <f t="shared" si="18"/>
        <v>152</v>
      </c>
      <c r="G26" s="607">
        <f t="shared" si="19"/>
        <v>159</v>
      </c>
      <c r="H26" s="607">
        <f t="shared" si="31"/>
        <v>156</v>
      </c>
      <c r="I26" s="731">
        <f t="shared" si="27"/>
        <v>467</v>
      </c>
      <c r="J26" s="607">
        <f t="shared" si="1"/>
        <v>161</v>
      </c>
      <c r="K26" s="607">
        <f t="shared" si="31"/>
        <v>162</v>
      </c>
      <c r="L26" s="607">
        <f t="shared" si="2"/>
        <v>161</v>
      </c>
      <c r="M26" s="731">
        <f t="shared" si="28"/>
        <v>484</v>
      </c>
      <c r="N26" s="607">
        <f t="shared" si="31"/>
        <v>132</v>
      </c>
      <c r="O26" s="607">
        <f t="shared" si="3"/>
        <v>137</v>
      </c>
      <c r="P26" s="607">
        <f t="shared" si="31"/>
        <v>156</v>
      </c>
      <c r="Q26" s="731">
        <f t="shared" si="29"/>
        <v>425</v>
      </c>
      <c r="R26" s="607">
        <f t="shared" si="4"/>
        <v>161</v>
      </c>
      <c r="S26" s="607">
        <f t="shared" si="31"/>
        <v>154</v>
      </c>
      <c r="T26" s="638">
        <f t="shared" si="5"/>
        <v>149</v>
      </c>
      <c r="U26" s="731">
        <f t="shared" si="30"/>
        <v>464</v>
      </c>
      <c r="V26" s="639">
        <f t="shared" si="20"/>
        <v>1840</v>
      </c>
      <c r="W26" s="737"/>
      <c r="X26" s="744">
        <f>PVN!E26</f>
        <v>5900</v>
      </c>
      <c r="Y26" s="751">
        <f t="shared" si="21"/>
        <v>896800</v>
      </c>
      <c r="Z26" s="641">
        <f t="shared" si="6"/>
        <v>938100</v>
      </c>
      <c r="AA26" s="641">
        <f t="shared" si="7"/>
        <v>920400</v>
      </c>
      <c r="AB26" s="757">
        <f t="shared" si="22"/>
        <v>2755300</v>
      </c>
      <c r="AC26" s="641">
        <f t="shared" si="8"/>
        <v>949900</v>
      </c>
      <c r="AD26" s="641">
        <f t="shared" si="9"/>
        <v>955800</v>
      </c>
      <c r="AE26" s="641">
        <f t="shared" si="10"/>
        <v>949900</v>
      </c>
      <c r="AF26" s="757">
        <f t="shared" si="23"/>
        <v>2855600</v>
      </c>
      <c r="AG26" s="641">
        <f t="shared" si="11"/>
        <v>778800</v>
      </c>
      <c r="AH26" s="641">
        <f t="shared" si="12"/>
        <v>808300</v>
      </c>
      <c r="AI26" s="641">
        <f t="shared" si="13"/>
        <v>920400</v>
      </c>
      <c r="AJ26" s="757">
        <f t="shared" si="24"/>
        <v>2507500</v>
      </c>
      <c r="AK26" s="641">
        <f t="shared" si="14"/>
        <v>949900</v>
      </c>
      <c r="AL26" s="641">
        <f t="shared" si="15"/>
        <v>908600</v>
      </c>
      <c r="AM26" s="641">
        <f t="shared" si="16"/>
        <v>879100</v>
      </c>
      <c r="AN26" s="760">
        <f t="shared" si="25"/>
        <v>2737600</v>
      </c>
      <c r="AO26" s="748">
        <f t="shared" si="26"/>
        <v>10856000</v>
      </c>
    </row>
    <row r="27" spans="3:41" ht="15" thickBot="1">
      <c r="C27" s="599" t="str">
        <f>PVN!C28</f>
        <v>Koš</v>
      </c>
      <c r="D27" s="625">
        <f>PVN!D28</f>
        <v>1</v>
      </c>
      <c r="E27" s="626">
        <f t="shared" si="17"/>
        <v>1</v>
      </c>
      <c r="F27" s="610">
        <f t="shared" si="18"/>
        <v>152</v>
      </c>
      <c r="G27" s="604">
        <f t="shared" si="19"/>
        <v>159</v>
      </c>
      <c r="H27" s="604">
        <f t="shared" si="31"/>
        <v>156</v>
      </c>
      <c r="I27" s="727">
        <f t="shared" si="27"/>
        <v>467</v>
      </c>
      <c r="J27" s="604">
        <f t="shared" si="1"/>
        <v>161</v>
      </c>
      <c r="K27" s="604">
        <f t="shared" si="31"/>
        <v>162</v>
      </c>
      <c r="L27" s="604">
        <f t="shared" si="2"/>
        <v>161</v>
      </c>
      <c r="M27" s="727">
        <f t="shared" si="28"/>
        <v>484</v>
      </c>
      <c r="N27" s="604">
        <f t="shared" si="31"/>
        <v>132</v>
      </c>
      <c r="O27" s="604">
        <f t="shared" si="3"/>
        <v>137</v>
      </c>
      <c r="P27" s="604">
        <f t="shared" si="31"/>
        <v>156</v>
      </c>
      <c r="Q27" s="727">
        <f t="shared" si="29"/>
        <v>425</v>
      </c>
      <c r="R27" s="604">
        <f t="shared" si="4"/>
        <v>161</v>
      </c>
      <c r="S27" s="604">
        <f t="shared" si="31"/>
        <v>154</v>
      </c>
      <c r="T27" s="631">
        <f t="shared" si="5"/>
        <v>149</v>
      </c>
      <c r="U27" s="727">
        <f t="shared" si="30"/>
        <v>464</v>
      </c>
      <c r="V27" s="639">
        <f t="shared" si="20"/>
        <v>1840</v>
      </c>
      <c r="W27" s="737"/>
      <c r="X27" s="745">
        <f>PVN!E28</f>
        <v>9100</v>
      </c>
      <c r="Y27" s="751">
        <f t="shared" si="21"/>
        <v>1383200</v>
      </c>
      <c r="Z27" s="641">
        <f t="shared" si="6"/>
        <v>1446900</v>
      </c>
      <c r="AA27" s="641">
        <f t="shared" si="7"/>
        <v>1419600</v>
      </c>
      <c r="AB27" s="757">
        <f t="shared" si="22"/>
        <v>4249700</v>
      </c>
      <c r="AC27" s="641">
        <f t="shared" si="8"/>
        <v>1465100</v>
      </c>
      <c r="AD27" s="641">
        <f t="shared" si="9"/>
        <v>1474200</v>
      </c>
      <c r="AE27" s="641">
        <f t="shared" si="10"/>
        <v>1465100</v>
      </c>
      <c r="AF27" s="757">
        <f t="shared" si="23"/>
        <v>4404400</v>
      </c>
      <c r="AG27" s="641">
        <f t="shared" si="11"/>
        <v>1201200</v>
      </c>
      <c r="AH27" s="641">
        <f t="shared" si="12"/>
        <v>1246700</v>
      </c>
      <c r="AI27" s="641">
        <f t="shared" si="13"/>
        <v>1419600</v>
      </c>
      <c r="AJ27" s="757">
        <f t="shared" si="24"/>
        <v>3867500</v>
      </c>
      <c r="AK27" s="641">
        <f t="shared" si="14"/>
        <v>1465100</v>
      </c>
      <c r="AL27" s="641">
        <f t="shared" si="15"/>
        <v>1401400</v>
      </c>
      <c r="AM27" s="641">
        <f t="shared" si="16"/>
        <v>1355900</v>
      </c>
      <c r="AN27" s="760">
        <f t="shared" si="25"/>
        <v>4222400</v>
      </c>
      <c r="AO27" s="748">
        <f t="shared" si="26"/>
        <v>16744000</v>
      </c>
    </row>
    <row r="28" spans="3:41" ht="15" thickBot="1">
      <c r="C28" s="600" t="str">
        <f>PVN!C29</f>
        <v>Bumpers</v>
      </c>
      <c r="D28" s="627">
        <f>PVN!D29</f>
        <v>4</v>
      </c>
      <c r="E28" s="628">
        <f t="shared" si="17"/>
        <v>2</v>
      </c>
      <c r="F28" s="612">
        <f t="shared" si="18"/>
        <v>608</v>
      </c>
      <c r="G28" s="536">
        <f t="shared" si="19"/>
        <v>634</v>
      </c>
      <c r="H28" s="536">
        <f t="shared" si="31"/>
        <v>624</v>
      </c>
      <c r="I28" s="728">
        <f t="shared" si="27"/>
        <v>1866</v>
      </c>
      <c r="J28" s="536">
        <f t="shared" si="1"/>
        <v>642</v>
      </c>
      <c r="K28" s="536">
        <f t="shared" si="31"/>
        <v>648</v>
      </c>
      <c r="L28" s="536">
        <f t="shared" si="2"/>
        <v>642</v>
      </c>
      <c r="M28" s="728">
        <f t="shared" si="28"/>
        <v>1932</v>
      </c>
      <c r="N28" s="536">
        <f t="shared" si="31"/>
        <v>528</v>
      </c>
      <c r="O28" s="536">
        <f t="shared" si="3"/>
        <v>546</v>
      </c>
      <c r="P28" s="536">
        <f t="shared" si="31"/>
        <v>624</v>
      </c>
      <c r="Q28" s="728">
        <f t="shared" si="29"/>
        <v>1698</v>
      </c>
      <c r="R28" s="536">
        <f t="shared" si="4"/>
        <v>642</v>
      </c>
      <c r="S28" s="536">
        <f t="shared" si="31"/>
        <v>616</v>
      </c>
      <c r="T28" s="632">
        <f t="shared" si="5"/>
        <v>594</v>
      </c>
      <c r="U28" s="728">
        <f t="shared" si="30"/>
        <v>1852</v>
      </c>
      <c r="V28" s="639">
        <f t="shared" si="20"/>
        <v>7348</v>
      </c>
      <c r="W28" s="737"/>
      <c r="X28" s="746">
        <f>PVN!E29</f>
        <v>1756</v>
      </c>
      <c r="Y28" s="751">
        <f t="shared" si="21"/>
        <v>1067648</v>
      </c>
      <c r="Z28" s="641">
        <f t="shared" si="6"/>
        <v>1113304</v>
      </c>
      <c r="AA28" s="641">
        <f t="shared" si="7"/>
        <v>1095744</v>
      </c>
      <c r="AB28" s="757">
        <f t="shared" si="22"/>
        <v>3276696</v>
      </c>
      <c r="AC28" s="641">
        <f t="shared" si="8"/>
        <v>1127352</v>
      </c>
      <c r="AD28" s="641">
        <f t="shared" si="9"/>
        <v>1137888</v>
      </c>
      <c r="AE28" s="641">
        <f t="shared" si="10"/>
        <v>1127352</v>
      </c>
      <c r="AF28" s="757">
        <f t="shared" si="23"/>
        <v>3392592</v>
      </c>
      <c r="AG28" s="641">
        <f t="shared" si="11"/>
        <v>927168</v>
      </c>
      <c r="AH28" s="641">
        <f t="shared" si="12"/>
        <v>958776</v>
      </c>
      <c r="AI28" s="641">
        <f t="shared" si="13"/>
        <v>1095744</v>
      </c>
      <c r="AJ28" s="757">
        <f t="shared" si="24"/>
        <v>2981688</v>
      </c>
      <c r="AK28" s="641">
        <f t="shared" si="14"/>
        <v>1127352</v>
      </c>
      <c r="AL28" s="641">
        <f t="shared" si="15"/>
        <v>1081696</v>
      </c>
      <c r="AM28" s="641">
        <f t="shared" si="16"/>
        <v>1043064</v>
      </c>
      <c r="AN28" s="760">
        <f t="shared" si="25"/>
        <v>3252112</v>
      </c>
      <c r="AO28" s="748">
        <f t="shared" si="26"/>
        <v>12903088</v>
      </c>
    </row>
    <row r="29" spans="3:41" ht="15" thickBot="1">
      <c r="C29" s="600" t="str">
        <f>PVN!C30</f>
        <v>Odolné funkční díly</v>
      </c>
      <c r="D29" s="627">
        <f>PVN!D30</f>
        <v>5</v>
      </c>
      <c r="E29" s="628">
        <f t="shared" si="17"/>
        <v>3</v>
      </c>
      <c r="F29" s="612">
        <f t="shared" si="18"/>
        <v>760</v>
      </c>
      <c r="G29" s="536">
        <f t="shared" si="19"/>
        <v>793</v>
      </c>
      <c r="H29" s="536">
        <f t="shared" si="31"/>
        <v>780</v>
      </c>
      <c r="I29" s="728">
        <f t="shared" si="27"/>
        <v>2333</v>
      </c>
      <c r="J29" s="536">
        <f t="shared" si="1"/>
        <v>803</v>
      </c>
      <c r="K29" s="536">
        <f t="shared" si="31"/>
        <v>810</v>
      </c>
      <c r="L29" s="536">
        <f t="shared" si="2"/>
        <v>803</v>
      </c>
      <c r="M29" s="728">
        <f t="shared" si="28"/>
        <v>2416</v>
      </c>
      <c r="N29" s="536">
        <f t="shared" si="31"/>
        <v>660</v>
      </c>
      <c r="O29" s="536">
        <f t="shared" si="3"/>
        <v>683</v>
      </c>
      <c r="P29" s="536">
        <f t="shared" si="31"/>
        <v>780</v>
      </c>
      <c r="Q29" s="728">
        <f t="shared" si="29"/>
        <v>2123</v>
      </c>
      <c r="R29" s="536">
        <f t="shared" si="4"/>
        <v>803</v>
      </c>
      <c r="S29" s="536">
        <f t="shared" si="31"/>
        <v>770</v>
      </c>
      <c r="T29" s="632">
        <f t="shared" si="5"/>
        <v>743</v>
      </c>
      <c r="U29" s="728">
        <f t="shared" si="30"/>
        <v>2316</v>
      </c>
      <c r="V29" s="639">
        <f t="shared" si="20"/>
        <v>9188</v>
      </c>
      <c r="W29" s="737"/>
      <c r="X29" s="746">
        <f>PVN!E30</f>
        <v>3563</v>
      </c>
      <c r="Y29" s="751">
        <f t="shared" si="21"/>
        <v>2707880</v>
      </c>
      <c r="Z29" s="641">
        <f t="shared" si="6"/>
        <v>2825459</v>
      </c>
      <c r="AA29" s="641">
        <f t="shared" si="7"/>
        <v>2779140</v>
      </c>
      <c r="AB29" s="757">
        <f t="shared" si="22"/>
        <v>8312479</v>
      </c>
      <c r="AC29" s="641">
        <f t="shared" si="8"/>
        <v>2861089</v>
      </c>
      <c r="AD29" s="641">
        <f t="shared" si="9"/>
        <v>2886030</v>
      </c>
      <c r="AE29" s="641">
        <f t="shared" si="10"/>
        <v>2861089</v>
      </c>
      <c r="AF29" s="757">
        <f t="shared" si="23"/>
        <v>8608208</v>
      </c>
      <c r="AG29" s="641">
        <f t="shared" si="11"/>
        <v>2351580</v>
      </c>
      <c r="AH29" s="641">
        <f t="shared" si="12"/>
        <v>2433529</v>
      </c>
      <c r="AI29" s="641">
        <f t="shared" si="13"/>
        <v>2779140</v>
      </c>
      <c r="AJ29" s="757">
        <f t="shared" si="24"/>
        <v>7564249</v>
      </c>
      <c r="AK29" s="641">
        <f t="shared" si="14"/>
        <v>2861089</v>
      </c>
      <c r="AL29" s="641">
        <f t="shared" si="15"/>
        <v>2743510</v>
      </c>
      <c r="AM29" s="641">
        <f t="shared" si="16"/>
        <v>2647309</v>
      </c>
      <c r="AN29" s="760">
        <f t="shared" si="25"/>
        <v>8251908</v>
      </c>
      <c r="AO29" s="748">
        <f t="shared" si="26"/>
        <v>32736844</v>
      </c>
    </row>
    <row r="30" spans="3:41" ht="15" thickBot="1">
      <c r="C30" s="600" t="str">
        <f>PVN!C31</f>
        <v>Pohledové díly</v>
      </c>
      <c r="D30" s="627">
        <f>PVN!D31</f>
        <v>8</v>
      </c>
      <c r="E30" s="628">
        <f t="shared" si="17"/>
        <v>4</v>
      </c>
      <c r="F30" s="612">
        <f t="shared" si="18"/>
        <v>1216</v>
      </c>
      <c r="G30" s="536">
        <f t="shared" si="19"/>
        <v>1268</v>
      </c>
      <c r="H30" s="536">
        <f t="shared" si="31"/>
        <v>1248</v>
      </c>
      <c r="I30" s="728">
        <f t="shared" si="27"/>
        <v>3732</v>
      </c>
      <c r="J30" s="536">
        <f t="shared" si="1"/>
        <v>1284</v>
      </c>
      <c r="K30" s="536">
        <f t="shared" si="31"/>
        <v>1296</v>
      </c>
      <c r="L30" s="536">
        <f t="shared" si="2"/>
        <v>1284</v>
      </c>
      <c r="M30" s="728">
        <f t="shared" si="28"/>
        <v>3864</v>
      </c>
      <c r="N30" s="536">
        <f t="shared" si="31"/>
        <v>1056</v>
      </c>
      <c r="O30" s="536">
        <f t="shared" si="3"/>
        <v>1092</v>
      </c>
      <c r="P30" s="536">
        <f t="shared" si="31"/>
        <v>1248</v>
      </c>
      <c r="Q30" s="728">
        <f t="shared" si="29"/>
        <v>3396</v>
      </c>
      <c r="R30" s="536">
        <f t="shared" si="4"/>
        <v>1284</v>
      </c>
      <c r="S30" s="536">
        <f t="shared" si="31"/>
        <v>1232</v>
      </c>
      <c r="T30" s="632">
        <f t="shared" si="5"/>
        <v>1188</v>
      </c>
      <c r="U30" s="728">
        <f t="shared" si="30"/>
        <v>3704</v>
      </c>
      <c r="V30" s="639">
        <f t="shared" si="20"/>
        <v>14696</v>
      </c>
      <c r="W30" s="737"/>
      <c r="X30" s="746">
        <f>PVN!E31</f>
        <v>2697</v>
      </c>
      <c r="Y30" s="751">
        <f t="shared" si="21"/>
        <v>3279552</v>
      </c>
      <c r="Z30" s="641">
        <f t="shared" si="6"/>
        <v>3419796</v>
      </c>
      <c r="AA30" s="641">
        <f t="shared" si="7"/>
        <v>3365856</v>
      </c>
      <c r="AB30" s="757">
        <f t="shared" si="22"/>
        <v>10065204</v>
      </c>
      <c r="AC30" s="641">
        <f t="shared" si="8"/>
        <v>3462948</v>
      </c>
      <c r="AD30" s="641">
        <f t="shared" si="9"/>
        <v>3495312</v>
      </c>
      <c r="AE30" s="641">
        <f t="shared" si="10"/>
        <v>3462948</v>
      </c>
      <c r="AF30" s="757">
        <f t="shared" si="23"/>
        <v>10421208</v>
      </c>
      <c r="AG30" s="641">
        <f t="shared" si="11"/>
        <v>2848032</v>
      </c>
      <c r="AH30" s="641">
        <f t="shared" si="12"/>
        <v>2945124</v>
      </c>
      <c r="AI30" s="641">
        <f t="shared" si="13"/>
        <v>3365856</v>
      </c>
      <c r="AJ30" s="757">
        <f t="shared" si="24"/>
        <v>9159012</v>
      </c>
      <c r="AK30" s="641">
        <f t="shared" si="14"/>
        <v>3462948</v>
      </c>
      <c r="AL30" s="641">
        <f t="shared" si="15"/>
        <v>3322704</v>
      </c>
      <c r="AM30" s="641">
        <f t="shared" si="16"/>
        <v>3204036</v>
      </c>
      <c r="AN30" s="760">
        <f t="shared" si="25"/>
        <v>9989688</v>
      </c>
      <c r="AO30" s="748">
        <f t="shared" si="26"/>
        <v>39635112</v>
      </c>
    </row>
    <row r="31" spans="3:41" ht="15" thickBot="1">
      <c r="C31" s="600" t="str">
        <f>PVN!C32</f>
        <v>Kola</v>
      </c>
      <c r="D31" s="627">
        <f>PVN!D32</f>
        <v>4</v>
      </c>
      <c r="E31" s="628">
        <f t="shared" si="17"/>
        <v>2</v>
      </c>
      <c r="F31" s="612">
        <f t="shared" si="18"/>
        <v>608</v>
      </c>
      <c r="G31" s="536">
        <f t="shared" si="19"/>
        <v>634</v>
      </c>
      <c r="H31" s="536">
        <f t="shared" si="31"/>
        <v>624</v>
      </c>
      <c r="I31" s="728">
        <f t="shared" si="27"/>
        <v>1866</v>
      </c>
      <c r="J31" s="536">
        <f t="shared" si="1"/>
        <v>642</v>
      </c>
      <c r="K31" s="536">
        <f t="shared" si="31"/>
        <v>648</v>
      </c>
      <c r="L31" s="536">
        <f t="shared" si="2"/>
        <v>642</v>
      </c>
      <c r="M31" s="728">
        <f t="shared" si="28"/>
        <v>1932</v>
      </c>
      <c r="N31" s="536">
        <f t="shared" si="31"/>
        <v>528</v>
      </c>
      <c r="O31" s="536">
        <f t="shared" si="3"/>
        <v>546</v>
      </c>
      <c r="P31" s="536">
        <f t="shared" si="31"/>
        <v>624</v>
      </c>
      <c r="Q31" s="728">
        <f t="shared" si="29"/>
        <v>1698</v>
      </c>
      <c r="R31" s="536">
        <f t="shared" si="4"/>
        <v>642</v>
      </c>
      <c r="S31" s="536">
        <f t="shared" si="31"/>
        <v>616</v>
      </c>
      <c r="T31" s="632">
        <f t="shared" si="5"/>
        <v>594</v>
      </c>
      <c r="U31" s="728">
        <f t="shared" si="30"/>
        <v>1852</v>
      </c>
      <c r="V31" s="639">
        <f t="shared" si="20"/>
        <v>7348</v>
      </c>
      <c r="W31" s="737"/>
      <c r="X31" s="746">
        <f>PVN!E32</f>
        <v>2059</v>
      </c>
      <c r="Y31" s="751">
        <f>F31*$X31</f>
        <v>1251872</v>
      </c>
      <c r="Z31" s="641">
        <f t="shared" si="6"/>
        <v>1305406</v>
      </c>
      <c r="AA31" s="641">
        <f t="shared" si="7"/>
        <v>1284816</v>
      </c>
      <c r="AB31" s="757">
        <f t="shared" si="22"/>
        <v>3842094</v>
      </c>
      <c r="AC31" s="641">
        <f t="shared" si="8"/>
        <v>1321878</v>
      </c>
      <c r="AD31" s="641">
        <f t="shared" si="9"/>
        <v>1334232</v>
      </c>
      <c r="AE31" s="641">
        <f t="shared" si="10"/>
        <v>1321878</v>
      </c>
      <c r="AF31" s="757">
        <f t="shared" si="23"/>
        <v>3977988</v>
      </c>
      <c r="AG31" s="641">
        <f t="shared" si="11"/>
        <v>1087152</v>
      </c>
      <c r="AH31" s="641">
        <f t="shared" si="12"/>
        <v>1124214</v>
      </c>
      <c r="AI31" s="641">
        <f t="shared" si="13"/>
        <v>1284816</v>
      </c>
      <c r="AJ31" s="757">
        <f t="shared" si="24"/>
        <v>3496182</v>
      </c>
      <c r="AK31" s="641">
        <f t="shared" si="14"/>
        <v>1321878</v>
      </c>
      <c r="AL31" s="641">
        <f t="shared" si="15"/>
        <v>1268344</v>
      </c>
      <c r="AM31" s="641">
        <f t="shared" si="16"/>
        <v>1223046</v>
      </c>
      <c r="AN31" s="760">
        <f t="shared" si="25"/>
        <v>3813268</v>
      </c>
      <c r="AO31" s="748">
        <f t="shared" si="26"/>
        <v>15129532</v>
      </c>
    </row>
    <row r="32" spans="3:41" ht="15" thickBot="1">
      <c r="C32" s="589" t="str">
        <f>PVN!C33</f>
        <v>Ostatní</v>
      </c>
      <c r="D32" s="629">
        <f>PVN!D33</f>
        <v>1</v>
      </c>
      <c r="E32" s="630">
        <f t="shared" si="17"/>
        <v>1</v>
      </c>
      <c r="F32" s="613">
        <f t="shared" si="18"/>
        <v>152</v>
      </c>
      <c r="G32" s="607">
        <f t="shared" si="19"/>
        <v>159</v>
      </c>
      <c r="H32" s="607">
        <f t="shared" si="31"/>
        <v>156</v>
      </c>
      <c r="I32" s="728">
        <f t="shared" si="27"/>
        <v>467</v>
      </c>
      <c r="J32" s="607">
        <f t="shared" si="1"/>
        <v>161</v>
      </c>
      <c r="K32" s="607">
        <f t="shared" si="31"/>
        <v>162</v>
      </c>
      <c r="L32" s="607">
        <f t="shared" si="2"/>
        <v>161</v>
      </c>
      <c r="M32" s="728">
        <f t="shared" si="28"/>
        <v>484</v>
      </c>
      <c r="N32" s="607">
        <f t="shared" si="31"/>
        <v>132</v>
      </c>
      <c r="O32" s="607">
        <f t="shared" si="3"/>
        <v>137</v>
      </c>
      <c r="P32" s="607">
        <f t="shared" si="31"/>
        <v>156</v>
      </c>
      <c r="Q32" s="728">
        <f t="shared" si="29"/>
        <v>425</v>
      </c>
      <c r="R32" s="607">
        <f t="shared" si="4"/>
        <v>161</v>
      </c>
      <c r="S32" s="607">
        <f t="shared" si="31"/>
        <v>154</v>
      </c>
      <c r="T32" s="638">
        <f t="shared" si="5"/>
        <v>149</v>
      </c>
      <c r="U32" s="728">
        <f t="shared" si="30"/>
        <v>464</v>
      </c>
      <c r="V32" s="639">
        <f t="shared" si="20"/>
        <v>1840</v>
      </c>
      <c r="W32" s="737"/>
      <c r="X32" s="747">
        <f>PVN!E33</f>
        <v>25000</v>
      </c>
      <c r="Y32" s="755">
        <f t="shared" si="21"/>
        <v>3800000</v>
      </c>
      <c r="Z32" s="643">
        <f t="shared" si="6"/>
        <v>3975000</v>
      </c>
      <c r="AA32" s="643">
        <f t="shared" si="7"/>
        <v>3900000</v>
      </c>
      <c r="AB32" s="758">
        <f t="shared" si="22"/>
        <v>11675000</v>
      </c>
      <c r="AC32" s="643">
        <f t="shared" si="8"/>
        <v>4025000</v>
      </c>
      <c r="AD32" s="643">
        <f t="shared" si="9"/>
        <v>4050000</v>
      </c>
      <c r="AE32" s="643">
        <f t="shared" si="10"/>
        <v>4025000</v>
      </c>
      <c r="AF32" s="758">
        <f t="shared" si="23"/>
        <v>12100000</v>
      </c>
      <c r="AG32" s="643">
        <f t="shared" si="11"/>
        <v>3300000</v>
      </c>
      <c r="AH32" s="643">
        <f t="shared" si="12"/>
        <v>3425000</v>
      </c>
      <c r="AI32" s="643">
        <f t="shared" si="13"/>
        <v>3900000</v>
      </c>
      <c r="AJ32" s="758">
        <f t="shared" si="24"/>
        <v>10625000</v>
      </c>
      <c r="AK32" s="643">
        <f t="shared" si="14"/>
        <v>4025000</v>
      </c>
      <c r="AL32" s="643">
        <f t="shared" si="15"/>
        <v>3850000</v>
      </c>
      <c r="AM32" s="643">
        <f t="shared" si="16"/>
        <v>3725000</v>
      </c>
      <c r="AN32" s="761">
        <f t="shared" si="25"/>
        <v>11600000</v>
      </c>
      <c r="AO32" s="748">
        <f t="shared" si="26"/>
        <v>46000000</v>
      </c>
    </row>
    <row r="33" spans="2:41" ht="26.25" customHeight="1" thickBot="1">
      <c r="B33" s="737"/>
      <c r="C33" s="1570"/>
      <c r="D33" s="1571"/>
      <c r="E33" s="1572"/>
      <c r="F33" s="646"/>
      <c r="G33" s="646"/>
      <c r="H33" s="646"/>
      <c r="I33" s="646"/>
      <c r="J33" s="646"/>
      <c r="K33" s="646"/>
      <c r="L33" s="646"/>
      <c r="M33" s="646"/>
      <c r="N33" s="646"/>
      <c r="O33" s="646"/>
      <c r="P33" s="646"/>
      <c r="Q33" s="646"/>
      <c r="R33" s="646"/>
      <c r="S33" s="646"/>
      <c r="T33" s="646"/>
      <c r="U33" s="708"/>
      <c r="V33" s="647"/>
      <c r="W33" s="737"/>
      <c r="X33" s="356" t="s">
        <v>247</v>
      </c>
      <c r="Y33" s="749">
        <f>SUM(Y5:Y32)</f>
        <v>75150624</v>
      </c>
      <c r="Z33" s="749">
        <f t="shared" ref="Z33:AN33" si="32">SUM(Z5:Z32)</f>
        <v>78422379</v>
      </c>
      <c r="AA33" s="749">
        <f t="shared" si="32"/>
        <v>77128272</v>
      </c>
      <c r="AB33" s="749">
        <f t="shared" si="32"/>
        <v>230701275</v>
      </c>
      <c r="AC33" s="749">
        <f t="shared" si="32"/>
        <v>79411203</v>
      </c>
      <c r="AD33" s="749">
        <f t="shared" si="32"/>
        <v>80094744</v>
      </c>
      <c r="AE33" s="749">
        <f t="shared" si="32"/>
        <v>79411203</v>
      </c>
      <c r="AF33" s="749">
        <f t="shared" si="32"/>
        <v>238917150</v>
      </c>
      <c r="AG33" s="749">
        <f t="shared" si="32"/>
        <v>65262384</v>
      </c>
      <c r="AH33" s="749">
        <f t="shared" si="32"/>
        <v>67545315</v>
      </c>
      <c r="AI33" s="749">
        <f t="shared" si="32"/>
        <v>77128272</v>
      </c>
      <c r="AJ33" s="749">
        <f t="shared" si="32"/>
        <v>209935971</v>
      </c>
      <c r="AK33" s="749">
        <f t="shared" si="32"/>
        <v>79411203</v>
      </c>
      <c r="AL33" s="749">
        <f t="shared" si="32"/>
        <v>76139448</v>
      </c>
      <c r="AM33" s="749">
        <f t="shared" si="32"/>
        <v>73478259</v>
      </c>
      <c r="AN33" s="749">
        <f t="shared" si="32"/>
        <v>229028910</v>
      </c>
      <c r="AO33" s="645">
        <f t="shared" si="26"/>
        <v>908583306</v>
      </c>
    </row>
    <row r="34" spans="2:41">
      <c r="B34" s="737"/>
      <c r="C34" s="737"/>
      <c r="D34" s="737"/>
      <c r="E34" s="737"/>
      <c r="F34" s="737"/>
      <c r="G34" s="737"/>
      <c r="H34" s="737"/>
      <c r="I34" s="737"/>
      <c r="J34" s="737"/>
      <c r="K34" s="737"/>
      <c r="L34" s="737"/>
      <c r="M34" s="737"/>
      <c r="N34" s="737"/>
      <c r="O34" s="737"/>
      <c r="P34" s="737"/>
      <c r="Q34" s="737"/>
      <c r="R34" s="737"/>
      <c r="S34" s="737"/>
      <c r="T34" s="737"/>
      <c r="U34" s="737"/>
      <c r="V34" s="737"/>
      <c r="W34" s="737"/>
      <c r="X34" s="737"/>
      <c r="Y34" s="737"/>
      <c r="Z34" s="737"/>
      <c r="AA34" s="737"/>
      <c r="AC34" s="737"/>
      <c r="AD34" s="737"/>
      <c r="AE34" s="737"/>
      <c r="AG34" s="737"/>
      <c r="AH34" s="737"/>
      <c r="AI34" s="737"/>
      <c r="AK34" s="737"/>
      <c r="AL34" s="737"/>
      <c r="AM34" s="737"/>
      <c r="AO34" s="737"/>
    </row>
    <row r="35" spans="2:41" ht="15" thickBot="1">
      <c r="B35" s="737"/>
      <c r="C35" s="737"/>
      <c r="D35" s="737"/>
      <c r="E35" s="737"/>
      <c r="F35" s="737"/>
      <c r="G35" s="737"/>
      <c r="H35" s="737"/>
      <c r="I35" s="737"/>
      <c r="J35" s="737"/>
      <c r="K35" s="737"/>
      <c r="L35" s="737"/>
      <c r="M35" s="737"/>
      <c r="N35" s="737"/>
      <c r="O35" s="737"/>
      <c r="P35" s="737"/>
      <c r="Q35" s="737"/>
      <c r="R35" s="737"/>
      <c r="S35" s="737"/>
      <c r="T35" s="737"/>
      <c r="U35" s="737"/>
      <c r="V35" s="737"/>
      <c r="W35" s="737"/>
      <c r="X35" s="737"/>
      <c r="Y35" s="737"/>
      <c r="Z35" s="737"/>
      <c r="AA35" s="737"/>
      <c r="AC35" s="737"/>
      <c r="AD35" s="737"/>
      <c r="AE35" s="737"/>
      <c r="AG35" s="737"/>
      <c r="AH35" s="737"/>
      <c r="AI35" s="737"/>
      <c r="AK35" s="737"/>
      <c r="AL35" s="737"/>
      <c r="AM35" s="737"/>
      <c r="AO35" s="737"/>
    </row>
    <row r="36" spans="2:41" ht="18" customHeight="1" thickBot="1">
      <c r="B36" s="737"/>
      <c r="C36" s="1545" t="s">
        <v>578</v>
      </c>
      <c r="D36" s="1546"/>
      <c r="E36" s="1546"/>
      <c r="F36" s="1546"/>
      <c r="G36" s="1546"/>
      <c r="H36" s="1546"/>
      <c r="I36" s="1546"/>
      <c r="J36" s="1546"/>
      <c r="K36" s="1546"/>
      <c r="L36" s="1546"/>
      <c r="M36" s="1546"/>
      <c r="N36" s="1546"/>
      <c r="O36" s="1546"/>
      <c r="P36" s="1546"/>
      <c r="Q36" s="1546"/>
      <c r="R36" s="1546"/>
      <c r="S36" s="1546"/>
      <c r="T36" s="1546"/>
      <c r="U36" s="1546"/>
      <c r="V36" s="1547"/>
      <c r="W36" s="737"/>
      <c r="X36" s="737"/>
      <c r="Y36" s="737"/>
      <c r="Z36" s="737"/>
      <c r="AA36" s="737"/>
      <c r="AC36" s="737"/>
      <c r="AD36" s="737"/>
      <c r="AE36" s="737"/>
      <c r="AG36" s="737"/>
      <c r="AH36" s="737"/>
      <c r="AI36" s="737"/>
      <c r="AK36" s="737"/>
      <c r="AL36" s="737"/>
      <c r="AM36" s="737"/>
      <c r="AO36" s="737"/>
    </row>
    <row r="37" spans="2:41" ht="22.5" customHeight="1" thickBot="1">
      <c r="B37" s="737"/>
      <c r="C37" s="1548" t="s">
        <v>579</v>
      </c>
      <c r="D37" s="1549"/>
      <c r="E37" s="1550"/>
      <c r="F37" s="360">
        <v>1</v>
      </c>
      <c r="G37" s="360">
        <v>2</v>
      </c>
      <c r="H37" s="360">
        <v>3</v>
      </c>
      <c r="I37" s="360" t="s">
        <v>258</v>
      </c>
      <c r="J37" s="360">
        <v>4</v>
      </c>
      <c r="K37" s="360">
        <v>5</v>
      </c>
      <c r="L37" s="360">
        <v>6</v>
      </c>
      <c r="M37" s="360" t="s">
        <v>262</v>
      </c>
      <c r="N37" s="360">
        <v>7</v>
      </c>
      <c r="O37" s="360">
        <v>8</v>
      </c>
      <c r="P37" s="360">
        <v>9</v>
      </c>
      <c r="Q37" s="360" t="s">
        <v>266</v>
      </c>
      <c r="R37" s="360">
        <v>10</v>
      </c>
      <c r="S37" s="360">
        <v>11</v>
      </c>
      <c r="T37" s="361">
        <v>12</v>
      </c>
      <c r="U37" s="699" t="s">
        <v>270</v>
      </c>
      <c r="V37" s="358" t="s">
        <v>512</v>
      </c>
      <c r="W37" s="737"/>
      <c r="X37" s="737"/>
      <c r="Y37" s="737"/>
      <c r="Z37" s="737"/>
      <c r="AA37" s="737"/>
      <c r="AC37" s="737"/>
      <c r="AD37" s="737"/>
      <c r="AE37" s="737"/>
      <c r="AG37" s="737"/>
      <c r="AH37" s="737"/>
      <c r="AI37" s="737"/>
      <c r="AK37" s="737"/>
      <c r="AL37" s="737"/>
      <c r="AM37" s="737"/>
      <c r="AO37" s="737"/>
    </row>
    <row r="38" spans="2:41" ht="22.5" customHeight="1" thickBot="1">
      <c r="B38" s="737"/>
      <c r="C38" s="1567" t="s">
        <v>580</v>
      </c>
      <c r="D38" s="1568"/>
      <c r="E38" s="1569"/>
      <c r="F38" s="673">
        <f>'PL. Prodeje'!X9</f>
        <v>8</v>
      </c>
      <c r="G38" s="674">
        <f>'PL. Prodeje'!Y9</f>
        <v>8</v>
      </c>
      <c r="H38" s="674">
        <f>'PL. Prodeje'!Z9</f>
        <v>13</v>
      </c>
      <c r="I38" s="726">
        <f>SUM(F38:H38)</f>
        <v>29</v>
      </c>
      <c r="J38" s="674">
        <f>'PL. Prodeje'!AA9</f>
        <v>33</v>
      </c>
      <c r="K38" s="674">
        <f>'PL. Prodeje'!AB9</f>
        <v>33</v>
      </c>
      <c r="L38" s="674">
        <f>'PL. Prodeje'!AC9</f>
        <v>32</v>
      </c>
      <c r="M38" s="726">
        <f>SUM(J38:L38)</f>
        <v>98</v>
      </c>
      <c r="N38" s="674">
        <f>'PL. Prodeje'!AD9</f>
        <v>29</v>
      </c>
      <c r="O38" s="674">
        <f>'PL. Prodeje'!AE9</f>
        <v>29</v>
      </c>
      <c r="P38" s="674">
        <f>'PL. Prodeje'!AF9</f>
        <v>22</v>
      </c>
      <c r="Q38" s="726">
        <f>SUM(N38:P38)</f>
        <v>80</v>
      </c>
      <c r="R38" s="674">
        <f>'PL. Prodeje'!AG9</f>
        <v>23</v>
      </c>
      <c r="S38" s="674">
        <f>'PL. Prodeje'!AH9</f>
        <v>23</v>
      </c>
      <c r="T38" s="676">
        <f>'PL. Prodeje'!AI9</f>
        <v>21</v>
      </c>
      <c r="U38" s="726">
        <f>SUM(R38:T38)</f>
        <v>67</v>
      </c>
      <c r="V38" s="714">
        <f>I38+M38+Q38+U38</f>
        <v>274</v>
      </c>
      <c r="W38" s="737"/>
      <c r="X38" s="737"/>
      <c r="Y38" s="737"/>
      <c r="Z38" s="737"/>
      <c r="AA38" s="737"/>
      <c r="AC38" s="737"/>
      <c r="AD38" s="737"/>
      <c r="AE38" s="737"/>
      <c r="AG38" s="737"/>
      <c r="AH38" s="737"/>
      <c r="AI38" s="737"/>
      <c r="AK38" s="737"/>
      <c r="AL38" s="737"/>
      <c r="AM38" s="737"/>
      <c r="AO38" s="737"/>
    </row>
    <row r="39" spans="2:41" s="675" customFormat="1" ht="24.75" customHeight="1" thickBot="1">
      <c r="C39" s="1559" t="s">
        <v>581</v>
      </c>
      <c r="D39" s="1560"/>
      <c r="E39" s="1560"/>
      <c r="F39" s="681"/>
      <c r="G39" s="681"/>
      <c r="H39" s="681">
        <v>60</v>
      </c>
      <c r="I39" s="732">
        <f>SUM(F39:H39)</f>
        <v>60</v>
      </c>
      <c r="J39" s="681"/>
      <c r="K39" s="681"/>
      <c r="L39" s="681">
        <v>80</v>
      </c>
      <c r="M39" s="732">
        <f>SUM(J39:L39)</f>
        <v>80</v>
      </c>
      <c r="N39" s="681"/>
      <c r="O39" s="681"/>
      <c r="P39" s="681">
        <v>80</v>
      </c>
      <c r="Q39" s="732">
        <f>SUM(N39:P39)</f>
        <v>80</v>
      </c>
      <c r="R39" s="681"/>
      <c r="S39" s="681"/>
      <c r="T39" s="681">
        <v>60</v>
      </c>
      <c r="U39" s="732">
        <f>SUM(R39:T39)</f>
        <v>60</v>
      </c>
      <c r="V39" s="677">
        <f>I39+M39+Q39+U39</f>
        <v>280</v>
      </c>
      <c r="X39" s="675" t="s">
        <v>582</v>
      </c>
    </row>
    <row r="40" spans="2:41" s="675" customFormat="1" ht="17.25" customHeight="1" thickBot="1">
      <c r="C40" s="1561" t="s">
        <v>553</v>
      </c>
      <c r="D40" s="1562"/>
      <c r="E40" s="1562"/>
      <c r="F40" s="679">
        <f>Sklad!P15</f>
        <v>57</v>
      </c>
      <c r="G40" s="679">
        <f>Sklad!Q15</f>
        <v>49</v>
      </c>
      <c r="H40" s="679">
        <f>Sklad!R15</f>
        <v>96</v>
      </c>
      <c r="I40" s="733">
        <f>SUM(F40:H40)</f>
        <v>202</v>
      </c>
      <c r="J40" s="679">
        <f>Sklad!S15</f>
        <v>63</v>
      </c>
      <c r="K40" s="679">
        <f>Sklad!T15</f>
        <v>30</v>
      </c>
      <c r="L40" s="679">
        <f>Sklad!U15</f>
        <v>78</v>
      </c>
      <c r="M40" s="733">
        <f>SUM(J40:L40)</f>
        <v>171</v>
      </c>
      <c r="N40" s="679">
        <f>Sklad!V15</f>
        <v>49</v>
      </c>
      <c r="O40" s="679">
        <f>Sklad!W15</f>
        <v>20</v>
      </c>
      <c r="P40" s="679">
        <f>Sklad!X15</f>
        <v>78</v>
      </c>
      <c r="Q40" s="733">
        <f>SUM(N40:P40)</f>
        <v>147</v>
      </c>
      <c r="R40" s="679">
        <f>Sklad!Y15</f>
        <v>55</v>
      </c>
      <c r="S40" s="679">
        <f>Sklad!Z15</f>
        <v>32</v>
      </c>
      <c r="T40" s="680">
        <f>Sklad!AA15</f>
        <v>71</v>
      </c>
      <c r="U40" s="733">
        <f>SUM(R40:T40)</f>
        <v>158</v>
      </c>
      <c r="V40" s="678">
        <f>I40+M40+Q40+U40</f>
        <v>678</v>
      </c>
    </row>
    <row r="41" spans="2:41" ht="18" customHeight="1" thickBot="1">
      <c r="B41" s="737"/>
      <c r="C41" s="1563" t="s">
        <v>583</v>
      </c>
      <c r="D41" s="1564"/>
      <c r="E41" s="1564"/>
      <c r="F41" s="1565"/>
      <c r="G41" s="1565"/>
      <c r="H41" s="1565"/>
      <c r="I41" s="1564"/>
      <c r="J41" s="1565"/>
      <c r="K41" s="1565"/>
      <c r="L41" s="1565"/>
      <c r="M41" s="1564"/>
      <c r="N41" s="1565"/>
      <c r="O41" s="1565"/>
      <c r="P41" s="1565"/>
      <c r="Q41" s="1564"/>
      <c r="R41" s="1565"/>
      <c r="S41" s="1565"/>
      <c r="T41" s="1565"/>
      <c r="U41" s="1564"/>
      <c r="V41" s="1566"/>
      <c r="W41" s="737"/>
      <c r="X41" s="737"/>
      <c r="Y41" s="737"/>
      <c r="Z41" s="737"/>
      <c r="AA41" s="737"/>
      <c r="AC41" s="737"/>
      <c r="AD41" s="737"/>
      <c r="AE41" s="737"/>
      <c r="AG41" s="737"/>
      <c r="AH41" s="737"/>
      <c r="AI41" s="737"/>
      <c r="AK41" s="737"/>
      <c r="AL41" s="737"/>
      <c r="AM41" s="737"/>
      <c r="AO41" s="737"/>
    </row>
    <row r="42" spans="2:41" ht="25.5" customHeight="1" thickBot="1">
      <c r="B42" s="737"/>
      <c r="C42" s="1548" t="s">
        <v>247</v>
      </c>
      <c r="D42" s="1549"/>
      <c r="E42" s="1549"/>
      <c r="F42" s="693">
        <f>F39*Produkty!$E$11</f>
        <v>0</v>
      </c>
      <c r="G42" s="802">
        <f>G39*Produkty!$E$11</f>
        <v>0</v>
      </c>
      <c r="H42" s="803">
        <f>H39*Produkty!$E$11</f>
        <v>540000</v>
      </c>
      <c r="I42" s="802">
        <f>SUM(F42:H42)</f>
        <v>540000</v>
      </c>
      <c r="J42" s="693">
        <f>J39*Produkty!$E$11</f>
        <v>0</v>
      </c>
      <c r="K42" s="802">
        <f>K39*Produkty!$E$11</f>
        <v>0</v>
      </c>
      <c r="L42" s="803">
        <f>L39*Produkty!$E$11</f>
        <v>720000</v>
      </c>
      <c r="M42" s="802">
        <f>SUM(J42:L42)</f>
        <v>720000</v>
      </c>
      <c r="N42" s="693">
        <f>N39*Produkty!$E$11</f>
        <v>0</v>
      </c>
      <c r="O42" s="802">
        <f>O39*Produkty!$E$11</f>
        <v>0</v>
      </c>
      <c r="P42" s="803">
        <f>P39*Produkty!$E$11</f>
        <v>720000</v>
      </c>
      <c r="Q42" s="802">
        <f>SUM(N42:P42)</f>
        <v>720000</v>
      </c>
      <c r="R42" s="693">
        <f>R39*Produkty!$E$11</f>
        <v>0</v>
      </c>
      <c r="S42" s="802">
        <f>S39*Produkty!$E$11</f>
        <v>0</v>
      </c>
      <c r="T42" s="803">
        <f>T39*Produkty!$E$11</f>
        <v>540000</v>
      </c>
      <c r="U42" s="690">
        <f>SUM(R42:T42)</f>
        <v>540000</v>
      </c>
      <c r="V42" s="682">
        <f>SUM(I42+M42+Q42+U42)</f>
        <v>2520000</v>
      </c>
      <c r="W42" s="737"/>
      <c r="X42" s="737"/>
      <c r="Y42" s="737"/>
      <c r="Z42" s="737"/>
      <c r="AA42" s="737"/>
      <c r="AC42" s="737"/>
      <c r="AD42" s="737"/>
      <c r="AE42" s="737"/>
      <c r="AG42" s="737"/>
      <c r="AH42" s="737"/>
      <c r="AI42" s="737"/>
      <c r="AK42" s="737"/>
      <c r="AL42" s="737"/>
      <c r="AM42" s="737"/>
      <c r="AO42" s="737"/>
    </row>
    <row r="43" spans="2:41">
      <c r="B43" s="737"/>
      <c r="C43" s="737"/>
      <c r="D43" s="737"/>
      <c r="E43" s="737"/>
      <c r="F43" s="737"/>
      <c r="G43" s="737"/>
      <c r="H43" s="737"/>
      <c r="I43" s="737"/>
      <c r="J43" s="737"/>
      <c r="K43" s="737"/>
      <c r="L43" s="737"/>
      <c r="M43" s="737"/>
      <c r="N43" s="737"/>
      <c r="O43" s="737"/>
      <c r="P43" s="737"/>
      <c r="Q43" s="737"/>
      <c r="R43" s="737"/>
      <c r="S43" s="737"/>
      <c r="T43" s="737"/>
      <c r="U43" s="737"/>
      <c r="V43" s="737"/>
      <c r="W43" s="737"/>
      <c r="X43" s="737"/>
      <c r="Y43" s="737"/>
      <c r="Z43" s="737"/>
      <c r="AA43" s="737"/>
      <c r="AC43" s="737"/>
      <c r="AD43" s="737"/>
      <c r="AE43" s="737"/>
      <c r="AG43" s="737"/>
      <c r="AH43" s="737"/>
      <c r="AI43" s="737"/>
      <c r="AK43" s="737"/>
      <c r="AL43" s="737"/>
      <c r="AM43" s="737"/>
      <c r="AO43" s="737"/>
    </row>
    <row r="44" spans="2:41">
      <c r="B44" s="737"/>
      <c r="C44" s="737"/>
      <c r="D44" s="737"/>
      <c r="E44" s="737"/>
      <c r="F44" s="737"/>
      <c r="G44" s="737"/>
      <c r="H44" s="737"/>
      <c r="I44" s="737"/>
      <c r="J44" s="737"/>
      <c r="K44" s="737"/>
      <c r="L44" s="737"/>
      <c r="M44" s="737"/>
      <c r="N44" s="737"/>
      <c r="O44" s="737"/>
      <c r="P44" s="737"/>
      <c r="Q44" s="737"/>
      <c r="R44" s="737"/>
      <c r="S44" s="737"/>
      <c r="T44" s="737"/>
      <c r="U44" s="737"/>
      <c r="V44" s="737"/>
      <c r="W44" s="737"/>
      <c r="X44" s="737"/>
      <c r="Y44" s="737"/>
      <c r="Z44" s="737"/>
      <c r="AA44" s="737"/>
      <c r="AC44" s="737"/>
      <c r="AD44" s="737"/>
      <c r="AE44" s="737"/>
      <c r="AG44" s="737"/>
      <c r="AH44" s="737"/>
      <c r="AI44" s="737"/>
      <c r="AK44" s="737"/>
      <c r="AL44" s="737"/>
      <c r="AM44" s="737"/>
      <c r="AO44" s="737"/>
    </row>
    <row r="45" spans="2:41">
      <c r="B45" s="737"/>
      <c r="C45" s="737"/>
      <c r="D45" s="737"/>
      <c r="E45" s="737"/>
      <c r="F45" s="737"/>
      <c r="G45" s="737"/>
      <c r="H45" s="737"/>
      <c r="I45" s="737"/>
      <c r="J45" s="737"/>
      <c r="K45" s="737"/>
      <c r="L45" s="737"/>
      <c r="M45" s="737"/>
      <c r="N45" s="737"/>
      <c r="O45" s="737"/>
      <c r="P45" s="737"/>
      <c r="Q45" s="737"/>
      <c r="R45" s="737"/>
      <c r="S45" s="737"/>
      <c r="T45" s="737"/>
      <c r="U45" s="737"/>
      <c r="V45" s="737"/>
      <c r="W45" s="737"/>
      <c r="X45" s="737"/>
      <c r="Y45" s="737"/>
      <c r="Z45" s="737"/>
      <c r="AA45" s="737"/>
      <c r="AC45" s="737"/>
      <c r="AD45" s="737"/>
      <c r="AE45" s="737"/>
      <c r="AG45" s="737"/>
      <c r="AH45" s="737"/>
      <c r="AI45" s="737"/>
      <c r="AK45" s="737"/>
      <c r="AL45" s="737"/>
      <c r="AM45" s="737"/>
      <c r="AO45" s="737"/>
    </row>
    <row r="46" spans="2:41">
      <c r="B46" s="737"/>
      <c r="C46" s="737"/>
      <c r="D46" s="737"/>
      <c r="E46" s="737"/>
      <c r="F46" s="737"/>
      <c r="G46" s="737"/>
      <c r="H46" s="737"/>
      <c r="I46" s="737"/>
      <c r="J46" s="737"/>
      <c r="K46" s="737"/>
      <c r="L46" s="737"/>
      <c r="M46" s="737"/>
      <c r="N46" s="737"/>
      <c r="O46" s="737"/>
      <c r="P46" s="737"/>
      <c r="Q46" s="737"/>
      <c r="R46" s="737"/>
      <c r="S46" s="737"/>
      <c r="T46" s="737"/>
      <c r="U46" s="737"/>
      <c r="V46" s="737"/>
      <c r="W46" s="737"/>
      <c r="X46" s="737"/>
      <c r="Y46" s="737"/>
      <c r="Z46" s="737"/>
      <c r="AA46" s="737"/>
      <c r="AC46" s="737"/>
      <c r="AD46" s="737"/>
      <c r="AE46" s="737"/>
      <c r="AG46" s="737"/>
      <c r="AH46" s="737"/>
      <c r="AI46" s="737"/>
      <c r="AK46" s="737"/>
      <c r="AL46" s="737"/>
      <c r="AM46" s="737"/>
      <c r="AO46" s="737"/>
    </row>
    <row r="47" spans="2:41">
      <c r="B47" s="737"/>
      <c r="C47" s="737"/>
      <c r="D47" s="737"/>
      <c r="E47" s="737"/>
      <c r="F47" s="737"/>
      <c r="G47" s="737"/>
      <c r="H47" s="737"/>
      <c r="I47" s="737"/>
      <c r="J47" s="737"/>
      <c r="K47" s="737"/>
      <c r="L47" s="737"/>
      <c r="M47" s="737"/>
      <c r="N47" s="737"/>
      <c r="O47" s="737"/>
      <c r="P47" s="737"/>
      <c r="Q47" s="737"/>
      <c r="R47" s="737"/>
      <c r="S47" s="737"/>
      <c r="T47" s="737"/>
      <c r="U47" s="737"/>
      <c r="V47" s="737"/>
      <c r="W47" s="737"/>
      <c r="X47" s="737"/>
      <c r="Y47" s="737"/>
      <c r="Z47" s="737"/>
      <c r="AA47" s="737"/>
      <c r="AC47" s="737"/>
      <c r="AD47" s="737"/>
      <c r="AE47" s="737"/>
      <c r="AG47" s="737"/>
      <c r="AH47" s="737"/>
      <c r="AI47" s="737"/>
      <c r="AK47" s="737"/>
      <c r="AL47" s="737"/>
      <c r="AM47" s="737"/>
      <c r="AO47" s="737"/>
    </row>
    <row r="48" spans="2:41">
      <c r="B48" s="737"/>
      <c r="C48" s="737"/>
      <c r="D48" s="737"/>
      <c r="E48" s="737"/>
      <c r="F48" s="737"/>
      <c r="G48" s="737"/>
      <c r="H48" s="737"/>
      <c r="I48" s="737"/>
      <c r="J48" s="737"/>
      <c r="K48" s="737"/>
      <c r="L48" s="737"/>
      <c r="M48" s="737"/>
      <c r="N48" s="737"/>
      <c r="O48" s="737"/>
      <c r="P48" s="737"/>
      <c r="Q48" s="737"/>
      <c r="R48" s="737"/>
      <c r="S48" s="737"/>
      <c r="T48" s="737"/>
      <c r="U48" s="737"/>
      <c r="V48" s="737"/>
      <c r="W48" s="737"/>
      <c r="X48" s="737"/>
      <c r="Y48" s="737"/>
      <c r="Z48" s="737"/>
      <c r="AA48" s="737"/>
      <c r="AC48" s="737"/>
      <c r="AD48" s="737"/>
      <c r="AE48" s="737"/>
      <c r="AG48" s="737"/>
      <c r="AH48" s="737"/>
      <c r="AI48" s="737"/>
      <c r="AK48" s="737"/>
      <c r="AL48" s="737"/>
      <c r="AM48" s="737"/>
      <c r="AO48" s="737"/>
    </row>
    <row r="49" spans="2:6">
      <c r="B49" s="737"/>
      <c r="C49" s="737"/>
      <c r="D49" s="737"/>
      <c r="E49" s="737"/>
      <c r="F49" s="737"/>
    </row>
  </sheetData>
  <customSheetViews>
    <customSheetView guid="{F9015B81-4D5E-47E3-BFA8-A54438E9D1FF}" scale="70" showGridLines="0" topLeftCell="W16">
      <selection activeCell="O43" sqref="O43"/>
      <pageMargins left="0.7" right="0.7" top="0.78740157499999996" bottom="0.78740157499999996" header="0.3" footer="0.3"/>
    </customSheetView>
  </customSheetViews>
  <mergeCells count="15">
    <mergeCell ref="C33:E33"/>
    <mergeCell ref="X1:AO1"/>
    <mergeCell ref="Y4:AO4"/>
    <mergeCell ref="X3:AO3"/>
    <mergeCell ref="C1:V1"/>
    <mergeCell ref="F4:V4"/>
    <mergeCell ref="C3:E3"/>
    <mergeCell ref="C2:E2"/>
    <mergeCell ref="C39:E39"/>
    <mergeCell ref="C40:E40"/>
    <mergeCell ref="C41:V41"/>
    <mergeCell ref="C42:E42"/>
    <mergeCell ref="C36:V36"/>
    <mergeCell ref="C37:E37"/>
    <mergeCell ref="C38:E38"/>
  </mergeCells>
  <hyperlinks>
    <hyperlink ref="A1" location="MENU!A1" display="MENU" xr:uid="{C341BEFD-9CB0-49EA-B514-4A3E85F15EFC}"/>
  </hyperlinks>
  <pageMargins left="0.7" right="0.7" top="0.78740157499999996" bottom="0.78740157499999996" header="0.3" footer="0.3"/>
  <ignoredErrors>
    <ignoredError sqref="V1 R5:T32 V3:V4 V2 D2:H2 C4:H4 C6:H32 D1:H1 J2:L2 J3:L4 J5:L32 J1:L1 N2:P2 N4:P4 N5:P32 N1:P1 R2:T2 R3:T4 R1:T1 N3 P3 C5:D5 G5:H5 C3:E3 G3:H3" formula="1"/>
  </ignoredError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23D09-6A48-40B2-9E75-70822343F754}">
  <sheetPr>
    <tabColor rgb="FFFFC000"/>
  </sheetPr>
  <dimension ref="A1:AA20"/>
  <sheetViews>
    <sheetView showGridLines="0" zoomScale="70" zoomScaleNormal="70" workbookViewId="0"/>
  </sheetViews>
  <sheetFormatPr defaultColWidth="8.77734375" defaultRowHeight="14.25" outlineLevelCol="1"/>
  <cols>
    <col min="1" max="1" width="8.77734375" style="55"/>
    <col min="2" max="2" width="4.33203125" style="55" customWidth="1"/>
    <col min="3" max="3" width="23.21875" style="55" customWidth="1"/>
    <col min="4" max="6" width="11.44140625" style="55" customWidth="1" outlineLevel="1"/>
    <col min="7" max="7" width="11.44140625" style="55" customWidth="1"/>
    <col min="8" max="10" width="11.44140625" style="55" customWidth="1" outlineLevel="1"/>
    <col min="11" max="11" width="11.44140625" style="55" customWidth="1"/>
    <col min="12" max="14" width="11.44140625" style="55" customWidth="1" outlineLevel="1"/>
    <col min="15" max="15" width="11.44140625" style="55" customWidth="1"/>
    <col min="16" max="18" width="11.44140625" style="55" customWidth="1" outlineLevel="1"/>
    <col min="19" max="19" width="11.44140625" style="55" customWidth="1"/>
    <col min="20" max="20" width="17.33203125" style="55" customWidth="1"/>
    <col min="21" max="16384" width="8.77734375" style="55"/>
  </cols>
  <sheetData>
    <row r="1" spans="1:27" ht="22.5" customHeight="1" thickBot="1">
      <c r="A1" s="107" t="s">
        <v>1</v>
      </c>
      <c r="B1" s="737"/>
      <c r="C1" s="737"/>
      <c r="D1" s="737"/>
      <c r="E1" s="737"/>
      <c r="F1" s="737"/>
      <c r="G1" s="737"/>
      <c r="H1" s="737"/>
      <c r="I1" s="737"/>
      <c r="J1" s="737"/>
      <c r="K1" s="737"/>
      <c r="L1" s="737"/>
      <c r="M1" s="737"/>
      <c r="N1" s="737"/>
      <c r="O1" s="737"/>
      <c r="P1" s="737"/>
      <c r="Q1" s="737"/>
      <c r="R1" s="737"/>
      <c r="S1" s="737"/>
      <c r="T1" s="737"/>
      <c r="U1" s="737"/>
      <c r="V1" s="737"/>
      <c r="W1" s="737"/>
      <c r="X1" s="737"/>
      <c r="Y1" s="737"/>
      <c r="Z1" s="737"/>
      <c r="AA1" s="737"/>
    </row>
    <row r="2" spans="1:27" ht="34.5" customHeight="1" thickBot="1">
      <c r="A2" s="737"/>
      <c r="B2" s="737"/>
      <c r="C2" s="1579" t="s">
        <v>584</v>
      </c>
      <c r="D2" s="1580"/>
      <c r="E2" s="1580"/>
      <c r="F2" s="1580"/>
      <c r="G2" s="1580"/>
      <c r="H2" s="1580"/>
      <c r="I2" s="1580"/>
      <c r="J2" s="1580"/>
      <c r="K2" s="1580"/>
      <c r="L2" s="1580"/>
      <c r="M2" s="1580"/>
      <c r="N2" s="1580"/>
      <c r="O2" s="1580"/>
      <c r="P2" s="1580"/>
      <c r="Q2" s="1580"/>
      <c r="R2" s="1580"/>
      <c r="S2" s="1580"/>
      <c r="T2" s="1581"/>
      <c r="U2" s="737"/>
      <c r="V2" s="737"/>
      <c r="W2" s="737"/>
      <c r="X2" s="737"/>
      <c r="Y2" s="737"/>
      <c r="Z2" s="737"/>
      <c r="AA2" s="737"/>
    </row>
    <row r="3" spans="1:27" ht="32.25" customHeight="1" thickBot="1">
      <c r="A3" s="737"/>
      <c r="B3" s="737"/>
      <c r="C3" s="695" t="s">
        <v>572</v>
      </c>
      <c r="D3" s="356">
        <v>1</v>
      </c>
      <c r="E3" s="355">
        <v>2</v>
      </c>
      <c r="F3" s="355">
        <v>3</v>
      </c>
      <c r="G3" s="355" t="s">
        <v>258</v>
      </c>
      <c r="H3" s="355">
        <v>4</v>
      </c>
      <c r="I3" s="355">
        <v>5</v>
      </c>
      <c r="J3" s="355">
        <v>6</v>
      </c>
      <c r="K3" s="355" t="s">
        <v>262</v>
      </c>
      <c r="L3" s="355">
        <v>7</v>
      </c>
      <c r="M3" s="355">
        <v>8</v>
      </c>
      <c r="N3" s="355">
        <v>9</v>
      </c>
      <c r="O3" s="355" t="s">
        <v>266</v>
      </c>
      <c r="P3" s="355">
        <v>10</v>
      </c>
      <c r="Q3" s="355">
        <v>11</v>
      </c>
      <c r="R3" s="364">
        <v>12</v>
      </c>
      <c r="S3" s="701" t="s">
        <v>270</v>
      </c>
      <c r="T3" s="700" t="s">
        <v>512</v>
      </c>
      <c r="U3" s="737"/>
      <c r="V3" s="737"/>
      <c r="W3" s="737"/>
      <c r="X3" s="737"/>
      <c r="Y3" s="737"/>
      <c r="Z3" s="737"/>
      <c r="AA3" s="737"/>
    </row>
    <row r="4" spans="1:27" ht="26.25" customHeight="1" thickBot="1">
      <c r="A4" s="737"/>
      <c r="B4" s="737"/>
      <c r="C4" s="1118" t="s">
        <v>585</v>
      </c>
      <c r="D4" s="1119">
        <f>'PL. Nákupu'!Y33</f>
        <v>75150624</v>
      </c>
      <c r="E4" s="1120">
        <f>'PL. Nákupu'!Z33</f>
        <v>78422379</v>
      </c>
      <c r="F4" s="1120">
        <f>'PL. Nákupu'!AA33</f>
        <v>77128272</v>
      </c>
      <c r="G4" s="1121">
        <f>SUM(D4:F4)</f>
        <v>230701275</v>
      </c>
      <c r="H4" s="1120">
        <f>'PL. Nákupu'!AC33</f>
        <v>79411203</v>
      </c>
      <c r="I4" s="1120">
        <f>'PL. Nákupu'!AD33</f>
        <v>80094744</v>
      </c>
      <c r="J4" s="1120">
        <f>'PL. Nákupu'!AE33</f>
        <v>79411203</v>
      </c>
      <c r="K4" s="1121">
        <f>SUM(H4:J4)</f>
        <v>238917150</v>
      </c>
      <c r="L4" s="1120">
        <f>'PL. Nákupu'!AG33</f>
        <v>65262384</v>
      </c>
      <c r="M4" s="1120">
        <f>'PL. Nákupu'!AH33</f>
        <v>67545315</v>
      </c>
      <c r="N4" s="1120">
        <f>'PL. Nákupu'!AI33</f>
        <v>77128272</v>
      </c>
      <c r="O4" s="1121">
        <f>SUM(L4:N4)</f>
        <v>209935971</v>
      </c>
      <c r="P4" s="1120">
        <f>'PL. Nákupu'!AK33</f>
        <v>79411203</v>
      </c>
      <c r="Q4" s="1120">
        <f>'PL. Nákupu'!AL33</f>
        <v>76139448</v>
      </c>
      <c r="R4" s="1122">
        <f>'PL. Nákupu'!AM33</f>
        <v>73478259</v>
      </c>
      <c r="S4" s="1121">
        <f>SUM(P4:R4)</f>
        <v>229028910</v>
      </c>
      <c r="T4" s="694">
        <f>G4+K4+O4+S4</f>
        <v>908583306</v>
      </c>
      <c r="U4" s="737"/>
      <c r="V4" s="737"/>
      <c r="W4" s="737"/>
      <c r="X4" s="737"/>
      <c r="Y4" s="737"/>
      <c r="Z4" s="737"/>
      <c r="AA4" s="737"/>
    </row>
    <row r="5" spans="1:27" ht="26.25" customHeight="1" thickBot="1">
      <c r="A5" s="737"/>
      <c r="B5" s="737"/>
      <c r="C5" s="1123" t="s">
        <v>586</v>
      </c>
      <c r="D5" s="688">
        <f>'PL. Nákupu'!F42</f>
        <v>0</v>
      </c>
      <c r="E5" s="686">
        <f>'PL. Nákupu'!G42</f>
        <v>0</v>
      </c>
      <c r="F5" s="686">
        <f>'PL. Nákupu'!H42</f>
        <v>540000</v>
      </c>
      <c r="G5" s="1124">
        <f t="shared" ref="G5:G6" si="0">SUM(D5:F5)</f>
        <v>540000</v>
      </c>
      <c r="H5" s="686">
        <f>'PL. Nákupu'!J42</f>
        <v>0</v>
      </c>
      <c r="I5" s="686">
        <f>'PL. Nákupu'!K42</f>
        <v>0</v>
      </c>
      <c r="J5" s="686">
        <f>'PL. Nákupu'!L42</f>
        <v>720000</v>
      </c>
      <c r="K5" s="1124">
        <f t="shared" ref="K5:K6" si="1">SUM(H5:J5)</f>
        <v>720000</v>
      </c>
      <c r="L5" s="686">
        <f>'PL. Nákupu'!N42</f>
        <v>0</v>
      </c>
      <c r="M5" s="686">
        <f>'PL. Nákupu'!O42</f>
        <v>0</v>
      </c>
      <c r="N5" s="686">
        <f>'PL. Nákupu'!P42</f>
        <v>720000</v>
      </c>
      <c r="O5" s="1124">
        <f t="shared" ref="O5:O6" si="2">SUM(L5:N5)</f>
        <v>720000</v>
      </c>
      <c r="P5" s="686">
        <f>'PL. Nákupu'!R42</f>
        <v>0</v>
      </c>
      <c r="Q5" s="686">
        <f>'PL. Nákupu'!S42</f>
        <v>0</v>
      </c>
      <c r="R5" s="691">
        <f>'PL. Nákupu'!T42</f>
        <v>540000</v>
      </c>
      <c r="S5" s="1124">
        <f t="shared" ref="S5:S6" si="3">SUM(P5:R5)</f>
        <v>540000</v>
      </c>
      <c r="T5" s="694">
        <f t="shared" ref="T5:T7" si="4">G5+K5+O5+S5</f>
        <v>2520000</v>
      </c>
      <c r="U5" s="335"/>
      <c r="V5" s="335"/>
      <c r="W5" s="335"/>
      <c r="X5" s="335"/>
      <c r="Y5" s="335"/>
      <c r="Z5" s="333"/>
      <c r="AA5" s="333"/>
    </row>
    <row r="6" spans="1:27" ht="26.25" customHeight="1" thickBot="1">
      <c r="A6" s="737"/>
      <c r="B6" s="737"/>
      <c r="C6" s="1125" t="s">
        <v>587</v>
      </c>
      <c r="D6" s="689">
        <f>'PL. FN'!D26</f>
        <v>9247974.55727778</v>
      </c>
      <c r="E6" s="687">
        <f>'PL. FN'!E26</f>
        <v>9552842.7027777787</v>
      </c>
      <c r="F6" s="687">
        <f>'PL. FN'!F26</f>
        <v>11050136.140277779</v>
      </c>
      <c r="G6" s="1126">
        <f t="shared" si="0"/>
        <v>29850953.400333337</v>
      </c>
      <c r="H6" s="687">
        <f>'PL. FN'!H26</f>
        <v>9652842.7027777787</v>
      </c>
      <c r="I6" s="687">
        <f>'PL. FN'!I26</f>
        <v>9552842.7027777787</v>
      </c>
      <c r="J6" s="687">
        <f>'PL. FN'!J26</f>
        <v>11050136.140277779</v>
      </c>
      <c r="K6" s="1126">
        <f t="shared" si="1"/>
        <v>30255821.545833334</v>
      </c>
      <c r="L6" s="687">
        <f>'PL. FN'!L26</f>
        <v>9810842.7027777787</v>
      </c>
      <c r="M6" s="687">
        <f>'PL. FN'!M26</f>
        <v>9552842.7027777787</v>
      </c>
      <c r="N6" s="687">
        <f>'PL. FN'!N26</f>
        <v>11050136.140277779</v>
      </c>
      <c r="O6" s="1126">
        <f t="shared" si="2"/>
        <v>30413821.545833334</v>
      </c>
      <c r="P6" s="687">
        <f>'PL. FN'!P26</f>
        <v>9652842.7027777787</v>
      </c>
      <c r="Q6" s="687">
        <f>'PL. FN'!Q26</f>
        <v>9552842.7027777787</v>
      </c>
      <c r="R6" s="692">
        <f>'PL. FN'!R26</f>
        <v>11050136.140277779</v>
      </c>
      <c r="S6" s="1126">
        <f t="shared" si="3"/>
        <v>30255821.545833334</v>
      </c>
      <c r="T6" s="694">
        <f>G6+K6+O6+S6</f>
        <v>120776418.03783335</v>
      </c>
      <c r="U6" s="337"/>
      <c r="V6" s="338"/>
      <c r="W6" s="338"/>
      <c r="X6" s="338"/>
      <c r="Y6" s="338"/>
      <c r="Z6" s="333"/>
      <c r="AA6" s="333"/>
    </row>
    <row r="7" spans="1:27" ht="37.5" customHeight="1" thickBot="1">
      <c r="A7" s="737"/>
      <c r="B7" s="737"/>
      <c r="C7" s="357" t="s">
        <v>247</v>
      </c>
      <c r="D7" s="690">
        <f t="shared" ref="D7:S7" si="5">SUM(D4:D6)</f>
        <v>84398598.557277784</v>
      </c>
      <c r="E7" s="648">
        <f t="shared" si="5"/>
        <v>87975221.702777773</v>
      </c>
      <c r="F7" s="648">
        <f t="shared" si="5"/>
        <v>88718408.140277773</v>
      </c>
      <c r="G7" s="698">
        <f t="shared" si="5"/>
        <v>261092228.40033334</v>
      </c>
      <c r="H7" s="648">
        <f t="shared" si="5"/>
        <v>89064045.702777773</v>
      </c>
      <c r="I7" s="648">
        <f t="shared" si="5"/>
        <v>89647586.702777773</v>
      </c>
      <c r="J7" s="648">
        <f t="shared" si="5"/>
        <v>91181339.140277773</v>
      </c>
      <c r="K7" s="698">
        <f t="shared" si="5"/>
        <v>269892971.54583335</v>
      </c>
      <c r="L7" s="648">
        <f t="shared" si="5"/>
        <v>75073226.702777773</v>
      </c>
      <c r="M7" s="648">
        <f t="shared" si="5"/>
        <v>77098157.702777773</v>
      </c>
      <c r="N7" s="648">
        <f t="shared" si="5"/>
        <v>88898408.140277773</v>
      </c>
      <c r="O7" s="698">
        <f t="shared" si="5"/>
        <v>241069792.54583335</v>
      </c>
      <c r="P7" s="648">
        <f t="shared" si="5"/>
        <v>89064045.702777773</v>
      </c>
      <c r="Q7" s="648">
        <f t="shared" si="5"/>
        <v>85692290.702777773</v>
      </c>
      <c r="R7" s="693">
        <f t="shared" si="5"/>
        <v>85068395.140277773</v>
      </c>
      <c r="S7" s="698">
        <f t="shared" si="5"/>
        <v>259824731.54583335</v>
      </c>
      <c r="T7" s="694">
        <f t="shared" si="4"/>
        <v>1031879724.0378335</v>
      </c>
      <c r="U7" s="333"/>
      <c r="V7" s="333"/>
      <c r="W7" s="333"/>
      <c r="X7" s="333"/>
      <c r="Y7" s="333"/>
      <c r="Z7" s="333"/>
      <c r="AA7" s="333"/>
    </row>
    <row r="8" spans="1:27">
      <c r="A8" s="737"/>
      <c r="B8" s="737"/>
      <c r="C8" s="737"/>
      <c r="D8" s="737"/>
      <c r="E8" s="737"/>
      <c r="F8" s="333"/>
      <c r="G8" s="333"/>
      <c r="H8" s="336"/>
      <c r="I8" s="337"/>
      <c r="J8" s="337"/>
      <c r="K8" s="337"/>
      <c r="L8" s="337"/>
      <c r="M8" s="337"/>
      <c r="N8" s="337"/>
      <c r="O8" s="337"/>
      <c r="P8" s="337"/>
      <c r="Q8" s="337"/>
      <c r="R8" s="337"/>
      <c r="S8" s="337"/>
      <c r="T8" s="337"/>
      <c r="U8" s="337"/>
      <c r="V8" s="338"/>
      <c r="W8" s="338"/>
      <c r="X8" s="338"/>
      <c r="Y8" s="338"/>
      <c r="Z8" s="333"/>
      <c r="AA8" s="333"/>
    </row>
    <row r="9" spans="1:27">
      <c r="A9" s="737"/>
      <c r="B9" s="737"/>
      <c r="C9" s="737"/>
      <c r="D9" s="737"/>
      <c r="E9" s="333"/>
      <c r="F9" s="333"/>
      <c r="G9" s="333"/>
      <c r="H9" s="333"/>
      <c r="I9" s="333"/>
      <c r="J9" s="333"/>
      <c r="K9" s="333"/>
      <c r="L9" s="333"/>
      <c r="M9" s="333"/>
      <c r="N9" s="333"/>
      <c r="O9" s="333"/>
      <c r="P9" s="333"/>
      <c r="Q9" s="333"/>
      <c r="R9" s="333"/>
      <c r="S9" s="333"/>
      <c r="T9" s="333"/>
      <c r="U9" s="333"/>
      <c r="V9" s="333"/>
      <c r="W9" s="333"/>
      <c r="X9" s="333"/>
      <c r="Y9" s="333"/>
      <c r="Z9" s="333"/>
      <c r="AA9" s="333"/>
    </row>
    <row r="10" spans="1:27">
      <c r="A10" s="737"/>
      <c r="B10" s="737"/>
      <c r="C10" s="737"/>
      <c r="D10" s="737"/>
      <c r="E10" s="333"/>
      <c r="F10" s="333"/>
      <c r="G10" s="333"/>
      <c r="H10" s="339"/>
      <c r="I10" s="337"/>
      <c r="J10" s="337"/>
      <c r="K10" s="337"/>
      <c r="L10" s="337"/>
      <c r="M10" s="337"/>
      <c r="N10" s="337"/>
      <c r="O10" s="337"/>
      <c r="P10" s="337"/>
      <c r="Q10" s="337"/>
      <c r="R10" s="337"/>
      <c r="S10" s="337"/>
      <c r="T10" s="337"/>
      <c r="U10" s="337"/>
      <c r="V10" s="338"/>
      <c r="W10" s="338"/>
      <c r="X10" s="338"/>
      <c r="Y10" s="338"/>
      <c r="Z10" s="333"/>
      <c r="AA10" s="333"/>
    </row>
    <row r="11" spans="1:27">
      <c r="A11" s="737"/>
      <c r="B11" s="737"/>
      <c r="C11" s="737"/>
      <c r="D11" s="737"/>
      <c r="E11" s="333"/>
      <c r="F11" s="333"/>
      <c r="G11" s="333"/>
      <c r="H11" s="333"/>
      <c r="I11" s="333"/>
      <c r="J11" s="333"/>
      <c r="K11" s="333"/>
      <c r="L11" s="333"/>
      <c r="M11" s="333"/>
      <c r="N11" s="333"/>
      <c r="O11" s="333"/>
      <c r="P11" s="333"/>
      <c r="Q11" s="333"/>
      <c r="R11" s="333"/>
      <c r="S11" s="333"/>
      <c r="T11" s="333"/>
      <c r="U11" s="333"/>
      <c r="V11" s="333"/>
      <c r="W11" s="333"/>
      <c r="X11" s="333"/>
      <c r="Y11" s="333"/>
      <c r="Z11" s="333"/>
      <c r="AA11" s="333"/>
    </row>
    <row r="12" spans="1:27">
      <c r="A12" s="737"/>
      <c r="B12" s="737"/>
      <c r="C12" s="737"/>
      <c r="D12" s="737"/>
      <c r="E12" s="333"/>
      <c r="F12" s="333"/>
      <c r="G12" s="333"/>
      <c r="H12" s="339"/>
      <c r="I12" s="337"/>
      <c r="J12" s="337"/>
      <c r="K12" s="337"/>
      <c r="L12" s="337"/>
      <c r="M12" s="337"/>
      <c r="N12" s="337"/>
      <c r="O12" s="337"/>
      <c r="P12" s="337"/>
      <c r="Q12" s="337"/>
      <c r="R12" s="337"/>
      <c r="S12" s="337"/>
      <c r="T12" s="337"/>
      <c r="U12" s="337"/>
      <c r="V12" s="338"/>
      <c r="W12" s="338"/>
      <c r="X12" s="338"/>
      <c r="Y12" s="338"/>
      <c r="Z12" s="333"/>
      <c r="AA12" s="333"/>
    </row>
    <row r="13" spans="1:27">
      <c r="A13" s="737"/>
      <c r="B13" s="737"/>
      <c r="C13" s="737"/>
      <c r="D13" s="737"/>
      <c r="E13" s="333"/>
      <c r="F13" s="333"/>
      <c r="G13" s="333"/>
      <c r="H13" s="333"/>
      <c r="I13" s="333"/>
      <c r="J13" s="333"/>
      <c r="K13" s="333"/>
      <c r="L13" s="333"/>
      <c r="M13" s="333"/>
      <c r="N13" s="333"/>
      <c r="O13" s="333"/>
      <c r="P13" s="333"/>
      <c r="Q13" s="333"/>
      <c r="R13" s="333"/>
      <c r="S13" s="333"/>
      <c r="T13" s="333"/>
      <c r="U13" s="333"/>
      <c r="V13" s="333"/>
      <c r="W13" s="333"/>
      <c r="X13" s="333"/>
      <c r="Y13" s="333"/>
      <c r="Z13" s="333"/>
      <c r="AA13" s="333"/>
    </row>
    <row r="14" spans="1:27">
      <c r="A14" s="737"/>
      <c r="B14" s="737"/>
      <c r="C14" s="737"/>
      <c r="D14" s="737"/>
      <c r="E14" s="333"/>
      <c r="F14" s="333"/>
      <c r="G14" s="333"/>
      <c r="H14" s="333"/>
      <c r="I14" s="333"/>
      <c r="J14" s="333"/>
      <c r="K14" s="333"/>
      <c r="L14" s="333"/>
      <c r="M14" s="333"/>
      <c r="N14" s="333"/>
      <c r="O14" s="333"/>
      <c r="P14" s="333"/>
      <c r="Q14" s="333"/>
      <c r="R14" s="333"/>
      <c r="S14" s="333"/>
      <c r="T14" s="333"/>
      <c r="U14" s="333"/>
      <c r="V14" s="333"/>
      <c r="W14" s="333"/>
      <c r="X14" s="333"/>
      <c r="Y14" s="333"/>
      <c r="Z14" s="333"/>
      <c r="AA14" s="333"/>
    </row>
    <row r="15" spans="1:27">
      <c r="A15" s="737"/>
      <c r="B15" s="737"/>
      <c r="C15" s="737"/>
      <c r="D15" s="737"/>
      <c r="E15" s="333"/>
      <c r="F15" s="333"/>
      <c r="G15" s="333"/>
      <c r="H15" s="333"/>
      <c r="I15" s="333"/>
      <c r="J15" s="333"/>
      <c r="K15" s="333"/>
      <c r="L15" s="333"/>
      <c r="M15" s="333"/>
      <c r="N15" s="333"/>
      <c r="O15" s="333"/>
      <c r="P15" s="333"/>
      <c r="Q15" s="333"/>
      <c r="R15" s="333"/>
      <c r="S15" s="333"/>
      <c r="T15" s="333"/>
      <c r="U15" s="333"/>
      <c r="V15" s="333"/>
      <c r="W15" s="333"/>
      <c r="X15" s="333"/>
      <c r="Y15" s="333"/>
      <c r="Z15" s="333"/>
      <c r="AA15" s="333"/>
    </row>
    <row r="16" spans="1:27">
      <c r="A16" s="737"/>
      <c r="B16" s="737"/>
      <c r="C16" s="737"/>
      <c r="D16" s="737"/>
      <c r="E16" s="333"/>
      <c r="F16" s="333"/>
      <c r="G16" s="333"/>
      <c r="H16" s="333"/>
      <c r="I16" s="333"/>
      <c r="J16" s="333"/>
      <c r="K16" s="333"/>
      <c r="L16" s="333"/>
      <c r="M16" s="333"/>
      <c r="N16" s="333"/>
      <c r="O16" s="333"/>
      <c r="P16" s="333"/>
      <c r="Q16" s="333"/>
      <c r="R16" s="333"/>
      <c r="S16" s="333"/>
      <c r="T16" s="333"/>
      <c r="U16" s="333"/>
      <c r="V16" s="333"/>
      <c r="W16" s="333"/>
      <c r="X16" s="333"/>
      <c r="Y16" s="333"/>
      <c r="Z16" s="333"/>
      <c r="AA16" s="333"/>
    </row>
    <row r="17" spans="5:27">
      <c r="E17" s="333"/>
      <c r="F17" s="333"/>
      <c r="G17" s="333"/>
      <c r="H17" s="333"/>
      <c r="I17" s="333"/>
      <c r="J17" s="333"/>
      <c r="K17" s="333"/>
      <c r="L17" s="333"/>
      <c r="M17" s="333"/>
      <c r="N17" s="333"/>
      <c r="O17" s="333"/>
      <c r="P17" s="333"/>
      <c r="Q17" s="333"/>
      <c r="R17" s="333"/>
      <c r="S17" s="333"/>
      <c r="T17" s="333"/>
      <c r="U17" s="333"/>
      <c r="V17" s="333"/>
      <c r="W17" s="333"/>
      <c r="X17" s="333"/>
      <c r="Y17" s="333"/>
      <c r="Z17" s="333"/>
      <c r="AA17" s="333"/>
    </row>
    <row r="18" spans="5:27">
      <c r="E18" s="333"/>
      <c r="F18" s="333"/>
      <c r="G18" s="333"/>
      <c r="H18" s="333"/>
      <c r="I18" s="333"/>
      <c r="J18" s="333"/>
      <c r="K18" s="333"/>
      <c r="L18" s="333"/>
      <c r="M18" s="333"/>
      <c r="N18" s="333"/>
      <c r="O18" s="333"/>
      <c r="P18" s="333"/>
      <c r="Q18" s="333"/>
      <c r="R18" s="333"/>
      <c r="S18" s="333"/>
      <c r="T18" s="333"/>
      <c r="U18" s="333"/>
      <c r="V18" s="333"/>
      <c r="W18" s="333"/>
      <c r="X18" s="333"/>
      <c r="Y18" s="333"/>
      <c r="Z18" s="333"/>
      <c r="AA18" s="333"/>
    </row>
    <row r="19" spans="5:27">
      <c r="E19" s="333"/>
      <c r="F19" s="333"/>
      <c r="G19" s="333"/>
      <c r="H19" s="333"/>
      <c r="I19" s="333"/>
      <c r="J19" s="333"/>
      <c r="K19" s="333"/>
      <c r="L19" s="333"/>
      <c r="M19" s="333"/>
      <c r="N19" s="333"/>
      <c r="O19" s="333"/>
      <c r="P19" s="333"/>
      <c r="Q19" s="333"/>
      <c r="R19" s="333"/>
      <c r="S19" s="333"/>
      <c r="T19" s="333"/>
      <c r="U19" s="333"/>
      <c r="V19" s="333"/>
      <c r="W19" s="333"/>
      <c r="X19" s="333"/>
      <c r="Y19" s="333"/>
      <c r="Z19" s="333"/>
      <c r="AA19" s="333"/>
    </row>
    <row r="20" spans="5:27">
      <c r="E20" s="333"/>
      <c r="F20" s="333"/>
      <c r="G20" s="333"/>
      <c r="H20" s="333"/>
      <c r="I20" s="333"/>
      <c r="J20" s="333"/>
      <c r="K20" s="333"/>
      <c r="L20" s="333"/>
      <c r="M20" s="333"/>
      <c r="N20" s="333"/>
      <c r="O20" s="333"/>
      <c r="P20" s="333"/>
      <c r="Q20" s="333"/>
      <c r="R20" s="333"/>
      <c r="S20" s="333"/>
      <c r="T20" s="333"/>
      <c r="U20" s="333"/>
      <c r="V20" s="333"/>
      <c r="W20" s="333"/>
      <c r="X20" s="333"/>
      <c r="Y20" s="333"/>
      <c r="Z20" s="333"/>
      <c r="AA20" s="333"/>
    </row>
  </sheetData>
  <customSheetViews>
    <customSheetView guid="{F9015B81-4D5E-47E3-BFA8-A54438E9D1FF}" scale="70" showGridLines="0">
      <pageMargins left="0.7" right="0.7" top="0.78740157499999996" bottom="0.78740157499999996" header="0.3" footer="0.3"/>
    </customSheetView>
  </customSheetViews>
  <mergeCells count="1">
    <mergeCell ref="C2:T2"/>
  </mergeCells>
  <hyperlinks>
    <hyperlink ref="A1" location="MENU!A1" display="MENU" xr:uid="{B5F20B0E-92D3-4CF5-92B5-B45AA1D676BD}"/>
  </hyperlinks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CA86D-3F09-48A6-97E1-90A1A39BAFED}">
  <sheetPr>
    <tabColor rgb="FFFFC000"/>
  </sheetPr>
  <dimension ref="A1:BB25"/>
  <sheetViews>
    <sheetView showGridLines="0" zoomScale="85" zoomScaleNormal="85" workbookViewId="0">
      <pane xSplit="2" ySplit="3" topLeftCell="O4" activePane="bottomRight" state="frozen"/>
      <selection pane="topRight" activeCell="C1" sqref="C1"/>
      <selection pane="bottomLeft" activeCell="A4" sqref="A4"/>
      <selection pane="bottomRight" activeCell="A26" sqref="A26"/>
    </sheetView>
  </sheetViews>
  <sheetFormatPr defaultColWidth="8.77734375" defaultRowHeight="14.25" outlineLevelCol="1"/>
  <cols>
    <col min="1" max="1" width="8.77734375" style="55"/>
    <col min="2" max="2" width="22.21875" style="55" bestFit="1" customWidth="1"/>
    <col min="3" max="14" width="6.33203125" style="55" hidden="1" customWidth="1" outlineLevel="1"/>
    <col min="15" max="15" width="7.77734375" style="55" customWidth="1" collapsed="1"/>
    <col min="16" max="27" width="6.33203125" style="55" customWidth="1" outlineLevel="1"/>
    <col min="28" max="28" width="7.77734375" style="55" customWidth="1"/>
    <col min="29" max="40" width="6.33203125" style="55" hidden="1" customWidth="1" outlineLevel="1"/>
    <col min="41" max="41" width="7.77734375" style="55" customWidth="1" collapsed="1"/>
    <col min="42" max="53" width="8.77734375" style="55" hidden="1" customWidth="1" outlineLevel="1"/>
    <col min="54" max="54" width="7.77734375" style="55" customWidth="1" collapsed="1"/>
    <col min="55" max="16384" width="8.77734375" style="55"/>
  </cols>
  <sheetData>
    <row r="1" spans="1:54" ht="22.5" customHeight="1" thickBot="1">
      <c r="A1" s="107" t="s">
        <v>1</v>
      </c>
      <c r="B1" s="737"/>
      <c r="C1" s="737"/>
      <c r="D1" s="737"/>
      <c r="E1" s="737"/>
      <c r="F1" s="737"/>
      <c r="G1" s="737"/>
      <c r="H1" s="737"/>
      <c r="I1" s="737"/>
      <c r="J1" s="737"/>
      <c r="K1" s="737"/>
      <c r="L1" s="737"/>
      <c r="M1" s="737"/>
      <c r="N1" s="737"/>
      <c r="O1" s="737"/>
      <c r="P1" s="737"/>
      <c r="Q1" s="737"/>
      <c r="R1" s="737"/>
      <c r="S1" s="737"/>
      <c r="T1" s="737"/>
      <c r="U1" s="737"/>
      <c r="V1" s="737"/>
      <c r="W1" s="737"/>
      <c r="X1" s="737"/>
      <c r="Y1" s="737"/>
      <c r="Z1" s="737"/>
      <c r="AA1" s="737"/>
      <c r="AB1" s="737"/>
      <c r="AC1" s="737"/>
      <c r="AD1" s="737"/>
      <c r="AE1" s="737"/>
      <c r="AF1" s="737"/>
      <c r="AG1" s="737"/>
      <c r="AH1" s="737"/>
      <c r="AI1" s="737"/>
      <c r="AJ1" s="737"/>
      <c r="AK1" s="737"/>
      <c r="AL1" s="737"/>
      <c r="AM1" s="737"/>
      <c r="AN1" s="737"/>
      <c r="AO1" s="737"/>
      <c r="AP1" s="737"/>
      <c r="AQ1" s="737"/>
      <c r="AR1" s="737"/>
      <c r="AS1" s="737"/>
      <c r="AT1" s="737"/>
      <c r="AU1" s="737"/>
      <c r="AV1" s="737"/>
      <c r="AW1" s="737"/>
      <c r="AX1" s="737"/>
      <c r="AY1" s="737"/>
      <c r="AZ1" s="737"/>
      <c r="BA1" s="737"/>
      <c r="BB1" s="737"/>
    </row>
    <row r="2" spans="1:54" ht="21" customHeight="1" thickBot="1">
      <c r="A2" s="737"/>
      <c r="B2" s="527" t="s">
        <v>588</v>
      </c>
      <c r="C2" s="1589">
        <v>2020</v>
      </c>
      <c r="D2" s="1590"/>
      <c r="E2" s="1590"/>
      <c r="F2" s="1590"/>
      <c r="G2" s="1590"/>
      <c r="H2" s="1590"/>
      <c r="I2" s="1590"/>
      <c r="J2" s="1590"/>
      <c r="K2" s="1590"/>
      <c r="L2" s="1590"/>
      <c r="M2" s="1590"/>
      <c r="N2" s="1590"/>
      <c r="O2" s="1591"/>
      <c r="P2" s="1592">
        <v>2021</v>
      </c>
      <c r="Q2" s="1593"/>
      <c r="R2" s="1593"/>
      <c r="S2" s="1593"/>
      <c r="T2" s="1593"/>
      <c r="U2" s="1593"/>
      <c r="V2" s="1593"/>
      <c r="W2" s="1593"/>
      <c r="X2" s="1593"/>
      <c r="Y2" s="1593"/>
      <c r="Z2" s="1593"/>
      <c r="AA2" s="1593"/>
      <c r="AB2" s="1594"/>
      <c r="AC2" s="1595">
        <v>2022</v>
      </c>
      <c r="AD2" s="1596"/>
      <c r="AE2" s="1596"/>
      <c r="AF2" s="1596"/>
      <c r="AG2" s="1596"/>
      <c r="AH2" s="1596"/>
      <c r="AI2" s="1596"/>
      <c r="AJ2" s="1596"/>
      <c r="AK2" s="1596"/>
      <c r="AL2" s="1596"/>
      <c r="AM2" s="1596"/>
      <c r="AN2" s="1596"/>
      <c r="AO2" s="1597"/>
      <c r="AP2" s="1583">
        <v>2023</v>
      </c>
      <c r="AQ2" s="1584"/>
      <c r="AR2" s="1584"/>
      <c r="AS2" s="1584"/>
      <c r="AT2" s="1584"/>
      <c r="AU2" s="1584"/>
      <c r="AV2" s="1584"/>
      <c r="AW2" s="1584"/>
      <c r="AX2" s="1584"/>
      <c r="AY2" s="1584"/>
      <c r="AZ2" s="1584"/>
      <c r="BA2" s="1584"/>
      <c r="BB2" s="1585"/>
    </row>
    <row r="3" spans="1:54" ht="18" customHeight="1" thickBot="1">
      <c r="A3" s="737"/>
      <c r="B3" s="357" t="s">
        <v>511</v>
      </c>
      <c r="C3" s="548">
        <v>1</v>
      </c>
      <c r="D3" s="529">
        <v>2</v>
      </c>
      <c r="E3" s="529">
        <v>3</v>
      </c>
      <c r="F3" s="529">
        <v>4</v>
      </c>
      <c r="G3" s="529">
        <v>5</v>
      </c>
      <c r="H3" s="529">
        <v>6</v>
      </c>
      <c r="I3" s="529">
        <v>7</v>
      </c>
      <c r="J3" s="529">
        <v>8</v>
      </c>
      <c r="K3" s="529">
        <v>9</v>
      </c>
      <c r="L3" s="529">
        <v>10</v>
      </c>
      <c r="M3" s="529">
        <v>11</v>
      </c>
      <c r="N3" s="530">
        <v>12</v>
      </c>
      <c r="O3" s="549" t="s">
        <v>512</v>
      </c>
      <c r="P3" s="550">
        <v>1</v>
      </c>
      <c r="Q3" s="531">
        <v>2</v>
      </c>
      <c r="R3" s="531">
        <v>3</v>
      </c>
      <c r="S3" s="531">
        <v>4</v>
      </c>
      <c r="T3" s="531">
        <v>5</v>
      </c>
      <c r="U3" s="531">
        <v>6</v>
      </c>
      <c r="V3" s="531">
        <v>7</v>
      </c>
      <c r="W3" s="531">
        <v>8</v>
      </c>
      <c r="X3" s="531">
        <v>9</v>
      </c>
      <c r="Y3" s="531">
        <v>10</v>
      </c>
      <c r="Z3" s="531">
        <v>11</v>
      </c>
      <c r="AA3" s="532">
        <v>12</v>
      </c>
      <c r="AB3" s="551" t="s">
        <v>512</v>
      </c>
      <c r="AC3" s="555">
        <v>1</v>
      </c>
      <c r="AD3" s="533">
        <v>2</v>
      </c>
      <c r="AE3" s="533">
        <v>3</v>
      </c>
      <c r="AF3" s="533">
        <v>4</v>
      </c>
      <c r="AG3" s="533">
        <v>5</v>
      </c>
      <c r="AH3" s="533">
        <v>6</v>
      </c>
      <c r="AI3" s="533">
        <v>7</v>
      </c>
      <c r="AJ3" s="533">
        <v>8</v>
      </c>
      <c r="AK3" s="533">
        <v>9</v>
      </c>
      <c r="AL3" s="533">
        <v>10</v>
      </c>
      <c r="AM3" s="533">
        <v>11</v>
      </c>
      <c r="AN3" s="533">
        <v>12</v>
      </c>
      <c r="AO3" s="556" t="s">
        <v>512</v>
      </c>
      <c r="AP3" s="557">
        <v>1</v>
      </c>
      <c r="AQ3" s="534">
        <v>2</v>
      </c>
      <c r="AR3" s="534">
        <v>3</v>
      </c>
      <c r="AS3" s="534">
        <v>4</v>
      </c>
      <c r="AT3" s="534">
        <v>5</v>
      </c>
      <c r="AU3" s="534">
        <v>6</v>
      </c>
      <c r="AV3" s="534">
        <v>7</v>
      </c>
      <c r="AW3" s="534">
        <v>8</v>
      </c>
      <c r="AX3" s="534">
        <v>9</v>
      </c>
      <c r="AY3" s="534">
        <v>10</v>
      </c>
      <c r="AZ3" s="534">
        <v>11</v>
      </c>
      <c r="BA3" s="535">
        <v>12</v>
      </c>
      <c r="BB3" s="537" t="s">
        <v>512</v>
      </c>
    </row>
    <row r="4" spans="1:54" ht="26.25" customHeight="1">
      <c r="A4" s="1586" t="s">
        <v>516</v>
      </c>
      <c r="B4" s="559" t="s">
        <v>589</v>
      </c>
      <c r="C4" s="540"/>
      <c r="D4" s="541"/>
      <c r="E4" s="541"/>
      <c r="F4" s="541"/>
      <c r="G4" s="541"/>
      <c r="H4" s="541"/>
      <c r="I4" s="541"/>
      <c r="J4" s="541"/>
      <c r="K4" s="541"/>
      <c r="L4" s="541">
        <v>5</v>
      </c>
      <c r="M4" s="542">
        <f>L8</f>
        <v>18</v>
      </c>
      <c r="N4" s="542">
        <f>M8</f>
        <v>29</v>
      </c>
      <c r="O4" s="650">
        <f>SUM(C4:N4)</f>
        <v>52</v>
      </c>
      <c r="P4" s="552">
        <f>N8</f>
        <v>35</v>
      </c>
      <c r="Q4" s="542">
        <f>P8</f>
        <v>117</v>
      </c>
      <c r="R4" s="542">
        <f t="shared" ref="R4:AA4" si="0">Q8</f>
        <v>203</v>
      </c>
      <c r="S4" s="542">
        <f t="shared" si="0"/>
        <v>281</v>
      </c>
      <c r="T4" s="542">
        <f t="shared" si="0"/>
        <v>230</v>
      </c>
      <c r="U4" s="542">
        <f t="shared" si="0"/>
        <v>180</v>
      </c>
      <c r="V4" s="542">
        <f t="shared" si="0"/>
        <v>125</v>
      </c>
      <c r="W4" s="542">
        <f t="shared" si="0"/>
        <v>72</v>
      </c>
      <c r="X4" s="542">
        <f t="shared" si="0"/>
        <v>23</v>
      </c>
      <c r="Y4" s="542">
        <f t="shared" si="0"/>
        <v>4</v>
      </c>
      <c r="Z4" s="542">
        <f t="shared" si="0"/>
        <v>11</v>
      </c>
      <c r="AA4" s="542">
        <f t="shared" si="0"/>
        <v>16</v>
      </c>
      <c r="AB4" s="653">
        <f>SUM(P4:AA4)</f>
        <v>1297</v>
      </c>
      <c r="AC4" s="552">
        <f>AA8</f>
        <v>17</v>
      </c>
      <c r="AD4" s="541"/>
      <c r="AE4" s="541"/>
      <c r="AF4" s="541"/>
      <c r="AG4" s="541"/>
      <c r="AH4" s="541"/>
      <c r="AI4" s="541"/>
      <c r="AJ4" s="541"/>
      <c r="AK4" s="541"/>
      <c r="AL4" s="541"/>
      <c r="AM4" s="541"/>
      <c r="AN4" s="541"/>
      <c r="AO4" s="656">
        <f>SUM(AC4:AN4)</f>
        <v>17</v>
      </c>
      <c r="AP4" s="540"/>
      <c r="AQ4" s="541"/>
      <c r="AR4" s="541"/>
      <c r="AS4" s="541"/>
      <c r="AT4" s="541"/>
      <c r="AU4" s="541"/>
      <c r="AV4" s="541"/>
      <c r="AW4" s="541"/>
      <c r="AX4" s="541"/>
      <c r="AY4" s="541"/>
      <c r="AZ4" s="541"/>
      <c r="BA4" s="541"/>
      <c r="BB4" s="659">
        <f>SUM(AP4:BA4)</f>
        <v>0</v>
      </c>
    </row>
    <row r="5" spans="1:54" ht="26.25" customHeight="1">
      <c r="A5" s="1587"/>
      <c r="B5" s="560" t="s">
        <v>590</v>
      </c>
      <c r="C5" s="543"/>
      <c r="D5" s="528"/>
      <c r="E5" s="539" t="s">
        <v>591</v>
      </c>
      <c r="F5" s="528"/>
      <c r="G5" s="528"/>
      <c r="H5" s="528"/>
      <c r="I5" s="528"/>
      <c r="J5" s="528"/>
      <c r="K5" s="528"/>
      <c r="L5" s="528">
        <f>'PL. Výroby'!M9</f>
        <v>160</v>
      </c>
      <c r="M5" s="528">
        <f>'PL. Výroby'!N9</f>
        <v>155</v>
      </c>
      <c r="N5" s="528">
        <f>'PL. Výroby'!O9</f>
        <v>147</v>
      </c>
      <c r="O5" s="651">
        <f t="shared" ref="O5:O6" si="1">SUM(C5:N5)</f>
        <v>462</v>
      </c>
      <c r="P5" s="543">
        <f>'PL. Výroby'!D17</f>
        <v>152</v>
      </c>
      <c r="Q5" s="528">
        <f>'PL. Výroby'!E17</f>
        <v>158</v>
      </c>
      <c r="R5" s="528">
        <f>'PL. Výroby'!F17</f>
        <v>156</v>
      </c>
      <c r="S5" s="528">
        <f>'PL. Výroby'!G17</f>
        <v>160</v>
      </c>
      <c r="T5" s="528">
        <f>'PL. Výroby'!H17</f>
        <v>162</v>
      </c>
      <c r="U5" s="528">
        <f>'PL. Výroby'!I17</f>
        <v>160</v>
      </c>
      <c r="V5" s="528">
        <f>'PL. Výroby'!J17</f>
        <v>132</v>
      </c>
      <c r="W5" s="528">
        <f>'PL. Výroby'!K17</f>
        <v>136</v>
      </c>
      <c r="X5" s="528">
        <f>'PL. Výroby'!L17</f>
        <v>156</v>
      </c>
      <c r="Y5" s="528">
        <f>'PL. Výroby'!M17</f>
        <v>160</v>
      </c>
      <c r="Z5" s="528">
        <f>'PL. Výroby'!N17</f>
        <v>154</v>
      </c>
      <c r="AA5" s="528">
        <f>'PL. Výroby'!O17</f>
        <v>148</v>
      </c>
      <c r="AB5" s="654">
        <f t="shared" ref="AB5:AB8" si="2">SUM(P5:AA5)</f>
        <v>1834</v>
      </c>
      <c r="AC5" s="543"/>
      <c r="AD5" s="528"/>
      <c r="AE5" s="528"/>
      <c r="AF5" s="528"/>
      <c r="AG5" s="528"/>
      <c r="AH5" s="528"/>
      <c r="AI5" s="528"/>
      <c r="AJ5" s="528"/>
      <c r="AK5" s="528"/>
      <c r="AL5" s="528"/>
      <c r="AM5" s="528"/>
      <c r="AN5" s="528"/>
      <c r="AO5" s="657">
        <f t="shared" ref="AO5:AO8" si="3">SUM(AC5:AN5)</f>
        <v>0</v>
      </c>
      <c r="AP5" s="543"/>
      <c r="AQ5" s="528"/>
      <c r="AR5" s="528"/>
      <c r="AS5" s="528"/>
      <c r="AT5" s="528"/>
      <c r="AU5" s="528"/>
      <c r="AV5" s="528"/>
      <c r="AW5" s="528"/>
      <c r="AX5" s="528"/>
      <c r="AY5" s="528"/>
      <c r="AZ5" s="528"/>
      <c r="BA5" s="528"/>
      <c r="BB5" s="660">
        <f t="shared" ref="BB5:BB8" si="4">SUM(AP5:BA5)</f>
        <v>0</v>
      </c>
    </row>
    <row r="6" spans="1:54" ht="26.25" customHeight="1">
      <c r="A6" s="1587"/>
      <c r="B6" s="560" t="s">
        <v>518</v>
      </c>
      <c r="C6" s="543"/>
      <c r="D6" s="528"/>
      <c r="E6" s="528"/>
      <c r="F6" s="528"/>
      <c r="G6" s="528"/>
      <c r="H6" s="528"/>
      <c r="I6" s="528"/>
      <c r="J6" s="528"/>
      <c r="K6" s="528"/>
      <c r="L6" s="538">
        <f>'PL. Výroby'!M8-ROUND('Záznamy o prodeji'!P21,0)-ROUND('Záznamy o prodeji'!P57,0)</f>
        <v>147</v>
      </c>
      <c r="M6" s="538">
        <f>'PL. Výroby'!N8-ROUND('Záznamy o prodeji'!Q21,0)-ROUND('Záznamy o prodeji'!Q57,0)</f>
        <v>144</v>
      </c>
      <c r="N6" s="538">
        <f>'PL. Výroby'!O8-ROUND('Záznamy o prodeji'!R21,0)-ROUND('Záznamy o prodeji'!R57,0)</f>
        <v>141</v>
      </c>
      <c r="O6" s="651">
        <f t="shared" si="1"/>
        <v>432</v>
      </c>
      <c r="P6" s="553">
        <f>'PL. Prodeje'!X8</f>
        <v>68</v>
      </c>
      <c r="Q6" s="538">
        <f>'PL. Prodeje'!Y8</f>
        <v>69</v>
      </c>
      <c r="R6" s="538">
        <f>'PL. Prodeje'!Z8</f>
        <v>76</v>
      </c>
      <c r="S6" s="538">
        <f>'PL. Prodeje'!AA8</f>
        <v>204</v>
      </c>
      <c r="T6" s="538">
        <f>'PL. Prodeje'!AB8</f>
        <v>204</v>
      </c>
      <c r="U6" s="538">
        <f>'PL. Prodeje'!AC8</f>
        <v>208</v>
      </c>
      <c r="V6" s="538">
        <f>'PL. Prodeje'!AD8</f>
        <v>179</v>
      </c>
      <c r="W6" s="538">
        <f>'PL. Prodeje'!AE8</f>
        <v>179</v>
      </c>
      <c r="X6" s="538">
        <f>'PL. Prodeje'!AF8</f>
        <v>169</v>
      </c>
      <c r="Y6" s="538">
        <f>'PL. Prodeje'!AG8</f>
        <v>148</v>
      </c>
      <c r="Z6" s="538">
        <f>'PL. Prodeje'!AH8</f>
        <v>144</v>
      </c>
      <c r="AA6" s="538">
        <f>'PL. Prodeje'!AI8</f>
        <v>142</v>
      </c>
      <c r="AB6" s="654">
        <f t="shared" si="2"/>
        <v>1790</v>
      </c>
      <c r="AC6" s="543"/>
      <c r="AD6" s="528"/>
      <c r="AE6" s="528"/>
      <c r="AF6" s="528"/>
      <c r="AG6" s="528"/>
      <c r="AH6" s="528"/>
      <c r="AI6" s="528"/>
      <c r="AJ6" s="528"/>
      <c r="AK6" s="528"/>
      <c r="AL6" s="528"/>
      <c r="AM6" s="528"/>
      <c r="AN6" s="528"/>
      <c r="AO6" s="657">
        <f t="shared" si="3"/>
        <v>0</v>
      </c>
      <c r="AP6" s="543"/>
      <c r="AQ6" s="528"/>
      <c r="AR6" s="528"/>
      <c r="AS6" s="528"/>
      <c r="AT6" s="528"/>
      <c r="AU6" s="528"/>
      <c r="AV6" s="528"/>
      <c r="AW6" s="528"/>
      <c r="AX6" s="528"/>
      <c r="AY6" s="528"/>
      <c r="AZ6" s="528"/>
      <c r="BA6" s="528"/>
      <c r="BB6" s="660">
        <f t="shared" si="4"/>
        <v>0</v>
      </c>
    </row>
    <row r="7" spans="1:54" ht="26.25" customHeight="1">
      <c r="A7" s="1587"/>
      <c r="B7" s="668" t="s">
        <v>592</v>
      </c>
      <c r="C7" s="669"/>
      <c r="D7" s="670"/>
      <c r="E7" s="670"/>
      <c r="F7" s="670"/>
      <c r="G7" s="670"/>
      <c r="H7" s="670"/>
      <c r="I7" s="670"/>
      <c r="J7" s="670"/>
      <c r="K7" s="670"/>
      <c r="L7" s="671">
        <f>ROUND('Záznamy o prodeji'!P21,0)+ROUND('Záznamy o prodeji'!P57,0)</f>
        <v>5</v>
      </c>
      <c r="M7" s="671">
        <f>ROUND('Záznamy o prodeji'!Q21,0)+ROUND('Záznamy o prodeji'!Q57,0)</f>
        <v>5</v>
      </c>
      <c r="N7" s="671">
        <f>ROUND('Záznamy o prodeji'!R21,0)+ROUND('Záznamy o prodeji'!R57,0)</f>
        <v>5</v>
      </c>
      <c r="O7" s="651">
        <f>SUM(C7:N7)</f>
        <v>15</v>
      </c>
      <c r="P7" s="672">
        <f>'PL. Prodeje'!X7</f>
        <v>2</v>
      </c>
      <c r="Q7" s="671">
        <f>'PL. Prodeje'!Y7</f>
        <v>3</v>
      </c>
      <c r="R7" s="671">
        <f>'PL. Prodeje'!Z7</f>
        <v>2</v>
      </c>
      <c r="S7" s="671">
        <f>'PL. Prodeje'!AA7</f>
        <v>7</v>
      </c>
      <c r="T7" s="671">
        <f>'PL. Prodeje'!AB7</f>
        <v>8</v>
      </c>
      <c r="U7" s="671">
        <f>'PL. Prodeje'!AC7</f>
        <v>7</v>
      </c>
      <c r="V7" s="671">
        <f>'PL. Prodeje'!AD7</f>
        <v>6</v>
      </c>
      <c r="W7" s="671">
        <f>'PL. Prodeje'!AE7</f>
        <v>6</v>
      </c>
      <c r="X7" s="671">
        <f>'PL. Prodeje'!AF7</f>
        <v>6</v>
      </c>
      <c r="Y7" s="671">
        <f>'PL. Prodeje'!AG7</f>
        <v>5</v>
      </c>
      <c r="Z7" s="671">
        <f>'PL. Prodeje'!AH7</f>
        <v>5</v>
      </c>
      <c r="AA7" s="671">
        <f>'PL. Prodeje'!AI7</f>
        <v>5</v>
      </c>
      <c r="AB7" s="683">
        <f>SUM(P7:AA7)</f>
        <v>62</v>
      </c>
      <c r="AC7" s="669"/>
      <c r="AD7" s="670"/>
      <c r="AE7" s="670"/>
      <c r="AF7" s="670"/>
      <c r="AG7" s="670"/>
      <c r="AH7" s="670"/>
      <c r="AI7" s="670"/>
      <c r="AJ7" s="670"/>
      <c r="AK7" s="670"/>
      <c r="AL7" s="670"/>
      <c r="AM7" s="670"/>
      <c r="AN7" s="670"/>
      <c r="AO7" s="684">
        <f>SUM(AC7:AN7)</f>
        <v>0</v>
      </c>
      <c r="AP7" s="669"/>
      <c r="AQ7" s="670"/>
      <c r="AR7" s="670"/>
      <c r="AS7" s="670"/>
      <c r="AT7" s="670"/>
      <c r="AU7" s="670"/>
      <c r="AV7" s="670"/>
      <c r="AW7" s="670"/>
      <c r="AX7" s="670"/>
      <c r="AY7" s="670"/>
      <c r="AZ7" s="670"/>
      <c r="BA7" s="670"/>
      <c r="BB7" s="685">
        <f>SUM(AP7:BA7)</f>
        <v>0</v>
      </c>
    </row>
    <row r="8" spans="1:54" ht="26.25" customHeight="1" thickBot="1">
      <c r="A8" s="1588"/>
      <c r="B8" s="561" t="s">
        <v>593</v>
      </c>
      <c r="C8" s="544"/>
      <c r="D8" s="545"/>
      <c r="E8" s="545"/>
      <c r="F8" s="546"/>
      <c r="G8" s="546"/>
      <c r="H8" s="546"/>
      <c r="I8" s="546"/>
      <c r="J8" s="546"/>
      <c r="K8" s="546"/>
      <c r="L8" s="547">
        <f>L4+L5-L6</f>
        <v>18</v>
      </c>
      <c r="M8" s="547">
        <f t="shared" ref="M8:N8" si="5">M4+M5-M6</f>
        <v>29</v>
      </c>
      <c r="N8" s="547">
        <f t="shared" si="5"/>
        <v>35</v>
      </c>
      <c r="O8" s="652">
        <f>SUM(C8:N8)</f>
        <v>82</v>
      </c>
      <c r="P8" s="554">
        <f t="shared" ref="P8:AA8" si="6">P4+P5-P6-P7</f>
        <v>117</v>
      </c>
      <c r="Q8" s="547">
        <f t="shared" si="6"/>
        <v>203</v>
      </c>
      <c r="R8" s="547">
        <f t="shared" si="6"/>
        <v>281</v>
      </c>
      <c r="S8" s="547">
        <f t="shared" si="6"/>
        <v>230</v>
      </c>
      <c r="T8" s="547">
        <f t="shared" si="6"/>
        <v>180</v>
      </c>
      <c r="U8" s="547">
        <f t="shared" si="6"/>
        <v>125</v>
      </c>
      <c r="V8" s="547">
        <f t="shared" si="6"/>
        <v>72</v>
      </c>
      <c r="W8" s="547">
        <f t="shared" si="6"/>
        <v>23</v>
      </c>
      <c r="X8" s="547">
        <f t="shared" si="6"/>
        <v>4</v>
      </c>
      <c r="Y8" s="547">
        <f t="shared" si="6"/>
        <v>11</v>
      </c>
      <c r="Z8" s="547">
        <f t="shared" si="6"/>
        <v>16</v>
      </c>
      <c r="AA8" s="547">
        <f t="shared" si="6"/>
        <v>17</v>
      </c>
      <c r="AB8" s="655">
        <f t="shared" si="2"/>
        <v>1279</v>
      </c>
      <c r="AC8" s="544"/>
      <c r="AD8" s="545"/>
      <c r="AE8" s="545"/>
      <c r="AF8" s="545"/>
      <c r="AG8" s="545"/>
      <c r="AH8" s="545"/>
      <c r="AI8" s="545"/>
      <c r="AJ8" s="545"/>
      <c r="AK8" s="545"/>
      <c r="AL8" s="545"/>
      <c r="AM8" s="545"/>
      <c r="AN8" s="545"/>
      <c r="AO8" s="658">
        <f t="shared" si="3"/>
        <v>0</v>
      </c>
      <c r="AP8" s="558"/>
      <c r="AQ8" s="546"/>
      <c r="AR8" s="546"/>
      <c r="AS8" s="546"/>
      <c r="AT8" s="546"/>
      <c r="AU8" s="546"/>
      <c r="AV8" s="546"/>
      <c r="AW8" s="546"/>
      <c r="AX8" s="546"/>
      <c r="AY8" s="545"/>
      <c r="AZ8" s="545"/>
      <c r="BA8" s="545"/>
      <c r="BB8" s="661">
        <f t="shared" si="4"/>
        <v>0</v>
      </c>
    </row>
    <row r="9" spans="1:54" ht="15">
      <c r="A9" s="737"/>
      <c r="B9" s="737" t="s">
        <v>594</v>
      </c>
      <c r="C9" s="737"/>
      <c r="D9" s="737"/>
      <c r="E9" s="737"/>
      <c r="F9" s="334"/>
      <c r="G9" s="335"/>
      <c r="H9" s="335"/>
      <c r="I9" s="335"/>
      <c r="J9" s="335"/>
      <c r="K9" s="335"/>
      <c r="L9" s="335"/>
      <c r="M9" s="335"/>
      <c r="N9" s="335"/>
      <c r="O9" s="662"/>
      <c r="P9" s="697">
        <f t="shared" ref="P9:AA9" si="7">P8/$A$22</f>
        <v>0.39</v>
      </c>
      <c r="Q9" s="697">
        <f t="shared" si="7"/>
        <v>0.67666666666666664</v>
      </c>
      <c r="R9" s="697">
        <f t="shared" si="7"/>
        <v>0.93666666666666665</v>
      </c>
      <c r="S9" s="697">
        <f t="shared" si="7"/>
        <v>0.76666666666666672</v>
      </c>
      <c r="T9" s="697">
        <f t="shared" si="7"/>
        <v>0.6</v>
      </c>
      <c r="U9" s="697">
        <f t="shared" si="7"/>
        <v>0.41666666666666669</v>
      </c>
      <c r="V9" s="697">
        <f t="shared" si="7"/>
        <v>0.24</v>
      </c>
      <c r="W9" s="697">
        <f t="shared" si="7"/>
        <v>7.6666666666666661E-2</v>
      </c>
      <c r="X9" s="697">
        <f t="shared" si="7"/>
        <v>1.3333333333333334E-2</v>
      </c>
      <c r="Y9" s="697">
        <f t="shared" si="7"/>
        <v>3.6666666666666667E-2</v>
      </c>
      <c r="Z9" s="697">
        <f t="shared" si="7"/>
        <v>5.3333333333333337E-2</v>
      </c>
      <c r="AA9" s="697">
        <f t="shared" si="7"/>
        <v>5.6666666666666664E-2</v>
      </c>
      <c r="AB9" s="664"/>
      <c r="AC9" s="664"/>
      <c r="AD9" s="664"/>
      <c r="AE9" s="664"/>
      <c r="AF9" s="664"/>
      <c r="AG9" s="664"/>
      <c r="AH9" s="664"/>
      <c r="AI9" s="664"/>
      <c r="AJ9" s="664"/>
      <c r="AK9" s="664"/>
      <c r="AL9" s="664"/>
      <c r="AM9" s="664"/>
      <c r="AN9" s="664"/>
      <c r="AO9" s="664"/>
      <c r="AP9" s="664"/>
      <c r="AQ9" s="664"/>
      <c r="AR9" s="664"/>
      <c r="AS9" s="664"/>
      <c r="AT9" s="664"/>
      <c r="AU9" s="664"/>
      <c r="AV9" s="664"/>
      <c r="AW9" s="664"/>
      <c r="AX9" s="664"/>
      <c r="AY9" s="664"/>
      <c r="AZ9" s="664"/>
      <c r="BA9" s="664"/>
      <c r="BB9" s="664"/>
    </row>
    <row r="10" spans="1:54" ht="15" thickBot="1">
      <c r="A10" s="737"/>
      <c r="B10" s="737"/>
      <c r="C10" s="737"/>
      <c r="D10" s="737"/>
      <c r="E10" s="737"/>
      <c r="F10" s="333"/>
      <c r="G10" s="336"/>
      <c r="H10" s="337"/>
      <c r="I10" s="337"/>
      <c r="J10" s="337"/>
      <c r="K10" s="334"/>
      <c r="L10" s="337"/>
      <c r="M10" s="337"/>
      <c r="N10" s="334"/>
      <c r="O10" s="665"/>
      <c r="P10" s="666"/>
      <c r="Q10" s="666"/>
      <c r="R10" s="666"/>
      <c r="S10" s="667"/>
      <c r="T10" s="667"/>
      <c r="U10" s="667"/>
      <c r="V10" s="667"/>
      <c r="W10" s="663"/>
      <c r="X10" s="663"/>
      <c r="Y10" s="664"/>
      <c r="Z10" s="664"/>
      <c r="AA10" s="664"/>
      <c r="AB10" s="664"/>
      <c r="AC10" s="664"/>
      <c r="AD10" s="664"/>
      <c r="AE10" s="664"/>
      <c r="AF10" s="664"/>
      <c r="AG10" s="664"/>
      <c r="AH10" s="664"/>
      <c r="AI10" s="664"/>
      <c r="AJ10" s="664"/>
      <c r="AK10" s="664"/>
      <c r="AL10" s="664"/>
      <c r="AM10" s="664"/>
      <c r="AN10" s="664"/>
      <c r="AO10" s="664"/>
      <c r="AP10" s="664"/>
      <c r="AQ10" s="664"/>
      <c r="AR10" s="664"/>
      <c r="AS10" s="664"/>
      <c r="AT10" s="664"/>
      <c r="AU10" s="664"/>
      <c r="AV10" s="664"/>
      <c r="AW10" s="664"/>
      <c r="AX10" s="664"/>
      <c r="AY10" s="664"/>
      <c r="AZ10" s="664"/>
      <c r="BA10" s="664"/>
      <c r="BB10" s="664"/>
    </row>
    <row r="11" spans="1:54" ht="26.25" customHeight="1">
      <c r="A11" s="1586" t="s">
        <v>519</v>
      </c>
      <c r="B11" s="559" t="s">
        <v>589</v>
      </c>
      <c r="C11" s="540"/>
      <c r="D11" s="541"/>
      <c r="E11" s="541"/>
      <c r="F11" s="541"/>
      <c r="G11" s="541"/>
      <c r="H11" s="541"/>
      <c r="I11" s="541"/>
      <c r="J11" s="541"/>
      <c r="K11" s="541"/>
      <c r="L11" s="541"/>
      <c r="M11" s="542"/>
      <c r="N11" s="542"/>
      <c r="O11" s="650">
        <f>SUM(C11:N11)</f>
        <v>0</v>
      </c>
      <c r="P11" s="552">
        <f>N15</f>
        <v>65</v>
      </c>
      <c r="Q11" s="542">
        <f>P15</f>
        <v>57</v>
      </c>
      <c r="R11" s="542">
        <f t="shared" ref="R11:AA11" si="8">Q15</f>
        <v>49</v>
      </c>
      <c r="S11" s="542">
        <f t="shared" si="8"/>
        <v>96</v>
      </c>
      <c r="T11" s="542">
        <f t="shared" si="8"/>
        <v>63</v>
      </c>
      <c r="U11" s="542">
        <f t="shared" si="8"/>
        <v>30</v>
      </c>
      <c r="V11" s="542">
        <f t="shared" si="8"/>
        <v>78</v>
      </c>
      <c r="W11" s="542">
        <f t="shared" si="8"/>
        <v>49</v>
      </c>
      <c r="X11" s="542">
        <f t="shared" si="8"/>
        <v>20</v>
      </c>
      <c r="Y11" s="542">
        <f t="shared" si="8"/>
        <v>78</v>
      </c>
      <c r="Z11" s="542">
        <f t="shared" si="8"/>
        <v>55</v>
      </c>
      <c r="AA11" s="542">
        <f t="shared" si="8"/>
        <v>32</v>
      </c>
      <c r="AB11" s="653">
        <f>SUM(P11:AA11)</f>
        <v>672</v>
      </c>
      <c r="AC11" s="552">
        <f>AA15</f>
        <v>71</v>
      </c>
      <c r="AD11" s="541"/>
      <c r="AE11" s="541"/>
      <c r="AF11" s="541"/>
      <c r="AG11" s="541"/>
      <c r="AH11" s="541"/>
      <c r="AI11" s="541"/>
      <c r="AJ11" s="541"/>
      <c r="AK11" s="541"/>
      <c r="AL11" s="541"/>
      <c r="AM11" s="541"/>
      <c r="AN11" s="541"/>
      <c r="AO11" s="656">
        <f>SUM(AC11:AN11)</f>
        <v>71</v>
      </c>
      <c r="AP11" s="540"/>
      <c r="AQ11" s="541"/>
      <c r="AR11" s="541"/>
      <c r="AS11" s="541"/>
      <c r="AT11" s="541"/>
      <c r="AU11" s="541"/>
      <c r="AV11" s="541"/>
      <c r="AW11" s="541"/>
      <c r="AX11" s="541"/>
      <c r="AY11" s="541"/>
      <c r="AZ11" s="541"/>
      <c r="BA11" s="541"/>
      <c r="BB11" s="659">
        <f>SUM(AP11:BA11)</f>
        <v>0</v>
      </c>
    </row>
    <row r="12" spans="1:54" ht="26.25" customHeight="1">
      <c r="A12" s="1587"/>
      <c r="B12" s="560" t="s">
        <v>595</v>
      </c>
      <c r="C12" s="543"/>
      <c r="D12" s="528"/>
      <c r="E12" s="539"/>
      <c r="F12" s="528"/>
      <c r="G12" s="528"/>
      <c r="H12" s="528"/>
      <c r="I12" s="528"/>
      <c r="J12" s="528"/>
      <c r="K12" s="528"/>
      <c r="L12" s="528"/>
      <c r="M12" s="528"/>
      <c r="N12" s="528"/>
      <c r="O12" s="651">
        <f t="shared" ref="O12:O15" si="9">SUM(C12:N12)</f>
        <v>0</v>
      </c>
      <c r="P12" s="543">
        <f>'PL. Nákupu'!F39</f>
        <v>0</v>
      </c>
      <c r="Q12" s="528">
        <f>'PL. Nákupu'!G39</f>
        <v>0</v>
      </c>
      <c r="R12" s="528">
        <f>'PL. Nákupu'!H39</f>
        <v>60</v>
      </c>
      <c r="S12" s="528">
        <f>'PL. Nákupu'!J39</f>
        <v>0</v>
      </c>
      <c r="T12" s="528">
        <f>'PL. Nákupu'!K39</f>
        <v>0</v>
      </c>
      <c r="U12" s="528">
        <f>'PL. Nákupu'!L39</f>
        <v>80</v>
      </c>
      <c r="V12" s="528">
        <f>'PL. Nákupu'!N39</f>
        <v>0</v>
      </c>
      <c r="W12" s="528">
        <f>'PL. Nákupu'!O39</f>
        <v>0</v>
      </c>
      <c r="X12" s="528">
        <f>'PL. Nákupu'!P39</f>
        <v>80</v>
      </c>
      <c r="Y12" s="528">
        <f>'PL. Nákupu'!R39</f>
        <v>0</v>
      </c>
      <c r="Z12" s="528">
        <f>'PL. Nákupu'!S39</f>
        <v>0</v>
      </c>
      <c r="AA12" s="528">
        <f>'PL. Nákupu'!T39</f>
        <v>60</v>
      </c>
      <c r="AB12" s="654">
        <f t="shared" ref="AB12:AB15" si="10">SUM(P12:AA12)</f>
        <v>280</v>
      </c>
      <c r="AC12" s="543"/>
      <c r="AD12" s="528"/>
      <c r="AE12" s="528"/>
      <c r="AF12" s="528"/>
      <c r="AG12" s="528"/>
      <c r="AH12" s="528"/>
      <c r="AI12" s="528"/>
      <c r="AJ12" s="528"/>
      <c r="AK12" s="528"/>
      <c r="AL12" s="528"/>
      <c r="AM12" s="528"/>
      <c r="AN12" s="528"/>
      <c r="AO12" s="657">
        <f t="shared" ref="AO12:AO15" si="11">SUM(AC12:AN12)</f>
        <v>0</v>
      </c>
      <c r="AP12" s="543"/>
      <c r="AQ12" s="528"/>
      <c r="AR12" s="528"/>
      <c r="AS12" s="528"/>
      <c r="AT12" s="528"/>
      <c r="AU12" s="528"/>
      <c r="AV12" s="528"/>
      <c r="AW12" s="528"/>
      <c r="AX12" s="528"/>
      <c r="AY12" s="528"/>
      <c r="AZ12" s="528"/>
      <c r="BA12" s="528"/>
      <c r="BB12" s="660">
        <f t="shared" ref="BB12:BB15" si="12">SUM(AP12:BA12)</f>
        <v>0</v>
      </c>
    </row>
    <row r="13" spans="1:54" ht="26.25" customHeight="1">
      <c r="A13" s="1587"/>
      <c r="B13" s="560" t="s">
        <v>518</v>
      </c>
      <c r="C13" s="543"/>
      <c r="D13" s="528"/>
      <c r="E13" s="528"/>
      <c r="F13" s="528"/>
      <c r="G13" s="528"/>
      <c r="H13" s="528"/>
      <c r="I13" s="528"/>
      <c r="J13" s="528"/>
      <c r="K13" s="528"/>
      <c r="L13" s="538"/>
      <c r="M13" s="538"/>
      <c r="N13" s="538"/>
      <c r="O13" s="651">
        <f t="shared" si="9"/>
        <v>0</v>
      </c>
      <c r="P13" s="553">
        <f>'PL. Prodeje'!X11</f>
        <v>8</v>
      </c>
      <c r="Q13" s="538">
        <f>'PL. Prodeje'!Y11</f>
        <v>8</v>
      </c>
      <c r="R13" s="538">
        <f>'PL. Prodeje'!Z11</f>
        <v>12</v>
      </c>
      <c r="S13" s="538">
        <f>'PL. Prodeje'!AA11</f>
        <v>32</v>
      </c>
      <c r="T13" s="538">
        <f>'PL. Prodeje'!AB11</f>
        <v>32</v>
      </c>
      <c r="U13" s="538">
        <f>'PL. Prodeje'!AC11</f>
        <v>31</v>
      </c>
      <c r="V13" s="538">
        <f>'PL. Prodeje'!AD11</f>
        <v>28</v>
      </c>
      <c r="W13" s="538">
        <f>'PL. Prodeje'!AE11</f>
        <v>28</v>
      </c>
      <c r="X13" s="538">
        <f>'PL. Prodeje'!AF11</f>
        <v>21</v>
      </c>
      <c r="Y13" s="538">
        <f>'PL. Prodeje'!AG11</f>
        <v>22</v>
      </c>
      <c r="Z13" s="538">
        <f>'PL. Prodeje'!AH11</f>
        <v>22</v>
      </c>
      <c r="AA13" s="538">
        <f>'PL. Prodeje'!AI11</f>
        <v>21</v>
      </c>
      <c r="AB13" s="654">
        <f t="shared" si="10"/>
        <v>265</v>
      </c>
      <c r="AC13" s="543"/>
      <c r="AD13" s="528"/>
      <c r="AE13" s="528"/>
      <c r="AF13" s="528"/>
      <c r="AG13" s="528"/>
      <c r="AH13" s="528"/>
      <c r="AI13" s="528"/>
      <c r="AJ13" s="528"/>
      <c r="AK13" s="528"/>
      <c r="AL13" s="528"/>
      <c r="AM13" s="528"/>
      <c r="AN13" s="528"/>
      <c r="AO13" s="657">
        <f t="shared" si="11"/>
        <v>0</v>
      </c>
      <c r="AP13" s="543"/>
      <c r="AQ13" s="528"/>
      <c r="AR13" s="528"/>
      <c r="AS13" s="528"/>
      <c r="AT13" s="528"/>
      <c r="AU13" s="528"/>
      <c r="AV13" s="528"/>
      <c r="AW13" s="528"/>
      <c r="AX13" s="528"/>
      <c r="AY13" s="528"/>
      <c r="AZ13" s="528"/>
      <c r="BA13" s="528"/>
      <c r="BB13" s="660">
        <f t="shared" si="12"/>
        <v>0</v>
      </c>
    </row>
    <row r="14" spans="1:54" ht="26.25" customHeight="1">
      <c r="A14" s="1587"/>
      <c r="B14" s="668" t="s">
        <v>592</v>
      </c>
      <c r="C14" s="669"/>
      <c r="D14" s="670"/>
      <c r="E14" s="670"/>
      <c r="F14" s="670"/>
      <c r="G14" s="670"/>
      <c r="H14" s="670"/>
      <c r="I14" s="670"/>
      <c r="J14" s="670"/>
      <c r="K14" s="670"/>
      <c r="L14" s="671"/>
      <c r="M14" s="671"/>
      <c r="N14" s="671"/>
      <c r="O14" s="651">
        <f>SUM(C14:N14)</f>
        <v>0</v>
      </c>
      <c r="P14" s="672">
        <f>'PL. Prodeje'!X10</f>
        <v>0</v>
      </c>
      <c r="Q14" s="671">
        <f>'PL. Prodeje'!Y10</f>
        <v>0</v>
      </c>
      <c r="R14" s="671">
        <f>'PL. Prodeje'!Z10</f>
        <v>1</v>
      </c>
      <c r="S14" s="671">
        <f>'PL. Prodeje'!AA10</f>
        <v>1</v>
      </c>
      <c r="T14" s="671">
        <f>'PL. Prodeje'!AB10</f>
        <v>1</v>
      </c>
      <c r="U14" s="671">
        <f>'PL. Prodeje'!AC10</f>
        <v>1</v>
      </c>
      <c r="V14" s="671">
        <f>'PL. Prodeje'!AD10</f>
        <v>1</v>
      </c>
      <c r="W14" s="671">
        <f>'PL. Prodeje'!AE10</f>
        <v>1</v>
      </c>
      <c r="X14" s="671">
        <f>'PL. Prodeje'!AF10</f>
        <v>1</v>
      </c>
      <c r="Y14" s="671">
        <f>'PL. Prodeje'!AG10</f>
        <v>1</v>
      </c>
      <c r="Z14" s="671">
        <f>'PL. Prodeje'!AH10</f>
        <v>1</v>
      </c>
      <c r="AA14" s="671">
        <f>'PL. Prodeje'!AI10</f>
        <v>0</v>
      </c>
      <c r="AB14" s="683">
        <f>SUM(P14:AA14)</f>
        <v>9</v>
      </c>
      <c r="AC14" s="669"/>
      <c r="AD14" s="670"/>
      <c r="AE14" s="670"/>
      <c r="AF14" s="670"/>
      <c r="AG14" s="670"/>
      <c r="AH14" s="670"/>
      <c r="AI14" s="670"/>
      <c r="AJ14" s="670"/>
      <c r="AK14" s="670"/>
      <c r="AL14" s="670"/>
      <c r="AM14" s="670"/>
      <c r="AN14" s="670"/>
      <c r="AO14" s="684">
        <f>SUM(AC14:AN14)</f>
        <v>0</v>
      </c>
      <c r="AP14" s="669"/>
      <c r="AQ14" s="670"/>
      <c r="AR14" s="670"/>
      <c r="AS14" s="670"/>
      <c r="AT14" s="670"/>
      <c r="AU14" s="670"/>
      <c r="AV14" s="670"/>
      <c r="AW14" s="670"/>
      <c r="AX14" s="670"/>
      <c r="AY14" s="670"/>
      <c r="AZ14" s="670"/>
      <c r="BA14" s="670"/>
      <c r="BB14" s="685">
        <f>SUM(AP14:BA14)</f>
        <v>0</v>
      </c>
    </row>
    <row r="15" spans="1:54" ht="26.25" customHeight="1" thickBot="1">
      <c r="A15" s="1588"/>
      <c r="B15" s="561" t="s">
        <v>593</v>
      </c>
      <c r="C15" s="544"/>
      <c r="D15" s="545"/>
      <c r="E15" s="545"/>
      <c r="F15" s="546"/>
      <c r="G15" s="546"/>
      <c r="H15" s="546"/>
      <c r="I15" s="546"/>
      <c r="J15" s="546"/>
      <c r="K15" s="546"/>
      <c r="L15" s="547"/>
      <c r="M15" s="547"/>
      <c r="N15" s="547">
        <v>65</v>
      </c>
      <c r="O15" s="652">
        <f t="shared" si="9"/>
        <v>65</v>
      </c>
      <c r="P15" s="554">
        <f t="shared" ref="P15:AA15" si="13">P11+P12-P13-P14</f>
        <v>57</v>
      </c>
      <c r="Q15" s="547">
        <f t="shared" si="13"/>
        <v>49</v>
      </c>
      <c r="R15" s="547">
        <f t="shared" si="13"/>
        <v>96</v>
      </c>
      <c r="S15" s="547">
        <f t="shared" si="13"/>
        <v>63</v>
      </c>
      <c r="T15" s="547">
        <f t="shared" si="13"/>
        <v>30</v>
      </c>
      <c r="U15" s="547">
        <f t="shared" si="13"/>
        <v>78</v>
      </c>
      <c r="V15" s="547">
        <f t="shared" si="13"/>
        <v>49</v>
      </c>
      <c r="W15" s="547">
        <f t="shared" si="13"/>
        <v>20</v>
      </c>
      <c r="X15" s="547">
        <f t="shared" si="13"/>
        <v>78</v>
      </c>
      <c r="Y15" s="547">
        <f t="shared" si="13"/>
        <v>55</v>
      </c>
      <c r="Z15" s="547">
        <f t="shared" si="13"/>
        <v>32</v>
      </c>
      <c r="AA15" s="547">
        <f t="shared" si="13"/>
        <v>71</v>
      </c>
      <c r="AB15" s="655">
        <f t="shared" si="10"/>
        <v>678</v>
      </c>
      <c r="AC15" s="544"/>
      <c r="AD15" s="545"/>
      <c r="AE15" s="545"/>
      <c r="AF15" s="545"/>
      <c r="AG15" s="545"/>
      <c r="AH15" s="545"/>
      <c r="AI15" s="545"/>
      <c r="AJ15" s="545"/>
      <c r="AK15" s="545"/>
      <c r="AL15" s="545"/>
      <c r="AM15" s="545"/>
      <c r="AN15" s="545"/>
      <c r="AO15" s="658">
        <f t="shared" si="11"/>
        <v>0</v>
      </c>
      <c r="AP15" s="558"/>
      <c r="AQ15" s="546"/>
      <c r="AR15" s="546"/>
      <c r="AS15" s="546"/>
      <c r="AT15" s="546"/>
      <c r="AU15" s="546"/>
      <c r="AV15" s="546"/>
      <c r="AW15" s="546"/>
      <c r="AX15" s="546"/>
      <c r="AY15" s="545"/>
      <c r="AZ15" s="545"/>
      <c r="BA15" s="545"/>
      <c r="BB15" s="661">
        <f t="shared" si="12"/>
        <v>0</v>
      </c>
    </row>
    <row r="16" spans="1:54">
      <c r="A16" s="737"/>
      <c r="B16" s="737" t="s">
        <v>594</v>
      </c>
      <c r="C16" s="737"/>
      <c r="D16" s="737"/>
      <c r="E16" s="333"/>
      <c r="F16" s="333"/>
      <c r="G16" s="333"/>
      <c r="H16" s="333"/>
      <c r="I16" s="333"/>
      <c r="J16" s="333"/>
      <c r="K16" s="333"/>
      <c r="L16" s="333"/>
      <c r="M16" s="333"/>
      <c r="N16" s="333"/>
      <c r="O16" s="333"/>
      <c r="P16" s="697">
        <f t="shared" ref="P16:AA16" si="14">P15/$A$23</f>
        <v>0.56999999999999995</v>
      </c>
      <c r="Q16" s="697">
        <f t="shared" si="14"/>
        <v>0.49</v>
      </c>
      <c r="R16" s="697">
        <f t="shared" si="14"/>
        <v>0.96</v>
      </c>
      <c r="S16" s="697">
        <f t="shared" si="14"/>
        <v>0.63</v>
      </c>
      <c r="T16" s="697">
        <f t="shared" si="14"/>
        <v>0.3</v>
      </c>
      <c r="U16" s="697">
        <f t="shared" si="14"/>
        <v>0.78</v>
      </c>
      <c r="V16" s="697">
        <f t="shared" si="14"/>
        <v>0.49</v>
      </c>
      <c r="W16" s="697">
        <f t="shared" si="14"/>
        <v>0.2</v>
      </c>
      <c r="X16" s="697">
        <f t="shared" si="14"/>
        <v>0.78</v>
      </c>
      <c r="Y16" s="697">
        <f t="shared" si="14"/>
        <v>0.55000000000000004</v>
      </c>
      <c r="Z16" s="697">
        <f t="shared" si="14"/>
        <v>0.32</v>
      </c>
      <c r="AA16" s="697">
        <f t="shared" si="14"/>
        <v>0.71</v>
      </c>
      <c r="AB16" s="737"/>
      <c r="AC16" s="737"/>
      <c r="AD16" s="737"/>
      <c r="AE16" s="737"/>
      <c r="AF16" s="737"/>
      <c r="AG16" s="737"/>
      <c r="AH16" s="737"/>
      <c r="AI16" s="737"/>
      <c r="AJ16" s="737"/>
      <c r="AK16" s="737"/>
      <c r="AL16" s="737"/>
      <c r="AM16" s="737"/>
      <c r="AN16" s="737"/>
      <c r="AO16" s="737"/>
      <c r="AP16" s="737"/>
      <c r="AQ16" s="737"/>
      <c r="AR16" s="737"/>
      <c r="AS16" s="737"/>
      <c r="AT16" s="737"/>
      <c r="AU16" s="737"/>
      <c r="AV16" s="737"/>
      <c r="AW16" s="737"/>
      <c r="AX16" s="737"/>
      <c r="AY16" s="737"/>
      <c r="AZ16" s="737"/>
      <c r="BA16" s="737"/>
      <c r="BB16" s="737"/>
    </row>
    <row r="17" spans="1:24">
      <c r="A17" s="737"/>
      <c r="B17" s="737"/>
      <c r="C17" s="737"/>
      <c r="D17" s="737"/>
      <c r="E17" s="333"/>
      <c r="F17" s="333"/>
      <c r="G17" s="339"/>
      <c r="H17" s="337"/>
      <c r="I17" s="337"/>
      <c r="J17" s="337"/>
      <c r="K17" s="337"/>
      <c r="L17" s="337"/>
      <c r="M17" s="337"/>
      <c r="N17" s="337"/>
      <c r="O17" s="337"/>
      <c r="P17" s="337"/>
      <c r="Q17" s="337"/>
      <c r="R17" s="337"/>
      <c r="S17" s="338"/>
      <c r="T17" s="338"/>
      <c r="U17" s="338"/>
      <c r="V17" s="338"/>
      <c r="W17" s="333"/>
      <c r="X17" s="333"/>
    </row>
    <row r="18" spans="1:24">
      <c r="A18" s="737"/>
      <c r="B18" s="737"/>
      <c r="C18" s="737"/>
      <c r="D18" s="737"/>
      <c r="E18" s="333"/>
      <c r="F18" s="333"/>
      <c r="G18" s="333"/>
      <c r="H18" s="333"/>
      <c r="I18" s="333"/>
      <c r="J18" s="333"/>
      <c r="K18" s="333"/>
      <c r="L18" s="333"/>
      <c r="M18" s="333"/>
      <c r="N18" s="333"/>
      <c r="O18" s="333"/>
      <c r="P18" s="333"/>
      <c r="Q18" s="333"/>
      <c r="R18" s="333"/>
      <c r="S18" s="333"/>
      <c r="T18" s="333"/>
      <c r="U18" s="333"/>
      <c r="V18" s="333"/>
      <c r="W18" s="333"/>
      <c r="X18" s="333"/>
    </row>
    <row r="19" spans="1:24">
      <c r="A19" s="1582">
        <v>2021</v>
      </c>
      <c r="B19" s="1582"/>
      <c r="C19" s="737"/>
      <c r="D19" s="737"/>
      <c r="E19" s="333">
        <f>Sklad!A25</f>
        <v>690</v>
      </c>
      <c r="F19" s="333"/>
      <c r="G19" s="333"/>
      <c r="H19" s="333"/>
      <c r="I19" s="333"/>
      <c r="J19" s="333"/>
      <c r="K19" s="333"/>
      <c r="L19" s="333"/>
      <c r="M19" s="333"/>
      <c r="N19" s="333"/>
      <c r="O19" s="333"/>
      <c r="P19" s="333"/>
      <c r="Q19" s="333"/>
      <c r="R19" s="333"/>
      <c r="S19" s="333"/>
      <c r="T19" s="333"/>
      <c r="U19" s="333"/>
      <c r="V19" s="333"/>
      <c r="W19" s="333"/>
      <c r="X19" s="333"/>
    </row>
    <row r="20" spans="1:24">
      <c r="A20" s="493">
        <f>MAX(P4:AA4,P8:AA8)</f>
        <v>281</v>
      </c>
      <c r="B20" s="52" t="s">
        <v>596</v>
      </c>
      <c r="C20" s="737"/>
      <c r="D20" s="737"/>
      <c r="E20" s="333"/>
      <c r="F20" s="333"/>
      <c r="G20" s="333"/>
      <c r="H20" s="333"/>
      <c r="I20" s="333"/>
      <c r="J20" s="333"/>
      <c r="K20" s="333"/>
      <c r="L20" s="333"/>
      <c r="M20" s="333"/>
      <c r="N20" s="333"/>
      <c r="O20" s="333"/>
      <c r="P20" s="333"/>
      <c r="Q20" s="333"/>
      <c r="R20" s="333"/>
      <c r="S20" s="333"/>
      <c r="T20" s="333"/>
      <c r="U20" s="333"/>
      <c r="V20" s="333"/>
      <c r="W20" s="333"/>
      <c r="X20" s="333"/>
    </row>
    <row r="21" spans="1:24">
      <c r="A21" s="493">
        <f>MAX(P11:AA11,P15:AA15)</f>
        <v>96</v>
      </c>
      <c r="B21" s="52" t="s">
        <v>597</v>
      </c>
      <c r="C21" s="737"/>
      <c r="D21" s="737"/>
      <c r="E21" s="333"/>
      <c r="F21" s="333"/>
      <c r="G21" s="333"/>
      <c r="H21" s="333"/>
      <c r="I21" s="333"/>
      <c r="J21" s="333"/>
      <c r="K21" s="333"/>
      <c r="L21" s="333"/>
      <c r="M21" s="333"/>
      <c r="N21" s="333"/>
      <c r="O21" s="333"/>
      <c r="P21" s="333"/>
      <c r="Q21" s="333"/>
      <c r="R21" s="333"/>
      <c r="S21" s="333"/>
      <c r="T21" s="333"/>
      <c r="U21" s="333"/>
      <c r="V21" s="333"/>
      <c r="W21" s="333"/>
      <c r="X21" s="333"/>
    </row>
    <row r="22" spans="1:24">
      <c r="A22" s="696">
        <v>300</v>
      </c>
      <c r="B22" s="52" t="s">
        <v>598</v>
      </c>
      <c r="C22" s="737"/>
      <c r="D22" s="737"/>
      <c r="E22" s="333"/>
      <c r="F22" s="333"/>
      <c r="G22" s="333"/>
      <c r="H22" s="333"/>
      <c r="I22" s="333"/>
      <c r="J22" s="333"/>
      <c r="K22" s="333"/>
      <c r="L22" s="333"/>
      <c r="M22" s="333"/>
      <c r="N22" s="333"/>
      <c r="O22" s="333"/>
      <c r="P22" s="333"/>
      <c r="Q22" s="333"/>
      <c r="R22" s="333"/>
      <c r="S22" s="333"/>
      <c r="T22" s="333"/>
      <c r="U22" s="333"/>
      <c r="V22" s="333"/>
      <c r="W22" s="333"/>
      <c r="X22" s="333"/>
    </row>
    <row r="23" spans="1:24">
      <c r="A23" s="696">
        <v>100</v>
      </c>
      <c r="B23" s="52" t="s">
        <v>599</v>
      </c>
      <c r="C23" s="737"/>
      <c r="D23" s="737"/>
      <c r="E23" s="333"/>
      <c r="F23" s="333"/>
      <c r="G23" s="333"/>
      <c r="H23" s="333"/>
      <c r="I23" s="333"/>
      <c r="J23" s="333"/>
      <c r="K23" s="333"/>
      <c r="L23" s="333"/>
      <c r="M23" s="333"/>
      <c r="N23" s="333"/>
      <c r="O23" s="333"/>
      <c r="P23" s="333"/>
      <c r="Q23" s="333"/>
      <c r="R23" s="333"/>
      <c r="S23" s="333"/>
      <c r="T23" s="333"/>
      <c r="U23" s="333"/>
      <c r="V23" s="333"/>
      <c r="W23" s="333"/>
      <c r="X23" s="333"/>
    </row>
    <row r="24" spans="1:24">
      <c r="A24" s="1582">
        <v>2022</v>
      </c>
      <c r="B24" s="1582"/>
      <c r="C24" s="737"/>
      <c r="D24" s="737"/>
      <c r="E24" s="333"/>
      <c r="F24" s="333"/>
      <c r="G24" s="333"/>
      <c r="H24" s="333"/>
      <c r="I24" s="333"/>
      <c r="J24" s="333"/>
      <c r="K24" s="333"/>
      <c r="L24" s="333"/>
      <c r="M24" s="333"/>
      <c r="N24" s="333"/>
      <c r="O24" s="333"/>
      <c r="P24" s="333"/>
      <c r="Q24" s="333"/>
      <c r="R24" s="333"/>
      <c r="S24" s="333"/>
      <c r="T24" s="333"/>
      <c r="U24" s="333"/>
      <c r="V24" s="333"/>
      <c r="W24" s="333"/>
      <c r="X24" s="333"/>
    </row>
    <row r="25" spans="1:24">
      <c r="A25" s="737">
        <v>690</v>
      </c>
      <c r="B25" s="37" t="s">
        <v>600</v>
      </c>
      <c r="C25" s="737"/>
      <c r="D25" s="737"/>
      <c r="E25" s="333"/>
      <c r="F25" s="333"/>
      <c r="G25" s="333"/>
      <c r="H25" s="333"/>
      <c r="I25" s="333"/>
      <c r="J25" s="333"/>
      <c r="K25" s="333"/>
      <c r="L25" s="333"/>
      <c r="M25" s="333"/>
      <c r="N25" s="333"/>
      <c r="O25" s="333"/>
      <c r="P25" s="333"/>
      <c r="Q25" s="333"/>
      <c r="R25" s="333"/>
      <c r="S25" s="333"/>
      <c r="T25" s="333"/>
      <c r="U25" s="333"/>
      <c r="V25" s="333"/>
      <c r="W25" s="333"/>
      <c r="X25" s="333"/>
    </row>
  </sheetData>
  <customSheetViews>
    <customSheetView guid="{F9015B81-4D5E-47E3-BFA8-A54438E9D1FF}" scale="85" showGridLines="0" hiddenColumns="1">
      <pane xSplit="2" ySplit="3" topLeftCell="O4" activePane="bottomRight" state="frozen"/>
      <selection pane="bottomRight" activeCell="A26" sqref="A26"/>
      <pageMargins left="0.7" right="0.7" top="0.78740157499999996" bottom="0.78740157499999996" header="0.3" footer="0.3"/>
    </customSheetView>
  </customSheetViews>
  <mergeCells count="8">
    <mergeCell ref="A24:B24"/>
    <mergeCell ref="A19:B19"/>
    <mergeCell ref="AP2:BB2"/>
    <mergeCell ref="A4:A8"/>
    <mergeCell ref="A11:A15"/>
    <mergeCell ref="C2:O2"/>
    <mergeCell ref="P2:AB2"/>
    <mergeCell ref="AC2:AO2"/>
  </mergeCells>
  <hyperlinks>
    <hyperlink ref="A1" location="MENU!A1" display="MENU" xr:uid="{F77CBCB8-44D9-451C-8481-F09B89A40660}"/>
  </hyperlinks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53E19-1ECB-41FE-A298-B77556DCE633}">
  <sheetPr>
    <tabColor theme="8" tint="0.79998168889431442"/>
  </sheetPr>
  <dimension ref="A1:Q19"/>
  <sheetViews>
    <sheetView showGridLines="0" topLeftCell="A19" zoomScale="70" zoomScaleNormal="70" workbookViewId="0">
      <selection activeCell="A2" sqref="A2"/>
    </sheetView>
  </sheetViews>
  <sheetFormatPr defaultColWidth="8.77734375" defaultRowHeight="14.25"/>
  <cols>
    <col min="1" max="1" width="10.33203125" style="55" customWidth="1"/>
    <col min="2" max="2" width="29.33203125" style="55" customWidth="1"/>
    <col min="3" max="3" width="16.33203125" style="55" customWidth="1"/>
    <col min="4" max="4" width="8.77734375" style="55"/>
    <col min="5" max="5" width="9.33203125" style="55" bestFit="1" customWidth="1"/>
    <col min="6" max="13" width="8.77734375" style="55"/>
    <col min="14" max="14" width="15" style="55" customWidth="1"/>
    <col min="15" max="15" width="13.33203125" style="55" bestFit="1" customWidth="1"/>
    <col min="16" max="16" width="9.33203125" style="55" customWidth="1"/>
    <col min="17" max="17" width="10.109375" style="55" customWidth="1"/>
    <col min="18" max="16384" width="8.77734375" style="55"/>
  </cols>
  <sheetData>
    <row r="1" spans="1:17" ht="36" customHeight="1" thickBot="1">
      <c r="A1" s="107" t="s">
        <v>1</v>
      </c>
      <c r="B1" s="1601" t="s">
        <v>601</v>
      </c>
      <c r="C1" s="1602"/>
      <c r="D1" s="1602"/>
      <c r="E1" s="1602"/>
      <c r="F1" s="1602"/>
      <c r="G1" s="1602"/>
      <c r="H1" s="1602"/>
      <c r="I1" s="1602"/>
      <c r="J1" s="1602"/>
      <c r="K1" s="1602"/>
      <c r="L1" s="1602"/>
      <c r="M1" s="1602"/>
      <c r="N1" s="1602"/>
      <c r="O1" s="1602"/>
      <c r="P1" s="1602"/>
      <c r="Q1" s="1603"/>
    </row>
    <row r="2" spans="1:17" ht="29.25" customHeight="1" thickBot="1">
      <c r="A2" s="737"/>
      <c r="B2" s="153"/>
      <c r="C2" s="181" t="s">
        <v>602</v>
      </c>
      <c r="D2" s="181" t="s">
        <v>603</v>
      </c>
      <c r="E2" s="181" t="s">
        <v>604</v>
      </c>
      <c r="F2" s="181" t="s">
        <v>605</v>
      </c>
      <c r="G2" s="181" t="s">
        <v>606</v>
      </c>
      <c r="H2" s="181" t="s">
        <v>607</v>
      </c>
      <c r="I2" s="181" t="s">
        <v>608</v>
      </c>
      <c r="J2" s="181" t="s">
        <v>609</v>
      </c>
      <c r="K2" s="181" t="s">
        <v>610</v>
      </c>
      <c r="L2" s="181" t="s">
        <v>611</v>
      </c>
      <c r="M2" s="181" t="s">
        <v>612</v>
      </c>
      <c r="N2" s="181" t="s">
        <v>613</v>
      </c>
      <c r="O2" s="181" t="s">
        <v>614</v>
      </c>
      <c r="P2" s="181" t="s">
        <v>615</v>
      </c>
      <c r="Q2" s="183" t="s">
        <v>616</v>
      </c>
    </row>
    <row r="3" spans="1:17" ht="123" customHeight="1" thickBot="1">
      <c r="A3" s="737"/>
      <c r="B3" s="147"/>
      <c r="C3" s="148" t="s">
        <v>617</v>
      </c>
      <c r="D3" s="1353" t="s">
        <v>618</v>
      </c>
      <c r="E3" s="1353" t="s">
        <v>619</v>
      </c>
      <c r="F3" s="1353" t="s">
        <v>620</v>
      </c>
      <c r="G3" s="149" t="s">
        <v>621</v>
      </c>
      <c r="H3" s="1353" t="s">
        <v>622</v>
      </c>
      <c r="I3" s="1353" t="s">
        <v>623</v>
      </c>
      <c r="J3" s="149" t="s">
        <v>624</v>
      </c>
      <c r="K3" s="1353" t="s">
        <v>625</v>
      </c>
      <c r="L3" s="1353" t="s">
        <v>626</v>
      </c>
      <c r="M3" s="1353" t="s">
        <v>627</v>
      </c>
      <c r="N3" s="150" t="s">
        <v>628</v>
      </c>
      <c r="O3" s="150" t="s">
        <v>629</v>
      </c>
      <c r="P3" s="150" t="s">
        <v>630</v>
      </c>
      <c r="Q3" s="151" t="s">
        <v>631</v>
      </c>
    </row>
    <row r="4" spans="1:17" ht="15" thickBot="1">
      <c r="A4" s="737"/>
      <c r="B4" s="156"/>
      <c r="C4" s="157"/>
      <c r="D4" s="157"/>
      <c r="E4" s="157"/>
      <c r="F4" s="157"/>
      <c r="G4" s="157"/>
      <c r="H4" s="157"/>
      <c r="I4" s="157"/>
      <c r="J4" s="157"/>
      <c r="K4" s="157"/>
      <c r="L4" s="157"/>
      <c r="M4" s="157"/>
      <c r="N4" s="157"/>
      <c r="O4" s="157"/>
      <c r="P4" s="157"/>
      <c r="Q4" s="158"/>
    </row>
    <row r="5" spans="1:17" ht="123" customHeight="1" thickBot="1">
      <c r="A5" s="737"/>
      <c r="B5" s="147"/>
      <c r="C5" s="148" t="s">
        <v>632</v>
      </c>
      <c r="D5" s="1353" t="s">
        <v>633</v>
      </c>
      <c r="E5" s="1353" t="s">
        <v>634</v>
      </c>
      <c r="F5" s="1353" t="s">
        <v>635</v>
      </c>
      <c r="G5" s="1353" t="s">
        <v>636</v>
      </c>
      <c r="H5" s="1353" t="s">
        <v>637</v>
      </c>
      <c r="I5" s="1353" t="s">
        <v>638</v>
      </c>
      <c r="J5" s="1353" t="s">
        <v>639</v>
      </c>
      <c r="K5" s="1353" t="s">
        <v>640</v>
      </c>
      <c r="L5" s="1353" t="s">
        <v>641</v>
      </c>
      <c r="M5" s="1353" t="s">
        <v>642</v>
      </c>
      <c r="N5" s="150" t="s">
        <v>643</v>
      </c>
      <c r="O5" s="150" t="s">
        <v>644</v>
      </c>
      <c r="P5" s="150" t="s">
        <v>645</v>
      </c>
      <c r="Q5" s="151"/>
    </row>
    <row r="6" spans="1:17" ht="15" thickBot="1">
      <c r="A6" s="737"/>
      <c r="B6" s="156"/>
      <c r="C6" s="157"/>
      <c r="D6" s="157"/>
      <c r="E6" s="157"/>
      <c r="F6" s="157"/>
      <c r="G6" s="157"/>
      <c r="H6" s="157"/>
      <c r="I6" s="157"/>
      <c r="J6" s="157"/>
      <c r="K6" s="157"/>
      <c r="L6" s="157"/>
      <c r="M6" s="157"/>
      <c r="N6" s="157"/>
      <c r="O6" s="157"/>
      <c r="P6" s="157"/>
      <c r="Q6" s="158"/>
    </row>
    <row r="7" spans="1:17" ht="123" customHeight="1" thickBot="1">
      <c r="A7" s="737"/>
      <c r="B7" s="147"/>
      <c r="C7" s="152" t="s">
        <v>646</v>
      </c>
      <c r="D7" s="1353" t="s">
        <v>647</v>
      </c>
      <c r="E7" s="1353" t="s">
        <v>648</v>
      </c>
      <c r="F7" s="1353" t="s">
        <v>649</v>
      </c>
      <c r="G7" s="1353" t="s">
        <v>650</v>
      </c>
      <c r="H7" s="1353" t="s">
        <v>651</v>
      </c>
      <c r="I7" s="1353" t="s">
        <v>652</v>
      </c>
      <c r="J7" s="1353" t="s">
        <v>653</v>
      </c>
      <c r="K7" s="1353" t="s">
        <v>654</v>
      </c>
      <c r="L7" s="1353" t="s">
        <v>655</v>
      </c>
      <c r="M7" s="1353" t="s">
        <v>656</v>
      </c>
      <c r="N7" s="150" t="s">
        <v>657</v>
      </c>
      <c r="O7" s="150" t="s">
        <v>658</v>
      </c>
      <c r="P7" s="150" t="s">
        <v>630</v>
      </c>
      <c r="Q7" s="151" t="s">
        <v>659</v>
      </c>
    </row>
    <row r="8" spans="1:17" ht="15" thickBot="1">
      <c r="A8" s="737"/>
      <c r="B8" s="156"/>
      <c r="C8" s="157"/>
      <c r="D8" s="157"/>
      <c r="E8" s="157"/>
      <c r="F8" s="157"/>
      <c r="G8" s="157"/>
      <c r="H8" s="157"/>
      <c r="I8" s="157"/>
      <c r="J8" s="157"/>
      <c r="K8" s="157"/>
      <c r="L8" s="157"/>
      <c r="M8" s="157"/>
      <c r="N8" s="157"/>
      <c r="O8" s="157"/>
      <c r="P8" s="157"/>
      <c r="Q8" s="158"/>
    </row>
    <row r="9" spans="1:17" ht="123" customHeight="1" thickBot="1">
      <c r="A9" s="737"/>
      <c r="B9" s="147"/>
      <c r="C9" s="152" t="s">
        <v>660</v>
      </c>
      <c r="D9" s="1353" t="s">
        <v>661</v>
      </c>
      <c r="E9" s="1353" t="s">
        <v>662</v>
      </c>
      <c r="F9" s="1353" t="s">
        <v>663</v>
      </c>
      <c r="G9" s="1353" t="s">
        <v>664</v>
      </c>
      <c r="H9" s="1353" t="s">
        <v>665</v>
      </c>
      <c r="I9" s="1353" t="s">
        <v>652</v>
      </c>
      <c r="J9" s="1353" t="s">
        <v>653</v>
      </c>
      <c r="K9" s="1353" t="s">
        <v>666</v>
      </c>
      <c r="L9" s="1353" t="s">
        <v>667</v>
      </c>
      <c r="M9" s="1353" t="s">
        <v>668</v>
      </c>
      <c r="N9" s="150" t="s">
        <v>657</v>
      </c>
      <c r="O9" s="150" t="s">
        <v>658</v>
      </c>
      <c r="P9" s="150" t="s">
        <v>630</v>
      </c>
      <c r="Q9" s="151" t="s">
        <v>659</v>
      </c>
    </row>
    <row r="10" spans="1:17" ht="15" thickBot="1">
      <c r="A10" s="737"/>
      <c r="B10" s="156"/>
      <c r="C10" s="157"/>
      <c r="D10" s="157"/>
      <c r="E10" s="157"/>
      <c r="F10" s="157"/>
      <c r="G10" s="157"/>
      <c r="H10" s="157"/>
      <c r="I10" s="157"/>
      <c r="J10" s="157"/>
      <c r="K10" s="157"/>
      <c r="L10" s="157"/>
      <c r="M10" s="157"/>
      <c r="N10" s="157"/>
      <c r="O10" s="157"/>
      <c r="P10" s="157"/>
      <c r="Q10" s="158"/>
    </row>
    <row r="11" spans="1:17" ht="39" customHeight="1" thickBot="1">
      <c r="A11" s="737"/>
      <c r="B11" s="1601" t="s">
        <v>669</v>
      </c>
      <c r="C11" s="1602"/>
      <c r="D11" s="1602"/>
      <c r="E11" s="1602"/>
      <c r="F11" s="1602"/>
      <c r="G11" s="1602"/>
      <c r="H11" s="1602"/>
      <c r="I11" s="1602"/>
      <c r="J11" s="1602"/>
      <c r="K11" s="1602"/>
      <c r="L11" s="1602"/>
      <c r="M11" s="1602"/>
      <c r="N11" s="1602"/>
      <c r="O11" s="1602"/>
      <c r="P11" s="1602"/>
      <c r="Q11" s="1603"/>
    </row>
    <row r="12" spans="1:17" ht="29.25" customHeight="1" thickBot="1">
      <c r="A12" s="737"/>
      <c r="B12" s="184"/>
      <c r="C12" s="181" t="s">
        <v>602</v>
      </c>
      <c r="D12" s="181" t="s">
        <v>603</v>
      </c>
      <c r="E12" s="181" t="s">
        <v>604</v>
      </c>
      <c r="F12" s="181" t="s">
        <v>605</v>
      </c>
      <c r="G12" s="181" t="s">
        <v>606</v>
      </c>
      <c r="H12" s="181" t="s">
        <v>607</v>
      </c>
      <c r="I12" s="181" t="s">
        <v>670</v>
      </c>
      <c r="J12" s="181" t="s">
        <v>609</v>
      </c>
      <c r="K12" s="181" t="s">
        <v>610</v>
      </c>
      <c r="L12" s="181" t="s">
        <v>611</v>
      </c>
      <c r="M12" s="181" t="s">
        <v>612</v>
      </c>
      <c r="N12" s="181" t="s">
        <v>613</v>
      </c>
      <c r="O12" s="1604" t="s">
        <v>671</v>
      </c>
      <c r="P12" s="1475"/>
      <c r="Q12" s="1449"/>
    </row>
    <row r="13" spans="1:17" ht="123" customHeight="1" thickBot="1">
      <c r="A13" s="737"/>
      <c r="B13" s="147"/>
      <c r="C13" s="143" t="s">
        <v>672</v>
      </c>
      <c r="D13" s="1355" t="s">
        <v>673</v>
      </c>
      <c r="E13" s="1355" t="s">
        <v>674</v>
      </c>
      <c r="F13" s="1355" t="s">
        <v>675</v>
      </c>
      <c r="G13" s="1355" t="s">
        <v>676</v>
      </c>
      <c r="H13" s="1355" t="s">
        <v>677</v>
      </c>
      <c r="I13" s="154" t="s">
        <v>678</v>
      </c>
      <c r="J13" s="155" t="s">
        <v>679</v>
      </c>
      <c r="K13" s="154" t="s">
        <v>679</v>
      </c>
      <c r="L13" s="1355" t="s">
        <v>680</v>
      </c>
      <c r="M13" s="1355" t="s">
        <v>681</v>
      </c>
      <c r="N13" s="145" t="s">
        <v>682</v>
      </c>
      <c r="O13" s="1598" t="s">
        <v>683</v>
      </c>
      <c r="P13" s="1599"/>
      <c r="Q13" s="1600"/>
    </row>
    <row r="14" spans="1:17" ht="15" thickBot="1">
      <c r="A14" s="737"/>
      <c r="B14" s="156"/>
      <c r="C14" s="157"/>
      <c r="D14" s="157"/>
      <c r="E14" s="157"/>
      <c r="F14" s="157"/>
      <c r="G14" s="157"/>
      <c r="H14" s="157"/>
      <c r="I14" s="157"/>
      <c r="J14" s="157"/>
      <c r="K14" s="157"/>
      <c r="L14" s="157"/>
      <c r="M14" s="157"/>
      <c r="N14" s="157"/>
      <c r="O14" s="157"/>
      <c r="P14" s="157"/>
      <c r="Q14" s="158"/>
    </row>
    <row r="15" spans="1:17" ht="123" customHeight="1" thickBot="1">
      <c r="A15" s="737"/>
      <c r="B15" s="147"/>
      <c r="C15" s="143" t="s">
        <v>684</v>
      </c>
      <c r="D15" s="1355" t="s">
        <v>685</v>
      </c>
      <c r="E15" s="154" t="s">
        <v>686</v>
      </c>
      <c r="F15" s="1355" t="s">
        <v>687</v>
      </c>
      <c r="G15" s="1355" t="s">
        <v>688</v>
      </c>
      <c r="H15" s="1355" t="s">
        <v>689</v>
      </c>
      <c r="I15" s="1355" t="s">
        <v>690</v>
      </c>
      <c r="J15" s="1355" t="s">
        <v>691</v>
      </c>
      <c r="K15" s="1355" t="s">
        <v>692</v>
      </c>
      <c r="L15" s="1355" t="s">
        <v>626</v>
      </c>
      <c r="M15" s="1355" t="s">
        <v>693</v>
      </c>
      <c r="N15" s="145" t="s">
        <v>694</v>
      </c>
      <c r="O15" s="1598" t="s">
        <v>695</v>
      </c>
      <c r="P15" s="1599"/>
      <c r="Q15" s="1600"/>
    </row>
    <row r="16" spans="1:17" ht="15" thickBot="1">
      <c r="A16" s="737"/>
      <c r="B16" s="156"/>
      <c r="C16" s="157"/>
      <c r="D16" s="157"/>
      <c r="E16" s="157"/>
      <c r="F16" s="157"/>
      <c r="G16" s="157"/>
      <c r="H16" s="157"/>
      <c r="I16" s="157"/>
      <c r="J16" s="157"/>
      <c r="K16" s="157"/>
      <c r="L16" s="157"/>
      <c r="M16" s="157"/>
      <c r="N16" s="157"/>
      <c r="O16" s="157"/>
      <c r="P16" s="157"/>
      <c r="Q16" s="158"/>
    </row>
    <row r="17" spans="2:17" ht="123" customHeight="1" thickBot="1">
      <c r="B17" s="147"/>
      <c r="C17" s="146" t="s">
        <v>696</v>
      </c>
      <c r="D17" s="1355" t="s">
        <v>697</v>
      </c>
      <c r="E17" s="1355" t="s">
        <v>698</v>
      </c>
      <c r="F17" s="1355" t="s">
        <v>699</v>
      </c>
      <c r="G17" s="1355" t="s">
        <v>676</v>
      </c>
      <c r="H17" s="154" t="s">
        <v>679</v>
      </c>
      <c r="I17" s="1355" t="s">
        <v>700</v>
      </c>
      <c r="J17" s="144"/>
      <c r="K17" s="1355"/>
      <c r="L17" s="1355" t="s">
        <v>701</v>
      </c>
      <c r="M17" s="1355" t="s">
        <v>702</v>
      </c>
      <c r="N17" s="145" t="s">
        <v>703</v>
      </c>
      <c r="O17" s="1598" t="s">
        <v>704</v>
      </c>
      <c r="P17" s="1599"/>
      <c r="Q17" s="1600"/>
    </row>
    <row r="18" spans="2:17" ht="15" thickBot="1">
      <c r="B18" s="156"/>
      <c r="C18" s="157"/>
      <c r="D18" s="157"/>
      <c r="E18" s="157"/>
      <c r="F18" s="157"/>
      <c r="G18" s="157"/>
      <c r="H18" s="157"/>
      <c r="I18" s="157"/>
      <c r="J18" s="157"/>
      <c r="K18" s="157"/>
      <c r="L18" s="157"/>
      <c r="M18" s="157"/>
      <c r="N18" s="157"/>
      <c r="O18" s="157"/>
      <c r="P18" s="157"/>
      <c r="Q18" s="158"/>
    </row>
    <row r="19" spans="2:17" ht="123" customHeight="1" thickBot="1">
      <c r="B19" s="159"/>
      <c r="C19" s="160" t="s">
        <v>705</v>
      </c>
      <c r="D19" s="161" t="s">
        <v>706</v>
      </c>
      <c r="E19" s="161" t="s">
        <v>679</v>
      </c>
      <c r="F19" s="161" t="s">
        <v>707</v>
      </c>
      <c r="G19" s="161" t="s">
        <v>708</v>
      </c>
      <c r="H19" s="182" t="s">
        <v>709</v>
      </c>
      <c r="I19" s="182" t="s">
        <v>710</v>
      </c>
      <c r="J19" s="162"/>
      <c r="K19" s="161"/>
      <c r="L19" s="161" t="s">
        <v>701</v>
      </c>
      <c r="M19" s="161" t="s">
        <v>711</v>
      </c>
      <c r="N19" s="163" t="s">
        <v>703</v>
      </c>
      <c r="O19" s="1598" t="s">
        <v>712</v>
      </c>
      <c r="P19" s="1599"/>
      <c r="Q19" s="1600"/>
    </row>
  </sheetData>
  <customSheetViews>
    <customSheetView guid="{F9015B81-4D5E-47E3-BFA8-A54438E9D1FF}" scale="70" showGridLines="0">
      <pageMargins left="0.7" right="0.7" top="0.78740157499999996" bottom="0.78740157499999996" header="0.3" footer="0.3"/>
      <pageSetup paperSize="9" orientation="portrait" r:id="rId1"/>
    </customSheetView>
  </customSheetViews>
  <mergeCells count="7">
    <mergeCell ref="O17:Q17"/>
    <mergeCell ref="O19:Q19"/>
    <mergeCell ref="B1:Q1"/>
    <mergeCell ref="B11:Q11"/>
    <mergeCell ref="O12:Q12"/>
    <mergeCell ref="O13:Q13"/>
    <mergeCell ref="O15:Q15"/>
  </mergeCells>
  <hyperlinks>
    <hyperlink ref="A1" location="MENU!A1" display="MENU" xr:uid="{F3EC20EB-49DE-4FA8-8330-687187AFC1F9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511BC-8885-465C-A333-01715FE62587}">
  <sheetPr>
    <tabColor theme="8" tint="0.79998168889431442"/>
  </sheetPr>
  <dimension ref="A1:E14"/>
  <sheetViews>
    <sheetView showGridLines="0" workbookViewId="0">
      <selection activeCell="C3" sqref="C3"/>
    </sheetView>
  </sheetViews>
  <sheetFormatPr defaultColWidth="8.77734375" defaultRowHeight="14.25"/>
  <cols>
    <col min="1" max="2" width="8.77734375" style="55"/>
    <col min="3" max="4" width="20.77734375" style="55" customWidth="1"/>
    <col min="5" max="5" width="30.44140625" style="55" customWidth="1"/>
    <col min="6" max="16384" width="8.77734375" style="55"/>
  </cols>
  <sheetData>
    <row r="1" spans="1:5" ht="22.5" customHeight="1" thickBot="1">
      <c r="A1" s="107" t="s">
        <v>1</v>
      </c>
      <c r="B1" s="737"/>
      <c r="C1" s="737"/>
      <c r="D1" s="737"/>
      <c r="E1" s="737"/>
    </row>
    <row r="2" spans="1:5" ht="28.5" customHeight="1" thickBot="1">
      <c r="A2" s="737"/>
      <c r="B2" s="737"/>
      <c r="C2" s="1464" t="s">
        <v>713</v>
      </c>
      <c r="D2" s="1475"/>
      <c r="E2" s="1449"/>
    </row>
    <row r="3" spans="1:5" ht="15" thickBot="1">
      <c r="A3" s="737"/>
      <c r="B3" s="737"/>
      <c r="C3" s="188" t="s">
        <v>714</v>
      </c>
      <c r="D3" s="187" t="s">
        <v>715</v>
      </c>
      <c r="E3" s="189" t="s">
        <v>716</v>
      </c>
    </row>
    <row r="4" spans="1:5">
      <c r="A4" s="737"/>
      <c r="B4" s="737"/>
      <c r="C4" s="190" t="s">
        <v>717</v>
      </c>
      <c r="D4" s="191" t="s">
        <v>718</v>
      </c>
      <c r="E4" s="192" t="s">
        <v>719</v>
      </c>
    </row>
    <row r="5" spans="1:5" ht="28.5">
      <c r="A5" s="737"/>
      <c r="B5" s="737"/>
      <c r="C5" s="193" t="s">
        <v>720</v>
      </c>
      <c r="D5" s="194" t="s">
        <v>721</v>
      </c>
      <c r="E5" s="195"/>
    </row>
    <row r="6" spans="1:5" ht="28.5">
      <c r="A6" s="737"/>
      <c r="B6" s="737"/>
      <c r="C6" s="193" t="s">
        <v>722</v>
      </c>
      <c r="D6" s="194" t="s">
        <v>723</v>
      </c>
      <c r="E6" s="195" t="s">
        <v>724</v>
      </c>
    </row>
    <row r="7" spans="1:5" ht="28.5">
      <c r="A7" s="737"/>
      <c r="B7" s="737"/>
      <c r="C7" s="193" t="s">
        <v>725</v>
      </c>
      <c r="D7" s="194" t="s">
        <v>726</v>
      </c>
      <c r="E7" s="195" t="s">
        <v>727</v>
      </c>
    </row>
    <row r="8" spans="1:5" ht="42.75">
      <c r="A8" s="737"/>
      <c r="B8" s="737"/>
      <c r="C8" s="193" t="s">
        <v>728</v>
      </c>
      <c r="D8" s="194" t="s">
        <v>729</v>
      </c>
      <c r="E8" s="195" t="s">
        <v>730</v>
      </c>
    </row>
    <row r="9" spans="1:5" ht="15" thickBot="1">
      <c r="A9" s="737"/>
      <c r="B9" s="737"/>
      <c r="C9" s="196" t="s">
        <v>731</v>
      </c>
      <c r="D9" s="197" t="s">
        <v>732</v>
      </c>
      <c r="E9" s="198" t="s">
        <v>733</v>
      </c>
    </row>
    <row r="10" spans="1:5" ht="15" thickBot="1">
      <c r="A10" s="737"/>
      <c r="B10" s="737"/>
      <c r="C10" s="737"/>
      <c r="D10" s="737"/>
      <c r="E10" s="737"/>
    </row>
    <row r="11" spans="1:5" ht="24.75" customHeight="1" thickBot="1">
      <c r="A11" s="737"/>
      <c r="B11" s="737"/>
      <c r="C11" s="1464" t="s">
        <v>734</v>
      </c>
      <c r="D11" s="1475"/>
      <c r="E11" s="1449"/>
    </row>
    <row r="12" spans="1:5" ht="24.75" customHeight="1" thickBot="1">
      <c r="A12" s="737"/>
      <c r="B12" s="737"/>
      <c r="C12" s="188" t="s">
        <v>714</v>
      </c>
      <c r="D12" s="187" t="s">
        <v>715</v>
      </c>
      <c r="E12" s="189" t="s">
        <v>716</v>
      </c>
    </row>
    <row r="13" spans="1:5">
      <c r="A13" s="737"/>
      <c r="B13" s="737"/>
      <c r="C13" s="190" t="s">
        <v>735</v>
      </c>
      <c r="D13" s="191" t="s">
        <v>736</v>
      </c>
      <c r="E13" s="192" t="s">
        <v>737</v>
      </c>
    </row>
    <row r="14" spans="1:5" ht="15" thickBot="1">
      <c r="A14" s="737"/>
      <c r="B14" s="737"/>
      <c r="C14" s="196" t="s">
        <v>738</v>
      </c>
      <c r="D14" s="197" t="s">
        <v>739</v>
      </c>
      <c r="E14" s="198" t="s">
        <v>740</v>
      </c>
    </row>
  </sheetData>
  <customSheetViews>
    <customSheetView guid="{F9015B81-4D5E-47E3-BFA8-A54438E9D1FF}" showGridLines="0">
      <selection activeCell="C3" sqref="C3"/>
      <pageMargins left="0.7" right="0.7" top="0.78740157499999996" bottom="0.78740157499999996" header="0.3" footer="0.3"/>
      <pageSetup paperSize="9" orientation="portrait" r:id="rId1"/>
    </customSheetView>
  </customSheetViews>
  <mergeCells count="2">
    <mergeCell ref="C2:E2"/>
    <mergeCell ref="C11:E11"/>
  </mergeCells>
  <hyperlinks>
    <hyperlink ref="A1" location="MENU!A1" display="MENU" xr:uid="{088B40F4-6943-4535-B258-46CF3F2134AE}"/>
  </hyperlinks>
  <pageMargins left="0.7" right="0.7" top="0.78740157499999996" bottom="0.78740157499999996" header="0.3" footer="0.3"/>
  <pageSetup paperSize="9" orientation="portrait"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6F85A-1678-4023-80C2-27B53EAE9E6F}">
  <sheetPr>
    <tabColor theme="8" tint="0.79998168889431442"/>
  </sheetPr>
  <dimension ref="A1"/>
  <sheetViews>
    <sheetView showGridLines="0" zoomScale="65" zoomScaleNormal="65" workbookViewId="0"/>
  </sheetViews>
  <sheetFormatPr defaultColWidth="8.77734375" defaultRowHeight="14.25"/>
  <cols>
    <col min="1" max="1" width="17.77734375" style="55" customWidth="1"/>
    <col min="2" max="16384" width="8.77734375" style="55"/>
  </cols>
  <sheetData>
    <row r="1" spans="1:1" ht="70.5" customHeight="1">
      <c r="A1" s="142" t="s">
        <v>1</v>
      </c>
    </row>
  </sheetData>
  <customSheetViews>
    <customSheetView guid="{F9015B81-4D5E-47E3-BFA8-A54438E9D1FF}" scale="65" showGridLines="0">
      <pageMargins left="0.7" right="0.7" top="0.78740157499999996" bottom="0.78740157499999996" header="0.3" footer="0.3"/>
    </customSheetView>
  </customSheetViews>
  <hyperlinks>
    <hyperlink ref="A1" location="MENU!A1" display="MENU" xr:uid="{E1759367-0C82-4866-93FB-A86605F585A8}"/>
  </hyperlinks>
  <pageMargins left="0.7" right="0.7" top="0.78740157499999996" bottom="0.78740157499999996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A7F4C-7BC5-4FD4-AC61-8A1FCA35E280}">
  <sheetPr>
    <tabColor theme="8" tint="0.79998168889431442"/>
  </sheetPr>
  <dimension ref="A1"/>
  <sheetViews>
    <sheetView showGridLines="0" workbookViewId="0"/>
  </sheetViews>
  <sheetFormatPr defaultRowHeight="14.25"/>
  <sheetData>
    <row r="1" spans="1:1" ht="22.5" customHeight="1">
      <c r="A1" s="107" t="s">
        <v>1</v>
      </c>
    </row>
  </sheetData>
  <customSheetViews>
    <customSheetView guid="{F9015B81-4D5E-47E3-BFA8-A54438E9D1FF}" showGridLines="0">
      <pageMargins left="0.7" right="0.7" top="0.78740157499999996" bottom="0.78740157499999996" header="0.3" footer="0.3"/>
    </customSheetView>
  </customSheetViews>
  <hyperlinks>
    <hyperlink ref="A1" location="MENU!A1" display="MENU" xr:uid="{EF1A200F-B101-4F55-8D27-ED1DB492E57D}"/>
  </hyperlinks>
  <pageMargins left="0.7" right="0.7" top="0.78740157499999996" bottom="0.78740157499999996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231D9-A76B-4C43-99DB-A1A938277C43}">
  <sheetPr>
    <tabColor rgb="FF92D050"/>
  </sheetPr>
  <dimension ref="A1:V65"/>
  <sheetViews>
    <sheetView showGridLines="0" zoomScale="85" zoomScaleNormal="85" workbookViewId="0">
      <pane xSplit="2" ySplit="2" topLeftCell="E7" activePane="bottomRight" state="frozen"/>
      <selection pane="topRight" activeCell="D20" sqref="D20"/>
      <selection pane="bottomLeft" activeCell="D20" sqref="D20"/>
      <selection pane="bottomRight" activeCell="B1" sqref="B1"/>
    </sheetView>
  </sheetViews>
  <sheetFormatPr defaultRowHeight="14.25" outlineLevelRow="2"/>
  <cols>
    <col min="1" max="1" width="6.77734375" customWidth="1"/>
    <col min="2" max="2" width="5.21875" customWidth="1"/>
    <col min="3" max="3" width="18.77734375" style="2" customWidth="1"/>
    <col min="4" max="4" width="22.33203125" style="2" customWidth="1"/>
    <col min="5" max="5" width="5.44140625" style="1" customWidth="1"/>
    <col min="6" max="6" width="59" style="2" customWidth="1"/>
    <col min="8" max="8" width="11.33203125" customWidth="1"/>
    <col min="9" max="9" width="10.109375" customWidth="1"/>
  </cols>
  <sheetData>
    <row r="1" spans="1:22" ht="21.75" customHeight="1">
      <c r="A1" s="107" t="s">
        <v>1</v>
      </c>
      <c r="B1" s="737"/>
      <c r="C1" s="737"/>
      <c r="D1" s="737"/>
      <c r="E1" s="1369"/>
      <c r="F1" s="737"/>
      <c r="G1" s="54"/>
      <c r="H1" s="737"/>
      <c r="I1" s="737"/>
      <c r="J1" s="737"/>
      <c r="K1" s="737"/>
      <c r="L1" s="737"/>
      <c r="M1" s="737"/>
      <c r="N1" s="737"/>
      <c r="O1" s="737"/>
      <c r="P1" s="737"/>
      <c r="Q1" s="737"/>
      <c r="R1" s="737"/>
      <c r="S1" s="737"/>
      <c r="T1" s="737"/>
      <c r="U1" s="737"/>
      <c r="V1" s="737"/>
    </row>
    <row r="2" spans="1:22" ht="19.5" customHeight="1" thickBot="1">
      <c r="A2" s="737"/>
      <c r="B2" s="737"/>
      <c r="C2" s="105" t="s">
        <v>741</v>
      </c>
      <c r="D2" s="105" t="s">
        <v>742</v>
      </c>
      <c r="E2" s="105" t="s">
        <v>743</v>
      </c>
      <c r="F2" s="106" t="s">
        <v>558</v>
      </c>
      <c r="G2" s="54"/>
      <c r="H2" s="36"/>
      <c r="I2" s="36"/>
      <c r="J2" s="737"/>
      <c r="K2" s="737"/>
      <c r="L2" s="737"/>
      <c r="M2" s="737"/>
      <c r="N2" s="737"/>
      <c r="O2" s="737"/>
      <c r="P2" s="737"/>
      <c r="Q2" s="737"/>
      <c r="R2" s="737"/>
      <c r="S2" s="737"/>
      <c r="T2" s="737"/>
      <c r="U2" s="737"/>
      <c r="V2" s="737"/>
    </row>
    <row r="3" spans="1:22" ht="14.25" customHeight="1" outlineLevel="1">
      <c r="A3" s="737"/>
      <c r="B3" s="1612" t="s">
        <v>744</v>
      </c>
      <c r="C3" s="5" t="s">
        <v>745</v>
      </c>
      <c r="D3" s="6" t="s">
        <v>746</v>
      </c>
      <c r="E3" s="7">
        <v>1</v>
      </c>
      <c r="F3" s="8" t="s">
        <v>747</v>
      </c>
      <c r="G3" s="54"/>
      <c r="H3" s="23"/>
      <c r="I3" s="37"/>
      <c r="J3" s="737"/>
      <c r="K3" s="737"/>
      <c r="L3" s="737"/>
      <c r="M3" s="737"/>
      <c r="N3" s="737"/>
      <c r="O3" s="737"/>
      <c r="P3" s="737"/>
      <c r="Q3" s="737"/>
      <c r="R3" s="737"/>
      <c r="S3" s="737"/>
      <c r="T3" s="737"/>
      <c r="U3" s="737"/>
      <c r="V3" s="737"/>
    </row>
    <row r="4" spans="1:22" outlineLevel="1">
      <c r="A4" s="737"/>
      <c r="B4" s="1612"/>
      <c r="C4" s="9" t="s">
        <v>748</v>
      </c>
      <c r="D4" s="3" t="s">
        <v>749</v>
      </c>
      <c r="E4" s="4">
        <v>2</v>
      </c>
      <c r="F4" s="10" t="s">
        <v>750</v>
      </c>
      <c r="G4" s="54"/>
      <c r="H4" s="23"/>
      <c r="I4" s="37"/>
      <c r="J4" s="737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</row>
    <row r="5" spans="1:22" outlineLevel="1">
      <c r="A5" s="737"/>
      <c r="B5" s="1612"/>
      <c r="C5" s="9" t="s">
        <v>23</v>
      </c>
      <c r="D5" s="3" t="s">
        <v>751</v>
      </c>
      <c r="E5" s="4">
        <v>2</v>
      </c>
      <c r="F5" s="10" t="s">
        <v>752</v>
      </c>
      <c r="G5" s="54"/>
      <c r="H5" s="23"/>
      <c r="I5" s="37"/>
      <c r="J5" s="737"/>
      <c r="K5" s="1361"/>
      <c r="L5" s="1361"/>
      <c r="M5" s="1361"/>
      <c r="N5" s="1361"/>
      <c r="O5" s="54"/>
      <c r="P5" s="1361"/>
      <c r="Q5" s="1361"/>
      <c r="R5" s="1361"/>
      <c r="S5" s="54"/>
      <c r="T5" s="54"/>
      <c r="U5" s="54"/>
      <c r="V5" s="54"/>
    </row>
    <row r="6" spans="1:22" outlineLevel="1">
      <c r="A6" s="737"/>
      <c r="B6" s="1612"/>
      <c r="C6" s="9" t="s">
        <v>753</v>
      </c>
      <c r="D6" s="3" t="s">
        <v>754</v>
      </c>
      <c r="E6" s="4">
        <v>1</v>
      </c>
      <c r="F6" s="10" t="s">
        <v>755</v>
      </c>
      <c r="G6" s="54"/>
      <c r="H6" s="23"/>
      <c r="I6" s="37"/>
      <c r="J6" s="737"/>
      <c r="K6" s="1361"/>
      <c r="L6" s="1361"/>
      <c r="M6" s="1361"/>
      <c r="N6" s="1361"/>
      <c r="O6" s="35"/>
      <c r="P6" s="1361"/>
      <c r="Q6" s="1361"/>
      <c r="R6" s="1361"/>
      <c r="S6" s="54"/>
      <c r="T6" s="54"/>
      <c r="U6" s="54"/>
      <c r="V6" s="54"/>
    </row>
    <row r="7" spans="1:22" outlineLevel="1">
      <c r="A7" s="737"/>
      <c r="B7" s="1612"/>
      <c r="C7" s="9" t="s">
        <v>753</v>
      </c>
      <c r="D7" s="3" t="s">
        <v>756</v>
      </c>
      <c r="E7" s="4">
        <v>4</v>
      </c>
      <c r="F7" s="10" t="s">
        <v>757</v>
      </c>
      <c r="G7" s="54"/>
      <c r="H7" s="23"/>
      <c r="I7" s="37"/>
      <c r="J7" s="737"/>
      <c r="K7" s="1361"/>
      <c r="L7" s="1361"/>
      <c r="M7" s="1361"/>
      <c r="N7" s="1361"/>
      <c r="O7" s="35"/>
      <c r="P7" s="54"/>
      <c r="Q7" s="1361"/>
      <c r="R7" s="1361"/>
      <c r="S7" s="54"/>
      <c r="T7" s="54"/>
      <c r="U7" s="54"/>
      <c r="V7" s="54"/>
    </row>
    <row r="8" spans="1:22" outlineLevel="1">
      <c r="A8" s="737"/>
      <c r="B8" s="1612"/>
      <c r="C8" s="9" t="s">
        <v>753</v>
      </c>
      <c r="D8" s="3" t="s">
        <v>758</v>
      </c>
      <c r="E8" s="4">
        <v>4</v>
      </c>
      <c r="F8" s="10" t="s">
        <v>755</v>
      </c>
      <c r="G8" s="54"/>
      <c r="H8" s="23"/>
      <c r="I8" s="37"/>
      <c r="J8" s="737"/>
      <c r="K8" s="1361"/>
      <c r="L8" s="1361"/>
      <c r="M8" s="1361"/>
      <c r="N8" s="1361"/>
      <c r="O8" s="35"/>
      <c r="P8" s="54"/>
      <c r="Q8" s="1361"/>
      <c r="R8" s="1361"/>
      <c r="S8" s="54"/>
      <c r="T8" s="54"/>
      <c r="U8" s="54"/>
      <c r="V8" s="54"/>
    </row>
    <row r="9" spans="1:22" outlineLevel="1">
      <c r="A9" s="737"/>
      <c r="B9" s="1612"/>
      <c r="C9" s="9" t="s">
        <v>753</v>
      </c>
      <c r="D9" s="3" t="s">
        <v>759</v>
      </c>
      <c r="E9" s="4">
        <v>2</v>
      </c>
      <c r="F9" s="10" t="s">
        <v>755</v>
      </c>
      <c r="G9" s="54"/>
      <c r="H9" s="23"/>
      <c r="I9" s="37"/>
      <c r="J9" s="737"/>
      <c r="K9" s="54"/>
      <c r="L9" s="54"/>
      <c r="M9" s="54"/>
      <c r="N9" s="54"/>
      <c r="O9" s="54"/>
      <c r="P9" s="54"/>
      <c r="Q9" s="54"/>
      <c r="R9" s="54"/>
      <c r="S9" s="54"/>
      <c r="T9" s="54"/>
      <c r="U9" s="54"/>
      <c r="V9" s="54"/>
    </row>
    <row r="10" spans="1:22" outlineLevel="1">
      <c r="A10" s="737"/>
      <c r="B10" s="1612"/>
      <c r="C10" s="9" t="s">
        <v>760</v>
      </c>
      <c r="D10" s="3" t="s">
        <v>761</v>
      </c>
      <c r="E10" s="4">
        <v>1</v>
      </c>
      <c r="F10" s="10" t="s">
        <v>762</v>
      </c>
      <c r="G10" s="54"/>
      <c r="H10" s="23"/>
      <c r="I10" s="37"/>
      <c r="J10" s="737"/>
      <c r="K10" s="1361"/>
      <c r="L10" s="1361"/>
      <c r="M10" s="1361"/>
      <c r="N10" s="1361"/>
      <c r="O10" s="1361"/>
      <c r="P10" s="1361"/>
      <c r="Q10" s="1361"/>
      <c r="R10" s="54"/>
      <c r="S10" s="54"/>
      <c r="T10" s="54"/>
      <c r="U10" s="54"/>
      <c r="V10" s="54"/>
    </row>
    <row r="11" spans="1:22" ht="24.75" outlineLevel="1">
      <c r="A11" s="737"/>
      <c r="B11" s="1612"/>
      <c r="C11" s="9" t="s">
        <v>763</v>
      </c>
      <c r="D11" s="3" t="s">
        <v>764</v>
      </c>
      <c r="E11" s="4">
        <v>8</v>
      </c>
      <c r="F11" s="24" t="s">
        <v>765</v>
      </c>
      <c r="G11" s="54"/>
      <c r="H11" s="23"/>
      <c r="I11" s="37"/>
      <c r="J11" s="737"/>
      <c r="K11" s="1361"/>
      <c r="L11" s="1361"/>
      <c r="M11" s="1361"/>
      <c r="N11" s="1361"/>
      <c r="O11" s="1361"/>
      <c r="P11" s="1361"/>
      <c r="Q11" s="1361"/>
      <c r="R11" s="54"/>
      <c r="S11" s="54"/>
      <c r="T11" s="54"/>
      <c r="U11" s="54"/>
      <c r="V11" s="54"/>
    </row>
    <row r="12" spans="1:22" ht="24.75" outlineLevel="1">
      <c r="A12" s="737"/>
      <c r="B12" s="1612"/>
      <c r="C12" s="9" t="s">
        <v>766</v>
      </c>
      <c r="D12" s="3" t="s">
        <v>767</v>
      </c>
      <c r="E12" s="4">
        <v>6</v>
      </c>
      <c r="F12" s="24" t="s">
        <v>768</v>
      </c>
      <c r="G12" s="54"/>
      <c r="H12" s="23"/>
      <c r="I12" s="37"/>
      <c r="J12" s="737"/>
      <c r="K12" s="1361"/>
      <c r="L12" s="1361"/>
      <c r="M12" s="1361"/>
      <c r="N12" s="1361"/>
      <c r="O12" s="1361"/>
      <c r="P12" s="1361"/>
      <c r="Q12" s="1361"/>
      <c r="R12" s="54"/>
      <c r="S12" s="54"/>
      <c r="T12" s="54"/>
      <c r="U12" s="54"/>
      <c r="V12" s="54"/>
    </row>
    <row r="13" spans="1:22" outlineLevel="1">
      <c r="A13" s="737"/>
      <c r="B13" s="1612"/>
      <c r="C13" s="9" t="s">
        <v>769</v>
      </c>
      <c r="D13" s="3" t="s">
        <v>770</v>
      </c>
      <c r="E13" s="4">
        <v>1</v>
      </c>
      <c r="F13" s="10" t="s">
        <v>762</v>
      </c>
      <c r="G13" s="54"/>
      <c r="H13" s="23"/>
      <c r="I13" s="37"/>
      <c r="J13" s="737"/>
      <c r="K13" s="737"/>
      <c r="L13" s="737"/>
      <c r="M13" s="737"/>
      <c r="N13" s="737"/>
      <c r="O13" s="737"/>
      <c r="P13" s="737"/>
      <c r="Q13" s="737"/>
      <c r="R13" s="737"/>
      <c r="S13" s="737"/>
      <c r="T13" s="737"/>
      <c r="U13" s="737"/>
      <c r="V13" s="737"/>
    </row>
    <row r="14" spans="1:22" outlineLevel="1">
      <c r="A14" s="737"/>
      <c r="B14" s="1612"/>
      <c r="C14" s="9" t="s">
        <v>771</v>
      </c>
      <c r="D14" s="3" t="s">
        <v>772</v>
      </c>
      <c r="E14" s="4">
        <v>4</v>
      </c>
      <c r="F14" s="10" t="s">
        <v>773</v>
      </c>
      <c r="G14" s="54"/>
      <c r="H14" s="23"/>
      <c r="I14" s="37"/>
      <c r="J14" s="54"/>
      <c r="K14" s="737"/>
      <c r="L14" s="737"/>
      <c r="M14" s="737"/>
      <c r="N14" s="737"/>
      <c r="O14" s="737"/>
      <c r="P14" s="737"/>
      <c r="Q14" s="737"/>
      <c r="R14" s="737"/>
      <c r="S14" s="737"/>
      <c r="T14" s="737"/>
      <c r="U14" s="737"/>
      <c r="V14" s="54"/>
    </row>
    <row r="15" spans="1:22" outlineLevel="1">
      <c r="A15" s="737"/>
      <c r="B15" s="1612"/>
      <c r="C15" s="9" t="s">
        <v>774</v>
      </c>
      <c r="D15" s="3" t="s">
        <v>772</v>
      </c>
      <c r="E15" s="4">
        <v>2</v>
      </c>
      <c r="F15" s="10" t="s">
        <v>775</v>
      </c>
      <c r="G15" s="54"/>
      <c r="H15" s="23"/>
      <c r="I15" s="37"/>
      <c r="J15" s="54"/>
      <c r="K15" s="737"/>
      <c r="L15" s="737"/>
      <c r="M15" s="737"/>
      <c r="N15" s="737"/>
      <c r="O15" s="737"/>
      <c r="P15" s="737"/>
      <c r="Q15" s="737"/>
      <c r="R15" s="737"/>
      <c r="S15" s="737"/>
      <c r="T15" s="737"/>
      <c r="U15" s="737"/>
      <c r="V15" s="737"/>
    </row>
    <row r="16" spans="1:22" ht="15" outlineLevel="1">
      <c r="A16" s="737"/>
      <c r="B16" s="1612"/>
      <c r="C16" s="9" t="s">
        <v>776</v>
      </c>
      <c r="D16" s="3" t="s">
        <v>772</v>
      </c>
      <c r="E16" s="4">
        <v>2</v>
      </c>
      <c r="F16" s="10" t="s">
        <v>773</v>
      </c>
      <c r="G16" s="54"/>
      <c r="H16" s="37"/>
      <c r="I16" s="36"/>
      <c r="J16" s="54"/>
      <c r="K16" s="737"/>
      <c r="L16" s="737"/>
      <c r="M16" s="737"/>
      <c r="N16" s="737"/>
      <c r="O16" s="737"/>
      <c r="P16" s="737"/>
      <c r="Q16" s="737"/>
      <c r="R16" s="737"/>
      <c r="S16" s="737"/>
      <c r="T16" s="737"/>
      <c r="U16" s="737"/>
      <c r="V16" s="737"/>
    </row>
    <row r="17" spans="2:7" outlineLevel="1">
      <c r="B17" s="1612"/>
      <c r="C17" s="9" t="s">
        <v>777</v>
      </c>
      <c r="D17" s="3" t="s">
        <v>772</v>
      </c>
      <c r="E17" s="4">
        <v>4</v>
      </c>
      <c r="F17" s="10" t="s">
        <v>773</v>
      </c>
      <c r="G17" s="54"/>
    </row>
    <row r="18" spans="2:7" outlineLevel="1">
      <c r="B18" s="1612"/>
      <c r="C18" s="9" t="s">
        <v>2</v>
      </c>
      <c r="D18" s="3" t="s">
        <v>778</v>
      </c>
      <c r="E18" s="4">
        <v>1</v>
      </c>
      <c r="F18" s="10" t="s">
        <v>762</v>
      </c>
      <c r="G18" s="54"/>
    </row>
    <row r="19" spans="2:7" outlineLevel="1">
      <c r="B19" s="1612"/>
      <c r="C19" s="9" t="s">
        <v>779</v>
      </c>
      <c r="D19" s="3" t="s">
        <v>772</v>
      </c>
      <c r="E19" s="4">
        <v>2</v>
      </c>
      <c r="F19" s="10" t="s">
        <v>780</v>
      </c>
      <c r="G19" s="54"/>
    </row>
    <row r="20" spans="2:7" outlineLevel="1">
      <c r="B20" s="1612"/>
      <c r="C20" s="9" t="s">
        <v>781</v>
      </c>
      <c r="D20" s="3" t="s">
        <v>772</v>
      </c>
      <c r="E20" s="4">
        <v>2</v>
      </c>
      <c r="F20" s="10" t="s">
        <v>780</v>
      </c>
      <c r="G20" s="54"/>
    </row>
    <row r="21" spans="2:7" outlineLevel="1">
      <c r="B21" s="1612"/>
      <c r="C21" s="9" t="s">
        <v>782</v>
      </c>
      <c r="D21" s="3" t="s">
        <v>772</v>
      </c>
      <c r="E21" s="4">
        <v>2</v>
      </c>
      <c r="F21" s="10" t="s">
        <v>780</v>
      </c>
      <c r="G21" s="54"/>
    </row>
    <row r="22" spans="2:7" outlineLevel="1">
      <c r="B22" s="1612"/>
      <c r="C22" s="9" t="s">
        <v>783</v>
      </c>
      <c r="D22" s="3" t="s">
        <v>772</v>
      </c>
      <c r="E22" s="4">
        <v>2</v>
      </c>
      <c r="F22" s="10" t="s">
        <v>780</v>
      </c>
      <c r="G22" s="54"/>
    </row>
    <row r="23" spans="2:7" outlineLevel="1">
      <c r="B23" s="1612"/>
      <c r="C23" s="9" t="s">
        <v>784</v>
      </c>
      <c r="D23" s="3" t="s">
        <v>772</v>
      </c>
      <c r="E23" s="4">
        <v>2</v>
      </c>
      <c r="F23" s="10" t="s">
        <v>785</v>
      </c>
      <c r="G23" s="54"/>
    </row>
    <row r="24" spans="2:7" outlineLevel="1">
      <c r="B24" s="1612"/>
      <c r="C24" s="9" t="s">
        <v>786</v>
      </c>
      <c r="D24" s="3" t="s">
        <v>787</v>
      </c>
      <c r="E24" s="4">
        <v>6</v>
      </c>
      <c r="F24" s="10" t="s">
        <v>788</v>
      </c>
      <c r="G24" s="54"/>
    </row>
    <row r="25" spans="2:7" outlineLevel="1">
      <c r="B25" s="1612"/>
      <c r="C25" s="9" t="s">
        <v>789</v>
      </c>
      <c r="D25" s="3" t="s">
        <v>790</v>
      </c>
      <c r="E25" s="4">
        <v>6</v>
      </c>
      <c r="F25" s="10" t="s">
        <v>791</v>
      </c>
      <c r="G25" s="54"/>
    </row>
    <row r="26" spans="2:7" outlineLevel="1">
      <c r="B26" s="1612"/>
      <c r="C26" s="9" t="s">
        <v>679</v>
      </c>
      <c r="D26" s="3"/>
      <c r="E26" s="4"/>
      <c r="F26" s="10"/>
      <c r="G26" s="54"/>
    </row>
    <row r="27" spans="2:7" outlineLevel="1">
      <c r="B27" s="1612"/>
      <c r="C27" s="9" t="s">
        <v>679</v>
      </c>
      <c r="D27" s="3"/>
      <c r="E27" s="4"/>
      <c r="F27" s="10"/>
      <c r="G27" s="54"/>
    </row>
    <row r="28" spans="2:7" outlineLevel="1">
      <c r="B28" s="1612"/>
      <c r="C28" s="9" t="s">
        <v>679</v>
      </c>
      <c r="D28" s="3"/>
      <c r="E28" s="4"/>
      <c r="F28" s="10"/>
      <c r="G28" s="54"/>
    </row>
    <row r="29" spans="2:7" outlineLevel="1">
      <c r="B29" s="1612"/>
      <c r="C29" s="9" t="s">
        <v>679</v>
      </c>
      <c r="D29" s="3"/>
      <c r="E29" s="4"/>
      <c r="F29" s="10"/>
      <c r="G29" s="54"/>
    </row>
    <row r="30" spans="2:7" ht="15" thickBot="1">
      <c r="B30" s="1612"/>
      <c r="C30" s="19"/>
      <c r="D30" s="20" t="s">
        <v>792</v>
      </c>
      <c r="E30" s="21">
        <f>SUM(E3:E29)</f>
        <v>67</v>
      </c>
      <c r="F30" s="22"/>
      <c r="G30" s="54"/>
    </row>
    <row r="31" spans="2:7" outlineLevel="1">
      <c r="B31" s="1610" t="s">
        <v>793</v>
      </c>
      <c r="C31" s="5" t="s">
        <v>745</v>
      </c>
      <c r="D31" s="6" t="s">
        <v>794</v>
      </c>
      <c r="E31" s="7">
        <v>1</v>
      </c>
      <c r="F31" s="8" t="s">
        <v>795</v>
      </c>
      <c r="G31" s="54"/>
    </row>
    <row r="32" spans="2:7" outlineLevel="1">
      <c r="B32" s="1610"/>
      <c r="C32" s="9" t="s">
        <v>796</v>
      </c>
      <c r="D32" s="3" t="s">
        <v>797</v>
      </c>
      <c r="E32" s="4">
        <v>3</v>
      </c>
      <c r="F32" s="10" t="s">
        <v>795</v>
      </c>
      <c r="G32" s="54"/>
    </row>
    <row r="33" spans="2:7" outlineLevel="1">
      <c r="B33" s="1610"/>
      <c r="C33" s="9" t="s">
        <v>798</v>
      </c>
      <c r="D33" s="3" t="s">
        <v>799</v>
      </c>
      <c r="E33" s="4">
        <v>1</v>
      </c>
      <c r="F33" s="10" t="s">
        <v>800</v>
      </c>
      <c r="G33" s="54"/>
    </row>
    <row r="34" spans="2:7" outlineLevel="1">
      <c r="B34" s="1610"/>
      <c r="C34" s="9" t="s">
        <v>798</v>
      </c>
      <c r="D34" s="3" t="s">
        <v>801</v>
      </c>
      <c r="E34" s="4">
        <v>2</v>
      </c>
      <c r="F34" s="10" t="s">
        <v>800</v>
      </c>
      <c r="G34" s="54"/>
    </row>
    <row r="35" spans="2:7" outlineLevel="1">
      <c r="B35" s="1610"/>
      <c r="C35" s="9" t="s">
        <v>434</v>
      </c>
      <c r="D35" s="3" t="s">
        <v>802</v>
      </c>
      <c r="E35" s="4">
        <v>1</v>
      </c>
      <c r="F35" s="10" t="s">
        <v>803</v>
      </c>
      <c r="G35" s="54"/>
    </row>
    <row r="36" spans="2:7" outlineLevel="1">
      <c r="B36" s="1610"/>
      <c r="C36" s="9" t="s">
        <v>434</v>
      </c>
      <c r="D36" s="3" t="s">
        <v>804</v>
      </c>
      <c r="E36" s="4">
        <v>2</v>
      </c>
      <c r="F36" s="10" t="s">
        <v>803</v>
      </c>
      <c r="G36" s="54"/>
    </row>
    <row r="37" spans="2:7" outlineLevel="1">
      <c r="B37" s="1610"/>
      <c r="C37" s="9" t="s">
        <v>679</v>
      </c>
      <c r="D37" s="3"/>
      <c r="E37" s="4"/>
      <c r="F37" s="10"/>
      <c r="G37" s="54"/>
    </row>
    <row r="38" spans="2:7" outlineLevel="1">
      <c r="B38" s="1610"/>
      <c r="C38" s="9" t="s">
        <v>679</v>
      </c>
      <c r="D38" s="3"/>
      <c r="E38" s="4"/>
      <c r="F38" s="10"/>
      <c r="G38" s="54"/>
    </row>
    <row r="39" spans="2:7" outlineLevel="1">
      <c r="B39" s="1610"/>
      <c r="C39" s="9" t="s">
        <v>679</v>
      </c>
      <c r="D39" s="3"/>
      <c r="E39" s="4"/>
      <c r="F39" s="10"/>
      <c r="G39" s="54"/>
    </row>
    <row r="40" spans="2:7" outlineLevel="1">
      <c r="B40" s="1610"/>
      <c r="C40" s="9" t="s">
        <v>679</v>
      </c>
      <c r="D40" s="3"/>
      <c r="E40" s="4"/>
      <c r="F40" s="10"/>
      <c r="G40" s="54"/>
    </row>
    <row r="41" spans="2:7" ht="15" thickBot="1">
      <c r="B41" s="1611"/>
      <c r="C41" s="39" t="s">
        <v>679</v>
      </c>
      <c r="D41" s="40" t="s">
        <v>805</v>
      </c>
      <c r="E41" s="41">
        <f>SUM(E31:E40)</f>
        <v>10</v>
      </c>
      <c r="F41" s="38"/>
      <c r="G41" s="54"/>
    </row>
    <row r="42" spans="2:7" ht="14.1" customHeight="1" outlineLevel="2">
      <c r="B42" s="1607" t="s">
        <v>806</v>
      </c>
      <c r="C42" s="5" t="s">
        <v>745</v>
      </c>
      <c r="D42" s="6" t="s">
        <v>807</v>
      </c>
      <c r="E42" s="7">
        <v>1</v>
      </c>
      <c r="F42" s="8" t="s">
        <v>808</v>
      </c>
      <c r="G42" s="54"/>
    </row>
    <row r="43" spans="2:7" outlineLevel="2">
      <c r="B43" s="1608"/>
      <c r="C43" s="9" t="s">
        <v>809</v>
      </c>
      <c r="D43" s="3" t="s">
        <v>810</v>
      </c>
      <c r="E43" s="4">
        <v>2</v>
      </c>
      <c r="F43" s="10" t="s">
        <v>808</v>
      </c>
      <c r="G43" s="54"/>
    </row>
    <row r="44" spans="2:7" outlineLevel="2">
      <c r="B44" s="1608"/>
      <c r="C44" s="9" t="s">
        <v>811</v>
      </c>
      <c r="D44" s="3" t="s">
        <v>811</v>
      </c>
      <c r="E44" s="4">
        <v>2</v>
      </c>
      <c r="F44" s="10" t="s">
        <v>808</v>
      </c>
      <c r="G44" s="54"/>
    </row>
    <row r="45" spans="2:7" outlineLevel="2">
      <c r="B45" s="1608"/>
      <c r="C45" s="9" t="s">
        <v>812</v>
      </c>
      <c r="D45" s="3" t="s">
        <v>813</v>
      </c>
      <c r="E45" s="4">
        <v>1</v>
      </c>
      <c r="F45" s="10" t="s">
        <v>808</v>
      </c>
      <c r="G45" s="54"/>
    </row>
    <row r="46" spans="2:7" outlineLevel="2">
      <c r="B46" s="1608"/>
      <c r="C46" s="9" t="s">
        <v>679</v>
      </c>
      <c r="D46" s="3"/>
      <c r="E46" s="4"/>
      <c r="F46" s="10"/>
      <c r="G46" s="54"/>
    </row>
    <row r="47" spans="2:7" outlineLevel="2">
      <c r="B47" s="1608"/>
      <c r="C47" s="9" t="s">
        <v>679</v>
      </c>
      <c r="D47" s="3"/>
      <c r="E47" s="4"/>
      <c r="F47" s="10"/>
      <c r="G47" s="54"/>
    </row>
    <row r="48" spans="2:7" outlineLevel="2">
      <c r="B48" s="1608"/>
      <c r="C48" s="9" t="s">
        <v>679</v>
      </c>
      <c r="D48" s="3"/>
      <c r="E48" s="4"/>
      <c r="F48" s="10"/>
      <c r="G48" s="54"/>
    </row>
    <row r="49" spans="2:7" outlineLevel="2">
      <c r="B49" s="1608"/>
      <c r="C49" s="9" t="s">
        <v>679</v>
      </c>
      <c r="D49" s="3"/>
      <c r="E49" s="4"/>
      <c r="F49" s="10"/>
      <c r="G49" s="54"/>
    </row>
    <row r="50" spans="2:7" outlineLevel="2">
      <c r="B50" s="1608"/>
      <c r="C50" s="9" t="s">
        <v>679</v>
      </c>
      <c r="D50" s="3"/>
      <c r="E50" s="4"/>
      <c r="F50" s="10"/>
      <c r="G50" s="54"/>
    </row>
    <row r="51" spans="2:7" outlineLevel="2">
      <c r="B51" s="1608"/>
      <c r="C51" s="9" t="s">
        <v>679</v>
      </c>
      <c r="D51" s="3"/>
      <c r="E51" s="4"/>
      <c r="F51" s="10"/>
      <c r="G51" s="54"/>
    </row>
    <row r="52" spans="2:7" ht="15" thickBot="1">
      <c r="B52" s="1609"/>
      <c r="C52" s="15" t="s">
        <v>679</v>
      </c>
      <c r="D52" s="16" t="s">
        <v>814</v>
      </c>
      <c r="E52" s="17">
        <f>SUM(E42:E51)</f>
        <v>6</v>
      </c>
      <c r="F52" s="18"/>
      <c r="G52" s="54"/>
    </row>
    <row r="53" spans="2:7" ht="14.25" customHeight="1" outlineLevel="1">
      <c r="B53" s="1605" t="s">
        <v>815</v>
      </c>
      <c r="C53" s="11" t="s">
        <v>745</v>
      </c>
      <c r="D53" s="12" t="s">
        <v>816</v>
      </c>
      <c r="E53" s="13">
        <v>3</v>
      </c>
      <c r="F53" s="14" t="s">
        <v>817</v>
      </c>
      <c r="G53" s="54"/>
    </row>
    <row r="54" spans="2:7" outlineLevel="1">
      <c r="B54" s="1606"/>
      <c r="C54" s="9"/>
      <c r="D54" s="3"/>
      <c r="E54" s="4"/>
      <c r="F54" s="10"/>
      <c r="G54" s="54"/>
    </row>
    <row r="55" spans="2:7" outlineLevel="1">
      <c r="B55" s="1606"/>
      <c r="C55" s="9" t="s">
        <v>679</v>
      </c>
      <c r="D55" s="3"/>
      <c r="E55" s="4"/>
      <c r="F55" s="10"/>
      <c r="G55" s="54"/>
    </row>
    <row r="56" spans="2:7" outlineLevel="1">
      <c r="B56" s="1606"/>
      <c r="C56" s="9" t="s">
        <v>679</v>
      </c>
      <c r="D56" s="3"/>
      <c r="E56" s="4"/>
      <c r="F56" s="10"/>
      <c r="G56" s="54"/>
    </row>
    <row r="57" spans="2:7" outlineLevel="1">
      <c r="B57" s="1606"/>
      <c r="C57" s="9" t="s">
        <v>679</v>
      </c>
      <c r="D57" s="3"/>
      <c r="E57" s="4"/>
      <c r="F57" s="10"/>
      <c r="G57" s="54"/>
    </row>
    <row r="58" spans="2:7" ht="15" thickBot="1">
      <c r="B58" s="1606"/>
      <c r="C58" s="31" t="s">
        <v>679</v>
      </c>
      <c r="D58" s="32" t="s">
        <v>818</v>
      </c>
      <c r="E58" s="33">
        <f>SUM(E53:E57)</f>
        <v>3</v>
      </c>
      <c r="F58" s="34"/>
      <c r="G58" s="737"/>
    </row>
    <row r="59" spans="2:7" ht="21.75" customHeight="1" thickBot="1">
      <c r="B59" s="737"/>
      <c r="C59" s="116"/>
      <c r="D59" s="117" t="s">
        <v>819</v>
      </c>
      <c r="E59" s="117">
        <f>SUM(E30,E41,E52,E58)</f>
        <v>86</v>
      </c>
      <c r="F59" s="118"/>
      <c r="G59" s="737"/>
    </row>
    <row r="60" spans="2:7" ht="15" thickBot="1">
      <c r="B60" s="737"/>
      <c r="G60" s="737"/>
    </row>
    <row r="61" spans="2:7" ht="15" thickBot="1">
      <c r="B61" s="737"/>
      <c r="C61" s="112" t="s">
        <v>820</v>
      </c>
      <c r="D61" s="50">
        <v>7.5</v>
      </c>
      <c r="G61" s="737"/>
    </row>
    <row r="62" spans="2:7" ht="15" thickBot="1">
      <c r="B62" s="737"/>
      <c r="C62" s="113" t="s">
        <v>821</v>
      </c>
      <c r="D62" s="51">
        <v>2</v>
      </c>
      <c r="G62" s="737"/>
    </row>
    <row r="63" spans="2:7" ht="15" thickBot="1">
      <c r="B63" s="737"/>
      <c r="C63" s="114" t="s">
        <v>822</v>
      </c>
      <c r="D63" s="50">
        <f>D65*D61*D62</f>
        <v>3765</v>
      </c>
      <c r="G63" s="737"/>
    </row>
    <row r="64" spans="2:7" ht="29.25" thickBot="1">
      <c r="B64" s="737"/>
      <c r="C64" s="115" t="s">
        <v>823</v>
      </c>
      <c r="D64" s="53">
        <v>0.35199999999999998</v>
      </c>
      <c r="G64" s="737"/>
    </row>
    <row r="65" spans="3:4" ht="15" thickBot="1">
      <c r="C65" s="113" t="s">
        <v>824</v>
      </c>
      <c r="D65" s="51">
        <v>251</v>
      </c>
    </row>
  </sheetData>
  <customSheetViews>
    <customSheetView guid="{F9015B81-4D5E-47E3-BFA8-A54438E9D1FF}" scale="85" showGridLines="0">
      <pane xSplit="2" ySplit="2" topLeftCell="C48" activePane="bottomRight" state="frozen"/>
      <selection pane="bottomRight" activeCell="D73" sqref="D73"/>
      <pageMargins left="0.7" right="0.7" top="0.78740157499999996" bottom="0.78740157499999996" header="0.3" footer="0.3"/>
      <pageSetup paperSize="9" orientation="portrait" r:id="rId1"/>
    </customSheetView>
  </customSheetViews>
  <mergeCells count="4">
    <mergeCell ref="B53:B58"/>
    <mergeCell ref="B42:B52"/>
    <mergeCell ref="B31:B41"/>
    <mergeCell ref="B3:B30"/>
  </mergeCells>
  <hyperlinks>
    <hyperlink ref="A1" location="MENU!A1" display="MENU" xr:uid="{3126F8C4-66E4-481F-9735-70CBA4C515ED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228B7-5332-4877-BA56-E8E73D879336}">
  <sheetPr>
    <tabColor rgb="FF00B0F0"/>
  </sheetPr>
  <dimension ref="A1:Q30"/>
  <sheetViews>
    <sheetView showGridLines="0" zoomScale="55" zoomScaleNormal="55" workbookViewId="0">
      <selection activeCell="A2" sqref="A2"/>
    </sheetView>
  </sheetViews>
  <sheetFormatPr defaultRowHeight="14.25"/>
  <cols>
    <col min="1" max="1" width="27" bestFit="1" customWidth="1"/>
    <col min="2" max="2" width="15.33203125" customWidth="1"/>
    <col min="6" max="6" width="14.33203125" customWidth="1"/>
    <col min="7" max="7" width="19.109375" customWidth="1"/>
    <col min="8" max="8" width="18.44140625" customWidth="1"/>
    <col min="9" max="9" width="15.109375" customWidth="1"/>
    <col min="10" max="10" width="13.77734375" customWidth="1"/>
    <col min="11" max="11" width="12.33203125" customWidth="1"/>
    <col min="12" max="12" width="15.77734375" customWidth="1"/>
    <col min="13" max="13" width="12.21875" customWidth="1"/>
  </cols>
  <sheetData>
    <row r="1" spans="1:17" ht="49.5" customHeight="1">
      <c r="A1" s="122" t="s">
        <v>1</v>
      </c>
      <c r="B1" s="737"/>
      <c r="C1" s="737"/>
      <c r="D1" s="1615" t="s">
        <v>825</v>
      </c>
      <c r="E1" s="1616"/>
      <c r="F1" s="1617"/>
      <c r="G1" s="108" t="s">
        <v>826</v>
      </c>
      <c r="H1" s="109" t="s">
        <v>827</v>
      </c>
      <c r="I1" s="109" t="s">
        <v>828</v>
      </c>
      <c r="J1" s="109" t="s">
        <v>829</v>
      </c>
      <c r="K1" s="109" t="s">
        <v>830</v>
      </c>
      <c r="L1" s="109" t="s">
        <v>831</v>
      </c>
      <c r="M1" s="109" t="s">
        <v>832</v>
      </c>
      <c r="N1" s="109" t="s">
        <v>833</v>
      </c>
      <c r="O1" s="109" t="s">
        <v>834</v>
      </c>
      <c r="P1" s="109" t="s">
        <v>835</v>
      </c>
      <c r="Q1" s="737"/>
    </row>
    <row r="2" spans="1:17" ht="15">
      <c r="A2" s="111" t="s">
        <v>836</v>
      </c>
      <c r="B2" s="111" t="s">
        <v>837</v>
      </c>
      <c r="C2" s="110" t="s">
        <v>838</v>
      </c>
      <c r="D2" s="1618" t="s">
        <v>839</v>
      </c>
      <c r="E2" s="1619"/>
      <c r="F2" s="1619"/>
      <c r="G2" s="63">
        <v>320000</v>
      </c>
      <c r="H2" s="64">
        <v>5</v>
      </c>
      <c r="I2" s="65">
        <f>G2/H2</f>
        <v>64000</v>
      </c>
      <c r="J2" s="65">
        <f>I2</f>
        <v>64000</v>
      </c>
      <c r="K2" s="64">
        <v>85000</v>
      </c>
      <c r="L2" s="174">
        <v>50000</v>
      </c>
      <c r="M2" s="64">
        <v>15000</v>
      </c>
      <c r="N2" s="177">
        <f>80*2.3*251</f>
        <v>46184</v>
      </c>
      <c r="O2" s="64">
        <v>6</v>
      </c>
      <c r="P2" s="66">
        <f>O2*$B$25</f>
        <v>7860</v>
      </c>
      <c r="Q2" s="737"/>
    </row>
    <row r="3" spans="1:17" ht="15">
      <c r="A3" s="25" t="s">
        <v>840</v>
      </c>
      <c r="B3" s="28">
        <f>HR!E4</f>
        <v>2</v>
      </c>
      <c r="C3" s="58">
        <f>150-O2-O3</f>
        <v>138</v>
      </c>
      <c r="D3" s="1620" t="s">
        <v>841</v>
      </c>
      <c r="E3" s="1621"/>
      <c r="F3" s="1621"/>
      <c r="G3" s="67">
        <v>120000</v>
      </c>
      <c r="H3" s="62">
        <v>3</v>
      </c>
      <c r="I3" s="61">
        <f t="shared" ref="I3:I8" si="0">G3/H3</f>
        <v>40000</v>
      </c>
      <c r="J3" s="78">
        <v>0</v>
      </c>
      <c r="K3" s="62">
        <v>95000</v>
      </c>
      <c r="L3" s="175">
        <v>48000</v>
      </c>
      <c r="M3" s="62">
        <v>15000</v>
      </c>
      <c r="N3" s="178">
        <f>50*2.3*251</f>
        <v>28864.999999999996</v>
      </c>
      <c r="O3" s="62">
        <v>6</v>
      </c>
      <c r="P3" s="68">
        <f t="shared" ref="P3:P8" si="1">O3*$B$25</f>
        <v>7860</v>
      </c>
      <c r="Q3" s="737"/>
    </row>
    <row r="4" spans="1:17" ht="15">
      <c r="A4" s="26" t="s">
        <v>842</v>
      </c>
      <c r="B4" s="29">
        <f>SUM(HR!E5)</f>
        <v>2</v>
      </c>
      <c r="C4" s="59">
        <v>340</v>
      </c>
      <c r="D4" s="1620" t="s">
        <v>843</v>
      </c>
      <c r="E4" s="1621"/>
      <c r="F4" s="1621"/>
      <c r="G4" s="67">
        <v>900000</v>
      </c>
      <c r="H4" s="62">
        <v>6</v>
      </c>
      <c r="I4" s="61">
        <f t="shared" si="0"/>
        <v>150000</v>
      </c>
      <c r="J4" s="61">
        <f>I4</f>
        <v>150000</v>
      </c>
      <c r="K4" s="62">
        <v>145000</v>
      </c>
      <c r="L4" s="175">
        <v>80000</v>
      </c>
      <c r="M4" s="62">
        <v>15000</v>
      </c>
      <c r="N4" s="178">
        <f>210*2.3*251</f>
        <v>121232.99999999999</v>
      </c>
      <c r="O4" s="62">
        <v>15</v>
      </c>
      <c r="P4" s="68">
        <f t="shared" si="1"/>
        <v>19650</v>
      </c>
      <c r="Q4" s="737"/>
    </row>
    <row r="5" spans="1:17" ht="15">
      <c r="A5" s="26" t="s">
        <v>844</v>
      </c>
      <c r="B5" s="29">
        <f>SUM(HR!E6:E9)</f>
        <v>11</v>
      </c>
      <c r="C5" s="59">
        <v>270</v>
      </c>
      <c r="D5" s="1620" t="s">
        <v>845</v>
      </c>
      <c r="E5" s="1621"/>
      <c r="F5" s="1621"/>
      <c r="G5" s="67">
        <v>560000</v>
      </c>
      <c r="H5" s="62">
        <v>6</v>
      </c>
      <c r="I5" s="61">
        <f t="shared" si="0"/>
        <v>93333.333333333328</v>
      </c>
      <c r="J5" s="61">
        <f t="shared" ref="J5:J8" si="2">I5</f>
        <v>93333.333333333328</v>
      </c>
      <c r="K5" s="62">
        <v>190000</v>
      </c>
      <c r="L5" s="175">
        <v>72000</v>
      </c>
      <c r="M5" s="62">
        <v>15000</v>
      </c>
      <c r="N5" s="178">
        <f>250*2.3*251</f>
        <v>144325</v>
      </c>
      <c r="O5" s="62">
        <v>35</v>
      </c>
      <c r="P5" s="68">
        <f t="shared" si="1"/>
        <v>45850</v>
      </c>
      <c r="Q5" s="737"/>
    </row>
    <row r="6" spans="1:17" ht="15">
      <c r="A6" s="26" t="s">
        <v>846</v>
      </c>
      <c r="B6" s="29">
        <f>SUM(HR!E10:E11)</f>
        <v>9</v>
      </c>
      <c r="C6" s="59">
        <f>320-O4</f>
        <v>305</v>
      </c>
      <c r="D6" s="1620" t="s">
        <v>847</v>
      </c>
      <c r="E6" s="1621"/>
      <c r="F6" s="1621"/>
      <c r="G6" s="67">
        <v>320000</v>
      </c>
      <c r="H6" s="62">
        <v>5</v>
      </c>
      <c r="I6" s="61">
        <f t="shared" si="0"/>
        <v>64000</v>
      </c>
      <c r="J6" s="61">
        <f t="shared" si="2"/>
        <v>64000</v>
      </c>
      <c r="K6" s="62">
        <v>85000</v>
      </c>
      <c r="L6" s="175">
        <v>55000</v>
      </c>
      <c r="M6" s="62">
        <v>15000</v>
      </c>
      <c r="N6" s="178">
        <f>80*2.3*251</f>
        <v>46184</v>
      </c>
      <c r="O6" s="62">
        <v>6</v>
      </c>
      <c r="P6" s="68">
        <f t="shared" si="1"/>
        <v>7860</v>
      </c>
      <c r="Q6" s="737"/>
    </row>
    <row r="7" spans="1:17" ht="15">
      <c r="A7" s="26" t="s">
        <v>848</v>
      </c>
      <c r="B7" s="29">
        <f>SUM(HR!E12)</f>
        <v>6</v>
      </c>
      <c r="C7" s="59">
        <f>380-O5-O6</f>
        <v>339</v>
      </c>
      <c r="D7" s="1620" t="s">
        <v>849</v>
      </c>
      <c r="E7" s="1621"/>
      <c r="F7" s="1621"/>
      <c r="G7" s="67">
        <v>850000</v>
      </c>
      <c r="H7" s="62">
        <v>5</v>
      </c>
      <c r="I7" s="61">
        <f t="shared" si="0"/>
        <v>170000</v>
      </c>
      <c r="J7" s="61">
        <f t="shared" si="2"/>
        <v>170000</v>
      </c>
      <c r="K7" s="62">
        <v>170000</v>
      </c>
      <c r="L7" s="175">
        <v>80000</v>
      </c>
      <c r="M7" s="62">
        <v>15000</v>
      </c>
      <c r="N7" s="178">
        <f>150*2.3*251</f>
        <v>86595</v>
      </c>
      <c r="O7" s="62">
        <v>25</v>
      </c>
      <c r="P7" s="68">
        <f t="shared" si="1"/>
        <v>32750</v>
      </c>
      <c r="Q7" s="737"/>
    </row>
    <row r="8" spans="1:17" ht="15.75" thickBot="1">
      <c r="A8" s="26" t="s">
        <v>850</v>
      </c>
      <c r="B8" s="29">
        <f>SUM(HR!E13:E23)</f>
        <v>24</v>
      </c>
      <c r="C8" s="59">
        <f>360-O7</f>
        <v>335</v>
      </c>
      <c r="D8" s="1613" t="s">
        <v>851</v>
      </c>
      <c r="E8" s="1614"/>
      <c r="F8" s="1614"/>
      <c r="G8" s="69">
        <v>16000000</v>
      </c>
      <c r="H8" s="70">
        <v>10</v>
      </c>
      <c r="I8" s="71">
        <f t="shared" si="0"/>
        <v>1600000</v>
      </c>
      <c r="J8" s="457">
        <f t="shared" si="2"/>
        <v>1600000</v>
      </c>
      <c r="K8" s="70">
        <v>138000</v>
      </c>
      <c r="L8" s="176">
        <v>95000</v>
      </c>
      <c r="M8" s="70">
        <v>15000</v>
      </c>
      <c r="N8" s="179">
        <f>200*2.3*251</f>
        <v>115459.99999999999</v>
      </c>
      <c r="O8" s="70">
        <v>65</v>
      </c>
      <c r="P8" s="72">
        <f t="shared" si="1"/>
        <v>85150</v>
      </c>
      <c r="Q8" s="737"/>
    </row>
    <row r="9" spans="1:17" ht="15" thickBot="1">
      <c r="A9" s="26" t="s">
        <v>852</v>
      </c>
      <c r="B9" s="29">
        <f>SUM(HR!E24)</f>
        <v>6</v>
      </c>
      <c r="C9" s="59">
        <v>190</v>
      </c>
      <c r="D9" s="737"/>
      <c r="E9" s="737"/>
      <c r="F9" s="737"/>
      <c r="G9" s="737"/>
      <c r="H9" s="737"/>
      <c r="I9" s="737"/>
      <c r="J9" s="458">
        <f>SUM(J2:J8)</f>
        <v>2141333.333333333</v>
      </c>
      <c r="K9" s="737"/>
      <c r="L9" s="737"/>
      <c r="M9" s="737"/>
      <c r="N9" s="737"/>
      <c r="O9" s="737"/>
      <c r="P9" s="737"/>
      <c r="Q9" s="737"/>
    </row>
    <row r="10" spans="1:17">
      <c r="A10" s="26" t="s">
        <v>853</v>
      </c>
      <c r="B10" s="29">
        <f>SUM(HR!E25)</f>
        <v>6</v>
      </c>
      <c r="C10" s="59">
        <f>210-O8</f>
        <v>145</v>
      </c>
      <c r="D10" s="737"/>
      <c r="E10" s="737"/>
      <c r="F10" s="737"/>
      <c r="G10" s="737"/>
      <c r="H10" s="737"/>
      <c r="I10" s="737"/>
      <c r="J10" s="737"/>
      <c r="K10" s="737"/>
      <c r="L10" s="737"/>
      <c r="M10" s="737"/>
      <c r="N10" s="737"/>
      <c r="O10" s="737"/>
      <c r="P10" s="737"/>
      <c r="Q10" s="737"/>
    </row>
    <row r="11" spans="1:17">
      <c r="A11" s="26" t="s">
        <v>854</v>
      </c>
      <c r="B11" s="29">
        <f>SUM(HR!E33:E34)</f>
        <v>3</v>
      </c>
      <c r="C11" s="59">
        <v>45</v>
      </c>
      <c r="D11" s="737"/>
      <c r="E11" s="737"/>
      <c r="F11" s="737"/>
      <c r="G11" s="737"/>
      <c r="H11" s="737"/>
      <c r="I11" s="737"/>
      <c r="J11" s="737"/>
      <c r="K11" s="737"/>
      <c r="L11" s="737"/>
      <c r="M11" s="737"/>
      <c r="N11" s="737"/>
      <c r="O11" s="737"/>
      <c r="P11" s="737"/>
      <c r="Q11" s="737"/>
    </row>
    <row r="12" spans="1:17">
      <c r="A12" s="26" t="s">
        <v>855</v>
      </c>
      <c r="B12" s="29">
        <f>SUM(HR!E32)</f>
        <v>3</v>
      </c>
      <c r="C12" s="59">
        <v>45</v>
      </c>
      <c r="D12" s="737"/>
      <c r="E12" s="737"/>
      <c r="F12" s="737"/>
      <c r="G12" s="737"/>
      <c r="H12" s="737"/>
      <c r="I12" s="737"/>
      <c r="J12" s="737"/>
      <c r="K12" s="737"/>
      <c r="L12" s="737"/>
      <c r="M12" s="737"/>
      <c r="N12" s="737"/>
      <c r="O12" s="737"/>
      <c r="P12" s="737"/>
      <c r="Q12" s="737"/>
    </row>
    <row r="13" spans="1:17">
      <c r="A13" s="26" t="s">
        <v>856</v>
      </c>
      <c r="B13" s="29">
        <f>SUM(HR!E35:E36)</f>
        <v>3</v>
      </c>
      <c r="C13" s="59">
        <v>45</v>
      </c>
      <c r="D13" s="737"/>
      <c r="E13" s="737"/>
      <c r="F13" s="737"/>
      <c r="G13" s="737"/>
      <c r="H13" s="737"/>
      <c r="I13" s="737"/>
      <c r="J13" s="737"/>
      <c r="K13" s="737"/>
      <c r="L13" s="737"/>
      <c r="M13" s="737"/>
      <c r="N13" s="737"/>
      <c r="O13" s="737"/>
      <c r="P13" s="737"/>
      <c r="Q13" s="737"/>
    </row>
    <row r="14" spans="1:17">
      <c r="A14" s="26" t="s">
        <v>857</v>
      </c>
      <c r="B14" s="29">
        <f>SUM(HR!E43:E45)</f>
        <v>5</v>
      </c>
      <c r="C14" s="59">
        <v>45</v>
      </c>
      <c r="D14" s="737"/>
      <c r="E14" s="737"/>
      <c r="F14" s="737"/>
      <c r="G14" s="737"/>
      <c r="H14" s="737"/>
      <c r="I14" s="737"/>
      <c r="J14" s="737"/>
      <c r="K14" s="737"/>
      <c r="L14" s="737"/>
      <c r="M14" s="737"/>
      <c r="N14" s="737"/>
      <c r="O14" s="737"/>
      <c r="P14" s="737"/>
      <c r="Q14" s="737"/>
    </row>
    <row r="15" spans="1:17" ht="15" thickBot="1">
      <c r="A15" s="27" t="s">
        <v>858</v>
      </c>
      <c r="B15" s="30">
        <f>SUM(HR!E53,HR!E3,HR!E42,HR!E31)</f>
        <v>6</v>
      </c>
      <c r="C15" s="60">
        <v>100</v>
      </c>
      <c r="D15" s="737"/>
      <c r="E15" s="737"/>
      <c r="F15" s="737"/>
      <c r="G15" s="737"/>
      <c r="H15" s="737"/>
      <c r="I15" s="737"/>
      <c r="J15" s="737"/>
      <c r="K15" s="737"/>
      <c r="L15" s="737"/>
      <c r="M15" s="737"/>
      <c r="N15" s="737"/>
      <c r="O15" s="737"/>
      <c r="P15" s="737"/>
      <c r="Q15" s="737"/>
    </row>
    <row r="16" spans="1:17" ht="15.75" thickBot="1">
      <c r="A16" s="737"/>
      <c r="B16" s="111">
        <f>SUM(B3:B15)</f>
        <v>86</v>
      </c>
      <c r="C16" s="111">
        <f>SUM(C3:C15)+SUM(O2:O8)</f>
        <v>2500</v>
      </c>
      <c r="D16" s="737"/>
      <c r="E16" s="737"/>
      <c r="F16" s="737"/>
      <c r="G16" s="737"/>
      <c r="H16" s="737"/>
      <c r="I16" s="737"/>
      <c r="J16" s="737"/>
      <c r="K16" s="737"/>
      <c r="L16" s="737"/>
      <c r="M16" s="737"/>
      <c r="N16" s="737"/>
      <c r="O16" s="737"/>
      <c r="P16" s="737"/>
      <c r="Q16" s="737"/>
    </row>
    <row r="18" spans="1:3" ht="15">
      <c r="A18" s="119" t="s">
        <v>859</v>
      </c>
      <c r="B18" s="56">
        <v>1500</v>
      </c>
      <c r="C18" s="737"/>
    </row>
    <row r="19" spans="1:3" ht="15">
      <c r="A19" s="120" t="s">
        <v>860</v>
      </c>
      <c r="B19" s="57">
        <v>20</v>
      </c>
      <c r="C19" s="737"/>
    </row>
    <row r="20" spans="1:3" ht="15">
      <c r="A20" s="120" t="s">
        <v>861</v>
      </c>
      <c r="B20" s="57">
        <v>10500000</v>
      </c>
      <c r="C20" s="737"/>
    </row>
    <row r="21" spans="1:3" ht="15">
      <c r="A21" s="120" t="s">
        <v>862</v>
      </c>
      <c r="B21" s="57">
        <v>140000</v>
      </c>
      <c r="C21" s="737"/>
    </row>
    <row r="22" spans="1:3" ht="15">
      <c r="A22" s="120" t="s">
        <v>863</v>
      </c>
      <c r="B22" s="57">
        <v>2500</v>
      </c>
      <c r="C22" s="737"/>
    </row>
    <row r="23" spans="1:3" ht="15">
      <c r="A23" s="120" t="s">
        <v>864</v>
      </c>
      <c r="B23" s="57">
        <v>65500000</v>
      </c>
      <c r="C23" s="737"/>
    </row>
    <row r="24" spans="1:3" ht="15">
      <c r="A24" s="120" t="s">
        <v>865</v>
      </c>
      <c r="B24" s="57">
        <f>B23/20</f>
        <v>3275000</v>
      </c>
      <c r="C24" s="737"/>
    </row>
    <row r="25" spans="1:3" ht="15">
      <c r="A25" s="120" t="s">
        <v>866</v>
      </c>
      <c r="B25" s="57">
        <f>B24/C16</f>
        <v>1310</v>
      </c>
      <c r="C25" s="737"/>
    </row>
    <row r="26" spans="1:3" ht="15">
      <c r="A26" s="120" t="s">
        <v>867</v>
      </c>
      <c r="B26" s="57">
        <v>326300</v>
      </c>
      <c r="C26" s="737"/>
    </row>
    <row r="27" spans="1:3" ht="15">
      <c r="A27" s="120" t="s">
        <v>868</v>
      </c>
      <c r="B27" s="57">
        <v>750490</v>
      </c>
      <c r="C27" s="737"/>
    </row>
    <row r="28" spans="1:3" ht="15">
      <c r="A28" s="120" t="s">
        <v>869</v>
      </c>
      <c r="B28" s="89">
        <v>50000</v>
      </c>
      <c r="C28" s="737"/>
    </row>
    <row r="29" spans="1:3" ht="15">
      <c r="A29" s="121" t="s">
        <v>870</v>
      </c>
      <c r="B29" s="88">
        <f>B28/13</f>
        <v>3846.1538461538462</v>
      </c>
      <c r="C29" s="737"/>
    </row>
    <row r="30" spans="1:3">
      <c r="A30" s="737"/>
      <c r="B30" s="737"/>
      <c r="C30" s="737"/>
    </row>
  </sheetData>
  <customSheetViews>
    <customSheetView guid="{F9015B81-4D5E-47E3-BFA8-A54438E9D1FF}" scale="74" showGridLines="0">
      <selection activeCell="B23" sqref="B23"/>
      <pageMargins left="0.7" right="0.7" top="0.75" bottom="0.75" header="0.3" footer="0.3"/>
    </customSheetView>
  </customSheetViews>
  <mergeCells count="8">
    <mergeCell ref="D8:F8"/>
    <mergeCell ref="D1:F1"/>
    <mergeCell ref="D2:F2"/>
    <mergeCell ref="D3:F3"/>
    <mergeCell ref="D4:F4"/>
    <mergeCell ref="D5:F5"/>
    <mergeCell ref="D6:F6"/>
    <mergeCell ref="D7:F7"/>
  </mergeCells>
  <hyperlinks>
    <hyperlink ref="A1" location="MENU!A1" display="MENU" xr:uid="{30EF35FA-CCE5-43E2-8555-5FD2FACCDDE4}"/>
  </hyperlink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D86CA-9636-4CCF-9FBC-E2F2EACA8FA1}">
  <sheetPr>
    <tabColor rgb="FF9900CC"/>
  </sheetPr>
  <dimension ref="A1:D32"/>
  <sheetViews>
    <sheetView showGridLines="0" zoomScale="85" zoomScaleNormal="85" workbookViewId="0">
      <selection activeCell="C5" sqref="C5"/>
    </sheetView>
  </sheetViews>
  <sheetFormatPr defaultRowHeight="14.25"/>
  <cols>
    <col min="1" max="1" width="8.77734375" style="55"/>
    <col min="2" max="2" width="20" customWidth="1"/>
    <col min="3" max="3" width="17.21875" customWidth="1"/>
  </cols>
  <sheetData>
    <row r="1" spans="1:4" s="55" customFormat="1" ht="22.5" customHeight="1" thickBot="1">
      <c r="A1" s="107" t="s">
        <v>1</v>
      </c>
      <c r="B1" s="737"/>
      <c r="C1" s="737"/>
      <c r="D1" s="737"/>
    </row>
    <row r="2" spans="1:4" ht="15.75" thickBot="1">
      <c r="A2" s="737"/>
      <c r="B2" s="1622" t="s">
        <v>871</v>
      </c>
      <c r="C2" s="1623"/>
      <c r="D2" s="737"/>
    </row>
    <row r="3" spans="1:4" ht="15" thickBot="1">
      <c r="A3" s="737"/>
      <c r="B3" s="100" t="s">
        <v>872</v>
      </c>
      <c r="C3" s="102" t="s">
        <v>873</v>
      </c>
      <c r="D3" s="737"/>
    </row>
    <row r="4" spans="1:4">
      <c r="A4" s="737"/>
      <c r="B4" s="101" t="s">
        <v>309</v>
      </c>
      <c r="C4" s="204">
        <f>SUM(C5:C9)</f>
        <v>88330802.849999994</v>
      </c>
      <c r="D4" s="737"/>
    </row>
    <row r="5" spans="1:4">
      <c r="A5" s="737"/>
      <c r="B5" s="97" t="s">
        <v>275</v>
      </c>
      <c r="C5" s="205">
        <f>'ROZ Manag.'!J4+'ROZ Eko. us.'!J4+'ROZ Obch. us. '!X4+'ROZ Tech. us.'!BG4</f>
        <v>59891737.5</v>
      </c>
      <c r="D5" s="737"/>
    </row>
    <row r="6" spans="1:4">
      <c r="A6" s="737"/>
      <c r="B6" s="97" t="s">
        <v>874</v>
      </c>
      <c r="C6" s="205">
        <f>'ROZ Manag.'!J5+'ROZ Eko. us.'!J5+'ROZ Obch. us. '!X5+'ROZ Tech. us.'!BG5</f>
        <v>21081891.599999998</v>
      </c>
      <c r="D6" s="737"/>
    </row>
    <row r="7" spans="1:4">
      <c r="A7" s="737"/>
      <c r="B7" s="97" t="s">
        <v>561</v>
      </c>
      <c r="C7" s="205">
        <f>'ROZ Manag.'!J6+'ROZ Eko. us.'!J6+'ROZ Obch. us. '!X6+'ROZ Tech. us.'!BG6</f>
        <v>5989173.75</v>
      </c>
      <c r="D7" s="737"/>
    </row>
    <row r="8" spans="1:4">
      <c r="A8" s="737"/>
      <c r="B8" s="97" t="s">
        <v>562</v>
      </c>
      <c r="C8" s="205">
        <f>'ROZ Manag.'!J7+'ROZ Eko. us.'!J7+'ROZ Obch. us. '!X7+'ROZ Tech. us.'!BG7</f>
        <v>558000</v>
      </c>
      <c r="D8" s="737"/>
    </row>
    <row r="9" spans="1:4">
      <c r="A9" s="737"/>
      <c r="B9" s="97" t="s">
        <v>564</v>
      </c>
      <c r="C9" s="205">
        <f>'ROZ Obch. us. '!X15</f>
        <v>810000</v>
      </c>
      <c r="D9" s="737"/>
    </row>
    <row r="10" spans="1:4">
      <c r="A10" s="737"/>
      <c r="B10" s="98" t="s">
        <v>428</v>
      </c>
      <c r="C10" s="206">
        <f>SUM(C11:C13)</f>
        <v>6395833.333333333</v>
      </c>
      <c r="D10" s="737"/>
    </row>
    <row r="11" spans="1:4" s="55" customFormat="1">
      <c r="A11" s="737"/>
      <c r="B11" s="97" t="s">
        <v>565</v>
      </c>
      <c r="C11" s="205">
        <f>SUM('NS + DHM'!J2:J8)</f>
        <v>2141333.333333333</v>
      </c>
      <c r="D11" s="737"/>
    </row>
    <row r="12" spans="1:4">
      <c r="A12" s="737"/>
      <c r="B12" s="97" t="s">
        <v>566</v>
      </c>
      <c r="C12" s="205">
        <f>'NS + DHM'!B24</f>
        <v>3275000</v>
      </c>
      <c r="D12" s="737"/>
    </row>
    <row r="13" spans="1:4">
      <c r="A13" s="737"/>
      <c r="B13" s="97" t="s">
        <v>567</v>
      </c>
      <c r="C13" s="205">
        <f>'ROZ Tech. us.'!BG18+'ROZ Obch. us. '!X16+'ROZ Eko. us.'!J14+'ROZ Manag.'!J14</f>
        <v>979500</v>
      </c>
      <c r="D13" s="737"/>
    </row>
    <row r="14" spans="1:4">
      <c r="A14" s="737"/>
      <c r="B14" s="98" t="s">
        <v>429</v>
      </c>
      <c r="C14" s="206">
        <f>'ROZ Manag.'!J11+'ROZ Eko. us.'!J11+'ROZ Obch. us. '!X12+'ROZ Tech. us.'!BG11</f>
        <v>87500</v>
      </c>
      <c r="D14" s="737"/>
    </row>
    <row r="15" spans="1:4">
      <c r="A15" s="737"/>
      <c r="B15" s="98" t="s">
        <v>430</v>
      </c>
      <c r="C15" s="206">
        <f>'ROZ Manag.'!J10+'ROZ Eko. us.'!J10+'ROZ Obch. us. '!X11+'ROZ Tech. us.'!BG10</f>
        <v>96000</v>
      </c>
      <c r="D15" s="737"/>
    </row>
    <row r="16" spans="1:4">
      <c r="A16" s="737"/>
      <c r="B16" s="98" t="s">
        <v>431</v>
      </c>
      <c r="C16" s="206">
        <f>'ROZ Tech. us.'!BG19+PFN!D14</f>
        <v>15898230</v>
      </c>
      <c r="D16" s="737"/>
    </row>
    <row r="17" spans="2:4">
      <c r="B17" s="98" t="s">
        <v>432</v>
      </c>
      <c r="C17" s="206">
        <f>'ROZ Manag.'!J8+'ROZ Eko. us.'!J8+'ROZ Obch. us. '!X8+'ROZ Tech. us.'!BG8</f>
        <v>72100</v>
      </c>
      <c r="D17" s="737"/>
    </row>
    <row r="18" spans="2:4">
      <c r="B18" s="98" t="s">
        <v>433</v>
      </c>
      <c r="C18" s="206">
        <f>'NS + DHM'!B28+'NS + DHM'!B27</f>
        <v>800490</v>
      </c>
      <c r="D18" s="737"/>
    </row>
    <row r="19" spans="2:4">
      <c r="B19" s="98" t="s">
        <v>434</v>
      </c>
      <c r="C19" s="206">
        <f>'ROZ Obch. us. '!X10</f>
        <v>500000</v>
      </c>
      <c r="D19" s="737"/>
    </row>
    <row r="20" spans="2:4">
      <c r="B20" s="98" t="s">
        <v>435</v>
      </c>
      <c r="C20" s="206">
        <f>'ROZ Tech. us.'!BG17</f>
        <v>2120500</v>
      </c>
      <c r="D20" s="737"/>
    </row>
    <row r="21" spans="2:4">
      <c r="B21" s="98" t="s">
        <v>436</v>
      </c>
      <c r="C21" s="206">
        <f>'ROZ Tech. us.'!BG15</f>
        <v>105000</v>
      </c>
      <c r="D21" s="737"/>
    </row>
    <row r="22" spans="2:4">
      <c r="B22" s="98" t="s">
        <v>437</v>
      </c>
      <c r="C22" s="206">
        <f>'ROZ Tech. us.'!BG16</f>
        <v>1898000</v>
      </c>
      <c r="D22" s="737"/>
    </row>
    <row r="23" spans="2:4">
      <c r="B23" s="98" t="s">
        <v>438</v>
      </c>
      <c r="C23" s="206">
        <f>'ROZ Obch. us. '!X17+'ROZ Manag.'!E5</f>
        <v>938530</v>
      </c>
      <c r="D23" s="737"/>
    </row>
    <row r="24" spans="2:4">
      <c r="B24" s="98" t="s">
        <v>439</v>
      </c>
      <c r="C24" s="206">
        <f>'ROZ Manag.'!J9+'ROZ Eko. us.'!J9+'ROZ Obch. us. '!X9+'ROZ Tech. us.'!BG9</f>
        <v>1438300</v>
      </c>
      <c r="D24" s="737"/>
    </row>
    <row r="25" spans="2:4">
      <c r="B25" s="98" t="s">
        <v>440</v>
      </c>
      <c r="C25" s="206">
        <f>PVN!F35*Produkty!H4+PFN!D14/Produkty!H5</f>
        <v>988825058.80214286</v>
      </c>
      <c r="D25" s="737"/>
    </row>
    <row r="26" spans="2:4">
      <c r="B26" s="99" t="s">
        <v>441</v>
      </c>
      <c r="C26" s="207">
        <v>2500000</v>
      </c>
      <c r="D26" s="737"/>
    </row>
    <row r="27" spans="2:4">
      <c r="B27" s="100" t="s">
        <v>247</v>
      </c>
      <c r="C27" s="208">
        <f>SUM(C14:C26,C10,C4)</f>
        <v>1110006344.9854763</v>
      </c>
      <c r="D27" s="737"/>
    </row>
    <row r="28" spans="2:4">
      <c r="B28" s="737"/>
      <c r="C28" s="737"/>
      <c r="D28" s="737"/>
    </row>
    <row r="29" spans="2:4">
      <c r="B29" s="297" t="s">
        <v>875</v>
      </c>
      <c r="C29" s="73">
        <f>'ROZ Tech. us.'!BG20</f>
        <v>78037995.81410256</v>
      </c>
      <c r="D29" s="737"/>
    </row>
    <row r="30" spans="2:4">
      <c r="B30" s="297" t="s">
        <v>876</v>
      </c>
      <c r="C30" s="73">
        <f>'ROZ Obch. us. '!X18</f>
        <v>10856198.761538463</v>
      </c>
      <c r="D30" s="737"/>
    </row>
    <row r="31" spans="2:4">
      <c r="B31" s="297" t="s">
        <v>877</v>
      </c>
      <c r="C31" s="73">
        <f>'ROZ Eko. us.'!J15</f>
        <v>5343132.653846154</v>
      </c>
      <c r="D31" s="737"/>
    </row>
    <row r="32" spans="2:4">
      <c r="B32" s="297" t="s">
        <v>878</v>
      </c>
      <c r="C32" s="73">
        <f>'ROZ Manag.'!J16</f>
        <v>9451868.9538461547</v>
      </c>
      <c r="D32" s="737"/>
    </row>
  </sheetData>
  <customSheetViews>
    <customSheetView guid="{F9015B81-4D5E-47E3-BFA8-A54438E9D1FF}" scale="85" showGridLines="0" topLeftCell="A16">
      <selection activeCell="J26" sqref="J26"/>
      <pageMargins left="0.7" right="0.7" top="0.78740157499999996" bottom="0.78740157499999996" header="0.3" footer="0.3"/>
    </customSheetView>
  </customSheetViews>
  <mergeCells count="1">
    <mergeCell ref="B2:C2"/>
  </mergeCells>
  <hyperlinks>
    <hyperlink ref="A1" location="MENU!A1" display="MENU" xr:uid="{1F709AB1-025E-4600-9559-003500FB1C66}"/>
  </hyperlinks>
  <pageMargins left="0.7" right="0.7" top="0.78740157499999996" bottom="0.78740157499999996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7A62E-9092-47D8-93E2-B4E076E88CF4}">
  <sheetPr>
    <tabColor rgb="FF7030A0"/>
  </sheetPr>
  <dimension ref="A1:BG99"/>
  <sheetViews>
    <sheetView showGridLines="0" topLeftCell="A2" zoomScale="85" zoomScaleNormal="85" workbookViewId="0">
      <selection activeCell="F13" sqref="F13"/>
    </sheetView>
  </sheetViews>
  <sheetFormatPr defaultRowHeight="14.25"/>
  <cols>
    <col min="1" max="1" width="8.77734375" style="55"/>
    <col min="5" max="5" width="11.77734375" customWidth="1"/>
    <col min="6" max="6" width="11" customWidth="1"/>
    <col min="7" max="7" width="10.33203125" customWidth="1"/>
    <col min="12" max="12" width="11.109375" customWidth="1"/>
    <col min="13" max="13" width="10.33203125" customWidth="1"/>
    <col min="14" max="14" width="10.21875" customWidth="1"/>
    <col min="19" max="19" width="11.109375" customWidth="1"/>
    <col min="20" max="21" width="10.33203125" customWidth="1"/>
    <col min="26" max="27" width="10.109375" customWidth="1"/>
    <col min="28" max="28" width="10" customWidth="1"/>
    <col min="33" max="33" width="11.33203125" customWidth="1"/>
    <col min="34" max="35" width="10.33203125" customWidth="1"/>
    <col min="40" max="40" width="10.33203125" customWidth="1"/>
    <col min="41" max="41" width="11.109375" customWidth="1"/>
    <col min="42" max="42" width="10.33203125" customWidth="1"/>
    <col min="54" max="54" width="11.77734375" customWidth="1"/>
    <col min="55" max="55" width="10.77734375" customWidth="1"/>
    <col min="58" max="58" width="23.77734375" customWidth="1"/>
    <col min="59" max="59" width="19.109375" customWidth="1"/>
  </cols>
  <sheetData>
    <row r="1" spans="1:59" s="55" customFormat="1" ht="23.25" customHeight="1" thickBot="1">
      <c r="A1" s="107" t="s">
        <v>1</v>
      </c>
      <c r="B1" s="737"/>
      <c r="C1" s="737"/>
      <c r="D1" s="737"/>
      <c r="E1" s="737"/>
      <c r="F1" s="737"/>
      <c r="G1" s="737"/>
      <c r="H1" s="737"/>
      <c r="I1" s="737"/>
      <c r="J1" s="737"/>
      <c r="K1" s="737"/>
      <c r="L1" s="737"/>
      <c r="M1" s="737"/>
      <c r="N1" s="737"/>
      <c r="O1" s="737"/>
      <c r="P1" s="737"/>
      <c r="Q1" s="737"/>
      <c r="R1" s="737"/>
      <c r="S1" s="737"/>
      <c r="T1" s="737"/>
      <c r="U1" s="737"/>
      <c r="V1" s="737"/>
      <c r="W1" s="737"/>
      <c r="X1" s="737"/>
      <c r="Y1" s="737"/>
      <c r="Z1" s="737"/>
      <c r="AA1" s="737"/>
      <c r="AB1" s="737"/>
      <c r="AC1" s="737"/>
      <c r="AD1" s="737"/>
      <c r="AE1" s="737"/>
      <c r="AF1" s="737"/>
      <c r="AG1" s="737"/>
      <c r="AH1" s="737"/>
      <c r="AI1" s="737"/>
      <c r="AJ1" s="737"/>
      <c r="AK1" s="737"/>
      <c r="AL1" s="737"/>
      <c r="AM1" s="737"/>
      <c r="AN1" s="737"/>
      <c r="AO1" s="737"/>
      <c r="AP1" s="737"/>
      <c r="AQ1" s="737"/>
      <c r="AR1" s="737"/>
      <c r="AS1" s="737"/>
      <c r="AT1" s="737"/>
      <c r="AU1" s="737"/>
      <c r="AV1" s="737"/>
      <c r="AW1" s="737"/>
      <c r="AX1" s="737"/>
      <c r="AY1" s="737"/>
      <c r="AZ1" s="737"/>
      <c r="BA1" s="737"/>
      <c r="BB1" s="737"/>
      <c r="BC1" s="737"/>
      <c r="BD1" s="737"/>
      <c r="BE1" s="737"/>
      <c r="BF1" s="737"/>
      <c r="BG1" s="737"/>
    </row>
    <row r="2" spans="1:59" ht="15.75" thickBot="1">
      <c r="A2" s="737"/>
      <c r="B2" s="1635" t="s">
        <v>879</v>
      </c>
      <c r="C2" s="1636"/>
      <c r="D2" s="1636"/>
      <c r="E2" s="1636"/>
      <c r="F2" s="1636"/>
      <c r="G2" s="1636"/>
      <c r="H2" s="1636"/>
      <c r="I2" s="1636"/>
      <c r="J2" s="1636"/>
      <c r="K2" s="1636"/>
      <c r="L2" s="1636"/>
      <c r="M2" s="1636"/>
      <c r="N2" s="1636"/>
      <c r="O2" s="1636"/>
      <c r="P2" s="1636"/>
      <c r="Q2" s="1636"/>
      <c r="R2" s="1636"/>
      <c r="S2" s="1636"/>
      <c r="T2" s="1636"/>
      <c r="U2" s="1636"/>
      <c r="V2" s="1636"/>
      <c r="W2" s="1636"/>
      <c r="X2" s="1636"/>
      <c r="Y2" s="1636"/>
      <c r="Z2" s="1636"/>
      <c r="AA2" s="1636"/>
      <c r="AB2" s="1636"/>
      <c r="AC2" s="1636"/>
      <c r="AD2" s="1636"/>
      <c r="AE2" s="1636"/>
      <c r="AF2" s="1636"/>
      <c r="AG2" s="1636"/>
      <c r="AH2" s="1636"/>
      <c r="AI2" s="1636"/>
      <c r="AJ2" s="1636"/>
      <c r="AK2" s="1636"/>
      <c r="AL2" s="1636"/>
      <c r="AM2" s="1636"/>
      <c r="AN2" s="1636"/>
      <c r="AO2" s="1636"/>
      <c r="AP2" s="1636"/>
      <c r="AQ2" s="1636"/>
      <c r="AR2" s="1636"/>
      <c r="AS2" s="1636"/>
      <c r="AT2" s="1636"/>
      <c r="AU2" s="1636"/>
      <c r="AV2" s="1636"/>
      <c r="AW2" s="1636"/>
      <c r="AX2" s="1636"/>
      <c r="AY2" s="1636"/>
      <c r="AZ2" s="1636"/>
      <c r="BA2" s="1636"/>
      <c r="BB2" s="1636"/>
      <c r="BC2" s="1636"/>
      <c r="BD2" s="1636"/>
      <c r="BE2" s="737"/>
      <c r="BF2" s="1622" t="s">
        <v>880</v>
      </c>
      <c r="BG2" s="1623"/>
    </row>
    <row r="3" spans="1:59" ht="15.75" thickBot="1">
      <c r="A3" s="737"/>
      <c r="B3" s="1622" t="s">
        <v>840</v>
      </c>
      <c r="C3" s="1627"/>
      <c r="D3" s="1627"/>
      <c r="E3" s="1627"/>
      <c r="F3" s="1627"/>
      <c r="G3" s="1623"/>
      <c r="H3" s="737"/>
      <c r="I3" s="1622" t="s">
        <v>842</v>
      </c>
      <c r="J3" s="1627"/>
      <c r="K3" s="1627"/>
      <c r="L3" s="1627"/>
      <c r="M3" s="1627"/>
      <c r="N3" s="1623"/>
      <c r="O3" s="737"/>
      <c r="P3" s="1622" t="s">
        <v>844</v>
      </c>
      <c r="Q3" s="1627"/>
      <c r="R3" s="1627"/>
      <c r="S3" s="1627"/>
      <c r="T3" s="1627"/>
      <c r="U3" s="1623"/>
      <c r="V3" s="737"/>
      <c r="W3" s="1622" t="s">
        <v>846</v>
      </c>
      <c r="X3" s="1627"/>
      <c r="Y3" s="1627"/>
      <c r="Z3" s="1627"/>
      <c r="AA3" s="1627"/>
      <c r="AB3" s="1623"/>
      <c r="AC3" s="737"/>
      <c r="AD3" s="1622" t="s">
        <v>848</v>
      </c>
      <c r="AE3" s="1627"/>
      <c r="AF3" s="1627"/>
      <c r="AG3" s="1627"/>
      <c r="AH3" s="1627"/>
      <c r="AI3" s="1623"/>
      <c r="AJ3" s="737"/>
      <c r="AK3" s="1622" t="s">
        <v>850</v>
      </c>
      <c r="AL3" s="1627"/>
      <c r="AM3" s="1627"/>
      <c r="AN3" s="1627"/>
      <c r="AO3" s="1627"/>
      <c r="AP3" s="1623"/>
      <c r="AQ3" s="737"/>
      <c r="AR3" s="1622" t="s">
        <v>852</v>
      </c>
      <c r="AS3" s="1627"/>
      <c r="AT3" s="1627"/>
      <c r="AU3" s="1627"/>
      <c r="AV3" s="1627"/>
      <c r="AW3" s="1623"/>
      <c r="AX3" s="737"/>
      <c r="AY3" s="1622" t="s">
        <v>853</v>
      </c>
      <c r="AZ3" s="1627"/>
      <c r="BA3" s="1627"/>
      <c r="BB3" s="1627"/>
      <c r="BC3" s="1627"/>
      <c r="BD3" s="1623"/>
      <c r="BE3" s="737"/>
      <c r="BF3" s="111" t="s">
        <v>881</v>
      </c>
      <c r="BG3" s="111" t="s">
        <v>873</v>
      </c>
    </row>
    <row r="4" spans="1:59" ht="15.75" thickBot="1">
      <c r="A4" s="737"/>
      <c r="B4" s="1622"/>
      <c r="C4" s="1627"/>
      <c r="D4" s="1623"/>
      <c r="E4" s="111" t="s">
        <v>882</v>
      </c>
      <c r="F4" s="111" t="s">
        <v>883</v>
      </c>
      <c r="G4" s="111" t="s">
        <v>884</v>
      </c>
      <c r="H4" s="737"/>
      <c r="I4" s="1622" t="s">
        <v>841</v>
      </c>
      <c r="J4" s="1627"/>
      <c r="K4" s="1623"/>
      <c r="L4" s="111" t="s">
        <v>882</v>
      </c>
      <c r="M4" s="111" t="s">
        <v>883</v>
      </c>
      <c r="N4" s="111" t="s">
        <v>884</v>
      </c>
      <c r="O4" s="737"/>
      <c r="P4" s="1622"/>
      <c r="Q4" s="1627"/>
      <c r="R4" s="1623"/>
      <c r="S4" s="111" t="s">
        <v>882</v>
      </c>
      <c r="T4" s="111" t="s">
        <v>883</v>
      </c>
      <c r="U4" s="111" t="s">
        <v>884</v>
      </c>
      <c r="V4" s="737"/>
      <c r="W4" s="1622" t="s">
        <v>843</v>
      </c>
      <c r="X4" s="1627"/>
      <c r="Y4" s="1623"/>
      <c r="Z4" s="111" t="s">
        <v>882</v>
      </c>
      <c r="AA4" s="111" t="s">
        <v>883</v>
      </c>
      <c r="AB4" s="111" t="s">
        <v>884</v>
      </c>
      <c r="AC4" s="737"/>
      <c r="AD4" s="1622" t="s">
        <v>845</v>
      </c>
      <c r="AE4" s="1627"/>
      <c r="AF4" s="1623"/>
      <c r="AG4" s="111" t="s">
        <v>882</v>
      </c>
      <c r="AH4" s="111" t="s">
        <v>883</v>
      </c>
      <c r="AI4" s="111" t="s">
        <v>884</v>
      </c>
      <c r="AJ4" s="737"/>
      <c r="AK4" s="1622" t="s">
        <v>849</v>
      </c>
      <c r="AL4" s="1627"/>
      <c r="AM4" s="1623"/>
      <c r="AN4" s="111" t="s">
        <v>882</v>
      </c>
      <c r="AO4" s="111" t="s">
        <v>883</v>
      </c>
      <c r="AP4" s="111" t="s">
        <v>884</v>
      </c>
      <c r="AQ4" s="737"/>
      <c r="AR4" s="1622"/>
      <c r="AS4" s="1627"/>
      <c r="AT4" s="1623"/>
      <c r="AU4" s="111" t="s">
        <v>882</v>
      </c>
      <c r="AV4" s="111" t="s">
        <v>883</v>
      </c>
      <c r="AW4" s="111" t="s">
        <v>884</v>
      </c>
      <c r="AX4" s="737"/>
      <c r="AY4" s="1622" t="s">
        <v>851</v>
      </c>
      <c r="AZ4" s="1627"/>
      <c r="BA4" s="1623"/>
      <c r="BB4" s="111" t="s">
        <v>882</v>
      </c>
      <c r="BC4" s="111" t="s">
        <v>883</v>
      </c>
      <c r="BD4" s="111" t="s">
        <v>884</v>
      </c>
      <c r="BE4" s="737"/>
      <c r="BF4" s="129" t="s">
        <v>275</v>
      </c>
      <c r="BG4" s="313">
        <f>BB19+AU11+AN19+AG29+Z20+S15+L29+E11</f>
        <v>44756437.5</v>
      </c>
    </row>
    <row r="5" spans="1:59">
      <c r="A5" s="737"/>
      <c r="B5" s="1628" t="s">
        <v>885</v>
      </c>
      <c r="C5" s="1629"/>
      <c r="D5" s="1630"/>
      <c r="E5" s="76">
        <v>180000</v>
      </c>
      <c r="F5" s="76">
        <f>E5/12</f>
        <v>15000</v>
      </c>
      <c r="G5" s="76">
        <f>E5/HR!$D$63</f>
        <v>47.808764940239044</v>
      </c>
      <c r="H5" s="737"/>
      <c r="I5" s="1628" t="s">
        <v>886</v>
      </c>
      <c r="J5" s="1629"/>
      <c r="K5" s="1630"/>
      <c r="L5" s="76">
        <f>'NS + DHM'!G3</f>
        <v>120000</v>
      </c>
      <c r="M5" s="76"/>
      <c r="N5" s="76"/>
      <c r="O5" s="737"/>
      <c r="P5" s="1628" t="s">
        <v>887</v>
      </c>
      <c r="Q5" s="1637"/>
      <c r="R5" s="1637"/>
      <c r="S5" s="81">
        <v>400000</v>
      </c>
      <c r="T5" s="81">
        <f>S5/12</f>
        <v>33333.333333333336</v>
      </c>
      <c r="U5" s="82">
        <f>S5/HR!D63</f>
        <v>106.24169986719788</v>
      </c>
      <c r="V5" s="737"/>
      <c r="W5" s="1628" t="s">
        <v>886</v>
      </c>
      <c r="X5" s="1629"/>
      <c r="Y5" s="1630"/>
      <c r="Z5" s="76">
        <f>'NS + DHM'!G4</f>
        <v>900000</v>
      </c>
      <c r="AA5" s="76"/>
      <c r="AB5" s="80"/>
      <c r="AC5" s="737"/>
      <c r="AD5" s="1628" t="s">
        <v>886</v>
      </c>
      <c r="AE5" s="1629"/>
      <c r="AF5" s="1630"/>
      <c r="AG5" s="76">
        <f>'NS + DHM'!G5</f>
        <v>560000</v>
      </c>
      <c r="AH5" s="76"/>
      <c r="AI5" s="80"/>
      <c r="AJ5" s="737"/>
      <c r="AK5" s="1628" t="s">
        <v>886</v>
      </c>
      <c r="AL5" s="1629"/>
      <c r="AM5" s="1630"/>
      <c r="AN5" s="76">
        <f>'NS + DHM'!G7</f>
        <v>850000</v>
      </c>
      <c r="AO5" s="76"/>
      <c r="AP5" s="80"/>
      <c r="AQ5" s="737"/>
      <c r="AR5" s="1628" t="s">
        <v>888</v>
      </c>
      <c r="AS5" s="1629"/>
      <c r="AT5" s="1630"/>
      <c r="AU5" s="76">
        <v>320000</v>
      </c>
      <c r="AV5" s="76">
        <f>AU5/12</f>
        <v>26666.666666666668</v>
      </c>
      <c r="AW5" s="76">
        <f>AU5/HR!$D$63</f>
        <v>84.993359893758296</v>
      </c>
      <c r="AX5" s="737"/>
      <c r="AY5" s="1628" t="s">
        <v>886</v>
      </c>
      <c r="AZ5" s="1629"/>
      <c r="BA5" s="1630"/>
      <c r="BB5" s="76">
        <f>'NS + DHM'!G8</f>
        <v>16000000</v>
      </c>
      <c r="BC5" s="76"/>
      <c r="BD5" s="80"/>
      <c r="BE5" s="737"/>
      <c r="BF5" s="129" t="s">
        <v>889</v>
      </c>
      <c r="BG5" s="313">
        <f>BB20+AU12+AN20+AG30+Z21+S16+L30+E12</f>
        <v>15754265.999999998</v>
      </c>
    </row>
    <row r="6" spans="1:59">
      <c r="A6" s="737"/>
      <c r="B6" s="1628" t="s">
        <v>890</v>
      </c>
      <c r="C6" s="1629"/>
      <c r="D6" s="1630"/>
      <c r="E6" s="76">
        <v>90000</v>
      </c>
      <c r="F6" s="76">
        <f>E6/12</f>
        <v>7500</v>
      </c>
      <c r="G6" s="76">
        <f>E6/HR!$D$63</f>
        <v>23.904382470119522</v>
      </c>
      <c r="H6" s="737"/>
      <c r="I6" s="1628" t="s">
        <v>891</v>
      </c>
      <c r="J6" s="1629"/>
      <c r="K6" s="1630"/>
      <c r="L6" s="76">
        <f>'NS + DHM'!K3</f>
        <v>95000</v>
      </c>
      <c r="M6" s="76">
        <f>L6/12</f>
        <v>7916.666666666667</v>
      </c>
      <c r="N6" s="76">
        <f>L6/HR!$D$63</f>
        <v>25.232403718459494</v>
      </c>
      <c r="O6" s="737"/>
      <c r="P6" s="1628" t="s">
        <v>892</v>
      </c>
      <c r="Q6" s="1637"/>
      <c r="R6" s="1637"/>
      <c r="S6" s="81">
        <v>300000</v>
      </c>
      <c r="T6" s="81">
        <f t="shared" ref="T6:T11" si="0">S6/12</f>
        <v>25000</v>
      </c>
      <c r="U6" s="82">
        <f>S6/HR!$D$63</f>
        <v>79.681274900398407</v>
      </c>
      <c r="V6" s="737"/>
      <c r="W6" s="1628" t="s">
        <v>891</v>
      </c>
      <c r="X6" s="1629"/>
      <c r="Y6" s="1630"/>
      <c r="Z6" s="76">
        <f>'NS + DHM'!K4</f>
        <v>145000</v>
      </c>
      <c r="AA6" s="76">
        <f>Z6/12</f>
        <v>12083.333333333334</v>
      </c>
      <c r="AB6" s="76">
        <f>Z6/HR!$D$63</f>
        <v>38.512616201859231</v>
      </c>
      <c r="AC6" s="737"/>
      <c r="AD6" s="1628" t="s">
        <v>891</v>
      </c>
      <c r="AE6" s="1629"/>
      <c r="AF6" s="1630"/>
      <c r="AG6" s="76">
        <f>'NS + DHM'!K5</f>
        <v>190000</v>
      </c>
      <c r="AH6" s="76">
        <f>AG6/12</f>
        <v>15833.333333333334</v>
      </c>
      <c r="AI6" s="76">
        <f>AG6/HR!$D$63</f>
        <v>50.464807436918989</v>
      </c>
      <c r="AJ6" s="737"/>
      <c r="AK6" s="1628" t="s">
        <v>891</v>
      </c>
      <c r="AL6" s="1629"/>
      <c r="AM6" s="1630"/>
      <c r="AN6" s="76">
        <f>'NS + DHM'!K7</f>
        <v>170000</v>
      </c>
      <c r="AO6" s="76">
        <f t="shared" ref="AO6:AO11" si="1">AN6/12</f>
        <v>14166.666666666666</v>
      </c>
      <c r="AP6" s="76">
        <f>AN6/HR!$D$63</f>
        <v>45.152722443559099</v>
      </c>
      <c r="AQ6" s="737"/>
      <c r="AR6" s="1628" t="s">
        <v>893</v>
      </c>
      <c r="AS6" s="1629"/>
      <c r="AT6" s="1630"/>
      <c r="AU6" s="76">
        <v>240000</v>
      </c>
      <c r="AV6" s="76">
        <f>AU6/12</f>
        <v>20000</v>
      </c>
      <c r="AW6" s="76">
        <f>AU6/HR!$D$63</f>
        <v>63.745019920318725</v>
      </c>
      <c r="AX6" s="737"/>
      <c r="AY6" s="1628" t="s">
        <v>891</v>
      </c>
      <c r="AZ6" s="1629"/>
      <c r="BA6" s="1630"/>
      <c r="BB6" s="76">
        <f>'NS + DHM'!K8</f>
        <v>138000</v>
      </c>
      <c r="BC6" s="76">
        <f>BB6/12</f>
        <v>11500</v>
      </c>
      <c r="BD6" s="76">
        <f>BB6/HR!$D$63</f>
        <v>36.65338645418327</v>
      </c>
      <c r="BE6" s="737"/>
      <c r="BF6" s="129" t="s">
        <v>561</v>
      </c>
      <c r="BG6" s="313">
        <f>BB21+AU13+AN21+AG31+Z22+S17+L31+E13</f>
        <v>4475643.75</v>
      </c>
    </row>
    <row r="7" spans="1:59" ht="15" thickBot="1">
      <c r="A7" s="737"/>
      <c r="B7" s="1628" t="s">
        <v>894</v>
      </c>
      <c r="C7" s="1629"/>
      <c r="D7" s="1630"/>
      <c r="E7" s="76">
        <v>65000</v>
      </c>
      <c r="F7" s="76">
        <f>E7/12</f>
        <v>5416.666666666667</v>
      </c>
      <c r="G7" s="76">
        <f>E7/HR!$D$63</f>
        <v>17.264276228419654</v>
      </c>
      <c r="H7" s="737"/>
      <c r="I7" s="1628" t="s">
        <v>895</v>
      </c>
      <c r="J7" s="1629"/>
      <c r="K7" s="1630"/>
      <c r="L7" s="76">
        <f>'NS + DHM'!L3</f>
        <v>48000</v>
      </c>
      <c r="M7" s="76">
        <f t="shared" ref="M7:M11" si="2">L7/12</f>
        <v>4000</v>
      </c>
      <c r="N7" s="76">
        <f>L7/HR!$D$63</f>
        <v>12.749003984063744</v>
      </c>
      <c r="O7" s="737"/>
      <c r="P7" s="1628" t="s">
        <v>896</v>
      </c>
      <c r="Q7" s="1637"/>
      <c r="R7" s="1637"/>
      <c r="S7" s="81">
        <v>200000</v>
      </c>
      <c r="T7" s="81">
        <f t="shared" si="0"/>
        <v>16666.666666666668</v>
      </c>
      <c r="U7" s="82">
        <f>S7/HR!$D$63</f>
        <v>53.12084993359894</v>
      </c>
      <c r="V7" s="737"/>
      <c r="W7" s="1628" t="s">
        <v>895</v>
      </c>
      <c r="X7" s="1629"/>
      <c r="Y7" s="1630"/>
      <c r="Z7" s="76">
        <f>'NS + DHM'!L4</f>
        <v>80000</v>
      </c>
      <c r="AA7" s="76">
        <f t="shared" ref="AA7:AA11" si="3">Z7/12</f>
        <v>6666.666666666667</v>
      </c>
      <c r="AB7" s="76">
        <f>Z7/HR!$D$63</f>
        <v>21.248339973439574</v>
      </c>
      <c r="AC7" s="737"/>
      <c r="AD7" s="1628" t="s">
        <v>895</v>
      </c>
      <c r="AE7" s="1629"/>
      <c r="AF7" s="1630"/>
      <c r="AG7" s="76">
        <f>'NS + DHM'!L5</f>
        <v>72000</v>
      </c>
      <c r="AH7" s="76">
        <f t="shared" ref="AH7:AH11" si="4">AG7/12</f>
        <v>6000</v>
      </c>
      <c r="AI7" s="76">
        <f>AG7/HR!$D$63</f>
        <v>19.123505976095618</v>
      </c>
      <c r="AJ7" s="737"/>
      <c r="AK7" s="1628" t="s">
        <v>895</v>
      </c>
      <c r="AL7" s="1629"/>
      <c r="AM7" s="1630"/>
      <c r="AN7" s="76">
        <f>'NS + DHM'!L7</f>
        <v>80000</v>
      </c>
      <c r="AO7" s="76">
        <f t="shared" si="1"/>
        <v>6666.666666666667</v>
      </c>
      <c r="AP7" s="76">
        <f>AN7/HR!$D$63</f>
        <v>21.248339973439574</v>
      </c>
      <c r="AQ7" s="737"/>
      <c r="AR7" s="1628" t="s">
        <v>894</v>
      </c>
      <c r="AS7" s="1629"/>
      <c r="AT7" s="1630"/>
      <c r="AU7" s="76">
        <v>96000</v>
      </c>
      <c r="AV7" s="76">
        <f>AU7/12</f>
        <v>8000</v>
      </c>
      <c r="AW7" s="76">
        <f>AU7/HR!$D$63</f>
        <v>25.498007968127489</v>
      </c>
      <c r="AX7" s="737"/>
      <c r="AY7" s="1628" t="s">
        <v>895</v>
      </c>
      <c r="AZ7" s="1629"/>
      <c r="BA7" s="1630"/>
      <c r="BB7" s="76">
        <f>'NS + DHM'!L8</f>
        <v>95000</v>
      </c>
      <c r="BC7" s="76">
        <f t="shared" ref="BC7:BC11" si="5">BB7/12</f>
        <v>7916.666666666667</v>
      </c>
      <c r="BD7" s="76">
        <f>BB7/HR!$D$63</f>
        <v>25.232403718459494</v>
      </c>
      <c r="BE7" s="737"/>
      <c r="BF7" s="129" t="s">
        <v>897</v>
      </c>
      <c r="BG7" s="313">
        <f>BB22+AU14+AN22+AG32+Z23+S18+L32+E14</f>
        <v>414000</v>
      </c>
    </row>
    <row r="8" spans="1:59" ht="15" thickBot="1">
      <c r="A8" s="737"/>
      <c r="B8" s="1631" t="s">
        <v>898</v>
      </c>
      <c r="C8" s="1632"/>
      <c r="D8" s="1633"/>
      <c r="E8" s="77">
        <f>SUM(E5:E7)</f>
        <v>335000</v>
      </c>
      <c r="F8" s="77">
        <f t="shared" ref="F8" si="6">SUM(F5:F7)</f>
        <v>27916.666666666668</v>
      </c>
      <c r="G8" s="77">
        <f>SUM(G5:G7)</f>
        <v>88.97742363877822</v>
      </c>
      <c r="H8" s="737"/>
      <c r="I8" s="1628" t="s">
        <v>899</v>
      </c>
      <c r="J8" s="1629"/>
      <c r="K8" s="1630"/>
      <c r="L8" s="76">
        <f>'NS + DHM'!M3</f>
        <v>15000</v>
      </c>
      <c r="M8" s="76">
        <f t="shared" si="2"/>
        <v>1250</v>
      </c>
      <c r="N8" s="76">
        <f>L8/HR!$D$63</f>
        <v>3.9840637450199203</v>
      </c>
      <c r="O8" s="737"/>
      <c r="P8" s="1628" t="s">
        <v>900</v>
      </c>
      <c r="Q8" s="1637"/>
      <c r="R8" s="1637"/>
      <c r="S8" s="81">
        <v>450000</v>
      </c>
      <c r="T8" s="81">
        <f t="shared" si="0"/>
        <v>37500</v>
      </c>
      <c r="U8" s="82">
        <f>S8/HR!$D$63</f>
        <v>119.5219123505976</v>
      </c>
      <c r="V8" s="737"/>
      <c r="W8" s="1628" t="s">
        <v>899</v>
      </c>
      <c r="X8" s="1629"/>
      <c r="Y8" s="1630"/>
      <c r="Z8" s="76">
        <f>'NS + DHM'!M4</f>
        <v>15000</v>
      </c>
      <c r="AA8" s="76">
        <f t="shared" si="3"/>
        <v>1250</v>
      </c>
      <c r="AB8" s="76">
        <f>Z8/HR!$D$63</f>
        <v>3.9840637450199203</v>
      </c>
      <c r="AC8" s="737"/>
      <c r="AD8" s="1628" t="s">
        <v>899</v>
      </c>
      <c r="AE8" s="1629"/>
      <c r="AF8" s="1630"/>
      <c r="AG8" s="76">
        <f>'NS + DHM'!M5</f>
        <v>15000</v>
      </c>
      <c r="AH8" s="76">
        <f t="shared" si="4"/>
        <v>1250</v>
      </c>
      <c r="AI8" s="76">
        <f>AG8/HR!$D$63</f>
        <v>3.9840637450199203</v>
      </c>
      <c r="AJ8" s="737"/>
      <c r="AK8" s="1628" t="s">
        <v>899</v>
      </c>
      <c r="AL8" s="1629"/>
      <c r="AM8" s="1630"/>
      <c r="AN8" s="76">
        <f>'NS + DHM'!M7</f>
        <v>15000</v>
      </c>
      <c r="AO8" s="76">
        <f t="shared" si="1"/>
        <v>1250</v>
      </c>
      <c r="AP8" s="76">
        <f>AN8/HR!$D$63</f>
        <v>3.9840637450199203</v>
      </c>
      <c r="AQ8" s="737"/>
      <c r="AR8" s="1631" t="s">
        <v>898</v>
      </c>
      <c r="AS8" s="1632"/>
      <c r="AT8" s="1633"/>
      <c r="AU8" s="77">
        <f>SUM(AU1:AU7)</f>
        <v>656000</v>
      </c>
      <c r="AV8" s="77">
        <f>SUM(AV1:AV7)</f>
        <v>54666.666666666672</v>
      </c>
      <c r="AW8" s="77">
        <f>SUM(AW1:AW7)</f>
        <v>174.2363877822045</v>
      </c>
      <c r="AX8" s="737"/>
      <c r="AY8" s="1628" t="s">
        <v>899</v>
      </c>
      <c r="AZ8" s="1629"/>
      <c r="BA8" s="1630"/>
      <c r="BB8" s="76">
        <f>'NS + DHM'!M8</f>
        <v>15000</v>
      </c>
      <c r="BC8" s="76">
        <f t="shared" si="5"/>
        <v>1250</v>
      </c>
      <c r="BD8" s="76">
        <f>BB8/HR!$D$63</f>
        <v>3.9840637450199203</v>
      </c>
      <c r="BE8" s="737"/>
      <c r="BF8" s="129" t="s">
        <v>901</v>
      </c>
      <c r="BG8" s="313">
        <f>BB28+AU20+AN28+AG38+Z29+S24+L38+E20</f>
        <v>49600</v>
      </c>
    </row>
    <row r="9" spans="1:59" ht="15.75" thickBot="1">
      <c r="A9" s="737"/>
      <c r="B9" s="1622" t="s">
        <v>902</v>
      </c>
      <c r="C9" s="1627"/>
      <c r="D9" s="1627"/>
      <c r="E9" s="1627"/>
      <c r="F9" s="1627"/>
      <c r="G9" s="111">
        <f>'NS + DHM'!B3</f>
        <v>2</v>
      </c>
      <c r="H9" s="737"/>
      <c r="I9" s="1628" t="s">
        <v>903</v>
      </c>
      <c r="J9" s="1629"/>
      <c r="K9" s="1630"/>
      <c r="L9" s="76">
        <v>0</v>
      </c>
      <c r="M9" s="76">
        <f t="shared" si="2"/>
        <v>0</v>
      </c>
      <c r="N9" s="76">
        <f>L9/HR!$D$63</f>
        <v>0</v>
      </c>
      <c r="O9" s="737"/>
      <c r="P9" s="1628" t="s">
        <v>786</v>
      </c>
      <c r="Q9" s="1637"/>
      <c r="R9" s="1637"/>
      <c r="S9" s="81">
        <v>200000</v>
      </c>
      <c r="T9" s="81">
        <f t="shared" si="0"/>
        <v>16666.666666666668</v>
      </c>
      <c r="U9" s="82">
        <f>S9/HR!$D$63</f>
        <v>53.12084993359894</v>
      </c>
      <c r="V9" s="737"/>
      <c r="W9" s="1628" t="s">
        <v>903</v>
      </c>
      <c r="X9" s="1629"/>
      <c r="Y9" s="1630"/>
      <c r="Z9" s="76">
        <f>'NS + DHM'!J4</f>
        <v>150000</v>
      </c>
      <c r="AA9" s="76">
        <f t="shared" si="3"/>
        <v>12500</v>
      </c>
      <c r="AB9" s="76">
        <f>Z9/HR!$D$63</f>
        <v>39.840637450199203</v>
      </c>
      <c r="AC9" s="737"/>
      <c r="AD9" s="1628" t="s">
        <v>903</v>
      </c>
      <c r="AE9" s="1629"/>
      <c r="AF9" s="1630"/>
      <c r="AG9" s="76">
        <f>'NS + DHM'!J5</f>
        <v>93333.333333333328</v>
      </c>
      <c r="AH9" s="76">
        <f t="shared" si="4"/>
        <v>7777.7777777777774</v>
      </c>
      <c r="AI9" s="76">
        <f>AG9/HR!$D$63</f>
        <v>24.789729969012836</v>
      </c>
      <c r="AJ9" s="737"/>
      <c r="AK9" s="1628" t="s">
        <v>903</v>
      </c>
      <c r="AL9" s="1629"/>
      <c r="AM9" s="1630"/>
      <c r="AN9" s="76">
        <f>'NS + DHM'!J7</f>
        <v>170000</v>
      </c>
      <c r="AO9" s="76">
        <f t="shared" si="1"/>
        <v>14166.666666666666</v>
      </c>
      <c r="AP9" s="76">
        <f>AN9/HR!$D$63</f>
        <v>45.152722443559099</v>
      </c>
      <c r="AQ9" s="737"/>
      <c r="AR9" s="1622" t="s">
        <v>902</v>
      </c>
      <c r="AS9" s="1627"/>
      <c r="AT9" s="1627"/>
      <c r="AU9" s="1627"/>
      <c r="AV9" s="1627"/>
      <c r="AW9" s="111">
        <f>'NS + DHM'!B9</f>
        <v>6</v>
      </c>
      <c r="AX9" s="737"/>
      <c r="AY9" s="1628" t="s">
        <v>903</v>
      </c>
      <c r="AZ9" s="1629"/>
      <c r="BA9" s="1630"/>
      <c r="BB9" s="76">
        <f>'NS + DHM'!J8</f>
        <v>1600000</v>
      </c>
      <c r="BC9" s="76">
        <f t="shared" si="5"/>
        <v>133333.33333333334</v>
      </c>
      <c r="BD9" s="76">
        <f>BB9/HR!$D$63</f>
        <v>424.96679946879152</v>
      </c>
      <c r="BE9" s="737"/>
      <c r="BF9" s="129" t="s">
        <v>321</v>
      </c>
      <c r="BG9" s="313">
        <f>BB23+AU15+BB29+AU21+AN29+AN23+AG39+AG33+Z30+Z24+S25+S19+L39+L33+E21+E15+L25+Z16</f>
        <v>803300</v>
      </c>
    </row>
    <row r="10" spans="1:59" ht="14.1" customHeight="1" thickBot="1">
      <c r="A10" s="737"/>
      <c r="B10" s="1622"/>
      <c r="C10" s="1627"/>
      <c r="D10" s="1623"/>
      <c r="E10" s="111" t="s">
        <v>882</v>
      </c>
      <c r="F10" s="111" t="s">
        <v>883</v>
      </c>
      <c r="G10" s="111" t="s">
        <v>884</v>
      </c>
      <c r="H10" s="737"/>
      <c r="I10" s="1628" t="s">
        <v>904</v>
      </c>
      <c r="J10" s="1629"/>
      <c r="K10" s="1630"/>
      <c r="L10" s="76">
        <f>'NS + DHM'!N3</f>
        <v>28864.999999999996</v>
      </c>
      <c r="M10" s="76">
        <f t="shared" si="2"/>
        <v>2405.4166666666665</v>
      </c>
      <c r="N10" s="76">
        <f>L10/HR!$D$63</f>
        <v>7.6666666666666661</v>
      </c>
      <c r="O10" s="737"/>
      <c r="P10" s="1628" t="s">
        <v>905</v>
      </c>
      <c r="Q10" s="1637"/>
      <c r="R10" s="1630"/>
      <c r="S10" s="81">
        <v>120500</v>
      </c>
      <c r="T10" s="81">
        <f t="shared" ref="T10" si="7">S10/12</f>
        <v>10041.666666666666</v>
      </c>
      <c r="U10" s="82">
        <f>S10/HR!$D$63</f>
        <v>32.005312084993363</v>
      </c>
      <c r="V10" s="737"/>
      <c r="W10" s="1628" t="s">
        <v>904</v>
      </c>
      <c r="X10" s="1629"/>
      <c r="Y10" s="1630"/>
      <c r="Z10" s="76">
        <f>'NS + DHM'!N4</f>
        <v>121232.99999999999</v>
      </c>
      <c r="AA10" s="76">
        <f t="shared" si="3"/>
        <v>10102.749999999998</v>
      </c>
      <c r="AB10" s="76">
        <f>Z10/HR!$D$63</f>
        <v>32.199999999999996</v>
      </c>
      <c r="AC10" s="737"/>
      <c r="AD10" s="1628" t="s">
        <v>904</v>
      </c>
      <c r="AE10" s="1629"/>
      <c r="AF10" s="1630"/>
      <c r="AG10" s="76">
        <f>'NS + DHM'!N5</f>
        <v>144325</v>
      </c>
      <c r="AH10" s="76">
        <f t="shared" si="4"/>
        <v>12027.083333333334</v>
      </c>
      <c r="AI10" s="76">
        <f>AG10/HR!$D$63</f>
        <v>38.333333333333336</v>
      </c>
      <c r="AJ10" s="737"/>
      <c r="AK10" s="1628" t="s">
        <v>904</v>
      </c>
      <c r="AL10" s="1629"/>
      <c r="AM10" s="1630"/>
      <c r="AN10" s="76">
        <f>'NS + DHM'!N7</f>
        <v>86595</v>
      </c>
      <c r="AO10" s="76">
        <f t="shared" si="1"/>
        <v>7216.25</v>
      </c>
      <c r="AP10" s="76">
        <f>AN10/HR!$D$63</f>
        <v>23</v>
      </c>
      <c r="AQ10" s="737"/>
      <c r="AR10" s="1622"/>
      <c r="AS10" s="1627"/>
      <c r="AT10" s="1623"/>
      <c r="AU10" s="111" t="s">
        <v>882</v>
      </c>
      <c r="AV10" s="111" t="s">
        <v>883</v>
      </c>
      <c r="AW10" s="111" t="s">
        <v>884</v>
      </c>
      <c r="AX10" s="737"/>
      <c r="AY10" s="1628" t="s">
        <v>904</v>
      </c>
      <c r="AZ10" s="1629"/>
      <c r="BA10" s="1630"/>
      <c r="BB10" s="76">
        <f>'NS + DHM'!N8</f>
        <v>115459.99999999999</v>
      </c>
      <c r="BC10" s="76">
        <f t="shared" si="5"/>
        <v>9621.6666666666661</v>
      </c>
      <c r="BD10" s="76">
        <f>BB10/HR!$D$63</f>
        <v>30.666666666666664</v>
      </c>
      <c r="BE10" s="737"/>
      <c r="BF10" s="316" t="s">
        <v>430</v>
      </c>
      <c r="BG10" s="313">
        <f>BB24+AU16+AN24+AG34+Z25+S20+L34+E16</f>
        <v>65000</v>
      </c>
    </row>
    <row r="11" spans="1:59" ht="15" thickBot="1">
      <c r="A11" s="737"/>
      <c r="B11" s="1624" t="s">
        <v>906</v>
      </c>
      <c r="C11" s="1625"/>
      <c r="D11" s="1626"/>
      <c r="E11" s="74">
        <f>251*325*7.5*G9</f>
        <v>1223625</v>
      </c>
      <c r="F11" s="74">
        <f>E11/12</f>
        <v>101968.75</v>
      </c>
      <c r="G11" s="76">
        <f>E11/HR!$D$63</f>
        <v>325</v>
      </c>
      <c r="H11" s="737"/>
      <c r="I11" s="1628" t="s">
        <v>907</v>
      </c>
      <c r="J11" s="1629"/>
      <c r="K11" s="1630"/>
      <c r="L11" s="76">
        <f>'NS + DHM'!P3</f>
        <v>7860</v>
      </c>
      <c r="M11" s="76">
        <f t="shared" si="2"/>
        <v>655</v>
      </c>
      <c r="N11" s="76">
        <f>L11/HR!$D$63</f>
        <v>2.0876494023904382</v>
      </c>
      <c r="O11" s="737"/>
      <c r="P11" s="1628" t="s">
        <v>908</v>
      </c>
      <c r="Q11" s="1637"/>
      <c r="R11" s="1637"/>
      <c r="S11" s="81">
        <v>450000</v>
      </c>
      <c r="T11" s="81">
        <f t="shared" si="0"/>
        <v>37500</v>
      </c>
      <c r="U11" s="82">
        <f>S11/HR!$D$63</f>
        <v>119.5219123505976</v>
      </c>
      <c r="V11" s="737"/>
      <c r="W11" s="1628" t="s">
        <v>907</v>
      </c>
      <c r="X11" s="1629"/>
      <c r="Y11" s="1630"/>
      <c r="Z11" s="76">
        <f>'NS + DHM'!P4</f>
        <v>19650</v>
      </c>
      <c r="AA11" s="76">
        <f t="shared" si="3"/>
        <v>1637.5</v>
      </c>
      <c r="AB11" s="76">
        <f>Z11/HR!$D$63</f>
        <v>5.2191235059760954</v>
      </c>
      <c r="AC11" s="737"/>
      <c r="AD11" s="1628" t="s">
        <v>907</v>
      </c>
      <c r="AE11" s="1629"/>
      <c r="AF11" s="1630"/>
      <c r="AG11" s="76">
        <f>'NS + DHM'!P5</f>
        <v>45850</v>
      </c>
      <c r="AH11" s="76">
        <f t="shared" si="4"/>
        <v>3820.8333333333335</v>
      </c>
      <c r="AI11" s="76">
        <f>AG11/HR!$D$63</f>
        <v>12.177954847277556</v>
      </c>
      <c r="AJ11" s="737"/>
      <c r="AK11" s="1628" t="s">
        <v>907</v>
      </c>
      <c r="AL11" s="1629"/>
      <c r="AM11" s="1630"/>
      <c r="AN11" s="76">
        <f>'NS + DHM'!P7</f>
        <v>32750</v>
      </c>
      <c r="AO11" s="76">
        <f t="shared" si="1"/>
        <v>2729.1666666666665</v>
      </c>
      <c r="AP11" s="76">
        <f>AN11/HR!$D$63</f>
        <v>8.6985391766268254</v>
      </c>
      <c r="AQ11" s="737"/>
      <c r="AR11" s="1624" t="s">
        <v>909</v>
      </c>
      <c r="AS11" s="1625"/>
      <c r="AT11" s="1626"/>
      <c r="AU11" s="76">
        <f>251*345*7.5*AW9</f>
        <v>3896775</v>
      </c>
      <c r="AV11" s="76">
        <f>AU11/12</f>
        <v>324731.25</v>
      </c>
      <c r="AW11" s="76">
        <f>AU11/HR!$D$63</f>
        <v>1035</v>
      </c>
      <c r="AX11" s="737"/>
      <c r="AY11" s="1628" t="s">
        <v>907</v>
      </c>
      <c r="AZ11" s="1629"/>
      <c r="BA11" s="1630"/>
      <c r="BB11" s="76">
        <f>'NS + DHM'!P8</f>
        <v>85150</v>
      </c>
      <c r="BC11" s="76">
        <f t="shared" si="5"/>
        <v>7095.833333333333</v>
      </c>
      <c r="BD11" s="76">
        <f>BB11/HR!$D$63</f>
        <v>22.616201859229747</v>
      </c>
      <c r="BE11" s="737"/>
      <c r="BF11" s="316" t="s">
        <v>429</v>
      </c>
      <c r="BG11" s="313">
        <f>BB25+AU17+AN25+AG35+Z26+S21+L35+E17</f>
        <v>60000</v>
      </c>
    </row>
    <row r="12" spans="1:59" ht="15" thickBot="1">
      <c r="A12" s="737"/>
      <c r="B12" s="1628" t="s">
        <v>910</v>
      </c>
      <c r="C12" s="1629"/>
      <c r="D12" s="1630"/>
      <c r="E12" s="74">
        <f>E11*HR!D64</f>
        <v>430716</v>
      </c>
      <c r="F12" s="76">
        <f>E12/12</f>
        <v>35893</v>
      </c>
      <c r="G12" s="76">
        <f>E12/HR!$D$63</f>
        <v>114.4</v>
      </c>
      <c r="H12" s="737"/>
      <c r="I12" s="1631" t="s">
        <v>898</v>
      </c>
      <c r="J12" s="1632"/>
      <c r="K12" s="1633"/>
      <c r="L12" s="77">
        <f>SUM(L6:L11)</f>
        <v>194725</v>
      </c>
      <c r="M12" s="77">
        <f>SUM(M5:M11)</f>
        <v>16227.083333333334</v>
      </c>
      <c r="N12" s="77">
        <f>SUM(N5:N11)</f>
        <v>51.71978751660027</v>
      </c>
      <c r="O12" s="737"/>
      <c r="P12" s="1631" t="s">
        <v>898</v>
      </c>
      <c r="Q12" s="1632"/>
      <c r="R12" s="1632"/>
      <c r="S12" s="180">
        <f>SUM(S5:S11)</f>
        <v>2120500</v>
      </c>
      <c r="T12" s="140">
        <f>SUM(T5:T11)</f>
        <v>176708.33333333334</v>
      </c>
      <c r="U12" s="140">
        <f>SUM(U5:U11)</f>
        <v>563.21381142098278</v>
      </c>
      <c r="V12" s="737"/>
      <c r="W12" s="1631" t="s">
        <v>898</v>
      </c>
      <c r="X12" s="1632"/>
      <c r="Y12" s="1633"/>
      <c r="Z12" s="77">
        <f>SUM(Z6:Z11)</f>
        <v>530883</v>
      </c>
      <c r="AA12" s="77">
        <f t="shared" ref="AA12" si="8">SUM(AA5:AA11)</f>
        <v>44240.25</v>
      </c>
      <c r="AB12" s="77">
        <f>SUM(AB5:AB11)</f>
        <v>141.00478087649401</v>
      </c>
      <c r="AC12" s="737"/>
      <c r="AD12" s="1631" t="s">
        <v>898</v>
      </c>
      <c r="AE12" s="1632"/>
      <c r="AF12" s="1633"/>
      <c r="AG12" s="77">
        <f>SUM(AG6:AG11)</f>
        <v>560508.33333333326</v>
      </c>
      <c r="AH12" s="77">
        <f t="shared" ref="AH12" si="9">SUM(AH5:AH11)</f>
        <v>46709.027777777781</v>
      </c>
      <c r="AI12" s="77">
        <f>SUM(AI5:AI11)</f>
        <v>148.87339530765826</v>
      </c>
      <c r="AJ12" s="737"/>
      <c r="AK12" s="1631" t="s">
        <v>898</v>
      </c>
      <c r="AL12" s="1632"/>
      <c r="AM12" s="1633"/>
      <c r="AN12" s="77">
        <f>SUM(AN6:AN11)</f>
        <v>554345</v>
      </c>
      <c r="AO12" s="77">
        <f t="shared" ref="AO12" si="10">SUM(AO6:AO11)</f>
        <v>46195.416666666664</v>
      </c>
      <c r="AP12" s="77">
        <f>SUM(AP6:AP11)</f>
        <v>147.23638778220453</v>
      </c>
      <c r="AQ12" s="737"/>
      <c r="AR12" s="1628" t="s">
        <v>910</v>
      </c>
      <c r="AS12" s="1637"/>
      <c r="AT12" s="1630"/>
      <c r="AU12" s="76">
        <f>AU11*HR!D64</f>
        <v>1371664.7999999998</v>
      </c>
      <c r="AV12" s="76">
        <f>AU12/12</f>
        <v>114305.39999999998</v>
      </c>
      <c r="AW12" s="76">
        <f>AU12/HR!$D$63</f>
        <v>364.31999999999994</v>
      </c>
      <c r="AX12" s="737"/>
      <c r="AY12" s="1631" t="s">
        <v>898</v>
      </c>
      <c r="AZ12" s="1632"/>
      <c r="BA12" s="1633"/>
      <c r="BB12" s="77">
        <f t="shared" ref="BB12:BC12" si="11">SUM(BB6:BB11)</f>
        <v>2048610</v>
      </c>
      <c r="BC12" s="77">
        <f t="shared" si="11"/>
        <v>170717.5</v>
      </c>
      <c r="BD12" s="77">
        <f>SUM(BD6:BD11)</f>
        <v>544.11952191235059</v>
      </c>
      <c r="BE12" s="737"/>
      <c r="BF12" s="316" t="s">
        <v>911</v>
      </c>
      <c r="BG12" s="313">
        <f>BB26+AU18+AN26+AG36+Z27+S22+L36+E18+BB11+AN11+AG11+AG25+Z11+L11</f>
        <v>2900340</v>
      </c>
    </row>
    <row r="13" spans="1:59" ht="15.75" thickBot="1">
      <c r="A13" s="737"/>
      <c r="B13" s="1628" t="s">
        <v>561</v>
      </c>
      <c r="C13" s="1629"/>
      <c r="D13" s="1630"/>
      <c r="E13" s="74">
        <f>0.1*E11</f>
        <v>122362.5</v>
      </c>
      <c r="F13" s="76">
        <f t="shared" ref="F13:F21" si="12">E13/12</f>
        <v>10196.875</v>
      </c>
      <c r="G13" s="76">
        <f>E13/HR!$D$63</f>
        <v>32.5</v>
      </c>
      <c r="H13" s="737"/>
      <c r="I13" s="1622" t="s">
        <v>839</v>
      </c>
      <c r="J13" s="1627"/>
      <c r="K13" s="1623"/>
      <c r="L13" s="111" t="s">
        <v>882</v>
      </c>
      <c r="M13" s="111" t="s">
        <v>883</v>
      </c>
      <c r="N13" s="111" t="s">
        <v>884</v>
      </c>
      <c r="O13" s="737"/>
      <c r="P13" s="1622" t="s">
        <v>902</v>
      </c>
      <c r="Q13" s="1627"/>
      <c r="R13" s="1627"/>
      <c r="S13" s="1634"/>
      <c r="T13" s="1627"/>
      <c r="U13" s="111">
        <f>'NS + DHM'!B5</f>
        <v>11</v>
      </c>
      <c r="V13" s="737"/>
      <c r="W13" s="1622"/>
      <c r="X13" s="1627"/>
      <c r="Y13" s="1623"/>
      <c r="Z13" s="111" t="s">
        <v>882</v>
      </c>
      <c r="AA13" s="111" t="s">
        <v>883</v>
      </c>
      <c r="AB13" s="111" t="s">
        <v>884</v>
      </c>
      <c r="AC13" s="737"/>
      <c r="AD13" s="1622"/>
      <c r="AE13" s="1627"/>
      <c r="AF13" s="1623"/>
      <c r="AG13" s="111" t="s">
        <v>882</v>
      </c>
      <c r="AH13" s="111" t="s">
        <v>883</v>
      </c>
      <c r="AI13" s="111" t="s">
        <v>884</v>
      </c>
      <c r="AJ13" s="737"/>
      <c r="AK13" s="1622"/>
      <c r="AL13" s="1627"/>
      <c r="AM13" s="1623"/>
      <c r="AN13" s="111" t="s">
        <v>882</v>
      </c>
      <c r="AO13" s="111" t="s">
        <v>883</v>
      </c>
      <c r="AP13" s="111" t="s">
        <v>884</v>
      </c>
      <c r="AQ13" s="737"/>
      <c r="AR13" s="1628" t="s">
        <v>912</v>
      </c>
      <c r="AS13" s="1637"/>
      <c r="AT13" s="1630"/>
      <c r="AU13" s="76">
        <f>0.1*AU11</f>
        <v>389677.5</v>
      </c>
      <c r="AV13" s="76">
        <f t="shared" ref="AV13:AV21" si="13">AU13/12</f>
        <v>32473.125</v>
      </c>
      <c r="AW13" s="76">
        <f>AU13/HR!$D$63</f>
        <v>103.5</v>
      </c>
      <c r="AX13" s="737"/>
      <c r="AY13" s="1622"/>
      <c r="AZ13" s="1627"/>
      <c r="BA13" s="1623"/>
      <c r="BB13" s="111" t="s">
        <v>882</v>
      </c>
      <c r="BC13" s="111" t="s">
        <v>883</v>
      </c>
      <c r="BD13" s="111" t="s">
        <v>884</v>
      </c>
      <c r="BE13" s="737"/>
      <c r="BF13" s="316" t="s">
        <v>904</v>
      </c>
      <c r="BG13" s="313">
        <f>BB27+AU19+AN27+AG37+Z28+S23+L37+E19+BB10+AN10+AG10+AG24+Z10+L19+L10</f>
        <v>620075.23076923075</v>
      </c>
    </row>
    <row r="14" spans="1:59" ht="15.75" thickBot="1">
      <c r="A14" s="737"/>
      <c r="B14" s="1628" t="s">
        <v>562</v>
      </c>
      <c r="C14" s="1629"/>
      <c r="D14" s="1630"/>
      <c r="E14" s="75">
        <v>18000</v>
      </c>
      <c r="F14" s="76">
        <f t="shared" si="12"/>
        <v>1500</v>
      </c>
      <c r="G14" s="76">
        <f>E14/HR!$D$63</f>
        <v>4.7808764940239046</v>
      </c>
      <c r="H14" s="737"/>
      <c r="I14" s="1628" t="s">
        <v>886</v>
      </c>
      <c r="J14" s="1629"/>
      <c r="K14" s="1630"/>
      <c r="L14" s="76">
        <f>'NS + DHM'!G2</f>
        <v>320000</v>
      </c>
      <c r="M14" s="76"/>
      <c r="N14" s="80"/>
      <c r="O14" s="737"/>
      <c r="P14" s="1622"/>
      <c r="Q14" s="1627"/>
      <c r="R14" s="1623"/>
      <c r="S14" s="111" t="s">
        <v>882</v>
      </c>
      <c r="T14" s="111" t="s">
        <v>883</v>
      </c>
      <c r="U14" s="111" t="s">
        <v>884</v>
      </c>
      <c r="V14" s="737"/>
      <c r="W14" s="1628" t="s">
        <v>894</v>
      </c>
      <c r="X14" s="1637"/>
      <c r="Y14" s="1630"/>
      <c r="Z14" s="76">
        <v>55000</v>
      </c>
      <c r="AA14" s="76">
        <f t="shared" ref="AA14:AA16" si="14">Z14/12</f>
        <v>4583.333333333333</v>
      </c>
      <c r="AB14" s="76">
        <f>Z14/HR!$D$63</f>
        <v>14.608233731739707</v>
      </c>
      <c r="AC14" s="737"/>
      <c r="AD14" s="1628" t="s">
        <v>894</v>
      </c>
      <c r="AE14" s="1629"/>
      <c r="AF14" s="1630"/>
      <c r="AG14" s="76">
        <v>64000</v>
      </c>
      <c r="AH14" s="76">
        <f>AG14/12</f>
        <v>5333.333333333333</v>
      </c>
      <c r="AI14" s="76">
        <f>AG14/HR!$D$63</f>
        <v>16.998671978751659</v>
      </c>
      <c r="AJ14" s="737"/>
      <c r="AK14" s="1628" t="s">
        <v>894</v>
      </c>
      <c r="AL14" s="1637"/>
      <c r="AM14" s="1630"/>
      <c r="AN14" s="76">
        <v>178000</v>
      </c>
      <c r="AO14" s="76">
        <f t="shared" ref="AO14:AO15" si="15">AN14/12</f>
        <v>14833.333333333334</v>
      </c>
      <c r="AP14" s="76">
        <f>AN14/HR!$D$63</f>
        <v>47.277556440903055</v>
      </c>
      <c r="AQ14" s="737"/>
      <c r="AR14" s="1628" t="s">
        <v>913</v>
      </c>
      <c r="AS14" s="1637"/>
      <c r="AT14" s="1630"/>
      <c r="AU14" s="76">
        <v>18000</v>
      </c>
      <c r="AV14" s="76">
        <f t="shared" si="13"/>
        <v>1500</v>
      </c>
      <c r="AW14" s="76">
        <f>AU14/HR!$D$63</f>
        <v>4.7808764940239046</v>
      </c>
      <c r="AX14" s="737"/>
      <c r="AY14" s="1628" t="s">
        <v>894</v>
      </c>
      <c r="AZ14" s="1637"/>
      <c r="BA14" s="1630"/>
      <c r="BB14" s="76">
        <v>123000</v>
      </c>
      <c r="BC14" s="76">
        <f t="shared" ref="BC14:BC15" si="16">BB14/12</f>
        <v>10250</v>
      </c>
      <c r="BD14" s="76">
        <f>BB14/HR!$D$63</f>
        <v>32.669322709163346</v>
      </c>
      <c r="BE14" s="737"/>
      <c r="BF14" s="316" t="s">
        <v>914</v>
      </c>
      <c r="BG14" s="313">
        <f>BB9+AN9+AG9+AG23+Z9+L18+L9</f>
        <v>2141333.333333333</v>
      </c>
    </row>
    <row r="15" spans="1:59" ht="15" thickBot="1">
      <c r="A15" s="737"/>
      <c r="B15" s="1628" t="s">
        <v>915</v>
      </c>
      <c r="C15" s="1629"/>
      <c r="D15" s="1630"/>
      <c r="E15" s="75">
        <v>35000</v>
      </c>
      <c r="F15" s="76">
        <f t="shared" si="12"/>
        <v>2916.6666666666665</v>
      </c>
      <c r="G15" s="76">
        <f>E15/HR!$D$63</f>
        <v>9.2961487383798147</v>
      </c>
      <c r="H15" s="737"/>
      <c r="I15" s="1628" t="s">
        <v>891</v>
      </c>
      <c r="J15" s="1629"/>
      <c r="K15" s="1630"/>
      <c r="L15" s="76">
        <f>'NS + DHM'!K2</f>
        <v>85000</v>
      </c>
      <c r="M15" s="76">
        <f>L15/12</f>
        <v>7083.333333333333</v>
      </c>
      <c r="N15" s="76">
        <f>L15/HR!$D$63</f>
        <v>22.57636122177955</v>
      </c>
      <c r="O15" s="737"/>
      <c r="P15" s="1624" t="s">
        <v>916</v>
      </c>
      <c r="Q15" s="1625"/>
      <c r="R15" s="1626"/>
      <c r="S15" s="76">
        <f>251*355*7.5*U13</f>
        <v>7351162.5</v>
      </c>
      <c r="T15" s="76">
        <f>S15/12</f>
        <v>612596.875</v>
      </c>
      <c r="U15" s="76">
        <f>S15/HR!$D$63</f>
        <v>1952.5</v>
      </c>
      <c r="V15" s="737"/>
      <c r="W15" s="1628" t="s">
        <v>917</v>
      </c>
      <c r="X15" s="1637"/>
      <c r="Y15" s="1630"/>
      <c r="Z15" s="76">
        <v>140000</v>
      </c>
      <c r="AA15" s="76">
        <f t="shared" si="14"/>
        <v>11666.666666666666</v>
      </c>
      <c r="AB15" s="76">
        <f>Z15/HR!$D$63</f>
        <v>37.184594953519259</v>
      </c>
      <c r="AC15" s="737"/>
      <c r="AD15" s="1628" t="s">
        <v>918</v>
      </c>
      <c r="AE15" s="1629"/>
      <c r="AF15" s="1630"/>
      <c r="AG15" s="76">
        <v>140000</v>
      </c>
      <c r="AH15" s="76">
        <f>AG15/12</f>
        <v>11666.666666666666</v>
      </c>
      <c r="AI15" s="76">
        <f>AG15/HR!$D$63</f>
        <v>37.184594953519259</v>
      </c>
      <c r="AJ15" s="737"/>
      <c r="AK15" s="1628" t="s">
        <v>437</v>
      </c>
      <c r="AL15" s="1637"/>
      <c r="AM15" s="1630"/>
      <c r="AN15" s="76">
        <v>170000</v>
      </c>
      <c r="AO15" s="76">
        <f t="shared" si="15"/>
        <v>14166.666666666666</v>
      </c>
      <c r="AP15" s="76">
        <f>AN15/HR!$D$63</f>
        <v>45.152722443559099</v>
      </c>
      <c r="AQ15" s="737"/>
      <c r="AR15" s="1628" t="s">
        <v>915</v>
      </c>
      <c r="AS15" s="1637"/>
      <c r="AT15" s="1630"/>
      <c r="AU15" s="76">
        <v>35000</v>
      </c>
      <c r="AV15" s="76">
        <f t="shared" si="13"/>
        <v>2916.6666666666665</v>
      </c>
      <c r="AW15" s="76">
        <f>AU15/HR!$D$63</f>
        <v>9.2961487383798147</v>
      </c>
      <c r="AX15" s="737"/>
      <c r="AY15" s="1628" t="s">
        <v>437</v>
      </c>
      <c r="AZ15" s="1637"/>
      <c r="BA15" s="1630"/>
      <c r="BB15" s="76">
        <v>140000</v>
      </c>
      <c r="BC15" s="76">
        <f t="shared" si="16"/>
        <v>11666.666666666666</v>
      </c>
      <c r="BD15" s="76">
        <f>BB15/HR!$D$63</f>
        <v>37.184594953519259</v>
      </c>
      <c r="BE15" s="737"/>
      <c r="BF15" s="316" t="s">
        <v>436</v>
      </c>
      <c r="BG15" s="313">
        <f>BB8+AN8+AG8+AG22+Z8+L17+L8</f>
        <v>105000</v>
      </c>
    </row>
    <row r="16" spans="1:59" ht="15" thickBot="1">
      <c r="A16" s="737"/>
      <c r="B16" s="1644" t="s">
        <v>430</v>
      </c>
      <c r="C16" s="1645"/>
      <c r="D16" s="1646"/>
      <c r="E16" s="75">
        <v>5000</v>
      </c>
      <c r="F16" s="76">
        <f t="shared" si="12"/>
        <v>416.66666666666669</v>
      </c>
      <c r="G16" s="76">
        <f>E16/HR!$D$63</f>
        <v>1.3280212483399734</v>
      </c>
      <c r="H16" s="737"/>
      <c r="I16" s="1628" t="s">
        <v>895</v>
      </c>
      <c r="J16" s="1629"/>
      <c r="K16" s="1630"/>
      <c r="L16" s="76">
        <f>'NS + DHM'!L2</f>
        <v>50000</v>
      </c>
      <c r="M16" s="76">
        <f t="shared" ref="M16:M20" si="17">L16/12</f>
        <v>4166.666666666667</v>
      </c>
      <c r="N16" s="76">
        <f>L16/HR!$D$63</f>
        <v>13.280212483399735</v>
      </c>
      <c r="O16" s="737"/>
      <c r="P16" s="1628" t="s">
        <v>910</v>
      </c>
      <c r="Q16" s="1637"/>
      <c r="R16" s="1630"/>
      <c r="S16" s="76">
        <f>S15*HR!D64</f>
        <v>2587609.1999999997</v>
      </c>
      <c r="T16" s="76">
        <f>S16/12</f>
        <v>215634.09999999998</v>
      </c>
      <c r="U16" s="76">
        <f>S16/HR!$D$63</f>
        <v>687.28</v>
      </c>
      <c r="V16" s="737"/>
      <c r="W16" s="1628" t="s">
        <v>919</v>
      </c>
      <c r="X16" s="1637"/>
      <c r="Y16" s="1630"/>
      <c r="Z16" s="76">
        <v>80000</v>
      </c>
      <c r="AA16" s="76">
        <f t="shared" si="14"/>
        <v>6666.666666666667</v>
      </c>
      <c r="AB16" s="76">
        <f>Z16/HR!$D$63</f>
        <v>21.248339973439574</v>
      </c>
      <c r="AC16" s="737"/>
      <c r="AD16" s="1628" t="s">
        <v>920</v>
      </c>
      <c r="AE16" s="1629"/>
      <c r="AF16" s="1630"/>
      <c r="AG16" s="76">
        <v>85000</v>
      </c>
      <c r="AH16" s="76">
        <f>AG16/12</f>
        <v>7083.333333333333</v>
      </c>
      <c r="AI16" s="76">
        <f>AG16/HR!$D$63</f>
        <v>22.57636122177955</v>
      </c>
      <c r="AJ16" s="737"/>
      <c r="AK16" s="1631" t="s">
        <v>898</v>
      </c>
      <c r="AL16" s="1632"/>
      <c r="AM16" s="1633"/>
      <c r="AN16" s="77">
        <f>SUM(AN14:AN15)</f>
        <v>348000</v>
      </c>
      <c r="AO16" s="77">
        <f>SUM(AO14:AO15)</f>
        <v>29000</v>
      </c>
      <c r="AP16" s="77">
        <f>SUM(AP14:AP15)</f>
        <v>92.430278884462155</v>
      </c>
      <c r="AQ16" s="737"/>
      <c r="AR16" s="1644" t="s">
        <v>430</v>
      </c>
      <c r="AS16" s="1645"/>
      <c r="AT16" s="1646"/>
      <c r="AU16" s="76">
        <v>5000</v>
      </c>
      <c r="AV16" s="76">
        <f t="shared" si="13"/>
        <v>416.66666666666669</v>
      </c>
      <c r="AW16" s="76">
        <f>AU16/HR!$D$63</f>
        <v>1.3280212483399734</v>
      </c>
      <c r="AX16" s="737"/>
      <c r="AY16" s="1631" t="s">
        <v>898</v>
      </c>
      <c r="AZ16" s="1632"/>
      <c r="BA16" s="1633"/>
      <c r="BB16" s="77">
        <f>SUM(BB14:BB15)</f>
        <v>263000</v>
      </c>
      <c r="BC16" s="77">
        <f>SUM(BC14:BC15)</f>
        <v>21916.666666666664</v>
      </c>
      <c r="BD16" s="77">
        <f>SUM(BD14:BD15)</f>
        <v>69.853917662682605</v>
      </c>
      <c r="BE16" s="737"/>
      <c r="BF16" s="316" t="s">
        <v>437</v>
      </c>
      <c r="BG16" s="313">
        <f>BB6+AN6+BB7+AG6+AG7+AG20+AG21+Z6+Z7+L6+L7+L15+L16+AG15+Z15+AN15+BB15</f>
        <v>1898000</v>
      </c>
    </row>
    <row r="17" spans="2:59" ht="15.75" thickBot="1">
      <c r="B17" s="1628" t="s">
        <v>429</v>
      </c>
      <c r="C17" s="1629"/>
      <c r="D17" s="1630"/>
      <c r="E17" s="75">
        <v>5000</v>
      </c>
      <c r="F17" s="76">
        <f t="shared" si="12"/>
        <v>416.66666666666669</v>
      </c>
      <c r="G17" s="76">
        <f>E17/HR!$D$63</f>
        <v>1.3280212483399734</v>
      </c>
      <c r="H17" s="737"/>
      <c r="I17" s="1628" t="s">
        <v>899</v>
      </c>
      <c r="J17" s="1629"/>
      <c r="K17" s="1630"/>
      <c r="L17" s="76">
        <f>'NS + DHM'!M2</f>
        <v>15000</v>
      </c>
      <c r="M17" s="76">
        <f t="shared" si="17"/>
        <v>1250</v>
      </c>
      <c r="N17" s="76">
        <f>L17/HR!$D$63</f>
        <v>3.9840637450199203</v>
      </c>
      <c r="O17" s="737"/>
      <c r="P17" s="1628" t="s">
        <v>912</v>
      </c>
      <c r="Q17" s="1637"/>
      <c r="R17" s="1630"/>
      <c r="S17" s="76">
        <f>S15*0.1</f>
        <v>735116.25</v>
      </c>
      <c r="T17" s="76">
        <f>S17/12</f>
        <v>61259.6875</v>
      </c>
      <c r="U17" s="76">
        <f>S17/HR!$D$63</f>
        <v>195.25</v>
      </c>
      <c r="V17" s="737"/>
      <c r="W17" s="1631" t="s">
        <v>898</v>
      </c>
      <c r="X17" s="1632"/>
      <c r="Y17" s="1633"/>
      <c r="Z17" s="77">
        <f t="shared" ref="Z17" si="18">SUM(Z14:Z16)</f>
        <v>275000</v>
      </c>
      <c r="AA17" s="77">
        <f t="shared" ref="AA17" si="19">SUM(AA14:AA16)</f>
        <v>22916.666666666668</v>
      </c>
      <c r="AB17" s="77">
        <f>SUM(AB14:AB16)</f>
        <v>73.041168658698538</v>
      </c>
      <c r="AC17" s="737"/>
      <c r="AD17" s="1631" t="s">
        <v>898</v>
      </c>
      <c r="AE17" s="1632"/>
      <c r="AF17" s="1633"/>
      <c r="AG17" s="77">
        <f t="shared" ref="AG17:AH17" si="20">SUM(AG14:AG16)</f>
        <v>289000</v>
      </c>
      <c r="AH17" s="77">
        <f t="shared" si="20"/>
        <v>24083.333333333332</v>
      </c>
      <c r="AI17" s="77">
        <f>SUM(AI14:AI16)</f>
        <v>76.759628154050461</v>
      </c>
      <c r="AJ17" s="737"/>
      <c r="AK17" s="1622" t="s">
        <v>902</v>
      </c>
      <c r="AL17" s="1627"/>
      <c r="AM17" s="1627"/>
      <c r="AN17" s="1627"/>
      <c r="AO17" s="1627"/>
      <c r="AP17" s="111">
        <f>'NS + DHM'!B8</f>
        <v>24</v>
      </c>
      <c r="AQ17" s="737"/>
      <c r="AR17" s="1628" t="s">
        <v>429</v>
      </c>
      <c r="AS17" s="1637"/>
      <c r="AT17" s="1630"/>
      <c r="AU17" s="76">
        <v>5000</v>
      </c>
      <c r="AV17" s="76">
        <f t="shared" si="13"/>
        <v>416.66666666666669</v>
      </c>
      <c r="AW17" s="76">
        <f>AU17/HR!$D$63</f>
        <v>1.3280212483399734</v>
      </c>
      <c r="AX17" s="737"/>
      <c r="AY17" s="1622" t="s">
        <v>902</v>
      </c>
      <c r="AZ17" s="1627"/>
      <c r="BA17" s="1627"/>
      <c r="BB17" s="1627"/>
      <c r="BC17" s="1627"/>
      <c r="BD17" s="111">
        <f>'NS + DHM'!B10</f>
        <v>6</v>
      </c>
      <c r="BE17" s="737"/>
      <c r="BF17" s="316" t="s">
        <v>921</v>
      </c>
      <c r="BG17" s="313">
        <f>S12</f>
        <v>2120500</v>
      </c>
    </row>
    <row r="18" spans="2:59" ht="15.75" thickBot="1">
      <c r="B18" s="1628" t="s">
        <v>922</v>
      </c>
      <c r="C18" s="1629"/>
      <c r="D18" s="1630"/>
      <c r="E18" s="74">
        <f>'NS + DHM'!C3*'NS + DHM'!B25</f>
        <v>180780</v>
      </c>
      <c r="F18" s="76">
        <f t="shared" si="12"/>
        <v>15065</v>
      </c>
      <c r="G18" s="76">
        <f>E18/HR!$D$63</f>
        <v>48.015936254980083</v>
      </c>
      <c r="H18" s="737"/>
      <c r="I18" s="1628" t="s">
        <v>903</v>
      </c>
      <c r="J18" s="1629"/>
      <c r="K18" s="1630"/>
      <c r="L18" s="76">
        <f>'NS + DHM'!J2</f>
        <v>64000</v>
      </c>
      <c r="M18" s="76">
        <f t="shared" si="17"/>
        <v>5333.333333333333</v>
      </c>
      <c r="N18" s="76">
        <f>L18/HR!$D$63</f>
        <v>16.998671978751659</v>
      </c>
      <c r="O18" s="737"/>
      <c r="P18" s="1628" t="s">
        <v>913</v>
      </c>
      <c r="Q18" s="1637"/>
      <c r="R18" s="1630"/>
      <c r="S18" s="76">
        <v>120000</v>
      </c>
      <c r="T18" s="76">
        <f t="shared" ref="T18:T25" si="21">S18/12</f>
        <v>10000</v>
      </c>
      <c r="U18" s="76">
        <f>S18/HR!$D$63</f>
        <v>31.872509960159363</v>
      </c>
      <c r="V18" s="737"/>
      <c r="W18" s="1622" t="s">
        <v>902</v>
      </c>
      <c r="X18" s="1627"/>
      <c r="Y18" s="1627"/>
      <c r="Z18" s="1627"/>
      <c r="AA18" s="1627"/>
      <c r="AB18" s="111">
        <f>'NS + DHM'!B6</f>
        <v>9</v>
      </c>
      <c r="AC18" s="737"/>
      <c r="AD18" s="1622" t="s">
        <v>847</v>
      </c>
      <c r="AE18" s="1627"/>
      <c r="AF18" s="1623"/>
      <c r="AG18" s="111" t="s">
        <v>882</v>
      </c>
      <c r="AH18" s="111" t="s">
        <v>883</v>
      </c>
      <c r="AI18" s="111" t="s">
        <v>884</v>
      </c>
      <c r="AJ18" s="737"/>
      <c r="AK18" s="1622"/>
      <c r="AL18" s="1627"/>
      <c r="AM18" s="1623"/>
      <c r="AN18" s="111" t="s">
        <v>882</v>
      </c>
      <c r="AO18" s="111" t="s">
        <v>883</v>
      </c>
      <c r="AP18" s="111" t="s">
        <v>884</v>
      </c>
      <c r="AQ18" s="737"/>
      <c r="AR18" s="1628" t="s">
        <v>922</v>
      </c>
      <c r="AS18" s="1637"/>
      <c r="AT18" s="1630"/>
      <c r="AU18" s="76">
        <f>'NS + DHM'!C9*'NS + DHM'!B25</f>
        <v>248900</v>
      </c>
      <c r="AV18" s="76">
        <f t="shared" si="13"/>
        <v>20741.666666666668</v>
      </c>
      <c r="AW18" s="76">
        <f>AU18/HR!$D$63</f>
        <v>66.10889774236388</v>
      </c>
      <c r="AX18" s="737"/>
      <c r="AY18" s="1622"/>
      <c r="AZ18" s="1627"/>
      <c r="BA18" s="1623"/>
      <c r="BB18" s="111" t="s">
        <v>882</v>
      </c>
      <c r="BC18" s="111" t="s">
        <v>883</v>
      </c>
      <c r="BD18" s="111" t="s">
        <v>884</v>
      </c>
      <c r="BE18" s="737"/>
      <c r="BF18" s="323" t="s">
        <v>923</v>
      </c>
      <c r="BG18" s="324">
        <f>AU7+E7+L23+S10+AG14+Z14+AN14+BB14</f>
        <v>799500</v>
      </c>
    </row>
    <row r="19" spans="2:59" ht="15.75" thickBot="1">
      <c r="B19" s="1628" t="s">
        <v>904</v>
      </c>
      <c r="C19" s="1629"/>
      <c r="D19" s="1630"/>
      <c r="E19" s="76">
        <f>'NS + DHM'!B29+10*2.3</f>
        <v>3869.1538461538462</v>
      </c>
      <c r="F19" s="76">
        <f t="shared" si="12"/>
        <v>322.42948717948718</v>
      </c>
      <c r="G19" s="76">
        <f>E19/HR!$D$63</f>
        <v>1.0276637041577281</v>
      </c>
      <c r="H19" s="737"/>
      <c r="I19" s="1628" t="s">
        <v>904</v>
      </c>
      <c r="J19" s="1629"/>
      <c r="K19" s="1630"/>
      <c r="L19" s="76">
        <f>'NS + DHM'!N2</f>
        <v>46184</v>
      </c>
      <c r="M19" s="76">
        <f t="shared" si="17"/>
        <v>3848.6666666666665</v>
      </c>
      <c r="N19" s="76">
        <f>L19/HR!$D$63</f>
        <v>12.266666666666667</v>
      </c>
      <c r="O19" s="54"/>
      <c r="P19" s="1628" t="s">
        <v>915</v>
      </c>
      <c r="Q19" s="1637"/>
      <c r="R19" s="1630"/>
      <c r="S19" s="76">
        <v>84000</v>
      </c>
      <c r="T19" s="76">
        <f t="shared" si="21"/>
        <v>7000</v>
      </c>
      <c r="U19" s="76">
        <f>S19/HR!$D$63</f>
        <v>22.310756972111555</v>
      </c>
      <c r="V19" s="737"/>
      <c r="W19" s="1622"/>
      <c r="X19" s="1627"/>
      <c r="Y19" s="1623"/>
      <c r="Z19" s="111" t="s">
        <v>882</v>
      </c>
      <c r="AA19" s="111" t="s">
        <v>883</v>
      </c>
      <c r="AB19" s="111" t="s">
        <v>884</v>
      </c>
      <c r="AC19" s="737"/>
      <c r="AD19" s="1628" t="s">
        <v>886</v>
      </c>
      <c r="AE19" s="1629"/>
      <c r="AF19" s="1630"/>
      <c r="AG19" s="76">
        <f>'NS + DHM'!G6</f>
        <v>320000</v>
      </c>
      <c r="AH19" s="76"/>
      <c r="AI19" s="80"/>
      <c r="AJ19" s="737"/>
      <c r="AK19" s="1624" t="s">
        <v>924</v>
      </c>
      <c r="AL19" s="1625"/>
      <c r="AM19" s="1626"/>
      <c r="AN19" s="76">
        <f>365*251*7.5*AP17</f>
        <v>16490700</v>
      </c>
      <c r="AO19" s="76">
        <f>AN19/12</f>
        <v>1374225</v>
      </c>
      <c r="AP19" s="76">
        <f>AN19/HR!$D$63</f>
        <v>4380</v>
      </c>
      <c r="AQ19" s="737"/>
      <c r="AR19" s="1628" t="s">
        <v>904</v>
      </c>
      <c r="AS19" s="1629"/>
      <c r="AT19" s="1630"/>
      <c r="AU19" s="76">
        <f>'NS + DHM'!B29+15*2.3</f>
        <v>3880.6538461538462</v>
      </c>
      <c r="AV19" s="76">
        <f t="shared" si="13"/>
        <v>323.3878205128205</v>
      </c>
      <c r="AW19" s="76">
        <f>AU19/HR!$D$63</f>
        <v>1.03071815302891</v>
      </c>
      <c r="AX19" s="737"/>
      <c r="AY19" s="1624" t="s">
        <v>925</v>
      </c>
      <c r="AZ19" s="1625"/>
      <c r="BA19" s="1626"/>
      <c r="BB19" s="76">
        <f>350*251*7.5*BD17</f>
        <v>3953250</v>
      </c>
      <c r="BC19" s="76">
        <f>BB19/12</f>
        <v>329437.5</v>
      </c>
      <c r="BD19" s="76">
        <f>BB19/HR!$D$63</f>
        <v>1050</v>
      </c>
      <c r="BE19" s="737"/>
      <c r="BF19" s="323" t="s">
        <v>431</v>
      </c>
      <c r="BG19" s="324">
        <f>AU5+E5+E6+AU6+L24+AG16</f>
        <v>1075000</v>
      </c>
    </row>
    <row r="20" spans="2:59" ht="15" thickBot="1">
      <c r="B20" s="1628" t="s">
        <v>901</v>
      </c>
      <c r="C20" s="1637"/>
      <c r="D20" s="1630"/>
      <c r="E20" s="75">
        <v>5500</v>
      </c>
      <c r="F20" s="76">
        <f t="shared" si="12"/>
        <v>458.33333333333331</v>
      </c>
      <c r="G20" s="76">
        <f>E20/HR!$D$63</f>
        <v>1.4608233731739708</v>
      </c>
      <c r="H20" s="737"/>
      <c r="I20" s="1628" t="s">
        <v>907</v>
      </c>
      <c r="J20" s="1629"/>
      <c r="K20" s="1630"/>
      <c r="L20" s="76">
        <f>'NS + DHM'!P2</f>
        <v>7860</v>
      </c>
      <c r="M20" s="76">
        <f t="shared" si="17"/>
        <v>655</v>
      </c>
      <c r="N20" s="76">
        <f>L20/HR!$D$63</f>
        <v>2.0876494023904382</v>
      </c>
      <c r="O20" s="737"/>
      <c r="P20" s="1644" t="s">
        <v>430</v>
      </c>
      <c r="Q20" s="1645"/>
      <c r="R20" s="1646"/>
      <c r="S20" s="76">
        <v>9000</v>
      </c>
      <c r="T20" s="76">
        <f t="shared" si="21"/>
        <v>750</v>
      </c>
      <c r="U20" s="76">
        <f>S20/HR!$D$63</f>
        <v>2.3904382470119523</v>
      </c>
      <c r="V20" s="737"/>
      <c r="W20" s="1624" t="s">
        <v>926</v>
      </c>
      <c r="X20" s="1625"/>
      <c r="Y20" s="1626"/>
      <c r="Z20" s="76">
        <f>251*410*7.5*AB18</f>
        <v>6946425</v>
      </c>
      <c r="AA20" s="76">
        <f>Z20/12</f>
        <v>578868.75</v>
      </c>
      <c r="AB20" s="76">
        <f>Z20/HR!$D$63</f>
        <v>1845</v>
      </c>
      <c r="AC20" s="737"/>
      <c r="AD20" s="1628" t="s">
        <v>891</v>
      </c>
      <c r="AE20" s="1629"/>
      <c r="AF20" s="1630"/>
      <c r="AG20" s="76">
        <f>'NS + DHM'!K6</f>
        <v>85000</v>
      </c>
      <c r="AH20" s="76">
        <f>AG20/12</f>
        <v>7083.333333333333</v>
      </c>
      <c r="AI20" s="76">
        <f>AG20/HR!$D$63</f>
        <v>22.57636122177955</v>
      </c>
      <c r="AJ20" s="737"/>
      <c r="AK20" s="1628" t="s">
        <v>910</v>
      </c>
      <c r="AL20" s="1637"/>
      <c r="AM20" s="1630"/>
      <c r="AN20" s="76">
        <f>AN19*HR!D64</f>
        <v>5804726.3999999994</v>
      </c>
      <c r="AO20" s="76">
        <f>AN20/12</f>
        <v>483727.19999999995</v>
      </c>
      <c r="AP20" s="76">
        <f>AN20/HR!$D$63</f>
        <v>1541.7599999999998</v>
      </c>
      <c r="AQ20" s="737"/>
      <c r="AR20" s="1628" t="s">
        <v>901</v>
      </c>
      <c r="AS20" s="1637"/>
      <c r="AT20" s="1630"/>
      <c r="AU20" s="76">
        <v>5200</v>
      </c>
      <c r="AV20" s="76">
        <f t="shared" si="13"/>
        <v>433.33333333333331</v>
      </c>
      <c r="AW20" s="76">
        <f>AU20/HR!$D$63</f>
        <v>1.3811420982735725</v>
      </c>
      <c r="AX20" s="737"/>
      <c r="AY20" s="1628" t="s">
        <v>910</v>
      </c>
      <c r="AZ20" s="1637"/>
      <c r="BA20" s="1630"/>
      <c r="BB20" s="76">
        <f>BB19*HR!D64</f>
        <v>1391544</v>
      </c>
      <c r="BC20" s="76">
        <f>BB20/12</f>
        <v>115962</v>
      </c>
      <c r="BD20" s="76">
        <f>BB20/HR!$D$63</f>
        <v>369.6</v>
      </c>
      <c r="BE20" s="737"/>
      <c r="BF20" s="325" t="s">
        <v>271</v>
      </c>
      <c r="BG20" s="326">
        <f>SUM(BG4:BG19)</f>
        <v>78037995.81410256</v>
      </c>
    </row>
    <row r="21" spans="2:59" ht="15" thickBot="1">
      <c r="B21" s="1638" t="s">
        <v>927</v>
      </c>
      <c r="C21" s="1639"/>
      <c r="D21" s="1640"/>
      <c r="E21" s="75">
        <v>8500</v>
      </c>
      <c r="F21" s="76">
        <f t="shared" si="12"/>
        <v>708.33333333333337</v>
      </c>
      <c r="G21" s="76">
        <f>E21/HR!$D$63</f>
        <v>2.2576361221779551</v>
      </c>
      <c r="H21" s="737"/>
      <c r="I21" s="1631" t="s">
        <v>898</v>
      </c>
      <c r="J21" s="1632"/>
      <c r="K21" s="1633"/>
      <c r="L21" s="77">
        <f>SUM(L15:L20)</f>
        <v>268044</v>
      </c>
      <c r="M21" s="77">
        <f>SUM(M14:M20)</f>
        <v>22337</v>
      </c>
      <c r="N21" s="77">
        <f>SUM(N14:N20)</f>
        <v>71.193625498007975</v>
      </c>
      <c r="O21" s="54"/>
      <c r="P21" s="1628" t="s">
        <v>429</v>
      </c>
      <c r="Q21" s="1637"/>
      <c r="R21" s="1630"/>
      <c r="S21" s="76">
        <v>9000</v>
      </c>
      <c r="T21" s="76">
        <f t="shared" si="21"/>
        <v>750</v>
      </c>
      <c r="U21" s="76">
        <f>S21/HR!$D$63</f>
        <v>2.3904382470119523</v>
      </c>
      <c r="V21" s="737"/>
      <c r="W21" s="1628" t="s">
        <v>910</v>
      </c>
      <c r="X21" s="1637"/>
      <c r="Y21" s="1630"/>
      <c r="Z21" s="76">
        <f>HR!D64*'ROZ Tech. us.'!Z20</f>
        <v>2445141.5999999996</v>
      </c>
      <c r="AA21" s="76">
        <f>Z21/12</f>
        <v>203761.79999999996</v>
      </c>
      <c r="AB21" s="76">
        <f>Z21/HR!$D$63</f>
        <v>649.43999999999994</v>
      </c>
      <c r="AC21" s="737"/>
      <c r="AD21" s="1628" t="s">
        <v>895</v>
      </c>
      <c r="AE21" s="1629"/>
      <c r="AF21" s="1630"/>
      <c r="AG21" s="76">
        <f>'NS + DHM'!L6</f>
        <v>55000</v>
      </c>
      <c r="AH21" s="76">
        <f t="shared" ref="AH21:AH25" si="22">AG21/12</f>
        <v>4583.333333333333</v>
      </c>
      <c r="AI21" s="76">
        <f>AG21/HR!$D$63</f>
        <v>14.608233731739707</v>
      </c>
      <c r="AJ21" s="737"/>
      <c r="AK21" s="1628" t="s">
        <v>912</v>
      </c>
      <c r="AL21" s="1637"/>
      <c r="AM21" s="1630"/>
      <c r="AN21" s="76">
        <f>0.1*AN19</f>
        <v>1649070</v>
      </c>
      <c r="AO21" s="76">
        <f t="shared" ref="AO21:AO29" si="23">AN21/12</f>
        <v>137422.5</v>
      </c>
      <c r="AP21" s="76">
        <f>AN21/HR!$D$63</f>
        <v>438</v>
      </c>
      <c r="AQ21" s="737"/>
      <c r="AR21" s="1638" t="s">
        <v>927</v>
      </c>
      <c r="AS21" s="1639"/>
      <c r="AT21" s="1640"/>
      <c r="AU21" s="76">
        <v>25800</v>
      </c>
      <c r="AV21" s="76">
        <f t="shared" si="13"/>
        <v>2150</v>
      </c>
      <c r="AW21" s="76">
        <f>AU21/HR!$D$63</f>
        <v>6.8525896414342631</v>
      </c>
      <c r="AX21" s="737"/>
      <c r="AY21" s="1628" t="s">
        <v>912</v>
      </c>
      <c r="AZ21" s="1637"/>
      <c r="BA21" s="1630"/>
      <c r="BB21" s="76">
        <f>0.1*BB19</f>
        <v>395325</v>
      </c>
      <c r="BC21" s="76">
        <f t="shared" ref="BC21:BC29" si="24">BB21/12</f>
        <v>32943.75</v>
      </c>
      <c r="BD21" s="76">
        <f>BB21/HR!$D$63</f>
        <v>105</v>
      </c>
      <c r="BE21" s="737"/>
      <c r="BF21" s="737"/>
      <c r="BG21" s="737"/>
    </row>
    <row r="22" spans="2:59" ht="15">
      <c r="B22" s="1631" t="s">
        <v>898</v>
      </c>
      <c r="C22" s="1632"/>
      <c r="D22" s="1633"/>
      <c r="E22" s="77">
        <f>SUM(E11:E21)</f>
        <v>2038352.6538461538</v>
      </c>
      <c r="F22" s="77">
        <f t="shared" ref="F22" si="25">SUM(F11:F21)</f>
        <v>169862.72115384616</v>
      </c>
      <c r="G22" s="77">
        <f>SUM(G11:G21)</f>
        <v>541.39512718357332</v>
      </c>
      <c r="H22" s="737"/>
      <c r="I22" s="1622"/>
      <c r="J22" s="1627"/>
      <c r="K22" s="1627"/>
      <c r="L22" s="111" t="s">
        <v>882</v>
      </c>
      <c r="M22" s="111" t="s">
        <v>883</v>
      </c>
      <c r="N22" s="111" t="s">
        <v>884</v>
      </c>
      <c r="O22" s="54"/>
      <c r="P22" s="1628" t="s">
        <v>922</v>
      </c>
      <c r="Q22" s="1637"/>
      <c r="R22" s="1630"/>
      <c r="S22" s="76">
        <f>'NS + DHM'!C5*'NS + DHM'!B25</f>
        <v>353700</v>
      </c>
      <c r="T22" s="76">
        <f t="shared" si="21"/>
        <v>29475</v>
      </c>
      <c r="U22" s="76">
        <f>S22/HR!$D$63</f>
        <v>93.944223107569726</v>
      </c>
      <c r="V22" s="737"/>
      <c r="W22" s="1628" t="s">
        <v>912</v>
      </c>
      <c r="X22" s="1637"/>
      <c r="Y22" s="1630"/>
      <c r="Z22" s="76">
        <f>0.1*Z20</f>
        <v>694642.5</v>
      </c>
      <c r="AA22" s="76">
        <f t="shared" ref="AA22:AA30" si="26">Z22/12</f>
        <v>57886.875</v>
      </c>
      <c r="AB22" s="76">
        <f>Z22/HR!$D$63</f>
        <v>184.5</v>
      </c>
      <c r="AC22" s="737"/>
      <c r="AD22" s="1628" t="s">
        <v>899</v>
      </c>
      <c r="AE22" s="1629"/>
      <c r="AF22" s="1630"/>
      <c r="AG22" s="76">
        <f>'NS + DHM'!M6</f>
        <v>15000</v>
      </c>
      <c r="AH22" s="76">
        <f t="shared" si="22"/>
        <v>1250</v>
      </c>
      <c r="AI22" s="76">
        <f>AG22/HR!$D$63</f>
        <v>3.9840637450199203</v>
      </c>
      <c r="AJ22" s="737"/>
      <c r="AK22" s="1628" t="s">
        <v>913</v>
      </c>
      <c r="AL22" s="1637"/>
      <c r="AM22" s="1630"/>
      <c r="AN22" s="76">
        <v>75000</v>
      </c>
      <c r="AO22" s="76">
        <f t="shared" si="23"/>
        <v>6250</v>
      </c>
      <c r="AP22" s="76">
        <f>AN22/HR!$D$63</f>
        <v>19.920318725099602</v>
      </c>
      <c r="AQ22" s="737"/>
      <c r="AR22" s="1631" t="s">
        <v>898</v>
      </c>
      <c r="AS22" s="1632"/>
      <c r="AT22" s="1633"/>
      <c r="AU22" s="77">
        <f>SUM(AU11:AU21)</f>
        <v>6004897.9538461538</v>
      </c>
      <c r="AV22" s="77">
        <f t="shared" ref="AV22" si="27">SUM(AV11:AV21)</f>
        <v>500408.16282051284</v>
      </c>
      <c r="AW22" s="77">
        <f>SUM(AW11:AW21)</f>
        <v>1594.9264153641843</v>
      </c>
      <c r="AX22" s="737"/>
      <c r="AY22" s="1628" t="s">
        <v>913</v>
      </c>
      <c r="AZ22" s="1637"/>
      <c r="BA22" s="1630"/>
      <c r="BB22" s="76">
        <v>50000</v>
      </c>
      <c r="BC22" s="76">
        <f t="shared" si="24"/>
        <v>4166.666666666667</v>
      </c>
      <c r="BD22" s="76">
        <f>BB22/HR!$D$63</f>
        <v>13.280212483399735</v>
      </c>
      <c r="BE22" s="737"/>
      <c r="BF22" s="737"/>
      <c r="BG22" s="737"/>
    </row>
    <row r="23" spans="2:59">
      <c r="B23" s="1641" t="s">
        <v>928</v>
      </c>
      <c r="C23" s="1642"/>
      <c r="D23" s="1643"/>
      <c r="E23" s="87">
        <f>SUM(E22,E8)</f>
        <v>2373352.653846154</v>
      </c>
      <c r="F23" s="87">
        <f t="shared" ref="F23" si="28">SUM(F22,F8)</f>
        <v>197779.38782051281</v>
      </c>
      <c r="G23" s="87">
        <f>SUM(G22,G8)</f>
        <v>630.37255082235151</v>
      </c>
      <c r="H23" s="737"/>
      <c r="I23" s="1628" t="s">
        <v>905</v>
      </c>
      <c r="J23" s="1637"/>
      <c r="K23" s="1630"/>
      <c r="L23" s="76">
        <v>98000</v>
      </c>
      <c r="M23" s="76">
        <f>L23/12</f>
        <v>8166.666666666667</v>
      </c>
      <c r="N23" s="76">
        <f>L23/HR!$D$63</f>
        <v>26.029216467463481</v>
      </c>
      <c r="O23" s="54"/>
      <c r="P23" s="1628" t="s">
        <v>904</v>
      </c>
      <c r="Q23" s="1629"/>
      <c r="R23" s="1630"/>
      <c r="S23" s="76">
        <f>'NS + DHM'!B29+20*2.3</f>
        <v>3892.1538461538462</v>
      </c>
      <c r="T23" s="76">
        <f t="shared" si="21"/>
        <v>324.34615384615387</v>
      </c>
      <c r="U23" s="76">
        <f>S23/HR!$D$63</f>
        <v>1.0337726019000919</v>
      </c>
      <c r="V23" s="737"/>
      <c r="W23" s="1628" t="s">
        <v>913</v>
      </c>
      <c r="X23" s="1637"/>
      <c r="Y23" s="1630"/>
      <c r="Z23" s="76">
        <v>40000</v>
      </c>
      <c r="AA23" s="76">
        <f t="shared" si="26"/>
        <v>3333.3333333333335</v>
      </c>
      <c r="AB23" s="76">
        <f>Z23/HR!$D$63</f>
        <v>10.624169986719787</v>
      </c>
      <c r="AC23" s="737"/>
      <c r="AD23" s="1628" t="s">
        <v>903</v>
      </c>
      <c r="AE23" s="1629"/>
      <c r="AF23" s="1630"/>
      <c r="AG23" s="76">
        <f>'NS + DHM'!J6</f>
        <v>64000</v>
      </c>
      <c r="AH23" s="76">
        <f t="shared" si="22"/>
        <v>5333.333333333333</v>
      </c>
      <c r="AI23" s="76">
        <f>AG23/HR!$D$63</f>
        <v>16.998671978751659</v>
      </c>
      <c r="AJ23" s="737"/>
      <c r="AK23" s="1628" t="s">
        <v>915</v>
      </c>
      <c r="AL23" s="1637"/>
      <c r="AM23" s="1630"/>
      <c r="AN23" s="76">
        <v>94000</v>
      </c>
      <c r="AO23" s="76">
        <f t="shared" si="23"/>
        <v>7833.333333333333</v>
      </c>
      <c r="AP23" s="76">
        <f>AN23/HR!$D$63</f>
        <v>24.9667994687915</v>
      </c>
      <c r="AQ23" s="737"/>
      <c r="AR23" s="1641" t="s">
        <v>928</v>
      </c>
      <c r="AS23" s="1642"/>
      <c r="AT23" s="1643"/>
      <c r="AU23" s="87">
        <f>SUM(AU8,AU22)</f>
        <v>6660897.9538461538</v>
      </c>
      <c r="AV23" s="87">
        <f>SUM(AV8,AV22)</f>
        <v>555074.82948717952</v>
      </c>
      <c r="AW23" s="87">
        <f>SUM(AW8,AW22)</f>
        <v>1769.1628031463888</v>
      </c>
      <c r="AX23" s="737"/>
      <c r="AY23" s="1628" t="s">
        <v>915</v>
      </c>
      <c r="AZ23" s="1637"/>
      <c r="BA23" s="1630"/>
      <c r="BB23" s="76">
        <v>45000</v>
      </c>
      <c r="BC23" s="76">
        <f t="shared" si="24"/>
        <v>3750</v>
      </c>
      <c r="BD23" s="76">
        <f>BB23/HR!$D$63</f>
        <v>11.952191235059761</v>
      </c>
      <c r="BE23" s="737"/>
      <c r="BF23" s="737"/>
      <c r="BG23" s="737"/>
    </row>
    <row r="24" spans="2:59">
      <c r="B24" s="737"/>
      <c r="C24" s="737"/>
      <c r="D24" s="737"/>
      <c r="E24" s="737"/>
      <c r="F24" s="737"/>
      <c r="G24" s="737"/>
      <c r="H24" s="737"/>
      <c r="I24" s="1628" t="s">
        <v>890</v>
      </c>
      <c r="J24" s="1637"/>
      <c r="K24" s="1630"/>
      <c r="L24" s="76">
        <v>160000</v>
      </c>
      <c r="M24" s="76">
        <f t="shared" ref="M24" si="29">L24/12</f>
        <v>13333.333333333334</v>
      </c>
      <c r="N24" s="76">
        <f>L24/HR!$D$63</f>
        <v>42.496679946879148</v>
      </c>
      <c r="O24" s="54"/>
      <c r="P24" s="1628" t="s">
        <v>901</v>
      </c>
      <c r="Q24" s="1637"/>
      <c r="R24" s="1630"/>
      <c r="S24" s="86">
        <v>6100</v>
      </c>
      <c r="T24" s="76">
        <f t="shared" si="21"/>
        <v>508.33333333333331</v>
      </c>
      <c r="U24" s="76">
        <f>S24/HR!$D$63</f>
        <v>1.6201859229747675</v>
      </c>
      <c r="V24" s="737"/>
      <c r="W24" s="1628" t="s">
        <v>915</v>
      </c>
      <c r="X24" s="1637"/>
      <c r="Y24" s="1630"/>
      <c r="Z24" s="76">
        <v>65000</v>
      </c>
      <c r="AA24" s="76">
        <f t="shared" si="26"/>
        <v>5416.666666666667</v>
      </c>
      <c r="AB24" s="76">
        <f>Z24/HR!$D$63</f>
        <v>17.264276228419654</v>
      </c>
      <c r="AC24" s="737"/>
      <c r="AD24" s="1628" t="s">
        <v>904</v>
      </c>
      <c r="AE24" s="1629"/>
      <c r="AF24" s="1630"/>
      <c r="AG24" s="76">
        <f>'NS + DHM'!N6</f>
        <v>46184</v>
      </c>
      <c r="AH24" s="76">
        <f t="shared" si="22"/>
        <v>3848.6666666666665</v>
      </c>
      <c r="AI24" s="76">
        <f>AG24/HR!$D$63</f>
        <v>12.266666666666667</v>
      </c>
      <c r="AJ24" s="737"/>
      <c r="AK24" s="1644" t="s">
        <v>430</v>
      </c>
      <c r="AL24" s="1645"/>
      <c r="AM24" s="1646"/>
      <c r="AN24" s="76">
        <v>24000</v>
      </c>
      <c r="AO24" s="76">
        <f t="shared" si="23"/>
        <v>2000</v>
      </c>
      <c r="AP24" s="76">
        <f>AN24/HR!$D$63</f>
        <v>6.3745019920318722</v>
      </c>
      <c r="AQ24" s="737"/>
      <c r="AR24" s="737"/>
      <c r="AS24" s="737"/>
      <c r="AT24" s="737"/>
      <c r="AU24" s="737"/>
      <c r="AV24" s="737"/>
      <c r="AW24" s="737"/>
      <c r="AX24" s="737"/>
      <c r="AY24" s="1647" t="s">
        <v>430</v>
      </c>
      <c r="AZ24" s="1648"/>
      <c r="BA24" s="1649"/>
      <c r="BB24" s="76">
        <v>5500</v>
      </c>
      <c r="BC24" s="76">
        <f t="shared" si="24"/>
        <v>458.33333333333331</v>
      </c>
      <c r="BD24" s="76">
        <f>BB24/HR!$D$63</f>
        <v>1.4608233731739708</v>
      </c>
      <c r="BE24" s="737"/>
      <c r="BF24" s="737"/>
      <c r="BG24" s="737"/>
    </row>
    <row r="25" spans="2:59">
      <c r="B25" s="737"/>
      <c r="C25" s="737"/>
      <c r="D25" s="737"/>
      <c r="E25" s="737"/>
      <c r="F25" s="737"/>
      <c r="G25" s="737"/>
      <c r="H25" s="737"/>
      <c r="I25" s="1628" t="s">
        <v>929</v>
      </c>
      <c r="J25" s="1637"/>
      <c r="K25" s="1630"/>
      <c r="L25" s="76">
        <v>120000</v>
      </c>
      <c r="M25" s="76">
        <f>L25/12</f>
        <v>10000</v>
      </c>
      <c r="N25" s="76">
        <f>L25/HR!$D$63</f>
        <v>31.872509960159363</v>
      </c>
      <c r="O25" s="54"/>
      <c r="P25" s="1638" t="s">
        <v>927</v>
      </c>
      <c r="Q25" s="1639"/>
      <c r="R25" s="1640"/>
      <c r="S25" s="76">
        <v>20000</v>
      </c>
      <c r="T25" s="76">
        <f t="shared" si="21"/>
        <v>1666.6666666666667</v>
      </c>
      <c r="U25" s="76">
        <f>S25/HR!$D$63</f>
        <v>5.3120849933598935</v>
      </c>
      <c r="V25" s="737"/>
      <c r="W25" s="1644" t="s">
        <v>430</v>
      </c>
      <c r="X25" s="1645"/>
      <c r="Y25" s="1646"/>
      <c r="Z25" s="76">
        <v>6000</v>
      </c>
      <c r="AA25" s="76">
        <f t="shared" si="26"/>
        <v>500</v>
      </c>
      <c r="AB25" s="76">
        <f>Z25/HR!$D$63</f>
        <v>1.593625498007968</v>
      </c>
      <c r="AC25" s="737"/>
      <c r="AD25" s="1628" t="s">
        <v>907</v>
      </c>
      <c r="AE25" s="1629"/>
      <c r="AF25" s="1630"/>
      <c r="AG25" s="76">
        <f>'NS + DHM'!P6</f>
        <v>7860</v>
      </c>
      <c r="AH25" s="76">
        <f t="shared" si="22"/>
        <v>655</v>
      </c>
      <c r="AI25" s="76">
        <f>AG25/HR!$D$63</f>
        <v>2.0876494023904382</v>
      </c>
      <c r="AJ25" s="737"/>
      <c r="AK25" s="1628" t="s">
        <v>429</v>
      </c>
      <c r="AL25" s="1637"/>
      <c r="AM25" s="1630"/>
      <c r="AN25" s="76">
        <v>19000</v>
      </c>
      <c r="AO25" s="76">
        <f t="shared" si="23"/>
        <v>1583.3333333333333</v>
      </c>
      <c r="AP25" s="76">
        <f>AN25/HR!$D$63</f>
        <v>5.046480743691899</v>
      </c>
      <c r="AQ25" s="737"/>
      <c r="AR25" s="737"/>
      <c r="AS25" s="737"/>
      <c r="AT25" s="737"/>
      <c r="AU25" s="737"/>
      <c r="AV25" s="737"/>
      <c r="AW25" s="737"/>
      <c r="AX25" s="737"/>
      <c r="AY25" s="1650" t="s">
        <v>429</v>
      </c>
      <c r="AZ25" s="1651"/>
      <c r="BA25" s="1652"/>
      <c r="BB25" s="76">
        <v>5500</v>
      </c>
      <c r="BC25" s="76">
        <f t="shared" si="24"/>
        <v>458.33333333333331</v>
      </c>
      <c r="BD25" s="76">
        <f>BB25/HR!$D$63</f>
        <v>1.4608233731739708</v>
      </c>
      <c r="BE25" s="737"/>
      <c r="BF25" s="737"/>
      <c r="BG25" s="737"/>
    </row>
    <row r="26" spans="2:59">
      <c r="B26" s="737"/>
      <c r="C26" s="737"/>
      <c r="D26" s="737"/>
      <c r="E26" s="737"/>
      <c r="F26" s="737"/>
      <c r="G26" s="737"/>
      <c r="H26" s="737"/>
      <c r="I26" s="1631" t="s">
        <v>898</v>
      </c>
      <c r="J26" s="1632"/>
      <c r="K26" s="1633"/>
      <c r="L26" s="77">
        <f>SUM(L23:L25)</f>
        <v>378000</v>
      </c>
      <c r="M26" s="77">
        <f t="shared" ref="M26:N26" si="30">SUM(M23:M25)</f>
        <v>31500</v>
      </c>
      <c r="N26" s="77">
        <f t="shared" si="30"/>
        <v>100.39840637450199</v>
      </c>
      <c r="O26" s="54"/>
      <c r="P26" s="1631" t="s">
        <v>898</v>
      </c>
      <c r="Q26" s="1632"/>
      <c r="R26" s="1633"/>
      <c r="S26" s="77">
        <f>SUM(S15:S25)</f>
        <v>11279580.103846153</v>
      </c>
      <c r="T26" s="77">
        <f t="shared" ref="T26" si="31">SUM(T15:T25)</f>
        <v>939965.0086538461</v>
      </c>
      <c r="U26" s="77">
        <f>SUM(U15:U25)</f>
        <v>2995.9044100520982</v>
      </c>
      <c r="V26" s="737"/>
      <c r="W26" s="1628" t="s">
        <v>429</v>
      </c>
      <c r="X26" s="1637"/>
      <c r="Y26" s="1630"/>
      <c r="Z26" s="76">
        <v>6000</v>
      </c>
      <c r="AA26" s="76">
        <f t="shared" si="26"/>
        <v>500</v>
      </c>
      <c r="AB26" s="76">
        <f>Z26/HR!$D$63</f>
        <v>1.593625498007968</v>
      </c>
      <c r="AC26" s="737"/>
      <c r="AD26" s="1631" t="s">
        <v>898</v>
      </c>
      <c r="AE26" s="1632"/>
      <c r="AF26" s="1633"/>
      <c r="AG26" s="77">
        <f>SUM(AG20:AG25)</f>
        <v>273044</v>
      </c>
      <c r="AH26" s="77">
        <f t="shared" ref="AH26" si="32">SUM(AH20:AH25)</f>
        <v>22753.666666666668</v>
      </c>
      <c r="AI26" s="77">
        <f>SUM(AI20:AI25)</f>
        <v>72.52164674634794</v>
      </c>
      <c r="AJ26" s="737"/>
      <c r="AK26" s="1628" t="s">
        <v>922</v>
      </c>
      <c r="AL26" s="1637"/>
      <c r="AM26" s="1630"/>
      <c r="AN26" s="76">
        <f>'NS + DHM'!C8*'NS + DHM'!B25</f>
        <v>438850</v>
      </c>
      <c r="AO26" s="76">
        <f t="shared" si="23"/>
        <v>36570.833333333336</v>
      </c>
      <c r="AP26" s="76">
        <f>AN26/HR!$D$63</f>
        <v>116.56042496679947</v>
      </c>
      <c r="AQ26" s="737"/>
      <c r="AR26" s="737"/>
      <c r="AS26" s="737"/>
      <c r="AT26" s="737"/>
      <c r="AU26" s="737"/>
      <c r="AV26" s="737"/>
      <c r="AW26" s="737"/>
      <c r="AX26" s="737"/>
      <c r="AY26" s="1628" t="s">
        <v>922</v>
      </c>
      <c r="AZ26" s="1637"/>
      <c r="BA26" s="1630"/>
      <c r="BB26" s="76">
        <f>'NS + DHM'!C10*'NS + DHM'!B25</f>
        <v>189950</v>
      </c>
      <c r="BC26" s="76">
        <f t="shared" si="24"/>
        <v>15829.166666666666</v>
      </c>
      <c r="BD26" s="76">
        <f>BB26/HR!$D$63</f>
        <v>50.451527224435594</v>
      </c>
      <c r="BE26" s="737"/>
      <c r="BF26" s="737"/>
      <c r="BG26" s="737"/>
    </row>
    <row r="27" spans="2:59" ht="15">
      <c r="B27" s="737"/>
      <c r="C27" s="737"/>
      <c r="D27" s="737"/>
      <c r="E27" s="737"/>
      <c r="F27" s="737"/>
      <c r="G27" s="737"/>
      <c r="H27" s="737"/>
      <c r="I27" s="1622" t="s">
        <v>902</v>
      </c>
      <c r="J27" s="1627"/>
      <c r="K27" s="1627"/>
      <c r="L27" s="1627"/>
      <c r="M27" s="1627"/>
      <c r="N27" s="111">
        <f>'NS + DHM'!B4</f>
        <v>2</v>
      </c>
      <c r="O27" s="54"/>
      <c r="P27" s="1641" t="s">
        <v>928</v>
      </c>
      <c r="Q27" s="1642"/>
      <c r="R27" s="1643"/>
      <c r="S27" s="87">
        <f>SUM(S12,S26)</f>
        <v>13400080.103846153</v>
      </c>
      <c r="T27" s="87">
        <f t="shared" ref="T27" si="33">SUM(T12,T26)</f>
        <v>1116673.3419871794</v>
      </c>
      <c r="U27" s="87">
        <f>SUM(U12,U26)</f>
        <v>3559.1182214730811</v>
      </c>
      <c r="V27" s="54"/>
      <c r="W27" s="1628" t="s">
        <v>922</v>
      </c>
      <c r="X27" s="1637"/>
      <c r="Y27" s="1630"/>
      <c r="Z27" s="76">
        <f>'NS + DHM'!C6*'NS + DHM'!B25</f>
        <v>399550</v>
      </c>
      <c r="AA27" s="76">
        <f t="shared" si="26"/>
        <v>33295.833333333336</v>
      </c>
      <c r="AB27" s="76">
        <f>Z27/HR!$D$63</f>
        <v>106.12217795484727</v>
      </c>
      <c r="AC27" s="737"/>
      <c r="AD27" s="1622" t="s">
        <v>902</v>
      </c>
      <c r="AE27" s="1627"/>
      <c r="AF27" s="1627"/>
      <c r="AG27" s="1627"/>
      <c r="AH27" s="1627"/>
      <c r="AI27" s="111">
        <f>'NS + DHM'!B7</f>
        <v>6</v>
      </c>
      <c r="AJ27" s="737"/>
      <c r="AK27" s="1628" t="s">
        <v>904</v>
      </c>
      <c r="AL27" s="1629"/>
      <c r="AM27" s="1630"/>
      <c r="AN27" s="76">
        <f>'NS + DHM'!B29+30*2.3</f>
        <v>3915.1538461538462</v>
      </c>
      <c r="AO27" s="76">
        <f t="shared" si="23"/>
        <v>326.2628205128205</v>
      </c>
      <c r="AP27" s="76">
        <f>AN27/HR!$D$63</f>
        <v>1.0398814996424559</v>
      </c>
      <c r="AQ27" s="737"/>
      <c r="AR27" s="737"/>
      <c r="AS27" s="737"/>
      <c r="AT27" s="737"/>
      <c r="AU27" s="737"/>
      <c r="AV27" s="737"/>
      <c r="AW27" s="737"/>
      <c r="AX27" s="737"/>
      <c r="AY27" s="1628" t="s">
        <v>904</v>
      </c>
      <c r="AZ27" s="1629"/>
      <c r="BA27" s="1630"/>
      <c r="BB27" s="76">
        <f>'NS + DHM'!B29+25*2.3</f>
        <v>3903.6538461538462</v>
      </c>
      <c r="BC27" s="76">
        <f t="shared" si="24"/>
        <v>325.30448717948718</v>
      </c>
      <c r="BD27" s="76">
        <f>BB27/HR!$D$63</f>
        <v>1.0368270507712738</v>
      </c>
      <c r="BE27" s="737"/>
      <c r="BF27" s="737"/>
      <c r="BG27" s="737"/>
    </row>
    <row r="28" spans="2:59" ht="15">
      <c r="B28" s="737"/>
      <c r="C28" s="737"/>
      <c r="D28" s="737"/>
      <c r="E28" s="737"/>
      <c r="F28" s="737"/>
      <c r="G28" s="737"/>
      <c r="H28" s="737"/>
      <c r="I28" s="1622"/>
      <c r="J28" s="1627"/>
      <c r="K28" s="1627"/>
      <c r="L28" s="111" t="s">
        <v>882</v>
      </c>
      <c r="M28" s="111" t="s">
        <v>883</v>
      </c>
      <c r="N28" s="111" t="s">
        <v>884</v>
      </c>
      <c r="O28" s="54"/>
      <c r="P28" s="1362"/>
      <c r="Q28" s="1362"/>
      <c r="R28" s="1362"/>
      <c r="S28" s="1363"/>
      <c r="T28" s="1363"/>
      <c r="U28" s="1363"/>
      <c r="V28" s="54"/>
      <c r="W28" s="1628" t="s">
        <v>904</v>
      </c>
      <c r="X28" s="1629"/>
      <c r="Y28" s="1630"/>
      <c r="Z28" s="76">
        <f>'NS + DHM'!B29+40*2.3</f>
        <v>3938.1538461538462</v>
      </c>
      <c r="AA28" s="76">
        <f t="shared" si="26"/>
        <v>328.17948717948718</v>
      </c>
      <c r="AB28" s="76">
        <f>Z28/HR!$D$63</f>
        <v>1.0459903973848197</v>
      </c>
      <c r="AC28" s="54"/>
      <c r="AD28" s="1622"/>
      <c r="AE28" s="1627"/>
      <c r="AF28" s="1623"/>
      <c r="AG28" s="111" t="s">
        <v>882</v>
      </c>
      <c r="AH28" s="111" t="s">
        <v>883</v>
      </c>
      <c r="AI28" s="111" t="s">
        <v>884</v>
      </c>
      <c r="AJ28" s="737"/>
      <c r="AK28" s="1628" t="s">
        <v>901</v>
      </c>
      <c r="AL28" s="1637"/>
      <c r="AM28" s="1630"/>
      <c r="AN28" s="76">
        <v>12000</v>
      </c>
      <c r="AO28" s="76">
        <f t="shared" si="23"/>
        <v>1000</v>
      </c>
      <c r="AP28" s="76">
        <f>AN28/HR!$D$63</f>
        <v>3.1872509960159361</v>
      </c>
      <c r="AQ28" s="737"/>
      <c r="AR28" s="737"/>
      <c r="AS28" s="737"/>
      <c r="AT28" s="737"/>
      <c r="AU28" s="737"/>
      <c r="AV28" s="737"/>
      <c r="AW28" s="737"/>
      <c r="AX28" s="737"/>
      <c r="AY28" s="1628" t="s">
        <v>901</v>
      </c>
      <c r="AZ28" s="1637"/>
      <c r="BA28" s="1630"/>
      <c r="BB28" s="76">
        <v>5100</v>
      </c>
      <c r="BC28" s="76">
        <f t="shared" si="24"/>
        <v>425</v>
      </c>
      <c r="BD28" s="76">
        <f>BB28/HR!$D$63</f>
        <v>1.3545816733067728</v>
      </c>
      <c r="BE28" s="737"/>
      <c r="BF28" s="737"/>
      <c r="BG28" s="737"/>
    </row>
    <row r="29" spans="2:59">
      <c r="B29" s="737"/>
      <c r="C29" s="737"/>
      <c r="D29" s="737"/>
      <c r="E29" s="737"/>
      <c r="F29" s="737"/>
      <c r="G29" s="737"/>
      <c r="H29" s="737"/>
      <c r="I29" s="1624" t="s">
        <v>930</v>
      </c>
      <c r="J29" s="1625"/>
      <c r="K29" s="1626"/>
      <c r="L29" s="76">
        <f>251*325*7.5*N27</f>
        <v>1223625</v>
      </c>
      <c r="M29" s="76">
        <f>L29/12</f>
        <v>101968.75</v>
      </c>
      <c r="N29" s="76">
        <f>L29/HR!$D$63</f>
        <v>325</v>
      </c>
      <c r="O29" s="54"/>
      <c r="P29" s="1362"/>
      <c r="Q29" s="1362"/>
      <c r="R29" s="1362"/>
      <c r="S29" s="1363"/>
      <c r="T29" s="1363"/>
      <c r="U29" s="1363"/>
      <c r="V29" s="54"/>
      <c r="W29" s="1628" t="s">
        <v>901</v>
      </c>
      <c r="X29" s="1637"/>
      <c r="Y29" s="1630"/>
      <c r="Z29" s="76">
        <v>6500</v>
      </c>
      <c r="AA29" s="76">
        <f t="shared" si="26"/>
        <v>541.66666666666663</v>
      </c>
      <c r="AB29" s="76">
        <f>Z29/HR!$D$63</f>
        <v>1.7264276228419655</v>
      </c>
      <c r="AC29" s="54"/>
      <c r="AD29" s="1624" t="s">
        <v>930</v>
      </c>
      <c r="AE29" s="1625"/>
      <c r="AF29" s="1626"/>
      <c r="AG29" s="76">
        <f>251*325*7.5*AI27</f>
        <v>3670875</v>
      </c>
      <c r="AH29" s="76">
        <f>AG29/12</f>
        <v>305906.25</v>
      </c>
      <c r="AI29" s="76">
        <f>AG29/HR!$D$63</f>
        <v>975</v>
      </c>
      <c r="AJ29" s="737"/>
      <c r="AK29" s="1638" t="s">
        <v>927</v>
      </c>
      <c r="AL29" s="1639"/>
      <c r="AM29" s="1640"/>
      <c r="AN29" s="76">
        <v>45000</v>
      </c>
      <c r="AO29" s="76">
        <f t="shared" si="23"/>
        <v>3750</v>
      </c>
      <c r="AP29" s="76">
        <f>AN29/HR!$D$63</f>
        <v>11.952191235059761</v>
      </c>
      <c r="AQ29" s="737"/>
      <c r="AR29" s="737"/>
      <c r="AS29" s="737"/>
      <c r="AT29" s="737"/>
      <c r="AU29" s="737"/>
      <c r="AV29" s="737"/>
      <c r="AW29" s="737"/>
      <c r="AX29" s="737"/>
      <c r="AY29" s="1638" t="s">
        <v>927</v>
      </c>
      <c r="AZ29" s="1639"/>
      <c r="BA29" s="1640"/>
      <c r="BB29" s="76">
        <v>35000</v>
      </c>
      <c r="BC29" s="76">
        <f t="shared" si="24"/>
        <v>2916.6666666666665</v>
      </c>
      <c r="BD29" s="76">
        <f>BB29/HR!$D$63</f>
        <v>9.2961487383798147</v>
      </c>
      <c r="BE29" s="737"/>
      <c r="BF29" s="737"/>
      <c r="BG29" s="737"/>
    </row>
    <row r="30" spans="2:59">
      <c r="B30" s="737"/>
      <c r="C30" s="737"/>
      <c r="D30" s="737"/>
      <c r="E30" s="737"/>
      <c r="F30" s="737"/>
      <c r="G30" s="737"/>
      <c r="H30" s="737"/>
      <c r="I30" s="1628" t="s">
        <v>910</v>
      </c>
      <c r="J30" s="1637"/>
      <c r="K30" s="1630"/>
      <c r="L30" s="76">
        <f>L29*HR!D64</f>
        <v>430716</v>
      </c>
      <c r="M30" s="76">
        <f>L30/12</f>
        <v>35893</v>
      </c>
      <c r="N30" s="76">
        <f>L30/HR!$D$63</f>
        <v>114.4</v>
      </c>
      <c r="O30" s="54"/>
      <c r="P30" s="1362"/>
      <c r="Q30" s="1362"/>
      <c r="R30" s="1362"/>
      <c r="S30" s="1363"/>
      <c r="T30" s="1363"/>
      <c r="U30" s="1363"/>
      <c r="V30" s="44"/>
      <c r="W30" s="1638" t="s">
        <v>927</v>
      </c>
      <c r="X30" s="1639"/>
      <c r="Y30" s="1640"/>
      <c r="Z30" s="76">
        <v>11500</v>
      </c>
      <c r="AA30" s="76">
        <f t="shared" si="26"/>
        <v>958.33333333333337</v>
      </c>
      <c r="AB30" s="76">
        <f>Z30/HR!$D$63</f>
        <v>3.0544488711819389</v>
      </c>
      <c r="AC30" s="737"/>
      <c r="AD30" s="1628" t="s">
        <v>910</v>
      </c>
      <c r="AE30" s="1637"/>
      <c r="AF30" s="1630"/>
      <c r="AG30" s="76">
        <f>AG29*HR!D64</f>
        <v>1292148</v>
      </c>
      <c r="AH30" s="76">
        <f>AG30/12</f>
        <v>107679</v>
      </c>
      <c r="AI30" s="76">
        <f>AG30/HR!$D$63</f>
        <v>343.2</v>
      </c>
      <c r="AJ30" s="737"/>
      <c r="AK30" s="1631" t="s">
        <v>898</v>
      </c>
      <c r="AL30" s="1632"/>
      <c r="AM30" s="1633"/>
      <c r="AN30" s="77">
        <f t="shared" ref="AN30:AO30" si="34">SUM(AN19:AN29)</f>
        <v>24656261.553846151</v>
      </c>
      <c r="AO30" s="77">
        <f t="shared" si="34"/>
        <v>2054688.4628205125</v>
      </c>
      <c r="AP30" s="77">
        <f>SUM(AP19:AP29)</f>
        <v>6548.8078496271328</v>
      </c>
      <c r="AQ30" s="737"/>
      <c r="AR30" s="737"/>
      <c r="AS30" s="737"/>
      <c r="AT30" s="737"/>
      <c r="AU30" s="737"/>
      <c r="AV30" s="737"/>
      <c r="AW30" s="737"/>
      <c r="AX30" s="737"/>
      <c r="AY30" s="1631" t="s">
        <v>898</v>
      </c>
      <c r="AZ30" s="1632"/>
      <c r="BA30" s="1633"/>
      <c r="BB30" s="77">
        <f t="shared" ref="BB30:BC30" si="35">SUM(BB19:BB29)</f>
        <v>6080072.653846154</v>
      </c>
      <c r="BC30" s="77">
        <f t="shared" si="35"/>
        <v>506672.72115384619</v>
      </c>
      <c r="BD30" s="77">
        <f>SUM(BD19:BD29)</f>
        <v>1614.8931351517006</v>
      </c>
      <c r="BE30" s="737"/>
      <c r="BF30" s="737"/>
      <c r="BG30" s="737"/>
    </row>
    <row r="31" spans="2:59">
      <c r="B31" s="737"/>
      <c r="C31" s="737"/>
      <c r="D31" s="737"/>
      <c r="E31" s="737"/>
      <c r="F31" s="737"/>
      <c r="G31" s="737"/>
      <c r="H31" s="737"/>
      <c r="I31" s="1628" t="s">
        <v>912</v>
      </c>
      <c r="J31" s="1637"/>
      <c r="K31" s="1630"/>
      <c r="L31" s="76">
        <f>0.1*L29</f>
        <v>122362.5</v>
      </c>
      <c r="M31" s="76">
        <f t="shared" ref="M31:M39" si="36">L31/12</f>
        <v>10196.875</v>
      </c>
      <c r="N31" s="76">
        <f>L31/HR!$D$63</f>
        <v>32.5</v>
      </c>
      <c r="O31" s="54"/>
      <c r="P31" s="45"/>
      <c r="Q31" s="45"/>
      <c r="R31" s="45"/>
      <c r="S31" s="42"/>
      <c r="T31" s="42"/>
      <c r="U31" s="42"/>
      <c r="V31" s="44"/>
      <c r="W31" s="1631" t="s">
        <v>898</v>
      </c>
      <c r="X31" s="1632"/>
      <c r="Y31" s="1633"/>
      <c r="Z31" s="77">
        <f>SUM(Z20:Z30)</f>
        <v>10624697.253846154</v>
      </c>
      <c r="AA31" s="77">
        <f t="shared" ref="AA31" si="37">SUM(AA20:AA30)</f>
        <v>885391.4378205128</v>
      </c>
      <c r="AB31" s="77">
        <f>SUM(AB20:AB30)</f>
        <v>2821.9647420574111</v>
      </c>
      <c r="AC31" s="737"/>
      <c r="AD31" s="1628" t="s">
        <v>912</v>
      </c>
      <c r="AE31" s="1637"/>
      <c r="AF31" s="1630"/>
      <c r="AG31" s="76">
        <f>0.1*AG29</f>
        <v>367087.5</v>
      </c>
      <c r="AH31" s="76">
        <f t="shared" ref="AH31:AH39" si="38">AG31/12</f>
        <v>30590.625</v>
      </c>
      <c r="AI31" s="76">
        <f>AG31/HR!$D$63</f>
        <v>97.5</v>
      </c>
      <c r="AJ31" s="737"/>
      <c r="AK31" s="1641" t="s">
        <v>928</v>
      </c>
      <c r="AL31" s="1642"/>
      <c r="AM31" s="1643"/>
      <c r="AN31" s="87">
        <f>SUM(AN30,AN12,AN16)</f>
        <v>25558606.553846151</v>
      </c>
      <c r="AO31" s="87">
        <f>SUM(AO30,AO12,AO16)</f>
        <v>2129883.8794871792</v>
      </c>
      <c r="AP31" s="87">
        <f>SUM(AP30,AP12,AP16)</f>
        <v>6788.4745162937998</v>
      </c>
      <c r="AQ31" s="737"/>
      <c r="AR31" s="737"/>
      <c r="AS31" s="737"/>
      <c r="AT31" s="737"/>
      <c r="AU31" s="737"/>
      <c r="AV31" s="737"/>
      <c r="AW31" s="737"/>
      <c r="AX31" s="737"/>
      <c r="AY31" s="1641" t="s">
        <v>928</v>
      </c>
      <c r="AZ31" s="1642"/>
      <c r="BA31" s="1643"/>
      <c r="BB31" s="87">
        <f t="shared" ref="BB31:BC31" si="39">SUM(BB12,BB30,BB16)</f>
        <v>8391682.653846154</v>
      </c>
      <c r="BC31" s="87">
        <f t="shared" si="39"/>
        <v>699306.88782051287</v>
      </c>
      <c r="BD31" s="87">
        <f>SUM(BD12,BD30,BD16)</f>
        <v>2228.8665747267341</v>
      </c>
      <c r="BE31" s="737"/>
      <c r="BF31" s="737"/>
      <c r="BG31" s="737"/>
    </row>
    <row r="32" spans="2:59">
      <c r="B32" s="737"/>
      <c r="C32" s="737"/>
      <c r="D32" s="737"/>
      <c r="E32" s="737"/>
      <c r="F32" s="737"/>
      <c r="G32" s="737"/>
      <c r="H32" s="737"/>
      <c r="I32" s="1628" t="s">
        <v>913</v>
      </c>
      <c r="J32" s="1637"/>
      <c r="K32" s="1630"/>
      <c r="L32" s="76">
        <v>65000</v>
      </c>
      <c r="M32" s="76">
        <f t="shared" si="36"/>
        <v>5416.666666666667</v>
      </c>
      <c r="N32" s="76">
        <f>L32/HR!$D$63</f>
        <v>17.264276228419654</v>
      </c>
      <c r="O32" s="54"/>
      <c r="P32" s="42"/>
      <c r="Q32" s="37"/>
      <c r="R32" s="42"/>
      <c r="S32" s="42"/>
      <c r="T32" s="42"/>
      <c r="U32" s="42"/>
      <c r="V32" s="44"/>
      <c r="W32" s="1641" t="s">
        <v>928</v>
      </c>
      <c r="X32" s="1642"/>
      <c r="Y32" s="1643"/>
      <c r="Z32" s="87">
        <f t="shared" ref="Z32:AA32" si="40">SUM(Z31,Z12,Z17)</f>
        <v>11430580.253846154</v>
      </c>
      <c r="AA32" s="87">
        <f t="shared" si="40"/>
        <v>952548.35448717943</v>
      </c>
      <c r="AB32" s="87">
        <f>SUM(AB31,AB12,AB17)</f>
        <v>3036.0106915926035</v>
      </c>
      <c r="AC32" s="737"/>
      <c r="AD32" s="1628" t="s">
        <v>913</v>
      </c>
      <c r="AE32" s="1637"/>
      <c r="AF32" s="1630"/>
      <c r="AG32" s="76">
        <v>28000</v>
      </c>
      <c r="AH32" s="76">
        <f t="shared" si="38"/>
        <v>2333.3333333333335</v>
      </c>
      <c r="AI32" s="76">
        <f>AG32/HR!$D$63</f>
        <v>7.4369189907038509</v>
      </c>
      <c r="AJ32" s="737"/>
      <c r="AK32" s="46"/>
      <c r="AL32" s="46"/>
      <c r="AM32" s="46"/>
      <c r="AN32" s="46"/>
      <c r="AO32" s="42"/>
      <c r="AP32" s="42"/>
      <c r="AQ32" s="737"/>
      <c r="AR32" s="737"/>
      <c r="AS32" s="737"/>
      <c r="AT32" s="737"/>
      <c r="AU32" s="737"/>
      <c r="AV32" s="737"/>
      <c r="AW32" s="737"/>
      <c r="AX32" s="737"/>
      <c r="AY32" s="46"/>
      <c r="AZ32" s="46"/>
      <c r="BA32" s="46"/>
      <c r="BB32" s="46"/>
      <c r="BC32" s="42"/>
      <c r="BD32" s="42"/>
      <c r="BE32" s="737"/>
      <c r="BF32" s="737"/>
      <c r="BG32" s="737"/>
    </row>
    <row r="33" spans="2:56">
      <c r="B33" s="737"/>
      <c r="C33" s="737"/>
      <c r="D33" s="737"/>
      <c r="E33" s="737"/>
      <c r="F33" s="737"/>
      <c r="G33" s="737"/>
      <c r="H33" s="737"/>
      <c r="I33" s="1628" t="s">
        <v>915</v>
      </c>
      <c r="J33" s="1637"/>
      <c r="K33" s="1630"/>
      <c r="L33" s="76">
        <v>20000</v>
      </c>
      <c r="M33" s="76">
        <f t="shared" si="36"/>
        <v>1666.6666666666667</v>
      </c>
      <c r="N33" s="76">
        <f>L33/HR!$D$63</f>
        <v>5.3120849933598935</v>
      </c>
      <c r="O33" s="54"/>
      <c r="P33" s="37"/>
      <c r="Q33" s="37"/>
      <c r="R33" s="37"/>
      <c r="S33" s="37"/>
      <c r="T33" s="37"/>
      <c r="U33" s="37"/>
      <c r="V33" s="44"/>
      <c r="W33" s="1361"/>
      <c r="X33" s="1361"/>
      <c r="Y33" s="1361"/>
      <c r="Z33" s="1358"/>
      <c r="AA33" s="1358"/>
      <c r="AB33" s="1358"/>
      <c r="AC33" s="737"/>
      <c r="AD33" s="1628" t="s">
        <v>915</v>
      </c>
      <c r="AE33" s="1637"/>
      <c r="AF33" s="1630"/>
      <c r="AG33" s="76">
        <v>38000</v>
      </c>
      <c r="AH33" s="76">
        <f t="shared" si="38"/>
        <v>3166.6666666666665</v>
      </c>
      <c r="AI33" s="76">
        <f>AG33/HR!$D$63</f>
        <v>10.092961487383798</v>
      </c>
      <c r="AJ33" s="737"/>
      <c r="AK33" s="54"/>
      <c r="AL33" s="54"/>
      <c r="AM33" s="54"/>
      <c r="AN33" s="54"/>
      <c r="AO33" s="737"/>
      <c r="AP33" s="737"/>
      <c r="AQ33" s="737"/>
      <c r="AR33" s="737"/>
      <c r="AS33" s="737"/>
      <c r="AT33" s="737"/>
      <c r="AU33" s="737"/>
      <c r="AV33" s="737"/>
      <c r="AW33" s="737"/>
      <c r="AX33" s="737"/>
      <c r="AY33" s="54"/>
      <c r="AZ33" s="54"/>
      <c r="BA33" s="54"/>
      <c r="BB33" s="54"/>
      <c r="BC33" s="737"/>
      <c r="BD33" s="737"/>
    </row>
    <row r="34" spans="2:56">
      <c r="B34" s="737"/>
      <c r="C34" s="737"/>
      <c r="D34" s="737"/>
      <c r="E34" s="737"/>
      <c r="F34" s="737"/>
      <c r="G34" s="737"/>
      <c r="H34" s="737"/>
      <c r="I34" s="1644" t="s">
        <v>430</v>
      </c>
      <c r="J34" s="1645"/>
      <c r="K34" s="1646"/>
      <c r="L34" s="76">
        <v>5000</v>
      </c>
      <c r="M34" s="76">
        <f t="shared" si="36"/>
        <v>416.66666666666669</v>
      </c>
      <c r="N34" s="76">
        <f>L34/HR!$D$63</f>
        <v>1.3280212483399734</v>
      </c>
      <c r="O34" s="54"/>
      <c r="P34" s="44"/>
      <c r="Q34" s="44"/>
      <c r="R34" s="44"/>
      <c r="S34" s="44"/>
      <c r="T34" s="44"/>
      <c r="U34" s="44"/>
      <c r="V34" s="44"/>
      <c r="W34" s="1361"/>
      <c r="X34" s="1361"/>
      <c r="Y34" s="1361"/>
      <c r="Z34" s="1360"/>
      <c r="AA34" s="1360"/>
      <c r="AB34" s="1360"/>
      <c r="AC34" s="737"/>
      <c r="AD34" s="1644" t="s">
        <v>430</v>
      </c>
      <c r="AE34" s="1645"/>
      <c r="AF34" s="1646"/>
      <c r="AG34" s="76">
        <v>5500</v>
      </c>
      <c r="AH34" s="76">
        <f t="shared" si="38"/>
        <v>458.33333333333331</v>
      </c>
      <c r="AI34" s="76">
        <f>AG34/HR!$D$63</f>
        <v>1.4608233731739708</v>
      </c>
      <c r="AJ34" s="737"/>
      <c r="AK34" s="54"/>
      <c r="AL34" s="54"/>
      <c r="AM34" s="54"/>
      <c r="AN34" s="54"/>
      <c r="AO34" s="737"/>
      <c r="AP34" s="737"/>
      <c r="AQ34" s="737"/>
      <c r="AR34" s="737"/>
      <c r="AS34" s="737"/>
      <c r="AT34" s="737"/>
      <c r="AU34" s="737"/>
      <c r="AV34" s="737"/>
      <c r="AW34" s="737"/>
      <c r="AX34" s="737"/>
      <c r="AY34" s="737"/>
      <c r="AZ34" s="737"/>
      <c r="BA34" s="737"/>
      <c r="BB34" s="737"/>
      <c r="BC34" s="737"/>
      <c r="BD34" s="737"/>
    </row>
    <row r="35" spans="2:56">
      <c r="B35" s="737"/>
      <c r="C35" s="737"/>
      <c r="D35" s="737"/>
      <c r="E35" s="737"/>
      <c r="F35" s="737"/>
      <c r="G35" s="737"/>
      <c r="H35" s="737"/>
      <c r="I35" s="1628" t="s">
        <v>429</v>
      </c>
      <c r="J35" s="1637"/>
      <c r="K35" s="1630"/>
      <c r="L35" s="76">
        <v>5000</v>
      </c>
      <c r="M35" s="76">
        <f t="shared" si="36"/>
        <v>416.66666666666669</v>
      </c>
      <c r="N35" s="76">
        <f>L35/HR!$D$63</f>
        <v>1.3280212483399734</v>
      </c>
      <c r="O35" s="737"/>
      <c r="P35" s="44"/>
      <c r="Q35" s="44"/>
      <c r="R35" s="44"/>
      <c r="S35" s="44"/>
      <c r="T35" s="44"/>
      <c r="U35" s="44"/>
      <c r="V35" s="44"/>
      <c r="W35" s="1361"/>
      <c r="X35" s="1361"/>
      <c r="Y35" s="1361"/>
      <c r="Z35" s="54"/>
      <c r="AA35" s="54" t="s">
        <v>931</v>
      </c>
      <c r="AB35" s="54"/>
      <c r="AC35" s="737"/>
      <c r="AD35" s="1628" t="s">
        <v>429</v>
      </c>
      <c r="AE35" s="1637"/>
      <c r="AF35" s="1630"/>
      <c r="AG35" s="76">
        <v>5500</v>
      </c>
      <c r="AH35" s="76">
        <f t="shared" si="38"/>
        <v>458.33333333333331</v>
      </c>
      <c r="AI35" s="76">
        <f>AG35/HR!$D$63</f>
        <v>1.4608233731739708</v>
      </c>
      <c r="AJ35" s="737"/>
      <c r="AK35" s="737"/>
      <c r="AL35" s="737"/>
      <c r="AM35" s="737"/>
      <c r="AN35" s="737"/>
      <c r="AO35" s="737"/>
      <c r="AP35" s="737"/>
      <c r="AQ35" s="737"/>
      <c r="AR35" s="737"/>
      <c r="AS35" s="737"/>
      <c r="AT35" s="737"/>
      <c r="AU35" s="737"/>
      <c r="AV35" s="737"/>
      <c r="AW35" s="737"/>
      <c r="AX35" s="737"/>
      <c r="AY35" s="737"/>
      <c r="AZ35" s="737"/>
      <c r="BA35" s="737"/>
      <c r="BB35" s="737"/>
      <c r="BC35" s="737"/>
      <c r="BD35" s="737"/>
    </row>
    <row r="36" spans="2:56">
      <c r="B36" s="737"/>
      <c r="C36" s="737"/>
      <c r="D36" s="737"/>
      <c r="E36" s="737"/>
      <c r="F36" s="737"/>
      <c r="G36" s="737"/>
      <c r="H36" s="737"/>
      <c r="I36" s="1628" t="s">
        <v>922</v>
      </c>
      <c r="J36" s="1637"/>
      <c r="K36" s="1630"/>
      <c r="L36" s="76">
        <f>'NS + DHM'!C4*'NS + DHM'!B25</f>
        <v>445400</v>
      </c>
      <c r="M36" s="76">
        <f t="shared" si="36"/>
        <v>37116.666666666664</v>
      </c>
      <c r="N36" s="76">
        <f>L36/HR!$D$63</f>
        <v>118.30013280212484</v>
      </c>
      <c r="O36" s="737"/>
      <c r="P36" s="37"/>
      <c r="Q36" s="43"/>
      <c r="R36" s="43"/>
      <c r="S36" s="43"/>
      <c r="T36" s="43"/>
      <c r="U36" s="43"/>
      <c r="V36" s="44"/>
      <c r="W36" s="1362"/>
      <c r="X36" s="1362"/>
      <c r="Y36" s="1362"/>
      <c r="Z36" s="1363"/>
      <c r="AA36" s="1363"/>
      <c r="AB36" s="1363"/>
      <c r="AC36" s="737"/>
      <c r="AD36" s="1628" t="s">
        <v>922</v>
      </c>
      <c r="AE36" s="1637"/>
      <c r="AF36" s="1630"/>
      <c r="AG36" s="76">
        <f>'NS + DHM'!C7*'NS + DHM'!B25</f>
        <v>444090</v>
      </c>
      <c r="AH36" s="76">
        <f t="shared" si="38"/>
        <v>37007.5</v>
      </c>
      <c r="AI36" s="76">
        <f>AG36/HR!$D$63</f>
        <v>117.95219123505976</v>
      </c>
      <c r="AJ36" s="737"/>
      <c r="AK36" s="737"/>
      <c r="AL36" s="737"/>
      <c r="AM36" s="54"/>
      <c r="AN36" s="737"/>
      <c r="AO36" s="737"/>
      <c r="AP36" s="737"/>
      <c r="AQ36" s="737"/>
      <c r="AR36" s="737"/>
      <c r="AS36" s="737"/>
      <c r="AT36" s="737"/>
      <c r="AU36" s="737"/>
      <c r="AV36" s="737"/>
      <c r="AW36" s="737"/>
      <c r="AX36" s="737"/>
      <c r="AY36" s="737"/>
      <c r="AZ36" s="737"/>
      <c r="BA36" s="737"/>
      <c r="BB36" s="737"/>
      <c r="BC36" s="737"/>
      <c r="BD36" s="737"/>
    </row>
    <row r="37" spans="2:56">
      <c r="B37" s="737"/>
      <c r="C37" s="737"/>
      <c r="D37" s="737"/>
      <c r="E37" s="737"/>
      <c r="F37" s="737"/>
      <c r="G37" s="737"/>
      <c r="H37" s="737"/>
      <c r="I37" s="1628" t="s">
        <v>904</v>
      </c>
      <c r="J37" s="1629"/>
      <c r="K37" s="1630"/>
      <c r="L37" s="76">
        <f>10*2.3+'NS + DHM'!B29</f>
        <v>3869.1538461538462</v>
      </c>
      <c r="M37" s="76">
        <f t="shared" si="36"/>
        <v>322.42948717948718</v>
      </c>
      <c r="N37" s="76">
        <f>L37/HR!$D$63</f>
        <v>1.0276637041577281</v>
      </c>
      <c r="O37" s="737"/>
      <c r="P37" s="37"/>
      <c r="Q37" s="1362"/>
      <c r="R37" s="1362"/>
      <c r="S37" s="1362"/>
      <c r="T37" s="1362"/>
      <c r="U37" s="1362"/>
      <c r="V37" s="44"/>
      <c r="W37" s="1362"/>
      <c r="X37" s="1362"/>
      <c r="Y37" s="1362"/>
      <c r="Z37" s="1363"/>
      <c r="AA37" s="1363"/>
      <c r="AB37" s="1363"/>
      <c r="AC37" s="737"/>
      <c r="AD37" s="1628" t="s">
        <v>904</v>
      </c>
      <c r="AE37" s="1629"/>
      <c r="AF37" s="1630"/>
      <c r="AG37" s="76">
        <f>'NS + DHM'!B29+50*2.3</f>
        <v>3961.1538461538462</v>
      </c>
      <c r="AH37" s="76">
        <f t="shared" si="38"/>
        <v>330.09615384615387</v>
      </c>
      <c r="AI37" s="76">
        <f>AG37/HR!$D$63</f>
        <v>1.0520992951271835</v>
      </c>
      <c r="AJ37" s="737"/>
      <c r="AK37" s="737"/>
      <c r="AL37" s="737"/>
      <c r="AM37" s="737"/>
      <c r="AN37" s="737"/>
      <c r="AO37" s="737"/>
      <c r="AP37" s="737"/>
      <c r="AQ37" s="737"/>
      <c r="AR37" s="737"/>
      <c r="AS37" s="737"/>
      <c r="AT37" s="737"/>
      <c r="AU37" s="737"/>
      <c r="AV37" s="737"/>
      <c r="AW37" s="737"/>
      <c r="AX37" s="737"/>
      <c r="AY37" s="737"/>
      <c r="AZ37" s="737"/>
      <c r="BA37" s="737"/>
      <c r="BB37" s="737"/>
      <c r="BC37" s="737"/>
      <c r="BD37" s="737"/>
    </row>
    <row r="38" spans="2:56">
      <c r="B38" s="737"/>
      <c r="C38" s="737"/>
      <c r="D38" s="737"/>
      <c r="E38" s="737"/>
      <c r="F38" s="737"/>
      <c r="G38" s="737"/>
      <c r="H38" s="737"/>
      <c r="I38" s="1628" t="s">
        <v>901</v>
      </c>
      <c r="J38" s="1637"/>
      <c r="K38" s="1630"/>
      <c r="L38" s="76">
        <v>4300</v>
      </c>
      <c r="M38" s="76">
        <f t="shared" si="36"/>
        <v>358.33333333333331</v>
      </c>
      <c r="N38" s="76">
        <f>L38/HR!$D$63</f>
        <v>1.1420982735723773</v>
      </c>
      <c r="O38" s="737"/>
      <c r="P38" s="737"/>
      <c r="Q38" s="1361"/>
      <c r="R38" s="1361"/>
      <c r="S38" s="1361"/>
      <c r="T38" s="1361"/>
      <c r="U38" s="1361"/>
      <c r="V38" s="37"/>
      <c r="W38" s="1362"/>
      <c r="X38" s="1362"/>
      <c r="Y38" s="1362"/>
      <c r="Z38" s="1363"/>
      <c r="AA38" s="1363"/>
      <c r="AB38" s="1363"/>
      <c r="AC38" s="737"/>
      <c r="AD38" s="1628" t="s">
        <v>901</v>
      </c>
      <c r="AE38" s="1637"/>
      <c r="AF38" s="1630"/>
      <c r="AG38" s="76">
        <v>4900</v>
      </c>
      <c r="AH38" s="76">
        <f t="shared" si="38"/>
        <v>408.33333333333331</v>
      </c>
      <c r="AI38" s="76">
        <f>AG38/HR!$D$63</f>
        <v>1.3014608233731739</v>
      </c>
      <c r="AJ38" s="737"/>
      <c r="AK38" s="737"/>
      <c r="AL38" s="737"/>
      <c r="AM38" s="737"/>
      <c r="AN38" s="737"/>
      <c r="AO38" s="737"/>
      <c r="AP38" s="737"/>
      <c r="AQ38" s="737"/>
      <c r="AR38" s="737"/>
      <c r="AS38" s="737"/>
      <c r="AT38" s="737"/>
      <c r="AU38" s="737"/>
      <c r="AV38" s="737"/>
      <c r="AW38" s="737"/>
      <c r="AX38" s="737"/>
      <c r="AY38" s="737"/>
      <c r="AZ38" s="737"/>
      <c r="BA38" s="737"/>
      <c r="BB38" s="737"/>
      <c r="BC38" s="737"/>
      <c r="BD38" s="737"/>
    </row>
    <row r="39" spans="2:56">
      <c r="B39" s="737"/>
      <c r="C39" s="737"/>
      <c r="D39" s="737"/>
      <c r="E39" s="737"/>
      <c r="F39" s="737"/>
      <c r="G39" s="737"/>
      <c r="H39" s="737"/>
      <c r="I39" s="1638" t="s">
        <v>927</v>
      </c>
      <c r="J39" s="1639"/>
      <c r="K39" s="1640"/>
      <c r="L39" s="76">
        <v>28000</v>
      </c>
      <c r="M39" s="76">
        <f t="shared" si="36"/>
        <v>2333.3333333333335</v>
      </c>
      <c r="N39" s="76">
        <f>L39/HR!$D$63</f>
        <v>7.4369189907038509</v>
      </c>
      <c r="O39" s="737"/>
      <c r="P39" s="737"/>
      <c r="Q39" s="1361"/>
      <c r="R39" s="1361"/>
      <c r="S39" s="1361"/>
      <c r="T39" s="1361"/>
      <c r="U39" s="1361"/>
      <c r="V39" s="44"/>
      <c r="W39" s="1362"/>
      <c r="X39" s="1362"/>
      <c r="Y39" s="1362"/>
      <c r="Z39" s="1363"/>
      <c r="AA39" s="1363"/>
      <c r="AB39" s="1363"/>
      <c r="AC39" s="737"/>
      <c r="AD39" s="1638" t="s">
        <v>927</v>
      </c>
      <c r="AE39" s="1639"/>
      <c r="AF39" s="1640"/>
      <c r="AG39" s="76">
        <v>13500</v>
      </c>
      <c r="AH39" s="76">
        <f t="shared" si="38"/>
        <v>1125</v>
      </c>
      <c r="AI39" s="76">
        <f>AG39/HR!$D$63</f>
        <v>3.5856573705179282</v>
      </c>
      <c r="AJ39" s="737"/>
      <c r="AK39" s="737"/>
      <c r="AL39" s="737"/>
      <c r="AM39" s="737"/>
      <c r="AN39" s="737"/>
      <c r="AO39" s="737"/>
      <c r="AP39" s="737"/>
      <c r="AQ39" s="737"/>
      <c r="AR39" s="737"/>
      <c r="AS39" s="737"/>
      <c r="AT39" s="737"/>
      <c r="AU39" s="737"/>
      <c r="AV39" s="737"/>
      <c r="AW39" s="737"/>
      <c r="AX39" s="737"/>
      <c r="AY39" s="737"/>
      <c r="AZ39" s="737"/>
      <c r="BA39" s="737"/>
      <c r="BB39" s="737"/>
      <c r="BC39" s="737"/>
      <c r="BD39" s="737"/>
    </row>
    <row r="40" spans="2:56">
      <c r="B40" s="737"/>
      <c r="C40" s="737"/>
      <c r="D40" s="737"/>
      <c r="E40" s="737"/>
      <c r="F40" s="737"/>
      <c r="G40" s="737"/>
      <c r="H40" s="737"/>
      <c r="I40" s="1631" t="s">
        <v>898</v>
      </c>
      <c r="J40" s="1632"/>
      <c r="K40" s="1633"/>
      <c r="L40" s="77">
        <f>SUM(L29:L39)</f>
        <v>2353272.653846154</v>
      </c>
      <c r="M40" s="77">
        <f t="shared" ref="M40" si="41">SUM(M29:M39)</f>
        <v>196106.05448717947</v>
      </c>
      <c r="N40" s="77">
        <f>SUM(N29:N39)</f>
        <v>625.03921748901826</v>
      </c>
      <c r="O40" s="737"/>
      <c r="P40" s="44"/>
      <c r="Q40" s="1362"/>
      <c r="R40" s="1362"/>
      <c r="S40" s="1362"/>
      <c r="T40" s="1362"/>
      <c r="U40" s="1362"/>
      <c r="V40" s="54"/>
      <c r="W40" s="45"/>
      <c r="X40" s="45"/>
      <c r="Y40" s="45"/>
      <c r="Z40" s="42"/>
      <c r="AA40" s="42"/>
      <c r="AB40" s="42"/>
      <c r="AC40" s="737"/>
      <c r="AD40" s="1631" t="s">
        <v>898</v>
      </c>
      <c r="AE40" s="1632"/>
      <c r="AF40" s="1633"/>
      <c r="AG40" s="77">
        <f t="shared" ref="AG40:AH40" si="42">SUM(AG29:AG39)</f>
        <v>5873561.653846154</v>
      </c>
      <c r="AH40" s="77">
        <f t="shared" si="42"/>
        <v>489463.47115384607</v>
      </c>
      <c r="AI40" s="77">
        <f>SUM(AI29:AI39)</f>
        <v>1560.0429359485136</v>
      </c>
      <c r="AJ40" s="737"/>
      <c r="AK40" s="737"/>
      <c r="AL40" s="737"/>
      <c r="AM40" s="737"/>
      <c r="AN40" s="737"/>
      <c r="AO40" s="737"/>
      <c r="AP40" s="737"/>
      <c r="AQ40" s="737"/>
      <c r="AR40" s="737"/>
      <c r="AS40" s="737"/>
      <c r="AT40" s="737"/>
      <c r="AU40" s="737"/>
      <c r="AV40" s="737"/>
      <c r="AW40" s="737"/>
      <c r="AX40" s="737"/>
      <c r="AY40" s="737"/>
      <c r="AZ40" s="737"/>
      <c r="BA40" s="737"/>
      <c r="BB40" s="737"/>
      <c r="BC40" s="737"/>
      <c r="BD40" s="737"/>
    </row>
    <row r="41" spans="2:56">
      <c r="B41" s="737"/>
      <c r="C41" s="737"/>
      <c r="D41" s="737"/>
      <c r="E41" s="737"/>
      <c r="F41" s="737"/>
      <c r="G41" s="737"/>
      <c r="H41" s="737"/>
      <c r="I41" s="1641" t="s">
        <v>928</v>
      </c>
      <c r="J41" s="1642"/>
      <c r="K41" s="1643"/>
      <c r="L41" s="87">
        <f>SUM(L40,L21,L12,L26)</f>
        <v>3194041.653846154</v>
      </c>
      <c r="M41" s="87">
        <f t="shared" ref="M41" si="43">SUM(M40,M21,M12,M26)</f>
        <v>266170.13782051281</v>
      </c>
      <c r="N41" s="87">
        <f>SUM(N40,N21,N12,N26)</f>
        <v>848.35103687812853</v>
      </c>
      <c r="O41" s="737"/>
      <c r="P41" s="44"/>
      <c r="Q41" s="1362"/>
      <c r="R41" s="1362"/>
      <c r="S41" s="1362"/>
      <c r="T41" s="1362"/>
      <c r="U41" s="1362"/>
      <c r="V41" s="43"/>
      <c r="W41" s="48"/>
      <c r="X41" s="48"/>
      <c r="Y41" s="48"/>
      <c r="Z41" s="42"/>
      <c r="AA41" s="42"/>
      <c r="AB41" s="42"/>
      <c r="AC41" s="44"/>
      <c r="AD41" s="1641" t="s">
        <v>928</v>
      </c>
      <c r="AE41" s="1642"/>
      <c r="AF41" s="1643"/>
      <c r="AG41" s="87">
        <f t="shared" ref="AG41:AH41" si="44">SUM(AG12,AG26,AG40,AG17)</f>
        <v>6996113.987179487</v>
      </c>
      <c r="AH41" s="87">
        <f t="shared" si="44"/>
        <v>583009.49893162388</v>
      </c>
      <c r="AI41" s="87">
        <f>SUM(AI12,AI26,AI40,AI17)</f>
        <v>1858.1976061565701</v>
      </c>
      <c r="AJ41" s="737"/>
      <c r="AK41" s="737"/>
      <c r="AL41" s="737"/>
      <c r="AM41" s="737"/>
      <c r="AN41" s="737"/>
      <c r="AO41" s="737"/>
      <c r="AP41" s="737"/>
      <c r="AQ41" s="737"/>
      <c r="AR41" s="737"/>
      <c r="AS41" s="737"/>
      <c r="AT41" s="737"/>
      <c r="AU41" s="737"/>
      <c r="AV41" s="737"/>
      <c r="AW41" s="737"/>
      <c r="AX41" s="737"/>
      <c r="AY41" s="737"/>
      <c r="AZ41" s="737"/>
      <c r="BA41" s="737"/>
      <c r="BB41" s="737"/>
      <c r="BC41" s="737"/>
      <c r="BD41" s="737"/>
    </row>
    <row r="42" spans="2:56">
      <c r="B42" s="737"/>
      <c r="C42" s="737"/>
      <c r="D42" s="737"/>
      <c r="E42" s="737"/>
      <c r="F42" s="737"/>
      <c r="G42" s="737"/>
      <c r="H42" s="54"/>
      <c r="I42" s="737"/>
      <c r="J42" s="737"/>
      <c r="K42" s="737"/>
      <c r="L42" s="737"/>
      <c r="M42" s="737"/>
      <c r="N42" s="737"/>
      <c r="O42" s="737"/>
      <c r="P42" s="44"/>
      <c r="Q42" s="1362"/>
      <c r="R42" s="1362"/>
      <c r="S42" s="1362"/>
      <c r="T42" s="1362"/>
      <c r="U42" s="1362"/>
      <c r="V42" s="1362"/>
      <c r="W42" s="42"/>
      <c r="X42" s="42"/>
      <c r="Y42" s="42"/>
      <c r="Z42" s="42"/>
      <c r="AA42" s="42"/>
      <c r="AB42" s="42"/>
      <c r="AC42" s="44"/>
      <c r="AD42" s="47"/>
      <c r="AE42" s="47"/>
      <c r="AF42" s="47"/>
      <c r="AG42" s="46"/>
      <c r="AH42" s="42"/>
      <c r="AI42" s="42"/>
      <c r="AJ42" s="737"/>
      <c r="AK42" s="737"/>
      <c r="AL42" s="737"/>
      <c r="AM42" s="737"/>
      <c r="AN42" s="737"/>
      <c r="AO42" s="737"/>
      <c r="AP42" s="737"/>
      <c r="AQ42" s="737"/>
      <c r="AR42" s="737"/>
      <c r="AS42" s="737"/>
      <c r="AT42" s="737"/>
      <c r="AU42" s="737"/>
      <c r="AV42" s="737"/>
      <c r="AW42" s="737"/>
      <c r="AX42" s="737"/>
      <c r="AY42" s="737"/>
      <c r="AZ42" s="737"/>
      <c r="BA42" s="737"/>
      <c r="BB42" s="737"/>
      <c r="BC42" s="737"/>
      <c r="BD42" s="737"/>
    </row>
    <row r="43" spans="2:56" ht="15">
      <c r="B43" s="737"/>
      <c r="C43" s="737"/>
      <c r="D43" s="737"/>
      <c r="E43" s="737"/>
      <c r="F43" s="737"/>
      <c r="G43" s="737"/>
      <c r="H43" s="49"/>
      <c r="I43" s="737"/>
      <c r="J43" s="737"/>
      <c r="K43" s="737"/>
      <c r="L43" s="737"/>
      <c r="M43" s="737"/>
      <c r="N43" s="737"/>
      <c r="O43" s="737"/>
      <c r="P43" s="44"/>
      <c r="Q43" s="1362"/>
      <c r="R43" s="1362"/>
      <c r="S43" s="1362"/>
      <c r="T43" s="1362"/>
      <c r="U43" s="1362"/>
      <c r="V43" s="1362"/>
      <c r="W43" s="37"/>
      <c r="X43" s="37"/>
      <c r="Y43" s="37"/>
      <c r="Z43" s="37"/>
      <c r="AA43" s="37"/>
      <c r="AB43" s="37"/>
      <c r="AC43" s="44"/>
      <c r="AD43" s="42"/>
      <c r="AE43" s="42"/>
      <c r="AF43" s="42"/>
      <c r="AG43" s="42"/>
      <c r="AH43" s="42"/>
      <c r="AI43" s="42"/>
      <c r="AJ43" s="737"/>
      <c r="AK43" s="737"/>
      <c r="AL43" s="737"/>
      <c r="AM43" s="737"/>
      <c r="AN43" s="737"/>
      <c r="AO43" s="737"/>
      <c r="AP43" s="737"/>
      <c r="AQ43" s="737"/>
      <c r="AR43" s="737"/>
      <c r="AS43" s="737"/>
      <c r="AT43" s="737"/>
      <c r="AU43" s="737"/>
      <c r="AV43" s="737"/>
      <c r="AW43" s="737"/>
      <c r="AX43" s="737"/>
      <c r="AY43" s="737"/>
      <c r="AZ43" s="737"/>
      <c r="BA43" s="737"/>
      <c r="BB43" s="737"/>
      <c r="BC43" s="737"/>
      <c r="BD43" s="737"/>
    </row>
    <row r="44" spans="2:56" ht="15">
      <c r="B44" s="737"/>
      <c r="C44" s="737"/>
      <c r="D44" s="737"/>
      <c r="E44" s="737"/>
      <c r="F44" s="737"/>
      <c r="G44" s="737"/>
      <c r="H44" s="49"/>
      <c r="I44" s="737"/>
      <c r="J44" s="737"/>
      <c r="K44" s="737"/>
      <c r="L44" s="737"/>
      <c r="M44" s="737"/>
      <c r="N44" s="737"/>
      <c r="O44" s="737"/>
      <c r="P44" s="44"/>
      <c r="Q44" s="1362"/>
      <c r="R44" s="1362"/>
      <c r="S44" s="1362"/>
      <c r="T44" s="1362"/>
      <c r="U44" s="1362"/>
      <c r="V44" s="1362"/>
      <c r="W44" s="37"/>
      <c r="X44" s="37"/>
      <c r="Y44" s="37"/>
      <c r="Z44" s="37"/>
      <c r="AA44" s="37"/>
      <c r="AB44" s="37"/>
      <c r="AC44" s="44"/>
      <c r="AD44" s="37"/>
      <c r="AE44" s="37"/>
      <c r="AF44" s="37"/>
      <c r="AG44" s="37"/>
      <c r="AH44" s="44"/>
      <c r="AI44" s="44"/>
      <c r="AJ44" s="737"/>
      <c r="AK44" s="737"/>
      <c r="AL44" s="737"/>
      <c r="AM44" s="737"/>
      <c r="AN44" s="737"/>
      <c r="AO44" s="737"/>
      <c r="AP44" s="737"/>
      <c r="AQ44" s="737"/>
      <c r="AR44" s="737"/>
      <c r="AS44" s="737"/>
      <c r="AT44" s="737"/>
      <c r="AU44" s="737"/>
      <c r="AV44" s="737"/>
      <c r="AW44" s="737"/>
      <c r="AX44" s="737"/>
      <c r="AY44" s="737"/>
      <c r="AZ44" s="737"/>
      <c r="BA44" s="737"/>
      <c r="BB44" s="737"/>
      <c r="BC44" s="737"/>
      <c r="BD44" s="737"/>
    </row>
    <row r="45" spans="2:56" ht="15">
      <c r="B45" s="737"/>
      <c r="C45" s="737"/>
      <c r="D45" s="737"/>
      <c r="E45" s="737"/>
      <c r="F45" s="737"/>
      <c r="G45" s="737"/>
      <c r="H45" s="49"/>
      <c r="I45" s="737"/>
      <c r="J45" s="737"/>
      <c r="K45" s="737"/>
      <c r="L45" s="737"/>
      <c r="M45" s="737"/>
      <c r="N45" s="737"/>
      <c r="O45" s="737"/>
      <c r="P45" s="44"/>
      <c r="Q45" s="1362"/>
      <c r="R45" s="1362"/>
      <c r="S45" s="1362"/>
      <c r="T45" s="1362"/>
      <c r="U45" s="1362"/>
      <c r="V45" s="1362"/>
      <c r="W45" s="37"/>
      <c r="X45" s="37"/>
      <c r="Y45" s="37"/>
      <c r="Z45" s="37"/>
      <c r="AA45" s="37"/>
      <c r="AB45" s="37"/>
      <c r="AC45" s="44"/>
      <c r="AD45" s="737"/>
      <c r="AE45" s="737"/>
      <c r="AF45" s="737"/>
      <c r="AG45" s="737"/>
      <c r="AH45" s="737"/>
      <c r="AI45" s="737"/>
      <c r="AJ45" s="737"/>
      <c r="AK45" s="737"/>
      <c r="AL45" s="737"/>
      <c r="AM45" s="737"/>
      <c r="AN45" s="737"/>
      <c r="AO45" s="737"/>
      <c r="AP45" s="737"/>
      <c r="AQ45" s="737"/>
      <c r="AR45" s="737"/>
      <c r="AS45" s="737"/>
      <c r="AT45" s="737"/>
      <c r="AU45" s="737"/>
      <c r="AV45" s="737"/>
      <c r="AW45" s="737"/>
      <c r="AX45" s="737"/>
      <c r="AY45" s="737"/>
      <c r="AZ45" s="737"/>
      <c r="BA45" s="737"/>
      <c r="BB45" s="737"/>
      <c r="BC45" s="737"/>
      <c r="BD45" s="737"/>
    </row>
    <row r="46" spans="2:56" ht="15">
      <c r="B46" s="737"/>
      <c r="C46" s="737"/>
      <c r="D46" s="737"/>
      <c r="E46" s="737"/>
      <c r="F46" s="737"/>
      <c r="G46" s="737"/>
      <c r="H46" s="49"/>
      <c r="I46" s="737"/>
      <c r="J46" s="737"/>
      <c r="K46" s="737"/>
      <c r="L46" s="737"/>
      <c r="M46" s="737"/>
      <c r="N46" s="737"/>
      <c r="O46" s="737"/>
      <c r="P46" s="44"/>
      <c r="Q46" s="1362"/>
      <c r="R46" s="1362"/>
      <c r="S46" s="1362"/>
      <c r="T46" s="1362"/>
      <c r="U46" s="1362"/>
      <c r="V46" s="1362"/>
      <c r="W46" s="43"/>
      <c r="X46" s="43"/>
      <c r="Y46" s="43"/>
      <c r="Z46" s="43"/>
      <c r="AA46" s="43"/>
      <c r="AB46" s="43"/>
      <c r="AC46" s="44"/>
      <c r="AD46" s="737"/>
      <c r="AE46" s="737"/>
      <c r="AF46" s="737"/>
      <c r="AG46" s="737"/>
      <c r="AH46" s="737"/>
      <c r="AI46" s="737"/>
      <c r="AJ46" s="737"/>
      <c r="AK46" s="737"/>
      <c r="AL46" s="737"/>
      <c r="AM46" s="737"/>
      <c r="AN46" s="737"/>
      <c r="AO46" s="737"/>
      <c r="AP46" s="737"/>
      <c r="AQ46" s="737"/>
      <c r="AR46" s="737"/>
      <c r="AS46" s="737"/>
      <c r="AT46" s="737"/>
      <c r="AU46" s="737"/>
      <c r="AV46" s="737"/>
      <c r="AW46" s="737"/>
      <c r="AX46" s="737"/>
      <c r="AY46" s="737"/>
      <c r="AZ46" s="737"/>
      <c r="BA46" s="737"/>
      <c r="BB46" s="737"/>
      <c r="BC46" s="737"/>
      <c r="BD46" s="737"/>
    </row>
    <row r="47" spans="2:56" ht="15">
      <c r="B47" s="737"/>
      <c r="C47" s="737"/>
      <c r="D47" s="737"/>
      <c r="E47" s="737"/>
      <c r="F47" s="737"/>
      <c r="G47" s="737"/>
      <c r="H47" s="49"/>
      <c r="I47" s="737"/>
      <c r="J47" s="737"/>
      <c r="K47" s="737"/>
      <c r="L47" s="737"/>
      <c r="M47" s="737"/>
      <c r="N47" s="737"/>
      <c r="O47" s="737"/>
      <c r="P47" s="44"/>
      <c r="Q47" s="45"/>
      <c r="R47" s="45"/>
      <c r="S47" s="45"/>
      <c r="T47" s="45"/>
      <c r="U47" s="45"/>
      <c r="V47" s="1362"/>
      <c r="W47" s="1362"/>
      <c r="X47" s="1362"/>
      <c r="Y47" s="1362"/>
      <c r="Z47" s="37"/>
      <c r="AA47" s="37"/>
      <c r="AB47" s="37"/>
      <c r="AC47" s="44"/>
      <c r="AD47" s="737"/>
      <c r="AE47" s="737"/>
      <c r="AF47" s="737"/>
      <c r="AG47" s="737"/>
      <c r="AH47" s="737"/>
      <c r="AI47" s="737"/>
      <c r="AJ47" s="737"/>
      <c r="AK47" s="737"/>
      <c r="AL47" s="737"/>
      <c r="AM47" s="737"/>
      <c r="AN47" s="737"/>
      <c r="AO47" s="737"/>
      <c r="AP47" s="737"/>
      <c r="AQ47" s="737"/>
      <c r="AR47" s="737"/>
      <c r="AS47" s="737"/>
      <c r="AT47" s="737"/>
      <c r="AU47" s="737"/>
      <c r="AV47" s="737"/>
      <c r="AW47" s="737"/>
      <c r="AX47" s="737"/>
      <c r="AY47" s="737"/>
      <c r="AZ47" s="737"/>
      <c r="BA47" s="737"/>
      <c r="BB47" s="737"/>
      <c r="BC47" s="737"/>
      <c r="BD47" s="737"/>
    </row>
    <row r="48" spans="2:56" ht="15">
      <c r="B48" s="737"/>
      <c r="C48" s="737"/>
      <c r="D48" s="737"/>
      <c r="E48" s="737"/>
      <c r="F48" s="737"/>
      <c r="G48" s="54"/>
      <c r="H48" s="49"/>
      <c r="I48" s="54"/>
      <c r="J48" s="54"/>
      <c r="K48" s="54"/>
      <c r="L48" s="737"/>
      <c r="M48" s="737"/>
      <c r="N48" s="737"/>
      <c r="O48" s="737"/>
      <c r="P48" s="44"/>
      <c r="Q48" s="1362"/>
      <c r="R48" s="1362"/>
      <c r="S48" s="1362"/>
      <c r="T48" s="1362"/>
      <c r="U48" s="1362"/>
      <c r="V48" s="1362"/>
      <c r="W48" s="1362"/>
      <c r="X48" s="1362"/>
      <c r="Y48" s="1362"/>
      <c r="Z48" s="37"/>
      <c r="AA48" s="37"/>
      <c r="AB48" s="37"/>
      <c r="AC48" s="44"/>
      <c r="AD48" s="737"/>
      <c r="AE48" s="737"/>
      <c r="AF48" s="737"/>
      <c r="AG48" s="737"/>
      <c r="AH48" s="737"/>
      <c r="AI48" s="737"/>
      <c r="AJ48" s="737"/>
      <c r="AK48" s="737"/>
      <c r="AL48" s="737"/>
      <c r="AM48" s="737"/>
      <c r="AN48" s="737"/>
      <c r="AO48" s="737"/>
      <c r="AP48" s="737"/>
      <c r="AQ48" s="737"/>
      <c r="AR48" s="737"/>
      <c r="AS48" s="737"/>
      <c r="AT48" s="737"/>
      <c r="AU48" s="737"/>
      <c r="AV48" s="737"/>
      <c r="AW48" s="737"/>
      <c r="AX48" s="737"/>
      <c r="AY48" s="737"/>
      <c r="AZ48" s="737"/>
      <c r="BA48" s="737"/>
      <c r="BB48" s="737"/>
      <c r="BC48" s="737"/>
      <c r="BD48" s="737"/>
    </row>
    <row r="49" spans="2:56" ht="15">
      <c r="B49" s="737"/>
      <c r="C49" s="737"/>
      <c r="D49" s="737"/>
      <c r="E49" s="737"/>
      <c r="F49" s="737"/>
      <c r="G49" s="54"/>
      <c r="H49" s="49"/>
      <c r="I49" s="49"/>
      <c r="J49" s="49"/>
      <c r="K49" s="54"/>
      <c r="L49" s="737"/>
      <c r="M49" s="737"/>
      <c r="N49" s="737"/>
      <c r="O49" s="737"/>
      <c r="P49" s="44"/>
      <c r="Q49" s="45"/>
      <c r="R49" s="45"/>
      <c r="S49" s="45"/>
      <c r="T49" s="45"/>
      <c r="U49" s="45"/>
      <c r="V49" s="1362"/>
      <c r="W49" s="1362"/>
      <c r="X49" s="1362"/>
      <c r="Y49" s="1362"/>
      <c r="Z49" s="37"/>
      <c r="AA49" s="37"/>
      <c r="AB49" s="37"/>
      <c r="AC49" s="44"/>
      <c r="AD49" s="737"/>
      <c r="AE49" s="737"/>
      <c r="AF49" s="737"/>
      <c r="AG49" s="737"/>
      <c r="AH49" s="737"/>
      <c r="AI49" s="737"/>
      <c r="AJ49" s="737"/>
      <c r="AK49" s="737"/>
      <c r="AL49" s="737"/>
      <c r="AM49" s="737"/>
      <c r="AN49" s="737"/>
      <c r="AO49" s="737"/>
      <c r="AP49" s="737"/>
      <c r="AQ49" s="737"/>
      <c r="AR49" s="737"/>
      <c r="AS49" s="737"/>
      <c r="AT49" s="737"/>
      <c r="AU49" s="737"/>
      <c r="AV49" s="737"/>
      <c r="AW49" s="737"/>
      <c r="AX49" s="737"/>
      <c r="AY49" s="737"/>
      <c r="AZ49" s="737"/>
      <c r="BA49" s="737"/>
      <c r="BB49" s="737"/>
      <c r="BC49" s="737"/>
      <c r="BD49" s="737"/>
    </row>
    <row r="50" spans="2:56" ht="15">
      <c r="B50" s="737"/>
      <c r="C50" s="737"/>
      <c r="D50" s="737"/>
      <c r="E50" s="737"/>
      <c r="F50" s="737"/>
      <c r="G50" s="54"/>
      <c r="H50" s="54"/>
      <c r="I50" s="49"/>
      <c r="J50" s="49"/>
      <c r="K50" s="54"/>
      <c r="L50" s="737"/>
      <c r="M50" s="737"/>
      <c r="N50" s="737"/>
      <c r="O50" s="737"/>
      <c r="P50" s="44"/>
      <c r="Q50" s="37"/>
      <c r="R50" s="37"/>
      <c r="S50" s="37"/>
      <c r="T50" s="37"/>
      <c r="U50" s="37"/>
      <c r="V50" s="1362"/>
      <c r="W50" s="1362"/>
      <c r="X50" s="1362"/>
      <c r="Y50" s="1362"/>
      <c r="Z50" s="37"/>
      <c r="AA50" s="37"/>
      <c r="AB50" s="37"/>
      <c r="AC50" s="44"/>
      <c r="AD50" s="737"/>
      <c r="AE50" s="737"/>
      <c r="AF50" s="737"/>
      <c r="AG50" s="737"/>
      <c r="AH50" s="737"/>
      <c r="AI50" s="737"/>
      <c r="AJ50" s="737"/>
      <c r="AK50" s="737"/>
      <c r="AL50" s="737"/>
      <c r="AM50" s="737"/>
      <c r="AN50" s="737"/>
      <c r="AO50" s="737"/>
      <c r="AP50" s="737"/>
      <c r="AQ50" s="737"/>
      <c r="AR50" s="737"/>
      <c r="AS50" s="737"/>
      <c r="AT50" s="737"/>
      <c r="AU50" s="737"/>
      <c r="AV50" s="737"/>
      <c r="AW50" s="737"/>
      <c r="AX50" s="737"/>
      <c r="AY50" s="737"/>
      <c r="AZ50" s="737"/>
      <c r="BA50" s="737"/>
      <c r="BB50" s="737"/>
      <c r="BC50" s="737"/>
      <c r="BD50" s="737"/>
    </row>
    <row r="51" spans="2:56" ht="15">
      <c r="B51" s="737"/>
      <c r="C51" s="737"/>
      <c r="D51" s="737"/>
      <c r="E51" s="737"/>
      <c r="F51" s="737"/>
      <c r="G51" s="54"/>
      <c r="H51" s="54"/>
      <c r="I51" s="49"/>
      <c r="J51" s="49"/>
      <c r="K51" s="54"/>
      <c r="L51" s="737"/>
      <c r="M51" s="737"/>
      <c r="N51" s="737"/>
      <c r="O51" s="737"/>
      <c r="P51" s="44"/>
      <c r="Q51" s="44"/>
      <c r="R51" s="37"/>
      <c r="S51" s="37"/>
      <c r="T51" s="37"/>
      <c r="U51" s="37"/>
      <c r="V51" s="1362"/>
      <c r="W51" s="1362"/>
      <c r="X51" s="1362"/>
      <c r="Y51" s="1362"/>
      <c r="Z51" s="37"/>
      <c r="AA51" s="37"/>
      <c r="AB51" s="37"/>
      <c r="AC51" s="44"/>
      <c r="AD51" s="737"/>
      <c r="AE51" s="737"/>
      <c r="AF51" s="737"/>
      <c r="AG51" s="737"/>
      <c r="AH51" s="737"/>
      <c r="AI51" s="737"/>
      <c r="AJ51" s="737"/>
      <c r="AK51" s="737"/>
      <c r="AL51" s="737"/>
      <c r="AM51" s="737"/>
      <c r="AN51" s="737"/>
      <c r="AO51" s="737"/>
      <c r="AP51" s="737"/>
      <c r="AQ51" s="737"/>
      <c r="AR51" s="737"/>
      <c r="AS51" s="737"/>
      <c r="AT51" s="737"/>
      <c r="AU51" s="737"/>
      <c r="AV51" s="737"/>
      <c r="AW51" s="737"/>
      <c r="AX51" s="737"/>
      <c r="AY51" s="737"/>
      <c r="AZ51" s="737"/>
      <c r="BA51" s="737"/>
      <c r="BB51" s="737"/>
      <c r="BC51" s="737"/>
      <c r="BD51" s="737"/>
    </row>
    <row r="52" spans="2:56" ht="15">
      <c r="B52" s="737"/>
      <c r="C52" s="737"/>
      <c r="D52" s="737"/>
      <c r="E52" s="737"/>
      <c r="F52" s="737"/>
      <c r="G52" s="54"/>
      <c r="H52" s="737"/>
      <c r="I52" s="49"/>
      <c r="J52" s="49"/>
      <c r="K52" s="54"/>
      <c r="L52" s="737"/>
      <c r="M52" s="737"/>
      <c r="N52" s="737"/>
      <c r="O52" s="737"/>
      <c r="P52" s="44"/>
      <c r="Q52" s="44"/>
      <c r="R52" s="37"/>
      <c r="S52" s="37"/>
      <c r="T52" s="37"/>
      <c r="U52" s="37"/>
      <c r="V52" s="45"/>
      <c r="W52" s="1362"/>
      <c r="X52" s="1362"/>
      <c r="Y52" s="1362"/>
      <c r="Z52" s="37"/>
      <c r="AA52" s="37"/>
      <c r="AB52" s="37"/>
      <c r="AC52" s="44"/>
      <c r="AD52" s="737"/>
      <c r="AE52" s="737"/>
      <c r="AF52" s="737"/>
      <c r="AG52" s="737"/>
      <c r="AH52" s="737"/>
      <c r="AI52" s="737"/>
      <c r="AJ52" s="737"/>
      <c r="AK52" s="737"/>
      <c r="AL52" s="737"/>
      <c r="AM52" s="737"/>
      <c r="AN52" s="737"/>
      <c r="AO52" s="737"/>
      <c r="AP52" s="737"/>
      <c r="AQ52" s="737"/>
      <c r="AR52" s="737"/>
      <c r="AS52" s="737"/>
      <c r="AT52" s="737"/>
      <c r="AU52" s="737"/>
      <c r="AV52" s="737"/>
      <c r="AW52" s="737"/>
      <c r="AX52" s="737"/>
      <c r="AY52" s="737"/>
      <c r="AZ52" s="737"/>
      <c r="BA52" s="737"/>
      <c r="BB52" s="737"/>
      <c r="BC52" s="737"/>
      <c r="BD52" s="737"/>
    </row>
    <row r="53" spans="2:56" ht="15">
      <c r="B53" s="737"/>
      <c r="C53" s="737"/>
      <c r="D53" s="737"/>
      <c r="E53" s="737"/>
      <c r="F53" s="737"/>
      <c r="G53" s="54"/>
      <c r="H53" s="737"/>
      <c r="I53" s="49"/>
      <c r="J53" s="49"/>
      <c r="K53" s="54"/>
      <c r="L53" s="737"/>
      <c r="M53" s="737"/>
      <c r="N53" s="737"/>
      <c r="O53" s="737"/>
      <c r="P53" s="44"/>
      <c r="Q53" s="44"/>
      <c r="R53" s="37"/>
      <c r="S53" s="37"/>
      <c r="T53" s="37"/>
      <c r="U53" s="37"/>
      <c r="V53" s="1362"/>
      <c r="W53" s="1362"/>
      <c r="X53" s="1362"/>
      <c r="Y53" s="1362"/>
      <c r="Z53" s="37"/>
      <c r="AA53" s="37"/>
      <c r="AB53" s="37"/>
      <c r="AC53" s="44"/>
      <c r="AD53" s="737"/>
      <c r="AE53" s="737"/>
      <c r="AF53" s="737"/>
      <c r="AG53" s="737"/>
      <c r="AH53" s="737"/>
      <c r="AI53" s="737"/>
      <c r="AJ53" s="737"/>
      <c r="AK53" s="737"/>
      <c r="AL53" s="737"/>
      <c r="AM53" s="737"/>
      <c r="AN53" s="737"/>
      <c r="AO53" s="737"/>
      <c r="AP53" s="737"/>
      <c r="AQ53" s="737"/>
      <c r="AR53" s="737"/>
      <c r="AS53" s="737"/>
      <c r="AT53" s="737"/>
      <c r="AU53" s="737"/>
      <c r="AV53" s="737"/>
      <c r="AW53" s="737"/>
      <c r="AX53" s="737"/>
      <c r="AY53" s="737"/>
      <c r="AZ53" s="737"/>
      <c r="BA53" s="737"/>
      <c r="BB53" s="737"/>
      <c r="BC53" s="737"/>
      <c r="BD53" s="737"/>
    </row>
    <row r="54" spans="2:56" ht="15">
      <c r="B54" s="737"/>
      <c r="C54" s="737"/>
      <c r="D54" s="737"/>
      <c r="E54" s="737"/>
      <c r="F54" s="737"/>
      <c r="G54" s="54"/>
      <c r="H54" s="737"/>
      <c r="I54" s="49"/>
      <c r="J54" s="49"/>
      <c r="K54" s="54"/>
      <c r="L54" s="737"/>
      <c r="M54" s="737"/>
      <c r="N54" s="737"/>
      <c r="O54" s="737"/>
      <c r="P54" s="44"/>
      <c r="Q54" s="44"/>
      <c r="R54" s="37"/>
      <c r="S54" s="37"/>
      <c r="T54" s="37"/>
      <c r="U54" s="37"/>
      <c r="V54" s="45"/>
      <c r="W54" s="1362"/>
      <c r="X54" s="1362"/>
      <c r="Y54" s="1362"/>
      <c r="Z54" s="37"/>
      <c r="AA54" s="37"/>
      <c r="AB54" s="37"/>
      <c r="AC54" s="44"/>
      <c r="AD54" s="737"/>
      <c r="AE54" s="737"/>
      <c r="AF54" s="737"/>
      <c r="AG54" s="737"/>
      <c r="AH54" s="737"/>
      <c r="AI54" s="737"/>
      <c r="AJ54" s="737"/>
      <c r="AK54" s="737"/>
      <c r="AL54" s="737"/>
      <c r="AM54" s="737"/>
      <c r="AN54" s="737"/>
      <c r="AO54" s="737"/>
      <c r="AP54" s="737"/>
      <c r="AQ54" s="737"/>
      <c r="AR54" s="737"/>
      <c r="AS54" s="737"/>
      <c r="AT54" s="737"/>
      <c r="AU54" s="737"/>
      <c r="AV54" s="737"/>
      <c r="AW54" s="737"/>
      <c r="AX54" s="737"/>
      <c r="AY54" s="737"/>
      <c r="AZ54" s="737"/>
      <c r="BA54" s="737"/>
      <c r="BB54" s="737"/>
      <c r="BC54" s="737"/>
      <c r="BD54" s="737"/>
    </row>
    <row r="55" spans="2:56" ht="15">
      <c r="B55" s="737"/>
      <c r="C55" s="737"/>
      <c r="D55" s="737"/>
      <c r="E55" s="737"/>
      <c r="F55" s="737"/>
      <c r="G55" s="54"/>
      <c r="H55" s="737"/>
      <c r="I55" s="49"/>
      <c r="J55" s="49"/>
      <c r="K55" s="54"/>
      <c r="L55" s="737"/>
      <c r="M55" s="737"/>
      <c r="N55" s="737"/>
      <c r="O55" s="737"/>
      <c r="P55" s="44"/>
      <c r="Q55" s="44"/>
      <c r="R55" s="44"/>
      <c r="S55" s="44"/>
      <c r="T55" s="44"/>
      <c r="U55" s="44"/>
      <c r="V55" s="37"/>
      <c r="W55" s="1362"/>
      <c r="X55" s="1362"/>
      <c r="Y55" s="1362"/>
      <c r="Z55" s="37"/>
      <c r="AA55" s="37"/>
      <c r="AB55" s="37"/>
      <c r="AC55" s="44"/>
      <c r="AD55" s="737"/>
      <c r="AE55" s="737"/>
      <c r="AF55" s="737"/>
      <c r="AG55" s="737"/>
      <c r="AH55" s="737"/>
      <c r="AI55" s="737"/>
      <c r="AJ55" s="737"/>
      <c r="AK55" s="737"/>
      <c r="AL55" s="737"/>
      <c r="AM55" s="737"/>
      <c r="AN55" s="737"/>
      <c r="AO55" s="737"/>
      <c r="AP55" s="737"/>
      <c r="AQ55" s="737"/>
      <c r="AR55" s="737"/>
      <c r="AS55" s="737"/>
      <c r="AT55" s="737"/>
      <c r="AU55" s="737"/>
      <c r="AV55" s="737"/>
      <c r="AW55" s="737"/>
      <c r="AX55" s="737"/>
      <c r="AY55" s="737"/>
      <c r="AZ55" s="737"/>
      <c r="BA55" s="737"/>
      <c r="BB55" s="737"/>
      <c r="BC55" s="737"/>
      <c r="BD55" s="737"/>
    </row>
    <row r="56" spans="2:56">
      <c r="B56" s="737"/>
      <c r="C56" s="737"/>
      <c r="D56" s="737"/>
      <c r="E56" s="737"/>
      <c r="F56" s="737"/>
      <c r="G56" s="54"/>
      <c r="H56" s="737"/>
      <c r="I56" s="54"/>
      <c r="J56" s="54"/>
      <c r="K56" s="54"/>
      <c r="L56" s="737"/>
      <c r="M56" s="737"/>
      <c r="N56" s="737"/>
      <c r="O56" s="737"/>
      <c r="P56" s="737"/>
      <c r="Q56" s="737"/>
      <c r="R56" s="737"/>
      <c r="S56" s="737"/>
      <c r="T56" s="737"/>
      <c r="U56" s="737"/>
      <c r="V56" s="44"/>
      <c r="W56" s="1362"/>
      <c r="X56" s="1362"/>
      <c r="Y56" s="1362"/>
      <c r="Z56" s="37"/>
      <c r="AA56" s="37"/>
      <c r="AB56" s="37"/>
      <c r="AC56" s="44"/>
      <c r="AD56" s="737"/>
      <c r="AE56" s="737"/>
      <c r="AF56" s="737"/>
      <c r="AG56" s="737"/>
      <c r="AH56" s="737"/>
      <c r="AI56" s="737"/>
      <c r="AJ56" s="737"/>
      <c r="AK56" s="737"/>
      <c r="AL56" s="737"/>
      <c r="AM56" s="737"/>
      <c r="AN56" s="737"/>
      <c r="AO56" s="737"/>
      <c r="AP56" s="737"/>
      <c r="AQ56" s="737"/>
      <c r="AR56" s="737"/>
      <c r="AS56" s="737"/>
      <c r="AT56" s="737"/>
      <c r="AU56" s="737"/>
      <c r="AV56" s="737"/>
      <c r="AW56" s="737"/>
      <c r="AX56" s="737"/>
      <c r="AY56" s="737"/>
      <c r="AZ56" s="737"/>
      <c r="BA56" s="737"/>
      <c r="BB56" s="737"/>
      <c r="BC56" s="737"/>
      <c r="BD56" s="737"/>
    </row>
    <row r="57" spans="2:56">
      <c r="B57" s="737"/>
      <c r="C57" s="737"/>
      <c r="D57" s="737"/>
      <c r="E57" s="737"/>
      <c r="F57" s="737"/>
      <c r="G57" s="54"/>
      <c r="H57" s="737"/>
      <c r="I57" s="54"/>
      <c r="J57" s="54"/>
      <c r="K57" s="54"/>
      <c r="L57" s="737"/>
      <c r="M57" s="737"/>
      <c r="N57" s="737"/>
      <c r="O57" s="737"/>
      <c r="P57" s="737"/>
      <c r="Q57" s="737"/>
      <c r="R57" s="737"/>
      <c r="S57" s="737"/>
      <c r="T57" s="737"/>
      <c r="U57" s="737"/>
      <c r="V57" s="737"/>
      <c r="W57" s="45"/>
      <c r="X57" s="45"/>
      <c r="Y57" s="45"/>
      <c r="Z57" s="43"/>
      <c r="AA57" s="43"/>
      <c r="AB57" s="43"/>
      <c r="AC57" s="737"/>
      <c r="AD57" s="737"/>
      <c r="AE57" s="737"/>
      <c r="AF57" s="737"/>
      <c r="AG57" s="737"/>
      <c r="AH57" s="737"/>
      <c r="AI57" s="737"/>
      <c r="AJ57" s="737"/>
      <c r="AK57" s="737"/>
      <c r="AL57" s="737"/>
      <c r="AM57" s="737"/>
      <c r="AN57" s="737"/>
      <c r="AO57" s="737"/>
      <c r="AP57" s="737"/>
      <c r="AQ57" s="737"/>
      <c r="AR57" s="737"/>
      <c r="AS57" s="737"/>
      <c r="AT57" s="737"/>
      <c r="AU57" s="737"/>
      <c r="AV57" s="737"/>
      <c r="AW57" s="737"/>
      <c r="AX57" s="737"/>
      <c r="AY57" s="737"/>
      <c r="AZ57" s="737"/>
      <c r="BA57" s="737"/>
      <c r="BB57" s="737"/>
      <c r="BC57" s="737"/>
      <c r="BD57" s="737"/>
    </row>
    <row r="58" spans="2:56">
      <c r="B58" s="737"/>
      <c r="C58" s="737"/>
      <c r="D58" s="737"/>
      <c r="E58" s="737"/>
      <c r="F58" s="737"/>
      <c r="G58" s="737"/>
      <c r="H58" s="737"/>
      <c r="I58" s="737"/>
      <c r="J58" s="737"/>
      <c r="K58" s="737"/>
      <c r="L58" s="737"/>
      <c r="M58" s="737"/>
      <c r="N58" s="737"/>
      <c r="O58" s="737"/>
      <c r="P58" s="737"/>
      <c r="Q58" s="737"/>
      <c r="R58" s="737"/>
      <c r="S58" s="737"/>
      <c r="T58" s="737"/>
      <c r="U58" s="737"/>
      <c r="V58" s="737"/>
      <c r="W58" s="1362"/>
      <c r="X58" s="1362"/>
      <c r="Y58" s="1362"/>
      <c r="Z58" s="37"/>
      <c r="AA58" s="37"/>
      <c r="AB58" s="37"/>
      <c r="AC58" s="737"/>
      <c r="AD58" s="737"/>
      <c r="AE58" s="737"/>
      <c r="AF58" s="737"/>
      <c r="AG58" s="737"/>
      <c r="AH58" s="737"/>
      <c r="AI58" s="737"/>
      <c r="AJ58" s="737"/>
      <c r="AK58" s="737"/>
      <c r="AL58" s="737"/>
      <c r="AM58" s="737"/>
      <c r="AN58" s="737"/>
      <c r="AO58" s="737"/>
      <c r="AP58" s="737"/>
      <c r="AQ58" s="737"/>
      <c r="AR58" s="737"/>
      <c r="AS58" s="737"/>
      <c r="AT58" s="737"/>
      <c r="AU58" s="737"/>
      <c r="AV58" s="737"/>
      <c r="AW58" s="737"/>
      <c r="AX58" s="737"/>
      <c r="AY58" s="737"/>
      <c r="AZ58" s="737"/>
      <c r="BA58" s="737"/>
      <c r="BB58" s="737"/>
      <c r="BC58" s="737"/>
      <c r="BD58" s="737"/>
    </row>
    <row r="59" spans="2:56">
      <c r="B59" s="737"/>
      <c r="C59" s="737"/>
      <c r="D59" s="737"/>
      <c r="E59" s="737"/>
      <c r="F59" s="737"/>
      <c r="G59" s="737"/>
      <c r="H59" s="737"/>
      <c r="I59" s="737"/>
      <c r="J59" s="737"/>
      <c r="K59" s="737"/>
      <c r="L59" s="737"/>
      <c r="M59" s="737"/>
      <c r="N59" s="737"/>
      <c r="O59" s="737"/>
      <c r="P59" s="737"/>
      <c r="Q59" s="737"/>
      <c r="R59" s="737"/>
      <c r="S59" s="737"/>
      <c r="T59" s="737"/>
      <c r="U59" s="737"/>
      <c r="V59" s="737"/>
      <c r="W59" s="45"/>
      <c r="X59" s="45"/>
      <c r="Y59" s="45"/>
      <c r="Z59" s="43"/>
      <c r="AA59" s="43"/>
      <c r="AB59" s="43"/>
      <c r="AC59" s="737"/>
      <c r="AD59" s="737"/>
      <c r="AE59" s="737"/>
      <c r="AF59" s="737"/>
      <c r="AG59" s="737"/>
      <c r="AH59" s="737"/>
      <c r="AI59" s="737"/>
      <c r="AJ59" s="737"/>
      <c r="AK59" s="737"/>
      <c r="AL59" s="737"/>
      <c r="AM59" s="737"/>
      <c r="AN59" s="737"/>
      <c r="AO59" s="737"/>
      <c r="AP59" s="737"/>
      <c r="AQ59" s="737"/>
      <c r="AR59" s="737"/>
      <c r="AS59" s="737"/>
      <c r="AT59" s="737"/>
      <c r="AU59" s="737"/>
      <c r="AV59" s="737"/>
      <c r="AW59" s="737"/>
      <c r="AX59" s="737"/>
      <c r="AY59" s="737"/>
      <c r="AZ59" s="737"/>
      <c r="BA59" s="737"/>
      <c r="BB59" s="737"/>
      <c r="BC59" s="737"/>
      <c r="BD59" s="737"/>
    </row>
    <row r="60" spans="2:56">
      <c r="B60" s="737"/>
      <c r="C60" s="737"/>
      <c r="D60" s="737"/>
      <c r="E60" s="737"/>
      <c r="F60" s="737"/>
      <c r="G60" s="737"/>
      <c r="H60" s="737"/>
      <c r="I60" s="737"/>
      <c r="J60" s="737"/>
      <c r="K60" s="737"/>
      <c r="L60" s="737"/>
      <c r="M60" s="737"/>
      <c r="N60" s="737"/>
      <c r="O60" s="737"/>
      <c r="P60" s="737"/>
      <c r="Q60" s="737"/>
      <c r="R60" s="737"/>
      <c r="S60" s="737"/>
      <c r="T60" s="737"/>
      <c r="U60" s="737"/>
      <c r="V60" s="737"/>
      <c r="W60" s="37"/>
      <c r="X60" s="37"/>
      <c r="Y60" s="37"/>
      <c r="Z60" s="37"/>
      <c r="AA60" s="37"/>
      <c r="AB60" s="37"/>
      <c r="AC60" s="737"/>
      <c r="AD60" s="737"/>
      <c r="AE60" s="737"/>
      <c r="AF60" s="737"/>
      <c r="AG60" s="737"/>
      <c r="AH60" s="737"/>
      <c r="AI60" s="737"/>
      <c r="AJ60" s="737"/>
      <c r="AK60" s="737"/>
      <c r="AL60" s="737"/>
      <c r="AM60" s="737"/>
      <c r="AN60" s="737"/>
      <c r="AO60" s="737"/>
      <c r="AP60" s="737"/>
      <c r="AQ60" s="737"/>
      <c r="AR60" s="737"/>
      <c r="AS60" s="737"/>
      <c r="AT60" s="737"/>
      <c r="AU60" s="737"/>
      <c r="AV60" s="737"/>
      <c r="AW60" s="737"/>
      <c r="AX60" s="737"/>
      <c r="AY60" s="737"/>
      <c r="AZ60" s="737"/>
      <c r="BA60" s="737"/>
      <c r="BB60" s="737"/>
      <c r="BC60" s="737"/>
      <c r="BD60" s="737"/>
    </row>
    <row r="61" spans="2:56">
      <c r="B61" s="737"/>
      <c r="C61" s="737"/>
      <c r="D61" s="737"/>
      <c r="E61" s="737"/>
      <c r="F61" s="737"/>
      <c r="G61" s="737"/>
      <c r="H61" s="737"/>
      <c r="I61" s="737"/>
      <c r="J61" s="737"/>
      <c r="K61" s="737"/>
      <c r="L61" s="737"/>
      <c r="M61" s="737"/>
      <c r="N61" s="737"/>
      <c r="O61" s="737"/>
      <c r="P61" s="737"/>
      <c r="Q61" s="737"/>
      <c r="R61" s="737"/>
      <c r="S61" s="737"/>
      <c r="T61" s="737"/>
      <c r="U61" s="737"/>
      <c r="V61" s="737"/>
      <c r="W61" s="44"/>
      <c r="X61" s="44"/>
      <c r="Y61" s="44"/>
      <c r="Z61" s="44"/>
      <c r="AA61" s="44"/>
      <c r="AB61" s="44"/>
      <c r="AC61" s="737"/>
      <c r="AD61" s="737"/>
      <c r="AE61" s="737"/>
      <c r="AF61" s="737"/>
      <c r="AG61" s="737"/>
      <c r="AH61" s="737"/>
      <c r="AI61" s="737"/>
      <c r="AJ61" s="737"/>
      <c r="AK61" s="737"/>
      <c r="AL61" s="737"/>
      <c r="AM61" s="737"/>
      <c r="AN61" s="737"/>
      <c r="AO61" s="737"/>
      <c r="AP61" s="737"/>
      <c r="AQ61" s="737"/>
      <c r="AR61" s="737"/>
      <c r="AS61" s="737"/>
      <c r="AT61" s="737"/>
      <c r="AU61" s="737"/>
      <c r="AV61" s="737"/>
      <c r="AW61" s="737"/>
      <c r="AX61" s="737"/>
      <c r="AY61" s="737"/>
      <c r="AZ61" s="737"/>
      <c r="BA61" s="737"/>
      <c r="BB61" s="737"/>
      <c r="BC61" s="737"/>
      <c r="BD61" s="737"/>
    </row>
    <row r="62" spans="2:56">
      <c r="B62" s="737"/>
      <c r="C62" s="737"/>
      <c r="D62" s="737"/>
      <c r="E62" s="737"/>
      <c r="F62" s="737"/>
      <c r="G62" s="737"/>
      <c r="H62" s="737"/>
      <c r="I62" s="737"/>
      <c r="J62" s="737"/>
      <c r="K62" s="737"/>
      <c r="L62" s="737"/>
      <c r="M62" s="737"/>
      <c r="N62" s="737"/>
      <c r="O62" s="737"/>
      <c r="P62" s="737"/>
      <c r="Q62" s="737"/>
      <c r="R62" s="737"/>
      <c r="S62" s="737"/>
      <c r="T62" s="737"/>
      <c r="U62" s="737"/>
      <c r="V62" s="737"/>
      <c r="W62" s="737"/>
      <c r="X62" s="737"/>
      <c r="Y62" s="737"/>
      <c r="Z62" s="737"/>
      <c r="AA62" s="737"/>
      <c r="AB62" s="737"/>
      <c r="AC62" s="737"/>
      <c r="AD62" s="737"/>
      <c r="AE62" s="737"/>
      <c r="AF62" s="737"/>
      <c r="AG62" s="737"/>
      <c r="AH62" s="737"/>
      <c r="AI62" s="737"/>
      <c r="AJ62" s="737"/>
      <c r="AK62" s="737"/>
      <c r="AL62" s="737"/>
      <c r="AM62" s="737"/>
      <c r="AN62" s="737"/>
      <c r="AO62" s="737"/>
      <c r="AP62" s="737"/>
      <c r="AQ62" s="737"/>
      <c r="AR62" s="737"/>
      <c r="AS62" s="737"/>
      <c r="AT62" s="737"/>
      <c r="AU62" s="737"/>
      <c r="AV62" s="737"/>
      <c r="AW62" s="737"/>
      <c r="AX62" s="737"/>
      <c r="AY62" s="737"/>
      <c r="AZ62" s="737"/>
      <c r="BA62" s="737"/>
      <c r="BB62" s="737"/>
      <c r="BC62" s="737"/>
      <c r="BD62" s="737"/>
    </row>
    <row r="63" spans="2:56">
      <c r="B63" s="737"/>
      <c r="C63" s="737"/>
      <c r="D63" s="737"/>
      <c r="E63" s="737"/>
      <c r="F63" s="737"/>
      <c r="G63" s="737"/>
      <c r="H63" s="737"/>
      <c r="I63" s="737"/>
      <c r="J63" s="737"/>
      <c r="K63" s="737"/>
      <c r="L63" s="737"/>
      <c r="M63" s="737"/>
      <c r="N63" s="737"/>
      <c r="O63" s="737"/>
      <c r="P63" s="737"/>
      <c r="Q63" s="737"/>
      <c r="R63" s="737"/>
      <c r="S63" s="737"/>
      <c r="T63" s="737"/>
      <c r="U63" s="737"/>
      <c r="V63" s="737"/>
      <c r="W63" s="737"/>
      <c r="X63" s="737"/>
      <c r="Y63" s="737"/>
      <c r="Z63" s="737"/>
      <c r="AA63" s="737"/>
      <c r="AB63" s="737"/>
      <c r="AC63" s="737"/>
      <c r="AD63" s="737"/>
      <c r="AE63" s="737"/>
      <c r="AF63" s="737"/>
      <c r="AG63" s="737"/>
      <c r="AH63" s="737"/>
      <c r="AI63" s="737"/>
      <c r="AJ63" s="737"/>
      <c r="AK63" s="737"/>
      <c r="AL63" s="737"/>
      <c r="AM63" s="737"/>
      <c r="AN63" s="737"/>
      <c r="AO63" s="737"/>
      <c r="AP63" s="737"/>
      <c r="AQ63" s="737"/>
      <c r="AR63" s="737"/>
      <c r="AS63" s="737"/>
      <c r="AT63" s="737"/>
      <c r="AU63" s="737"/>
      <c r="AV63" s="737"/>
      <c r="AW63" s="737"/>
      <c r="AX63" s="737"/>
      <c r="AY63" s="737"/>
      <c r="AZ63" s="737"/>
      <c r="BA63" s="737"/>
      <c r="BB63" s="737"/>
      <c r="BC63" s="737"/>
      <c r="BD63" s="737"/>
    </row>
    <row r="64" spans="2:56">
      <c r="B64" s="737"/>
      <c r="C64" s="737"/>
      <c r="D64" s="737"/>
      <c r="E64" s="737"/>
      <c r="F64" s="737"/>
      <c r="G64" s="737"/>
      <c r="H64" s="737"/>
      <c r="I64" s="737"/>
      <c r="J64" s="737"/>
      <c r="K64" s="737"/>
      <c r="L64" s="737"/>
      <c r="M64" s="737"/>
      <c r="N64" s="737"/>
      <c r="O64" s="737"/>
      <c r="P64" s="737"/>
      <c r="Q64" s="737"/>
      <c r="R64" s="737"/>
      <c r="S64" s="737"/>
      <c r="T64" s="737"/>
      <c r="U64" s="737"/>
      <c r="V64" s="737"/>
      <c r="W64" s="737"/>
      <c r="X64" s="737"/>
      <c r="Y64" s="737"/>
      <c r="Z64" s="737"/>
      <c r="AA64" s="737"/>
      <c r="AB64" s="737"/>
      <c r="AC64" s="737"/>
      <c r="AD64" s="737"/>
      <c r="AE64" s="737"/>
      <c r="AF64" s="737"/>
      <c r="AG64" s="737"/>
      <c r="AH64" s="737"/>
      <c r="AI64" s="737"/>
      <c r="AJ64" s="737"/>
      <c r="AK64" s="737"/>
      <c r="AL64" s="737"/>
      <c r="AM64" s="737"/>
      <c r="AN64" s="737"/>
      <c r="AO64" s="737"/>
      <c r="AP64" s="737"/>
      <c r="AQ64" s="737"/>
      <c r="AR64" s="737"/>
      <c r="AS64" s="737"/>
      <c r="AT64" s="737"/>
      <c r="AU64" s="737"/>
      <c r="AV64" s="737"/>
      <c r="AW64" s="737"/>
      <c r="AX64" s="737"/>
      <c r="AY64" s="737"/>
      <c r="AZ64" s="737"/>
      <c r="BA64" s="737"/>
      <c r="BB64" s="737"/>
      <c r="BC64" s="737"/>
      <c r="BD64" s="737"/>
    </row>
    <row r="65" spans="2:56">
      <c r="B65" s="737"/>
      <c r="C65" s="737"/>
      <c r="D65" s="737"/>
      <c r="E65" s="737"/>
      <c r="F65" s="737"/>
      <c r="G65" s="737"/>
      <c r="H65" s="737"/>
      <c r="I65" s="737"/>
      <c r="J65" s="737"/>
      <c r="K65" s="737"/>
      <c r="L65" s="737"/>
      <c r="M65" s="737"/>
      <c r="N65" s="737"/>
      <c r="O65" s="737"/>
      <c r="P65" s="737"/>
      <c r="Q65" s="737"/>
      <c r="R65" s="737"/>
      <c r="S65" s="737"/>
      <c r="T65" s="737"/>
      <c r="U65" s="737"/>
      <c r="V65" s="737"/>
      <c r="W65" s="737"/>
      <c r="X65" s="737"/>
      <c r="Y65" s="737"/>
      <c r="Z65" s="737"/>
      <c r="AA65" s="737"/>
      <c r="AB65" s="737"/>
      <c r="AC65" s="737"/>
      <c r="AD65" s="737"/>
      <c r="AE65" s="737"/>
      <c r="AF65" s="737"/>
      <c r="AG65" s="737"/>
      <c r="AH65" s="737"/>
      <c r="AI65" s="737"/>
      <c r="AJ65" s="737"/>
      <c r="AK65" s="737"/>
      <c r="AL65" s="737"/>
      <c r="AM65" s="737"/>
      <c r="AN65" s="737"/>
      <c r="AO65" s="737"/>
      <c r="AP65" s="737"/>
      <c r="AQ65" s="737"/>
      <c r="AR65" s="737"/>
      <c r="AS65" s="737"/>
      <c r="AT65" s="737"/>
      <c r="AU65" s="737"/>
      <c r="AV65" s="737"/>
      <c r="AW65" s="737"/>
      <c r="AX65" s="737"/>
      <c r="AY65" s="737"/>
      <c r="AZ65" s="737"/>
      <c r="BA65" s="737"/>
      <c r="BB65" s="737"/>
      <c r="BC65" s="737"/>
      <c r="BD65" s="737"/>
    </row>
    <row r="66" spans="2:56">
      <c r="B66" s="737"/>
      <c r="C66" s="737"/>
      <c r="D66" s="737"/>
      <c r="E66" s="737"/>
      <c r="F66" s="737"/>
      <c r="G66" s="737"/>
      <c r="H66" s="737"/>
      <c r="I66" s="737"/>
      <c r="J66" s="737"/>
      <c r="K66" s="737"/>
      <c r="L66" s="737"/>
      <c r="M66" s="737"/>
      <c r="N66" s="737"/>
      <c r="O66" s="737"/>
      <c r="P66" s="737"/>
      <c r="Q66" s="737"/>
      <c r="R66" s="737"/>
      <c r="S66" s="737"/>
      <c r="T66" s="737"/>
      <c r="U66" s="737"/>
      <c r="V66" s="737"/>
      <c r="W66" s="737"/>
      <c r="X66" s="737"/>
      <c r="Y66" s="737"/>
      <c r="Z66" s="737"/>
      <c r="AA66" s="737"/>
      <c r="AB66" s="737"/>
      <c r="AC66" s="737"/>
      <c r="AD66" s="737"/>
      <c r="AE66" s="737"/>
      <c r="AF66" s="737"/>
      <c r="AG66" s="737"/>
      <c r="AH66" s="737"/>
      <c r="AI66" s="737"/>
      <c r="AJ66" s="737"/>
      <c r="AK66" s="737"/>
      <c r="AL66" s="737"/>
      <c r="AM66" s="737"/>
      <c r="AN66" s="737"/>
      <c r="AO66" s="737"/>
      <c r="AP66" s="737"/>
      <c r="AQ66" s="737"/>
      <c r="AR66" s="737"/>
      <c r="AS66" s="737"/>
      <c r="AT66" s="737"/>
      <c r="AU66" s="737"/>
      <c r="AV66" s="737"/>
      <c r="AW66" s="737"/>
      <c r="AX66" s="737"/>
      <c r="AY66" s="737"/>
      <c r="AZ66" s="737"/>
      <c r="BA66" s="737"/>
      <c r="BB66" s="737"/>
      <c r="BC66" s="737"/>
      <c r="BD66" s="737"/>
    </row>
    <row r="67" spans="2:56">
      <c r="B67" s="737"/>
      <c r="C67" s="737"/>
      <c r="D67" s="737"/>
      <c r="E67" s="737"/>
      <c r="F67" s="737"/>
      <c r="G67" s="737"/>
      <c r="H67" s="737"/>
      <c r="I67" s="737"/>
      <c r="J67" s="737"/>
      <c r="K67" s="737"/>
      <c r="L67" s="737"/>
      <c r="M67" s="737"/>
      <c r="N67" s="737"/>
      <c r="O67" s="737"/>
      <c r="P67" s="737"/>
      <c r="Q67" s="737"/>
      <c r="R67" s="737"/>
      <c r="S67" s="737"/>
      <c r="T67" s="737"/>
      <c r="U67" s="737"/>
      <c r="V67" s="737"/>
      <c r="W67" s="737"/>
      <c r="X67" s="737"/>
      <c r="Y67" s="737"/>
      <c r="Z67" s="737"/>
      <c r="AA67" s="737"/>
      <c r="AB67" s="737"/>
      <c r="AC67" s="737"/>
      <c r="AD67" s="737"/>
      <c r="AE67" s="737"/>
      <c r="AF67" s="737"/>
      <c r="AG67" s="737"/>
      <c r="AH67" s="737"/>
      <c r="AI67" s="737"/>
      <c r="AJ67" s="737"/>
      <c r="AK67" s="737"/>
      <c r="AL67" s="737"/>
      <c r="AM67" s="737"/>
      <c r="AN67" s="737"/>
      <c r="AO67" s="737"/>
      <c r="AP67" s="737"/>
      <c r="AQ67" s="737"/>
      <c r="AR67" s="737"/>
      <c r="AS67" s="737"/>
      <c r="AT67" s="737"/>
      <c r="AU67" s="737"/>
      <c r="AV67" s="737"/>
      <c r="AW67" s="737"/>
      <c r="AX67" s="737"/>
      <c r="AY67" s="737"/>
      <c r="AZ67" s="737"/>
      <c r="BA67" s="737"/>
      <c r="BB67" s="737"/>
      <c r="BC67" s="737"/>
      <c r="BD67" s="737"/>
    </row>
    <row r="68" spans="2:56">
      <c r="B68" s="737"/>
      <c r="C68" s="737"/>
      <c r="D68" s="737"/>
      <c r="E68" s="737"/>
      <c r="F68" s="737"/>
      <c r="G68" s="737"/>
      <c r="H68" s="737"/>
      <c r="I68" s="737"/>
      <c r="J68" s="737"/>
      <c r="K68" s="737"/>
      <c r="L68" s="737"/>
      <c r="M68" s="737"/>
      <c r="N68" s="737"/>
      <c r="O68" s="737"/>
      <c r="P68" s="737"/>
      <c r="Q68" s="737"/>
      <c r="R68" s="737"/>
      <c r="S68" s="737"/>
      <c r="T68" s="737"/>
      <c r="U68" s="737"/>
      <c r="V68" s="737"/>
      <c r="W68" s="737"/>
      <c r="X68" s="737"/>
      <c r="Y68" s="737"/>
      <c r="Z68" s="737"/>
      <c r="AA68" s="737"/>
      <c r="AB68" s="737"/>
      <c r="AC68" s="737"/>
      <c r="AD68" s="737"/>
      <c r="AE68" s="737"/>
      <c r="AF68" s="737"/>
      <c r="AG68" s="737"/>
      <c r="AH68" s="737"/>
      <c r="AI68" s="737"/>
      <c r="AJ68" s="737"/>
      <c r="AK68" s="737"/>
      <c r="AL68" s="737"/>
      <c r="AM68" s="737"/>
      <c r="AN68" s="737"/>
      <c r="AO68" s="737"/>
      <c r="AP68" s="737"/>
      <c r="AQ68" s="737"/>
      <c r="AR68" s="737"/>
      <c r="AS68" s="737"/>
      <c r="AT68" s="737"/>
      <c r="AU68" s="737"/>
      <c r="AV68" s="737"/>
      <c r="AW68" s="737"/>
      <c r="AX68" s="737"/>
      <c r="AY68" s="737"/>
      <c r="AZ68" s="737"/>
      <c r="BA68" s="737"/>
      <c r="BB68" s="737"/>
      <c r="BC68" s="737"/>
      <c r="BD68" s="737"/>
    </row>
    <row r="69" spans="2:56">
      <c r="B69" s="737"/>
      <c r="C69" s="737"/>
      <c r="D69" s="737"/>
      <c r="E69" s="737"/>
      <c r="F69" s="737"/>
      <c r="G69" s="737"/>
      <c r="H69" s="737"/>
      <c r="I69" s="737"/>
      <c r="J69" s="737"/>
      <c r="K69" s="737"/>
      <c r="L69" s="737"/>
      <c r="M69" s="737"/>
      <c r="N69" s="737"/>
      <c r="O69" s="737"/>
      <c r="P69" s="737"/>
      <c r="Q69" s="737"/>
      <c r="R69" s="737"/>
      <c r="S69" s="737"/>
      <c r="T69" s="737"/>
      <c r="U69" s="737"/>
      <c r="V69" s="737"/>
      <c r="W69" s="737"/>
      <c r="X69" s="737"/>
      <c r="Y69" s="737"/>
      <c r="Z69" s="737"/>
      <c r="AA69" s="737"/>
      <c r="AB69" s="737"/>
      <c r="AC69" s="737"/>
      <c r="AD69" s="737"/>
      <c r="AE69" s="737"/>
      <c r="AF69" s="737"/>
      <c r="AG69" s="737"/>
      <c r="AH69" s="737"/>
      <c r="AI69" s="737"/>
      <c r="AJ69" s="737"/>
      <c r="AK69" s="737"/>
      <c r="AL69" s="737"/>
      <c r="AM69" s="737"/>
      <c r="AN69" s="737"/>
      <c r="AO69" s="737"/>
      <c r="AP69" s="737"/>
      <c r="AQ69" s="737"/>
      <c r="AR69" s="737"/>
      <c r="AS69" s="737"/>
      <c r="AT69" s="737"/>
      <c r="AU69" s="737"/>
      <c r="AV69" s="737"/>
      <c r="AW69" s="737"/>
      <c r="AX69" s="737"/>
      <c r="AY69" s="737"/>
      <c r="AZ69" s="737"/>
      <c r="BA69" s="737"/>
      <c r="BB69" s="737"/>
      <c r="BC69" s="737"/>
      <c r="BD69" s="737"/>
    </row>
    <row r="70" spans="2:56">
      <c r="B70" s="737"/>
      <c r="C70" s="737"/>
      <c r="D70" s="737"/>
      <c r="E70" s="737"/>
      <c r="F70" s="737"/>
      <c r="G70" s="737"/>
      <c r="H70" s="737"/>
      <c r="I70" s="737"/>
      <c r="J70" s="737"/>
      <c r="K70" s="737"/>
      <c r="L70" s="737"/>
      <c r="M70" s="737"/>
      <c r="N70" s="737"/>
      <c r="O70" s="737"/>
      <c r="P70" s="737"/>
      <c r="Q70" s="737"/>
      <c r="R70" s="737"/>
      <c r="S70" s="737"/>
      <c r="T70" s="737"/>
      <c r="U70" s="737"/>
      <c r="V70" s="737"/>
      <c r="W70" s="737"/>
      <c r="X70" s="737"/>
      <c r="Y70" s="737"/>
      <c r="Z70" s="737"/>
      <c r="AA70" s="737"/>
      <c r="AB70" s="737"/>
      <c r="AC70" s="737"/>
      <c r="AD70" s="737"/>
      <c r="AE70" s="737"/>
      <c r="AF70" s="737"/>
      <c r="AG70" s="737"/>
      <c r="AH70" s="737"/>
      <c r="AI70" s="737"/>
      <c r="AJ70" s="737"/>
      <c r="AK70" s="737"/>
      <c r="AL70" s="737"/>
      <c r="AM70" s="737"/>
      <c r="AN70" s="737"/>
      <c r="AO70" s="737"/>
      <c r="AP70" s="737"/>
      <c r="AQ70" s="737"/>
      <c r="AR70" s="737"/>
      <c r="AS70" s="737"/>
      <c r="AT70" s="737"/>
      <c r="AU70" s="737"/>
      <c r="AV70" s="737"/>
      <c r="AW70" s="737"/>
      <c r="AX70" s="737"/>
      <c r="AY70" s="737"/>
      <c r="AZ70" s="737"/>
      <c r="BA70" s="737"/>
      <c r="BB70" s="737"/>
      <c r="BC70" s="737"/>
      <c r="BD70" s="737"/>
    </row>
    <row r="71" spans="2:56">
      <c r="B71" s="737"/>
      <c r="C71" s="737"/>
      <c r="D71" s="737"/>
      <c r="E71" s="737"/>
      <c r="F71" s="737"/>
      <c r="G71" s="737"/>
      <c r="H71" s="737"/>
      <c r="I71" s="737"/>
      <c r="J71" s="737"/>
      <c r="K71" s="737"/>
      <c r="L71" s="737"/>
      <c r="M71" s="737"/>
      <c r="N71" s="737"/>
      <c r="O71" s="737"/>
      <c r="P71" s="737"/>
      <c r="Q71" s="737"/>
      <c r="R71" s="737"/>
      <c r="S71" s="737"/>
      <c r="T71" s="737"/>
      <c r="U71" s="737"/>
      <c r="V71" s="737"/>
      <c r="W71" s="737"/>
      <c r="X71" s="737"/>
      <c r="Y71" s="737"/>
      <c r="Z71" s="737"/>
      <c r="AA71" s="737"/>
      <c r="AB71" s="737"/>
      <c r="AC71" s="737"/>
      <c r="AD71" s="737"/>
      <c r="AE71" s="737"/>
      <c r="AF71" s="737"/>
      <c r="AG71" s="737"/>
      <c r="AH71" s="737"/>
      <c r="AI71" s="737"/>
      <c r="AJ71" s="737"/>
      <c r="AK71" s="737"/>
      <c r="AL71" s="737"/>
      <c r="AM71" s="737"/>
      <c r="AN71" s="737"/>
      <c r="AO71" s="737"/>
      <c r="AP71" s="737"/>
      <c r="AQ71" s="737"/>
      <c r="AR71" s="737"/>
      <c r="AS71" s="737"/>
      <c r="AT71" s="737"/>
      <c r="AU71" s="737"/>
      <c r="AV71" s="737"/>
      <c r="AW71" s="737"/>
      <c r="AX71" s="737"/>
      <c r="AY71" s="737"/>
      <c r="AZ71" s="737"/>
      <c r="BA71" s="737"/>
      <c r="BB71" s="737"/>
      <c r="BC71" s="737"/>
      <c r="BD71" s="737"/>
    </row>
    <row r="72" spans="2:56">
      <c r="B72" s="737"/>
      <c r="C72" s="737"/>
      <c r="D72" s="737"/>
      <c r="E72" s="737"/>
      <c r="F72" s="737"/>
      <c r="G72" s="737"/>
      <c r="H72" s="737"/>
      <c r="I72" s="737"/>
      <c r="J72" s="737"/>
      <c r="K72" s="737"/>
      <c r="L72" s="737"/>
      <c r="M72" s="737"/>
      <c r="N72" s="737"/>
      <c r="O72" s="737"/>
      <c r="P72" s="737"/>
      <c r="Q72" s="737"/>
      <c r="R72" s="737"/>
      <c r="S72" s="737"/>
      <c r="T72" s="737"/>
      <c r="U72" s="737"/>
      <c r="V72" s="737"/>
      <c r="W72" s="737"/>
      <c r="X72" s="737"/>
      <c r="Y72" s="737"/>
      <c r="Z72" s="737"/>
      <c r="AA72" s="737"/>
      <c r="AB72" s="737"/>
      <c r="AC72" s="737"/>
      <c r="AD72" s="737"/>
      <c r="AE72" s="737"/>
      <c r="AF72" s="737"/>
      <c r="AG72" s="737"/>
      <c r="AH72" s="737"/>
      <c r="AI72" s="737"/>
      <c r="AJ72" s="737"/>
      <c r="AK72" s="737"/>
      <c r="AL72" s="737"/>
      <c r="AM72" s="737"/>
      <c r="AN72" s="737"/>
      <c r="AO72" s="737"/>
      <c r="AP72" s="737"/>
      <c r="AQ72" s="737"/>
      <c r="AR72" s="737"/>
      <c r="AS72" s="737"/>
      <c r="AT72" s="737"/>
      <c r="AU72" s="737"/>
      <c r="AV72" s="737"/>
      <c r="AW72" s="737"/>
      <c r="AX72" s="737"/>
      <c r="AY72" s="737"/>
      <c r="AZ72" s="737"/>
      <c r="BA72" s="737"/>
      <c r="BB72" s="737"/>
      <c r="BC72" s="737"/>
      <c r="BD72" s="737"/>
    </row>
    <row r="73" spans="2:56">
      <c r="B73" s="737"/>
      <c r="C73" s="737"/>
      <c r="D73" s="737"/>
      <c r="E73" s="737"/>
      <c r="F73" s="737"/>
      <c r="G73" s="737"/>
      <c r="H73" s="737"/>
      <c r="I73" s="737"/>
      <c r="J73" s="737"/>
      <c r="K73" s="737"/>
      <c r="L73" s="737"/>
      <c r="M73" s="737"/>
      <c r="N73" s="737"/>
      <c r="O73" s="737"/>
      <c r="P73" s="737"/>
      <c r="Q73" s="737"/>
      <c r="R73" s="737"/>
      <c r="S73" s="737"/>
      <c r="T73" s="737"/>
      <c r="U73" s="737"/>
      <c r="V73" s="737"/>
      <c r="W73" s="737"/>
      <c r="X73" s="737"/>
      <c r="Y73" s="737"/>
      <c r="Z73" s="737"/>
      <c r="AA73" s="737"/>
      <c r="AB73" s="737"/>
      <c r="AC73" s="737"/>
      <c r="AD73" s="737"/>
      <c r="AE73" s="737"/>
      <c r="AF73" s="737"/>
      <c r="AG73" s="737"/>
      <c r="AH73" s="737"/>
      <c r="AI73" s="737"/>
      <c r="AJ73" s="737"/>
      <c r="AK73" s="737"/>
      <c r="AL73" s="737"/>
      <c r="AM73" s="737"/>
      <c r="AN73" s="737"/>
      <c r="AO73" s="737"/>
      <c r="AP73" s="737"/>
      <c r="AQ73" s="737"/>
      <c r="AR73" s="737"/>
      <c r="AS73" s="737"/>
      <c r="AT73" s="737"/>
      <c r="AU73" s="737"/>
      <c r="AV73" s="737"/>
      <c r="AW73" s="737"/>
      <c r="AX73" s="737"/>
      <c r="AY73" s="737"/>
      <c r="AZ73" s="737"/>
      <c r="BA73" s="737"/>
      <c r="BB73" s="737"/>
      <c r="BC73" s="737"/>
      <c r="BD73" s="737"/>
    </row>
    <row r="74" spans="2:56">
      <c r="B74" s="737"/>
      <c r="C74" s="737"/>
      <c r="D74" s="737"/>
      <c r="E74" s="737"/>
      <c r="F74" s="737"/>
      <c r="G74" s="737"/>
      <c r="H74" s="737"/>
      <c r="I74" s="737"/>
      <c r="J74" s="737"/>
      <c r="K74" s="737"/>
      <c r="L74" s="737"/>
      <c r="M74" s="737"/>
      <c r="N74" s="737"/>
      <c r="O74" s="737"/>
      <c r="P74" s="737"/>
      <c r="Q74" s="737"/>
      <c r="R74" s="737"/>
      <c r="S74" s="737"/>
      <c r="T74" s="737"/>
      <c r="U74" s="737"/>
      <c r="V74" s="737"/>
      <c r="W74" s="737"/>
      <c r="X74" s="737"/>
      <c r="Y74" s="737"/>
      <c r="Z74" s="737"/>
      <c r="AA74" s="737"/>
      <c r="AB74" s="737"/>
      <c r="AC74" s="737"/>
      <c r="AD74" s="737"/>
      <c r="AE74" s="737"/>
      <c r="AF74" s="737"/>
      <c r="AG74" s="737"/>
      <c r="AH74" s="737"/>
      <c r="AI74" s="737"/>
      <c r="AJ74" s="737"/>
      <c r="AK74" s="737"/>
      <c r="AL74" s="737"/>
      <c r="AM74" s="737"/>
      <c r="AN74" s="737"/>
      <c r="AO74" s="737"/>
      <c r="AP74" s="737"/>
      <c r="AQ74" s="737"/>
      <c r="AR74" s="737"/>
      <c r="AS74" s="737"/>
      <c r="AT74" s="737"/>
      <c r="AU74" s="737"/>
      <c r="AV74" s="737"/>
      <c r="AW74" s="737"/>
      <c r="AX74" s="737"/>
      <c r="AY74" s="737"/>
      <c r="AZ74" s="737"/>
      <c r="BA74" s="737"/>
      <c r="BB74" s="737"/>
      <c r="BC74" s="737"/>
      <c r="BD74" s="737"/>
    </row>
    <row r="75" spans="2:56">
      <c r="B75" s="737"/>
      <c r="C75" s="737"/>
      <c r="D75" s="737"/>
      <c r="E75" s="737"/>
      <c r="F75" s="737"/>
      <c r="G75" s="737"/>
      <c r="H75" s="737"/>
      <c r="I75" s="737"/>
      <c r="J75" s="737"/>
      <c r="K75" s="737"/>
      <c r="L75" s="737"/>
      <c r="M75" s="737"/>
      <c r="N75" s="737"/>
      <c r="O75" s="737"/>
      <c r="P75" s="737"/>
      <c r="Q75" s="737"/>
      <c r="R75" s="737"/>
      <c r="S75" s="737"/>
      <c r="T75" s="737"/>
      <c r="U75" s="737"/>
      <c r="V75" s="737"/>
      <c r="W75" s="737"/>
      <c r="X75" s="737"/>
      <c r="Y75" s="737"/>
      <c r="Z75" s="737"/>
      <c r="AA75" s="737"/>
      <c r="AB75" s="737"/>
      <c r="AC75" s="737"/>
      <c r="AD75" s="737"/>
      <c r="AE75" s="737"/>
      <c r="AF75" s="737"/>
      <c r="AG75" s="737"/>
      <c r="AH75" s="737"/>
      <c r="AI75" s="737"/>
      <c r="AJ75" s="737"/>
      <c r="AK75" s="737"/>
      <c r="AL75" s="737"/>
      <c r="AM75" s="737"/>
      <c r="AN75" s="737"/>
      <c r="AO75" s="737"/>
      <c r="AP75" s="737"/>
      <c r="AQ75" s="737"/>
      <c r="AR75" s="737"/>
      <c r="AS75" s="737"/>
      <c r="AT75" s="737"/>
      <c r="AU75" s="737"/>
      <c r="AV75" s="737"/>
      <c r="AW75" s="737"/>
      <c r="AX75" s="737"/>
      <c r="AY75" s="737"/>
      <c r="AZ75" s="737"/>
      <c r="BA75" s="737"/>
      <c r="BB75" s="737"/>
      <c r="BC75" s="737"/>
      <c r="BD75" s="737"/>
    </row>
    <row r="76" spans="2:56">
      <c r="B76" s="737"/>
      <c r="C76" s="737"/>
      <c r="D76" s="737"/>
      <c r="E76" s="737"/>
      <c r="F76" s="737"/>
      <c r="G76" s="737"/>
      <c r="H76" s="737"/>
      <c r="I76" s="737"/>
      <c r="J76" s="737"/>
      <c r="K76" s="737"/>
      <c r="L76" s="737"/>
      <c r="M76" s="737"/>
      <c r="N76" s="737"/>
      <c r="O76" s="737"/>
      <c r="P76" s="737"/>
      <c r="Q76" s="737"/>
      <c r="R76" s="737"/>
      <c r="S76" s="737"/>
      <c r="T76" s="737"/>
      <c r="U76" s="737"/>
      <c r="V76" s="737"/>
      <c r="W76" s="737"/>
      <c r="X76" s="737"/>
      <c r="Y76" s="737"/>
      <c r="Z76" s="737"/>
      <c r="AA76" s="737"/>
      <c r="AB76" s="737"/>
      <c r="AC76" s="737"/>
      <c r="AD76" s="737"/>
      <c r="AE76" s="737"/>
      <c r="AF76" s="737"/>
      <c r="AG76" s="737"/>
      <c r="AH76" s="737"/>
      <c r="AI76" s="737"/>
      <c r="AJ76" s="737"/>
      <c r="AK76" s="737"/>
      <c r="AL76" s="737"/>
      <c r="AM76" s="737"/>
      <c r="AN76" s="737"/>
      <c r="AO76" s="737"/>
      <c r="AP76" s="737"/>
      <c r="AQ76" s="737"/>
      <c r="AR76" s="737"/>
      <c r="AS76" s="737"/>
      <c r="AT76" s="737"/>
      <c r="AU76" s="737"/>
      <c r="AV76" s="737"/>
      <c r="AW76" s="737"/>
      <c r="AX76" s="737"/>
      <c r="AY76" s="737"/>
      <c r="AZ76" s="737"/>
      <c r="BA76" s="737"/>
      <c r="BB76" s="737"/>
      <c r="BC76" s="737"/>
      <c r="BD76" s="737"/>
    </row>
    <row r="77" spans="2:56">
      <c r="B77" s="737"/>
      <c r="C77" s="737"/>
      <c r="D77" s="737"/>
      <c r="E77" s="737"/>
      <c r="F77" s="737"/>
      <c r="G77" s="737"/>
      <c r="H77" s="737"/>
      <c r="I77" s="737"/>
      <c r="J77" s="737"/>
      <c r="K77" s="737"/>
      <c r="L77" s="737"/>
      <c r="M77" s="737"/>
      <c r="N77" s="737"/>
      <c r="O77" s="737"/>
      <c r="P77" s="737"/>
      <c r="Q77" s="737"/>
      <c r="R77" s="737"/>
      <c r="S77" s="737"/>
      <c r="T77" s="737"/>
      <c r="U77" s="737"/>
      <c r="V77" s="737"/>
      <c r="W77" s="737"/>
      <c r="X77" s="737"/>
      <c r="Y77" s="737"/>
      <c r="Z77" s="737"/>
      <c r="AA77" s="737"/>
      <c r="AB77" s="737"/>
      <c r="AC77" s="737"/>
      <c r="AD77" s="737"/>
      <c r="AE77" s="737"/>
      <c r="AF77" s="737"/>
      <c r="AG77" s="737"/>
      <c r="AH77" s="737"/>
      <c r="AI77" s="737"/>
      <c r="AJ77" s="737"/>
      <c r="AK77" s="737"/>
      <c r="AL77" s="737"/>
      <c r="AM77" s="737"/>
      <c r="AN77" s="737"/>
      <c r="AO77" s="737"/>
      <c r="AP77" s="737"/>
      <c r="AQ77" s="737"/>
      <c r="AR77" s="737"/>
      <c r="AS77" s="737"/>
      <c r="AT77" s="737"/>
      <c r="AU77" s="737"/>
      <c r="AV77" s="737"/>
      <c r="AW77" s="737"/>
      <c r="AX77" s="737"/>
      <c r="AY77" s="737"/>
      <c r="AZ77" s="737"/>
      <c r="BA77" s="737"/>
      <c r="BB77" s="737"/>
      <c r="BC77" s="737"/>
      <c r="BD77" s="737"/>
    </row>
    <row r="78" spans="2:56">
      <c r="B78" s="737"/>
      <c r="C78" s="737"/>
      <c r="D78" s="737"/>
      <c r="E78" s="737"/>
      <c r="F78" s="737"/>
      <c r="G78" s="737"/>
      <c r="H78" s="737"/>
      <c r="I78" s="737"/>
      <c r="J78" s="737"/>
      <c r="K78" s="737"/>
      <c r="L78" s="737"/>
      <c r="M78" s="737"/>
      <c r="N78" s="737"/>
      <c r="O78" s="737"/>
      <c r="P78" s="737"/>
      <c r="Q78" s="737"/>
      <c r="R78" s="737"/>
      <c r="S78" s="737"/>
      <c r="T78" s="737"/>
      <c r="U78" s="737"/>
      <c r="V78" s="737"/>
      <c r="W78" s="737"/>
      <c r="X78" s="737"/>
      <c r="Y78" s="737"/>
      <c r="Z78" s="737"/>
      <c r="AA78" s="737"/>
      <c r="AB78" s="737"/>
      <c r="AC78" s="737"/>
      <c r="AD78" s="737"/>
      <c r="AE78" s="737"/>
      <c r="AF78" s="737"/>
      <c r="AG78" s="737"/>
      <c r="AH78" s="737"/>
      <c r="AI78" s="737"/>
      <c r="AJ78" s="737"/>
      <c r="AK78" s="737"/>
      <c r="AL78" s="737"/>
      <c r="AM78" s="737"/>
      <c r="AN78" s="737"/>
      <c r="AO78" s="737"/>
      <c r="AP78" s="737"/>
      <c r="AQ78" s="737"/>
      <c r="AR78" s="737"/>
      <c r="AS78" s="737"/>
      <c r="AT78" s="737"/>
      <c r="AU78" s="737"/>
      <c r="AV78" s="737"/>
      <c r="AW78" s="737"/>
      <c r="AX78" s="737"/>
      <c r="AY78" s="737"/>
      <c r="AZ78" s="737"/>
      <c r="BA78" s="737"/>
      <c r="BB78" s="737"/>
      <c r="BC78" s="737"/>
      <c r="BD78" s="737"/>
    </row>
    <row r="79" spans="2:56">
      <c r="B79" s="737"/>
      <c r="C79" s="737"/>
      <c r="D79" s="737"/>
      <c r="E79" s="737"/>
      <c r="F79" s="737"/>
      <c r="G79" s="737"/>
      <c r="H79" s="737"/>
      <c r="I79" s="737"/>
      <c r="J79" s="737"/>
      <c r="K79" s="737"/>
      <c r="L79" s="737"/>
      <c r="M79" s="737"/>
      <c r="N79" s="737"/>
      <c r="O79" s="737"/>
      <c r="P79" s="737"/>
      <c r="Q79" s="737"/>
      <c r="R79" s="737"/>
      <c r="S79" s="737"/>
      <c r="T79" s="737"/>
      <c r="U79" s="737"/>
      <c r="V79" s="737"/>
      <c r="W79" s="737"/>
      <c r="X79" s="737"/>
      <c r="Y79" s="737"/>
      <c r="Z79" s="737"/>
      <c r="AA79" s="737"/>
      <c r="AB79" s="737"/>
      <c r="AC79" s="737"/>
      <c r="AD79" s="737"/>
      <c r="AE79" s="737"/>
      <c r="AF79" s="737"/>
      <c r="AG79" s="737"/>
      <c r="AH79" s="737"/>
      <c r="AI79" s="737"/>
      <c r="AJ79" s="737"/>
      <c r="AK79" s="737"/>
      <c r="AL79" s="737"/>
      <c r="AM79" s="737"/>
      <c r="AN79" s="737"/>
      <c r="AO79" s="737"/>
      <c r="AP79" s="737"/>
      <c r="AQ79" s="737"/>
      <c r="AR79" s="737"/>
      <c r="AS79" s="737"/>
      <c r="AT79" s="737"/>
      <c r="AU79" s="737"/>
      <c r="AV79" s="737"/>
      <c r="AW79" s="737"/>
      <c r="AX79" s="737"/>
      <c r="AY79" s="737"/>
      <c r="AZ79" s="737"/>
      <c r="BA79" s="737"/>
      <c r="BB79" s="737"/>
      <c r="BC79" s="737"/>
      <c r="BD79" s="737"/>
    </row>
    <row r="80" spans="2:56">
      <c r="B80" s="737"/>
      <c r="C80" s="737"/>
      <c r="D80" s="737"/>
      <c r="E80" s="737"/>
      <c r="F80" s="737"/>
      <c r="G80" s="737"/>
      <c r="H80" s="737"/>
      <c r="I80" s="737"/>
      <c r="J80" s="737"/>
      <c r="K80" s="737"/>
      <c r="L80" s="737"/>
      <c r="M80" s="737"/>
      <c r="N80" s="737"/>
      <c r="O80" s="737"/>
      <c r="P80" s="737"/>
      <c r="Q80" s="737"/>
      <c r="R80" s="737"/>
      <c r="S80" s="737"/>
      <c r="T80" s="737"/>
      <c r="U80" s="737"/>
      <c r="V80" s="737"/>
      <c r="W80" s="737"/>
      <c r="X80" s="737"/>
      <c r="Y80" s="737"/>
      <c r="Z80" s="737"/>
      <c r="AA80" s="737"/>
      <c r="AB80" s="737"/>
      <c r="AC80" s="737"/>
      <c r="AD80" s="737"/>
      <c r="AE80" s="737"/>
      <c r="AF80" s="737"/>
      <c r="AG80" s="737"/>
      <c r="AH80" s="737"/>
      <c r="AI80" s="737"/>
      <c r="AJ80" s="737"/>
      <c r="AK80" s="737"/>
      <c r="AL80" s="737"/>
      <c r="AM80" s="737"/>
      <c r="AN80" s="737"/>
      <c r="AO80" s="737"/>
      <c r="AP80" s="737"/>
      <c r="AQ80" s="737"/>
      <c r="AR80" s="737"/>
      <c r="AS80" s="737"/>
      <c r="AT80" s="737"/>
      <c r="AU80" s="737"/>
      <c r="AV80" s="737"/>
      <c r="AW80" s="737"/>
      <c r="AX80" s="737"/>
      <c r="AY80" s="737"/>
      <c r="AZ80" s="737"/>
      <c r="BA80" s="737"/>
      <c r="BB80" s="737"/>
      <c r="BC80" s="737"/>
      <c r="BD80" s="737"/>
    </row>
    <row r="81" spans="16:56">
      <c r="P81" s="737"/>
      <c r="Q81" s="737"/>
      <c r="R81" s="737"/>
      <c r="S81" s="737"/>
      <c r="T81" s="737"/>
      <c r="U81" s="737"/>
      <c r="V81" s="737"/>
      <c r="W81" s="737"/>
      <c r="X81" s="737"/>
      <c r="Y81" s="737"/>
      <c r="Z81" s="737"/>
      <c r="AA81" s="737"/>
      <c r="AB81" s="737"/>
      <c r="AC81" s="737"/>
      <c r="AD81" s="737"/>
      <c r="AE81" s="737"/>
      <c r="AF81" s="737"/>
      <c r="AG81" s="737"/>
      <c r="AH81" s="737"/>
      <c r="AI81" s="737"/>
      <c r="AJ81" s="737"/>
      <c r="AK81" s="737"/>
      <c r="AL81" s="737"/>
      <c r="AM81" s="737"/>
      <c r="AN81" s="737"/>
      <c r="AO81" s="737"/>
      <c r="AP81" s="737"/>
      <c r="AQ81" s="737"/>
      <c r="AR81" s="737"/>
      <c r="AS81" s="737"/>
      <c r="AT81" s="737"/>
      <c r="AU81" s="737"/>
      <c r="AV81" s="737"/>
      <c r="AW81" s="737"/>
      <c r="AX81" s="737"/>
      <c r="AY81" s="737"/>
      <c r="AZ81" s="737"/>
      <c r="BA81" s="737"/>
      <c r="BB81" s="737"/>
      <c r="BC81" s="737"/>
      <c r="BD81" s="737"/>
    </row>
    <row r="82" spans="16:56">
      <c r="P82" s="737"/>
      <c r="Q82" s="737"/>
      <c r="R82" s="737"/>
      <c r="S82" s="737"/>
      <c r="T82" s="737"/>
      <c r="U82" s="737"/>
      <c r="V82" s="737"/>
      <c r="W82" s="737"/>
      <c r="X82" s="737"/>
      <c r="Y82" s="737"/>
      <c r="Z82" s="737"/>
      <c r="AA82" s="737"/>
      <c r="AB82" s="737"/>
      <c r="AC82" s="737"/>
      <c r="AD82" s="737"/>
      <c r="AE82" s="737"/>
      <c r="AF82" s="737"/>
      <c r="AG82" s="737"/>
      <c r="AH82" s="737"/>
      <c r="AI82" s="737"/>
      <c r="AJ82" s="737"/>
      <c r="AK82" s="737"/>
      <c r="AL82" s="737"/>
      <c r="AM82" s="737"/>
      <c r="AN82" s="737"/>
      <c r="AO82" s="737"/>
      <c r="AP82" s="737"/>
      <c r="AQ82" s="737"/>
      <c r="AR82" s="737"/>
      <c r="AS82" s="737"/>
      <c r="AT82" s="737"/>
      <c r="AU82" s="737"/>
      <c r="AV82" s="737"/>
      <c r="AW82" s="737"/>
      <c r="AX82" s="737"/>
      <c r="AY82" s="737"/>
      <c r="AZ82" s="737"/>
      <c r="BA82" s="737"/>
      <c r="BB82" s="737"/>
      <c r="BC82" s="737"/>
      <c r="BD82" s="737"/>
    </row>
    <row r="83" spans="16:56">
      <c r="P83" s="737"/>
      <c r="Q83" s="737"/>
      <c r="R83" s="737"/>
      <c r="S83" s="737"/>
      <c r="T83" s="737"/>
      <c r="U83" s="737"/>
      <c r="V83" s="737"/>
      <c r="W83" s="737"/>
      <c r="X83" s="737"/>
      <c r="Y83" s="737"/>
      <c r="Z83" s="737"/>
      <c r="AA83" s="737"/>
      <c r="AB83" s="737"/>
      <c r="AC83" s="737"/>
      <c r="AD83" s="737"/>
      <c r="AE83" s="737"/>
      <c r="AF83" s="737"/>
      <c r="AG83" s="737"/>
      <c r="AH83" s="737"/>
      <c r="AI83" s="737"/>
      <c r="AJ83" s="737"/>
      <c r="AK83" s="737"/>
      <c r="AL83" s="737"/>
      <c r="AM83" s="737"/>
      <c r="AN83" s="737"/>
      <c r="AO83" s="737"/>
      <c r="AP83" s="737"/>
      <c r="AQ83" s="737"/>
      <c r="AR83" s="737"/>
      <c r="AS83" s="737"/>
      <c r="AT83" s="737"/>
      <c r="AU83" s="737"/>
      <c r="AV83" s="737"/>
      <c r="AW83" s="737"/>
      <c r="AX83" s="737"/>
      <c r="AY83" s="737"/>
      <c r="AZ83" s="737"/>
      <c r="BA83" s="737"/>
      <c r="BB83" s="737"/>
      <c r="BC83" s="737"/>
      <c r="BD83" s="737"/>
    </row>
    <row r="84" spans="16:56">
      <c r="P84" s="737"/>
      <c r="Q84" s="737"/>
      <c r="R84" s="737"/>
      <c r="S84" s="737"/>
      <c r="T84" s="737"/>
      <c r="U84" s="737"/>
      <c r="V84" s="737"/>
      <c r="W84" s="737"/>
      <c r="X84" s="737"/>
      <c r="Y84" s="737"/>
      <c r="Z84" s="737"/>
      <c r="AA84" s="737"/>
      <c r="AB84" s="737"/>
      <c r="AC84" s="737"/>
      <c r="AD84" s="737"/>
      <c r="AE84" s="737"/>
      <c r="AF84" s="737"/>
      <c r="AG84" s="737"/>
      <c r="AH84" s="737"/>
      <c r="AI84" s="737"/>
      <c r="AJ84" s="737"/>
      <c r="AK84" s="737"/>
      <c r="AL84" s="737"/>
      <c r="AM84" s="737"/>
      <c r="AN84" s="737"/>
      <c r="AO84" s="737"/>
      <c r="AP84" s="737"/>
      <c r="AQ84" s="737"/>
      <c r="AR84" s="737"/>
      <c r="AS84" s="737"/>
      <c r="AT84" s="737"/>
      <c r="AU84" s="737"/>
      <c r="AV84" s="737"/>
      <c r="AW84" s="737"/>
      <c r="AX84" s="737"/>
      <c r="AY84" s="737"/>
      <c r="AZ84" s="737"/>
      <c r="BA84" s="737"/>
      <c r="BB84" s="737"/>
      <c r="BC84" s="737"/>
      <c r="BD84" s="737"/>
    </row>
    <row r="85" spans="16:56">
      <c r="P85" s="737"/>
      <c r="Q85" s="737"/>
      <c r="R85" s="737"/>
      <c r="S85" s="737"/>
      <c r="T85" s="737"/>
      <c r="U85" s="737"/>
      <c r="V85" s="737"/>
      <c r="W85" s="737"/>
      <c r="X85" s="737"/>
      <c r="Y85" s="737"/>
      <c r="Z85" s="737"/>
      <c r="AA85" s="737"/>
      <c r="AB85" s="737"/>
      <c r="AC85" s="737"/>
      <c r="AD85" s="737"/>
      <c r="AE85" s="737"/>
      <c r="AF85" s="737"/>
      <c r="AG85" s="737"/>
      <c r="AH85" s="737"/>
      <c r="AI85" s="737"/>
      <c r="AJ85" s="737"/>
      <c r="AK85" s="737"/>
      <c r="AL85" s="737"/>
      <c r="AM85" s="737"/>
      <c r="AN85" s="737"/>
      <c r="AO85" s="737"/>
      <c r="AP85" s="737"/>
      <c r="AQ85" s="737"/>
      <c r="AR85" s="737"/>
      <c r="AS85" s="737"/>
      <c r="AT85" s="737"/>
      <c r="AU85" s="737"/>
      <c r="AV85" s="737"/>
      <c r="AW85" s="737"/>
      <c r="AX85" s="737"/>
      <c r="AY85" s="737"/>
      <c r="AZ85" s="737"/>
      <c r="BA85" s="737"/>
      <c r="BB85" s="737"/>
      <c r="BC85" s="737"/>
      <c r="BD85" s="737"/>
    </row>
    <row r="86" spans="16:56">
      <c r="P86" s="737"/>
      <c r="Q86" s="737"/>
      <c r="R86" s="737"/>
      <c r="S86" s="737"/>
      <c r="T86" s="737"/>
      <c r="U86" s="737"/>
      <c r="V86" s="737"/>
      <c r="W86" s="737"/>
      <c r="X86" s="737"/>
      <c r="Y86" s="737"/>
      <c r="Z86" s="737"/>
      <c r="AA86" s="737"/>
      <c r="AB86" s="737"/>
      <c r="AC86" s="737"/>
      <c r="AD86" s="737"/>
      <c r="AE86" s="737"/>
      <c r="AF86" s="737"/>
      <c r="AG86" s="737"/>
      <c r="AH86" s="737"/>
      <c r="AI86" s="737"/>
      <c r="AJ86" s="737"/>
      <c r="AK86" s="737"/>
      <c r="AL86" s="737"/>
      <c r="AM86" s="737"/>
      <c r="AN86" s="737"/>
      <c r="AO86" s="737"/>
      <c r="AP86" s="737"/>
      <c r="AQ86" s="737"/>
      <c r="AR86" s="737"/>
      <c r="AS86" s="737"/>
      <c r="AT86" s="737"/>
      <c r="AU86" s="737"/>
      <c r="AV86" s="737"/>
      <c r="AW86" s="737"/>
      <c r="AX86" s="737"/>
      <c r="AY86" s="737"/>
      <c r="AZ86" s="737"/>
      <c r="BA86" s="737"/>
      <c r="BB86" s="737"/>
      <c r="BC86" s="737"/>
      <c r="BD86" s="737"/>
    </row>
    <row r="87" spans="16:56">
      <c r="P87" s="737"/>
      <c r="Q87" s="737"/>
      <c r="R87" s="737"/>
      <c r="S87" s="737"/>
      <c r="T87" s="737"/>
      <c r="U87" s="737"/>
      <c r="V87" s="737"/>
      <c r="W87" s="737"/>
      <c r="X87" s="737"/>
      <c r="Y87" s="737"/>
      <c r="Z87" s="737"/>
      <c r="AA87" s="737"/>
      <c r="AB87" s="737"/>
      <c r="AC87" s="737"/>
      <c r="AD87" s="737"/>
      <c r="AE87" s="737"/>
      <c r="AF87" s="737"/>
      <c r="AG87" s="737"/>
      <c r="AH87" s="737"/>
      <c r="AI87" s="737"/>
      <c r="AJ87" s="737"/>
      <c r="AK87" s="737"/>
      <c r="AL87" s="737"/>
      <c r="AM87" s="737"/>
      <c r="AN87" s="737"/>
      <c r="AO87" s="737"/>
      <c r="AP87" s="737"/>
      <c r="AQ87" s="737"/>
      <c r="AR87" s="737"/>
      <c r="AS87" s="737"/>
      <c r="AT87" s="737"/>
      <c r="AU87" s="737"/>
      <c r="AV87" s="737"/>
      <c r="AW87" s="737"/>
      <c r="AX87" s="737"/>
      <c r="AY87" s="737"/>
      <c r="AZ87" s="737"/>
      <c r="BA87" s="737"/>
      <c r="BB87" s="737"/>
      <c r="BC87" s="737"/>
      <c r="BD87" s="737"/>
    </row>
    <row r="88" spans="16:56">
      <c r="P88" s="737"/>
      <c r="Q88" s="737"/>
      <c r="R88" s="737"/>
      <c r="S88" s="737"/>
      <c r="T88" s="737"/>
      <c r="U88" s="737"/>
      <c r="V88" s="737"/>
      <c r="W88" s="737"/>
      <c r="X88" s="737"/>
      <c r="Y88" s="737"/>
      <c r="Z88" s="737"/>
      <c r="AA88" s="737"/>
      <c r="AB88" s="737"/>
      <c r="AC88" s="737"/>
      <c r="AD88" s="737"/>
      <c r="AE88" s="737"/>
      <c r="AF88" s="737"/>
      <c r="AG88" s="737"/>
      <c r="AH88" s="737"/>
      <c r="AI88" s="737"/>
      <c r="AJ88" s="737"/>
      <c r="AK88" s="737"/>
      <c r="AL88" s="737"/>
      <c r="AM88" s="737"/>
      <c r="AN88" s="737"/>
      <c r="AO88" s="737"/>
      <c r="AP88" s="737"/>
      <c r="AQ88" s="737"/>
      <c r="AR88" s="737"/>
      <c r="AS88" s="737"/>
      <c r="AT88" s="737"/>
      <c r="AU88" s="737"/>
      <c r="AV88" s="737"/>
      <c r="AW88" s="737"/>
      <c r="AX88" s="737"/>
      <c r="AY88" s="737"/>
      <c r="AZ88" s="737"/>
      <c r="BA88" s="737"/>
      <c r="BB88" s="737"/>
      <c r="BC88" s="737"/>
      <c r="BD88" s="737"/>
    </row>
    <row r="89" spans="16:56">
      <c r="P89" s="737"/>
      <c r="Q89" s="737"/>
      <c r="R89" s="737"/>
      <c r="S89" s="737"/>
      <c r="T89" s="737"/>
      <c r="U89" s="737"/>
      <c r="V89" s="737"/>
      <c r="W89" s="737"/>
      <c r="X89" s="737"/>
      <c r="Y89" s="737"/>
      <c r="Z89" s="737"/>
      <c r="AA89" s="737"/>
      <c r="AB89" s="737"/>
      <c r="AC89" s="737"/>
      <c r="AD89" s="737"/>
      <c r="AE89" s="737"/>
      <c r="AF89" s="737"/>
      <c r="AG89" s="737"/>
      <c r="AH89" s="737"/>
      <c r="AI89" s="737"/>
      <c r="AJ89" s="737"/>
      <c r="AK89" s="737"/>
      <c r="AL89" s="737"/>
      <c r="AM89" s="737"/>
      <c r="AN89" s="737"/>
      <c r="AO89" s="737"/>
      <c r="AP89" s="737"/>
      <c r="AQ89" s="737"/>
      <c r="AR89" s="737"/>
      <c r="AS89" s="737"/>
      <c r="AT89" s="737"/>
      <c r="AU89" s="737"/>
      <c r="AV89" s="737"/>
      <c r="AW89" s="737"/>
      <c r="AX89" s="737"/>
      <c r="AY89" s="737"/>
      <c r="AZ89" s="737"/>
      <c r="BA89" s="737"/>
      <c r="BB89" s="737"/>
      <c r="BC89" s="737"/>
      <c r="BD89" s="737"/>
    </row>
    <row r="90" spans="16:56">
      <c r="P90" s="737"/>
      <c r="Q90" s="737"/>
      <c r="R90" s="737"/>
      <c r="S90" s="737"/>
      <c r="T90" s="737"/>
      <c r="U90" s="737"/>
      <c r="V90" s="737"/>
      <c r="W90" s="737"/>
      <c r="X90" s="737"/>
      <c r="Y90" s="737"/>
      <c r="Z90" s="737"/>
      <c r="AA90" s="737"/>
      <c r="AB90" s="737"/>
      <c r="AC90" s="737"/>
      <c r="AD90" s="737"/>
      <c r="AE90" s="737"/>
      <c r="AF90" s="737"/>
      <c r="AG90" s="737"/>
      <c r="AH90" s="737"/>
      <c r="AI90" s="737"/>
      <c r="AJ90" s="737"/>
      <c r="AK90" s="737"/>
      <c r="AL90" s="737"/>
      <c r="AM90" s="737"/>
      <c r="AN90" s="737"/>
      <c r="AO90" s="737"/>
      <c r="AP90" s="737"/>
      <c r="AQ90" s="737"/>
      <c r="AR90" s="737"/>
      <c r="AS90" s="737"/>
      <c r="AT90" s="737"/>
      <c r="AU90" s="737"/>
      <c r="AV90" s="737"/>
      <c r="AW90" s="737"/>
      <c r="AX90" s="737"/>
      <c r="AY90" s="737"/>
      <c r="AZ90" s="737"/>
      <c r="BA90" s="737"/>
      <c r="BB90" s="737"/>
      <c r="BC90" s="737"/>
      <c r="BD90" s="737"/>
    </row>
    <row r="91" spans="16:56">
      <c r="P91" s="737"/>
      <c r="Q91" s="737"/>
      <c r="R91" s="737"/>
      <c r="S91" s="737"/>
      <c r="T91" s="737"/>
      <c r="U91" s="737"/>
      <c r="V91" s="737"/>
      <c r="W91" s="737"/>
      <c r="X91" s="737"/>
      <c r="Y91" s="737"/>
      <c r="Z91" s="737"/>
      <c r="AA91" s="737"/>
      <c r="AB91" s="737"/>
      <c r="AC91" s="737"/>
      <c r="AD91" s="737"/>
      <c r="AE91" s="737"/>
      <c r="AF91" s="737"/>
      <c r="AG91" s="737"/>
      <c r="AH91" s="737"/>
      <c r="AI91" s="737"/>
      <c r="AJ91" s="737"/>
      <c r="AK91" s="737"/>
      <c r="AL91" s="737"/>
      <c r="AM91" s="737"/>
      <c r="AN91" s="737"/>
      <c r="AO91" s="737"/>
      <c r="AP91" s="737"/>
      <c r="AQ91" s="737"/>
      <c r="AR91" s="737"/>
      <c r="AS91" s="737"/>
      <c r="AT91" s="737"/>
      <c r="AU91" s="737"/>
      <c r="AV91" s="737"/>
      <c r="AW91" s="737"/>
      <c r="AX91" s="737"/>
      <c r="AY91" s="737"/>
      <c r="AZ91" s="737"/>
      <c r="BA91" s="737"/>
      <c r="BB91" s="737"/>
      <c r="BC91" s="737"/>
      <c r="BD91" s="737"/>
    </row>
    <row r="92" spans="16:56">
      <c r="P92" s="737"/>
      <c r="Q92" s="737"/>
      <c r="R92" s="737"/>
      <c r="S92" s="737"/>
      <c r="T92" s="737"/>
      <c r="U92" s="737"/>
      <c r="V92" s="737"/>
      <c r="W92" s="737"/>
      <c r="X92" s="737"/>
      <c r="Y92" s="737"/>
      <c r="Z92" s="737"/>
      <c r="AA92" s="737"/>
      <c r="AB92" s="737"/>
      <c r="AC92" s="737"/>
      <c r="AD92" s="737"/>
      <c r="AE92" s="737"/>
      <c r="AF92" s="737"/>
      <c r="AG92" s="737"/>
      <c r="AH92" s="737"/>
      <c r="AI92" s="737"/>
      <c r="AJ92" s="737"/>
      <c r="AK92" s="737"/>
      <c r="AL92" s="737"/>
      <c r="AM92" s="737"/>
      <c r="AN92" s="737"/>
      <c r="AO92" s="737"/>
      <c r="AP92" s="737"/>
      <c r="AQ92" s="737"/>
      <c r="AR92" s="737"/>
      <c r="AS92" s="737"/>
      <c r="AT92" s="737"/>
      <c r="AU92" s="737"/>
      <c r="AV92" s="737"/>
      <c r="AW92" s="737"/>
      <c r="AX92" s="737"/>
      <c r="AY92" s="737"/>
      <c r="AZ92" s="737"/>
      <c r="BA92" s="737"/>
      <c r="BB92" s="737"/>
      <c r="BC92" s="737"/>
      <c r="BD92" s="737"/>
    </row>
    <row r="93" spans="16:56">
      <c r="P93" s="737"/>
      <c r="Q93" s="737"/>
      <c r="R93" s="737"/>
      <c r="S93" s="737"/>
      <c r="T93" s="737"/>
      <c r="U93" s="737"/>
      <c r="V93" s="737"/>
      <c r="W93" s="737"/>
      <c r="X93" s="737"/>
      <c r="Y93" s="737"/>
      <c r="Z93" s="737"/>
      <c r="AA93" s="737"/>
      <c r="AB93" s="737"/>
      <c r="AC93" s="737"/>
      <c r="AD93" s="737"/>
      <c r="AE93" s="737"/>
      <c r="AF93" s="737"/>
      <c r="AG93" s="737"/>
      <c r="AH93" s="737"/>
      <c r="AI93" s="737"/>
      <c r="AJ93" s="737"/>
      <c r="AK93" s="737"/>
      <c r="AL93" s="737"/>
      <c r="AM93" s="737"/>
      <c r="AN93" s="737"/>
      <c r="AO93" s="737"/>
      <c r="AP93" s="737"/>
      <c r="AQ93" s="737"/>
      <c r="AR93" s="737"/>
      <c r="AS93" s="737"/>
      <c r="AT93" s="737"/>
      <c r="AU93" s="737"/>
      <c r="AV93" s="737"/>
      <c r="AW93" s="737"/>
      <c r="AX93" s="737"/>
      <c r="AY93" s="737"/>
      <c r="AZ93" s="737"/>
      <c r="BA93" s="737"/>
      <c r="BB93" s="737"/>
      <c r="BC93" s="737"/>
      <c r="BD93" s="737"/>
    </row>
    <row r="94" spans="16:56">
      <c r="P94" s="737"/>
      <c r="Q94" s="737"/>
      <c r="R94" s="737"/>
      <c r="S94" s="737"/>
      <c r="T94" s="737"/>
      <c r="U94" s="737"/>
      <c r="V94" s="737"/>
      <c r="W94" s="737"/>
      <c r="X94" s="737"/>
      <c r="Y94" s="737"/>
      <c r="Z94" s="737"/>
      <c r="AA94" s="737"/>
      <c r="AB94" s="737"/>
      <c r="AC94" s="737"/>
      <c r="AD94" s="737"/>
      <c r="AE94" s="737"/>
      <c r="AF94" s="737"/>
      <c r="AG94" s="737"/>
      <c r="AH94" s="737"/>
      <c r="AI94" s="737"/>
      <c r="AJ94" s="737"/>
      <c r="AK94" s="737"/>
      <c r="AL94" s="737"/>
      <c r="AM94" s="737"/>
      <c r="AN94" s="737"/>
      <c r="AO94" s="737"/>
      <c r="AP94" s="737"/>
      <c r="AQ94" s="737"/>
      <c r="AR94" s="737"/>
      <c r="AS94" s="737"/>
      <c r="AT94" s="737"/>
      <c r="AU94" s="737"/>
      <c r="AV94" s="737"/>
      <c r="AW94" s="737"/>
      <c r="AX94" s="737"/>
      <c r="AY94" s="737"/>
      <c r="AZ94" s="737"/>
      <c r="BA94" s="737"/>
      <c r="BB94" s="737"/>
      <c r="BC94" s="737"/>
      <c r="BD94" s="737"/>
    </row>
    <row r="95" spans="16:56">
      <c r="P95" s="737"/>
      <c r="Q95" s="737"/>
      <c r="R95" s="737"/>
      <c r="S95" s="737"/>
      <c r="T95" s="737"/>
      <c r="U95" s="737"/>
      <c r="V95" s="737"/>
      <c r="W95" s="737"/>
      <c r="X95" s="737"/>
      <c r="Y95" s="737"/>
      <c r="Z95" s="737"/>
      <c r="AA95" s="737"/>
      <c r="AB95" s="737"/>
      <c r="AC95" s="737"/>
      <c r="AD95" s="737"/>
      <c r="AE95" s="737"/>
      <c r="AF95" s="737"/>
      <c r="AG95" s="737"/>
      <c r="AH95" s="737"/>
      <c r="AI95" s="737"/>
      <c r="AJ95" s="737"/>
      <c r="AK95" s="737"/>
      <c r="AL95" s="737"/>
      <c r="AM95" s="737"/>
      <c r="AN95" s="737"/>
      <c r="AO95" s="737"/>
      <c r="AP95" s="737"/>
      <c r="AQ95" s="737"/>
      <c r="AR95" s="737"/>
      <c r="AS95" s="737"/>
      <c r="AT95" s="737"/>
      <c r="AU95" s="737"/>
      <c r="AV95" s="737"/>
      <c r="AW95" s="737"/>
      <c r="AX95" s="737"/>
      <c r="AY95" s="737"/>
      <c r="AZ95" s="737"/>
      <c r="BA95" s="737"/>
      <c r="BB95" s="737"/>
      <c r="BC95" s="737"/>
      <c r="BD95" s="737"/>
    </row>
    <row r="96" spans="16:56">
      <c r="P96" s="737"/>
      <c r="Q96" s="737"/>
      <c r="R96" s="737"/>
      <c r="S96" s="737"/>
      <c r="T96" s="737"/>
      <c r="U96" s="737"/>
      <c r="V96" s="737"/>
      <c r="W96" s="737"/>
      <c r="X96" s="737"/>
      <c r="Y96" s="737"/>
      <c r="Z96" s="737"/>
      <c r="AA96" s="737"/>
      <c r="AB96" s="737"/>
      <c r="AC96" s="737"/>
      <c r="AD96" s="737"/>
      <c r="AE96" s="737"/>
      <c r="AF96" s="737"/>
      <c r="AG96" s="737"/>
      <c r="AH96" s="737"/>
      <c r="AI96" s="737"/>
      <c r="AJ96" s="737"/>
      <c r="AK96" s="737"/>
      <c r="AL96" s="737"/>
      <c r="AM96" s="737"/>
      <c r="AN96" s="737"/>
      <c r="AO96" s="737"/>
      <c r="AP96" s="737"/>
      <c r="AQ96" s="737"/>
      <c r="AR96" s="737"/>
      <c r="AS96" s="737"/>
      <c r="AT96" s="737"/>
      <c r="AU96" s="737"/>
      <c r="AV96" s="737"/>
      <c r="AW96" s="737"/>
      <c r="AX96" s="737"/>
      <c r="AY96" s="737"/>
      <c r="AZ96" s="737"/>
      <c r="BA96" s="737"/>
      <c r="BB96" s="737"/>
      <c r="BC96" s="737"/>
      <c r="BD96" s="737"/>
    </row>
    <row r="97" spans="51:56">
      <c r="AY97" s="737"/>
      <c r="AZ97" s="737"/>
      <c r="BA97" s="737"/>
      <c r="BB97" s="737"/>
      <c r="BC97" s="737"/>
      <c r="BD97" s="737"/>
    </row>
    <row r="98" spans="51:56">
      <c r="AY98" s="737"/>
      <c r="AZ98" s="737"/>
      <c r="BA98" s="737"/>
      <c r="BB98" s="737"/>
      <c r="BC98" s="737"/>
      <c r="BD98" s="737"/>
    </row>
    <row r="99" spans="51:56">
      <c r="AY99" s="737"/>
      <c r="AZ99" s="737"/>
      <c r="BA99" s="737"/>
      <c r="BB99" s="737"/>
      <c r="BC99" s="737"/>
      <c r="BD99" s="737"/>
    </row>
  </sheetData>
  <customSheetViews>
    <customSheetView guid="{F9015B81-4D5E-47E3-BFA8-A54438E9D1FF}" scale="85" showGridLines="0" topLeftCell="A2">
      <selection activeCell="A3" sqref="A3:XFD3"/>
      <pageMargins left="0.7" right="0.7" top="0.78740157499999996" bottom="0.78740157499999996" header="0.3" footer="0.3"/>
      <pageSetup paperSize="9" orientation="portrait" r:id="rId1"/>
    </customSheetView>
  </customSheetViews>
  <mergeCells count="235">
    <mergeCell ref="P21:R21"/>
    <mergeCell ref="W29:Y29"/>
    <mergeCell ref="W30:Y30"/>
    <mergeCell ref="W21:Y21"/>
    <mergeCell ref="W22:Y22"/>
    <mergeCell ref="W28:Y28"/>
    <mergeCell ref="AD37:AF37"/>
    <mergeCell ref="W32:Y32"/>
    <mergeCell ref="W31:Y31"/>
    <mergeCell ref="AD26:AF26"/>
    <mergeCell ref="W24:Y24"/>
    <mergeCell ref="W25:Y25"/>
    <mergeCell ref="AD25:AF25"/>
    <mergeCell ref="W27:Y27"/>
    <mergeCell ref="AD21:AF21"/>
    <mergeCell ref="AD22:AF22"/>
    <mergeCell ref="AD23:AF23"/>
    <mergeCell ref="AD24:AF24"/>
    <mergeCell ref="AD27:AH27"/>
    <mergeCell ref="W26:Y26"/>
    <mergeCell ref="AY16:BA16"/>
    <mergeCell ref="AK19:AM19"/>
    <mergeCell ref="AR8:AT8"/>
    <mergeCell ref="AY13:BA13"/>
    <mergeCell ref="AY14:BA14"/>
    <mergeCell ref="AY15:BA15"/>
    <mergeCell ref="AY4:BA4"/>
    <mergeCell ref="AY5:BA5"/>
    <mergeCell ref="AY17:BC17"/>
    <mergeCell ref="AY18:BA18"/>
    <mergeCell ref="AY19:BA19"/>
    <mergeCell ref="AK9:AM9"/>
    <mergeCell ref="AK7:AM7"/>
    <mergeCell ref="AK8:AM8"/>
    <mergeCell ref="AK17:AO17"/>
    <mergeCell ref="AK18:AM18"/>
    <mergeCell ref="AR19:AT19"/>
    <mergeCell ref="AR4:AT4"/>
    <mergeCell ref="AR5:AT5"/>
    <mergeCell ref="AK13:AM13"/>
    <mergeCell ref="AK14:AM14"/>
    <mergeCell ref="AK15:AM15"/>
    <mergeCell ref="AK16:AM16"/>
    <mergeCell ref="AR14:AT14"/>
    <mergeCell ref="AR15:AT15"/>
    <mergeCell ref="AR16:AT16"/>
    <mergeCell ref="AR17:AT17"/>
    <mergeCell ref="AR18:AT18"/>
    <mergeCell ref="AR9:AV9"/>
    <mergeCell ref="AR11:AT11"/>
    <mergeCell ref="AR12:AT12"/>
    <mergeCell ref="AR6:AT6"/>
    <mergeCell ref="AR7:AT7"/>
    <mergeCell ref="AR10:AT10"/>
    <mergeCell ref="AY6:BA6"/>
    <mergeCell ref="AY7:BA7"/>
    <mergeCell ref="AY8:BA8"/>
    <mergeCell ref="AY9:BA9"/>
    <mergeCell ref="AY10:BA10"/>
    <mergeCell ref="AY11:BA11"/>
    <mergeCell ref="AY12:BA12"/>
    <mergeCell ref="AR13:AT13"/>
    <mergeCell ref="AK10:AM10"/>
    <mergeCell ref="AK11:AM11"/>
    <mergeCell ref="AK12:AM12"/>
    <mergeCell ref="W20:Y20"/>
    <mergeCell ref="P26:R26"/>
    <mergeCell ref="I30:K30"/>
    <mergeCell ref="I31:K31"/>
    <mergeCell ref="W4:Y4"/>
    <mergeCell ref="W5:Y5"/>
    <mergeCell ref="AK23:AM23"/>
    <mergeCell ref="AD15:AF15"/>
    <mergeCell ref="AD16:AF16"/>
    <mergeCell ref="AD17:AF17"/>
    <mergeCell ref="W14:Y14"/>
    <mergeCell ref="W15:Y15"/>
    <mergeCell ref="W16:Y16"/>
    <mergeCell ref="W13:Y13"/>
    <mergeCell ref="W17:Y17"/>
    <mergeCell ref="W23:Y23"/>
    <mergeCell ref="W18:AA18"/>
    <mergeCell ref="AD18:AF18"/>
    <mergeCell ref="W19:Y19"/>
    <mergeCell ref="AD13:AF13"/>
    <mergeCell ref="AD14:AF14"/>
    <mergeCell ref="AD19:AF19"/>
    <mergeCell ref="AD20:AF20"/>
    <mergeCell ref="I27:M27"/>
    <mergeCell ref="I41:K41"/>
    <mergeCell ref="P3:U3"/>
    <mergeCell ref="P8:R8"/>
    <mergeCell ref="P5:R5"/>
    <mergeCell ref="P6:R6"/>
    <mergeCell ref="P7:R7"/>
    <mergeCell ref="P9:R9"/>
    <mergeCell ref="P11:R11"/>
    <mergeCell ref="P12:R12"/>
    <mergeCell ref="P27:R27"/>
    <mergeCell ref="I36:K36"/>
    <mergeCell ref="I38:K38"/>
    <mergeCell ref="I39:K39"/>
    <mergeCell ref="I40:K40"/>
    <mergeCell ref="P22:R22"/>
    <mergeCell ref="P23:R23"/>
    <mergeCell ref="P25:R25"/>
    <mergeCell ref="I37:K37"/>
    <mergeCell ref="P24:R24"/>
    <mergeCell ref="I34:K34"/>
    <mergeCell ref="I28:K28"/>
    <mergeCell ref="I21:K21"/>
    <mergeCell ref="I32:K32"/>
    <mergeCell ref="P20:R20"/>
    <mergeCell ref="I35:K35"/>
    <mergeCell ref="I33:K33"/>
    <mergeCell ref="I29:K29"/>
    <mergeCell ref="AY30:BA30"/>
    <mergeCell ref="AY31:BA31"/>
    <mergeCell ref="AD28:AF28"/>
    <mergeCell ref="AD29:AF29"/>
    <mergeCell ref="AD30:AF30"/>
    <mergeCell ref="AD31:AF31"/>
    <mergeCell ref="AY29:BA29"/>
    <mergeCell ref="AK26:AM26"/>
    <mergeCell ref="AY27:BA27"/>
    <mergeCell ref="AR20:AT20"/>
    <mergeCell ref="AR21:AT21"/>
    <mergeCell ref="AR22:AT22"/>
    <mergeCell ref="AK28:AM28"/>
    <mergeCell ref="AK24:AM24"/>
    <mergeCell ref="AK25:AM25"/>
    <mergeCell ref="AY22:BA22"/>
    <mergeCell ref="AY23:BA23"/>
    <mergeCell ref="AY24:BA24"/>
    <mergeCell ref="AY25:BA25"/>
    <mergeCell ref="AY26:BA26"/>
    <mergeCell ref="AY28:BA28"/>
    <mergeCell ref="AR23:AT23"/>
    <mergeCell ref="AK27:AM27"/>
    <mergeCell ref="AK21:AM21"/>
    <mergeCell ref="AK22:AM22"/>
    <mergeCell ref="AY21:BA21"/>
    <mergeCell ref="AK20:AM20"/>
    <mergeCell ref="AY20:BA20"/>
    <mergeCell ref="AD38:AF38"/>
    <mergeCell ref="AD39:AF39"/>
    <mergeCell ref="AD40:AF40"/>
    <mergeCell ref="AD41:AF41"/>
    <mergeCell ref="AK29:AM29"/>
    <mergeCell ref="AK30:AM30"/>
    <mergeCell ref="AK31:AM31"/>
    <mergeCell ref="AD32:AF32"/>
    <mergeCell ref="AD33:AF33"/>
    <mergeCell ref="AD34:AF34"/>
    <mergeCell ref="AD35:AF35"/>
    <mergeCell ref="AD36:AF36"/>
    <mergeCell ref="B21:D21"/>
    <mergeCell ref="B23:D23"/>
    <mergeCell ref="B11:D11"/>
    <mergeCell ref="B12:D12"/>
    <mergeCell ref="B13:D13"/>
    <mergeCell ref="B14:D14"/>
    <mergeCell ref="B15:D15"/>
    <mergeCell ref="B16:D16"/>
    <mergeCell ref="B19:D19"/>
    <mergeCell ref="B20:D20"/>
    <mergeCell ref="B22:D22"/>
    <mergeCell ref="B17:D17"/>
    <mergeCell ref="B18:D18"/>
    <mergeCell ref="I16:K16"/>
    <mergeCell ref="I17:K17"/>
    <mergeCell ref="I18:K18"/>
    <mergeCell ref="I19:K19"/>
    <mergeCell ref="I22:K22"/>
    <mergeCell ref="I23:K23"/>
    <mergeCell ref="I24:K24"/>
    <mergeCell ref="I25:K25"/>
    <mergeCell ref="I26:K26"/>
    <mergeCell ref="I20:K20"/>
    <mergeCell ref="P18:R18"/>
    <mergeCell ref="P19:R19"/>
    <mergeCell ref="P16:R16"/>
    <mergeCell ref="P17:R17"/>
    <mergeCell ref="AK6:AM6"/>
    <mergeCell ref="B10:D10"/>
    <mergeCell ref="B9:F9"/>
    <mergeCell ref="AD9:AF9"/>
    <mergeCell ref="AD10:AF10"/>
    <mergeCell ref="W7:Y7"/>
    <mergeCell ref="W8:Y8"/>
    <mergeCell ref="W9:Y9"/>
    <mergeCell ref="W10:Y10"/>
    <mergeCell ref="I6:K6"/>
    <mergeCell ref="P10:R10"/>
    <mergeCell ref="AD11:AF11"/>
    <mergeCell ref="AD12:AF12"/>
    <mergeCell ref="I15:K15"/>
    <mergeCell ref="B6:D6"/>
    <mergeCell ref="B7:D7"/>
    <mergeCell ref="B8:D8"/>
    <mergeCell ref="AD6:AF6"/>
    <mergeCell ref="AD7:AF7"/>
    <mergeCell ref="AD8:AF8"/>
    <mergeCell ref="B2:BD2"/>
    <mergeCell ref="P4:R4"/>
    <mergeCell ref="B4:D4"/>
    <mergeCell ref="BF2:BG2"/>
    <mergeCell ref="AK4:AM4"/>
    <mergeCell ref="AK5:AM5"/>
    <mergeCell ref="B3:G3"/>
    <mergeCell ref="I3:N3"/>
    <mergeCell ref="I4:K4"/>
    <mergeCell ref="AK3:AP3"/>
    <mergeCell ref="AY3:BD3"/>
    <mergeCell ref="B5:D5"/>
    <mergeCell ref="I5:K5"/>
    <mergeCell ref="AR3:AW3"/>
    <mergeCell ref="W3:AB3"/>
    <mergeCell ref="AD4:AF4"/>
    <mergeCell ref="AD5:AF5"/>
    <mergeCell ref="AD3:AI3"/>
    <mergeCell ref="P15:R15"/>
    <mergeCell ref="I13:K13"/>
    <mergeCell ref="I14:K14"/>
    <mergeCell ref="W11:Y11"/>
    <mergeCell ref="W12:Y12"/>
    <mergeCell ref="W6:Y6"/>
    <mergeCell ref="I7:K7"/>
    <mergeCell ref="I8:K8"/>
    <mergeCell ref="I9:K9"/>
    <mergeCell ref="I10:K10"/>
    <mergeCell ref="I11:K11"/>
    <mergeCell ref="I12:K12"/>
    <mergeCell ref="P13:T13"/>
    <mergeCell ref="P14:R14"/>
  </mergeCells>
  <hyperlinks>
    <hyperlink ref="A1" location="MENU!A1" display="MENU" xr:uid="{598B4619-DAA4-4772-ADDB-B8BAF8797683}"/>
  </hyperlinks>
  <pageMargins left="0.7" right="0.7" top="0.78740157499999996" bottom="0.78740157499999996" header="0.3" footer="0.3"/>
  <pageSetup paperSize="9" orientation="portrait"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E7B24-E1F1-419A-9804-DE5C35557A19}">
  <sheetPr>
    <tabColor rgb="FF7030A0"/>
  </sheetPr>
  <dimension ref="A1:X38"/>
  <sheetViews>
    <sheetView showGridLines="0" zoomScale="70" zoomScaleNormal="70" workbookViewId="0"/>
  </sheetViews>
  <sheetFormatPr defaultRowHeight="14.25"/>
  <cols>
    <col min="1" max="1" width="8.77734375" style="55"/>
    <col min="5" max="5" width="9.44140625" customWidth="1"/>
    <col min="6" max="6" width="11.21875" customWidth="1"/>
    <col min="7" max="7" width="10.77734375" customWidth="1"/>
    <col min="12" max="12" width="10.33203125" customWidth="1"/>
    <col min="13" max="13" width="11.33203125" customWidth="1"/>
    <col min="14" max="14" width="11.109375" customWidth="1"/>
    <col min="18" max="18" width="12.33203125" customWidth="1"/>
    <col min="19" max="19" width="13.21875" customWidth="1"/>
    <col min="20" max="20" width="12.33203125" customWidth="1"/>
    <col min="21" max="21" width="9.77734375" customWidth="1"/>
    <col min="23" max="23" width="23" customWidth="1"/>
    <col min="24" max="24" width="24" customWidth="1"/>
  </cols>
  <sheetData>
    <row r="1" spans="1:24" s="55" customFormat="1" ht="24" customHeight="1" thickBot="1">
      <c r="A1" s="107" t="s">
        <v>1</v>
      </c>
      <c r="B1" s="737"/>
      <c r="C1" s="737"/>
      <c r="D1" s="737"/>
      <c r="E1" s="737"/>
      <c r="F1" s="737"/>
      <c r="G1" s="737"/>
      <c r="H1" s="737"/>
      <c r="I1" s="737"/>
      <c r="J1" s="737"/>
      <c r="K1" s="737"/>
      <c r="L1" s="737"/>
      <c r="M1" s="737"/>
      <c r="N1" s="737"/>
      <c r="O1" s="737"/>
      <c r="P1" s="737"/>
      <c r="Q1" s="737"/>
      <c r="R1" s="737"/>
      <c r="S1" s="737"/>
      <c r="T1" s="737"/>
      <c r="U1" s="737"/>
      <c r="V1" s="737"/>
      <c r="W1" s="737"/>
      <c r="X1" s="737"/>
    </row>
    <row r="2" spans="1:24" ht="15.75" thickBot="1">
      <c r="A2" s="737"/>
      <c r="B2" s="1622" t="s">
        <v>932</v>
      </c>
      <c r="C2" s="1627"/>
      <c r="D2" s="1627"/>
      <c r="E2" s="1627"/>
      <c r="F2" s="1627"/>
      <c r="G2" s="1627"/>
      <c r="H2" s="1627"/>
      <c r="I2" s="1627"/>
      <c r="J2" s="1627"/>
      <c r="K2" s="1627"/>
      <c r="L2" s="1627"/>
      <c r="M2" s="1627"/>
      <c r="N2" s="1627"/>
      <c r="O2" s="1627"/>
      <c r="P2" s="1627"/>
      <c r="Q2" s="1627"/>
      <c r="R2" s="1627"/>
      <c r="S2" s="1627"/>
      <c r="T2" s="1627"/>
      <c r="U2" s="1627"/>
      <c r="V2" s="737"/>
      <c r="W2" s="1622" t="s">
        <v>880</v>
      </c>
      <c r="X2" s="1623"/>
    </row>
    <row r="3" spans="1:24" ht="15.75" thickBot="1">
      <c r="A3" s="737"/>
      <c r="B3" s="1622" t="s">
        <v>854</v>
      </c>
      <c r="C3" s="1627"/>
      <c r="D3" s="1627"/>
      <c r="E3" s="1627"/>
      <c r="F3" s="1627"/>
      <c r="G3" s="1627"/>
      <c r="H3" s="737"/>
      <c r="I3" s="1622" t="s">
        <v>855</v>
      </c>
      <c r="J3" s="1627"/>
      <c r="K3" s="1627"/>
      <c r="L3" s="1627"/>
      <c r="M3" s="1627"/>
      <c r="N3" s="1627"/>
      <c r="O3" s="737"/>
      <c r="P3" s="1622" t="s">
        <v>856</v>
      </c>
      <c r="Q3" s="1627"/>
      <c r="R3" s="1627"/>
      <c r="S3" s="1627"/>
      <c r="T3" s="1627"/>
      <c r="U3" s="1627"/>
      <c r="V3" s="737"/>
      <c r="W3" s="111" t="s">
        <v>881</v>
      </c>
      <c r="X3" s="111" t="s">
        <v>873</v>
      </c>
    </row>
    <row r="4" spans="1:24" ht="15.75" thickBot="1">
      <c r="A4" s="737"/>
      <c r="B4" s="1622"/>
      <c r="C4" s="1627"/>
      <c r="D4" s="1623"/>
      <c r="E4" s="111" t="s">
        <v>882</v>
      </c>
      <c r="F4" s="111" t="s">
        <v>883</v>
      </c>
      <c r="G4" s="111" t="s">
        <v>884</v>
      </c>
      <c r="H4" s="737"/>
      <c r="I4" s="1622"/>
      <c r="J4" s="1627"/>
      <c r="K4" s="1623"/>
      <c r="L4" s="111" t="s">
        <v>882</v>
      </c>
      <c r="M4" s="111" t="s">
        <v>883</v>
      </c>
      <c r="N4" s="111" t="s">
        <v>884</v>
      </c>
      <c r="O4" s="737"/>
      <c r="P4" s="1622"/>
      <c r="Q4" s="1627"/>
      <c r="R4" s="1623"/>
      <c r="S4" s="111" t="s">
        <v>882</v>
      </c>
      <c r="T4" s="111" t="s">
        <v>883</v>
      </c>
      <c r="U4" s="111" t="s">
        <v>884</v>
      </c>
      <c r="V4" s="737"/>
      <c r="W4" s="129" t="s">
        <v>275</v>
      </c>
      <c r="X4" s="313">
        <f>S14+L12+E11</f>
        <v>5873400</v>
      </c>
    </row>
    <row r="5" spans="1:24">
      <c r="A5" s="737"/>
      <c r="B5" s="1628" t="s">
        <v>933</v>
      </c>
      <c r="C5" s="1629"/>
      <c r="D5" s="1630"/>
      <c r="E5" s="76">
        <v>60000</v>
      </c>
      <c r="F5" s="76">
        <f>E5/12</f>
        <v>5000</v>
      </c>
      <c r="G5" s="76">
        <f>E5/HR!$D$63</f>
        <v>15.936254980079681</v>
      </c>
      <c r="H5" s="737"/>
      <c r="I5" s="1628" t="s">
        <v>934</v>
      </c>
      <c r="J5" s="1629"/>
      <c r="K5" s="1630"/>
      <c r="L5" s="76">
        <v>200000</v>
      </c>
      <c r="M5" s="76">
        <f>L5/12</f>
        <v>16666.666666666668</v>
      </c>
      <c r="N5" s="76">
        <f>L5/HR!$D$63</f>
        <v>53.12084993359894</v>
      </c>
      <c r="O5" s="737"/>
      <c r="P5" s="1628" t="s">
        <v>933</v>
      </c>
      <c r="Q5" s="1629"/>
      <c r="R5" s="1630"/>
      <c r="S5" s="76">
        <v>77000</v>
      </c>
      <c r="T5" s="76">
        <f>S5/12</f>
        <v>6416.666666666667</v>
      </c>
      <c r="U5" s="76">
        <f>S5/HR!$D$63</f>
        <v>20.451527224435591</v>
      </c>
      <c r="V5" s="737"/>
      <c r="W5" s="129" t="s">
        <v>889</v>
      </c>
      <c r="X5" s="313">
        <f>S15+L13+E12</f>
        <v>2067436.7999999998</v>
      </c>
    </row>
    <row r="6" spans="1:24">
      <c r="A6" s="737"/>
      <c r="B6" s="1628" t="s">
        <v>894</v>
      </c>
      <c r="C6" s="1629"/>
      <c r="D6" s="1630"/>
      <c r="E6" s="76">
        <v>36000</v>
      </c>
      <c r="F6" s="76">
        <f>E6/12</f>
        <v>3000</v>
      </c>
      <c r="G6" s="76">
        <f>E6/HR!$D$63</f>
        <v>9.5617529880478092</v>
      </c>
      <c r="H6" s="737"/>
      <c r="I6" s="1628" t="s">
        <v>933</v>
      </c>
      <c r="J6" s="1629"/>
      <c r="K6" s="1630"/>
      <c r="L6" s="76">
        <v>201530</v>
      </c>
      <c r="M6" s="76">
        <f>L6/12</f>
        <v>16794.166666666668</v>
      </c>
      <c r="N6" s="76">
        <f>L6/HR!$D$63</f>
        <v>53.527224435590966</v>
      </c>
      <c r="O6" s="737"/>
      <c r="P6" s="1628" t="s">
        <v>935</v>
      </c>
      <c r="Q6" s="1637"/>
      <c r="R6" s="1630"/>
      <c r="S6" s="76">
        <v>30000</v>
      </c>
      <c r="T6" s="76">
        <f>S6/12</f>
        <v>2500</v>
      </c>
      <c r="U6" s="76">
        <f>S6/HR!$D$63</f>
        <v>7.9681274900398407</v>
      </c>
      <c r="V6" s="737"/>
      <c r="W6" s="129" t="s">
        <v>561</v>
      </c>
      <c r="X6" s="313">
        <f>S16+L14+E13</f>
        <v>587340</v>
      </c>
    </row>
    <row r="7" spans="1:24" ht="15" thickBot="1">
      <c r="A7" s="737"/>
      <c r="B7" s="1628" t="s">
        <v>936</v>
      </c>
      <c r="C7" s="1629"/>
      <c r="D7" s="1630"/>
      <c r="E7" s="76">
        <v>190000</v>
      </c>
      <c r="F7" s="76">
        <f>E7/12</f>
        <v>15833.333333333334</v>
      </c>
      <c r="G7" s="76">
        <f>E7/HR!$D$63</f>
        <v>50.464807436918989</v>
      </c>
      <c r="H7" s="737"/>
      <c r="I7" s="1628" t="s">
        <v>937</v>
      </c>
      <c r="J7" s="1629"/>
      <c r="K7" s="1630"/>
      <c r="L7" s="76">
        <v>84000</v>
      </c>
      <c r="M7" s="76">
        <f>L7/12</f>
        <v>7000</v>
      </c>
      <c r="N7" s="76">
        <f>L7/HR!$D$63</f>
        <v>22.310756972111555</v>
      </c>
      <c r="O7" s="737"/>
      <c r="P7" s="1628" t="s">
        <v>938</v>
      </c>
      <c r="Q7" s="1637"/>
      <c r="R7" s="1630"/>
      <c r="S7" s="76">
        <v>15000</v>
      </c>
      <c r="T7" s="76">
        <f t="shared" ref="T7:T10" si="0">S7/12</f>
        <v>1250</v>
      </c>
      <c r="U7" s="76">
        <f>S7/HR!$D$63</f>
        <v>3.9840637450199203</v>
      </c>
      <c r="V7" s="737"/>
      <c r="W7" s="129" t="s">
        <v>897</v>
      </c>
      <c r="X7" s="313">
        <f>S17+L15+E14</f>
        <v>49000</v>
      </c>
    </row>
    <row r="8" spans="1:24" ht="15" thickBot="1">
      <c r="A8" s="737"/>
      <c r="B8" s="1631" t="s">
        <v>898</v>
      </c>
      <c r="C8" s="1632"/>
      <c r="D8" s="1633"/>
      <c r="E8" s="77">
        <f>SUM(E1:E7)</f>
        <v>286000</v>
      </c>
      <c r="F8" s="77">
        <f>SUM(F1:F7)</f>
        <v>23833.333333333336</v>
      </c>
      <c r="G8" s="77">
        <f>SUM(G1:G7)</f>
        <v>75.962815405046484</v>
      </c>
      <c r="H8" s="737"/>
      <c r="I8" s="1628" t="s">
        <v>894</v>
      </c>
      <c r="J8" s="1629"/>
      <c r="K8" s="1630"/>
      <c r="L8" s="76">
        <v>46000</v>
      </c>
      <c r="M8" s="76">
        <f>L8/12</f>
        <v>3833.3333333333335</v>
      </c>
      <c r="N8" s="76">
        <f>L8/HR!$D$63</f>
        <v>12.217795484727755</v>
      </c>
      <c r="O8" s="737"/>
      <c r="P8" s="1628" t="s">
        <v>939</v>
      </c>
      <c r="Q8" s="1637"/>
      <c r="R8" s="1630"/>
      <c r="S8" s="76">
        <v>10000</v>
      </c>
      <c r="T8" s="76">
        <f t="shared" si="0"/>
        <v>833.33333333333337</v>
      </c>
      <c r="U8" s="76">
        <f>S8/HR!$D$63</f>
        <v>2.6560424966799467</v>
      </c>
      <c r="V8" s="737"/>
      <c r="W8" s="129" t="s">
        <v>901</v>
      </c>
      <c r="X8" s="313">
        <f>S23+L21+E20</f>
        <v>13000</v>
      </c>
    </row>
    <row r="9" spans="1:24" ht="15.75" thickBot="1">
      <c r="A9" s="737"/>
      <c r="B9" s="1622" t="s">
        <v>902</v>
      </c>
      <c r="C9" s="1627"/>
      <c r="D9" s="1627"/>
      <c r="E9" s="1627"/>
      <c r="F9" s="1627"/>
      <c r="G9" s="111">
        <f>'NS + DHM'!B11</f>
        <v>3</v>
      </c>
      <c r="H9" s="737"/>
      <c r="I9" s="1631" t="s">
        <v>898</v>
      </c>
      <c r="J9" s="1632"/>
      <c r="K9" s="1633"/>
      <c r="L9" s="77">
        <f>SUM(L1:L8)</f>
        <v>531530</v>
      </c>
      <c r="M9" s="77">
        <f>SUM(M1:M8)</f>
        <v>44294.166666666672</v>
      </c>
      <c r="N9" s="77">
        <f>SUM(N1:N8)</f>
        <v>141.17662682602923</v>
      </c>
      <c r="O9" s="737"/>
      <c r="P9" s="1628" t="s">
        <v>940</v>
      </c>
      <c r="Q9" s="1637"/>
      <c r="R9" s="1630"/>
      <c r="S9" s="76">
        <v>400000</v>
      </c>
      <c r="T9" s="76">
        <f t="shared" si="0"/>
        <v>33333.333333333336</v>
      </c>
      <c r="U9" s="76">
        <f>S9/HR!$D$63</f>
        <v>106.24169986719788</v>
      </c>
      <c r="V9" s="737"/>
      <c r="W9" s="129" t="s">
        <v>927</v>
      </c>
      <c r="X9" s="313">
        <f>S24+L22+E21+L7+E7</f>
        <v>317000</v>
      </c>
    </row>
    <row r="10" spans="1:24" ht="15.75" thickBot="1">
      <c r="A10" s="737"/>
      <c r="B10" s="1622"/>
      <c r="C10" s="1627"/>
      <c r="D10" s="1623"/>
      <c r="E10" s="111" t="s">
        <v>882</v>
      </c>
      <c r="F10" s="111" t="s">
        <v>883</v>
      </c>
      <c r="G10" s="111" t="s">
        <v>884</v>
      </c>
      <c r="H10" s="737"/>
      <c r="I10" s="1622" t="s">
        <v>902</v>
      </c>
      <c r="J10" s="1627"/>
      <c r="K10" s="1627"/>
      <c r="L10" s="1627"/>
      <c r="M10" s="1627"/>
      <c r="N10" s="111">
        <f>'NS + DHM'!B12</f>
        <v>3</v>
      </c>
      <c r="O10" s="737"/>
      <c r="P10" s="1628" t="s">
        <v>941</v>
      </c>
      <c r="Q10" s="1637"/>
      <c r="R10" s="1630"/>
      <c r="S10" s="76">
        <v>45000</v>
      </c>
      <c r="T10" s="76">
        <f t="shared" si="0"/>
        <v>3750</v>
      </c>
      <c r="U10" s="76">
        <f>S10/HR!$D$63</f>
        <v>11.952191235059761</v>
      </c>
      <c r="V10" s="737"/>
      <c r="W10" s="316" t="s">
        <v>942</v>
      </c>
      <c r="X10" s="313">
        <f>S11</f>
        <v>500000</v>
      </c>
    </row>
    <row r="11" spans="1:24" ht="15.75" thickBot="1">
      <c r="A11" s="737"/>
      <c r="B11" s="1624" t="s">
        <v>943</v>
      </c>
      <c r="C11" s="1625"/>
      <c r="D11" s="1626"/>
      <c r="E11" s="80">
        <f>350*251*7.5*G9</f>
        <v>1976625</v>
      </c>
      <c r="F11" s="76">
        <f>E11/12</f>
        <v>164718.75</v>
      </c>
      <c r="G11" s="76">
        <f>E11/HR!$D$63</f>
        <v>525</v>
      </c>
      <c r="H11" s="737"/>
      <c r="I11" s="1622"/>
      <c r="J11" s="1627"/>
      <c r="K11" s="1623"/>
      <c r="L11" s="111" t="s">
        <v>882</v>
      </c>
      <c r="M11" s="111" t="s">
        <v>883</v>
      </c>
      <c r="N11" s="111" t="s">
        <v>884</v>
      </c>
      <c r="O11" s="737"/>
      <c r="P11" s="1631" t="s">
        <v>898</v>
      </c>
      <c r="Q11" s="1632"/>
      <c r="R11" s="1633"/>
      <c r="S11" s="77">
        <f>SUM(S6:S10)</f>
        <v>500000</v>
      </c>
      <c r="T11" s="77">
        <f>SUM(T6:T10)</f>
        <v>41666.666666666672</v>
      </c>
      <c r="U11" s="77">
        <f>SUM(U6:U10)</f>
        <v>132.80212483399734</v>
      </c>
      <c r="V11" s="737"/>
      <c r="W11" s="316" t="s">
        <v>430</v>
      </c>
      <c r="X11" s="313">
        <f>S18+L16+E15</f>
        <v>15000</v>
      </c>
    </row>
    <row r="12" spans="1:24" ht="15.75" thickBot="1">
      <c r="A12" s="737"/>
      <c r="B12" s="1628" t="s">
        <v>910</v>
      </c>
      <c r="C12" s="1637"/>
      <c r="D12" s="1630"/>
      <c r="E12" s="76">
        <f>E11*HR!D64</f>
        <v>695772</v>
      </c>
      <c r="F12" s="76">
        <f>E12/12</f>
        <v>57981</v>
      </c>
      <c r="G12" s="76">
        <f>E12/HR!$D$63</f>
        <v>184.8</v>
      </c>
      <c r="H12" s="737"/>
      <c r="I12" s="1624" t="s">
        <v>943</v>
      </c>
      <c r="J12" s="1625"/>
      <c r="K12" s="1626"/>
      <c r="L12" s="80">
        <f>350*251*7.5*N10</f>
        <v>1976625</v>
      </c>
      <c r="M12" s="76">
        <f>L12/12</f>
        <v>164718.75</v>
      </c>
      <c r="N12" s="76">
        <f>L12/HR!$D$63</f>
        <v>525</v>
      </c>
      <c r="O12" s="737"/>
      <c r="P12" s="1622" t="s">
        <v>902</v>
      </c>
      <c r="Q12" s="1627"/>
      <c r="R12" s="1627"/>
      <c r="S12" s="1627"/>
      <c r="T12" s="1627"/>
      <c r="U12" s="111">
        <f>'NS + DHM'!B13</f>
        <v>3</v>
      </c>
      <c r="V12" s="737"/>
      <c r="W12" s="316" t="s">
        <v>429</v>
      </c>
      <c r="X12" s="313">
        <f>S19+L17+E16</f>
        <v>15000</v>
      </c>
    </row>
    <row r="13" spans="1:24" ht="17.100000000000001" customHeight="1" thickBot="1">
      <c r="A13" s="737"/>
      <c r="B13" s="1628" t="s">
        <v>561</v>
      </c>
      <c r="C13" s="1637"/>
      <c r="D13" s="1630"/>
      <c r="E13" s="76">
        <f>0.1*E11</f>
        <v>197662.5</v>
      </c>
      <c r="F13" s="76">
        <f t="shared" ref="F13:F21" si="1">E13/12</f>
        <v>16471.875</v>
      </c>
      <c r="G13" s="76">
        <f>E13/HR!$D$63</f>
        <v>52.5</v>
      </c>
      <c r="H13" s="737"/>
      <c r="I13" s="1628" t="s">
        <v>910</v>
      </c>
      <c r="J13" s="1637"/>
      <c r="K13" s="1630"/>
      <c r="L13" s="76">
        <f>L12*HR!D64</f>
        <v>695772</v>
      </c>
      <c r="M13" s="76">
        <f>L13/12</f>
        <v>57981</v>
      </c>
      <c r="N13" s="76">
        <f>L13/HR!$D$63</f>
        <v>184.8</v>
      </c>
      <c r="O13" s="737"/>
      <c r="P13" s="1622"/>
      <c r="Q13" s="1627"/>
      <c r="R13" s="1623"/>
      <c r="S13" s="111" t="s">
        <v>882</v>
      </c>
      <c r="T13" s="111" t="s">
        <v>883</v>
      </c>
      <c r="U13" s="111" t="s">
        <v>884</v>
      </c>
      <c r="V13" s="737"/>
      <c r="W13" s="316" t="s">
        <v>911</v>
      </c>
      <c r="X13" s="313">
        <f>S20+L18+E17</f>
        <v>176850</v>
      </c>
    </row>
    <row r="14" spans="1:24" ht="17.100000000000001" customHeight="1">
      <c r="A14" s="737"/>
      <c r="B14" s="1628" t="s">
        <v>562</v>
      </c>
      <c r="C14" s="1637"/>
      <c r="D14" s="1630"/>
      <c r="E14" s="76">
        <v>16000</v>
      </c>
      <c r="F14" s="76">
        <f t="shared" si="1"/>
        <v>1333.3333333333333</v>
      </c>
      <c r="G14" s="76">
        <f>E14/HR!$D$63</f>
        <v>4.2496679946879148</v>
      </c>
      <c r="H14" s="737"/>
      <c r="I14" s="1628" t="s">
        <v>561</v>
      </c>
      <c r="J14" s="1637"/>
      <c r="K14" s="1630"/>
      <c r="L14" s="76">
        <f>0.1*L12</f>
        <v>197662.5</v>
      </c>
      <c r="M14" s="76">
        <f t="shared" ref="M14:M22" si="2">L14/12</f>
        <v>16471.875</v>
      </c>
      <c r="N14" s="76">
        <f>L14/HR!$D$63</f>
        <v>52.5</v>
      </c>
      <c r="O14" s="737"/>
      <c r="P14" s="1624" t="s">
        <v>944</v>
      </c>
      <c r="Q14" s="1625"/>
      <c r="R14" s="1626"/>
      <c r="S14" s="92">
        <f>251*340*7.5*U12</f>
        <v>1920150</v>
      </c>
      <c r="T14" s="93">
        <f>S14/12</f>
        <v>160012.5</v>
      </c>
      <c r="U14" s="93">
        <f>S14/HR!$D$63</f>
        <v>510</v>
      </c>
      <c r="V14" s="737"/>
      <c r="W14" s="316" t="s">
        <v>904</v>
      </c>
      <c r="X14" s="313">
        <f>S21+L19+E18</f>
        <v>11641.961538461539</v>
      </c>
    </row>
    <row r="15" spans="1:24">
      <c r="A15" s="737"/>
      <c r="B15" s="1628" t="s">
        <v>430</v>
      </c>
      <c r="C15" s="1637"/>
      <c r="D15" s="1630"/>
      <c r="E15" s="76">
        <v>5000</v>
      </c>
      <c r="F15" s="76">
        <f t="shared" si="1"/>
        <v>416.66666666666669</v>
      </c>
      <c r="G15" s="76">
        <f>E15/HR!$D$63</f>
        <v>1.3280212483399734</v>
      </c>
      <c r="H15" s="737"/>
      <c r="I15" s="1628" t="s">
        <v>562</v>
      </c>
      <c r="J15" s="1637"/>
      <c r="K15" s="1630"/>
      <c r="L15" s="76">
        <v>15000</v>
      </c>
      <c r="M15" s="76">
        <f t="shared" si="2"/>
        <v>1250</v>
      </c>
      <c r="N15" s="76">
        <f>L15/HR!$D$63</f>
        <v>3.9840637450199203</v>
      </c>
      <c r="O15" s="737"/>
      <c r="P15" s="1628" t="s">
        <v>910</v>
      </c>
      <c r="Q15" s="1637"/>
      <c r="R15" s="1630"/>
      <c r="S15" s="93">
        <f>S14*HR!D64</f>
        <v>675892.79999999993</v>
      </c>
      <c r="T15" s="93">
        <f>S15/12</f>
        <v>56324.399999999994</v>
      </c>
      <c r="U15" s="93">
        <f>S15/HR!$D$63</f>
        <v>179.51999999999998</v>
      </c>
      <c r="V15" s="737"/>
      <c r="W15" s="323" t="s">
        <v>564</v>
      </c>
      <c r="X15" s="324">
        <f>S22+L20+E19</f>
        <v>810000</v>
      </c>
    </row>
    <row r="16" spans="1:24">
      <c r="A16" s="737"/>
      <c r="B16" s="1628" t="s">
        <v>429</v>
      </c>
      <c r="C16" s="1637"/>
      <c r="D16" s="1630"/>
      <c r="E16" s="76">
        <v>5000</v>
      </c>
      <c r="F16" s="76">
        <f t="shared" si="1"/>
        <v>416.66666666666669</v>
      </c>
      <c r="G16" s="76">
        <f>E16/HR!$D$63</f>
        <v>1.3280212483399734</v>
      </c>
      <c r="H16" s="737"/>
      <c r="I16" s="1628" t="s">
        <v>430</v>
      </c>
      <c r="J16" s="1637"/>
      <c r="K16" s="1630"/>
      <c r="L16" s="76">
        <v>5000</v>
      </c>
      <c r="M16" s="76">
        <f t="shared" si="2"/>
        <v>416.66666666666669</v>
      </c>
      <c r="N16" s="76">
        <f>L16/HR!$D$63</f>
        <v>1.3280212483399734</v>
      </c>
      <c r="O16" s="737"/>
      <c r="P16" s="1628" t="s">
        <v>561</v>
      </c>
      <c r="Q16" s="1637"/>
      <c r="R16" s="1630"/>
      <c r="S16" s="93">
        <f>0.1*S14</f>
        <v>192015</v>
      </c>
      <c r="T16" s="93">
        <f t="shared" ref="T16:T24" si="3">S16/12</f>
        <v>16001.25</v>
      </c>
      <c r="U16" s="93">
        <f>S16/HR!$D$63</f>
        <v>51</v>
      </c>
      <c r="V16" s="737"/>
      <c r="W16" s="323" t="s">
        <v>923</v>
      </c>
      <c r="X16" s="324">
        <f>L8+E6</f>
        <v>82000</v>
      </c>
    </row>
    <row r="17" spans="2:24">
      <c r="B17" s="1628" t="s">
        <v>922</v>
      </c>
      <c r="C17" s="1637"/>
      <c r="D17" s="1630"/>
      <c r="E17" s="76">
        <f>'NS + DHM'!C11*'NS + DHM'!B25</f>
        <v>58950</v>
      </c>
      <c r="F17" s="76">
        <f t="shared" si="1"/>
        <v>4912.5</v>
      </c>
      <c r="G17" s="76">
        <f>E17/HR!$D$63</f>
        <v>15.657370517928287</v>
      </c>
      <c r="H17" s="737"/>
      <c r="I17" s="1628" t="s">
        <v>429</v>
      </c>
      <c r="J17" s="1637"/>
      <c r="K17" s="1630"/>
      <c r="L17" s="76">
        <v>5000</v>
      </c>
      <c r="M17" s="76">
        <f t="shared" si="2"/>
        <v>416.66666666666669</v>
      </c>
      <c r="N17" s="76">
        <f>L17/HR!$D$63</f>
        <v>1.3280212483399734</v>
      </c>
      <c r="O17" s="737"/>
      <c r="P17" s="1628" t="s">
        <v>562</v>
      </c>
      <c r="Q17" s="1637"/>
      <c r="R17" s="1630"/>
      <c r="S17" s="93">
        <v>18000</v>
      </c>
      <c r="T17" s="93">
        <f t="shared" si="3"/>
        <v>1500</v>
      </c>
      <c r="U17" s="93">
        <f>S17/HR!$D$63</f>
        <v>4.7808764940239046</v>
      </c>
      <c r="V17" s="737"/>
      <c r="W17" s="323" t="s">
        <v>438</v>
      </c>
      <c r="X17" s="324">
        <f>S5+L6+E5</f>
        <v>338530</v>
      </c>
    </row>
    <row r="18" spans="2:24" ht="15" thickBot="1">
      <c r="B18" s="1628" t="s">
        <v>904</v>
      </c>
      <c r="C18" s="1629"/>
      <c r="D18" s="1630"/>
      <c r="E18" s="76">
        <f>15*2.3+'NS + DHM'!B29</f>
        <v>3880.6538461538462</v>
      </c>
      <c r="F18" s="76">
        <f t="shared" si="1"/>
        <v>323.3878205128205</v>
      </c>
      <c r="G18" s="76">
        <f>E18/HR!$D$63</f>
        <v>1.03071815302891</v>
      </c>
      <c r="H18" s="737"/>
      <c r="I18" s="1628" t="s">
        <v>922</v>
      </c>
      <c r="J18" s="1637"/>
      <c r="K18" s="1630"/>
      <c r="L18" s="76">
        <f>'NS + DHM'!C12*'NS + DHM'!B25</f>
        <v>58950</v>
      </c>
      <c r="M18" s="76">
        <f t="shared" si="2"/>
        <v>4912.5</v>
      </c>
      <c r="N18" s="76">
        <f>L18/HR!$D$63</f>
        <v>15.657370517928287</v>
      </c>
      <c r="O18" s="737"/>
      <c r="P18" s="1628" t="s">
        <v>430</v>
      </c>
      <c r="Q18" s="1637"/>
      <c r="R18" s="1630"/>
      <c r="S18" s="93">
        <v>5000</v>
      </c>
      <c r="T18" s="93">
        <f t="shared" si="3"/>
        <v>416.66666666666669</v>
      </c>
      <c r="U18" s="93">
        <f>S18/HR!$D$63</f>
        <v>1.3280212483399734</v>
      </c>
      <c r="V18" s="737"/>
      <c r="W18" s="325" t="s">
        <v>945</v>
      </c>
      <c r="X18" s="326">
        <f>SUM(X4:X17)</f>
        <v>10856198.761538463</v>
      </c>
    </row>
    <row r="19" spans="2:24">
      <c r="B19" s="1628" t="s">
        <v>946</v>
      </c>
      <c r="C19" s="1629"/>
      <c r="D19" s="1630"/>
      <c r="E19" s="76">
        <v>260000</v>
      </c>
      <c r="F19" s="76">
        <f>E19/12</f>
        <v>21666.666666666668</v>
      </c>
      <c r="G19" s="76">
        <f>E19/HR!$D$63</f>
        <v>69.057104913678614</v>
      </c>
      <c r="H19" s="737"/>
      <c r="I19" s="1628" t="s">
        <v>904</v>
      </c>
      <c r="J19" s="1629"/>
      <c r="K19" s="1630"/>
      <c r="L19" s="76">
        <f>15*2.3+'NS + DHM'!B29</f>
        <v>3880.6538461538462</v>
      </c>
      <c r="M19" s="76">
        <f t="shared" si="2"/>
        <v>323.3878205128205</v>
      </c>
      <c r="N19" s="76">
        <f>L19/HR!$D$63</f>
        <v>1.03071815302891</v>
      </c>
      <c r="O19" s="737"/>
      <c r="P19" s="1628" t="s">
        <v>429</v>
      </c>
      <c r="Q19" s="1637"/>
      <c r="R19" s="1630"/>
      <c r="S19" s="93">
        <v>5000</v>
      </c>
      <c r="T19" s="93">
        <f t="shared" si="3"/>
        <v>416.66666666666669</v>
      </c>
      <c r="U19" s="93">
        <f>S19/HR!$D$63</f>
        <v>1.3280212483399734</v>
      </c>
      <c r="V19" s="737"/>
      <c r="W19" s="737"/>
      <c r="X19" s="737"/>
    </row>
    <row r="20" spans="2:24">
      <c r="B20" s="1628" t="s">
        <v>901</v>
      </c>
      <c r="C20" s="1637"/>
      <c r="D20" s="1630"/>
      <c r="E20" s="76">
        <v>3200</v>
      </c>
      <c r="F20" s="76">
        <f t="shared" si="1"/>
        <v>266.66666666666669</v>
      </c>
      <c r="G20" s="76">
        <f>E20/HR!$D$63</f>
        <v>0.84993359893758302</v>
      </c>
      <c r="H20" s="737"/>
      <c r="I20" s="1628" t="s">
        <v>946</v>
      </c>
      <c r="J20" s="1629"/>
      <c r="K20" s="1630"/>
      <c r="L20" s="76">
        <v>350000</v>
      </c>
      <c r="M20" s="76">
        <f>L20/12</f>
        <v>29166.666666666668</v>
      </c>
      <c r="N20" s="76">
        <f>L20/HR!$D$63</f>
        <v>92.961487383798143</v>
      </c>
      <c r="O20" s="737"/>
      <c r="P20" s="1628" t="s">
        <v>922</v>
      </c>
      <c r="Q20" s="1637"/>
      <c r="R20" s="1630"/>
      <c r="S20" s="93">
        <f>'NS + DHM'!C13*'NS + DHM'!B25</f>
        <v>58950</v>
      </c>
      <c r="T20" s="93">
        <f t="shared" si="3"/>
        <v>4912.5</v>
      </c>
      <c r="U20" s="93">
        <f>S20/HR!$D$63</f>
        <v>15.657370517928287</v>
      </c>
      <c r="V20" s="737"/>
      <c r="W20" s="737"/>
      <c r="X20" s="737"/>
    </row>
    <row r="21" spans="2:24" ht="15" thickBot="1">
      <c r="B21" s="1638" t="s">
        <v>927</v>
      </c>
      <c r="C21" s="1639"/>
      <c r="D21" s="1640"/>
      <c r="E21" s="76">
        <v>13000</v>
      </c>
      <c r="F21" s="76">
        <f t="shared" si="1"/>
        <v>1083.3333333333333</v>
      </c>
      <c r="G21" s="76">
        <f>E21/HR!$D$63</f>
        <v>3.452855245683931</v>
      </c>
      <c r="H21" s="737"/>
      <c r="I21" s="1628" t="s">
        <v>901</v>
      </c>
      <c r="J21" s="1637"/>
      <c r="K21" s="1630"/>
      <c r="L21" s="76">
        <v>4800</v>
      </c>
      <c r="M21" s="76">
        <f t="shared" si="2"/>
        <v>400</v>
      </c>
      <c r="N21" s="76">
        <f>L21/HR!$D$63</f>
        <v>1.2749003984063745</v>
      </c>
      <c r="O21" s="737"/>
      <c r="P21" s="1628" t="s">
        <v>904</v>
      </c>
      <c r="Q21" s="1629"/>
      <c r="R21" s="1630"/>
      <c r="S21" s="93">
        <f>15*2.3+'NS + DHM'!B29</f>
        <v>3880.6538461538462</v>
      </c>
      <c r="T21" s="93">
        <f t="shared" si="3"/>
        <v>323.3878205128205</v>
      </c>
      <c r="U21" s="93">
        <f>S21/HR!$D$63</f>
        <v>1.03071815302891</v>
      </c>
      <c r="V21" s="737"/>
      <c r="W21" s="737"/>
      <c r="X21" s="737"/>
    </row>
    <row r="22" spans="2:24" ht="15" thickBot="1">
      <c r="B22" s="1631" t="s">
        <v>898</v>
      </c>
      <c r="C22" s="1632"/>
      <c r="D22" s="1633"/>
      <c r="E22" s="77">
        <f>SUM(E11:E21)</f>
        <v>3235090.153846154</v>
      </c>
      <c r="F22" s="77">
        <f>SUM(F11:F21)</f>
        <v>269590.84615384613</v>
      </c>
      <c r="G22" s="77">
        <f>SUM(G11:G21)</f>
        <v>859.2536929206251</v>
      </c>
      <c r="H22" s="737"/>
      <c r="I22" s="1638" t="s">
        <v>927</v>
      </c>
      <c r="J22" s="1639"/>
      <c r="K22" s="1640"/>
      <c r="L22" s="76">
        <v>15000</v>
      </c>
      <c r="M22" s="76">
        <f t="shared" si="2"/>
        <v>1250</v>
      </c>
      <c r="N22" s="76">
        <f>L22/HR!$D$63</f>
        <v>3.9840637450199203</v>
      </c>
      <c r="O22" s="737"/>
      <c r="P22" s="1628" t="s">
        <v>564</v>
      </c>
      <c r="Q22" s="1629"/>
      <c r="R22" s="1630"/>
      <c r="S22" s="93">
        <v>200000</v>
      </c>
      <c r="T22" s="93">
        <f>S22/12</f>
        <v>16666.666666666668</v>
      </c>
      <c r="U22" s="93">
        <f>S22/HR!$D$63</f>
        <v>53.12084993359894</v>
      </c>
      <c r="V22" s="737"/>
      <c r="W22" s="737"/>
      <c r="X22" s="737"/>
    </row>
    <row r="23" spans="2:24" ht="15" thickBot="1">
      <c r="B23" s="1641" t="s">
        <v>928</v>
      </c>
      <c r="C23" s="1642"/>
      <c r="D23" s="1643"/>
      <c r="E23" s="87">
        <f>SUM(E8,E22)</f>
        <v>3521090.153846154</v>
      </c>
      <c r="F23" s="87">
        <f>SUM(F8,F22)</f>
        <v>293424.17948717944</v>
      </c>
      <c r="G23" s="87">
        <f>SUM(G8,G22)</f>
        <v>935.21650832567161</v>
      </c>
      <c r="H23" s="737"/>
      <c r="I23" s="1631" t="s">
        <v>898</v>
      </c>
      <c r="J23" s="1632"/>
      <c r="K23" s="1633"/>
      <c r="L23" s="77">
        <f>SUM(L12:L22)</f>
        <v>3327690.153846154</v>
      </c>
      <c r="M23" s="77">
        <f>SUM(M12:M22)</f>
        <v>277307.51282051281</v>
      </c>
      <c r="N23" s="77">
        <f>SUM(N12:N22)</f>
        <v>883.84864643988158</v>
      </c>
      <c r="O23" s="737"/>
      <c r="P23" s="1628" t="s">
        <v>901</v>
      </c>
      <c r="Q23" s="1637"/>
      <c r="R23" s="1630"/>
      <c r="S23" s="93">
        <v>5000</v>
      </c>
      <c r="T23" s="93">
        <f t="shared" si="3"/>
        <v>416.66666666666669</v>
      </c>
      <c r="U23" s="93">
        <f>S23/HR!$D$63</f>
        <v>1.3280212483399734</v>
      </c>
      <c r="V23" s="737"/>
      <c r="W23" s="737"/>
      <c r="X23" s="737"/>
    </row>
    <row r="24" spans="2:24" ht="15" thickBot="1">
      <c r="B24" s="737"/>
      <c r="C24" s="737"/>
      <c r="D24" s="737"/>
      <c r="E24" s="737"/>
      <c r="F24" s="737"/>
      <c r="G24" s="737"/>
      <c r="H24" s="737"/>
      <c r="I24" s="1641" t="s">
        <v>928</v>
      </c>
      <c r="J24" s="1642"/>
      <c r="K24" s="1643"/>
      <c r="L24" s="87">
        <f>SUM(L9,L23)</f>
        <v>3859220.153846154</v>
      </c>
      <c r="M24" s="87">
        <f>SUM(M9,M23)</f>
        <v>321601.6794871795</v>
      </c>
      <c r="N24" s="87">
        <f>SUM(N9,N23)</f>
        <v>1025.0252732659108</v>
      </c>
      <c r="O24" s="54"/>
      <c r="P24" s="1638" t="s">
        <v>927</v>
      </c>
      <c r="Q24" s="1639"/>
      <c r="R24" s="1640"/>
      <c r="S24" s="93">
        <v>15000</v>
      </c>
      <c r="T24" s="93">
        <f t="shared" si="3"/>
        <v>1250</v>
      </c>
      <c r="U24" s="93">
        <f>S24/HR!$D$63</f>
        <v>3.9840637450199203</v>
      </c>
      <c r="V24" s="737"/>
      <c r="W24" s="737"/>
      <c r="X24" s="737"/>
    </row>
    <row r="25" spans="2:24" ht="15" thickBot="1">
      <c r="B25" s="737"/>
      <c r="C25" s="737"/>
      <c r="D25" s="737"/>
      <c r="E25" s="737"/>
      <c r="F25" s="737"/>
      <c r="G25" s="737"/>
      <c r="H25" s="737"/>
      <c r="I25" s="737"/>
      <c r="J25" s="737"/>
      <c r="K25" s="54"/>
      <c r="L25" s="54"/>
      <c r="M25" s="54"/>
      <c r="N25" s="54"/>
      <c r="O25" s="42"/>
      <c r="P25" s="1631" t="s">
        <v>898</v>
      </c>
      <c r="Q25" s="1632"/>
      <c r="R25" s="1633"/>
      <c r="S25" s="94">
        <f>SUM(S14:S24)</f>
        <v>3098888.4538461538</v>
      </c>
      <c r="T25" s="94">
        <f>SUM(T14:T24)</f>
        <v>258240.70448717944</v>
      </c>
      <c r="U25" s="94">
        <f>SUM(U14:U24)</f>
        <v>823.07794258861986</v>
      </c>
      <c r="V25" s="737"/>
      <c r="W25" s="737"/>
      <c r="X25" s="737"/>
    </row>
    <row r="26" spans="2:24" ht="15" thickBot="1">
      <c r="B26" s="737"/>
      <c r="C26" s="737"/>
      <c r="D26" s="737"/>
      <c r="E26" s="737"/>
      <c r="F26" s="737"/>
      <c r="G26" s="737"/>
      <c r="H26" s="737"/>
      <c r="I26" s="737"/>
      <c r="J26" s="737"/>
      <c r="K26" s="54"/>
      <c r="L26" s="54"/>
      <c r="M26" s="54"/>
      <c r="N26" s="54"/>
      <c r="O26" s="54"/>
      <c r="P26" s="1641" t="s">
        <v>928</v>
      </c>
      <c r="Q26" s="1642"/>
      <c r="R26" s="1643"/>
      <c r="S26" s="95">
        <f>SUM(S25,S11)</f>
        <v>3598888.4538461538</v>
      </c>
      <c r="T26" s="95">
        <f>SUM(T25,T11)</f>
        <v>299907.37115384609</v>
      </c>
      <c r="U26" s="95">
        <f>SUM(U25,U11)</f>
        <v>955.88006742261723</v>
      </c>
      <c r="V26" s="737"/>
      <c r="W26" s="737"/>
      <c r="X26" s="737"/>
    </row>
    <row r="27" spans="2:24">
      <c r="B27" s="737"/>
      <c r="C27" s="737"/>
      <c r="D27" s="737"/>
      <c r="E27" s="737"/>
      <c r="F27" s="737"/>
      <c r="G27" s="737"/>
      <c r="H27" s="737"/>
      <c r="I27" s="737"/>
      <c r="J27" s="737"/>
      <c r="K27" s="54"/>
      <c r="L27" s="54"/>
      <c r="M27" s="54"/>
      <c r="N27" s="54"/>
      <c r="O27" s="54"/>
      <c r="P27" s="737"/>
      <c r="Q27" s="737"/>
      <c r="R27" s="737"/>
      <c r="S27" s="737"/>
      <c r="T27" s="737"/>
      <c r="U27" s="737"/>
      <c r="V27" s="737"/>
      <c r="W27" s="737"/>
      <c r="X27" s="737"/>
    </row>
    <row r="28" spans="2:24">
      <c r="B28" s="737"/>
      <c r="C28" s="737"/>
      <c r="D28" s="737"/>
      <c r="E28" s="737"/>
      <c r="F28" s="737"/>
      <c r="G28" s="737"/>
      <c r="H28" s="737"/>
      <c r="I28" s="737"/>
      <c r="J28" s="737"/>
      <c r="K28" s="737"/>
      <c r="L28" s="737"/>
      <c r="M28" s="737"/>
      <c r="N28" s="737"/>
      <c r="O28" s="54"/>
      <c r="P28" s="737"/>
      <c r="Q28" s="737"/>
      <c r="R28" s="737"/>
      <c r="S28" s="737"/>
      <c r="T28" s="737"/>
      <c r="U28" s="737"/>
      <c r="V28" s="737"/>
      <c r="W28" s="737"/>
      <c r="X28" s="737"/>
    </row>
    <row r="29" spans="2:24">
      <c r="B29" s="737"/>
      <c r="C29" s="737"/>
      <c r="D29" s="737"/>
      <c r="E29" s="737"/>
      <c r="F29" s="737"/>
      <c r="G29" s="737"/>
      <c r="H29" s="737"/>
      <c r="I29" s="737"/>
      <c r="J29" s="737"/>
      <c r="K29" s="737"/>
      <c r="L29" s="737"/>
      <c r="M29" s="737"/>
      <c r="N29" s="737"/>
      <c r="O29" s="737"/>
      <c r="P29" s="737"/>
      <c r="Q29" s="737"/>
      <c r="R29" s="737"/>
      <c r="S29" s="737"/>
      <c r="T29" s="737"/>
      <c r="U29" s="737"/>
      <c r="V29" s="737"/>
      <c r="W29" s="737"/>
      <c r="X29" s="737"/>
    </row>
    <row r="30" spans="2:24">
      <c r="B30" s="737"/>
      <c r="C30" s="737"/>
      <c r="D30" s="737"/>
      <c r="E30" s="737"/>
      <c r="F30" s="737"/>
      <c r="G30" s="737"/>
      <c r="H30" s="737"/>
      <c r="I30" s="737"/>
      <c r="J30" s="737"/>
      <c r="K30" s="737"/>
      <c r="L30" s="737"/>
      <c r="M30" s="737"/>
      <c r="N30" s="737"/>
      <c r="O30" s="737"/>
      <c r="P30" s="737"/>
      <c r="Q30" s="737"/>
      <c r="R30" s="737"/>
      <c r="S30" s="737"/>
      <c r="T30" s="737"/>
      <c r="U30" s="737"/>
      <c r="V30" s="737"/>
      <c r="W30" s="737"/>
      <c r="X30" s="737"/>
    </row>
    <row r="31" spans="2:24">
      <c r="B31" s="737"/>
      <c r="C31" s="737"/>
      <c r="D31" s="737"/>
      <c r="E31" s="737"/>
      <c r="F31" s="737"/>
      <c r="G31" s="737"/>
      <c r="H31" s="737"/>
      <c r="I31" s="737"/>
      <c r="J31" s="737"/>
      <c r="K31" s="737"/>
      <c r="L31" s="737"/>
      <c r="M31" s="737"/>
      <c r="N31" s="737"/>
      <c r="O31" s="737"/>
      <c r="P31" s="737"/>
      <c r="Q31" s="737"/>
      <c r="R31" s="737"/>
      <c r="S31" s="737"/>
      <c r="T31" s="737"/>
      <c r="U31" s="737"/>
      <c r="V31" s="737"/>
      <c r="W31" s="737"/>
      <c r="X31" s="737"/>
    </row>
    <row r="32" spans="2:24">
      <c r="B32" s="737"/>
      <c r="C32" s="737"/>
      <c r="D32" s="737"/>
      <c r="E32" s="737"/>
      <c r="F32" s="737"/>
      <c r="G32" s="737"/>
      <c r="H32" s="737"/>
      <c r="I32" s="737"/>
      <c r="J32" s="737"/>
      <c r="K32" s="737"/>
      <c r="L32" s="737"/>
      <c r="M32" s="737"/>
      <c r="N32" s="737"/>
      <c r="O32" s="737"/>
      <c r="P32" s="737"/>
      <c r="Q32" s="737"/>
      <c r="R32" s="737"/>
      <c r="S32" s="737"/>
      <c r="T32" s="737"/>
      <c r="U32" s="737"/>
      <c r="V32" s="737"/>
      <c r="W32" s="737"/>
      <c r="X32" s="737"/>
    </row>
    <row r="33" spans="2:21">
      <c r="B33" s="737"/>
      <c r="C33" s="737"/>
      <c r="D33" s="737"/>
      <c r="E33" s="737"/>
      <c r="F33" s="737"/>
      <c r="G33" s="737"/>
      <c r="H33" s="737"/>
      <c r="I33" s="737"/>
      <c r="J33" s="737"/>
      <c r="K33" s="737"/>
      <c r="L33" s="737"/>
      <c r="M33" s="737"/>
      <c r="N33" s="737"/>
      <c r="O33" s="737"/>
      <c r="P33" s="737"/>
      <c r="Q33" s="737"/>
      <c r="R33" s="737"/>
      <c r="S33" s="737"/>
      <c r="T33" s="737"/>
      <c r="U33" s="737"/>
    </row>
    <row r="34" spans="2:21">
      <c r="B34" s="737"/>
      <c r="C34" s="737"/>
      <c r="D34" s="737"/>
      <c r="E34" s="737"/>
      <c r="F34" s="737"/>
      <c r="G34" s="737"/>
      <c r="H34" s="737"/>
      <c r="I34" s="737"/>
      <c r="J34" s="737"/>
      <c r="K34" s="737"/>
      <c r="L34" s="737"/>
      <c r="M34" s="737"/>
      <c r="N34" s="737"/>
      <c r="O34" s="737"/>
      <c r="P34" s="737"/>
      <c r="Q34" s="737"/>
      <c r="R34" s="737"/>
      <c r="S34" s="737"/>
      <c r="T34" s="737"/>
      <c r="U34" s="737"/>
    </row>
    <row r="35" spans="2:21">
      <c r="B35" s="737"/>
      <c r="C35" s="737"/>
      <c r="D35" s="737"/>
      <c r="E35" s="737"/>
      <c r="F35" s="737"/>
      <c r="G35" s="737"/>
      <c r="H35" s="737"/>
      <c r="I35" s="737"/>
      <c r="J35" s="737"/>
      <c r="K35" s="737"/>
      <c r="L35" s="737"/>
      <c r="M35" s="737"/>
      <c r="N35" s="737"/>
      <c r="O35" s="737"/>
      <c r="P35" s="737"/>
      <c r="Q35" s="737"/>
      <c r="R35" s="737"/>
      <c r="S35" s="737"/>
      <c r="T35" s="737"/>
      <c r="U35" s="737"/>
    </row>
    <row r="36" spans="2:21">
      <c r="B36" s="737"/>
      <c r="C36" s="737"/>
      <c r="D36" s="737"/>
      <c r="E36" s="737"/>
      <c r="F36" s="737"/>
      <c r="G36" s="737"/>
      <c r="H36" s="737"/>
      <c r="I36" s="737"/>
      <c r="J36" s="737"/>
      <c r="K36" s="737"/>
      <c r="L36" s="737"/>
      <c r="M36" s="737"/>
      <c r="N36" s="737"/>
      <c r="O36" s="737"/>
      <c r="P36" s="737"/>
      <c r="Q36" s="737"/>
      <c r="R36" s="737"/>
      <c r="S36" s="737"/>
      <c r="T36" s="737"/>
      <c r="U36" s="737"/>
    </row>
    <row r="37" spans="2:21">
      <c r="B37" s="737"/>
      <c r="C37" s="737"/>
      <c r="D37" s="737"/>
      <c r="E37" s="737"/>
      <c r="F37" s="737"/>
      <c r="G37" s="737"/>
      <c r="H37" s="737"/>
      <c r="I37" s="737"/>
      <c r="J37" s="737"/>
      <c r="K37" s="737"/>
      <c r="L37" s="737"/>
      <c r="M37" s="737"/>
      <c r="N37" s="737"/>
      <c r="O37" s="737"/>
      <c r="P37" s="737"/>
      <c r="Q37" s="737"/>
      <c r="R37" s="737"/>
      <c r="S37" s="737"/>
      <c r="T37" s="737"/>
      <c r="U37" s="737"/>
    </row>
    <row r="38" spans="2:21">
      <c r="B38" s="737"/>
      <c r="C38" s="737"/>
      <c r="D38" s="737"/>
      <c r="E38" s="737"/>
      <c r="F38" s="737"/>
      <c r="G38" s="737"/>
      <c r="H38" s="737"/>
      <c r="I38" s="737"/>
      <c r="J38" s="737"/>
      <c r="K38" s="737"/>
      <c r="L38" s="737"/>
      <c r="M38" s="737"/>
      <c r="N38" s="737"/>
      <c r="O38" s="737"/>
      <c r="P38" s="737"/>
      <c r="Q38" s="737"/>
      <c r="R38" s="737"/>
      <c r="S38" s="737"/>
      <c r="T38" s="737"/>
      <c r="U38" s="737"/>
    </row>
  </sheetData>
  <customSheetViews>
    <customSheetView guid="{F9015B81-4D5E-47E3-BFA8-A54438E9D1FF}" scale="70" showGridLines="0">
      <pageMargins left="0.7" right="0.7" top="0.75" bottom="0.75" header="0.3" footer="0.3"/>
    </customSheetView>
  </customSheetViews>
  <mergeCells count="69">
    <mergeCell ref="I18:K18"/>
    <mergeCell ref="I21:K21"/>
    <mergeCell ref="B23:D23"/>
    <mergeCell ref="I24:K24"/>
    <mergeCell ref="P26:R26"/>
    <mergeCell ref="B18:D18"/>
    <mergeCell ref="I19:K19"/>
    <mergeCell ref="P21:R21"/>
    <mergeCell ref="I23:K23"/>
    <mergeCell ref="I22:K22"/>
    <mergeCell ref="P23:R23"/>
    <mergeCell ref="P24:R24"/>
    <mergeCell ref="P25:R25"/>
    <mergeCell ref="P18:R18"/>
    <mergeCell ref="P19:R19"/>
    <mergeCell ref="P20:R20"/>
    <mergeCell ref="B17:D17"/>
    <mergeCell ref="B20:D20"/>
    <mergeCell ref="B21:D21"/>
    <mergeCell ref="B22:D22"/>
    <mergeCell ref="B19:D19"/>
    <mergeCell ref="P13:R13"/>
    <mergeCell ref="I10:M10"/>
    <mergeCell ref="I12:K12"/>
    <mergeCell ref="I13:K13"/>
    <mergeCell ref="B16:D16"/>
    <mergeCell ref="B15:D15"/>
    <mergeCell ref="B11:D11"/>
    <mergeCell ref="B12:D12"/>
    <mergeCell ref="B13:D13"/>
    <mergeCell ref="B14:D14"/>
    <mergeCell ref="B10:D10"/>
    <mergeCell ref="P17:R17"/>
    <mergeCell ref="P14:R14"/>
    <mergeCell ref="P15:R15"/>
    <mergeCell ref="P16:R16"/>
    <mergeCell ref="I15:K15"/>
    <mergeCell ref="I16:K16"/>
    <mergeCell ref="I17:K17"/>
    <mergeCell ref="W2:X2"/>
    <mergeCell ref="P9:R9"/>
    <mergeCell ref="B2:U2"/>
    <mergeCell ref="P3:U3"/>
    <mergeCell ref="P4:R4"/>
    <mergeCell ref="B3:G3"/>
    <mergeCell ref="I3:N3"/>
    <mergeCell ref="I7:K7"/>
    <mergeCell ref="B4:D4"/>
    <mergeCell ref="B5:D5"/>
    <mergeCell ref="B6:D6"/>
    <mergeCell ref="B7:D7"/>
    <mergeCell ref="B8:D8"/>
    <mergeCell ref="B9:F9"/>
    <mergeCell ref="I20:K20"/>
    <mergeCell ref="P22:R22"/>
    <mergeCell ref="I4:K4"/>
    <mergeCell ref="I9:K9"/>
    <mergeCell ref="I8:K8"/>
    <mergeCell ref="I5:K5"/>
    <mergeCell ref="I6:K6"/>
    <mergeCell ref="P5:R5"/>
    <mergeCell ref="I11:K11"/>
    <mergeCell ref="P6:R6"/>
    <mergeCell ref="P7:R7"/>
    <mergeCell ref="P8:R8"/>
    <mergeCell ref="I14:K14"/>
    <mergeCell ref="P10:R10"/>
    <mergeCell ref="P11:R11"/>
    <mergeCell ref="P12:T12"/>
  </mergeCells>
  <hyperlinks>
    <hyperlink ref="A1" location="MENU!A1" display="MENU" xr:uid="{75E4FFB1-8C16-4EB2-A748-36A36C53C961}"/>
  </hyperlink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139DB-D4A5-442E-892D-00B6934DCFDD}">
  <sheetPr>
    <tabColor rgb="FF7030A0"/>
  </sheetPr>
  <dimension ref="A1:L44"/>
  <sheetViews>
    <sheetView showGridLines="0" zoomScaleNormal="100" workbookViewId="0"/>
  </sheetViews>
  <sheetFormatPr defaultRowHeight="14.25"/>
  <cols>
    <col min="1" max="1" width="8.77734375" style="55"/>
    <col min="6" max="6" width="12.109375" customWidth="1"/>
    <col min="7" max="7" width="13.33203125" customWidth="1"/>
    <col min="8" max="8" width="11.77734375" customWidth="1"/>
    <col min="9" max="9" width="19.33203125" customWidth="1"/>
    <col min="10" max="10" width="18.44140625" customWidth="1"/>
  </cols>
  <sheetData>
    <row r="1" spans="1:12" s="55" customFormat="1" ht="22.5" customHeight="1" thickBot="1">
      <c r="A1" s="107" t="s">
        <v>1</v>
      </c>
      <c r="B1" s="737"/>
      <c r="C1" s="737"/>
      <c r="D1" s="737"/>
      <c r="E1" s="737"/>
      <c r="F1" s="737"/>
      <c r="G1" s="737"/>
      <c r="H1" s="737"/>
      <c r="I1" s="737"/>
      <c r="J1" s="737"/>
      <c r="K1" s="737"/>
      <c r="L1" s="737"/>
    </row>
    <row r="2" spans="1:12" ht="15.75" thickBot="1">
      <c r="A2" s="737"/>
      <c r="B2" s="1622" t="s">
        <v>947</v>
      </c>
      <c r="C2" s="1627"/>
      <c r="D2" s="1627"/>
      <c r="E2" s="1627"/>
      <c r="F2" s="1627"/>
      <c r="G2" s="1623"/>
      <c r="H2" s="49"/>
      <c r="I2" s="1622" t="s">
        <v>880</v>
      </c>
      <c r="J2" s="1623"/>
      <c r="K2" s="737"/>
      <c r="L2" s="737"/>
    </row>
    <row r="3" spans="1:12" ht="15.75" thickBot="1">
      <c r="A3" s="737"/>
      <c r="B3" s="1622" t="s">
        <v>857</v>
      </c>
      <c r="C3" s="1627"/>
      <c r="D3" s="1627"/>
      <c r="E3" s="1627"/>
      <c r="F3" s="1627"/>
      <c r="G3" s="1623"/>
      <c r="H3" s="49"/>
      <c r="I3" s="111" t="s">
        <v>881</v>
      </c>
      <c r="J3" s="111" t="s">
        <v>873</v>
      </c>
      <c r="K3" s="737"/>
      <c r="L3" s="737"/>
    </row>
    <row r="4" spans="1:12" ht="15.75" customHeight="1">
      <c r="A4" s="737"/>
      <c r="B4" s="1628" t="s">
        <v>905</v>
      </c>
      <c r="C4" s="1629"/>
      <c r="D4" s="1630"/>
      <c r="E4" s="76">
        <v>53000</v>
      </c>
      <c r="F4" s="76">
        <f>E4/12</f>
        <v>4416.666666666667</v>
      </c>
      <c r="G4" s="76">
        <f>E4/HR!$D$63</f>
        <v>14.077025232403718</v>
      </c>
      <c r="H4" s="49"/>
      <c r="I4" s="129" t="s">
        <v>275</v>
      </c>
      <c r="J4" s="313">
        <f>E10</f>
        <v>3388500</v>
      </c>
      <c r="K4" s="737"/>
      <c r="L4" s="737"/>
    </row>
    <row r="5" spans="1:12" ht="18" customHeight="1">
      <c r="A5" s="737"/>
      <c r="B5" s="1628" t="s">
        <v>948</v>
      </c>
      <c r="C5" s="1629"/>
      <c r="D5" s="1630"/>
      <c r="E5" s="76">
        <v>60000</v>
      </c>
      <c r="F5" s="76">
        <f>E5/12</f>
        <v>5000</v>
      </c>
      <c r="G5" s="76">
        <f>E5/HR!$D$63</f>
        <v>15.936254980079681</v>
      </c>
      <c r="H5" s="49"/>
      <c r="I5" s="129" t="s">
        <v>889</v>
      </c>
      <c r="J5" s="313">
        <f>E11</f>
        <v>1192752</v>
      </c>
      <c r="K5" s="737"/>
      <c r="L5" s="737"/>
    </row>
    <row r="6" spans="1:12" ht="14.25" customHeight="1" thickBot="1">
      <c r="A6" s="737"/>
      <c r="B6" s="1628" t="s">
        <v>949</v>
      </c>
      <c r="C6" s="1629"/>
      <c r="D6" s="1630"/>
      <c r="E6" s="76">
        <v>86000</v>
      </c>
      <c r="F6" s="76">
        <f>E6/12</f>
        <v>7166.666666666667</v>
      </c>
      <c r="G6" s="76">
        <f>E6/HR!$D$63</f>
        <v>22.841965471447544</v>
      </c>
      <c r="H6" s="49"/>
      <c r="I6" s="129" t="s">
        <v>561</v>
      </c>
      <c r="J6" s="313">
        <f>E12</f>
        <v>338850</v>
      </c>
      <c r="K6" s="737"/>
      <c r="L6" s="737"/>
    </row>
    <row r="7" spans="1:12" ht="14.25" customHeight="1" thickBot="1">
      <c r="A7" s="737"/>
      <c r="B7" s="1631" t="s">
        <v>898</v>
      </c>
      <c r="C7" s="1632"/>
      <c r="D7" s="1633"/>
      <c r="E7" s="77">
        <f>SUM(E4:E6)</f>
        <v>199000</v>
      </c>
      <c r="F7" s="77">
        <f>SUM(F4:F6)</f>
        <v>16583.333333333336</v>
      </c>
      <c r="G7" s="77">
        <f>SUM(G4:G6)</f>
        <v>52.855245683930946</v>
      </c>
      <c r="H7" s="49"/>
      <c r="I7" s="129" t="s">
        <v>897</v>
      </c>
      <c r="J7" s="313">
        <f>E13</f>
        <v>65000</v>
      </c>
      <c r="K7" s="737"/>
      <c r="L7" s="737"/>
    </row>
    <row r="8" spans="1:12" ht="14.25" customHeight="1" thickBot="1">
      <c r="A8" s="737"/>
      <c r="B8" s="1622" t="s">
        <v>902</v>
      </c>
      <c r="C8" s="1627"/>
      <c r="D8" s="1627"/>
      <c r="E8" s="1627"/>
      <c r="F8" s="1623"/>
      <c r="G8" s="111">
        <f>'NS + DHM'!B14</f>
        <v>5</v>
      </c>
      <c r="H8" s="49"/>
      <c r="I8" s="129" t="s">
        <v>901</v>
      </c>
      <c r="J8" s="313">
        <f>E19</f>
        <v>4700</v>
      </c>
      <c r="K8" s="737"/>
      <c r="L8" s="737"/>
    </row>
    <row r="9" spans="1:12" ht="14.25" customHeight="1" thickBot="1">
      <c r="A9" s="737"/>
      <c r="B9" s="1622"/>
      <c r="C9" s="1627"/>
      <c r="D9" s="1623"/>
      <c r="E9" s="111" t="s">
        <v>882</v>
      </c>
      <c r="F9" s="111" t="s">
        <v>883</v>
      </c>
      <c r="G9" s="111" t="s">
        <v>884</v>
      </c>
      <c r="H9" s="49"/>
      <c r="I9" s="129" t="s">
        <v>927</v>
      </c>
      <c r="J9" s="313">
        <f>E20+E14+E5+E6</f>
        <v>221000</v>
      </c>
      <c r="K9" s="737"/>
      <c r="L9" s="737"/>
    </row>
    <row r="10" spans="1:12" ht="14.25" customHeight="1">
      <c r="A10" s="737"/>
      <c r="B10" s="1624" t="s">
        <v>950</v>
      </c>
      <c r="C10" s="1625"/>
      <c r="D10" s="1626"/>
      <c r="E10" s="76">
        <f>360*251*7.5*G8</f>
        <v>3388500</v>
      </c>
      <c r="F10" s="76">
        <f>E10/12</f>
        <v>282375</v>
      </c>
      <c r="G10" s="76">
        <f>E10/HR!$D$63</f>
        <v>900</v>
      </c>
      <c r="H10" s="49"/>
      <c r="I10" s="314" t="s">
        <v>430</v>
      </c>
      <c r="J10" s="315">
        <f>E15</f>
        <v>10000</v>
      </c>
      <c r="K10" s="737"/>
      <c r="L10" s="737"/>
    </row>
    <row r="11" spans="1:12" ht="14.25" customHeight="1">
      <c r="A11" s="737"/>
      <c r="B11" s="1628" t="s">
        <v>910</v>
      </c>
      <c r="C11" s="1637"/>
      <c r="D11" s="1630"/>
      <c r="E11" s="76">
        <f>E10*HR!D64</f>
        <v>1192752</v>
      </c>
      <c r="F11" s="76">
        <f>E11/12</f>
        <v>99396</v>
      </c>
      <c r="G11" s="76">
        <f>E11/HR!$D$63</f>
        <v>316.8</v>
      </c>
      <c r="H11" s="49"/>
      <c r="I11" s="316" t="s">
        <v>429</v>
      </c>
      <c r="J11" s="315">
        <f>E16</f>
        <v>6500</v>
      </c>
      <c r="K11" s="737"/>
      <c r="L11" s="737"/>
    </row>
    <row r="12" spans="1:12" ht="14.25" customHeight="1">
      <c r="A12" s="737"/>
      <c r="B12" s="1628" t="s">
        <v>912</v>
      </c>
      <c r="C12" s="1637"/>
      <c r="D12" s="1630"/>
      <c r="E12" s="76">
        <f>0.1*E10</f>
        <v>338850</v>
      </c>
      <c r="F12" s="76">
        <f t="shared" ref="F12:F20" si="0">E12/12</f>
        <v>28237.5</v>
      </c>
      <c r="G12" s="76">
        <f>E12/HR!$D$63</f>
        <v>90</v>
      </c>
      <c r="H12" s="49"/>
      <c r="I12" s="314" t="s">
        <v>922</v>
      </c>
      <c r="J12" s="315">
        <f>E17</f>
        <v>58950</v>
      </c>
      <c r="K12" s="737"/>
      <c r="L12" s="1359"/>
    </row>
    <row r="13" spans="1:12" ht="14.25" customHeight="1">
      <c r="A13" s="737"/>
      <c r="B13" s="1628" t="s">
        <v>913</v>
      </c>
      <c r="C13" s="1637"/>
      <c r="D13" s="1630"/>
      <c r="E13" s="76">
        <v>65000</v>
      </c>
      <c r="F13" s="76">
        <f t="shared" si="0"/>
        <v>5416.666666666667</v>
      </c>
      <c r="G13" s="76">
        <f>E13/HR!$D$63</f>
        <v>17.264276228419654</v>
      </c>
      <c r="H13" s="49"/>
      <c r="I13" s="317" t="s">
        <v>904</v>
      </c>
      <c r="J13" s="318">
        <f>E18</f>
        <v>3880.6538461538462</v>
      </c>
      <c r="K13" s="737"/>
      <c r="L13" s="737"/>
    </row>
    <row r="14" spans="1:12" ht="14.25" customHeight="1">
      <c r="A14" s="737"/>
      <c r="B14" s="1628" t="s">
        <v>915</v>
      </c>
      <c r="C14" s="1637"/>
      <c r="D14" s="1630"/>
      <c r="E14" s="76">
        <v>56000</v>
      </c>
      <c r="F14" s="76">
        <f t="shared" si="0"/>
        <v>4666.666666666667</v>
      </c>
      <c r="G14" s="76">
        <f>E14/HR!$D$63</f>
        <v>14.873837981407702</v>
      </c>
      <c r="H14" s="49"/>
      <c r="I14" s="319" t="s">
        <v>951</v>
      </c>
      <c r="J14" s="320">
        <f>E4</f>
        <v>53000</v>
      </c>
      <c r="K14" s="737"/>
      <c r="L14" s="737"/>
    </row>
    <row r="15" spans="1:12" ht="14.25" customHeight="1" thickBot="1">
      <c r="A15" s="737"/>
      <c r="B15" s="1644" t="s">
        <v>430</v>
      </c>
      <c r="C15" s="1645"/>
      <c r="D15" s="1646"/>
      <c r="E15" s="76">
        <v>10000</v>
      </c>
      <c r="F15" s="76">
        <f t="shared" si="0"/>
        <v>833.33333333333337</v>
      </c>
      <c r="G15" s="76">
        <f>E15/HR!$D$63</f>
        <v>2.6560424966799467</v>
      </c>
      <c r="H15" s="49"/>
      <c r="I15" s="321" t="s">
        <v>271</v>
      </c>
      <c r="J15" s="322">
        <f>SUM(J4:J14)</f>
        <v>5343132.653846154</v>
      </c>
      <c r="K15" s="737"/>
      <c r="L15" s="737"/>
    </row>
    <row r="16" spans="1:12" ht="14.25" customHeight="1">
      <c r="A16" s="737"/>
      <c r="B16" s="1628" t="s">
        <v>429</v>
      </c>
      <c r="C16" s="1637"/>
      <c r="D16" s="1630"/>
      <c r="E16" s="76">
        <v>6500</v>
      </c>
      <c r="F16" s="76">
        <f t="shared" si="0"/>
        <v>541.66666666666663</v>
      </c>
      <c r="G16" s="76">
        <f>E16/HR!$D$63</f>
        <v>1.7264276228419655</v>
      </c>
      <c r="H16" s="49"/>
      <c r="I16" s="141"/>
      <c r="J16" s="44"/>
      <c r="K16" s="737"/>
      <c r="L16" s="737"/>
    </row>
    <row r="17" spans="2:12" ht="15" customHeight="1">
      <c r="B17" s="1628" t="s">
        <v>922</v>
      </c>
      <c r="C17" s="1637"/>
      <c r="D17" s="1630"/>
      <c r="E17" s="76">
        <f>'NS + DHM'!C14*'NS + DHM'!B25</f>
        <v>58950</v>
      </c>
      <c r="F17" s="76">
        <f t="shared" si="0"/>
        <v>4912.5</v>
      </c>
      <c r="G17" s="76">
        <f>E17/HR!$D$63</f>
        <v>15.657370517928287</v>
      </c>
      <c r="H17" s="49"/>
      <c r="I17" s="141"/>
      <c r="J17" s="44"/>
      <c r="K17" s="737"/>
      <c r="L17" s="737"/>
    </row>
    <row r="18" spans="2:12" ht="14.25" customHeight="1">
      <c r="B18" s="1628" t="s">
        <v>904</v>
      </c>
      <c r="C18" s="1629"/>
      <c r="D18" s="1630"/>
      <c r="E18" s="76">
        <f>15*2.3+'NS + DHM'!B29</f>
        <v>3880.6538461538462</v>
      </c>
      <c r="F18" s="76">
        <f t="shared" si="0"/>
        <v>323.3878205128205</v>
      </c>
      <c r="G18" s="76">
        <f>E18/HR!$D$63</f>
        <v>1.03071815302891</v>
      </c>
      <c r="H18" s="49"/>
      <c r="I18" s="141"/>
      <c r="J18" s="44"/>
      <c r="K18" s="737"/>
      <c r="L18" s="737"/>
    </row>
    <row r="19" spans="2:12" ht="14.25" customHeight="1">
      <c r="B19" s="1628" t="s">
        <v>901</v>
      </c>
      <c r="C19" s="1637"/>
      <c r="D19" s="1630"/>
      <c r="E19" s="76">
        <v>4700</v>
      </c>
      <c r="F19" s="76">
        <f t="shared" si="0"/>
        <v>391.66666666666669</v>
      </c>
      <c r="G19" s="76">
        <f>E19/HR!$D$63</f>
        <v>1.248339973439575</v>
      </c>
      <c r="H19" s="49"/>
      <c r="I19" s="141"/>
      <c r="J19" s="44"/>
      <c r="K19" s="737"/>
      <c r="L19" s="737"/>
    </row>
    <row r="20" spans="2:12" ht="14.25" customHeight="1" thickBot="1">
      <c r="B20" s="1638" t="s">
        <v>927</v>
      </c>
      <c r="C20" s="1639"/>
      <c r="D20" s="1640"/>
      <c r="E20" s="76">
        <v>19000</v>
      </c>
      <c r="F20" s="76">
        <f t="shared" si="0"/>
        <v>1583.3333333333333</v>
      </c>
      <c r="G20" s="76">
        <f>E20/HR!$D$63</f>
        <v>5.046480743691899</v>
      </c>
      <c r="H20" s="49"/>
      <c r="I20" s="141"/>
      <c r="J20" s="44"/>
      <c r="K20" s="737"/>
      <c r="L20" s="737"/>
    </row>
    <row r="21" spans="2:12" ht="14.25" customHeight="1" thickBot="1">
      <c r="B21" s="1631" t="s">
        <v>898</v>
      </c>
      <c r="C21" s="1632"/>
      <c r="D21" s="1633"/>
      <c r="E21" s="77">
        <f t="shared" ref="E21:F21" si="1">SUM(E10:E20)</f>
        <v>5144132.653846154</v>
      </c>
      <c r="F21" s="77">
        <f t="shared" si="1"/>
        <v>428677.72115384619</v>
      </c>
      <c r="G21" s="77">
        <f>SUM(G10:G20)</f>
        <v>1366.303493717438</v>
      </c>
      <c r="H21" s="49">
        <f>E22/2000</f>
        <v>2671.5663269230772</v>
      </c>
      <c r="I21" s="141"/>
      <c r="J21" s="44"/>
      <c r="K21" s="737"/>
      <c r="L21" s="737"/>
    </row>
    <row r="22" spans="2:12" ht="14.25" customHeight="1" thickBot="1">
      <c r="B22" s="1641" t="s">
        <v>928</v>
      </c>
      <c r="C22" s="1642"/>
      <c r="D22" s="1643"/>
      <c r="E22" s="87">
        <f>SUM(E21,E7)</f>
        <v>5343132.653846154</v>
      </c>
      <c r="F22" s="87">
        <f>SUM(F21,F7)</f>
        <v>445261.0544871795</v>
      </c>
      <c r="G22" s="87">
        <f>SUM(G21,G7)</f>
        <v>1419.1587394013688</v>
      </c>
      <c r="H22" s="49"/>
      <c r="I22" s="141"/>
      <c r="J22" s="44"/>
      <c r="K22" s="737"/>
      <c r="L22" s="737"/>
    </row>
    <row r="23" spans="2:12" ht="15" customHeight="1">
      <c r="B23" s="49"/>
      <c r="C23" s="49"/>
      <c r="D23" s="49"/>
      <c r="E23" s="49"/>
      <c r="F23" s="49"/>
      <c r="G23" s="49"/>
      <c r="H23" s="49"/>
      <c r="I23" s="49"/>
      <c r="J23" s="44"/>
      <c r="K23" s="737"/>
      <c r="L23" s="737"/>
    </row>
    <row r="24" spans="2:12" ht="14.25" customHeight="1">
      <c r="B24" s="49"/>
      <c r="C24" s="49"/>
      <c r="D24" s="49"/>
      <c r="E24" s="49"/>
      <c r="F24" s="49"/>
      <c r="G24" s="49"/>
      <c r="H24" s="49"/>
      <c r="I24" s="49"/>
      <c r="J24" s="44"/>
      <c r="K24" s="737"/>
      <c r="L24" s="737"/>
    </row>
    <row r="25" spans="2:12" ht="14.25" customHeight="1">
      <c r="B25" s="49"/>
      <c r="C25" s="49"/>
      <c r="D25" s="49"/>
      <c r="E25" s="49"/>
      <c r="F25" s="49"/>
      <c r="G25" s="49"/>
      <c r="H25" s="49"/>
      <c r="I25" s="49"/>
      <c r="J25" s="44"/>
      <c r="K25" s="737"/>
      <c r="L25" s="737"/>
    </row>
    <row r="26" spans="2:12" ht="14.25" customHeight="1">
      <c r="B26" s="49"/>
      <c r="C26" s="49"/>
      <c r="D26" s="49"/>
      <c r="E26" s="49"/>
      <c r="F26" s="49"/>
      <c r="G26" s="49"/>
      <c r="H26" s="49"/>
      <c r="I26" s="49"/>
      <c r="J26" s="44"/>
      <c r="K26" s="737"/>
      <c r="L26" s="737"/>
    </row>
    <row r="27" spans="2:12" ht="14.25" customHeight="1">
      <c r="B27" s="49"/>
      <c r="C27" s="49"/>
      <c r="D27" s="49"/>
      <c r="E27" s="49"/>
      <c r="F27" s="49"/>
      <c r="G27" s="49"/>
      <c r="H27" s="49"/>
      <c r="I27" s="49"/>
      <c r="J27" s="44"/>
      <c r="K27" s="737"/>
      <c r="L27" s="737"/>
    </row>
    <row r="28" spans="2:12" ht="14.25" customHeight="1">
      <c r="B28" s="49"/>
      <c r="C28" s="49"/>
      <c r="D28" s="49"/>
      <c r="E28" s="49"/>
      <c r="F28" s="49"/>
      <c r="G28" s="49"/>
      <c r="H28" s="49"/>
      <c r="I28" s="49"/>
      <c r="J28" s="44"/>
      <c r="K28" s="737"/>
      <c r="L28" s="737"/>
    </row>
    <row r="29" spans="2:12" ht="14.25" customHeight="1">
      <c r="B29" s="49"/>
      <c r="C29" s="49"/>
      <c r="D29" s="49"/>
      <c r="E29" s="49"/>
      <c r="F29" s="49"/>
      <c r="G29" s="49"/>
      <c r="H29" s="49"/>
      <c r="I29" s="49"/>
      <c r="J29" s="44"/>
      <c r="K29" s="737"/>
      <c r="L29" s="737"/>
    </row>
    <row r="30" spans="2:12" ht="14.25" customHeight="1">
      <c r="B30" s="49"/>
      <c r="C30" s="49"/>
      <c r="D30" s="49"/>
      <c r="E30" s="49"/>
      <c r="F30" s="49"/>
      <c r="G30" s="49"/>
      <c r="H30" s="49"/>
      <c r="I30" s="49"/>
      <c r="J30" s="44"/>
      <c r="K30" s="737"/>
      <c r="L30" s="737"/>
    </row>
    <row r="31" spans="2:12" ht="14.25" customHeight="1">
      <c r="B31" s="49"/>
      <c r="C31" s="49"/>
      <c r="D31" s="49"/>
      <c r="E31" s="49"/>
      <c r="F31" s="49"/>
      <c r="G31" s="49"/>
      <c r="H31" s="49"/>
      <c r="I31" s="49"/>
      <c r="J31" s="44"/>
      <c r="K31" s="737"/>
      <c r="L31" s="737"/>
    </row>
    <row r="32" spans="2:12" ht="14.25" customHeight="1">
      <c r="B32" s="49"/>
      <c r="C32" s="49"/>
      <c r="D32" s="49"/>
      <c r="E32" s="49"/>
      <c r="F32" s="49"/>
      <c r="G32" s="49"/>
      <c r="H32" s="49"/>
      <c r="I32" s="49"/>
      <c r="J32" s="44"/>
      <c r="K32" s="737"/>
      <c r="L32" s="737"/>
    </row>
    <row r="33" spans="2:10" ht="15" customHeight="1">
      <c r="B33" s="49"/>
      <c r="C33" s="49"/>
      <c r="D33" s="49"/>
      <c r="E33" s="49"/>
      <c r="F33" s="49"/>
      <c r="G33" s="49"/>
      <c r="H33" s="49"/>
      <c r="I33" s="49"/>
      <c r="J33" s="44"/>
    </row>
    <row r="34" spans="2:10" ht="14.25" customHeight="1">
      <c r="B34" s="49"/>
      <c r="C34" s="49"/>
      <c r="D34" s="49"/>
      <c r="E34" s="49"/>
      <c r="F34" s="49"/>
      <c r="G34" s="49"/>
      <c r="H34" s="49"/>
      <c r="I34" s="49"/>
      <c r="J34" s="44"/>
    </row>
    <row r="35" spans="2:10" ht="14.25" customHeight="1">
      <c r="B35" s="49"/>
      <c r="C35" s="49"/>
      <c r="D35" s="49"/>
      <c r="E35" s="49"/>
      <c r="F35" s="49"/>
      <c r="G35" s="49"/>
      <c r="H35" s="49"/>
      <c r="I35" s="49"/>
      <c r="J35" s="44"/>
    </row>
    <row r="36" spans="2:10" ht="14.25" customHeight="1">
      <c r="B36" s="49"/>
      <c r="C36" s="49"/>
      <c r="D36" s="49"/>
      <c r="E36" s="49"/>
      <c r="F36" s="49"/>
      <c r="G36" s="49"/>
      <c r="H36" s="49"/>
      <c r="I36" s="49"/>
      <c r="J36" s="44"/>
    </row>
    <row r="37" spans="2:10" ht="15">
      <c r="B37" s="49"/>
      <c r="C37" s="49"/>
      <c r="D37" s="49"/>
      <c r="E37" s="49"/>
      <c r="F37" s="49"/>
      <c r="G37" s="49"/>
      <c r="H37" s="44"/>
      <c r="I37" s="44"/>
      <c r="J37" s="44"/>
    </row>
    <row r="38" spans="2:10" ht="15">
      <c r="B38" s="49"/>
      <c r="C38" s="49"/>
      <c r="D38" s="49"/>
      <c r="E38" s="49"/>
      <c r="F38" s="49"/>
      <c r="G38" s="49"/>
      <c r="H38" s="44"/>
      <c r="I38" s="44"/>
      <c r="J38" s="44"/>
    </row>
    <row r="39" spans="2:10" ht="15">
      <c r="B39" s="49"/>
      <c r="C39" s="49"/>
      <c r="D39" s="49"/>
      <c r="E39" s="49"/>
      <c r="F39" s="49"/>
      <c r="G39" s="49"/>
      <c r="H39" s="44"/>
      <c r="I39" s="44"/>
      <c r="J39" s="44"/>
    </row>
    <row r="40" spans="2:10" ht="15">
      <c r="B40" s="49"/>
      <c r="C40" s="49"/>
      <c r="D40" s="49"/>
      <c r="E40" s="49"/>
      <c r="F40" s="49"/>
      <c r="G40" s="49"/>
      <c r="H40" s="44"/>
      <c r="I40" s="44"/>
      <c r="J40" s="44"/>
    </row>
    <row r="41" spans="2:10">
      <c r="B41" s="44"/>
      <c r="C41" s="44"/>
      <c r="D41" s="44"/>
      <c r="E41" s="44"/>
      <c r="F41" s="44"/>
      <c r="G41" s="44"/>
      <c r="H41" s="737"/>
      <c r="I41" s="737"/>
      <c r="J41" s="737"/>
    </row>
    <row r="42" spans="2:10">
      <c r="B42" s="44"/>
      <c r="C42" s="44"/>
      <c r="D42" s="44"/>
      <c r="E42" s="44"/>
      <c r="F42" s="44"/>
      <c r="G42" s="44"/>
      <c r="H42" s="737"/>
      <c r="I42" s="737"/>
      <c r="J42" s="737"/>
    </row>
    <row r="43" spans="2:10">
      <c r="B43" s="44"/>
      <c r="C43" s="44"/>
      <c r="D43" s="44"/>
      <c r="E43" s="44"/>
      <c r="F43" s="44"/>
      <c r="G43" s="44"/>
      <c r="H43" s="737"/>
      <c r="I43" s="737"/>
      <c r="J43" s="737"/>
    </row>
    <row r="44" spans="2:10">
      <c r="B44" s="44"/>
      <c r="C44" s="44"/>
      <c r="D44" s="44"/>
      <c r="E44" s="44"/>
      <c r="F44" s="44"/>
      <c r="G44" s="44"/>
      <c r="H44" s="737"/>
      <c r="I44" s="737"/>
      <c r="J44" s="737"/>
    </row>
  </sheetData>
  <customSheetViews>
    <customSheetView guid="{F9015B81-4D5E-47E3-BFA8-A54438E9D1FF}" showGridLines="0">
      <pageMargins left="0.7" right="0.7" top="0.75" bottom="0.75" header="0.3" footer="0.3"/>
      <pageSetup paperSize="9" orientation="portrait" r:id="rId1"/>
    </customSheetView>
  </customSheetViews>
  <mergeCells count="22">
    <mergeCell ref="B21:D21"/>
    <mergeCell ref="B22:D22"/>
    <mergeCell ref="I2:J2"/>
    <mergeCell ref="B16:D16"/>
    <mergeCell ref="B17:D17"/>
    <mergeCell ref="B18:D18"/>
    <mergeCell ref="B19:D19"/>
    <mergeCell ref="B20:D20"/>
    <mergeCell ref="B11:D11"/>
    <mergeCell ref="B12:D12"/>
    <mergeCell ref="B13:D13"/>
    <mergeCell ref="B14:D14"/>
    <mergeCell ref="B15:D15"/>
    <mergeCell ref="B8:F8"/>
    <mergeCell ref="B5:D5"/>
    <mergeCell ref="B10:D10"/>
    <mergeCell ref="B2:G2"/>
    <mergeCell ref="B6:D6"/>
    <mergeCell ref="B4:D4"/>
    <mergeCell ref="B9:D9"/>
    <mergeCell ref="B7:D7"/>
    <mergeCell ref="B3:G3"/>
  </mergeCells>
  <hyperlinks>
    <hyperlink ref="A1" location="MENU!A1" display="MENU" xr:uid="{1B0F87CA-674A-4DF9-8299-BD687ACADA02}"/>
  </hyperlinks>
  <pageMargins left="0.7" right="0.7" top="0.75" bottom="0.75" header="0.3" footer="0.3"/>
  <pageSetup paperSize="9" orientation="portrait"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17631-D55C-4F14-8F34-CCE1FCF2E718}">
  <sheetPr>
    <tabColor rgb="FF7030A0"/>
  </sheetPr>
  <dimension ref="A1:AD23"/>
  <sheetViews>
    <sheetView showGridLines="0" zoomScaleNormal="100" workbookViewId="0">
      <selection activeCell="I20" sqref="I20"/>
    </sheetView>
  </sheetViews>
  <sheetFormatPr defaultRowHeight="14.25"/>
  <cols>
    <col min="1" max="1" width="8.77734375" style="55"/>
    <col min="9" max="9" width="22.77734375" customWidth="1"/>
    <col min="10" max="10" width="19.33203125" customWidth="1"/>
    <col min="23" max="23" width="10.33203125" customWidth="1"/>
  </cols>
  <sheetData>
    <row r="1" spans="1:30" s="55" customFormat="1" ht="24" customHeight="1" thickBot="1">
      <c r="A1" s="107" t="s">
        <v>1</v>
      </c>
      <c r="B1" s="737"/>
      <c r="C1" s="737"/>
      <c r="D1" s="737"/>
      <c r="E1" s="737"/>
      <c r="F1" s="737"/>
      <c r="G1" s="737"/>
      <c r="H1" s="737"/>
      <c r="I1" s="737"/>
      <c r="J1" s="737"/>
      <c r="K1" s="737"/>
      <c r="L1" s="737"/>
      <c r="M1" s="737"/>
      <c r="N1" s="737"/>
      <c r="O1" s="737"/>
      <c r="P1" s="737"/>
      <c r="Q1" s="737"/>
      <c r="R1" s="737"/>
      <c r="S1" s="737"/>
      <c r="T1" s="737"/>
      <c r="U1" s="737"/>
      <c r="V1" s="737"/>
      <c r="W1" s="737"/>
      <c r="X1" s="737"/>
      <c r="Y1" s="737"/>
      <c r="Z1" s="737"/>
      <c r="AA1" s="737"/>
      <c r="AB1" s="737"/>
      <c r="AC1" s="737"/>
      <c r="AD1" s="737"/>
    </row>
    <row r="2" spans="1:30" ht="15.75" thickBot="1">
      <c r="A2" s="737"/>
      <c r="B2" s="1622" t="s">
        <v>952</v>
      </c>
      <c r="C2" s="1627"/>
      <c r="D2" s="1627"/>
      <c r="E2" s="1627"/>
      <c r="F2" s="1627"/>
      <c r="G2" s="1623"/>
      <c r="H2" s="737"/>
      <c r="I2" s="1622" t="s">
        <v>880</v>
      </c>
      <c r="J2" s="1623"/>
      <c r="K2" s="737"/>
      <c r="L2" s="737"/>
      <c r="M2" s="737"/>
      <c r="N2" s="737"/>
      <c r="O2" s="737"/>
      <c r="P2" s="737"/>
      <c r="Q2" s="737"/>
      <c r="R2" s="737"/>
      <c r="S2" s="737"/>
      <c r="T2" s="737"/>
      <c r="U2" s="737"/>
      <c r="V2" s="737"/>
      <c r="W2" s="737"/>
      <c r="X2" s="737"/>
      <c r="Y2" s="737"/>
      <c r="Z2" s="737"/>
      <c r="AA2" s="737"/>
      <c r="AB2" s="737"/>
      <c r="AC2" s="737"/>
      <c r="AD2" s="737"/>
    </row>
    <row r="3" spans="1:30" ht="15.75" thickBot="1">
      <c r="A3" s="737"/>
      <c r="B3" s="1622" t="s">
        <v>858</v>
      </c>
      <c r="C3" s="1627"/>
      <c r="D3" s="1627"/>
      <c r="E3" s="1627"/>
      <c r="F3" s="1627"/>
      <c r="G3" s="1623"/>
      <c r="H3" s="1362"/>
      <c r="I3" s="111" t="s">
        <v>881</v>
      </c>
      <c r="J3" s="111" t="s">
        <v>873</v>
      </c>
      <c r="K3" s="49"/>
      <c r="L3" s="49"/>
      <c r="M3" s="49"/>
      <c r="N3" s="49"/>
      <c r="O3" s="1362"/>
      <c r="P3" s="49"/>
      <c r="Q3" s="49"/>
      <c r="R3" s="49"/>
      <c r="S3" s="49"/>
      <c r="T3" s="49"/>
      <c r="U3" s="49"/>
      <c r="V3" s="1362"/>
      <c r="W3" s="49"/>
      <c r="X3" s="49"/>
      <c r="Y3" s="49"/>
      <c r="Z3" s="49"/>
      <c r="AA3" s="49"/>
      <c r="AB3" s="49"/>
      <c r="AC3" s="54"/>
      <c r="AD3" s="737"/>
    </row>
    <row r="4" spans="1:30" ht="15">
      <c r="A4" s="737"/>
      <c r="B4" s="1628" t="s">
        <v>894</v>
      </c>
      <c r="C4" s="1637"/>
      <c r="D4" s="1630"/>
      <c r="E4" s="76">
        <v>45000</v>
      </c>
      <c r="F4" s="76">
        <f>E4/12</f>
        <v>3750</v>
      </c>
      <c r="G4" s="76">
        <f>E4/HR!$D$63</f>
        <v>11.952191235059761</v>
      </c>
      <c r="H4" s="1362"/>
      <c r="I4" s="129" t="s">
        <v>275</v>
      </c>
      <c r="J4" s="313">
        <f>E10</f>
        <v>5873400</v>
      </c>
      <c r="K4" s="49"/>
      <c r="L4" s="49"/>
      <c r="M4" s="49"/>
      <c r="N4" s="49"/>
      <c r="O4" s="1362"/>
      <c r="P4" s="49"/>
      <c r="Q4" s="49"/>
      <c r="R4" s="49"/>
      <c r="S4" s="49"/>
      <c r="T4" s="49"/>
      <c r="U4" s="49"/>
      <c r="V4" s="1362"/>
      <c r="W4" s="49"/>
      <c r="X4" s="49"/>
      <c r="Y4" s="49"/>
      <c r="Z4" s="49"/>
      <c r="AA4" s="49"/>
      <c r="AB4" s="49"/>
      <c r="AC4" s="54"/>
      <c r="AD4" s="737"/>
    </row>
    <row r="5" spans="1:30" ht="15">
      <c r="A5" s="737"/>
      <c r="B5" s="1628" t="s">
        <v>933</v>
      </c>
      <c r="C5" s="1637"/>
      <c r="D5" s="1630"/>
      <c r="E5" s="76">
        <v>600000</v>
      </c>
      <c r="F5" s="76">
        <f t="shared" ref="F5:F6" si="0">E5/12</f>
        <v>50000</v>
      </c>
      <c r="G5" s="76">
        <f>E5/HR!$D$63</f>
        <v>159.36254980079681</v>
      </c>
      <c r="H5" s="1362"/>
      <c r="I5" s="129" t="s">
        <v>889</v>
      </c>
      <c r="J5" s="313">
        <f>E11</f>
        <v>2067436.7999999998</v>
      </c>
      <c r="K5" s="49"/>
      <c r="L5" s="49"/>
      <c r="M5" s="49"/>
      <c r="N5" s="49"/>
      <c r="O5" s="1362"/>
      <c r="P5" s="49"/>
      <c r="Q5" s="49"/>
      <c r="R5" s="49"/>
      <c r="S5" s="49"/>
      <c r="T5" s="49"/>
      <c r="U5" s="49"/>
      <c r="V5" s="1362"/>
      <c r="W5" s="49"/>
      <c r="X5" s="49"/>
      <c r="Y5" s="49"/>
      <c r="Z5" s="49"/>
      <c r="AA5" s="49"/>
      <c r="AB5" s="49"/>
      <c r="AC5" s="54"/>
      <c r="AD5" s="737"/>
    </row>
    <row r="6" spans="1:30" ht="15" thickBot="1">
      <c r="A6" s="737"/>
      <c r="B6" s="1628" t="s">
        <v>953</v>
      </c>
      <c r="C6" s="1637"/>
      <c r="D6" s="1630"/>
      <c r="E6" s="76">
        <v>60000</v>
      </c>
      <c r="F6" s="76">
        <f t="shared" si="0"/>
        <v>5000</v>
      </c>
      <c r="G6" s="76">
        <f>E6/HR!$D$63</f>
        <v>15.936254980079681</v>
      </c>
      <c r="H6" s="1362"/>
      <c r="I6" s="129" t="s">
        <v>561</v>
      </c>
      <c r="J6" s="313">
        <f>E12</f>
        <v>587340</v>
      </c>
      <c r="K6" s="1362"/>
      <c r="L6" s="1362"/>
      <c r="M6" s="1362"/>
      <c r="N6" s="1362"/>
      <c r="O6" s="1362"/>
      <c r="P6" s="1362"/>
      <c r="Q6" s="1362"/>
      <c r="R6" s="1362"/>
      <c r="S6" s="1362"/>
      <c r="T6" s="1362"/>
      <c r="U6" s="1362"/>
      <c r="V6" s="1362"/>
      <c r="W6" s="1362"/>
      <c r="X6" s="1362"/>
      <c r="Y6" s="1362"/>
      <c r="Z6" s="1362"/>
      <c r="AA6" s="1362"/>
      <c r="AB6" s="1362"/>
      <c r="AC6" s="54"/>
      <c r="AD6" s="737"/>
    </row>
    <row r="7" spans="1:30" ht="15" thickBot="1">
      <c r="A7" s="737"/>
      <c r="B7" s="1631" t="s">
        <v>898</v>
      </c>
      <c r="C7" s="1632"/>
      <c r="D7" s="1633"/>
      <c r="E7" s="77">
        <f>SUM(E4:E6)</f>
        <v>705000</v>
      </c>
      <c r="F7" s="77">
        <f>SUM(F4:F6)</f>
        <v>58750</v>
      </c>
      <c r="G7" s="77">
        <f>SUM(G4:G6)</f>
        <v>187.25099601593627</v>
      </c>
      <c r="H7" s="1362"/>
      <c r="I7" s="129" t="s">
        <v>897</v>
      </c>
      <c r="J7" s="313">
        <f>E13</f>
        <v>30000</v>
      </c>
      <c r="K7" s="1362"/>
      <c r="L7" s="1362"/>
      <c r="M7" s="1362"/>
      <c r="N7" s="1362"/>
      <c r="O7" s="1362"/>
      <c r="P7" s="1362"/>
      <c r="Q7" s="1362"/>
      <c r="R7" s="1362"/>
      <c r="S7" s="1362"/>
      <c r="T7" s="1362"/>
      <c r="U7" s="1362"/>
      <c r="V7" s="1362"/>
      <c r="W7" s="1362"/>
      <c r="X7" s="1362"/>
      <c r="Y7" s="1362"/>
      <c r="Z7" s="1362"/>
      <c r="AA7" s="1362"/>
      <c r="AB7" s="1362"/>
      <c r="AC7" s="54"/>
      <c r="AD7" s="737"/>
    </row>
    <row r="8" spans="1:30" ht="15.75" thickBot="1">
      <c r="A8" s="737"/>
      <c r="B8" s="1622" t="s">
        <v>902</v>
      </c>
      <c r="C8" s="1627"/>
      <c r="D8" s="1627"/>
      <c r="E8" s="1627"/>
      <c r="F8" s="1623"/>
      <c r="G8" s="111">
        <f>'NS + DHM'!B15</f>
        <v>6</v>
      </c>
      <c r="H8" s="1362"/>
      <c r="I8" s="129" t="s">
        <v>901</v>
      </c>
      <c r="J8" s="313">
        <f>E20</f>
        <v>4800</v>
      </c>
      <c r="K8" s="1362"/>
      <c r="L8" s="1362"/>
      <c r="M8" s="1362"/>
      <c r="N8" s="1362"/>
      <c r="O8" s="1362"/>
      <c r="P8" s="1362"/>
      <c r="Q8" s="1362"/>
      <c r="R8" s="1362"/>
      <c r="S8" s="1362"/>
      <c r="T8" s="1362"/>
      <c r="U8" s="1362"/>
      <c r="V8" s="1362"/>
      <c r="W8" s="1362"/>
      <c r="X8" s="1362"/>
      <c r="Y8" s="1362"/>
      <c r="Z8" s="1362"/>
      <c r="AA8" s="1362"/>
      <c r="AB8" s="1362"/>
      <c r="AC8" s="54"/>
      <c r="AD8" s="737"/>
    </row>
    <row r="9" spans="1:30" ht="15.75" thickBot="1">
      <c r="A9" s="737"/>
      <c r="B9" s="1622"/>
      <c r="C9" s="1627"/>
      <c r="D9" s="1623"/>
      <c r="E9" s="111" t="s">
        <v>882</v>
      </c>
      <c r="F9" s="111" t="s">
        <v>883</v>
      </c>
      <c r="G9" s="111" t="s">
        <v>884</v>
      </c>
      <c r="H9" s="1362"/>
      <c r="I9" s="129" t="s">
        <v>927</v>
      </c>
      <c r="J9" s="313">
        <f>E21+E14+E6</f>
        <v>97000</v>
      </c>
      <c r="K9" s="1362"/>
      <c r="L9" s="1362"/>
      <c r="M9" s="1362"/>
      <c r="N9" s="1362"/>
      <c r="O9" s="1362"/>
      <c r="P9" s="1362"/>
      <c r="Q9" s="1362"/>
      <c r="R9" s="1362"/>
      <c r="S9" s="1362"/>
      <c r="T9" s="1362"/>
      <c r="U9" s="1362"/>
      <c r="V9" s="1362"/>
      <c r="W9" s="1362"/>
      <c r="X9" s="1362"/>
      <c r="Y9" s="1362"/>
      <c r="Z9" s="1362"/>
      <c r="AA9" s="1362"/>
      <c r="AB9" s="1362"/>
      <c r="AC9" s="54"/>
      <c r="AD9" s="737"/>
    </row>
    <row r="10" spans="1:30" ht="15">
      <c r="A10" s="737"/>
      <c r="B10" s="1624" t="s">
        <v>954</v>
      </c>
      <c r="C10" s="1625"/>
      <c r="D10" s="1626"/>
      <c r="E10" s="76">
        <f>520*251*7.5*G8</f>
        <v>5873400</v>
      </c>
      <c r="F10" s="76">
        <f>E10/12</f>
        <v>489450</v>
      </c>
      <c r="G10" s="76">
        <f>E10/HR!$D$63</f>
        <v>1560</v>
      </c>
      <c r="H10" s="1362"/>
      <c r="I10" s="314" t="s">
        <v>430</v>
      </c>
      <c r="J10" s="315">
        <f>E15</f>
        <v>6000</v>
      </c>
      <c r="K10" s="1362"/>
      <c r="L10" s="1362"/>
      <c r="M10" s="1362"/>
      <c r="N10" s="1362"/>
      <c r="O10" s="1362"/>
      <c r="P10" s="1362"/>
      <c r="Q10" s="1362"/>
      <c r="R10" s="1362"/>
      <c r="S10" s="1362"/>
      <c r="T10" s="1362"/>
      <c r="U10" s="1362"/>
      <c r="V10" s="1362"/>
      <c r="W10" s="1362"/>
      <c r="X10" s="1362"/>
      <c r="Y10" s="1362"/>
      <c r="Z10" s="1362"/>
      <c r="AA10" s="1362"/>
      <c r="AB10" s="1362"/>
      <c r="AC10" s="54"/>
      <c r="AD10" s="737"/>
    </row>
    <row r="11" spans="1:30">
      <c r="A11" s="737"/>
      <c r="B11" s="1628" t="s">
        <v>910</v>
      </c>
      <c r="C11" s="1637"/>
      <c r="D11" s="1630"/>
      <c r="E11" s="76">
        <f>E10*HR!D64</f>
        <v>2067436.7999999998</v>
      </c>
      <c r="F11" s="76">
        <f>E11/12</f>
        <v>172286.4</v>
      </c>
      <c r="G11" s="76">
        <f>E11/HR!$D$63</f>
        <v>549.12</v>
      </c>
      <c r="H11" s="1362"/>
      <c r="I11" s="316" t="s">
        <v>429</v>
      </c>
      <c r="J11" s="315">
        <f>E16</f>
        <v>6000</v>
      </c>
      <c r="K11" s="1362"/>
      <c r="L11" s="1362"/>
      <c r="M11" s="1362"/>
      <c r="N11" s="1362"/>
      <c r="O11" s="1362"/>
      <c r="P11" s="1362"/>
      <c r="Q11" s="1362"/>
      <c r="R11" s="1362"/>
      <c r="S11" s="1362"/>
      <c r="T11" s="1362"/>
      <c r="U11" s="1362"/>
      <c r="V11" s="1362"/>
      <c r="W11" s="1362"/>
      <c r="X11" s="1362"/>
      <c r="Y11" s="1362"/>
      <c r="Z11" s="1362"/>
      <c r="AA11" s="1362"/>
      <c r="AB11" s="1362"/>
      <c r="AC11" s="54"/>
      <c r="AD11" s="737"/>
    </row>
    <row r="12" spans="1:30" ht="15" customHeight="1">
      <c r="A12" s="737"/>
      <c r="B12" s="1628" t="s">
        <v>912</v>
      </c>
      <c r="C12" s="1637"/>
      <c r="D12" s="1630"/>
      <c r="E12" s="76">
        <f>0.1*E10</f>
        <v>587340</v>
      </c>
      <c r="F12" s="76">
        <f t="shared" ref="F12:F21" si="1">E12/12</f>
        <v>48945</v>
      </c>
      <c r="G12" s="76">
        <f>E12/HR!$D$63</f>
        <v>156</v>
      </c>
      <c r="H12" s="1362"/>
      <c r="I12" s="314" t="s">
        <v>922</v>
      </c>
      <c r="J12" s="315">
        <f>E17</f>
        <v>131000</v>
      </c>
      <c r="K12" s="1362"/>
      <c r="L12" s="1362"/>
      <c r="M12" s="1362"/>
      <c r="N12" s="1362"/>
      <c r="O12" s="1362"/>
      <c r="P12" s="1362"/>
      <c r="Q12" s="1362"/>
      <c r="R12" s="1362"/>
      <c r="S12" s="1362"/>
      <c r="T12" s="1362"/>
      <c r="U12" s="1362"/>
      <c r="V12" s="1362"/>
      <c r="W12" s="1362"/>
      <c r="X12" s="1362"/>
      <c r="Y12" s="1362"/>
      <c r="Z12" s="1362"/>
      <c r="AA12" s="1362"/>
      <c r="AB12" s="1362"/>
      <c r="AC12" s="54"/>
      <c r="AD12" s="737"/>
    </row>
    <row r="13" spans="1:30" ht="15">
      <c r="A13" s="737"/>
      <c r="B13" s="1628" t="s">
        <v>913</v>
      </c>
      <c r="C13" s="1637"/>
      <c r="D13" s="1630"/>
      <c r="E13" s="76">
        <v>30000</v>
      </c>
      <c r="F13" s="76">
        <f t="shared" si="1"/>
        <v>2500</v>
      </c>
      <c r="G13" s="76">
        <f>E13/HR!$D$63</f>
        <v>7.9681274900398407</v>
      </c>
      <c r="H13" s="1362"/>
      <c r="I13" s="317" t="s">
        <v>904</v>
      </c>
      <c r="J13" s="318">
        <f>E18</f>
        <v>3892.1538461538462</v>
      </c>
      <c r="K13" s="45"/>
      <c r="L13" s="45"/>
      <c r="M13" s="45"/>
      <c r="N13" s="45"/>
      <c r="O13" s="1362"/>
      <c r="P13" s="45"/>
      <c r="Q13" s="45"/>
      <c r="R13" s="45"/>
      <c r="S13" s="45"/>
      <c r="T13" s="45"/>
      <c r="U13" s="45"/>
      <c r="V13" s="1362"/>
      <c r="W13" s="1362"/>
      <c r="X13" s="1362"/>
      <c r="Y13" s="1362"/>
      <c r="Z13" s="1362"/>
      <c r="AA13" s="1362"/>
      <c r="AB13" s="1362"/>
      <c r="AC13" s="54"/>
      <c r="AD13" s="737"/>
    </row>
    <row r="14" spans="1:30">
      <c r="A14" s="737"/>
      <c r="B14" s="1628" t="s">
        <v>915</v>
      </c>
      <c r="C14" s="1637"/>
      <c r="D14" s="1630"/>
      <c r="E14" s="76">
        <v>25000</v>
      </c>
      <c r="F14" s="76">
        <f t="shared" si="1"/>
        <v>2083.3333333333335</v>
      </c>
      <c r="G14" s="76">
        <f>E14/HR!$D$63</f>
        <v>6.6401062416998675</v>
      </c>
      <c r="H14" s="1362"/>
      <c r="I14" s="327" t="s">
        <v>955</v>
      </c>
      <c r="J14" s="328">
        <f>E4</f>
        <v>45000</v>
      </c>
      <c r="K14" s="45"/>
      <c r="L14" s="45"/>
      <c r="M14" s="45"/>
      <c r="N14" s="45"/>
      <c r="O14" s="1362"/>
      <c r="P14" s="45"/>
      <c r="Q14" s="45"/>
      <c r="R14" s="45"/>
      <c r="S14" s="45"/>
      <c r="T14" s="45"/>
      <c r="U14" s="45"/>
      <c r="V14" s="1362"/>
      <c r="W14" s="1362"/>
      <c r="X14" s="1362"/>
      <c r="Y14" s="1362"/>
      <c r="Z14" s="1362"/>
      <c r="AA14" s="1362"/>
      <c r="AB14" s="1362"/>
      <c r="AC14" s="54"/>
      <c r="AD14" s="737"/>
    </row>
    <row r="15" spans="1:30">
      <c r="A15" s="737"/>
      <c r="B15" s="1644" t="s">
        <v>430</v>
      </c>
      <c r="C15" s="1645"/>
      <c r="D15" s="1646"/>
      <c r="E15" s="76">
        <v>6000</v>
      </c>
      <c r="F15" s="76">
        <f t="shared" si="1"/>
        <v>500</v>
      </c>
      <c r="G15" s="76">
        <f>E15/HR!$D$63</f>
        <v>1.593625498007968</v>
      </c>
      <c r="H15" s="1362"/>
      <c r="I15" s="329" t="s">
        <v>438</v>
      </c>
      <c r="J15" s="330">
        <f>E5</f>
        <v>600000</v>
      </c>
      <c r="K15" s="1362"/>
      <c r="L15" s="1362"/>
      <c r="M15" s="1362"/>
      <c r="N15" s="1362"/>
      <c r="O15" s="1362"/>
      <c r="P15" s="1362"/>
      <c r="Q15" s="1362"/>
      <c r="R15" s="1362"/>
      <c r="S15" s="1362"/>
      <c r="T15" s="1362"/>
      <c r="U15" s="1362"/>
      <c r="V15" s="1362"/>
      <c r="W15" s="45"/>
      <c r="X15" s="45"/>
      <c r="Y15" s="45"/>
      <c r="Z15" s="45"/>
      <c r="AA15" s="45"/>
      <c r="AB15" s="45"/>
      <c r="AC15" s="54"/>
      <c r="AD15" s="737"/>
    </row>
    <row r="16" spans="1:30" ht="15" thickBot="1">
      <c r="A16" s="737"/>
      <c r="B16" s="1628" t="s">
        <v>429</v>
      </c>
      <c r="C16" s="1637"/>
      <c r="D16" s="1630"/>
      <c r="E16" s="76">
        <v>6000</v>
      </c>
      <c r="F16" s="76">
        <f t="shared" si="1"/>
        <v>500</v>
      </c>
      <c r="G16" s="76">
        <f>E16/HR!$D$63</f>
        <v>1.593625498007968</v>
      </c>
      <c r="H16" s="96"/>
      <c r="I16" s="331" t="s">
        <v>945</v>
      </c>
      <c r="J16" s="332">
        <f>SUM(J4:J15)</f>
        <v>9451868.9538461547</v>
      </c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  <c r="V16" s="1362"/>
      <c r="W16" s="45"/>
      <c r="X16" s="45"/>
      <c r="Y16" s="45"/>
      <c r="Z16" s="45"/>
      <c r="AA16" s="45"/>
      <c r="AB16" s="45"/>
      <c r="AC16" s="54"/>
      <c r="AD16" s="737"/>
    </row>
    <row r="17" spans="2:30">
      <c r="B17" s="1628" t="s">
        <v>922</v>
      </c>
      <c r="C17" s="1637"/>
      <c r="D17" s="1630"/>
      <c r="E17" s="76">
        <f>'NS + DHM'!C15*'NS + DHM'!B25</f>
        <v>131000</v>
      </c>
      <c r="F17" s="76">
        <f t="shared" si="1"/>
        <v>10916.666666666666</v>
      </c>
      <c r="G17" s="76">
        <f>E17/HR!$D$63</f>
        <v>34.794156706507302</v>
      </c>
      <c r="H17" s="737"/>
      <c r="I17" s="737"/>
      <c r="J17" s="737"/>
      <c r="K17" s="737"/>
      <c r="L17" s="737"/>
      <c r="M17" s="737"/>
      <c r="N17" s="737"/>
      <c r="O17" s="737"/>
      <c r="P17" s="737"/>
      <c r="Q17" s="737"/>
      <c r="R17" s="737"/>
      <c r="S17" s="737"/>
      <c r="T17" s="737"/>
      <c r="U17" s="737"/>
      <c r="V17" s="737"/>
      <c r="W17" s="737"/>
      <c r="X17" s="737"/>
      <c r="Y17" s="737"/>
      <c r="Z17" s="737"/>
      <c r="AA17" s="737"/>
      <c r="AB17" s="737"/>
      <c r="AC17" s="737"/>
      <c r="AD17" s="737"/>
    </row>
    <row r="18" spans="2:30">
      <c r="B18" s="1628" t="s">
        <v>904</v>
      </c>
      <c r="C18" s="1637"/>
      <c r="D18" s="1630"/>
      <c r="E18" s="76">
        <f>20*2.3+'NS + DHM'!B29</f>
        <v>3892.1538461538462</v>
      </c>
      <c r="F18" s="76">
        <f t="shared" si="1"/>
        <v>324.34615384615387</v>
      </c>
      <c r="G18" s="76">
        <f>E18/HR!$D$63</f>
        <v>1.0337726019000919</v>
      </c>
      <c r="H18" s="737"/>
      <c r="I18" s="737"/>
      <c r="J18" s="737"/>
      <c r="K18" s="737"/>
      <c r="L18" s="737"/>
      <c r="M18" s="737"/>
      <c r="N18" s="737"/>
      <c r="O18" s="737"/>
      <c r="P18" s="737"/>
      <c r="Q18" s="737"/>
      <c r="R18" s="737"/>
      <c r="S18" s="737"/>
      <c r="T18" s="737"/>
      <c r="U18" s="737"/>
      <c r="V18" s="737"/>
      <c r="W18" s="737"/>
      <c r="X18" s="737"/>
      <c r="Y18" s="737"/>
      <c r="Z18" s="737"/>
      <c r="AA18" s="737"/>
      <c r="AB18" s="737"/>
      <c r="AC18" s="737"/>
      <c r="AD18" s="737"/>
    </row>
    <row r="19" spans="2:30">
      <c r="B19" s="1628" t="s">
        <v>564</v>
      </c>
      <c r="C19" s="1637"/>
      <c r="D19" s="1630"/>
      <c r="E19" s="76">
        <v>210000</v>
      </c>
      <c r="F19" s="76">
        <f t="shared" si="1"/>
        <v>17500</v>
      </c>
      <c r="G19" s="76">
        <f>E19/HR!$D$63</f>
        <v>55.776892430278885</v>
      </c>
      <c r="H19" s="737"/>
      <c r="I19" s="737"/>
      <c r="J19" s="737"/>
      <c r="K19" s="737"/>
      <c r="L19" s="737"/>
      <c r="M19" s="737"/>
      <c r="N19" s="737"/>
      <c r="O19" s="737"/>
      <c r="P19" s="737"/>
      <c r="Q19" s="737"/>
      <c r="R19" s="737"/>
      <c r="S19" s="737"/>
      <c r="T19" s="737"/>
      <c r="U19" s="737"/>
      <c r="V19" s="737"/>
      <c r="W19" s="737"/>
      <c r="X19" s="737"/>
      <c r="Y19" s="737"/>
      <c r="Z19" s="737"/>
      <c r="AA19" s="737"/>
      <c r="AB19" s="737"/>
      <c r="AC19" s="737"/>
      <c r="AD19" s="737"/>
    </row>
    <row r="20" spans="2:30">
      <c r="B20" s="1628" t="s">
        <v>901</v>
      </c>
      <c r="C20" s="1637"/>
      <c r="D20" s="1630"/>
      <c r="E20" s="76">
        <v>4800</v>
      </c>
      <c r="F20" s="76">
        <f t="shared" si="1"/>
        <v>400</v>
      </c>
      <c r="G20" s="76">
        <f>E20/HR!$D$63</f>
        <v>1.2749003984063745</v>
      </c>
      <c r="H20" s="737"/>
      <c r="I20" s="737"/>
      <c r="J20" s="737"/>
      <c r="K20" s="737"/>
      <c r="L20" s="737"/>
      <c r="M20" s="737"/>
      <c r="N20" s="737"/>
      <c r="O20" s="737"/>
      <c r="P20" s="737"/>
      <c r="Q20" s="737"/>
      <c r="R20" s="737"/>
      <c r="S20" s="737"/>
      <c r="T20" s="737"/>
      <c r="U20" s="737"/>
      <c r="V20" s="737"/>
      <c r="W20" s="737"/>
      <c r="X20" s="737"/>
      <c r="Y20" s="737"/>
      <c r="Z20" s="737"/>
      <c r="AA20" s="737"/>
      <c r="AB20" s="737"/>
      <c r="AC20" s="737"/>
      <c r="AD20" s="737"/>
    </row>
    <row r="21" spans="2:30">
      <c r="B21" s="1638" t="s">
        <v>927</v>
      </c>
      <c r="C21" s="1639"/>
      <c r="D21" s="1640"/>
      <c r="E21" s="76">
        <v>12000</v>
      </c>
      <c r="F21" s="76">
        <f t="shared" si="1"/>
        <v>1000</v>
      </c>
      <c r="G21" s="76">
        <f>E21/HR!$D$63</f>
        <v>3.1872509960159361</v>
      </c>
      <c r="H21" s="737"/>
      <c r="I21" s="737"/>
      <c r="J21" s="737"/>
      <c r="K21" s="737"/>
      <c r="L21" s="737"/>
      <c r="M21" s="737"/>
      <c r="N21" s="737"/>
      <c r="O21" s="737"/>
      <c r="P21" s="737"/>
      <c r="Q21" s="737"/>
      <c r="R21" s="737"/>
      <c r="S21" s="737"/>
      <c r="T21" s="737"/>
      <c r="U21" s="737"/>
      <c r="V21" s="737"/>
      <c r="W21" s="737"/>
      <c r="X21" s="737"/>
      <c r="Y21" s="737"/>
      <c r="Z21" s="737"/>
      <c r="AA21" s="737"/>
      <c r="AB21" s="737"/>
      <c r="AC21" s="737"/>
      <c r="AD21" s="737"/>
    </row>
    <row r="22" spans="2:30">
      <c r="B22" s="1631" t="s">
        <v>898</v>
      </c>
      <c r="C22" s="1632"/>
      <c r="D22" s="1633"/>
      <c r="E22" s="77">
        <f>SUM(E10:E21)</f>
        <v>8956868.9538461547</v>
      </c>
      <c r="F22" s="77">
        <f>SUM(F10:F21)</f>
        <v>746405.74615384615</v>
      </c>
      <c r="G22" s="77">
        <f>SUM(G10:G21)</f>
        <v>2378.9824578608641</v>
      </c>
      <c r="H22" s="737"/>
      <c r="I22" s="737"/>
      <c r="J22" s="737"/>
      <c r="K22" s="737"/>
      <c r="L22" s="737"/>
      <c r="M22" s="737"/>
      <c r="N22" s="737"/>
      <c r="O22" s="737"/>
      <c r="P22" s="737"/>
      <c r="Q22" s="737"/>
      <c r="R22" s="737"/>
      <c r="S22" s="737"/>
      <c r="T22" s="737"/>
      <c r="U22" s="737"/>
      <c r="V22" s="737"/>
      <c r="W22" s="737"/>
      <c r="X22" s="737"/>
      <c r="Y22" s="737"/>
      <c r="Z22" s="737"/>
      <c r="AA22" s="737"/>
      <c r="AB22" s="737"/>
      <c r="AC22" s="737"/>
      <c r="AD22" s="737"/>
    </row>
    <row r="23" spans="2:30">
      <c r="B23" s="1641" t="s">
        <v>928</v>
      </c>
      <c r="C23" s="1642"/>
      <c r="D23" s="1643"/>
      <c r="E23" s="87">
        <f t="shared" ref="E23:F23" si="2">SUM(E22,E7)</f>
        <v>9661868.9538461547</v>
      </c>
      <c r="F23" s="87">
        <f t="shared" si="2"/>
        <v>805155.74615384615</v>
      </c>
      <c r="G23" s="87">
        <f>SUM(G22,G7)</f>
        <v>2566.2334538768005</v>
      </c>
      <c r="H23" s="737"/>
      <c r="I23" s="737"/>
      <c r="J23" s="737"/>
      <c r="K23" s="737"/>
      <c r="L23" s="737"/>
      <c r="M23" s="737"/>
      <c r="N23" s="737"/>
      <c r="O23" s="737"/>
      <c r="P23" s="737"/>
      <c r="Q23" s="737"/>
      <c r="R23" s="737"/>
      <c r="S23" s="737"/>
      <c r="T23" s="737"/>
      <c r="U23" s="737"/>
      <c r="V23" s="737"/>
      <c r="W23" s="737"/>
      <c r="X23" s="737"/>
      <c r="Y23" s="737"/>
      <c r="Z23" s="737"/>
      <c r="AA23" s="737"/>
      <c r="AB23" s="737"/>
      <c r="AC23" s="737"/>
      <c r="AD23" s="737"/>
    </row>
  </sheetData>
  <customSheetViews>
    <customSheetView guid="{F9015B81-4D5E-47E3-BFA8-A54438E9D1FF}" showGridLines="0">
      <selection activeCell="I20" sqref="I20"/>
      <pageMargins left="0.7" right="0.7" top="0.75" bottom="0.75" header="0.3" footer="0.3"/>
    </customSheetView>
  </customSheetViews>
  <mergeCells count="23">
    <mergeCell ref="B3:G3"/>
    <mergeCell ref="B8:F8"/>
    <mergeCell ref="B5:D5"/>
    <mergeCell ref="B4:D4"/>
    <mergeCell ref="B17:D17"/>
    <mergeCell ref="B7:D7"/>
    <mergeCell ref="B6:D6"/>
    <mergeCell ref="I2:J2"/>
    <mergeCell ref="B23:D23"/>
    <mergeCell ref="B2:G2"/>
    <mergeCell ref="B9:D9"/>
    <mergeCell ref="B18:D18"/>
    <mergeCell ref="B20:D20"/>
    <mergeCell ref="B21:D21"/>
    <mergeCell ref="B22:D22"/>
    <mergeCell ref="B16:D16"/>
    <mergeCell ref="B13:D13"/>
    <mergeCell ref="B14:D14"/>
    <mergeCell ref="B12:D12"/>
    <mergeCell ref="B15:D15"/>
    <mergeCell ref="B10:D10"/>
    <mergeCell ref="B11:D11"/>
    <mergeCell ref="B19:D19"/>
  </mergeCells>
  <hyperlinks>
    <hyperlink ref="A1" location="MENU!A1" display="MENU" xr:uid="{FB7C572B-07E2-4994-8F40-11E785B68D8F}"/>
  </hyperlink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6F5AC-EE60-46E4-AA4A-1D775AA7E211}">
  <sheetPr>
    <tabColor theme="5"/>
  </sheetPr>
  <dimension ref="A1:AJ120"/>
  <sheetViews>
    <sheetView showGridLines="0" zoomScale="85" zoomScaleNormal="85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E11" sqref="E11"/>
    </sheetView>
  </sheetViews>
  <sheetFormatPr defaultColWidth="8.77734375" defaultRowHeight="14.25"/>
  <cols>
    <col min="1" max="1" width="7.33203125" style="407" customWidth="1"/>
    <col min="2" max="2" width="8.77734375" style="407"/>
    <col min="3" max="3" width="20.21875" style="407" customWidth="1"/>
    <col min="4" max="6" width="12.21875" style="407" customWidth="1"/>
    <col min="7" max="7" width="12.21875" style="417" customWidth="1"/>
    <col min="8" max="10" width="9.33203125" style="407" customWidth="1"/>
    <col min="11" max="11" width="10.33203125" style="417" bestFit="1" customWidth="1"/>
    <col min="12" max="14" width="10.33203125" style="407" customWidth="1"/>
    <col min="15" max="15" width="10.33203125" style="417" bestFit="1" customWidth="1"/>
    <col min="16" max="18" width="10.33203125" style="407" customWidth="1"/>
    <col min="19" max="19" width="9.33203125" style="417" bestFit="1" customWidth="1"/>
    <col min="20" max="20" width="9.33203125" style="734" customWidth="1"/>
    <col min="21" max="21" width="8.77734375" style="407"/>
    <col min="22" max="22" width="15.44140625" style="407" hidden="1" customWidth="1"/>
    <col min="23" max="23" width="21.77734375" style="407" hidden="1" customWidth="1"/>
    <col min="24" max="36" width="0" style="407" hidden="1" customWidth="1"/>
    <col min="37" max="16384" width="8.77734375" style="407"/>
  </cols>
  <sheetData>
    <row r="1" spans="1:36" ht="22.5" customHeight="1" thickBot="1">
      <c r="A1" s="107" t="s">
        <v>1</v>
      </c>
      <c r="B1" s="1365"/>
      <c r="C1" s="1365"/>
      <c r="D1" s="1365"/>
      <c r="E1" s="1365"/>
      <c r="F1" s="1365"/>
      <c r="G1" s="443"/>
      <c r="H1" s="1365"/>
      <c r="I1" s="1365"/>
      <c r="J1" s="1365"/>
      <c r="K1" s="443"/>
      <c r="L1" s="1365"/>
      <c r="M1" s="1365"/>
      <c r="N1" s="1365"/>
      <c r="P1" s="1365"/>
      <c r="Q1" s="1365"/>
      <c r="R1" s="1365"/>
      <c r="U1" s="1365"/>
      <c r="V1" s="1365"/>
      <c r="W1" s="1365"/>
      <c r="X1" s="1365"/>
      <c r="Y1" s="1365"/>
      <c r="Z1" s="1365"/>
      <c r="AA1" s="1365"/>
      <c r="AB1" s="1365"/>
      <c r="AC1" s="1365"/>
      <c r="AD1" s="1365"/>
      <c r="AE1" s="1365"/>
      <c r="AF1" s="1365"/>
      <c r="AG1" s="1365"/>
      <c r="AH1" s="1365"/>
      <c r="AI1" s="1365"/>
      <c r="AJ1" s="1365"/>
    </row>
    <row r="2" spans="1:36" s="408" customFormat="1" ht="24" thickBot="1">
      <c r="B2" s="1509" t="s">
        <v>956</v>
      </c>
      <c r="C2" s="1510"/>
      <c r="D2" s="1510"/>
      <c r="E2" s="1510"/>
      <c r="F2" s="1510"/>
      <c r="G2" s="1510"/>
      <c r="H2" s="1510"/>
      <c r="I2" s="1510"/>
      <c r="J2" s="1510"/>
      <c r="K2" s="1510"/>
      <c r="L2" s="1510"/>
      <c r="M2" s="1510"/>
      <c r="N2" s="1510"/>
      <c r="O2" s="1510"/>
      <c r="P2" s="1510"/>
      <c r="Q2" s="1510"/>
      <c r="R2" s="1510"/>
      <c r="S2" s="1510"/>
      <c r="T2" s="1511"/>
      <c r="Y2" s="1365"/>
      <c r="Z2" s="1365"/>
    </row>
    <row r="3" spans="1:36" s="409" customFormat="1" ht="21" customHeight="1" thickBot="1">
      <c r="B3" s="1659" t="s">
        <v>502</v>
      </c>
      <c r="C3" s="1665"/>
      <c r="D3" s="1664" t="s">
        <v>258</v>
      </c>
      <c r="E3" s="1660"/>
      <c r="F3" s="1660"/>
      <c r="G3" s="1661"/>
      <c r="H3" s="1659" t="s">
        <v>262</v>
      </c>
      <c r="I3" s="1660"/>
      <c r="J3" s="1660"/>
      <c r="K3" s="1661"/>
      <c r="L3" s="1659" t="s">
        <v>266</v>
      </c>
      <c r="M3" s="1660"/>
      <c r="N3" s="1660"/>
      <c r="O3" s="1661"/>
      <c r="P3" s="1659" t="s">
        <v>270</v>
      </c>
      <c r="Q3" s="1660"/>
      <c r="R3" s="1660"/>
      <c r="S3" s="1661"/>
      <c r="T3" s="1662" t="s">
        <v>503</v>
      </c>
      <c r="Y3" s="1365"/>
      <c r="Z3" s="1365"/>
    </row>
    <row r="4" spans="1:36" s="409" customFormat="1" ht="33" customHeight="1" thickBot="1">
      <c r="B4" s="396"/>
      <c r="C4" s="396"/>
      <c r="D4" s="398" t="s">
        <v>255</v>
      </c>
      <c r="E4" s="399" t="s">
        <v>256</v>
      </c>
      <c r="F4" s="399" t="s">
        <v>257</v>
      </c>
      <c r="G4" s="401" t="s">
        <v>504</v>
      </c>
      <c r="H4" s="398" t="s">
        <v>259</v>
      </c>
      <c r="I4" s="399" t="s">
        <v>260</v>
      </c>
      <c r="J4" s="399" t="s">
        <v>263</v>
      </c>
      <c r="K4" s="401" t="s">
        <v>505</v>
      </c>
      <c r="L4" s="398" t="s">
        <v>263</v>
      </c>
      <c r="M4" s="399" t="s">
        <v>264</v>
      </c>
      <c r="N4" s="399" t="s">
        <v>506</v>
      </c>
      <c r="O4" s="401" t="s">
        <v>507</v>
      </c>
      <c r="P4" s="398" t="s">
        <v>267</v>
      </c>
      <c r="Q4" s="399" t="s">
        <v>268</v>
      </c>
      <c r="R4" s="399" t="s">
        <v>269</v>
      </c>
      <c r="S4" s="400" t="s">
        <v>508</v>
      </c>
      <c r="T4" s="1663"/>
      <c r="Y4" s="1365"/>
      <c r="Z4" s="1365"/>
    </row>
    <row r="5" spans="1:36" ht="31.5" customHeight="1" thickBot="1">
      <c r="A5" s="1365"/>
      <c r="B5" s="144"/>
      <c r="C5" s="1668" t="s">
        <v>510</v>
      </c>
      <c r="D5" s="1669"/>
      <c r="E5" s="1669"/>
      <c r="F5" s="1669"/>
      <c r="G5" s="1669"/>
      <c r="H5" s="1669"/>
      <c r="I5" s="1669"/>
      <c r="J5" s="1669"/>
      <c r="K5" s="1669"/>
      <c r="L5" s="1669"/>
      <c r="M5" s="1669"/>
      <c r="N5" s="1669"/>
      <c r="O5" s="1669"/>
      <c r="P5" s="1669"/>
      <c r="Q5" s="1669"/>
      <c r="R5" s="1669"/>
      <c r="S5" s="1669"/>
      <c r="T5" s="1670"/>
      <c r="U5" s="1365"/>
      <c r="V5" s="1653" t="s">
        <v>957</v>
      </c>
      <c r="W5" s="1654"/>
      <c r="X5" s="1654"/>
      <c r="Y5" s="1654"/>
      <c r="Z5" s="1654"/>
      <c r="AA5" s="1654"/>
      <c r="AB5" s="1654"/>
      <c r="AC5" s="1654"/>
      <c r="AD5" s="1654"/>
      <c r="AE5" s="1654"/>
      <c r="AF5" s="1654"/>
      <c r="AG5" s="1654"/>
      <c r="AH5" s="1654"/>
      <c r="AI5" s="1654"/>
      <c r="AJ5" s="1655"/>
    </row>
    <row r="6" spans="1:36" ht="15.75" thickBot="1">
      <c r="A6" s="1365"/>
      <c r="B6" s="1536" t="s">
        <v>515</v>
      </c>
      <c r="C6" s="144" t="s">
        <v>57</v>
      </c>
      <c r="D6" s="413">
        <v>3</v>
      </c>
      <c r="E6" s="413">
        <v>3</v>
      </c>
      <c r="F6" s="413">
        <v>4</v>
      </c>
      <c r="G6" s="414">
        <f t="shared" ref="G6:G18" si="0">E85*0.0015/3</f>
        <v>9.8020000000000014</v>
      </c>
      <c r="H6" s="413">
        <v>6</v>
      </c>
      <c r="I6" s="413">
        <f>K6/3</f>
        <v>6.5346666666666673</v>
      </c>
      <c r="J6" s="413">
        <f>K6/3</f>
        <v>6.5346666666666673</v>
      </c>
      <c r="K6" s="414">
        <f t="shared" ref="K6:K19" si="1">E85*0.003/3</f>
        <v>19.604000000000003</v>
      </c>
      <c r="L6" s="413">
        <v>6</v>
      </c>
      <c r="M6" s="413">
        <f>O6/3</f>
        <v>5.445555555555555</v>
      </c>
      <c r="N6" s="413">
        <f>O6/3</f>
        <v>5.445555555555555</v>
      </c>
      <c r="O6" s="414">
        <f t="shared" ref="O6:O19" si="2">E85*0.0025/3</f>
        <v>16.336666666666666</v>
      </c>
      <c r="P6" s="413">
        <v>5</v>
      </c>
      <c r="Q6" s="413">
        <f>S6/3</f>
        <v>4.3564444444444446</v>
      </c>
      <c r="R6" s="413">
        <f>S6-P6-Q6</f>
        <v>3.7128888888888882</v>
      </c>
      <c r="S6" s="414">
        <f t="shared" ref="S6:S19" si="3">E85*0.002/3</f>
        <v>13.069333333333333</v>
      </c>
      <c r="T6" s="735">
        <f t="shared" ref="T6:T21" si="4">SUM(G6,K6,O6,S6)</f>
        <v>58.812000000000005</v>
      </c>
      <c r="U6" s="1365"/>
      <c r="V6" s="707" t="s">
        <v>511</v>
      </c>
      <c r="W6" s="478"/>
      <c r="X6" s="360">
        <v>1</v>
      </c>
      <c r="Y6" s="360">
        <v>2</v>
      </c>
      <c r="Z6" s="360">
        <v>3</v>
      </c>
      <c r="AA6" s="360">
        <v>4</v>
      </c>
      <c r="AB6" s="360">
        <v>5</v>
      </c>
      <c r="AC6" s="360">
        <v>6</v>
      </c>
      <c r="AD6" s="360">
        <v>7</v>
      </c>
      <c r="AE6" s="360">
        <v>8</v>
      </c>
      <c r="AF6" s="360">
        <v>9</v>
      </c>
      <c r="AG6" s="360">
        <v>10</v>
      </c>
      <c r="AH6" s="360">
        <v>11</v>
      </c>
      <c r="AI6" s="361">
        <v>12</v>
      </c>
      <c r="AJ6" s="358" t="s">
        <v>512</v>
      </c>
    </row>
    <row r="7" spans="1:36">
      <c r="A7" s="1365"/>
      <c r="B7" s="1536"/>
      <c r="C7" s="144" t="s">
        <v>56</v>
      </c>
      <c r="D7" s="413">
        <v>5</v>
      </c>
      <c r="E7" s="413">
        <v>5</v>
      </c>
      <c r="F7" s="413">
        <v>5</v>
      </c>
      <c r="G7" s="414">
        <f t="shared" si="0"/>
        <v>14.775</v>
      </c>
      <c r="H7" s="413">
        <f t="shared" ref="H7:H19" si="5">K7/3</f>
        <v>9.85</v>
      </c>
      <c r="I7" s="413">
        <f t="shared" ref="I7:I19" si="6">K7/3</f>
        <v>9.85</v>
      </c>
      <c r="J7" s="413">
        <f t="shared" ref="J7:J19" si="7">K7/3</f>
        <v>9.85</v>
      </c>
      <c r="K7" s="414">
        <f t="shared" si="1"/>
        <v>29.55</v>
      </c>
      <c r="L7" s="413">
        <v>9</v>
      </c>
      <c r="M7" s="413">
        <f t="shared" ref="M7:M19" si="8">O7/3</f>
        <v>8.2083333333333339</v>
      </c>
      <c r="N7" s="413">
        <f t="shared" ref="N7:N19" si="9">O7/3</f>
        <v>8.2083333333333339</v>
      </c>
      <c r="O7" s="414">
        <f t="shared" si="2"/>
        <v>24.625</v>
      </c>
      <c r="P7" s="413">
        <v>6</v>
      </c>
      <c r="Q7" s="413">
        <f t="shared" ref="Q7:Q19" si="10">S7/3</f>
        <v>6.5666666666666664</v>
      </c>
      <c r="R7" s="413">
        <f t="shared" ref="R7:R19" si="11">S7-P7-Q7</f>
        <v>7.1333333333333329</v>
      </c>
      <c r="S7" s="414">
        <f t="shared" si="3"/>
        <v>19.7</v>
      </c>
      <c r="T7" s="735">
        <f t="shared" si="4"/>
        <v>88.65</v>
      </c>
      <c r="U7" s="1365"/>
      <c r="V7" s="1656" t="s">
        <v>516</v>
      </c>
      <c r="W7" s="702" t="s">
        <v>271</v>
      </c>
      <c r="X7" s="492">
        <f t="shared" ref="X7:Z8" si="12">ROUND(D20,0)+ROUND(D56,0)</f>
        <v>111</v>
      </c>
      <c r="Y7" s="492">
        <f t="shared" si="12"/>
        <v>112</v>
      </c>
      <c r="Z7" s="492">
        <f t="shared" si="12"/>
        <v>120</v>
      </c>
      <c r="AA7" s="492">
        <f>ROUND(H20,0)+ROUND(H56,0)</f>
        <v>212</v>
      </c>
      <c r="AB7" s="492">
        <f>ROUND(I20,0)+ROUND(I56,0)</f>
        <v>212</v>
      </c>
      <c r="AC7" s="492">
        <f>ROUND(J20,0)+ROUND(J56,0)</f>
        <v>213</v>
      </c>
      <c r="AD7" s="492">
        <f t="shared" ref="AD7:AF8" si="13">ROUND(L20,0)+ROUND(L56,0)</f>
        <v>181</v>
      </c>
      <c r="AE7" s="492">
        <f t="shared" si="13"/>
        <v>181</v>
      </c>
      <c r="AF7" s="492">
        <f t="shared" si="13"/>
        <v>173</v>
      </c>
      <c r="AG7" s="492">
        <f t="shared" ref="AG7:AI8" si="14">ROUND(P20,0)+ROUND(P56,0)</f>
        <v>152</v>
      </c>
      <c r="AH7" s="492">
        <f t="shared" si="14"/>
        <v>149</v>
      </c>
      <c r="AI7" s="492">
        <f t="shared" si="14"/>
        <v>146</v>
      </c>
      <c r="AJ7" s="490">
        <f t="shared" ref="AJ7:AJ15" si="15">SUM(X7:AI7)</f>
        <v>1962</v>
      </c>
    </row>
    <row r="8" spans="1:36">
      <c r="A8" s="1365"/>
      <c r="B8" s="1536"/>
      <c r="C8" s="144" t="s">
        <v>58</v>
      </c>
      <c r="D8" s="413">
        <v>3</v>
      </c>
      <c r="E8" s="413">
        <v>3</v>
      </c>
      <c r="F8" s="413">
        <v>4</v>
      </c>
      <c r="G8" s="414">
        <f t="shared" si="0"/>
        <v>10</v>
      </c>
      <c r="H8" s="413">
        <v>6</v>
      </c>
      <c r="I8" s="413">
        <f t="shared" si="6"/>
        <v>6.666666666666667</v>
      </c>
      <c r="J8" s="413">
        <f t="shared" si="7"/>
        <v>6.666666666666667</v>
      </c>
      <c r="K8" s="414">
        <f t="shared" si="1"/>
        <v>20</v>
      </c>
      <c r="L8" s="413">
        <v>5</v>
      </c>
      <c r="M8" s="413">
        <f t="shared" si="8"/>
        <v>5.5555555555555562</v>
      </c>
      <c r="N8" s="413">
        <f t="shared" si="9"/>
        <v>5.5555555555555562</v>
      </c>
      <c r="O8" s="414">
        <f t="shared" si="2"/>
        <v>16.666666666666668</v>
      </c>
      <c r="P8" s="413">
        <v>5</v>
      </c>
      <c r="Q8" s="413">
        <f t="shared" si="10"/>
        <v>4.4444444444444446</v>
      </c>
      <c r="R8" s="413">
        <f t="shared" si="11"/>
        <v>3.8888888888888893</v>
      </c>
      <c r="S8" s="414">
        <f t="shared" si="3"/>
        <v>13.333333333333334</v>
      </c>
      <c r="T8" s="735">
        <f t="shared" si="4"/>
        <v>60.000000000000007</v>
      </c>
      <c r="U8" s="1365"/>
      <c r="V8" s="1657"/>
      <c r="W8" s="703" t="s">
        <v>517</v>
      </c>
      <c r="X8" s="493">
        <f t="shared" si="12"/>
        <v>2</v>
      </c>
      <c r="Y8" s="493">
        <f t="shared" si="12"/>
        <v>3</v>
      </c>
      <c r="Z8" s="493">
        <f t="shared" si="12"/>
        <v>2</v>
      </c>
      <c r="AA8" s="493">
        <f>ROUND(F21,0)+ROUND(F57,0)</f>
        <v>2</v>
      </c>
      <c r="AB8" s="493">
        <f>ROUND(G21,0)+ROUND(G57,0)</f>
        <v>7</v>
      </c>
      <c r="AC8" s="493">
        <f>ROUND(H21,0)+ROUND(H57,0)</f>
        <v>7</v>
      </c>
      <c r="AD8" s="52">
        <f t="shared" si="13"/>
        <v>6</v>
      </c>
      <c r="AE8" s="52">
        <f t="shared" si="13"/>
        <v>6</v>
      </c>
      <c r="AF8" s="52">
        <f t="shared" si="13"/>
        <v>6</v>
      </c>
      <c r="AG8" s="52">
        <f t="shared" si="14"/>
        <v>5</v>
      </c>
      <c r="AH8" s="52">
        <f t="shared" si="14"/>
        <v>5</v>
      </c>
      <c r="AI8" s="52">
        <f t="shared" si="14"/>
        <v>5</v>
      </c>
      <c r="AJ8" s="29">
        <f t="shared" si="15"/>
        <v>56</v>
      </c>
    </row>
    <row r="9" spans="1:36" ht="15" thickBot="1">
      <c r="A9" s="1365"/>
      <c r="B9" s="1536"/>
      <c r="C9" s="144" t="s">
        <v>59</v>
      </c>
      <c r="D9" s="413">
        <v>1</v>
      </c>
      <c r="E9" s="413">
        <v>1</v>
      </c>
      <c r="F9" s="413">
        <v>2</v>
      </c>
      <c r="G9" s="414">
        <f t="shared" si="0"/>
        <v>5</v>
      </c>
      <c r="H9" s="413">
        <v>4</v>
      </c>
      <c r="I9" s="413">
        <f t="shared" si="6"/>
        <v>3.3333333333333335</v>
      </c>
      <c r="J9" s="413">
        <f t="shared" si="7"/>
        <v>3.3333333333333335</v>
      </c>
      <c r="K9" s="414">
        <f t="shared" si="1"/>
        <v>10</v>
      </c>
      <c r="L9" s="413">
        <v>2</v>
      </c>
      <c r="M9" s="413">
        <f t="shared" si="8"/>
        <v>2.7777777777777781</v>
      </c>
      <c r="N9" s="413">
        <f t="shared" si="9"/>
        <v>2.7777777777777781</v>
      </c>
      <c r="O9" s="414">
        <f t="shared" si="2"/>
        <v>8.3333333333333339</v>
      </c>
      <c r="P9" s="413">
        <v>3</v>
      </c>
      <c r="Q9" s="413">
        <f t="shared" si="10"/>
        <v>2.2222222222222223</v>
      </c>
      <c r="R9" s="413">
        <f t="shared" si="11"/>
        <v>1.4444444444444446</v>
      </c>
      <c r="S9" s="414">
        <f t="shared" si="3"/>
        <v>6.666666666666667</v>
      </c>
      <c r="T9" s="735">
        <f t="shared" si="4"/>
        <v>30.000000000000004</v>
      </c>
      <c r="U9" s="1365"/>
      <c r="V9" s="1658"/>
      <c r="W9" s="704" t="s">
        <v>518</v>
      </c>
      <c r="X9" s="494">
        <f t="shared" ref="X9:AI9" si="16">X7-X8</f>
        <v>109</v>
      </c>
      <c r="Y9" s="494">
        <f t="shared" si="16"/>
        <v>109</v>
      </c>
      <c r="Z9" s="494">
        <f t="shared" si="16"/>
        <v>118</v>
      </c>
      <c r="AA9" s="494">
        <f t="shared" si="16"/>
        <v>210</v>
      </c>
      <c r="AB9" s="494">
        <f t="shared" si="16"/>
        <v>205</v>
      </c>
      <c r="AC9" s="494">
        <f t="shared" si="16"/>
        <v>206</v>
      </c>
      <c r="AD9" s="494">
        <f t="shared" si="16"/>
        <v>175</v>
      </c>
      <c r="AE9" s="494">
        <f t="shared" si="16"/>
        <v>175</v>
      </c>
      <c r="AF9" s="494">
        <f t="shared" si="16"/>
        <v>167</v>
      </c>
      <c r="AG9" s="494">
        <f t="shared" si="16"/>
        <v>147</v>
      </c>
      <c r="AH9" s="494">
        <f t="shared" si="16"/>
        <v>144</v>
      </c>
      <c r="AI9" s="494">
        <f t="shared" si="16"/>
        <v>141</v>
      </c>
      <c r="AJ9" s="30">
        <f t="shared" si="15"/>
        <v>1906</v>
      </c>
    </row>
    <row r="10" spans="1:36" ht="14.25" customHeight="1">
      <c r="A10" s="1365"/>
      <c r="B10" s="1536" t="s">
        <v>520</v>
      </c>
      <c r="C10" s="144" t="s">
        <v>63</v>
      </c>
      <c r="D10" s="413">
        <f>G10/3</f>
        <v>1.1833333333333333</v>
      </c>
      <c r="E10" s="413">
        <f>G10/3</f>
        <v>1.1833333333333333</v>
      </c>
      <c r="F10" s="413">
        <f>G10/3</f>
        <v>1.1833333333333333</v>
      </c>
      <c r="G10" s="414">
        <f t="shared" si="0"/>
        <v>3.5500000000000003</v>
      </c>
      <c r="H10" s="413">
        <v>3</v>
      </c>
      <c r="I10" s="413">
        <f t="shared" si="6"/>
        <v>2.3666666666666667</v>
      </c>
      <c r="J10" s="413">
        <f t="shared" si="7"/>
        <v>2.3666666666666667</v>
      </c>
      <c r="K10" s="414">
        <f t="shared" si="1"/>
        <v>7.1000000000000005</v>
      </c>
      <c r="L10" s="413">
        <f t="shared" ref="L10:L19" si="17">O10/3</f>
        <v>1.9722222222222223</v>
      </c>
      <c r="M10" s="413">
        <f t="shared" si="8"/>
        <v>1.9722222222222223</v>
      </c>
      <c r="N10" s="413">
        <f t="shared" si="9"/>
        <v>1.9722222222222223</v>
      </c>
      <c r="O10" s="414">
        <f t="shared" si="2"/>
        <v>5.916666666666667</v>
      </c>
      <c r="P10" s="413">
        <v>1</v>
      </c>
      <c r="Q10" s="413">
        <f t="shared" si="10"/>
        <v>1.5777777777777777</v>
      </c>
      <c r="R10" s="413">
        <f t="shared" si="11"/>
        <v>2.1555555555555559</v>
      </c>
      <c r="S10" s="414">
        <f t="shared" si="3"/>
        <v>4.7333333333333334</v>
      </c>
      <c r="T10" s="735">
        <f t="shared" si="4"/>
        <v>21.3</v>
      </c>
      <c r="U10" s="1365"/>
      <c r="V10" s="1656" t="s">
        <v>519</v>
      </c>
      <c r="W10" s="702" t="s">
        <v>271</v>
      </c>
      <c r="X10" s="492"/>
      <c r="Y10" s="492"/>
      <c r="Z10" s="492"/>
      <c r="AA10" s="492"/>
      <c r="AB10" s="492"/>
      <c r="AC10" s="492"/>
      <c r="AD10" s="492"/>
      <c r="AE10" s="492"/>
      <c r="AF10" s="492"/>
      <c r="AG10" s="492"/>
      <c r="AH10" s="492"/>
      <c r="AI10" s="492"/>
      <c r="AJ10" s="491">
        <f t="shared" si="15"/>
        <v>0</v>
      </c>
    </row>
    <row r="11" spans="1:36">
      <c r="A11" s="1365"/>
      <c r="B11" s="1536"/>
      <c r="C11" s="144" t="s">
        <v>55</v>
      </c>
      <c r="D11" s="413">
        <v>6</v>
      </c>
      <c r="E11" s="413">
        <v>6</v>
      </c>
      <c r="F11" s="413">
        <v>8</v>
      </c>
      <c r="G11" s="414">
        <f t="shared" si="0"/>
        <v>19.643000000000001</v>
      </c>
      <c r="H11" s="413">
        <f t="shared" si="5"/>
        <v>13.095333333333334</v>
      </c>
      <c r="I11" s="413">
        <f t="shared" si="6"/>
        <v>13.095333333333334</v>
      </c>
      <c r="J11" s="413">
        <f t="shared" si="7"/>
        <v>13.095333333333334</v>
      </c>
      <c r="K11" s="414">
        <f t="shared" si="1"/>
        <v>39.286000000000001</v>
      </c>
      <c r="L11" s="413">
        <f t="shared" si="17"/>
        <v>10.912777777777778</v>
      </c>
      <c r="M11" s="413">
        <f t="shared" si="8"/>
        <v>10.912777777777778</v>
      </c>
      <c r="N11" s="413">
        <f t="shared" si="9"/>
        <v>10.912777777777778</v>
      </c>
      <c r="O11" s="414">
        <f t="shared" si="2"/>
        <v>32.738333333333337</v>
      </c>
      <c r="P11" s="413">
        <v>8</v>
      </c>
      <c r="Q11" s="413">
        <f t="shared" si="10"/>
        <v>8.7302222222222223</v>
      </c>
      <c r="R11" s="413">
        <f t="shared" si="11"/>
        <v>9.4604444444444464</v>
      </c>
      <c r="S11" s="414">
        <f t="shared" si="3"/>
        <v>26.190666666666669</v>
      </c>
      <c r="T11" s="735">
        <f t="shared" si="4"/>
        <v>117.85800000000002</v>
      </c>
      <c r="U11" s="1365"/>
      <c r="V11" s="1657"/>
      <c r="W11" s="703" t="s">
        <v>517</v>
      </c>
      <c r="X11" s="493"/>
      <c r="Y11" s="493"/>
      <c r="Z11" s="493"/>
      <c r="AA11" s="493"/>
      <c r="AB11" s="493"/>
      <c r="AC11" s="493"/>
      <c r="AD11" s="493"/>
      <c r="AE11" s="493"/>
      <c r="AF11" s="493"/>
      <c r="AG11" s="493"/>
      <c r="AH11" s="493"/>
      <c r="AI11" s="493"/>
      <c r="AJ11" s="705">
        <f t="shared" si="15"/>
        <v>0</v>
      </c>
    </row>
    <row r="12" spans="1:36" ht="15" thickBot="1">
      <c r="A12" s="1365"/>
      <c r="B12" s="1536"/>
      <c r="C12" s="144" t="s">
        <v>61</v>
      </c>
      <c r="D12" s="413">
        <v>1</v>
      </c>
      <c r="E12" s="413">
        <v>2</v>
      </c>
      <c r="F12" s="413">
        <v>3</v>
      </c>
      <c r="G12" s="414">
        <f t="shared" si="0"/>
        <v>5.5</v>
      </c>
      <c r="H12" s="413">
        <v>3</v>
      </c>
      <c r="I12" s="413">
        <f t="shared" si="6"/>
        <v>3.6666666666666665</v>
      </c>
      <c r="J12" s="413">
        <f t="shared" si="7"/>
        <v>3.6666666666666665</v>
      </c>
      <c r="K12" s="414">
        <f t="shared" si="1"/>
        <v>11</v>
      </c>
      <c r="L12" s="413">
        <f t="shared" si="17"/>
        <v>3.0555555555555554</v>
      </c>
      <c r="M12" s="413">
        <f t="shared" si="8"/>
        <v>3.0555555555555554</v>
      </c>
      <c r="N12" s="413">
        <f t="shared" si="9"/>
        <v>3.0555555555555554</v>
      </c>
      <c r="O12" s="414">
        <f t="shared" si="2"/>
        <v>9.1666666666666661</v>
      </c>
      <c r="P12" s="413">
        <v>3</v>
      </c>
      <c r="Q12" s="413">
        <f t="shared" si="10"/>
        <v>2.4444444444444442</v>
      </c>
      <c r="R12" s="413">
        <f t="shared" si="11"/>
        <v>1.8888888888888888</v>
      </c>
      <c r="S12" s="414">
        <f t="shared" si="3"/>
        <v>7.333333333333333</v>
      </c>
      <c r="T12" s="735">
        <f t="shared" si="4"/>
        <v>33</v>
      </c>
      <c r="U12" s="1365"/>
      <c r="V12" s="1658"/>
      <c r="W12" s="704" t="s">
        <v>518</v>
      </c>
      <c r="X12" s="494"/>
      <c r="Y12" s="494"/>
      <c r="Z12" s="494"/>
      <c r="AA12" s="494"/>
      <c r="AB12" s="494"/>
      <c r="AC12" s="494"/>
      <c r="AD12" s="494"/>
      <c r="AE12" s="494"/>
      <c r="AF12" s="494"/>
      <c r="AG12" s="494"/>
      <c r="AH12" s="494"/>
      <c r="AI12" s="494"/>
      <c r="AJ12" s="706">
        <f t="shared" si="15"/>
        <v>0</v>
      </c>
    </row>
    <row r="13" spans="1:36">
      <c r="A13" s="1365"/>
      <c r="B13" s="1536"/>
      <c r="C13" s="144" t="s">
        <v>62</v>
      </c>
      <c r="D13" s="413">
        <v>0</v>
      </c>
      <c r="E13" s="413">
        <v>1</v>
      </c>
      <c r="F13" s="413">
        <v>1</v>
      </c>
      <c r="G13" s="414">
        <f t="shared" si="0"/>
        <v>2.3785900000000004</v>
      </c>
      <c r="H13" s="413">
        <v>1</v>
      </c>
      <c r="I13" s="413">
        <f t="shared" si="6"/>
        <v>1.585726666666667</v>
      </c>
      <c r="J13" s="413">
        <f t="shared" si="7"/>
        <v>1.585726666666667</v>
      </c>
      <c r="K13" s="414">
        <f t="shared" si="1"/>
        <v>4.7571800000000009</v>
      </c>
      <c r="L13" s="413">
        <f t="shared" si="17"/>
        <v>1.3214388888888891</v>
      </c>
      <c r="M13" s="413">
        <f t="shared" si="8"/>
        <v>1.3214388888888891</v>
      </c>
      <c r="N13" s="413">
        <v>2</v>
      </c>
      <c r="O13" s="414">
        <f t="shared" si="2"/>
        <v>3.9643166666666669</v>
      </c>
      <c r="P13" s="413">
        <f t="shared" ref="P13:P19" si="18">S13/3</f>
        <v>1.0571511111111112</v>
      </c>
      <c r="Q13" s="413">
        <f t="shared" si="10"/>
        <v>1.0571511111111112</v>
      </c>
      <c r="R13" s="413">
        <f t="shared" si="11"/>
        <v>1.0571511111111112</v>
      </c>
      <c r="S13" s="414">
        <f t="shared" si="3"/>
        <v>3.1714533333333335</v>
      </c>
      <c r="T13" s="735">
        <f t="shared" si="4"/>
        <v>14.271540000000002</v>
      </c>
      <c r="U13" s="1365"/>
      <c r="V13" s="1656" t="s">
        <v>521</v>
      </c>
      <c r="W13" s="702" t="s">
        <v>271</v>
      </c>
      <c r="X13" s="492"/>
      <c r="Y13" s="492"/>
      <c r="Z13" s="492"/>
      <c r="AA13" s="492"/>
      <c r="AB13" s="492"/>
      <c r="AC13" s="492"/>
      <c r="AD13" s="492"/>
      <c r="AE13" s="492"/>
      <c r="AF13" s="492"/>
      <c r="AG13" s="492"/>
      <c r="AH13" s="492"/>
      <c r="AI13" s="492"/>
      <c r="AJ13" s="491">
        <f t="shared" si="15"/>
        <v>0</v>
      </c>
    </row>
    <row r="14" spans="1:36">
      <c r="A14" s="1365"/>
      <c r="B14" s="1536" t="s">
        <v>522</v>
      </c>
      <c r="C14" s="144" t="s">
        <v>66</v>
      </c>
      <c r="D14" s="413">
        <v>0</v>
      </c>
      <c r="E14" s="413">
        <v>0</v>
      </c>
      <c r="F14" s="413">
        <v>1</v>
      </c>
      <c r="G14" s="414">
        <f t="shared" si="0"/>
        <v>0.97052000000000005</v>
      </c>
      <c r="H14" s="413">
        <v>0</v>
      </c>
      <c r="I14" s="413">
        <f t="shared" si="6"/>
        <v>0.64701333333333333</v>
      </c>
      <c r="J14" s="413">
        <f t="shared" si="7"/>
        <v>0.64701333333333333</v>
      </c>
      <c r="K14" s="414">
        <f t="shared" si="1"/>
        <v>1.9410400000000001</v>
      </c>
      <c r="L14" s="413">
        <f t="shared" si="17"/>
        <v>0.53917777777777776</v>
      </c>
      <c r="M14" s="413">
        <f t="shared" si="8"/>
        <v>0.53917777777777776</v>
      </c>
      <c r="N14" s="413">
        <v>0</v>
      </c>
      <c r="O14" s="414">
        <f t="shared" si="2"/>
        <v>1.6175333333333333</v>
      </c>
      <c r="P14" s="413">
        <v>1</v>
      </c>
      <c r="Q14" s="413">
        <f t="shared" si="10"/>
        <v>0.43134222222222224</v>
      </c>
      <c r="R14" s="413">
        <f t="shared" si="11"/>
        <v>-0.13731555555555558</v>
      </c>
      <c r="S14" s="414">
        <f t="shared" si="3"/>
        <v>1.2940266666666667</v>
      </c>
      <c r="T14" s="735">
        <f t="shared" si="4"/>
        <v>5.8231200000000003</v>
      </c>
      <c r="U14" s="1365"/>
      <c r="V14" s="1657"/>
      <c r="W14" s="703" t="s">
        <v>517</v>
      </c>
      <c r="X14" s="52"/>
      <c r="Y14" s="52"/>
      <c r="Z14" s="52"/>
      <c r="AA14" s="493"/>
      <c r="AB14" s="493"/>
      <c r="AC14" s="493"/>
      <c r="AD14" s="493"/>
      <c r="AE14" s="493"/>
      <c r="AF14" s="493"/>
      <c r="AG14" s="493"/>
      <c r="AH14" s="493"/>
      <c r="AI14" s="493"/>
      <c r="AJ14" s="29">
        <f t="shared" si="15"/>
        <v>0</v>
      </c>
    </row>
    <row r="15" spans="1:36" ht="15" thickBot="1">
      <c r="A15" s="1365"/>
      <c r="B15" s="1536"/>
      <c r="C15" s="144" t="s">
        <v>65</v>
      </c>
      <c r="D15" s="413">
        <v>0</v>
      </c>
      <c r="E15" s="413">
        <v>0</v>
      </c>
      <c r="F15" s="413">
        <v>1</v>
      </c>
      <c r="G15" s="414">
        <f t="shared" si="0"/>
        <v>1.25</v>
      </c>
      <c r="H15" s="413">
        <f t="shared" si="5"/>
        <v>0.83333333333333337</v>
      </c>
      <c r="I15" s="413">
        <f t="shared" si="6"/>
        <v>0.83333333333333337</v>
      </c>
      <c r="J15" s="413">
        <f t="shared" si="7"/>
        <v>0.83333333333333337</v>
      </c>
      <c r="K15" s="414">
        <f t="shared" si="1"/>
        <v>2.5</v>
      </c>
      <c r="L15" s="413">
        <f t="shared" si="17"/>
        <v>0.69444444444444453</v>
      </c>
      <c r="M15" s="413">
        <f t="shared" si="8"/>
        <v>0.69444444444444453</v>
      </c>
      <c r="N15" s="413">
        <v>0</v>
      </c>
      <c r="O15" s="414">
        <f t="shared" si="2"/>
        <v>2.0833333333333335</v>
      </c>
      <c r="P15" s="413">
        <v>0</v>
      </c>
      <c r="Q15" s="413">
        <f t="shared" si="10"/>
        <v>0.55555555555555558</v>
      </c>
      <c r="R15" s="413">
        <f t="shared" si="11"/>
        <v>1.1111111111111112</v>
      </c>
      <c r="S15" s="414">
        <f t="shared" si="3"/>
        <v>1.6666666666666667</v>
      </c>
      <c r="T15" s="735">
        <f t="shared" si="4"/>
        <v>7.5000000000000009</v>
      </c>
      <c r="U15" s="1365"/>
      <c r="V15" s="1658"/>
      <c r="W15" s="704" t="s">
        <v>518</v>
      </c>
      <c r="X15" s="494"/>
      <c r="Y15" s="494"/>
      <c r="Z15" s="494"/>
      <c r="AA15" s="494"/>
      <c r="AB15" s="494"/>
      <c r="AC15" s="494"/>
      <c r="AD15" s="494"/>
      <c r="AE15" s="494"/>
      <c r="AF15" s="494"/>
      <c r="AG15" s="494"/>
      <c r="AH15" s="494"/>
      <c r="AI15" s="494"/>
      <c r="AJ15" s="30">
        <f t="shared" si="15"/>
        <v>0</v>
      </c>
    </row>
    <row r="16" spans="1:36">
      <c r="A16" s="1365"/>
      <c r="B16" s="1536"/>
      <c r="C16" s="144" t="s">
        <v>67</v>
      </c>
      <c r="D16" s="413">
        <v>1</v>
      </c>
      <c r="E16" s="413">
        <v>1</v>
      </c>
      <c r="F16" s="413">
        <f>G16/3</f>
        <v>1.0266666666666666</v>
      </c>
      <c r="G16" s="414">
        <f t="shared" si="0"/>
        <v>3.08</v>
      </c>
      <c r="H16" s="413">
        <f t="shared" si="5"/>
        <v>2.0533333333333332</v>
      </c>
      <c r="I16" s="413">
        <f t="shared" si="6"/>
        <v>2.0533333333333332</v>
      </c>
      <c r="J16" s="413">
        <f t="shared" si="7"/>
        <v>2.0533333333333332</v>
      </c>
      <c r="K16" s="414">
        <f t="shared" si="1"/>
        <v>6.16</v>
      </c>
      <c r="L16" s="413">
        <f t="shared" si="17"/>
        <v>1.7111111111111112</v>
      </c>
      <c r="M16" s="413">
        <f t="shared" si="8"/>
        <v>1.7111111111111112</v>
      </c>
      <c r="N16" s="413">
        <v>1</v>
      </c>
      <c r="O16" s="414">
        <f t="shared" si="2"/>
        <v>5.1333333333333337</v>
      </c>
      <c r="P16" s="413">
        <v>2</v>
      </c>
      <c r="Q16" s="413">
        <f t="shared" si="10"/>
        <v>1.3688888888888888</v>
      </c>
      <c r="R16" s="413">
        <f t="shared" si="11"/>
        <v>0.73777777777777764</v>
      </c>
      <c r="S16" s="414">
        <f t="shared" si="3"/>
        <v>4.1066666666666665</v>
      </c>
      <c r="T16" s="735">
        <f t="shared" si="4"/>
        <v>18.48</v>
      </c>
      <c r="U16" s="1365"/>
      <c r="V16" s="1365"/>
      <c r="W16" s="1365"/>
      <c r="X16" s="1365"/>
      <c r="Y16" s="1365"/>
      <c r="Z16" s="1365"/>
      <c r="AA16" s="1365"/>
      <c r="AB16" s="1365"/>
      <c r="AC16" s="1365"/>
      <c r="AD16" s="1365"/>
      <c r="AE16" s="1365"/>
      <c r="AF16" s="1365"/>
      <c r="AG16" s="1365"/>
      <c r="AH16" s="1365"/>
      <c r="AI16" s="1365"/>
      <c r="AJ16" s="1365"/>
    </row>
    <row r="17" spans="2:36">
      <c r="B17" s="1536"/>
      <c r="C17" s="144" t="s">
        <v>64</v>
      </c>
      <c r="D17" s="413">
        <v>1</v>
      </c>
      <c r="E17" s="413">
        <v>0</v>
      </c>
      <c r="F17" s="413">
        <v>1</v>
      </c>
      <c r="G17" s="414">
        <f t="shared" si="0"/>
        <v>2.08</v>
      </c>
      <c r="H17" s="413">
        <v>2</v>
      </c>
      <c r="I17" s="413">
        <f t="shared" si="6"/>
        <v>1.3866666666666667</v>
      </c>
      <c r="J17" s="413">
        <f t="shared" si="7"/>
        <v>1.3866666666666667</v>
      </c>
      <c r="K17" s="414">
        <f t="shared" si="1"/>
        <v>4.16</v>
      </c>
      <c r="L17" s="413">
        <f t="shared" si="17"/>
        <v>1.1555555555555557</v>
      </c>
      <c r="M17" s="413">
        <f t="shared" si="8"/>
        <v>1.1555555555555557</v>
      </c>
      <c r="N17" s="413">
        <f t="shared" si="9"/>
        <v>1.1555555555555557</v>
      </c>
      <c r="O17" s="414">
        <f t="shared" si="2"/>
        <v>3.4666666666666668</v>
      </c>
      <c r="P17" s="413">
        <f t="shared" si="18"/>
        <v>0.92444444444444451</v>
      </c>
      <c r="Q17" s="413">
        <f t="shared" si="10"/>
        <v>0.92444444444444451</v>
      </c>
      <c r="R17" s="413">
        <f t="shared" si="11"/>
        <v>0.92444444444444429</v>
      </c>
      <c r="S17" s="414">
        <f t="shared" si="3"/>
        <v>2.7733333333333334</v>
      </c>
      <c r="T17" s="735">
        <f t="shared" si="4"/>
        <v>12.48</v>
      </c>
      <c r="U17" s="1365"/>
      <c r="V17" s="1365"/>
      <c r="W17" s="1365"/>
      <c r="X17" s="1365"/>
      <c r="Y17" s="1365"/>
      <c r="Z17" s="1365"/>
      <c r="AA17" s="1365"/>
      <c r="AB17" s="1365"/>
      <c r="AC17" s="1365"/>
      <c r="AD17" s="1365"/>
      <c r="AE17" s="1365"/>
      <c r="AF17" s="1365"/>
      <c r="AG17" s="1365"/>
      <c r="AH17" s="1365"/>
      <c r="AI17" s="1365"/>
      <c r="AJ17" s="1365"/>
    </row>
    <row r="18" spans="2:36">
      <c r="B18" s="1536"/>
      <c r="C18" s="144" t="s">
        <v>60</v>
      </c>
      <c r="D18" s="413">
        <v>1</v>
      </c>
      <c r="E18" s="413">
        <v>2</v>
      </c>
      <c r="F18" s="413">
        <v>2</v>
      </c>
      <c r="G18" s="414">
        <f t="shared" si="0"/>
        <v>5</v>
      </c>
      <c r="H18" s="413">
        <v>4</v>
      </c>
      <c r="I18" s="413">
        <f t="shared" si="6"/>
        <v>3.3333333333333335</v>
      </c>
      <c r="J18" s="413">
        <f t="shared" si="7"/>
        <v>3.3333333333333335</v>
      </c>
      <c r="K18" s="414">
        <f t="shared" si="1"/>
        <v>10</v>
      </c>
      <c r="L18" s="413">
        <f t="shared" si="17"/>
        <v>2.7777777777777781</v>
      </c>
      <c r="M18" s="413">
        <f t="shared" si="8"/>
        <v>2.7777777777777781</v>
      </c>
      <c r="N18" s="413">
        <v>2</v>
      </c>
      <c r="O18" s="414">
        <f t="shared" si="2"/>
        <v>8.3333333333333339</v>
      </c>
      <c r="P18" s="413">
        <v>4</v>
      </c>
      <c r="Q18" s="413">
        <f t="shared" si="10"/>
        <v>2.2222222222222223</v>
      </c>
      <c r="R18" s="413">
        <v>1</v>
      </c>
      <c r="S18" s="414">
        <f t="shared" si="3"/>
        <v>6.666666666666667</v>
      </c>
      <c r="T18" s="735">
        <f t="shared" si="4"/>
        <v>30.000000000000004</v>
      </c>
      <c r="U18" s="1365"/>
      <c r="V18" s="1365"/>
      <c r="W18" s="1365"/>
      <c r="X18" s="1365"/>
      <c r="Y18" s="1365"/>
      <c r="Z18" s="1365"/>
      <c r="AA18" s="1365"/>
      <c r="AB18" s="1365"/>
      <c r="AC18" s="1365"/>
      <c r="AD18" s="1365"/>
      <c r="AE18" s="1365"/>
      <c r="AF18" s="1365"/>
      <c r="AG18" s="1365"/>
      <c r="AH18" s="1365"/>
      <c r="AI18" s="1365"/>
      <c r="AJ18" s="1365"/>
    </row>
    <row r="19" spans="2:36">
      <c r="B19" s="144" t="s">
        <v>523</v>
      </c>
      <c r="C19" s="144" t="s">
        <v>524</v>
      </c>
      <c r="D19" s="413">
        <v>126</v>
      </c>
      <c r="E19" s="413">
        <v>126</v>
      </c>
      <c r="F19" s="413">
        <v>127</v>
      </c>
      <c r="G19" s="414">
        <f>E98*0.0015/2</f>
        <v>378.54525000000001</v>
      </c>
      <c r="H19" s="413">
        <f t="shared" si="5"/>
        <v>168.24233333333333</v>
      </c>
      <c r="I19" s="413">
        <f t="shared" si="6"/>
        <v>168.24233333333333</v>
      </c>
      <c r="J19" s="413">
        <f t="shared" si="7"/>
        <v>168.24233333333333</v>
      </c>
      <c r="K19" s="414">
        <f t="shared" si="1"/>
        <v>504.72700000000003</v>
      </c>
      <c r="L19" s="413">
        <f t="shared" si="17"/>
        <v>140.20194444444445</v>
      </c>
      <c r="M19" s="413">
        <f t="shared" si="8"/>
        <v>140.20194444444445</v>
      </c>
      <c r="N19" s="413">
        <f t="shared" si="9"/>
        <v>140.20194444444445</v>
      </c>
      <c r="O19" s="414">
        <f t="shared" si="2"/>
        <v>420.60583333333335</v>
      </c>
      <c r="P19" s="413">
        <f t="shared" si="18"/>
        <v>112.16155555555555</v>
      </c>
      <c r="Q19" s="413">
        <f t="shared" si="10"/>
        <v>112.16155555555555</v>
      </c>
      <c r="R19" s="413">
        <f t="shared" si="11"/>
        <v>112.16155555555558</v>
      </c>
      <c r="S19" s="414">
        <f t="shared" si="3"/>
        <v>336.48466666666667</v>
      </c>
      <c r="T19" s="735">
        <f t="shared" si="4"/>
        <v>1640.36275</v>
      </c>
      <c r="U19" s="1365"/>
      <c r="V19" s="1365"/>
      <c r="W19" s="1365"/>
      <c r="X19" s="1365"/>
      <c r="Y19" s="1365"/>
      <c r="Z19" s="1365"/>
      <c r="AA19" s="1365"/>
      <c r="AB19" s="1365"/>
      <c r="AC19" s="1365"/>
      <c r="AD19" s="1365"/>
      <c r="AE19" s="1365"/>
      <c r="AF19" s="1365"/>
      <c r="AG19" s="1365"/>
      <c r="AH19" s="1365"/>
      <c r="AI19" s="1365"/>
      <c r="AJ19" s="1365"/>
    </row>
    <row r="20" spans="2:36" ht="28.5">
      <c r="B20" s="144"/>
      <c r="C20" s="146" t="s">
        <v>525</v>
      </c>
      <c r="D20" s="413">
        <f t="shared" ref="D20:F20" si="19">SUM(D6:D18)-D13</f>
        <v>23.183333333333334</v>
      </c>
      <c r="E20" s="413">
        <f t="shared" si="19"/>
        <v>24.183333333333334</v>
      </c>
      <c r="F20" s="413">
        <f t="shared" si="19"/>
        <v>33.21</v>
      </c>
      <c r="G20" s="414">
        <f>SUM(G6:G18)-G13</f>
        <v>80.650519999999986</v>
      </c>
      <c r="H20" s="413">
        <f t="shared" ref="H20:J20" si="20">SUM(H6:H18)-H13</f>
        <v>53.832000000000008</v>
      </c>
      <c r="I20" s="413">
        <f t="shared" si="20"/>
        <v>53.767013333333338</v>
      </c>
      <c r="J20" s="413">
        <f t="shared" si="20"/>
        <v>53.767013333333338</v>
      </c>
      <c r="K20" s="414">
        <f>SUM(K6:K18)-K13</f>
        <v>161.30103999999997</v>
      </c>
      <c r="L20" s="413">
        <f t="shared" ref="L20:N20" si="21">SUM(L6:L18)-L13</f>
        <v>44.818622222222224</v>
      </c>
      <c r="M20" s="413">
        <f t="shared" si="21"/>
        <v>44.805844444444453</v>
      </c>
      <c r="N20" s="413">
        <f t="shared" si="21"/>
        <v>42.083333333333343</v>
      </c>
      <c r="O20" s="414">
        <f>SUM(O6:O18)-O13</f>
        <v>134.41753333333335</v>
      </c>
      <c r="P20" s="413">
        <f t="shared" ref="P20:R20" si="22">SUM(P6:P18)-P13</f>
        <v>38.924444444444447</v>
      </c>
      <c r="Q20" s="413">
        <f t="shared" si="22"/>
        <v>35.844675555555561</v>
      </c>
      <c r="R20" s="413">
        <f t="shared" si="22"/>
        <v>33.320462222222218</v>
      </c>
      <c r="S20" s="414">
        <f>SUM(S6:S18)-S13</f>
        <v>107.53402666666668</v>
      </c>
      <c r="T20" s="735">
        <f t="shared" si="4"/>
        <v>483.90312000000006</v>
      </c>
      <c r="U20" s="1365"/>
      <c r="V20" s="1365"/>
      <c r="W20" s="415"/>
      <c r="X20" s="1365"/>
      <c r="Y20" s="1365"/>
      <c r="Z20" s="1365"/>
      <c r="AA20" s="1365"/>
      <c r="AB20" s="1365"/>
      <c r="AC20" s="1365"/>
      <c r="AD20" s="1365"/>
      <c r="AE20" s="1365"/>
      <c r="AF20" s="1365"/>
      <c r="AG20" s="1365"/>
      <c r="AH20" s="1365"/>
      <c r="AI20" s="1365"/>
      <c r="AJ20" s="1365"/>
    </row>
    <row r="21" spans="2:36" ht="28.5">
      <c r="B21" s="144"/>
      <c r="C21" s="146" t="s">
        <v>526</v>
      </c>
      <c r="D21" s="413">
        <f t="shared" ref="D21:F21" si="23">D13</f>
        <v>0</v>
      </c>
      <c r="E21" s="413">
        <f t="shared" si="23"/>
        <v>1</v>
      </c>
      <c r="F21" s="413">
        <f t="shared" si="23"/>
        <v>1</v>
      </c>
      <c r="G21" s="414">
        <f>G13</f>
        <v>2.3785900000000004</v>
      </c>
      <c r="H21" s="413">
        <f t="shared" ref="H21:J21" si="24">H13</f>
        <v>1</v>
      </c>
      <c r="I21" s="413">
        <f t="shared" si="24"/>
        <v>1.585726666666667</v>
      </c>
      <c r="J21" s="413">
        <f t="shared" si="24"/>
        <v>1.585726666666667</v>
      </c>
      <c r="K21" s="414">
        <f>K13</f>
        <v>4.7571800000000009</v>
      </c>
      <c r="L21" s="413">
        <f t="shared" ref="L21:N21" si="25">L13</f>
        <v>1.3214388888888891</v>
      </c>
      <c r="M21" s="413">
        <f t="shared" si="25"/>
        <v>1.3214388888888891</v>
      </c>
      <c r="N21" s="413">
        <f t="shared" si="25"/>
        <v>2</v>
      </c>
      <c r="O21" s="414">
        <f>O13</f>
        <v>3.9643166666666669</v>
      </c>
      <c r="P21" s="413">
        <f t="shared" ref="P21:R21" si="26">P13</f>
        <v>1.0571511111111112</v>
      </c>
      <c r="Q21" s="413">
        <f t="shared" si="26"/>
        <v>1.0571511111111112</v>
      </c>
      <c r="R21" s="413">
        <f t="shared" si="26"/>
        <v>1.0571511111111112</v>
      </c>
      <c r="S21" s="414">
        <f>S13</f>
        <v>3.1714533333333335</v>
      </c>
      <c r="T21" s="735">
        <f t="shared" si="4"/>
        <v>14.271540000000002</v>
      </c>
      <c r="U21" s="1365"/>
      <c r="V21" s="1365"/>
      <c r="W21" s="415"/>
      <c r="X21" s="1365"/>
      <c r="Y21" s="1365"/>
      <c r="Z21" s="1365"/>
      <c r="AA21" s="1365"/>
      <c r="AB21" s="1365"/>
      <c r="AC21" s="1365"/>
      <c r="AD21" s="1365"/>
      <c r="AE21" s="1365"/>
      <c r="AF21" s="1365"/>
      <c r="AG21" s="1365"/>
      <c r="AH21" s="1365"/>
      <c r="AI21" s="1365"/>
      <c r="AJ21" s="1365"/>
    </row>
    <row r="22" spans="2:36">
      <c r="B22" s="1365"/>
      <c r="C22" s="1365"/>
      <c r="D22" s="1365"/>
      <c r="E22" s="1365"/>
      <c r="F22" s="1365"/>
      <c r="G22" s="418"/>
      <c r="H22" s="415"/>
      <c r="I22" s="415"/>
      <c r="J22" s="415"/>
      <c r="K22" s="418"/>
      <c r="L22" s="415"/>
      <c r="M22" s="415"/>
      <c r="N22" s="415"/>
      <c r="O22" s="418"/>
      <c r="P22" s="415"/>
      <c r="Q22" s="415"/>
      <c r="R22" s="415"/>
      <c r="S22" s="418"/>
      <c r="T22" s="736"/>
      <c r="U22" s="1365"/>
      <c r="V22" s="1365"/>
      <c r="W22" s="415"/>
      <c r="X22" s="1365"/>
      <c r="Y22" s="1365"/>
      <c r="Z22" s="1365"/>
      <c r="AA22" s="1365"/>
      <c r="AB22" s="1365"/>
      <c r="AC22" s="1365"/>
      <c r="AD22" s="1365"/>
      <c r="AE22" s="1365"/>
      <c r="AF22" s="1365"/>
      <c r="AG22" s="1365"/>
      <c r="AH22" s="1365"/>
      <c r="AI22" s="1365"/>
      <c r="AJ22" s="1365"/>
    </row>
    <row r="23" spans="2:36" ht="42" customHeight="1">
      <c r="B23" s="144"/>
      <c r="C23" s="1535" t="s">
        <v>527</v>
      </c>
      <c r="D23" s="1535"/>
      <c r="E23" s="1535"/>
      <c r="F23" s="1535"/>
      <c r="G23" s="1535"/>
      <c r="H23" s="1535"/>
      <c r="I23" s="1535"/>
      <c r="J23" s="1535"/>
      <c r="K23" s="1535"/>
      <c r="L23" s="1535"/>
      <c r="M23" s="1535"/>
      <c r="N23" s="1535"/>
      <c r="O23" s="1535"/>
      <c r="P23" s="1535"/>
      <c r="Q23" s="1535"/>
      <c r="R23" s="1535"/>
      <c r="S23" s="1535"/>
      <c r="T23" s="1535"/>
      <c r="U23" s="1365"/>
      <c r="V23" s="1365"/>
      <c r="W23" s="1365"/>
      <c r="X23" s="1365"/>
      <c r="Y23" s="1365"/>
      <c r="Z23" s="1365"/>
      <c r="AA23" s="1365"/>
      <c r="AB23" s="1365"/>
      <c r="AC23" s="1365"/>
      <c r="AD23" s="1365"/>
      <c r="AE23" s="1365"/>
      <c r="AF23" s="1365"/>
      <c r="AG23" s="1365"/>
      <c r="AH23" s="1365"/>
      <c r="AI23" s="1365"/>
      <c r="AJ23" s="1365"/>
    </row>
    <row r="24" spans="2:36">
      <c r="B24" s="1536" t="s">
        <v>515</v>
      </c>
      <c r="C24" s="144" t="s">
        <v>57</v>
      </c>
      <c r="D24" s="413">
        <f>G24/3</f>
        <v>0.65346666666666675</v>
      </c>
      <c r="E24" s="413">
        <f>G24/3</f>
        <v>0.65346666666666675</v>
      </c>
      <c r="F24" s="413">
        <v>0</v>
      </c>
      <c r="G24" s="414">
        <f t="shared" ref="G24:S37" si="27">G6*0.2</f>
        <v>1.9604000000000004</v>
      </c>
      <c r="H24" s="413">
        <f>K24/3</f>
        <v>1.3069333333333335</v>
      </c>
      <c r="I24" s="413">
        <f>K24/3</f>
        <v>1.3069333333333335</v>
      </c>
      <c r="J24" s="413">
        <v>2</v>
      </c>
      <c r="K24" s="414">
        <f t="shared" si="27"/>
        <v>3.9208000000000007</v>
      </c>
      <c r="L24" s="413">
        <f>O24/3</f>
        <v>1.0891111111111111</v>
      </c>
      <c r="M24" s="413">
        <f>O24/3</f>
        <v>1.0891111111111111</v>
      </c>
      <c r="N24" s="413">
        <f>O24/3</f>
        <v>1.0891111111111111</v>
      </c>
      <c r="O24" s="414">
        <f t="shared" si="27"/>
        <v>3.2673333333333332</v>
      </c>
      <c r="P24" s="413">
        <f>S24/3</f>
        <v>0.87128888888888889</v>
      </c>
      <c r="Q24" s="413">
        <f>S24/3</f>
        <v>0.87128888888888889</v>
      </c>
      <c r="R24" s="413">
        <f>S24/3</f>
        <v>0.87128888888888889</v>
      </c>
      <c r="S24" s="414">
        <f t="shared" si="27"/>
        <v>2.6138666666666666</v>
      </c>
      <c r="T24" s="735">
        <f t="shared" ref="T24:T39" si="28">SUM(G24,K24,O24,S24)</f>
        <v>11.762400000000001</v>
      </c>
      <c r="U24" s="1365"/>
      <c r="V24" s="1365"/>
      <c r="W24" s="1365"/>
      <c r="X24" s="1365"/>
      <c r="Y24" s="1365"/>
      <c r="Z24" s="1365"/>
      <c r="AA24" s="1365"/>
      <c r="AB24" s="1365"/>
      <c r="AC24" s="1365"/>
      <c r="AD24" s="1365"/>
      <c r="AE24" s="1365"/>
      <c r="AF24" s="1365"/>
      <c r="AG24" s="1365"/>
      <c r="AH24" s="1365"/>
      <c r="AI24" s="1365"/>
      <c r="AJ24" s="1365"/>
    </row>
    <row r="25" spans="2:36">
      <c r="B25" s="1536"/>
      <c r="C25" s="144" t="s">
        <v>56</v>
      </c>
      <c r="D25" s="413">
        <f t="shared" ref="D25:D37" si="29">G25/3</f>
        <v>0.98499999999999999</v>
      </c>
      <c r="E25" s="413">
        <f t="shared" ref="E25:E37" si="30">G25/3</f>
        <v>0.98499999999999999</v>
      </c>
      <c r="F25" s="413">
        <f t="shared" ref="F25:F33" si="31">G25/3</f>
        <v>0.98499999999999999</v>
      </c>
      <c r="G25" s="414">
        <f t="shared" si="27"/>
        <v>2.9550000000000001</v>
      </c>
      <c r="H25" s="413">
        <f t="shared" ref="H25:H37" si="32">K25/3</f>
        <v>1.97</v>
      </c>
      <c r="I25" s="413">
        <f t="shared" ref="I25:I37" si="33">K25/3</f>
        <v>1.97</v>
      </c>
      <c r="J25" s="413">
        <f t="shared" ref="J25:J32" si="34">K25/3</f>
        <v>1.97</v>
      </c>
      <c r="K25" s="414">
        <f t="shared" si="27"/>
        <v>5.91</v>
      </c>
      <c r="L25" s="413">
        <f t="shared" ref="L25:L37" si="35">O25/3</f>
        <v>1.6416666666666668</v>
      </c>
      <c r="M25" s="413">
        <f t="shared" ref="M25:M37" si="36">O25/3</f>
        <v>1.6416666666666668</v>
      </c>
      <c r="N25" s="413">
        <v>1</v>
      </c>
      <c r="O25" s="414">
        <f t="shared" si="27"/>
        <v>4.9250000000000007</v>
      </c>
      <c r="P25" s="413">
        <f t="shared" ref="P25:P37" si="37">S25/3</f>
        <v>1.3133333333333332</v>
      </c>
      <c r="Q25" s="413">
        <f t="shared" ref="Q25:Q37" si="38">S25/3</f>
        <v>1.3133333333333332</v>
      </c>
      <c r="R25" s="413">
        <v>2</v>
      </c>
      <c r="S25" s="414">
        <f t="shared" si="27"/>
        <v>3.94</v>
      </c>
      <c r="T25" s="735">
        <f t="shared" si="28"/>
        <v>17.73</v>
      </c>
      <c r="U25" s="1365"/>
      <c r="V25" s="1365"/>
      <c r="W25" s="1365"/>
      <c r="X25" s="1365"/>
      <c r="Y25" s="1365"/>
      <c r="Z25" s="1365"/>
      <c r="AA25" s="1365"/>
      <c r="AB25" s="1365"/>
      <c r="AC25" s="1365"/>
      <c r="AD25" s="1365"/>
      <c r="AE25" s="1365"/>
      <c r="AF25" s="1365"/>
      <c r="AG25" s="1365"/>
      <c r="AH25" s="1365"/>
      <c r="AI25" s="1365"/>
      <c r="AJ25" s="1365"/>
    </row>
    <row r="26" spans="2:36">
      <c r="B26" s="1536"/>
      <c r="C26" s="144" t="s">
        <v>58</v>
      </c>
      <c r="D26" s="413">
        <f t="shared" si="29"/>
        <v>0.66666666666666663</v>
      </c>
      <c r="E26" s="413">
        <f t="shared" si="30"/>
        <v>0.66666666666666663</v>
      </c>
      <c r="F26" s="413">
        <v>0</v>
      </c>
      <c r="G26" s="414">
        <f t="shared" si="27"/>
        <v>2</v>
      </c>
      <c r="H26" s="413">
        <f t="shared" si="32"/>
        <v>1.3333333333333333</v>
      </c>
      <c r="I26" s="413">
        <f t="shared" si="33"/>
        <v>1.3333333333333333</v>
      </c>
      <c r="J26" s="413">
        <v>2</v>
      </c>
      <c r="K26" s="414">
        <f t="shared" si="27"/>
        <v>4</v>
      </c>
      <c r="L26" s="413">
        <f t="shared" si="35"/>
        <v>1.1111111111111114</v>
      </c>
      <c r="M26" s="413">
        <f t="shared" si="36"/>
        <v>1.1111111111111114</v>
      </c>
      <c r="N26" s="413">
        <f t="shared" ref="N26:N37" si="39">O26/3</f>
        <v>1.1111111111111114</v>
      </c>
      <c r="O26" s="414">
        <f t="shared" si="27"/>
        <v>3.3333333333333339</v>
      </c>
      <c r="P26" s="413">
        <f t="shared" si="37"/>
        <v>0.88888888888888895</v>
      </c>
      <c r="Q26" s="413">
        <f t="shared" si="38"/>
        <v>0.88888888888888895</v>
      </c>
      <c r="R26" s="413">
        <v>1</v>
      </c>
      <c r="S26" s="414">
        <f t="shared" si="27"/>
        <v>2.666666666666667</v>
      </c>
      <c r="T26" s="735">
        <f t="shared" si="28"/>
        <v>12</v>
      </c>
      <c r="U26" s="1365"/>
      <c r="V26" s="1365"/>
      <c r="W26" s="1365"/>
      <c r="X26" s="1365"/>
      <c r="Y26" s="1365"/>
      <c r="Z26" s="1365"/>
      <c r="AA26" s="1365"/>
      <c r="AB26" s="1365"/>
      <c r="AC26" s="1365"/>
      <c r="AD26" s="1365"/>
      <c r="AE26" s="1365"/>
      <c r="AF26" s="1365"/>
      <c r="AG26" s="1365"/>
      <c r="AH26" s="1365"/>
      <c r="AI26" s="1365"/>
      <c r="AJ26" s="1365"/>
    </row>
    <row r="27" spans="2:36">
      <c r="B27" s="1536"/>
      <c r="C27" s="144" t="s">
        <v>59</v>
      </c>
      <c r="D27" s="413">
        <f t="shared" si="29"/>
        <v>0.33333333333333331</v>
      </c>
      <c r="E27" s="413">
        <f t="shared" si="30"/>
        <v>0.33333333333333331</v>
      </c>
      <c r="F27" s="413">
        <v>1</v>
      </c>
      <c r="G27" s="414">
        <f t="shared" si="27"/>
        <v>1</v>
      </c>
      <c r="H27" s="413">
        <f t="shared" si="32"/>
        <v>0.66666666666666663</v>
      </c>
      <c r="I27" s="413">
        <f t="shared" si="33"/>
        <v>0.66666666666666663</v>
      </c>
      <c r="J27" s="413">
        <v>0</v>
      </c>
      <c r="K27" s="414">
        <f t="shared" si="27"/>
        <v>2</v>
      </c>
      <c r="L27" s="413">
        <f t="shared" si="35"/>
        <v>0.55555555555555569</v>
      </c>
      <c r="M27" s="413">
        <f t="shared" si="36"/>
        <v>0.55555555555555569</v>
      </c>
      <c r="N27" s="413">
        <v>0</v>
      </c>
      <c r="O27" s="414">
        <f t="shared" si="27"/>
        <v>1.666666666666667</v>
      </c>
      <c r="P27" s="413">
        <f t="shared" si="37"/>
        <v>0.44444444444444448</v>
      </c>
      <c r="Q27" s="413">
        <f t="shared" si="38"/>
        <v>0.44444444444444448</v>
      </c>
      <c r="R27" s="413">
        <v>1</v>
      </c>
      <c r="S27" s="414">
        <f t="shared" si="27"/>
        <v>1.3333333333333335</v>
      </c>
      <c r="T27" s="735">
        <f t="shared" si="28"/>
        <v>6</v>
      </c>
      <c r="U27" s="1365"/>
      <c r="V27" s="1365"/>
      <c r="W27" s="1365"/>
      <c r="X27" s="1365"/>
      <c r="Y27" s="1365"/>
      <c r="Z27" s="1365"/>
      <c r="AA27" s="1365"/>
      <c r="AB27" s="1365"/>
      <c r="AC27" s="1365"/>
      <c r="AD27" s="1365"/>
      <c r="AE27" s="1365"/>
      <c r="AF27" s="1365"/>
      <c r="AG27" s="1365"/>
      <c r="AH27" s="1365"/>
      <c r="AI27" s="1365"/>
      <c r="AJ27" s="1365"/>
    </row>
    <row r="28" spans="2:36">
      <c r="B28" s="1536" t="s">
        <v>520</v>
      </c>
      <c r="C28" s="144" t="s">
        <v>63</v>
      </c>
      <c r="D28" s="413">
        <f t="shared" si="29"/>
        <v>0.23666666666666669</v>
      </c>
      <c r="E28" s="413">
        <f t="shared" si="30"/>
        <v>0.23666666666666669</v>
      </c>
      <c r="F28" s="413">
        <v>1</v>
      </c>
      <c r="G28" s="414">
        <f t="shared" si="27"/>
        <v>0.71000000000000008</v>
      </c>
      <c r="H28" s="413">
        <f t="shared" si="32"/>
        <v>0.47333333333333338</v>
      </c>
      <c r="I28" s="413">
        <f t="shared" si="33"/>
        <v>0.47333333333333338</v>
      </c>
      <c r="J28" s="413">
        <v>1</v>
      </c>
      <c r="K28" s="414">
        <f t="shared" si="27"/>
        <v>1.4200000000000002</v>
      </c>
      <c r="L28" s="413">
        <f t="shared" si="35"/>
        <v>0.39444444444444443</v>
      </c>
      <c r="M28" s="413">
        <f t="shared" si="36"/>
        <v>0.39444444444444443</v>
      </c>
      <c r="N28" s="413">
        <v>1</v>
      </c>
      <c r="O28" s="414">
        <f t="shared" si="27"/>
        <v>1.1833333333333333</v>
      </c>
      <c r="P28" s="413">
        <f t="shared" si="37"/>
        <v>0.31555555555555559</v>
      </c>
      <c r="Q28" s="413">
        <f t="shared" si="38"/>
        <v>0.31555555555555559</v>
      </c>
      <c r="R28" s="413">
        <v>1</v>
      </c>
      <c r="S28" s="414">
        <f t="shared" si="27"/>
        <v>0.94666666666666677</v>
      </c>
      <c r="T28" s="735">
        <f t="shared" si="28"/>
        <v>4.26</v>
      </c>
      <c r="U28" s="1365"/>
      <c r="V28" s="1365"/>
      <c r="W28" s="1365"/>
      <c r="X28" s="1365"/>
      <c r="Y28" s="1365"/>
      <c r="Z28" s="1365"/>
      <c r="AA28" s="1365"/>
      <c r="AB28" s="1365"/>
      <c r="AC28" s="1365"/>
      <c r="AD28" s="1365"/>
      <c r="AE28" s="1365"/>
      <c r="AF28" s="1365"/>
      <c r="AG28" s="1365"/>
      <c r="AH28" s="1365"/>
      <c r="AI28" s="1365"/>
      <c r="AJ28" s="1365"/>
    </row>
    <row r="29" spans="2:36">
      <c r="B29" s="1536"/>
      <c r="C29" s="144" t="s">
        <v>55</v>
      </c>
      <c r="D29" s="413">
        <f t="shared" si="29"/>
        <v>1.3095333333333334</v>
      </c>
      <c r="E29" s="413">
        <f t="shared" si="30"/>
        <v>1.3095333333333334</v>
      </c>
      <c r="F29" s="413">
        <v>2</v>
      </c>
      <c r="G29" s="414">
        <f t="shared" si="27"/>
        <v>3.9286000000000003</v>
      </c>
      <c r="H29" s="413">
        <f t="shared" si="32"/>
        <v>2.6190666666666669</v>
      </c>
      <c r="I29" s="413">
        <f t="shared" si="33"/>
        <v>2.6190666666666669</v>
      </c>
      <c r="J29" s="413">
        <f t="shared" si="34"/>
        <v>2.6190666666666669</v>
      </c>
      <c r="K29" s="414">
        <f t="shared" si="27"/>
        <v>7.8572000000000006</v>
      </c>
      <c r="L29" s="413">
        <f t="shared" si="35"/>
        <v>2.182555555555556</v>
      </c>
      <c r="M29" s="413">
        <f t="shared" si="36"/>
        <v>2.182555555555556</v>
      </c>
      <c r="N29" s="413">
        <v>3</v>
      </c>
      <c r="O29" s="414">
        <f t="shared" si="27"/>
        <v>6.5476666666666681</v>
      </c>
      <c r="P29" s="413">
        <f t="shared" si="37"/>
        <v>1.7460444444444445</v>
      </c>
      <c r="Q29" s="413">
        <f t="shared" si="38"/>
        <v>1.7460444444444445</v>
      </c>
      <c r="R29" s="413">
        <v>1</v>
      </c>
      <c r="S29" s="414">
        <f t="shared" si="27"/>
        <v>5.2381333333333338</v>
      </c>
      <c r="T29" s="735">
        <f t="shared" si="28"/>
        <v>23.571600000000004</v>
      </c>
      <c r="U29" s="1365"/>
      <c r="V29" s="1365"/>
      <c r="W29" s="1365"/>
      <c r="X29" s="1365"/>
      <c r="Y29" s="1365"/>
      <c r="Z29" s="1365"/>
      <c r="AA29" s="1365"/>
      <c r="AB29" s="1365"/>
      <c r="AC29" s="1365"/>
      <c r="AD29" s="1365"/>
      <c r="AE29" s="1365"/>
      <c r="AF29" s="1365"/>
      <c r="AG29" s="1365"/>
      <c r="AH29" s="1365"/>
      <c r="AI29" s="1365"/>
      <c r="AJ29" s="1365"/>
    </row>
    <row r="30" spans="2:36">
      <c r="B30" s="1536"/>
      <c r="C30" s="144" t="s">
        <v>61</v>
      </c>
      <c r="D30" s="413">
        <f t="shared" si="29"/>
        <v>0.3666666666666667</v>
      </c>
      <c r="E30" s="413">
        <f t="shared" si="30"/>
        <v>0.3666666666666667</v>
      </c>
      <c r="F30" s="413">
        <v>1</v>
      </c>
      <c r="G30" s="414">
        <f t="shared" si="27"/>
        <v>1.1000000000000001</v>
      </c>
      <c r="H30" s="413">
        <f t="shared" si="32"/>
        <v>0.73333333333333339</v>
      </c>
      <c r="I30" s="413">
        <f t="shared" si="33"/>
        <v>0.73333333333333339</v>
      </c>
      <c r="J30" s="413">
        <v>0</v>
      </c>
      <c r="K30" s="414">
        <f t="shared" si="27"/>
        <v>2.2000000000000002</v>
      </c>
      <c r="L30" s="413">
        <f t="shared" si="35"/>
        <v>0.61111111111111105</v>
      </c>
      <c r="M30" s="413">
        <f t="shared" si="36"/>
        <v>0.61111111111111105</v>
      </c>
      <c r="N30" s="413">
        <v>0</v>
      </c>
      <c r="O30" s="414">
        <f t="shared" si="27"/>
        <v>1.8333333333333333</v>
      </c>
      <c r="P30" s="413">
        <f t="shared" si="37"/>
        <v>0.48888888888888893</v>
      </c>
      <c r="Q30" s="413">
        <f t="shared" si="38"/>
        <v>0.48888888888888893</v>
      </c>
      <c r="R30" s="413">
        <v>1</v>
      </c>
      <c r="S30" s="414">
        <f t="shared" si="27"/>
        <v>1.4666666666666668</v>
      </c>
      <c r="T30" s="735">
        <f t="shared" si="28"/>
        <v>6.6000000000000005</v>
      </c>
      <c r="U30" s="1365"/>
      <c r="V30" s="1365"/>
      <c r="W30" s="1365"/>
      <c r="X30" s="1365"/>
      <c r="Y30" s="1365"/>
      <c r="Z30" s="1365"/>
      <c r="AA30" s="1365"/>
      <c r="AB30" s="1365"/>
      <c r="AC30" s="1365"/>
      <c r="AD30" s="1365"/>
      <c r="AE30" s="1365"/>
      <c r="AF30" s="1365"/>
      <c r="AG30" s="1365"/>
      <c r="AH30" s="1365"/>
      <c r="AI30" s="1365"/>
      <c r="AJ30" s="1365"/>
    </row>
    <row r="31" spans="2:36">
      <c r="B31" s="1536"/>
      <c r="C31" s="144" t="s">
        <v>62</v>
      </c>
      <c r="D31" s="413">
        <f t="shared" si="29"/>
        <v>0.1585726666666667</v>
      </c>
      <c r="E31" s="413">
        <f t="shared" si="30"/>
        <v>0.1585726666666667</v>
      </c>
      <c r="F31" s="413">
        <v>1</v>
      </c>
      <c r="G31" s="414">
        <f t="shared" si="27"/>
        <v>0.47571800000000009</v>
      </c>
      <c r="H31" s="413">
        <f t="shared" si="32"/>
        <v>0.31714533333333339</v>
      </c>
      <c r="I31" s="413">
        <f t="shared" si="33"/>
        <v>0.31714533333333339</v>
      </c>
      <c r="J31" s="413">
        <v>1</v>
      </c>
      <c r="K31" s="414">
        <f t="shared" si="27"/>
        <v>0.95143600000000017</v>
      </c>
      <c r="L31" s="413">
        <f t="shared" si="35"/>
        <v>0.26428777777777784</v>
      </c>
      <c r="M31" s="413">
        <f t="shared" si="36"/>
        <v>0.26428777777777784</v>
      </c>
      <c r="N31" s="413">
        <v>1</v>
      </c>
      <c r="O31" s="414">
        <f t="shared" si="27"/>
        <v>0.79286333333333348</v>
      </c>
      <c r="P31" s="413">
        <f t="shared" si="37"/>
        <v>0.21143022222222227</v>
      </c>
      <c r="Q31" s="413">
        <f t="shared" si="38"/>
        <v>0.21143022222222227</v>
      </c>
      <c r="R31" s="413">
        <v>1</v>
      </c>
      <c r="S31" s="414">
        <f t="shared" si="27"/>
        <v>0.63429066666666678</v>
      </c>
      <c r="T31" s="735">
        <f t="shared" si="28"/>
        <v>2.8543080000000005</v>
      </c>
      <c r="U31" s="1365"/>
      <c r="V31" s="1365"/>
      <c r="W31" s="1365"/>
      <c r="X31" s="1365"/>
      <c r="Y31" s="1365"/>
      <c r="Z31" s="1365"/>
      <c r="AA31" s="1365"/>
      <c r="AB31" s="1365"/>
      <c r="AC31" s="1365"/>
      <c r="AD31" s="1365"/>
      <c r="AE31" s="1365"/>
      <c r="AF31" s="1365"/>
      <c r="AG31" s="1365"/>
      <c r="AH31" s="1365"/>
      <c r="AI31" s="1365"/>
      <c r="AJ31" s="1365"/>
    </row>
    <row r="32" spans="2:36">
      <c r="B32" s="1536" t="s">
        <v>522</v>
      </c>
      <c r="C32" s="144" t="s">
        <v>66</v>
      </c>
      <c r="D32" s="413">
        <f t="shared" si="29"/>
        <v>6.4701333333333347E-2</v>
      </c>
      <c r="E32" s="413">
        <f t="shared" si="30"/>
        <v>6.4701333333333347E-2</v>
      </c>
      <c r="F32" s="413">
        <f t="shared" si="31"/>
        <v>6.4701333333333347E-2</v>
      </c>
      <c r="G32" s="414">
        <f t="shared" si="27"/>
        <v>0.19410400000000003</v>
      </c>
      <c r="H32" s="413">
        <f t="shared" si="32"/>
        <v>0.12940266666666669</v>
      </c>
      <c r="I32" s="413">
        <f t="shared" si="33"/>
        <v>0.12940266666666669</v>
      </c>
      <c r="J32" s="413">
        <f t="shared" si="34"/>
        <v>0.12940266666666669</v>
      </c>
      <c r="K32" s="414">
        <f t="shared" si="27"/>
        <v>0.38820800000000005</v>
      </c>
      <c r="L32" s="413">
        <f t="shared" si="35"/>
        <v>0.10783555555555556</v>
      </c>
      <c r="M32" s="413">
        <f t="shared" si="36"/>
        <v>0.10783555555555556</v>
      </c>
      <c r="N32" s="413">
        <f t="shared" si="39"/>
        <v>0.10783555555555556</v>
      </c>
      <c r="O32" s="414">
        <f t="shared" si="27"/>
        <v>0.32350666666666666</v>
      </c>
      <c r="P32" s="413">
        <f t="shared" si="37"/>
        <v>8.6268444444444439E-2</v>
      </c>
      <c r="Q32" s="413">
        <f t="shared" si="38"/>
        <v>8.6268444444444439E-2</v>
      </c>
      <c r="R32" s="413">
        <f t="shared" ref="R32:R33" si="40">S32/3</f>
        <v>8.6268444444444439E-2</v>
      </c>
      <c r="S32" s="414">
        <f t="shared" si="27"/>
        <v>0.25880533333333333</v>
      </c>
      <c r="T32" s="735">
        <f t="shared" si="28"/>
        <v>1.1646240000000001</v>
      </c>
      <c r="U32" s="1365"/>
      <c r="V32" s="415"/>
      <c r="W32" s="1365"/>
      <c r="X32" s="1365"/>
      <c r="Y32" s="1365"/>
      <c r="Z32" s="1365"/>
      <c r="AA32" s="1365"/>
      <c r="AB32" s="1365"/>
      <c r="AC32" s="1365"/>
      <c r="AD32" s="1365"/>
      <c r="AE32" s="1365"/>
      <c r="AF32" s="1365"/>
      <c r="AG32" s="1365"/>
      <c r="AH32" s="1365"/>
      <c r="AI32" s="1365"/>
      <c r="AJ32" s="1365"/>
    </row>
    <row r="33" spans="2:22">
      <c r="B33" s="1536"/>
      <c r="C33" s="144" t="s">
        <v>65</v>
      </c>
      <c r="D33" s="413">
        <f t="shared" si="29"/>
        <v>8.3333333333333329E-2</v>
      </c>
      <c r="E33" s="413">
        <f t="shared" si="30"/>
        <v>8.3333333333333329E-2</v>
      </c>
      <c r="F33" s="413">
        <f t="shared" si="31"/>
        <v>8.3333333333333329E-2</v>
      </c>
      <c r="G33" s="414">
        <f t="shared" si="27"/>
        <v>0.25</v>
      </c>
      <c r="H33" s="413">
        <f t="shared" si="32"/>
        <v>0.16666666666666666</v>
      </c>
      <c r="I33" s="413">
        <f t="shared" si="33"/>
        <v>0.16666666666666666</v>
      </c>
      <c r="J33" s="413">
        <v>1</v>
      </c>
      <c r="K33" s="414">
        <f t="shared" si="27"/>
        <v>0.5</v>
      </c>
      <c r="L33" s="413">
        <f t="shared" si="35"/>
        <v>0.13888888888888892</v>
      </c>
      <c r="M33" s="413">
        <f t="shared" si="36"/>
        <v>0.13888888888888892</v>
      </c>
      <c r="N33" s="413">
        <f t="shared" si="39"/>
        <v>0.13888888888888892</v>
      </c>
      <c r="O33" s="414">
        <f t="shared" si="27"/>
        <v>0.41666666666666674</v>
      </c>
      <c r="P33" s="413">
        <f t="shared" si="37"/>
        <v>0.11111111111111112</v>
      </c>
      <c r="Q33" s="413">
        <f t="shared" si="38"/>
        <v>0.11111111111111112</v>
      </c>
      <c r="R33" s="413">
        <f t="shared" si="40"/>
        <v>0.11111111111111112</v>
      </c>
      <c r="S33" s="414">
        <f t="shared" si="27"/>
        <v>0.33333333333333337</v>
      </c>
      <c r="T33" s="735">
        <f t="shared" si="28"/>
        <v>1.5</v>
      </c>
      <c r="U33" s="1365"/>
      <c r="V33" s="415"/>
    </row>
    <row r="34" spans="2:22">
      <c r="B34" s="1536"/>
      <c r="C34" s="144" t="s">
        <v>67</v>
      </c>
      <c r="D34" s="413">
        <f t="shared" si="29"/>
        <v>0.20533333333333337</v>
      </c>
      <c r="E34" s="413">
        <f t="shared" si="30"/>
        <v>0.20533333333333337</v>
      </c>
      <c r="F34" s="413">
        <v>1</v>
      </c>
      <c r="G34" s="414">
        <f t="shared" si="27"/>
        <v>0.6160000000000001</v>
      </c>
      <c r="H34" s="413">
        <f t="shared" si="32"/>
        <v>0.41066666666666674</v>
      </c>
      <c r="I34" s="413">
        <f t="shared" si="33"/>
        <v>0.41066666666666674</v>
      </c>
      <c r="J34" s="413">
        <v>1</v>
      </c>
      <c r="K34" s="414">
        <f t="shared" si="27"/>
        <v>1.2320000000000002</v>
      </c>
      <c r="L34" s="413">
        <f t="shared" si="35"/>
        <v>0.34222222222222226</v>
      </c>
      <c r="M34" s="413">
        <f t="shared" si="36"/>
        <v>0.34222222222222226</v>
      </c>
      <c r="N34" s="413">
        <v>1</v>
      </c>
      <c r="O34" s="414">
        <f t="shared" si="27"/>
        <v>1.0266666666666668</v>
      </c>
      <c r="P34" s="413">
        <f t="shared" si="37"/>
        <v>0.27377777777777779</v>
      </c>
      <c r="Q34" s="413">
        <f t="shared" si="38"/>
        <v>0.27377777777777779</v>
      </c>
      <c r="R34" s="413">
        <v>1</v>
      </c>
      <c r="S34" s="414">
        <f t="shared" si="27"/>
        <v>0.82133333333333336</v>
      </c>
      <c r="T34" s="735">
        <f t="shared" si="28"/>
        <v>3.6960000000000006</v>
      </c>
      <c r="U34" s="1365"/>
      <c r="V34" s="1365"/>
    </row>
    <row r="35" spans="2:22">
      <c r="B35" s="1536"/>
      <c r="C35" s="144" t="s">
        <v>64</v>
      </c>
      <c r="D35" s="413">
        <f t="shared" si="29"/>
        <v>0.13866666666666669</v>
      </c>
      <c r="E35" s="413">
        <f t="shared" si="30"/>
        <v>0.13866666666666669</v>
      </c>
      <c r="F35" s="413">
        <v>0</v>
      </c>
      <c r="G35" s="414">
        <f t="shared" si="27"/>
        <v>0.41600000000000004</v>
      </c>
      <c r="H35" s="413">
        <f t="shared" si="32"/>
        <v>0.27733333333333338</v>
      </c>
      <c r="I35" s="413">
        <f t="shared" si="33"/>
        <v>0.27733333333333338</v>
      </c>
      <c r="J35" s="413">
        <v>1</v>
      </c>
      <c r="K35" s="414">
        <f t="shared" si="27"/>
        <v>0.83200000000000007</v>
      </c>
      <c r="L35" s="413">
        <f t="shared" si="35"/>
        <v>0.23111111111111113</v>
      </c>
      <c r="M35" s="413">
        <f t="shared" si="36"/>
        <v>0.23111111111111113</v>
      </c>
      <c r="N35" s="413">
        <v>1</v>
      </c>
      <c r="O35" s="414">
        <f t="shared" si="27"/>
        <v>0.69333333333333336</v>
      </c>
      <c r="P35" s="413">
        <f t="shared" si="37"/>
        <v>0.18488888888888891</v>
      </c>
      <c r="Q35" s="413">
        <f t="shared" si="38"/>
        <v>0.18488888888888891</v>
      </c>
      <c r="R35" s="413">
        <v>1</v>
      </c>
      <c r="S35" s="414">
        <f t="shared" si="27"/>
        <v>0.55466666666666675</v>
      </c>
      <c r="T35" s="735">
        <f t="shared" si="28"/>
        <v>2.4960000000000004</v>
      </c>
      <c r="U35" s="1365"/>
      <c r="V35" s="1365"/>
    </row>
    <row r="36" spans="2:22">
      <c r="B36" s="1536"/>
      <c r="C36" s="144" t="s">
        <v>60</v>
      </c>
      <c r="D36" s="413">
        <f t="shared" si="29"/>
        <v>0.33333333333333331</v>
      </c>
      <c r="E36" s="413">
        <f t="shared" si="30"/>
        <v>0.33333333333333331</v>
      </c>
      <c r="F36" s="413">
        <v>1</v>
      </c>
      <c r="G36" s="414">
        <f t="shared" si="27"/>
        <v>1</v>
      </c>
      <c r="H36" s="413">
        <f t="shared" si="32"/>
        <v>0.66666666666666663</v>
      </c>
      <c r="I36" s="413">
        <f t="shared" si="33"/>
        <v>0.66666666666666663</v>
      </c>
      <c r="J36" s="413">
        <v>0</v>
      </c>
      <c r="K36" s="414">
        <f t="shared" si="27"/>
        <v>2</v>
      </c>
      <c r="L36" s="413">
        <f t="shared" si="35"/>
        <v>0.55555555555555569</v>
      </c>
      <c r="M36" s="413">
        <f t="shared" si="36"/>
        <v>0.55555555555555569</v>
      </c>
      <c r="N36" s="413">
        <v>0</v>
      </c>
      <c r="O36" s="414">
        <f t="shared" si="27"/>
        <v>1.666666666666667</v>
      </c>
      <c r="P36" s="413">
        <f t="shared" si="37"/>
        <v>0.44444444444444448</v>
      </c>
      <c r="Q36" s="413">
        <f t="shared" si="38"/>
        <v>0.44444444444444448</v>
      </c>
      <c r="R36" s="413">
        <v>1</v>
      </c>
      <c r="S36" s="414">
        <f t="shared" si="27"/>
        <v>1.3333333333333335</v>
      </c>
      <c r="T36" s="735">
        <f t="shared" si="28"/>
        <v>6</v>
      </c>
      <c r="U36" s="1365"/>
      <c r="V36" s="1365"/>
    </row>
    <row r="37" spans="2:22">
      <c r="B37" s="144" t="s">
        <v>523</v>
      </c>
      <c r="C37" s="144" t="s">
        <v>524</v>
      </c>
      <c r="D37" s="413">
        <f t="shared" si="29"/>
        <v>25.236350000000002</v>
      </c>
      <c r="E37" s="413">
        <f t="shared" si="30"/>
        <v>25.236350000000002</v>
      </c>
      <c r="F37" s="413">
        <v>26</v>
      </c>
      <c r="G37" s="414">
        <f t="shared" si="27"/>
        <v>75.709050000000005</v>
      </c>
      <c r="H37" s="413">
        <f t="shared" si="32"/>
        <v>33.648466666666671</v>
      </c>
      <c r="I37" s="413">
        <f t="shared" si="33"/>
        <v>33.648466666666671</v>
      </c>
      <c r="J37" s="413">
        <v>33</v>
      </c>
      <c r="K37" s="414">
        <f t="shared" si="27"/>
        <v>100.94540000000001</v>
      </c>
      <c r="L37" s="413">
        <f t="shared" si="35"/>
        <v>28.040388888888895</v>
      </c>
      <c r="M37" s="413">
        <f t="shared" si="36"/>
        <v>28.040388888888895</v>
      </c>
      <c r="N37" s="413">
        <f t="shared" si="39"/>
        <v>28.040388888888895</v>
      </c>
      <c r="O37" s="414">
        <f t="shared" si="27"/>
        <v>84.121166666666682</v>
      </c>
      <c r="P37" s="413">
        <f t="shared" si="37"/>
        <v>22.432311111111115</v>
      </c>
      <c r="Q37" s="413">
        <f t="shared" si="38"/>
        <v>22.432311111111115</v>
      </c>
      <c r="R37" s="413">
        <v>3</v>
      </c>
      <c r="S37" s="414">
        <f t="shared" si="27"/>
        <v>67.296933333333342</v>
      </c>
      <c r="T37" s="735">
        <f t="shared" si="28"/>
        <v>328.07255000000004</v>
      </c>
      <c r="U37" s="1365"/>
      <c r="V37" s="1365"/>
    </row>
    <row r="38" spans="2:22" ht="28.5">
      <c r="B38" s="144"/>
      <c r="C38" s="146" t="s">
        <v>525</v>
      </c>
      <c r="D38" s="413">
        <f t="shared" ref="D38:F38" si="41">SUM(D24:D36)</f>
        <v>5.5352739999999994</v>
      </c>
      <c r="E38" s="413">
        <f t="shared" si="41"/>
        <v>5.5352739999999994</v>
      </c>
      <c r="F38" s="413">
        <f t="shared" si="41"/>
        <v>9.1330346666666671</v>
      </c>
      <c r="G38" s="414">
        <f>SUM(G24:G36)</f>
        <v>16.605822000000003</v>
      </c>
      <c r="H38" s="413">
        <f t="shared" ref="H38:J38" si="42">SUM(H24:H36)</f>
        <v>11.070547999999999</v>
      </c>
      <c r="I38" s="413">
        <f t="shared" si="42"/>
        <v>11.070547999999999</v>
      </c>
      <c r="J38" s="413">
        <f t="shared" si="42"/>
        <v>13.718469333333335</v>
      </c>
      <c r="K38" s="414">
        <f>SUM(K24:K36)</f>
        <v>33.211644000000007</v>
      </c>
      <c r="L38" s="413">
        <f t="shared" ref="L38:N38" si="43">SUM(L24:L36)</f>
        <v>9.225456666666668</v>
      </c>
      <c r="M38" s="413">
        <f t="shared" si="43"/>
        <v>9.225456666666668</v>
      </c>
      <c r="N38" s="413">
        <f t="shared" si="43"/>
        <v>10.446946666666667</v>
      </c>
      <c r="O38" s="414">
        <f>SUM(O24:O36)</f>
        <v>27.676370000000002</v>
      </c>
      <c r="P38" s="413">
        <f t="shared" ref="P38:R38" si="44">SUM(P24:P36)</f>
        <v>7.3803653333333328</v>
      </c>
      <c r="Q38" s="413">
        <f t="shared" si="44"/>
        <v>7.3803653333333328</v>
      </c>
      <c r="R38" s="413">
        <f t="shared" si="44"/>
        <v>12.068668444444445</v>
      </c>
      <c r="S38" s="414">
        <f>SUM(S24:S36)</f>
        <v>22.141095999999997</v>
      </c>
      <c r="T38" s="735">
        <f t="shared" si="28"/>
        <v>99.63493200000002</v>
      </c>
      <c r="U38" s="1365"/>
      <c r="V38" s="1365"/>
    </row>
    <row r="39" spans="2:22" ht="28.5">
      <c r="B39" s="144"/>
      <c r="C39" s="146" t="s">
        <v>526</v>
      </c>
      <c r="D39" s="413">
        <f t="shared" ref="D39:F39" si="45">D31</f>
        <v>0.1585726666666667</v>
      </c>
      <c r="E39" s="413">
        <f t="shared" si="45"/>
        <v>0.1585726666666667</v>
      </c>
      <c r="F39" s="413">
        <f t="shared" si="45"/>
        <v>1</v>
      </c>
      <c r="G39" s="414">
        <f>G31</f>
        <v>0.47571800000000009</v>
      </c>
      <c r="H39" s="413">
        <f t="shared" ref="H39:J39" si="46">H31</f>
        <v>0.31714533333333339</v>
      </c>
      <c r="I39" s="413">
        <f t="shared" si="46"/>
        <v>0.31714533333333339</v>
      </c>
      <c r="J39" s="413">
        <f t="shared" si="46"/>
        <v>1</v>
      </c>
      <c r="K39" s="414">
        <f>K31</f>
        <v>0.95143600000000017</v>
      </c>
      <c r="L39" s="413">
        <f t="shared" ref="L39:N39" si="47">L31</f>
        <v>0.26428777777777784</v>
      </c>
      <c r="M39" s="413">
        <f t="shared" si="47"/>
        <v>0.26428777777777784</v>
      </c>
      <c r="N39" s="413">
        <f t="shared" si="47"/>
        <v>1</v>
      </c>
      <c r="O39" s="414">
        <f>O31</f>
        <v>0.79286333333333348</v>
      </c>
      <c r="P39" s="413">
        <f t="shared" ref="P39:R39" si="48">P31</f>
        <v>0.21143022222222227</v>
      </c>
      <c r="Q39" s="413">
        <f t="shared" si="48"/>
        <v>0.21143022222222227</v>
      </c>
      <c r="R39" s="413">
        <f t="shared" si="48"/>
        <v>1</v>
      </c>
      <c r="S39" s="414">
        <f>S31</f>
        <v>0.63429066666666678</v>
      </c>
      <c r="T39" s="735">
        <f t="shared" si="28"/>
        <v>2.8543080000000005</v>
      </c>
      <c r="U39" s="1365"/>
      <c r="V39" s="1365"/>
    </row>
    <row r="40" spans="2:22">
      <c r="B40" s="1365"/>
      <c r="C40" s="416"/>
      <c r="D40" s="416"/>
      <c r="E40" s="416"/>
      <c r="F40" s="416"/>
      <c r="G40" s="418"/>
      <c r="H40" s="415"/>
      <c r="I40" s="415"/>
      <c r="J40" s="415"/>
      <c r="K40" s="418"/>
      <c r="L40" s="415"/>
      <c r="M40" s="415"/>
      <c r="N40" s="415"/>
      <c r="O40" s="418"/>
      <c r="P40" s="415"/>
      <c r="Q40" s="415"/>
      <c r="R40" s="415"/>
      <c r="S40" s="418"/>
      <c r="T40" s="736"/>
      <c r="U40" s="1365"/>
      <c r="V40" s="1365"/>
    </row>
    <row r="41" spans="2:22">
      <c r="B41" s="144"/>
      <c r="C41" s="1535" t="s">
        <v>528</v>
      </c>
      <c r="D41" s="1535"/>
      <c r="E41" s="1535"/>
      <c r="F41" s="1535"/>
      <c r="G41" s="1535"/>
      <c r="H41" s="1535"/>
      <c r="I41" s="1535"/>
      <c r="J41" s="1535"/>
      <c r="K41" s="1535"/>
      <c r="L41" s="1535"/>
      <c r="M41" s="1535"/>
      <c r="N41" s="1535"/>
      <c r="O41" s="1535"/>
      <c r="P41" s="1535"/>
      <c r="Q41" s="1535"/>
      <c r="R41" s="1535"/>
      <c r="S41" s="1535"/>
      <c r="T41" s="1535"/>
      <c r="U41" s="1365"/>
      <c r="V41" s="1365"/>
    </row>
    <row r="42" spans="2:22">
      <c r="B42" s="1536" t="s">
        <v>515</v>
      </c>
      <c r="C42" s="144" t="s">
        <v>57</v>
      </c>
      <c r="D42" s="413">
        <f>G42/3</f>
        <v>9.1999999999999993</v>
      </c>
      <c r="E42" s="413">
        <f>G42/3</f>
        <v>9.1999999999999993</v>
      </c>
      <c r="F42" s="413">
        <v>10</v>
      </c>
      <c r="G42" s="414">
        <f t="shared" ref="G42:G55" si="49">N82*0.0001/3</f>
        <v>27.599999999999998</v>
      </c>
      <c r="H42" s="413">
        <f>K42/3</f>
        <v>32.200000000000003</v>
      </c>
      <c r="I42" s="413">
        <f>K42/3</f>
        <v>32.200000000000003</v>
      </c>
      <c r="J42" s="413">
        <v>33</v>
      </c>
      <c r="K42" s="414">
        <f t="shared" ref="K42:K55" si="50">N82*0.00035/3</f>
        <v>96.600000000000009</v>
      </c>
      <c r="L42" s="413">
        <f>O42/3</f>
        <v>27.599999999999998</v>
      </c>
      <c r="M42" s="413">
        <f>O42/3</f>
        <v>27.599999999999998</v>
      </c>
      <c r="N42" s="413">
        <v>27</v>
      </c>
      <c r="O42" s="414">
        <f t="shared" ref="O42:O55" si="51">N82*0.0003/3</f>
        <v>82.8</v>
      </c>
      <c r="P42" s="413">
        <f>S42/3</f>
        <v>23</v>
      </c>
      <c r="Q42" s="413">
        <f>S42/3</f>
        <v>23</v>
      </c>
      <c r="R42" s="413">
        <f>S42/3</f>
        <v>23</v>
      </c>
      <c r="S42" s="414">
        <f t="shared" ref="S42:S55" si="52">N82*0.00025/3</f>
        <v>69</v>
      </c>
      <c r="T42" s="735">
        <f t="shared" ref="T42:T57" si="53">SUM(G42,K42,O42,S42)</f>
        <v>276</v>
      </c>
      <c r="U42" s="1365"/>
      <c r="V42" s="1365"/>
    </row>
    <row r="43" spans="2:22">
      <c r="B43" s="1536"/>
      <c r="C43" s="144" t="s">
        <v>56</v>
      </c>
      <c r="D43" s="413">
        <f t="shared" ref="D43:D55" si="54">G43/3</f>
        <v>9.5572333333333344</v>
      </c>
      <c r="E43" s="413">
        <f t="shared" ref="E43:E55" si="55">G43/3</f>
        <v>9.5572333333333344</v>
      </c>
      <c r="F43" s="413">
        <v>9</v>
      </c>
      <c r="G43" s="414">
        <f t="shared" si="49"/>
        <v>28.671700000000001</v>
      </c>
      <c r="H43" s="413">
        <f t="shared" ref="H43:H55" si="56">K43/3</f>
        <v>33.450316666666666</v>
      </c>
      <c r="I43" s="413">
        <f t="shared" ref="I43:I55" si="57">K43/3</f>
        <v>33.450316666666666</v>
      </c>
      <c r="J43" s="413">
        <v>34</v>
      </c>
      <c r="K43" s="414">
        <f t="shared" si="50"/>
        <v>100.35095</v>
      </c>
      <c r="L43" s="413">
        <f t="shared" ref="L43:L55" si="58">O43/3</f>
        <v>28.671700000000001</v>
      </c>
      <c r="M43" s="413">
        <f t="shared" ref="M43:M55" si="59">O43/3</f>
        <v>28.671700000000001</v>
      </c>
      <c r="N43" s="413">
        <v>29</v>
      </c>
      <c r="O43" s="414">
        <f t="shared" si="51"/>
        <v>86.015100000000004</v>
      </c>
      <c r="P43" s="413">
        <f t="shared" ref="P43:P55" si="60">S43/3</f>
        <v>23.893083333333337</v>
      </c>
      <c r="Q43" s="413">
        <f t="shared" ref="Q43:Q55" si="61">S43/3</f>
        <v>23.893083333333337</v>
      </c>
      <c r="R43" s="413">
        <f t="shared" ref="R43:R55" si="62">S43/3</f>
        <v>23.893083333333337</v>
      </c>
      <c r="S43" s="414">
        <f t="shared" si="52"/>
        <v>71.67925000000001</v>
      </c>
      <c r="T43" s="735">
        <f t="shared" si="53"/>
        <v>286.71700000000004</v>
      </c>
      <c r="U43" s="1365"/>
      <c r="V43" s="1365"/>
    </row>
    <row r="44" spans="2:22">
      <c r="B44" s="1536"/>
      <c r="C44" s="144" t="s">
        <v>58</v>
      </c>
      <c r="D44" s="413">
        <f t="shared" si="54"/>
        <v>2.6333333333333337</v>
      </c>
      <c r="E44" s="413">
        <f t="shared" si="55"/>
        <v>2.6333333333333337</v>
      </c>
      <c r="F44" s="413">
        <v>2</v>
      </c>
      <c r="G44" s="414">
        <f t="shared" si="49"/>
        <v>7.9000000000000012</v>
      </c>
      <c r="H44" s="413">
        <f t="shared" si="56"/>
        <v>9.2166666666666668</v>
      </c>
      <c r="I44" s="413">
        <f t="shared" si="57"/>
        <v>9.2166666666666668</v>
      </c>
      <c r="J44" s="413">
        <v>8</v>
      </c>
      <c r="K44" s="414">
        <f t="shared" si="50"/>
        <v>27.650000000000002</v>
      </c>
      <c r="L44" s="413">
        <f t="shared" si="58"/>
        <v>7.8999999999999995</v>
      </c>
      <c r="M44" s="413">
        <f t="shared" si="59"/>
        <v>7.8999999999999995</v>
      </c>
      <c r="N44" s="413">
        <f t="shared" ref="N44:N55" si="63">O44/3</f>
        <v>7.8999999999999995</v>
      </c>
      <c r="O44" s="414">
        <f t="shared" si="51"/>
        <v>23.7</v>
      </c>
      <c r="P44" s="413">
        <f t="shared" si="60"/>
        <v>6.583333333333333</v>
      </c>
      <c r="Q44" s="413">
        <f t="shared" si="61"/>
        <v>6.583333333333333</v>
      </c>
      <c r="R44" s="413">
        <f t="shared" si="62"/>
        <v>6.583333333333333</v>
      </c>
      <c r="S44" s="414">
        <f t="shared" si="52"/>
        <v>19.75</v>
      </c>
      <c r="T44" s="735">
        <f t="shared" si="53"/>
        <v>79</v>
      </c>
      <c r="U44" s="1365"/>
      <c r="V44" s="1365"/>
    </row>
    <row r="45" spans="2:22">
      <c r="B45" s="1536"/>
      <c r="C45" s="144" t="s">
        <v>59</v>
      </c>
      <c r="D45" s="413">
        <f t="shared" si="54"/>
        <v>1.6666666666666667</v>
      </c>
      <c r="E45" s="413">
        <f t="shared" si="55"/>
        <v>1.6666666666666667</v>
      </c>
      <c r="F45" s="413">
        <v>1</v>
      </c>
      <c r="G45" s="414">
        <f t="shared" si="49"/>
        <v>5</v>
      </c>
      <c r="H45" s="413">
        <f t="shared" si="56"/>
        <v>5.833333333333333</v>
      </c>
      <c r="I45" s="413">
        <f t="shared" si="57"/>
        <v>5.833333333333333</v>
      </c>
      <c r="J45" s="413">
        <f t="shared" ref="J45:J55" si="64">K45/3</f>
        <v>5.833333333333333</v>
      </c>
      <c r="K45" s="414">
        <f t="shared" si="50"/>
        <v>17.5</v>
      </c>
      <c r="L45" s="413">
        <f t="shared" si="58"/>
        <v>4.9999999999999991</v>
      </c>
      <c r="M45" s="413">
        <f t="shared" si="59"/>
        <v>4.9999999999999991</v>
      </c>
      <c r="N45" s="413">
        <f t="shared" si="63"/>
        <v>4.9999999999999991</v>
      </c>
      <c r="O45" s="414">
        <f t="shared" si="51"/>
        <v>14.999999999999998</v>
      </c>
      <c r="P45" s="413">
        <f t="shared" si="60"/>
        <v>4.166666666666667</v>
      </c>
      <c r="Q45" s="413">
        <f t="shared" si="61"/>
        <v>4.166666666666667</v>
      </c>
      <c r="R45" s="413">
        <f t="shared" si="62"/>
        <v>4.166666666666667</v>
      </c>
      <c r="S45" s="414">
        <f t="shared" si="52"/>
        <v>12.5</v>
      </c>
      <c r="T45" s="735">
        <f t="shared" si="53"/>
        <v>50</v>
      </c>
      <c r="U45" s="1365"/>
      <c r="V45" s="1365"/>
    </row>
    <row r="46" spans="2:22">
      <c r="B46" s="1536" t="s">
        <v>520</v>
      </c>
      <c r="C46" s="144" t="s">
        <v>63</v>
      </c>
      <c r="D46" s="413">
        <f t="shared" si="54"/>
        <v>1.2766666666666666</v>
      </c>
      <c r="E46" s="413">
        <f t="shared" si="55"/>
        <v>1.2766666666666666</v>
      </c>
      <c r="F46" s="413">
        <v>2</v>
      </c>
      <c r="G46" s="414">
        <f t="shared" si="49"/>
        <v>3.83</v>
      </c>
      <c r="H46" s="413">
        <f t="shared" si="56"/>
        <v>4.4683333333333328</v>
      </c>
      <c r="I46" s="413">
        <f t="shared" si="57"/>
        <v>4.4683333333333328</v>
      </c>
      <c r="J46" s="413">
        <v>5</v>
      </c>
      <c r="K46" s="414">
        <f t="shared" si="50"/>
        <v>13.404999999999999</v>
      </c>
      <c r="L46" s="413">
        <f t="shared" si="58"/>
        <v>3.83</v>
      </c>
      <c r="M46" s="413">
        <f t="shared" si="59"/>
        <v>3.83</v>
      </c>
      <c r="N46" s="413">
        <v>3</v>
      </c>
      <c r="O46" s="414">
        <f t="shared" si="51"/>
        <v>11.49</v>
      </c>
      <c r="P46" s="413">
        <f t="shared" si="60"/>
        <v>3.1916666666666669</v>
      </c>
      <c r="Q46" s="413">
        <f t="shared" si="61"/>
        <v>3.1916666666666669</v>
      </c>
      <c r="R46" s="413">
        <f t="shared" si="62"/>
        <v>3.1916666666666669</v>
      </c>
      <c r="S46" s="414">
        <f t="shared" si="52"/>
        <v>9.5750000000000011</v>
      </c>
      <c r="T46" s="735">
        <f t="shared" si="53"/>
        <v>38.300000000000004</v>
      </c>
      <c r="U46" s="1365"/>
      <c r="V46" s="1365"/>
    </row>
    <row r="47" spans="2:22" ht="14.25" customHeight="1">
      <c r="B47" s="1536"/>
      <c r="C47" s="144" t="s">
        <v>55</v>
      </c>
      <c r="D47" s="413">
        <f t="shared" si="54"/>
        <v>13.835333333333333</v>
      </c>
      <c r="E47" s="413">
        <f t="shared" si="55"/>
        <v>13.835333333333333</v>
      </c>
      <c r="F47" s="413">
        <f t="shared" ref="F47:F55" si="65">G47/3</f>
        <v>13.835333333333333</v>
      </c>
      <c r="G47" s="414">
        <f t="shared" si="49"/>
        <v>41.506</v>
      </c>
      <c r="H47" s="413">
        <f t="shared" si="56"/>
        <v>48.423666666666662</v>
      </c>
      <c r="I47" s="413">
        <f t="shared" si="57"/>
        <v>48.423666666666662</v>
      </c>
      <c r="J47" s="413">
        <v>49</v>
      </c>
      <c r="K47" s="414">
        <f t="shared" si="50"/>
        <v>145.27099999999999</v>
      </c>
      <c r="L47" s="413">
        <f t="shared" si="58"/>
        <v>41.505999999999993</v>
      </c>
      <c r="M47" s="413">
        <f t="shared" si="59"/>
        <v>41.505999999999993</v>
      </c>
      <c r="N47" s="413">
        <v>41</v>
      </c>
      <c r="O47" s="414">
        <f t="shared" si="51"/>
        <v>124.51799999999999</v>
      </c>
      <c r="P47" s="413">
        <f t="shared" si="60"/>
        <v>34.588333333333331</v>
      </c>
      <c r="Q47" s="413">
        <f t="shared" si="61"/>
        <v>34.588333333333331</v>
      </c>
      <c r="R47" s="413">
        <f t="shared" si="62"/>
        <v>34.588333333333331</v>
      </c>
      <c r="S47" s="414">
        <f t="shared" si="52"/>
        <v>103.765</v>
      </c>
      <c r="T47" s="735">
        <f t="shared" si="53"/>
        <v>415.05999999999995</v>
      </c>
      <c r="U47" s="1365"/>
      <c r="V47" s="1365"/>
    </row>
    <row r="48" spans="2:22">
      <c r="B48" s="1536"/>
      <c r="C48" s="144" t="s">
        <v>61</v>
      </c>
      <c r="D48" s="413">
        <f t="shared" si="54"/>
        <v>1.2666666666666668</v>
      </c>
      <c r="E48" s="413">
        <f t="shared" si="55"/>
        <v>1.2666666666666668</v>
      </c>
      <c r="F48" s="413">
        <v>2</v>
      </c>
      <c r="G48" s="414">
        <f t="shared" si="49"/>
        <v>3.8000000000000003</v>
      </c>
      <c r="H48" s="413">
        <f t="shared" si="56"/>
        <v>4.4333333333333327</v>
      </c>
      <c r="I48" s="413">
        <f t="shared" si="57"/>
        <v>4.4333333333333327</v>
      </c>
      <c r="J48" s="413">
        <v>5</v>
      </c>
      <c r="K48" s="414">
        <f t="shared" si="50"/>
        <v>13.299999999999999</v>
      </c>
      <c r="L48" s="413">
        <f t="shared" si="58"/>
        <v>3.7999999999999994</v>
      </c>
      <c r="M48" s="413">
        <f t="shared" si="59"/>
        <v>3.7999999999999994</v>
      </c>
      <c r="N48" s="413">
        <v>3</v>
      </c>
      <c r="O48" s="414">
        <f t="shared" si="51"/>
        <v>11.399999999999999</v>
      </c>
      <c r="P48" s="413">
        <f t="shared" si="60"/>
        <v>3.1666666666666665</v>
      </c>
      <c r="Q48" s="413">
        <f t="shared" si="61"/>
        <v>3.1666666666666665</v>
      </c>
      <c r="R48" s="413">
        <f t="shared" si="62"/>
        <v>3.1666666666666665</v>
      </c>
      <c r="S48" s="414">
        <f t="shared" si="52"/>
        <v>9.5</v>
      </c>
      <c r="T48" s="735">
        <f t="shared" si="53"/>
        <v>38</v>
      </c>
      <c r="U48" s="1365"/>
      <c r="V48" s="1365"/>
    </row>
    <row r="49" spans="2:20">
      <c r="B49" s="1536"/>
      <c r="C49" s="144" t="s">
        <v>62</v>
      </c>
      <c r="D49" s="413">
        <f t="shared" si="54"/>
        <v>1.6066666666666667</v>
      </c>
      <c r="E49" s="413">
        <f t="shared" si="55"/>
        <v>1.6066666666666667</v>
      </c>
      <c r="F49" s="413">
        <v>1</v>
      </c>
      <c r="G49" s="414">
        <f t="shared" si="49"/>
        <v>4.82</v>
      </c>
      <c r="H49" s="413">
        <f t="shared" si="56"/>
        <v>5.623333333333334</v>
      </c>
      <c r="I49" s="413">
        <f t="shared" si="57"/>
        <v>5.623333333333334</v>
      </c>
      <c r="J49" s="413">
        <v>5</v>
      </c>
      <c r="K49" s="414">
        <f t="shared" si="50"/>
        <v>16.87</v>
      </c>
      <c r="L49" s="413">
        <f t="shared" si="58"/>
        <v>4.8199999999999994</v>
      </c>
      <c r="M49" s="413">
        <f t="shared" si="59"/>
        <v>4.8199999999999994</v>
      </c>
      <c r="N49" s="413">
        <v>4</v>
      </c>
      <c r="O49" s="414">
        <f t="shared" si="51"/>
        <v>14.459999999999999</v>
      </c>
      <c r="P49" s="413">
        <f t="shared" si="60"/>
        <v>4.0166666666666666</v>
      </c>
      <c r="Q49" s="413">
        <f t="shared" si="61"/>
        <v>4.0166666666666666</v>
      </c>
      <c r="R49" s="413">
        <f t="shared" si="62"/>
        <v>4.0166666666666666</v>
      </c>
      <c r="S49" s="414">
        <f t="shared" si="52"/>
        <v>12.049999999999999</v>
      </c>
      <c r="T49" s="735">
        <f t="shared" si="53"/>
        <v>48.199999999999996</v>
      </c>
    </row>
    <row r="50" spans="2:20">
      <c r="B50" s="1536" t="s">
        <v>522</v>
      </c>
      <c r="C50" s="144" t="s">
        <v>66</v>
      </c>
      <c r="D50" s="413">
        <f t="shared" si="54"/>
        <v>0.89999999999999991</v>
      </c>
      <c r="E50" s="413">
        <f t="shared" si="55"/>
        <v>0.89999999999999991</v>
      </c>
      <c r="F50" s="413">
        <f t="shared" si="65"/>
        <v>0.89999999999999991</v>
      </c>
      <c r="G50" s="414">
        <f t="shared" si="49"/>
        <v>2.6999999999999997</v>
      </c>
      <c r="H50" s="413">
        <f t="shared" si="56"/>
        <v>3.1500000000000004</v>
      </c>
      <c r="I50" s="413">
        <f t="shared" si="57"/>
        <v>3.1500000000000004</v>
      </c>
      <c r="J50" s="413">
        <f t="shared" si="64"/>
        <v>3.1500000000000004</v>
      </c>
      <c r="K50" s="414">
        <f t="shared" si="50"/>
        <v>9.4500000000000011</v>
      </c>
      <c r="L50" s="413">
        <f t="shared" si="58"/>
        <v>2.6999999999999997</v>
      </c>
      <c r="M50" s="413">
        <f t="shared" si="59"/>
        <v>2.6999999999999997</v>
      </c>
      <c r="N50" s="413">
        <v>2</v>
      </c>
      <c r="O50" s="414">
        <f t="shared" si="51"/>
        <v>8.1</v>
      </c>
      <c r="P50" s="413">
        <f t="shared" si="60"/>
        <v>2.25</v>
      </c>
      <c r="Q50" s="413">
        <f t="shared" si="61"/>
        <v>2.25</v>
      </c>
      <c r="R50" s="413">
        <f t="shared" si="62"/>
        <v>2.25</v>
      </c>
      <c r="S50" s="414">
        <f t="shared" si="52"/>
        <v>6.75</v>
      </c>
      <c r="T50" s="735">
        <f t="shared" si="53"/>
        <v>27</v>
      </c>
    </row>
    <row r="51" spans="2:20" ht="14.25" customHeight="1">
      <c r="B51" s="1536"/>
      <c r="C51" s="144" t="s">
        <v>65</v>
      </c>
      <c r="D51" s="413">
        <f t="shared" si="54"/>
        <v>0.89333333333333342</v>
      </c>
      <c r="E51" s="413">
        <f t="shared" si="55"/>
        <v>0.89333333333333342</v>
      </c>
      <c r="F51" s="413">
        <f t="shared" si="65"/>
        <v>0.89333333333333342</v>
      </c>
      <c r="G51" s="414">
        <f t="shared" si="49"/>
        <v>2.68</v>
      </c>
      <c r="H51" s="413">
        <f t="shared" si="56"/>
        <v>3.1266666666666669</v>
      </c>
      <c r="I51" s="413">
        <f t="shared" si="57"/>
        <v>3.1266666666666669</v>
      </c>
      <c r="J51" s="413">
        <f t="shared" si="64"/>
        <v>3.1266666666666669</v>
      </c>
      <c r="K51" s="414">
        <f t="shared" si="50"/>
        <v>9.3800000000000008</v>
      </c>
      <c r="L51" s="413">
        <f t="shared" si="58"/>
        <v>2.6799999999999997</v>
      </c>
      <c r="M51" s="413">
        <f t="shared" si="59"/>
        <v>2.6799999999999997</v>
      </c>
      <c r="N51" s="413">
        <v>2</v>
      </c>
      <c r="O51" s="414">
        <f t="shared" si="51"/>
        <v>8.0399999999999991</v>
      </c>
      <c r="P51" s="413">
        <f t="shared" si="60"/>
        <v>2.2333333333333334</v>
      </c>
      <c r="Q51" s="413">
        <f t="shared" si="61"/>
        <v>2.2333333333333334</v>
      </c>
      <c r="R51" s="413">
        <f t="shared" si="62"/>
        <v>2.2333333333333334</v>
      </c>
      <c r="S51" s="414">
        <f t="shared" si="52"/>
        <v>6.7</v>
      </c>
      <c r="T51" s="735">
        <f t="shared" si="53"/>
        <v>26.8</v>
      </c>
    </row>
    <row r="52" spans="2:20">
      <c r="B52" s="1536"/>
      <c r="C52" s="144" t="s">
        <v>67</v>
      </c>
      <c r="D52" s="413">
        <f t="shared" si="54"/>
        <v>4.5666666666666668E-2</v>
      </c>
      <c r="E52" s="413">
        <f t="shared" si="55"/>
        <v>4.5666666666666668E-2</v>
      </c>
      <c r="F52" s="413">
        <f t="shared" si="65"/>
        <v>4.5666666666666668E-2</v>
      </c>
      <c r="G52" s="414">
        <f t="shared" si="49"/>
        <v>0.13700000000000001</v>
      </c>
      <c r="H52" s="413">
        <f t="shared" si="56"/>
        <v>0.15983333333333333</v>
      </c>
      <c r="I52" s="413">
        <f t="shared" si="57"/>
        <v>0.15983333333333333</v>
      </c>
      <c r="J52" s="413">
        <f t="shared" si="64"/>
        <v>0.15983333333333333</v>
      </c>
      <c r="K52" s="414">
        <f t="shared" si="50"/>
        <v>0.47949999999999998</v>
      </c>
      <c r="L52" s="413">
        <f t="shared" si="58"/>
        <v>0.13699999999999998</v>
      </c>
      <c r="M52" s="413">
        <f t="shared" si="59"/>
        <v>0.13699999999999998</v>
      </c>
      <c r="N52" s="413">
        <f t="shared" si="63"/>
        <v>0.13699999999999998</v>
      </c>
      <c r="O52" s="414">
        <f t="shared" si="51"/>
        <v>0.41099999999999998</v>
      </c>
      <c r="P52" s="413">
        <f t="shared" si="60"/>
        <v>0.11416666666666668</v>
      </c>
      <c r="Q52" s="413">
        <f t="shared" si="61"/>
        <v>0.11416666666666668</v>
      </c>
      <c r="R52" s="413">
        <f t="shared" si="62"/>
        <v>0.11416666666666668</v>
      </c>
      <c r="S52" s="414">
        <f t="shared" si="52"/>
        <v>0.34250000000000003</v>
      </c>
      <c r="T52" s="735">
        <f t="shared" si="53"/>
        <v>1.37</v>
      </c>
    </row>
    <row r="53" spans="2:20">
      <c r="B53" s="1536"/>
      <c r="C53" s="144" t="s">
        <v>64</v>
      </c>
      <c r="D53" s="413">
        <f t="shared" si="54"/>
        <v>0.76666666666666672</v>
      </c>
      <c r="E53" s="413">
        <f t="shared" si="55"/>
        <v>0.76666666666666672</v>
      </c>
      <c r="F53" s="413">
        <v>0</v>
      </c>
      <c r="G53" s="414">
        <f t="shared" si="49"/>
        <v>2.3000000000000003</v>
      </c>
      <c r="H53" s="413">
        <f t="shared" si="56"/>
        <v>2.6833333333333331</v>
      </c>
      <c r="I53" s="413">
        <f t="shared" si="57"/>
        <v>2.6833333333333331</v>
      </c>
      <c r="J53" s="413">
        <v>2</v>
      </c>
      <c r="K53" s="414">
        <f t="shared" si="50"/>
        <v>8.0499999999999989</v>
      </c>
      <c r="L53" s="413">
        <f t="shared" si="58"/>
        <v>2.2999999999999998</v>
      </c>
      <c r="M53" s="413">
        <f t="shared" si="59"/>
        <v>2.2999999999999998</v>
      </c>
      <c r="N53" s="413">
        <v>3</v>
      </c>
      <c r="O53" s="414">
        <f t="shared" si="51"/>
        <v>6.8999999999999995</v>
      </c>
      <c r="P53" s="413">
        <f t="shared" si="60"/>
        <v>1.9166666666666667</v>
      </c>
      <c r="Q53" s="413">
        <f t="shared" si="61"/>
        <v>1.9166666666666667</v>
      </c>
      <c r="R53" s="413">
        <f t="shared" si="62"/>
        <v>1.9166666666666667</v>
      </c>
      <c r="S53" s="414">
        <f t="shared" si="52"/>
        <v>5.75</v>
      </c>
      <c r="T53" s="735">
        <f t="shared" si="53"/>
        <v>23</v>
      </c>
    </row>
    <row r="54" spans="2:20">
      <c r="B54" s="1536"/>
      <c r="C54" s="144" t="s">
        <v>60</v>
      </c>
      <c r="D54" s="413">
        <f t="shared" si="54"/>
        <v>1.5666666666666667</v>
      </c>
      <c r="E54" s="413">
        <f t="shared" si="55"/>
        <v>1.5666666666666667</v>
      </c>
      <c r="F54" s="413">
        <v>1</v>
      </c>
      <c r="G54" s="414">
        <f t="shared" si="49"/>
        <v>4.7</v>
      </c>
      <c r="H54" s="413">
        <f t="shared" si="56"/>
        <v>5.4833333333333334</v>
      </c>
      <c r="I54" s="413">
        <f t="shared" si="57"/>
        <v>5.4833333333333334</v>
      </c>
      <c r="J54" s="413">
        <v>6</v>
      </c>
      <c r="K54" s="414">
        <f t="shared" si="50"/>
        <v>16.45</v>
      </c>
      <c r="L54" s="413">
        <f t="shared" si="58"/>
        <v>4.7</v>
      </c>
      <c r="M54" s="413">
        <f t="shared" si="59"/>
        <v>4.7</v>
      </c>
      <c r="N54" s="413">
        <v>4</v>
      </c>
      <c r="O54" s="414">
        <f t="shared" si="51"/>
        <v>14.1</v>
      </c>
      <c r="P54" s="413">
        <f t="shared" si="60"/>
        <v>3.9166666666666665</v>
      </c>
      <c r="Q54" s="413">
        <f t="shared" si="61"/>
        <v>3.9166666666666665</v>
      </c>
      <c r="R54" s="413">
        <f t="shared" si="62"/>
        <v>3.9166666666666665</v>
      </c>
      <c r="S54" s="414">
        <f t="shared" si="52"/>
        <v>11.75</v>
      </c>
      <c r="T54" s="735">
        <f t="shared" si="53"/>
        <v>47</v>
      </c>
    </row>
    <row r="55" spans="2:20">
      <c r="B55" s="144" t="s">
        <v>523</v>
      </c>
      <c r="C55" s="144" t="s">
        <v>524</v>
      </c>
      <c r="D55" s="413">
        <f t="shared" si="54"/>
        <v>42.860000000000007</v>
      </c>
      <c r="E55" s="413">
        <f t="shared" si="55"/>
        <v>42.860000000000007</v>
      </c>
      <c r="F55" s="413">
        <f t="shared" si="65"/>
        <v>42.860000000000007</v>
      </c>
      <c r="G55" s="414">
        <f t="shared" si="49"/>
        <v>128.58000000000001</v>
      </c>
      <c r="H55" s="413">
        <f t="shared" si="56"/>
        <v>150.01</v>
      </c>
      <c r="I55" s="413">
        <f t="shared" si="57"/>
        <v>150.01</v>
      </c>
      <c r="J55" s="413">
        <f t="shared" si="64"/>
        <v>150.01</v>
      </c>
      <c r="K55" s="414">
        <f t="shared" si="50"/>
        <v>450.03</v>
      </c>
      <c r="L55" s="413">
        <f t="shared" si="58"/>
        <v>128.57999999999998</v>
      </c>
      <c r="M55" s="413">
        <f t="shared" si="59"/>
        <v>128.57999999999998</v>
      </c>
      <c r="N55" s="413">
        <f t="shared" si="63"/>
        <v>128.57999999999998</v>
      </c>
      <c r="O55" s="414">
        <f t="shared" si="51"/>
        <v>385.73999999999995</v>
      </c>
      <c r="P55" s="413">
        <f t="shared" si="60"/>
        <v>107.14999999999999</v>
      </c>
      <c r="Q55" s="413">
        <f t="shared" si="61"/>
        <v>107.14999999999999</v>
      </c>
      <c r="R55" s="413">
        <f t="shared" si="62"/>
        <v>107.14999999999999</v>
      </c>
      <c r="S55" s="414">
        <f t="shared" si="52"/>
        <v>321.45</v>
      </c>
      <c r="T55" s="735">
        <f t="shared" si="53"/>
        <v>1285.8</v>
      </c>
    </row>
    <row r="56" spans="2:20" ht="28.5">
      <c r="B56" s="144"/>
      <c r="C56" s="146" t="s">
        <v>525</v>
      </c>
      <c r="D56" s="709">
        <f>SUM(D42:D55)</f>
        <v>88.074900000000014</v>
      </c>
      <c r="E56" s="709">
        <f>SUM(E42:E55)</f>
        <v>88.074900000000014</v>
      </c>
      <c r="F56" s="709">
        <f>SUM(F42:F55)</f>
        <v>86.534333333333336</v>
      </c>
      <c r="G56" s="414">
        <f>SUM(G42:G54)</f>
        <v>135.6447</v>
      </c>
      <c r="H56" s="413">
        <f t="shared" ref="H56:J56" si="66">SUM(H42:H54)</f>
        <v>158.25214999999997</v>
      </c>
      <c r="I56" s="413">
        <f t="shared" si="66"/>
        <v>158.25214999999997</v>
      </c>
      <c r="J56" s="413">
        <f t="shared" si="66"/>
        <v>159.26983333333331</v>
      </c>
      <c r="K56" s="414">
        <f>SUM(K42:K54)</f>
        <v>474.75644999999997</v>
      </c>
      <c r="L56" s="413">
        <f t="shared" ref="L56:N56" si="67">SUM(L42:L54)</f>
        <v>135.6447</v>
      </c>
      <c r="M56" s="413">
        <f t="shared" si="67"/>
        <v>135.6447</v>
      </c>
      <c r="N56" s="413">
        <f t="shared" si="67"/>
        <v>131.03699999999998</v>
      </c>
      <c r="O56" s="414">
        <f>SUM(O42:O54)</f>
        <v>406.9341</v>
      </c>
      <c r="P56" s="413">
        <f t="shared" ref="P56:R56" si="68">SUM(P42:P54)</f>
        <v>113.03725000000001</v>
      </c>
      <c r="Q56" s="413">
        <f t="shared" si="68"/>
        <v>113.03725000000001</v>
      </c>
      <c r="R56" s="413">
        <f t="shared" si="68"/>
        <v>113.03725000000001</v>
      </c>
      <c r="S56" s="414">
        <f>SUM(S42:S54)</f>
        <v>339.11174999999997</v>
      </c>
      <c r="T56" s="735">
        <f t="shared" si="53"/>
        <v>1356.4469999999999</v>
      </c>
    </row>
    <row r="57" spans="2:20" ht="28.5">
      <c r="B57" s="144"/>
      <c r="C57" s="146" t="s">
        <v>526</v>
      </c>
      <c r="D57" s="709">
        <f>D49</f>
        <v>1.6066666666666667</v>
      </c>
      <c r="E57" s="710">
        <f>E49</f>
        <v>1.6066666666666667</v>
      </c>
      <c r="F57" s="710">
        <f>F49</f>
        <v>1</v>
      </c>
      <c r="G57" s="414">
        <f>G49</f>
        <v>4.82</v>
      </c>
      <c r="H57" s="413">
        <f t="shared" ref="H57:J57" si="69">H49</f>
        <v>5.623333333333334</v>
      </c>
      <c r="I57" s="413">
        <f t="shared" si="69"/>
        <v>5.623333333333334</v>
      </c>
      <c r="J57" s="413">
        <f t="shared" si="69"/>
        <v>5</v>
      </c>
      <c r="K57" s="414">
        <f>K49</f>
        <v>16.87</v>
      </c>
      <c r="L57" s="413">
        <f t="shared" ref="L57:N57" si="70">L49</f>
        <v>4.8199999999999994</v>
      </c>
      <c r="M57" s="413">
        <f t="shared" si="70"/>
        <v>4.8199999999999994</v>
      </c>
      <c r="N57" s="413">
        <f t="shared" si="70"/>
        <v>4</v>
      </c>
      <c r="O57" s="414">
        <f>O49</f>
        <v>14.459999999999999</v>
      </c>
      <c r="P57" s="413">
        <f>P49</f>
        <v>4.0166666666666666</v>
      </c>
      <c r="Q57" s="413">
        <f t="shared" ref="Q57:R57" si="71">Q49</f>
        <v>4.0166666666666666</v>
      </c>
      <c r="R57" s="413">
        <f t="shared" si="71"/>
        <v>4.0166666666666666</v>
      </c>
      <c r="S57" s="414">
        <f>S49</f>
        <v>12.049999999999999</v>
      </c>
      <c r="T57" s="735">
        <f t="shared" si="53"/>
        <v>48.199999999999996</v>
      </c>
    </row>
    <row r="58" spans="2:20">
      <c r="B58" s="1365"/>
      <c r="C58" s="1365"/>
      <c r="D58" s="1365"/>
      <c r="E58" s="1365"/>
      <c r="F58" s="1365"/>
      <c r="G58" s="418"/>
      <c r="H58" s="415"/>
      <c r="I58" s="415"/>
      <c r="J58" s="415"/>
      <c r="K58" s="418"/>
      <c r="L58" s="415"/>
      <c r="M58" s="415"/>
      <c r="N58" s="415"/>
      <c r="O58" s="418"/>
      <c r="P58" s="415"/>
      <c r="Q58" s="415"/>
      <c r="R58" s="415"/>
      <c r="S58" s="418"/>
      <c r="T58" s="736"/>
    </row>
    <row r="59" spans="2:20" ht="53.25" customHeight="1">
      <c r="B59" s="144"/>
      <c r="C59" s="1535" t="s">
        <v>529</v>
      </c>
      <c r="D59" s="1535"/>
      <c r="E59" s="1535"/>
      <c r="F59" s="1535"/>
      <c r="G59" s="1535"/>
      <c r="H59" s="1535"/>
      <c r="I59" s="1535"/>
      <c r="J59" s="1535"/>
      <c r="K59" s="1535"/>
      <c r="L59" s="1535"/>
      <c r="M59" s="1535"/>
      <c r="N59" s="1535"/>
      <c r="O59" s="1535"/>
      <c r="P59" s="1535"/>
      <c r="Q59" s="1535"/>
      <c r="R59" s="1535"/>
      <c r="S59" s="1535"/>
      <c r="T59" s="1535"/>
    </row>
    <row r="60" spans="2:20">
      <c r="B60" s="1536" t="s">
        <v>515</v>
      </c>
      <c r="C60" s="144" t="s">
        <v>57</v>
      </c>
      <c r="D60" s="413">
        <f>G60/3</f>
        <v>1.8399999999999999</v>
      </c>
      <c r="E60" s="413">
        <f>G60/3</f>
        <v>1.8399999999999999</v>
      </c>
      <c r="F60" s="413">
        <f>G60/3</f>
        <v>1.8399999999999999</v>
      </c>
      <c r="G60" s="414">
        <f t="shared" ref="G60:S73" si="72">G42*0.2</f>
        <v>5.52</v>
      </c>
      <c r="H60" s="413">
        <f>K60/3</f>
        <v>6.4400000000000013</v>
      </c>
      <c r="I60" s="413">
        <f>K60/3</f>
        <v>6.4400000000000013</v>
      </c>
      <c r="J60" s="413">
        <v>7</v>
      </c>
      <c r="K60" s="414">
        <f t="shared" si="72"/>
        <v>19.320000000000004</v>
      </c>
      <c r="L60" s="413">
        <f>O60/3</f>
        <v>5.52</v>
      </c>
      <c r="M60" s="413">
        <f>O60/3</f>
        <v>5.52</v>
      </c>
      <c r="N60" s="413">
        <v>5</v>
      </c>
      <c r="O60" s="414">
        <f t="shared" si="72"/>
        <v>16.559999999999999</v>
      </c>
      <c r="P60" s="413">
        <f t="shared" ref="P60:P61" si="73">S60/3</f>
        <v>4.6000000000000005</v>
      </c>
      <c r="Q60" s="413">
        <f t="shared" ref="Q60:Q61" si="74">S60/3</f>
        <v>4.6000000000000005</v>
      </c>
      <c r="R60" s="413">
        <v>4</v>
      </c>
      <c r="S60" s="414">
        <f t="shared" si="72"/>
        <v>13.8</v>
      </c>
      <c r="T60" s="735">
        <f t="shared" ref="T60:T75" si="75">SUM(G60,K60,O60,S60)</f>
        <v>55.2</v>
      </c>
    </row>
    <row r="61" spans="2:20">
      <c r="B61" s="1536"/>
      <c r="C61" s="144" t="s">
        <v>56</v>
      </c>
      <c r="D61" s="413">
        <f t="shared" ref="D61:D73" si="76">G61/3</f>
        <v>1.9114466666666667</v>
      </c>
      <c r="E61" s="413">
        <f t="shared" ref="E61:E73" si="77">G61/3</f>
        <v>1.9114466666666667</v>
      </c>
      <c r="F61" s="413">
        <f t="shared" ref="F61:F71" si="78">G61/3</f>
        <v>1.9114466666666667</v>
      </c>
      <c r="G61" s="414">
        <f t="shared" si="72"/>
        <v>5.7343400000000004</v>
      </c>
      <c r="H61" s="413">
        <f t="shared" ref="H61:H73" si="79">K61/3</f>
        <v>6.6900633333333337</v>
      </c>
      <c r="I61" s="413">
        <f t="shared" ref="I61:I73" si="80">K61/3</f>
        <v>6.6900633333333337</v>
      </c>
      <c r="J61" s="413">
        <v>8</v>
      </c>
      <c r="K61" s="414">
        <f t="shared" si="72"/>
        <v>20.07019</v>
      </c>
      <c r="L61" s="413">
        <f t="shared" ref="L61:L73" si="81">O61/3</f>
        <v>5.7343400000000004</v>
      </c>
      <c r="M61" s="413">
        <f t="shared" ref="M61:M73" si="82">O61/3</f>
        <v>5.7343400000000004</v>
      </c>
      <c r="N61" s="413">
        <v>5</v>
      </c>
      <c r="O61" s="414">
        <f t="shared" si="72"/>
        <v>17.203020000000002</v>
      </c>
      <c r="P61" s="413">
        <f t="shared" si="73"/>
        <v>4.7786166666666672</v>
      </c>
      <c r="Q61" s="413">
        <f t="shared" si="74"/>
        <v>4.7786166666666672</v>
      </c>
      <c r="R61" s="413">
        <v>4</v>
      </c>
      <c r="S61" s="414">
        <f t="shared" si="72"/>
        <v>14.335850000000002</v>
      </c>
      <c r="T61" s="735">
        <f t="shared" si="75"/>
        <v>57.343400000000003</v>
      </c>
    </row>
    <row r="62" spans="2:20">
      <c r="B62" s="1536"/>
      <c r="C62" s="144" t="s">
        <v>58</v>
      </c>
      <c r="D62" s="413">
        <f t="shared" si="76"/>
        <v>0.52666666666666673</v>
      </c>
      <c r="E62" s="413">
        <f t="shared" si="77"/>
        <v>0.52666666666666673</v>
      </c>
      <c r="F62" s="413">
        <v>0</v>
      </c>
      <c r="G62" s="414">
        <f t="shared" si="72"/>
        <v>1.5800000000000003</v>
      </c>
      <c r="H62" s="413">
        <f t="shared" si="79"/>
        <v>1.8433333333333337</v>
      </c>
      <c r="I62" s="413">
        <f t="shared" si="80"/>
        <v>1.8433333333333337</v>
      </c>
      <c r="J62" s="413">
        <f t="shared" ref="J62:J73" si="83">K62/3</f>
        <v>1.8433333333333337</v>
      </c>
      <c r="K62" s="414">
        <f t="shared" si="72"/>
        <v>5.5300000000000011</v>
      </c>
      <c r="L62" s="413">
        <f t="shared" si="81"/>
        <v>1.58</v>
      </c>
      <c r="M62" s="413">
        <f t="shared" si="82"/>
        <v>1.58</v>
      </c>
      <c r="N62" s="413">
        <v>1</v>
      </c>
      <c r="O62" s="414">
        <f t="shared" si="72"/>
        <v>4.74</v>
      </c>
      <c r="P62" s="413">
        <f>S62/3</f>
        <v>1.3166666666666667</v>
      </c>
      <c r="Q62" s="413">
        <f>S62/3</f>
        <v>1.3166666666666667</v>
      </c>
      <c r="R62" s="413">
        <v>2</v>
      </c>
      <c r="S62" s="414">
        <f t="shared" si="72"/>
        <v>3.95</v>
      </c>
      <c r="T62" s="735">
        <f t="shared" si="75"/>
        <v>15.8</v>
      </c>
    </row>
    <row r="63" spans="2:20">
      <c r="B63" s="1536"/>
      <c r="C63" s="144" t="s">
        <v>59</v>
      </c>
      <c r="D63" s="413">
        <f t="shared" si="76"/>
        <v>0.33333333333333331</v>
      </c>
      <c r="E63" s="413">
        <f t="shared" si="77"/>
        <v>0.33333333333333331</v>
      </c>
      <c r="F63" s="413">
        <v>1</v>
      </c>
      <c r="G63" s="414">
        <f t="shared" si="72"/>
        <v>1</v>
      </c>
      <c r="H63" s="413">
        <f t="shared" si="79"/>
        <v>1.1666666666666667</v>
      </c>
      <c r="I63" s="413">
        <f t="shared" si="80"/>
        <v>1.1666666666666667</v>
      </c>
      <c r="J63" s="413">
        <v>2</v>
      </c>
      <c r="K63" s="414">
        <f t="shared" si="72"/>
        <v>3.5</v>
      </c>
      <c r="L63" s="413">
        <f t="shared" si="81"/>
        <v>1</v>
      </c>
      <c r="M63" s="413">
        <f t="shared" si="82"/>
        <v>1</v>
      </c>
      <c r="N63" s="413">
        <f t="shared" ref="N63:N72" si="84">O63/3</f>
        <v>1</v>
      </c>
      <c r="O63" s="414">
        <f t="shared" si="72"/>
        <v>3</v>
      </c>
      <c r="P63" s="413">
        <f t="shared" ref="P63:P73" si="85">S63/3</f>
        <v>0.83333333333333337</v>
      </c>
      <c r="Q63" s="413">
        <f t="shared" ref="Q63:Q73" si="86">S63/3</f>
        <v>0.83333333333333337</v>
      </c>
      <c r="R63" s="413">
        <f t="shared" ref="R63:R70" si="87">S63/3</f>
        <v>0.83333333333333337</v>
      </c>
      <c r="S63" s="414">
        <f t="shared" si="72"/>
        <v>2.5</v>
      </c>
      <c r="T63" s="735">
        <f t="shared" si="75"/>
        <v>10</v>
      </c>
    </row>
    <row r="64" spans="2:20">
      <c r="B64" s="1536" t="s">
        <v>520</v>
      </c>
      <c r="C64" s="144" t="s">
        <v>63</v>
      </c>
      <c r="D64" s="413">
        <f t="shared" si="76"/>
        <v>0.25533333333333336</v>
      </c>
      <c r="E64" s="413">
        <f t="shared" si="77"/>
        <v>0.25533333333333336</v>
      </c>
      <c r="F64" s="413">
        <v>1</v>
      </c>
      <c r="G64" s="414">
        <f t="shared" si="72"/>
        <v>0.76600000000000001</v>
      </c>
      <c r="H64" s="413">
        <f t="shared" si="79"/>
        <v>0.89366666666666672</v>
      </c>
      <c r="I64" s="413">
        <f t="shared" si="80"/>
        <v>0.89366666666666672</v>
      </c>
      <c r="J64" s="413">
        <f t="shared" si="83"/>
        <v>0.89366666666666672</v>
      </c>
      <c r="K64" s="414">
        <f t="shared" si="72"/>
        <v>2.681</v>
      </c>
      <c r="L64" s="413">
        <f t="shared" si="81"/>
        <v>0.76600000000000001</v>
      </c>
      <c r="M64" s="413">
        <f t="shared" si="82"/>
        <v>0.76600000000000001</v>
      </c>
      <c r="N64" s="413">
        <v>0</v>
      </c>
      <c r="O64" s="414">
        <f t="shared" si="72"/>
        <v>2.298</v>
      </c>
      <c r="P64" s="413">
        <f t="shared" si="85"/>
        <v>0.63833333333333342</v>
      </c>
      <c r="Q64" s="413">
        <f t="shared" si="86"/>
        <v>0.63833333333333342</v>
      </c>
      <c r="R64" s="413">
        <v>0</v>
      </c>
      <c r="S64" s="414">
        <f t="shared" si="72"/>
        <v>1.9150000000000003</v>
      </c>
      <c r="T64" s="735">
        <f t="shared" si="75"/>
        <v>7.66</v>
      </c>
    </row>
    <row r="65" spans="2:20">
      <c r="B65" s="1536"/>
      <c r="C65" s="144" t="s">
        <v>55</v>
      </c>
      <c r="D65" s="413">
        <f t="shared" si="76"/>
        <v>2.7670666666666666</v>
      </c>
      <c r="E65" s="413">
        <f t="shared" si="77"/>
        <v>2.7670666666666666</v>
      </c>
      <c r="F65" s="413">
        <v>2</v>
      </c>
      <c r="G65" s="414">
        <f t="shared" si="72"/>
        <v>8.3011999999999997</v>
      </c>
      <c r="H65" s="413">
        <f t="shared" si="79"/>
        <v>9.6847333333333321</v>
      </c>
      <c r="I65" s="413">
        <f t="shared" si="80"/>
        <v>9.6847333333333321</v>
      </c>
      <c r="J65" s="413">
        <v>9</v>
      </c>
      <c r="K65" s="414">
        <f t="shared" si="72"/>
        <v>29.054199999999998</v>
      </c>
      <c r="L65" s="413">
        <f t="shared" si="81"/>
        <v>8.3011999999999997</v>
      </c>
      <c r="M65" s="413">
        <f t="shared" si="82"/>
        <v>8.3011999999999997</v>
      </c>
      <c r="N65" s="413">
        <v>7</v>
      </c>
      <c r="O65" s="414">
        <f t="shared" si="72"/>
        <v>24.903599999999997</v>
      </c>
      <c r="P65" s="413">
        <f t="shared" si="85"/>
        <v>6.9176666666666664</v>
      </c>
      <c r="Q65" s="413">
        <f t="shared" si="86"/>
        <v>6.9176666666666664</v>
      </c>
      <c r="R65" s="413">
        <f t="shared" si="87"/>
        <v>6.9176666666666664</v>
      </c>
      <c r="S65" s="414">
        <f t="shared" si="72"/>
        <v>20.753</v>
      </c>
      <c r="T65" s="735">
        <f t="shared" si="75"/>
        <v>83.012</v>
      </c>
    </row>
    <row r="66" spans="2:20">
      <c r="B66" s="1536"/>
      <c r="C66" s="144" t="s">
        <v>61</v>
      </c>
      <c r="D66" s="413">
        <f t="shared" si="76"/>
        <v>0.25333333333333335</v>
      </c>
      <c r="E66" s="413">
        <f t="shared" si="77"/>
        <v>0.25333333333333335</v>
      </c>
      <c r="F66" s="413">
        <v>1</v>
      </c>
      <c r="G66" s="414">
        <f t="shared" si="72"/>
        <v>0.76000000000000012</v>
      </c>
      <c r="H66" s="413">
        <f t="shared" si="79"/>
        <v>0.88666666666666671</v>
      </c>
      <c r="I66" s="413">
        <f t="shared" si="80"/>
        <v>0.88666666666666671</v>
      </c>
      <c r="J66" s="413">
        <f t="shared" si="83"/>
        <v>0.88666666666666671</v>
      </c>
      <c r="K66" s="414">
        <f t="shared" si="72"/>
        <v>2.66</v>
      </c>
      <c r="L66" s="413">
        <f t="shared" si="81"/>
        <v>0.7599999999999999</v>
      </c>
      <c r="M66" s="413">
        <f t="shared" si="82"/>
        <v>0.7599999999999999</v>
      </c>
      <c r="N66" s="413">
        <v>0</v>
      </c>
      <c r="O66" s="414">
        <f t="shared" si="72"/>
        <v>2.2799999999999998</v>
      </c>
      <c r="P66" s="413">
        <f t="shared" si="85"/>
        <v>0.63333333333333341</v>
      </c>
      <c r="Q66" s="413">
        <f t="shared" si="86"/>
        <v>0.63333333333333341</v>
      </c>
      <c r="R66" s="413">
        <v>0</v>
      </c>
      <c r="S66" s="414">
        <f t="shared" si="72"/>
        <v>1.9000000000000001</v>
      </c>
      <c r="T66" s="735">
        <f t="shared" si="75"/>
        <v>7.6000000000000005</v>
      </c>
    </row>
    <row r="67" spans="2:20">
      <c r="B67" s="1536"/>
      <c r="C67" s="144" t="s">
        <v>62</v>
      </c>
      <c r="D67" s="413">
        <f t="shared" si="76"/>
        <v>0.32133333333333336</v>
      </c>
      <c r="E67" s="413">
        <f t="shared" si="77"/>
        <v>0.32133333333333336</v>
      </c>
      <c r="F67" s="413">
        <v>1</v>
      </c>
      <c r="G67" s="414">
        <f t="shared" si="72"/>
        <v>0.96400000000000008</v>
      </c>
      <c r="H67" s="413">
        <f t="shared" si="79"/>
        <v>1.1246666666666669</v>
      </c>
      <c r="I67" s="413">
        <f t="shared" si="80"/>
        <v>1.1246666666666669</v>
      </c>
      <c r="J67" s="413">
        <f t="shared" si="83"/>
        <v>1.1246666666666669</v>
      </c>
      <c r="K67" s="414">
        <f t="shared" si="72"/>
        <v>3.3740000000000006</v>
      </c>
      <c r="L67" s="413">
        <f t="shared" si="81"/>
        <v>0.96399999999999997</v>
      </c>
      <c r="M67" s="413">
        <f t="shared" si="82"/>
        <v>0.96399999999999997</v>
      </c>
      <c r="N67" s="413">
        <f t="shared" si="84"/>
        <v>0.96399999999999997</v>
      </c>
      <c r="O67" s="414">
        <f t="shared" si="72"/>
        <v>2.8919999999999999</v>
      </c>
      <c r="P67" s="413">
        <f t="shared" si="85"/>
        <v>0.80333333333333334</v>
      </c>
      <c r="Q67" s="413">
        <f t="shared" si="86"/>
        <v>0.80333333333333334</v>
      </c>
      <c r="R67" s="413">
        <v>0</v>
      </c>
      <c r="S67" s="414">
        <f t="shared" si="72"/>
        <v>2.41</v>
      </c>
      <c r="T67" s="735">
        <f t="shared" si="75"/>
        <v>9.64</v>
      </c>
    </row>
    <row r="68" spans="2:20">
      <c r="B68" s="1536" t="s">
        <v>522</v>
      </c>
      <c r="C68" s="144" t="s">
        <v>66</v>
      </c>
      <c r="D68" s="413">
        <f t="shared" si="76"/>
        <v>0.17999999999999997</v>
      </c>
      <c r="E68" s="413">
        <f t="shared" si="77"/>
        <v>0.17999999999999997</v>
      </c>
      <c r="F68" s="413">
        <v>1</v>
      </c>
      <c r="G68" s="414">
        <f t="shared" si="72"/>
        <v>0.53999999999999992</v>
      </c>
      <c r="H68" s="413">
        <f t="shared" si="79"/>
        <v>0.63000000000000012</v>
      </c>
      <c r="I68" s="413">
        <f t="shared" si="80"/>
        <v>0.63000000000000012</v>
      </c>
      <c r="J68" s="413">
        <v>0</v>
      </c>
      <c r="K68" s="414">
        <f t="shared" si="72"/>
        <v>1.8900000000000003</v>
      </c>
      <c r="L68" s="413">
        <f t="shared" si="81"/>
        <v>0.54</v>
      </c>
      <c r="M68" s="413">
        <f t="shared" si="82"/>
        <v>0.54</v>
      </c>
      <c r="N68" s="413">
        <v>0</v>
      </c>
      <c r="O68" s="414">
        <f t="shared" si="72"/>
        <v>1.62</v>
      </c>
      <c r="P68" s="413">
        <f t="shared" si="85"/>
        <v>0.45</v>
      </c>
      <c r="Q68" s="413">
        <f t="shared" si="86"/>
        <v>0.45</v>
      </c>
      <c r="R68" s="413">
        <v>1</v>
      </c>
      <c r="S68" s="414">
        <f t="shared" si="72"/>
        <v>1.35</v>
      </c>
      <c r="T68" s="735">
        <f t="shared" si="75"/>
        <v>5.4</v>
      </c>
    </row>
    <row r="69" spans="2:20">
      <c r="B69" s="1536"/>
      <c r="C69" s="144" t="s">
        <v>65</v>
      </c>
      <c r="D69" s="413">
        <f t="shared" si="76"/>
        <v>0.17866666666666667</v>
      </c>
      <c r="E69" s="413">
        <f t="shared" si="77"/>
        <v>0.17866666666666667</v>
      </c>
      <c r="F69" s="413">
        <v>1</v>
      </c>
      <c r="G69" s="414">
        <f t="shared" si="72"/>
        <v>0.53600000000000003</v>
      </c>
      <c r="H69" s="413">
        <f t="shared" si="79"/>
        <v>0.62533333333333341</v>
      </c>
      <c r="I69" s="413">
        <f t="shared" si="80"/>
        <v>0.62533333333333341</v>
      </c>
      <c r="J69" s="413">
        <v>0</v>
      </c>
      <c r="K69" s="414">
        <f t="shared" si="72"/>
        <v>1.8760000000000003</v>
      </c>
      <c r="L69" s="413">
        <f t="shared" si="81"/>
        <v>0.53599999999999992</v>
      </c>
      <c r="M69" s="413">
        <f t="shared" si="82"/>
        <v>0.53599999999999992</v>
      </c>
      <c r="N69" s="413">
        <v>0</v>
      </c>
      <c r="O69" s="414">
        <f t="shared" si="72"/>
        <v>1.6079999999999999</v>
      </c>
      <c r="P69" s="413">
        <f t="shared" si="85"/>
        <v>0.44666666666666671</v>
      </c>
      <c r="Q69" s="413">
        <f t="shared" si="86"/>
        <v>0.44666666666666671</v>
      </c>
      <c r="R69" s="413">
        <v>1</v>
      </c>
      <c r="S69" s="414">
        <f t="shared" si="72"/>
        <v>1.34</v>
      </c>
      <c r="T69" s="735">
        <f t="shared" si="75"/>
        <v>5.36</v>
      </c>
    </row>
    <row r="70" spans="2:20">
      <c r="B70" s="1536"/>
      <c r="C70" s="144" t="s">
        <v>67</v>
      </c>
      <c r="D70" s="413">
        <f t="shared" si="76"/>
        <v>9.1333333333333353E-3</v>
      </c>
      <c r="E70" s="413">
        <f t="shared" si="77"/>
        <v>9.1333333333333353E-3</v>
      </c>
      <c r="F70" s="413">
        <f t="shared" si="78"/>
        <v>9.1333333333333353E-3</v>
      </c>
      <c r="G70" s="414">
        <f t="shared" si="72"/>
        <v>2.7400000000000004E-2</v>
      </c>
      <c r="H70" s="413">
        <f t="shared" si="79"/>
        <v>3.1966666666666664E-2</v>
      </c>
      <c r="I70" s="413">
        <f t="shared" si="80"/>
        <v>3.1966666666666664E-2</v>
      </c>
      <c r="J70" s="413">
        <f t="shared" si="83"/>
        <v>3.1966666666666664E-2</v>
      </c>
      <c r="K70" s="414">
        <f t="shared" si="72"/>
        <v>9.5899999999999999E-2</v>
      </c>
      <c r="L70" s="413">
        <f t="shared" si="81"/>
        <v>2.7399999999999997E-2</v>
      </c>
      <c r="M70" s="413">
        <f t="shared" si="82"/>
        <v>2.7399999999999997E-2</v>
      </c>
      <c r="N70" s="413">
        <f t="shared" si="84"/>
        <v>2.7399999999999997E-2</v>
      </c>
      <c r="O70" s="414">
        <f t="shared" si="72"/>
        <v>8.2199999999999995E-2</v>
      </c>
      <c r="P70" s="413">
        <f t="shared" si="85"/>
        <v>2.2833333333333334E-2</v>
      </c>
      <c r="Q70" s="413">
        <f t="shared" si="86"/>
        <v>2.2833333333333334E-2</v>
      </c>
      <c r="R70" s="413">
        <f t="shared" si="87"/>
        <v>2.2833333333333334E-2</v>
      </c>
      <c r="S70" s="414">
        <f t="shared" si="72"/>
        <v>6.8500000000000005E-2</v>
      </c>
      <c r="T70" s="735">
        <f t="shared" si="75"/>
        <v>0.27400000000000002</v>
      </c>
    </row>
    <row r="71" spans="2:20">
      <c r="B71" s="1536"/>
      <c r="C71" s="144" t="s">
        <v>64</v>
      </c>
      <c r="D71" s="413">
        <f t="shared" si="76"/>
        <v>0.15333333333333335</v>
      </c>
      <c r="E71" s="413">
        <f t="shared" si="77"/>
        <v>0.15333333333333335</v>
      </c>
      <c r="F71" s="413">
        <f t="shared" si="78"/>
        <v>0.15333333333333335</v>
      </c>
      <c r="G71" s="414">
        <f t="shared" si="72"/>
        <v>0.46000000000000008</v>
      </c>
      <c r="H71" s="413">
        <f t="shared" si="79"/>
        <v>0.53666666666666663</v>
      </c>
      <c r="I71" s="413">
        <f t="shared" si="80"/>
        <v>0.53666666666666663</v>
      </c>
      <c r="J71" s="413">
        <v>0</v>
      </c>
      <c r="K71" s="414">
        <f t="shared" si="72"/>
        <v>1.6099999999999999</v>
      </c>
      <c r="L71" s="413">
        <f t="shared" si="81"/>
        <v>0.45999999999999996</v>
      </c>
      <c r="M71" s="413">
        <f t="shared" si="82"/>
        <v>0.45999999999999996</v>
      </c>
      <c r="N71" s="413">
        <v>1</v>
      </c>
      <c r="O71" s="414">
        <f t="shared" si="72"/>
        <v>1.38</v>
      </c>
      <c r="P71" s="413">
        <f t="shared" si="85"/>
        <v>0.38333333333333336</v>
      </c>
      <c r="Q71" s="413">
        <f t="shared" si="86"/>
        <v>0.38333333333333336</v>
      </c>
      <c r="R71" s="413">
        <v>1</v>
      </c>
      <c r="S71" s="414">
        <f t="shared" si="72"/>
        <v>1.1500000000000001</v>
      </c>
      <c r="T71" s="735">
        <f t="shared" si="75"/>
        <v>4.5999999999999996</v>
      </c>
    </row>
    <row r="72" spans="2:20">
      <c r="B72" s="1536"/>
      <c r="C72" s="144" t="s">
        <v>60</v>
      </c>
      <c r="D72" s="413">
        <f t="shared" si="76"/>
        <v>0.31333333333333335</v>
      </c>
      <c r="E72" s="413">
        <f t="shared" si="77"/>
        <v>0.31333333333333335</v>
      </c>
      <c r="F72" s="413">
        <v>1</v>
      </c>
      <c r="G72" s="414">
        <f t="shared" si="72"/>
        <v>0.94000000000000006</v>
      </c>
      <c r="H72" s="413">
        <f t="shared" si="79"/>
        <v>1.0966666666666667</v>
      </c>
      <c r="I72" s="413">
        <f t="shared" si="80"/>
        <v>1.0966666666666667</v>
      </c>
      <c r="J72" s="413">
        <f t="shared" si="83"/>
        <v>1.0966666666666667</v>
      </c>
      <c r="K72" s="414">
        <f t="shared" si="72"/>
        <v>3.29</v>
      </c>
      <c r="L72" s="413">
        <f t="shared" si="81"/>
        <v>0.94000000000000006</v>
      </c>
      <c r="M72" s="413">
        <f t="shared" si="82"/>
        <v>0.94000000000000006</v>
      </c>
      <c r="N72" s="413">
        <f t="shared" si="84"/>
        <v>0.94000000000000006</v>
      </c>
      <c r="O72" s="414">
        <f t="shared" si="72"/>
        <v>2.8200000000000003</v>
      </c>
      <c r="P72" s="413">
        <f t="shared" si="85"/>
        <v>0.78333333333333333</v>
      </c>
      <c r="Q72" s="413">
        <f t="shared" si="86"/>
        <v>0.78333333333333333</v>
      </c>
      <c r="R72" s="413">
        <v>0</v>
      </c>
      <c r="S72" s="414">
        <f t="shared" si="72"/>
        <v>2.35</v>
      </c>
      <c r="T72" s="735">
        <f t="shared" si="75"/>
        <v>9.4</v>
      </c>
    </row>
    <row r="73" spans="2:20">
      <c r="B73" s="144" t="s">
        <v>523</v>
      </c>
      <c r="C73" s="144" t="s">
        <v>524</v>
      </c>
      <c r="D73" s="413">
        <f t="shared" si="76"/>
        <v>8.572000000000001</v>
      </c>
      <c r="E73" s="413">
        <f t="shared" si="77"/>
        <v>8.572000000000001</v>
      </c>
      <c r="F73" s="413">
        <v>8</v>
      </c>
      <c r="G73" s="414">
        <f t="shared" si="72"/>
        <v>25.716000000000005</v>
      </c>
      <c r="H73" s="413">
        <f t="shared" si="79"/>
        <v>30.001999999999999</v>
      </c>
      <c r="I73" s="413">
        <f t="shared" si="80"/>
        <v>30.001999999999999</v>
      </c>
      <c r="J73" s="413">
        <f t="shared" si="83"/>
        <v>30.001999999999999</v>
      </c>
      <c r="K73" s="414">
        <f t="shared" si="72"/>
        <v>90.006</v>
      </c>
      <c r="L73" s="413">
        <f t="shared" si="81"/>
        <v>25.715999999999998</v>
      </c>
      <c r="M73" s="413">
        <f t="shared" si="82"/>
        <v>25.715999999999998</v>
      </c>
      <c r="N73" s="413">
        <v>25</v>
      </c>
      <c r="O73" s="414">
        <f t="shared" si="72"/>
        <v>77.147999999999996</v>
      </c>
      <c r="P73" s="413">
        <f t="shared" si="85"/>
        <v>21.430000000000003</v>
      </c>
      <c r="Q73" s="413">
        <f t="shared" si="86"/>
        <v>21.430000000000003</v>
      </c>
      <c r="R73" s="413">
        <v>22</v>
      </c>
      <c r="S73" s="414">
        <f t="shared" si="72"/>
        <v>64.290000000000006</v>
      </c>
      <c r="T73" s="735">
        <f t="shared" si="75"/>
        <v>257.16000000000003</v>
      </c>
    </row>
    <row r="74" spans="2:20" ht="28.5">
      <c r="B74" s="144"/>
      <c r="C74" s="146" t="s">
        <v>525</v>
      </c>
      <c r="D74" s="413">
        <f t="shared" ref="D74:F74" si="88">SUM(D60:D72)</f>
        <v>9.0429799999999982</v>
      </c>
      <c r="E74" s="413">
        <f t="shared" si="88"/>
        <v>9.0429799999999982</v>
      </c>
      <c r="F74" s="413">
        <f t="shared" si="88"/>
        <v>12.913913333333333</v>
      </c>
      <c r="G74" s="414">
        <f>SUM(G60:G72)</f>
        <v>27.12894</v>
      </c>
      <c r="H74" s="413">
        <f t="shared" ref="H74:J74" si="89">SUM(H60:H72)</f>
        <v>31.650430000000004</v>
      </c>
      <c r="I74" s="413">
        <f t="shared" si="89"/>
        <v>31.650430000000004</v>
      </c>
      <c r="J74" s="413">
        <f t="shared" si="89"/>
        <v>31.876966666666668</v>
      </c>
      <c r="K74" s="414">
        <f>SUM(K60:K72)</f>
        <v>94.95129</v>
      </c>
      <c r="L74" s="413">
        <f t="shared" ref="L74:N74" si="90">SUM(L60:L72)</f>
        <v>27.12894</v>
      </c>
      <c r="M74" s="413">
        <f t="shared" si="90"/>
        <v>27.12894</v>
      </c>
      <c r="N74" s="413">
        <f t="shared" si="90"/>
        <v>21.9314</v>
      </c>
      <c r="O74" s="414">
        <f>SUM(O60:O72)</f>
        <v>81.38682</v>
      </c>
      <c r="P74" s="413">
        <f t="shared" ref="P74:R74" si="91">SUM(P60:P72)</f>
        <v>22.607450000000004</v>
      </c>
      <c r="Q74" s="413">
        <f t="shared" si="91"/>
        <v>22.607450000000004</v>
      </c>
      <c r="R74" s="413">
        <f t="shared" si="91"/>
        <v>20.773833333333336</v>
      </c>
      <c r="S74" s="414">
        <f>SUM(S60:S72)</f>
        <v>67.82235</v>
      </c>
      <c r="T74" s="735">
        <f t="shared" si="75"/>
        <v>271.2894</v>
      </c>
    </row>
    <row r="75" spans="2:20" ht="28.5">
      <c r="B75" s="144"/>
      <c r="C75" s="146" t="s">
        <v>526</v>
      </c>
      <c r="D75" s="413">
        <f t="shared" ref="D75:F75" si="92">D67</f>
        <v>0.32133333333333336</v>
      </c>
      <c r="E75" s="413">
        <f t="shared" si="92"/>
        <v>0.32133333333333336</v>
      </c>
      <c r="F75" s="413">
        <f t="shared" si="92"/>
        <v>1</v>
      </c>
      <c r="G75" s="414">
        <f>G67</f>
        <v>0.96400000000000008</v>
      </c>
      <c r="H75" s="413">
        <f t="shared" ref="H75:J75" si="93">H67</f>
        <v>1.1246666666666669</v>
      </c>
      <c r="I75" s="413">
        <f t="shared" si="93"/>
        <v>1.1246666666666669</v>
      </c>
      <c r="J75" s="413">
        <f t="shared" si="93"/>
        <v>1.1246666666666669</v>
      </c>
      <c r="K75" s="414">
        <f>K67</f>
        <v>3.3740000000000006</v>
      </c>
      <c r="L75" s="413">
        <f t="shared" ref="L75:N75" si="94">L67</f>
        <v>0.96399999999999997</v>
      </c>
      <c r="M75" s="413">
        <f t="shared" si="94"/>
        <v>0.96399999999999997</v>
      </c>
      <c r="N75" s="413">
        <f t="shared" si="94"/>
        <v>0.96399999999999997</v>
      </c>
      <c r="O75" s="414">
        <f>O67</f>
        <v>2.8919999999999999</v>
      </c>
      <c r="P75" s="413">
        <f t="shared" ref="P75:R75" si="95">P67</f>
        <v>0.80333333333333334</v>
      </c>
      <c r="Q75" s="413">
        <f t="shared" si="95"/>
        <v>0.80333333333333334</v>
      </c>
      <c r="R75" s="413">
        <f t="shared" si="95"/>
        <v>0</v>
      </c>
      <c r="S75" s="414">
        <f>S67</f>
        <v>2.41</v>
      </c>
      <c r="T75" s="735">
        <f t="shared" si="75"/>
        <v>9.64</v>
      </c>
    </row>
    <row r="78" spans="2:20" ht="14.25" customHeight="1">
      <c r="B78" s="1365"/>
      <c r="C78" s="1365"/>
      <c r="D78" s="1365"/>
      <c r="E78" s="1365"/>
      <c r="F78" s="1365"/>
      <c r="H78" s="1365"/>
      <c r="I78" s="1365"/>
      <c r="J78" s="1365"/>
      <c r="L78" s="1365"/>
      <c r="M78" s="1365"/>
      <c r="N78" s="1365"/>
      <c r="P78" s="1365"/>
      <c r="Q78" s="1365"/>
      <c r="R78" s="1365"/>
    </row>
    <row r="80" spans="2:20" ht="15" thickBot="1">
      <c r="B80" s="1365"/>
      <c r="C80" s="1365"/>
      <c r="D80" s="1365"/>
      <c r="E80" s="1365"/>
      <c r="F80" s="1365"/>
      <c r="H80" s="1365"/>
      <c r="I80" s="1365"/>
      <c r="J80" s="1365"/>
      <c r="L80" s="1365"/>
      <c r="M80" s="1365"/>
      <c r="N80" s="1365"/>
      <c r="O80" s="1365"/>
      <c r="P80" s="1365"/>
      <c r="Q80" s="1365"/>
      <c r="R80" s="1365"/>
    </row>
    <row r="81" spans="4:20" ht="99.75">
      <c r="D81" s="1671" t="s">
        <v>958</v>
      </c>
      <c r="E81" s="1672"/>
      <c r="F81" s="1673"/>
      <c r="H81" s="1365"/>
      <c r="I81" s="1365"/>
      <c r="J81" s="1365"/>
      <c r="L81" s="1355" t="s">
        <v>959</v>
      </c>
      <c r="M81" s="1355" t="s">
        <v>960</v>
      </c>
      <c r="N81" s="1355" t="s">
        <v>961</v>
      </c>
      <c r="O81" s="1365"/>
      <c r="P81" s="1667" t="s">
        <v>962</v>
      </c>
      <c r="Q81" s="1667"/>
      <c r="R81" s="1667"/>
      <c r="S81" s="1667"/>
      <c r="T81" s="1667"/>
    </row>
    <row r="82" spans="4:20" ht="15.75" thickBot="1">
      <c r="D82" s="410"/>
      <c r="E82" s="411"/>
      <c r="F82" s="412"/>
      <c r="H82" s="1365"/>
      <c r="I82" s="1365"/>
      <c r="J82" s="1365"/>
      <c r="L82" s="144">
        <v>27600000</v>
      </c>
      <c r="M82" s="144">
        <f t="shared" ref="M82:M95" si="96">L82*0.3</f>
        <v>8280000</v>
      </c>
      <c r="N82" s="144">
        <f t="shared" ref="N82:N95" si="97">M82/10</f>
        <v>828000</v>
      </c>
      <c r="O82" s="1365"/>
      <c r="P82" s="1365"/>
      <c r="Q82" s="1365"/>
      <c r="R82" s="1365" t="s">
        <v>963</v>
      </c>
      <c r="S82" s="1365" t="s">
        <v>964</v>
      </c>
      <c r="T82" s="897" t="s">
        <v>271</v>
      </c>
    </row>
    <row r="83" spans="4:20" ht="15">
      <c r="D83" s="411"/>
      <c r="E83" s="411"/>
      <c r="F83" s="411"/>
      <c r="H83" s="1365"/>
      <c r="I83" s="1365"/>
      <c r="J83" s="1365"/>
      <c r="L83" s="144">
        <v>28671700</v>
      </c>
      <c r="M83" s="144">
        <f t="shared" si="96"/>
        <v>8601510</v>
      </c>
      <c r="N83" s="144">
        <f t="shared" si="97"/>
        <v>860151</v>
      </c>
      <c r="O83" s="1365"/>
      <c r="P83" s="1666" t="s">
        <v>515</v>
      </c>
      <c r="Q83" s="1365" t="s">
        <v>57</v>
      </c>
      <c r="R83" s="415">
        <f t="shared" ref="R83:R96" si="98">T6</f>
        <v>58.812000000000005</v>
      </c>
      <c r="S83" s="415">
        <f t="shared" ref="S83:S96" si="99">T42</f>
        <v>276</v>
      </c>
      <c r="T83" s="898">
        <f>SUM(R83:S83)</f>
        <v>334.81200000000001</v>
      </c>
    </row>
    <row r="84" spans="4:20" ht="57">
      <c r="D84" s="1355" t="s">
        <v>965</v>
      </c>
      <c r="E84" s="1355" t="s">
        <v>966</v>
      </c>
      <c r="F84" s="1365"/>
      <c r="H84" s="1365"/>
      <c r="I84" s="1365"/>
      <c r="J84" s="1365"/>
      <c r="L84" s="144">
        <v>7900000</v>
      </c>
      <c r="M84" s="144">
        <f t="shared" si="96"/>
        <v>2370000</v>
      </c>
      <c r="N84" s="144">
        <f t="shared" si="97"/>
        <v>237000</v>
      </c>
      <c r="O84" s="1365"/>
      <c r="P84" s="1666"/>
      <c r="Q84" s="1365" t="s">
        <v>56</v>
      </c>
      <c r="R84" s="415">
        <f t="shared" si="98"/>
        <v>88.65</v>
      </c>
      <c r="S84" s="415">
        <f t="shared" si="99"/>
        <v>286.71700000000004</v>
      </c>
      <c r="T84" s="898">
        <f t="shared" ref="T84:T96" si="100">SUM(R84:S84)</f>
        <v>375.36700000000008</v>
      </c>
    </row>
    <row r="85" spans="4:20">
      <c r="D85" s="144">
        <v>12241000</v>
      </c>
      <c r="E85" s="413">
        <v>19604</v>
      </c>
      <c r="F85" s="1365"/>
      <c r="H85" s="1365"/>
      <c r="I85" s="1365"/>
      <c r="J85" s="1365"/>
      <c r="L85" s="144">
        <v>5000000</v>
      </c>
      <c r="M85" s="144">
        <f t="shared" si="96"/>
        <v>1500000</v>
      </c>
      <c r="N85" s="144">
        <f t="shared" si="97"/>
        <v>150000</v>
      </c>
      <c r="O85" s="1365"/>
      <c r="P85" s="1666"/>
      <c r="Q85" s="1365" t="s">
        <v>58</v>
      </c>
      <c r="R85" s="415">
        <f t="shared" si="98"/>
        <v>60.000000000000007</v>
      </c>
      <c r="S85" s="415">
        <f t="shared" si="99"/>
        <v>79</v>
      </c>
      <c r="T85" s="898">
        <f t="shared" si="100"/>
        <v>139</v>
      </c>
    </row>
    <row r="86" spans="4:20">
      <c r="D86" s="144">
        <v>2800000</v>
      </c>
      <c r="E86" s="413">
        <v>29550</v>
      </c>
      <c r="F86" s="1365"/>
      <c r="H86" s="1365"/>
      <c r="I86" s="1365"/>
      <c r="J86" s="1365"/>
      <c r="L86" s="144">
        <v>3830000</v>
      </c>
      <c r="M86" s="144">
        <f t="shared" si="96"/>
        <v>1149000</v>
      </c>
      <c r="N86" s="144">
        <f t="shared" si="97"/>
        <v>114900</v>
      </c>
      <c r="O86" s="1365"/>
      <c r="P86" s="1666"/>
      <c r="Q86" s="1365" t="s">
        <v>59</v>
      </c>
      <c r="R86" s="415">
        <f t="shared" si="98"/>
        <v>30.000000000000004</v>
      </c>
      <c r="S86" s="415">
        <f t="shared" si="99"/>
        <v>50</v>
      </c>
      <c r="T86" s="898">
        <f t="shared" si="100"/>
        <v>80</v>
      </c>
    </row>
    <row r="87" spans="4:20">
      <c r="D87" s="144">
        <v>2000000</v>
      </c>
      <c r="E87" s="413">
        <f>D87*0.01</f>
        <v>20000</v>
      </c>
      <c r="F87" s="1365"/>
      <c r="H87" s="1365"/>
      <c r="I87" s="1365"/>
      <c r="J87" s="1365"/>
      <c r="L87" s="144">
        <v>41506000</v>
      </c>
      <c r="M87" s="144">
        <f t="shared" si="96"/>
        <v>12451800</v>
      </c>
      <c r="N87" s="144">
        <f t="shared" si="97"/>
        <v>1245180</v>
      </c>
      <c r="O87" s="1365"/>
      <c r="P87" s="1666" t="s">
        <v>520</v>
      </c>
      <c r="Q87" s="1365" t="s">
        <v>63</v>
      </c>
      <c r="R87" s="415">
        <f t="shared" si="98"/>
        <v>21.3</v>
      </c>
      <c r="S87" s="415">
        <f t="shared" si="99"/>
        <v>38.300000000000004</v>
      </c>
      <c r="T87" s="898">
        <f t="shared" si="100"/>
        <v>59.600000000000009</v>
      </c>
    </row>
    <row r="88" spans="4:20">
      <c r="D88" s="144">
        <v>1000000</v>
      </c>
      <c r="E88" s="413">
        <f>D88*0.01</f>
        <v>10000</v>
      </c>
      <c r="F88" s="1365"/>
      <c r="H88" s="1365"/>
      <c r="I88" s="1365"/>
      <c r="J88" s="1365"/>
      <c r="L88" s="144">
        <v>3800000</v>
      </c>
      <c r="M88" s="144">
        <f t="shared" si="96"/>
        <v>1140000</v>
      </c>
      <c r="N88" s="144">
        <f t="shared" si="97"/>
        <v>114000</v>
      </c>
      <c r="O88" s="1365"/>
      <c r="P88" s="1666"/>
      <c r="Q88" s="1365" t="s">
        <v>55</v>
      </c>
      <c r="R88" s="415">
        <f t="shared" si="98"/>
        <v>117.85800000000002</v>
      </c>
      <c r="S88" s="415">
        <f t="shared" si="99"/>
        <v>415.05999999999995</v>
      </c>
      <c r="T88" s="898">
        <f t="shared" si="100"/>
        <v>532.91800000000001</v>
      </c>
    </row>
    <row r="89" spans="4:20">
      <c r="D89" s="144">
        <v>710000</v>
      </c>
      <c r="E89" s="413">
        <f>D89*0.01</f>
        <v>7100</v>
      </c>
      <c r="F89" s="1365"/>
      <c r="H89" s="1365"/>
      <c r="I89" s="1365"/>
      <c r="J89" s="1365"/>
      <c r="L89" s="144">
        <v>4820000</v>
      </c>
      <c r="M89" s="144">
        <f t="shared" si="96"/>
        <v>1446000</v>
      </c>
      <c r="N89" s="144">
        <f t="shared" si="97"/>
        <v>144600</v>
      </c>
      <c r="O89" s="1365"/>
      <c r="P89" s="1666"/>
      <c r="Q89" s="1365" t="s">
        <v>61</v>
      </c>
      <c r="R89" s="415">
        <f t="shared" si="98"/>
        <v>33</v>
      </c>
      <c r="S89" s="415">
        <f t="shared" si="99"/>
        <v>38</v>
      </c>
      <c r="T89" s="898">
        <f t="shared" si="100"/>
        <v>71</v>
      </c>
    </row>
    <row r="90" spans="4:20">
      <c r="D90" s="144">
        <v>3470000</v>
      </c>
      <c r="E90" s="413">
        <v>39286</v>
      </c>
      <c r="F90" s="1365"/>
      <c r="H90" s="1365"/>
      <c r="I90" s="1365"/>
      <c r="J90" s="1365"/>
      <c r="L90" s="144">
        <v>2700000</v>
      </c>
      <c r="M90" s="144">
        <f t="shared" si="96"/>
        <v>810000</v>
      </c>
      <c r="N90" s="144">
        <f t="shared" si="97"/>
        <v>81000</v>
      </c>
      <c r="O90" s="1365"/>
      <c r="P90" s="1666"/>
      <c r="Q90" s="1365" t="s">
        <v>62</v>
      </c>
      <c r="R90" s="415">
        <f t="shared" si="98"/>
        <v>14.271540000000002</v>
      </c>
      <c r="S90" s="415">
        <f t="shared" si="99"/>
        <v>48.199999999999996</v>
      </c>
      <c r="T90" s="898">
        <f t="shared" si="100"/>
        <v>62.471539999999997</v>
      </c>
    </row>
    <row r="91" spans="4:20">
      <c r="D91" s="144">
        <v>1100000</v>
      </c>
      <c r="E91" s="413">
        <f t="shared" ref="E91:E97" si="101">D91*0.01</f>
        <v>11000</v>
      </c>
      <c r="F91" s="1365"/>
      <c r="H91" s="1365"/>
      <c r="I91" s="1365"/>
      <c r="J91" s="1365"/>
      <c r="L91" s="144">
        <v>2680000</v>
      </c>
      <c r="M91" s="144">
        <f t="shared" si="96"/>
        <v>804000</v>
      </c>
      <c r="N91" s="144">
        <f t="shared" si="97"/>
        <v>80400</v>
      </c>
      <c r="O91" s="1365"/>
      <c r="P91" s="1666" t="s">
        <v>522</v>
      </c>
      <c r="Q91" s="1365" t="s">
        <v>66</v>
      </c>
      <c r="R91" s="415">
        <f t="shared" si="98"/>
        <v>5.8231200000000003</v>
      </c>
      <c r="S91" s="415">
        <f t="shared" si="99"/>
        <v>27</v>
      </c>
      <c r="T91" s="898">
        <f t="shared" si="100"/>
        <v>32.823120000000003</v>
      </c>
    </row>
    <row r="92" spans="4:20">
      <c r="D92" s="144">
        <v>475718</v>
      </c>
      <c r="E92" s="413">
        <f t="shared" si="101"/>
        <v>4757.18</v>
      </c>
      <c r="F92" s="1365"/>
      <c r="H92" s="1365"/>
      <c r="I92" s="1365"/>
      <c r="J92" s="1365"/>
      <c r="L92" s="144">
        <v>137000</v>
      </c>
      <c r="M92" s="144">
        <f t="shared" si="96"/>
        <v>41100</v>
      </c>
      <c r="N92" s="144">
        <f t="shared" si="97"/>
        <v>4110</v>
      </c>
      <c r="O92" s="1365"/>
      <c r="P92" s="1666"/>
      <c r="Q92" s="1365" t="s">
        <v>65</v>
      </c>
      <c r="R92" s="415">
        <f t="shared" si="98"/>
        <v>7.5000000000000009</v>
      </c>
      <c r="S92" s="415">
        <f t="shared" si="99"/>
        <v>26.8</v>
      </c>
      <c r="T92" s="898">
        <f t="shared" si="100"/>
        <v>34.300000000000004</v>
      </c>
    </row>
    <row r="93" spans="4:20">
      <c r="D93" s="144">
        <v>194104</v>
      </c>
      <c r="E93" s="413">
        <f t="shared" si="101"/>
        <v>1941.04</v>
      </c>
      <c r="F93" s="1365"/>
      <c r="H93" s="1365"/>
      <c r="I93" s="1365"/>
      <c r="J93" s="1365"/>
      <c r="L93" s="144">
        <v>2300000</v>
      </c>
      <c r="M93" s="144">
        <f t="shared" si="96"/>
        <v>690000</v>
      </c>
      <c r="N93" s="144">
        <f t="shared" si="97"/>
        <v>69000</v>
      </c>
      <c r="O93" s="1365"/>
      <c r="P93" s="1666"/>
      <c r="Q93" s="1365" t="s">
        <v>67</v>
      </c>
      <c r="R93" s="415">
        <f t="shared" si="98"/>
        <v>18.48</v>
      </c>
      <c r="S93" s="415">
        <f t="shared" si="99"/>
        <v>1.37</v>
      </c>
      <c r="T93" s="898">
        <f t="shared" si="100"/>
        <v>19.850000000000001</v>
      </c>
    </row>
    <row r="94" spans="4:20">
      <c r="D94" s="144">
        <v>250000</v>
      </c>
      <c r="E94" s="413">
        <f t="shared" si="101"/>
        <v>2500</v>
      </c>
      <c r="F94" s="1365"/>
      <c r="H94" s="1365"/>
      <c r="I94" s="1365"/>
      <c r="J94" s="1365"/>
      <c r="L94" s="144">
        <v>4700000</v>
      </c>
      <c r="M94" s="144">
        <f t="shared" si="96"/>
        <v>1410000</v>
      </c>
      <c r="N94" s="144">
        <f t="shared" si="97"/>
        <v>141000</v>
      </c>
      <c r="O94" s="1365"/>
      <c r="P94" s="1666"/>
      <c r="Q94" s="1365" t="s">
        <v>64</v>
      </c>
      <c r="R94" s="415">
        <f t="shared" si="98"/>
        <v>12.48</v>
      </c>
      <c r="S94" s="415">
        <f t="shared" si="99"/>
        <v>23</v>
      </c>
      <c r="T94" s="898">
        <f t="shared" si="100"/>
        <v>35.480000000000004</v>
      </c>
    </row>
    <row r="95" spans="4:20">
      <c r="D95" s="144">
        <v>616000</v>
      </c>
      <c r="E95" s="413">
        <f t="shared" si="101"/>
        <v>6160</v>
      </c>
      <c r="F95" s="1365"/>
      <c r="H95" s="1365"/>
      <c r="I95" s="1365"/>
      <c r="J95" s="1365"/>
      <c r="L95" s="144">
        <v>128580000</v>
      </c>
      <c r="M95" s="144">
        <f t="shared" si="96"/>
        <v>38574000</v>
      </c>
      <c r="N95" s="144">
        <f t="shared" si="97"/>
        <v>3857400</v>
      </c>
      <c r="O95" s="1365"/>
      <c r="P95" s="1666"/>
      <c r="Q95" s="1365" t="s">
        <v>60</v>
      </c>
      <c r="R95" s="415">
        <f t="shared" si="98"/>
        <v>30.000000000000004</v>
      </c>
      <c r="S95" s="415">
        <f t="shared" si="99"/>
        <v>47</v>
      </c>
      <c r="T95" s="898">
        <f t="shared" si="100"/>
        <v>77</v>
      </c>
    </row>
    <row r="96" spans="4:20">
      <c r="D96" s="144">
        <v>416000</v>
      </c>
      <c r="E96" s="413">
        <f t="shared" si="101"/>
        <v>4160</v>
      </c>
      <c r="F96" s="1365"/>
      <c r="H96" s="1365"/>
      <c r="I96" s="1365"/>
      <c r="J96" s="1365"/>
      <c r="L96" s="1365"/>
      <c r="M96" s="1365"/>
      <c r="N96" s="1365"/>
      <c r="O96" s="1365"/>
      <c r="P96" s="1364" t="s">
        <v>523</v>
      </c>
      <c r="Q96" s="1365" t="s">
        <v>524</v>
      </c>
      <c r="R96" s="415">
        <f t="shared" si="98"/>
        <v>1640.36275</v>
      </c>
      <c r="S96" s="415">
        <f t="shared" si="99"/>
        <v>1285.8</v>
      </c>
      <c r="T96" s="898">
        <f t="shared" si="100"/>
        <v>2926.16275</v>
      </c>
    </row>
    <row r="97" spans="4:19">
      <c r="D97" s="144">
        <v>1000000</v>
      </c>
      <c r="E97" s="413">
        <f t="shared" si="101"/>
        <v>10000</v>
      </c>
      <c r="F97" s="1365"/>
      <c r="H97" s="1365"/>
      <c r="I97" s="1365"/>
      <c r="J97" s="1365"/>
      <c r="L97" s="1365"/>
      <c r="M97" s="1365"/>
      <c r="N97" s="1365"/>
      <c r="P97" s="1365"/>
      <c r="Q97" s="1365"/>
      <c r="R97" s="1365"/>
      <c r="S97" s="1365"/>
    </row>
    <row r="98" spans="4:19">
      <c r="D98" s="144">
        <v>10750000</v>
      </c>
      <c r="E98" s="413">
        <v>504727</v>
      </c>
      <c r="F98" s="1365"/>
      <c r="H98" s="1365"/>
      <c r="I98" s="1365"/>
      <c r="J98" s="1365"/>
      <c r="L98" s="1365"/>
      <c r="M98" s="1365"/>
      <c r="N98" s="1365"/>
      <c r="P98" s="1365"/>
      <c r="Q98" s="1365"/>
      <c r="R98" s="1365"/>
      <c r="S98" s="1365"/>
    </row>
    <row r="99" spans="4:19">
      <c r="D99" s="1365"/>
      <c r="E99" s="1365"/>
      <c r="F99" s="1365"/>
      <c r="H99" s="1365"/>
      <c r="I99" s="1365"/>
      <c r="J99" s="1365"/>
      <c r="L99" s="1365"/>
      <c r="M99" s="1365"/>
      <c r="N99" s="1365"/>
      <c r="P99" s="1365"/>
      <c r="Q99" s="1365" t="s">
        <v>67</v>
      </c>
      <c r="R99" s="899">
        <v>19.850000000000001</v>
      </c>
      <c r="S99" s="1365"/>
    </row>
    <row r="100" spans="4:19">
      <c r="D100" s="1365"/>
      <c r="E100" s="1365"/>
      <c r="F100" s="1365"/>
      <c r="H100" s="1365"/>
      <c r="I100" s="1365"/>
      <c r="J100" s="1365"/>
      <c r="L100" s="1365"/>
      <c r="M100" s="1365"/>
      <c r="N100" s="1365"/>
      <c r="P100" s="1365"/>
      <c r="Q100" s="1365" t="s">
        <v>66</v>
      </c>
      <c r="R100" s="899">
        <v>32.823120000000003</v>
      </c>
      <c r="S100" s="1365"/>
    </row>
    <row r="101" spans="4:19">
      <c r="D101" s="1365"/>
      <c r="E101" s="1365"/>
      <c r="F101" s="1365"/>
      <c r="H101" s="1365"/>
      <c r="I101" s="1365"/>
      <c r="J101" s="1365"/>
      <c r="L101" s="1365"/>
      <c r="M101" s="1365"/>
      <c r="N101" s="1365"/>
      <c r="P101" s="1365"/>
      <c r="Q101" s="1365" t="s">
        <v>65</v>
      </c>
      <c r="R101" s="899">
        <v>34.300000000000004</v>
      </c>
      <c r="S101" s="1365"/>
    </row>
    <row r="102" spans="4:19">
      <c r="D102" s="1365"/>
      <c r="E102" s="1365"/>
      <c r="F102" s="1365"/>
      <c r="H102" s="1365"/>
      <c r="I102" s="1365"/>
      <c r="J102" s="1365"/>
      <c r="L102" s="1365"/>
      <c r="M102" s="1365"/>
      <c r="N102" s="1365"/>
      <c r="P102" s="1365"/>
      <c r="Q102" s="1365" t="s">
        <v>64</v>
      </c>
      <c r="R102" s="899">
        <v>35.480000000000004</v>
      </c>
      <c r="S102" s="1365"/>
    </row>
    <row r="103" spans="4:19">
      <c r="D103" s="1365"/>
      <c r="E103" s="1365"/>
      <c r="F103" s="1365"/>
      <c r="H103" s="1365"/>
      <c r="I103" s="1365"/>
      <c r="J103" s="1365"/>
      <c r="L103" s="1365"/>
      <c r="M103" s="1365"/>
      <c r="N103" s="1365"/>
      <c r="P103" s="1365"/>
      <c r="Q103" s="1365" t="s">
        <v>63</v>
      </c>
      <c r="R103" s="899">
        <v>59.600000000000009</v>
      </c>
      <c r="S103" s="1365"/>
    </row>
    <row r="104" spans="4:19">
      <c r="D104" s="1365"/>
      <c r="E104" s="1365"/>
      <c r="F104" s="1365"/>
      <c r="H104" s="1365"/>
      <c r="I104" s="1365"/>
      <c r="J104" s="1365"/>
      <c r="L104" s="1365"/>
      <c r="M104" s="1365"/>
      <c r="N104" s="1365"/>
      <c r="P104" s="1365"/>
      <c r="Q104" s="1365" t="s">
        <v>62</v>
      </c>
      <c r="R104" s="899">
        <v>62.471539999999997</v>
      </c>
      <c r="S104" s="1365"/>
    </row>
    <row r="105" spans="4:19">
      <c r="D105" s="1365"/>
      <c r="E105" s="1365"/>
      <c r="F105" s="1365"/>
      <c r="H105" s="1365"/>
      <c r="I105" s="1365"/>
      <c r="J105" s="1365"/>
      <c r="L105" s="1365"/>
      <c r="M105" s="1365"/>
      <c r="N105" s="1365"/>
      <c r="P105" s="1365"/>
      <c r="Q105" s="1365" t="s">
        <v>61</v>
      </c>
      <c r="R105" s="899">
        <v>71</v>
      </c>
      <c r="S105" s="1365"/>
    </row>
    <row r="106" spans="4:19">
      <c r="D106" s="1365"/>
      <c r="E106" s="1365"/>
      <c r="F106" s="1365"/>
      <c r="H106" s="1365"/>
      <c r="I106" s="1365"/>
      <c r="J106" s="1365"/>
      <c r="L106" s="1365"/>
      <c r="M106" s="1365"/>
      <c r="N106" s="1365"/>
      <c r="P106" s="1365"/>
      <c r="Q106" s="1365" t="s">
        <v>60</v>
      </c>
      <c r="R106" s="899">
        <v>77</v>
      </c>
      <c r="S106" s="1365"/>
    </row>
    <row r="107" spans="4:19">
      <c r="D107" s="1365"/>
      <c r="E107" s="1365"/>
      <c r="F107" s="1365"/>
      <c r="H107" s="1365"/>
      <c r="I107" s="1365"/>
      <c r="J107" s="1365"/>
      <c r="L107" s="1365"/>
      <c r="M107" s="1365"/>
      <c r="N107" s="1365"/>
      <c r="P107" s="1365"/>
      <c r="Q107" s="1365" t="s">
        <v>59</v>
      </c>
      <c r="R107" s="899">
        <v>80</v>
      </c>
      <c r="S107" s="1365"/>
    </row>
    <row r="108" spans="4:19">
      <c r="D108" s="1365"/>
      <c r="E108" s="1365"/>
      <c r="F108" s="1365"/>
      <c r="H108" s="1365"/>
      <c r="I108" s="1365"/>
      <c r="J108" s="1365"/>
      <c r="L108" s="1365"/>
      <c r="M108" s="1365"/>
      <c r="N108" s="1365"/>
      <c r="P108" s="1365"/>
      <c r="Q108" s="1365" t="s">
        <v>58</v>
      </c>
      <c r="R108" s="899">
        <v>139</v>
      </c>
      <c r="S108" s="1365"/>
    </row>
    <row r="109" spans="4:19">
      <c r="D109" s="1365"/>
      <c r="E109" s="1365"/>
      <c r="F109" s="1365"/>
      <c r="H109" s="1365"/>
      <c r="I109" s="1365"/>
      <c r="J109" s="1365"/>
      <c r="L109" s="1365"/>
      <c r="M109" s="1365"/>
      <c r="N109" s="1365"/>
      <c r="P109" s="1365"/>
      <c r="Q109" s="1365" t="s">
        <v>57</v>
      </c>
      <c r="R109" s="899">
        <v>334.81200000000001</v>
      </c>
      <c r="S109" s="1365"/>
    </row>
    <row r="110" spans="4:19">
      <c r="D110" s="1365"/>
      <c r="E110" s="1365"/>
      <c r="F110" s="1365"/>
      <c r="H110" s="1365"/>
      <c r="I110" s="1365"/>
      <c r="J110" s="1365"/>
      <c r="L110" s="1365"/>
      <c r="M110" s="1365"/>
      <c r="N110" s="1365"/>
      <c r="P110" s="1365"/>
      <c r="Q110" s="1365" t="s">
        <v>56</v>
      </c>
      <c r="R110" s="899">
        <v>375.36700000000008</v>
      </c>
      <c r="S110" s="1365"/>
    </row>
    <row r="111" spans="4:19">
      <c r="D111" s="1365"/>
      <c r="E111" s="1365"/>
      <c r="F111" s="1365"/>
      <c r="H111" s="1365"/>
      <c r="I111" s="1365"/>
      <c r="J111" s="1365"/>
      <c r="L111" s="1365"/>
      <c r="M111" s="1365"/>
      <c r="N111" s="1365"/>
      <c r="P111" s="1365"/>
      <c r="Q111" s="1365" t="s">
        <v>55</v>
      </c>
      <c r="R111" s="899">
        <v>532.91800000000001</v>
      </c>
      <c r="S111" s="1365"/>
    </row>
    <row r="113" spans="4:20">
      <c r="D113" s="1365" t="s">
        <v>558</v>
      </c>
      <c r="E113" s="1365"/>
      <c r="F113" s="1365"/>
      <c r="H113" s="1365"/>
      <c r="I113" s="1365"/>
      <c r="J113" s="1365"/>
      <c r="L113" s="1365"/>
      <c r="M113" s="1365"/>
      <c r="N113" s="1365"/>
      <c r="P113" s="1365"/>
      <c r="Q113" s="1365"/>
      <c r="R113" s="1365"/>
    </row>
    <row r="114" spans="4:20">
      <c r="D114" s="419" t="s">
        <v>967</v>
      </c>
      <c r="E114" s="1365"/>
      <c r="F114" s="1365"/>
      <c r="H114" s="1365"/>
      <c r="I114" s="1365"/>
      <c r="J114" s="1365"/>
      <c r="L114" s="1365"/>
      <c r="M114" s="1365"/>
      <c r="N114" s="1365"/>
      <c r="P114" s="1365"/>
      <c r="Q114" s="1365"/>
      <c r="R114" s="1365"/>
    </row>
    <row r="115" spans="4:20">
      <c r="D115" s="419" t="s">
        <v>966</v>
      </c>
      <c r="E115" s="1365"/>
      <c r="F115" s="1365"/>
      <c r="H115" s="1365"/>
      <c r="I115" s="1365"/>
      <c r="J115" s="1365"/>
      <c r="L115" s="1365"/>
      <c r="M115" s="1365"/>
      <c r="N115" s="1365"/>
      <c r="P115" s="1365"/>
      <c r="Q115" s="1365"/>
      <c r="R115" s="1365"/>
      <c r="S115" s="947" t="s">
        <v>968</v>
      </c>
      <c r="T115" s="735">
        <f>T20-T21+T56-T57</f>
        <v>1777.8785799999998</v>
      </c>
    </row>
    <row r="116" spans="4:20">
      <c r="D116" s="1365"/>
      <c r="E116" s="1365"/>
      <c r="F116" s="1365"/>
      <c r="H116" s="1365"/>
      <c r="I116" s="1365"/>
      <c r="J116" s="1365"/>
      <c r="L116" s="1365"/>
      <c r="M116" s="1365"/>
      <c r="N116" s="1365"/>
      <c r="P116" s="1365"/>
      <c r="Q116" s="1365"/>
      <c r="R116" s="1365"/>
      <c r="S116" s="947" t="s">
        <v>969</v>
      </c>
      <c r="T116" s="735">
        <f>T21+T57</f>
        <v>62.471539999999997</v>
      </c>
    </row>
    <row r="117" spans="4:20">
      <c r="D117" s="1365" t="s">
        <v>970</v>
      </c>
      <c r="E117" s="1365" t="s">
        <v>971</v>
      </c>
      <c r="F117" s="1365" t="s">
        <v>972</v>
      </c>
      <c r="G117" s="1365" t="s">
        <v>973</v>
      </c>
      <c r="H117" s="1365"/>
      <c r="I117" s="1365"/>
      <c r="J117" s="1365"/>
      <c r="L117" s="1365"/>
      <c r="M117" s="1365"/>
      <c r="N117" s="1365"/>
      <c r="P117" s="1365"/>
      <c r="Q117" s="1365"/>
      <c r="R117" s="1365"/>
      <c r="S117" s="947" t="s">
        <v>974</v>
      </c>
      <c r="T117" s="735">
        <f>T74-T75</f>
        <v>261.64940000000001</v>
      </c>
    </row>
    <row r="118" spans="4:20">
      <c r="D118" s="1365"/>
      <c r="E118" s="1365"/>
      <c r="F118" s="1365"/>
      <c r="H118" s="1365"/>
      <c r="I118" s="1365"/>
      <c r="J118" s="1365"/>
      <c r="L118" s="1365"/>
      <c r="M118" s="1365"/>
      <c r="N118" s="1365"/>
      <c r="P118" s="1365"/>
      <c r="Q118" s="1365"/>
      <c r="R118" s="1365"/>
      <c r="S118" s="947" t="s">
        <v>975</v>
      </c>
      <c r="T118" s="735">
        <f>T75</f>
        <v>9.64</v>
      </c>
    </row>
    <row r="119" spans="4:20">
      <c r="D119" s="1365"/>
      <c r="E119" s="1365"/>
      <c r="F119" s="1365"/>
      <c r="H119" s="1365"/>
      <c r="I119" s="1365"/>
      <c r="J119" s="1365"/>
      <c r="L119" s="1365"/>
      <c r="M119" s="1365"/>
      <c r="N119" s="1365"/>
      <c r="P119" s="1365"/>
      <c r="Q119" s="1365"/>
      <c r="R119" s="1365"/>
      <c r="S119" s="947" t="s">
        <v>976</v>
      </c>
      <c r="T119" s="735">
        <f>T38-T39</f>
        <v>96.780624000000017</v>
      </c>
    </row>
    <row r="120" spans="4:20">
      <c r="D120" s="1365"/>
      <c r="E120" s="1365"/>
      <c r="F120" s="1365"/>
      <c r="H120" s="1365"/>
      <c r="I120" s="1365"/>
      <c r="J120" s="1365"/>
      <c r="L120" s="1365"/>
      <c r="M120" s="1365"/>
      <c r="N120" s="1365"/>
      <c r="P120" s="1365"/>
      <c r="Q120" s="1365"/>
      <c r="R120" s="1365"/>
      <c r="S120" s="947" t="s">
        <v>977</v>
      </c>
      <c r="T120" s="735">
        <f>T39</f>
        <v>2.8543080000000005</v>
      </c>
    </row>
  </sheetData>
  <sortState xmlns:xlrd2="http://schemas.microsoft.com/office/spreadsheetml/2017/richdata2" ref="T94:U106">
    <sortCondition descending="1" ref="U94:U106"/>
  </sortState>
  <customSheetViews>
    <customSheetView guid="{F9015B81-4D5E-47E3-BFA8-A54438E9D1FF}" scale="85" showGridLines="0" hiddenColumns="1">
      <pane xSplit="3" ySplit="4" topLeftCell="D5" activePane="bottomRight" state="frozen"/>
      <selection pane="bottomRight" activeCell="T115" sqref="T115"/>
      <pageMargins left="0.7" right="0.7" top="0.78740157499999996" bottom="0.78740157499999996" header="0.3" footer="0.3"/>
      <pageSetup paperSize="9" orientation="portrait" r:id="rId1"/>
    </customSheetView>
  </customSheetViews>
  <mergeCells count="32">
    <mergeCell ref="B2:T2"/>
    <mergeCell ref="B3:C3"/>
    <mergeCell ref="P91:P95"/>
    <mergeCell ref="B68:B72"/>
    <mergeCell ref="B60:B63"/>
    <mergeCell ref="B64:B67"/>
    <mergeCell ref="P81:T81"/>
    <mergeCell ref="P83:P86"/>
    <mergeCell ref="P87:P90"/>
    <mergeCell ref="C5:T5"/>
    <mergeCell ref="C23:T23"/>
    <mergeCell ref="C41:T41"/>
    <mergeCell ref="B42:B45"/>
    <mergeCell ref="B46:B49"/>
    <mergeCell ref="D81:F81"/>
    <mergeCell ref="C59:T59"/>
    <mergeCell ref="B32:B36"/>
    <mergeCell ref="B50:B54"/>
    <mergeCell ref="D3:G3"/>
    <mergeCell ref="H3:K3"/>
    <mergeCell ref="L3:O3"/>
    <mergeCell ref="B14:B18"/>
    <mergeCell ref="B10:B13"/>
    <mergeCell ref="B6:B9"/>
    <mergeCell ref="B24:B27"/>
    <mergeCell ref="B28:B31"/>
    <mergeCell ref="V5:AJ5"/>
    <mergeCell ref="V7:V9"/>
    <mergeCell ref="V10:V12"/>
    <mergeCell ref="V13:V15"/>
    <mergeCell ref="P3:S3"/>
    <mergeCell ref="T3:T4"/>
  </mergeCells>
  <hyperlinks>
    <hyperlink ref="A1" location="MENU!A1" display="MENU" xr:uid="{605A5246-07E1-43BD-A450-DA9AB811A5AD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713C0-6223-4B0E-A68B-E167D2034947}">
  <sheetPr>
    <tabColor theme="7"/>
  </sheetPr>
  <dimension ref="A1:CI18"/>
  <sheetViews>
    <sheetView showGridLines="0" zoomScale="70" zoomScaleNormal="70" workbookViewId="0">
      <pane xSplit="2" ySplit="4" topLeftCell="X5" activePane="bottomRight" state="frozen"/>
      <selection pane="topRight" activeCell="C1" sqref="C1"/>
      <selection pane="bottomLeft" activeCell="A5" sqref="A5"/>
      <selection pane="bottomRight" activeCell="AB8" sqref="AB8"/>
    </sheetView>
  </sheetViews>
  <sheetFormatPr defaultColWidth="11.77734375" defaultRowHeight="14.25" outlineLevelCol="1"/>
  <cols>
    <col min="1" max="1" width="5.77734375" customWidth="1"/>
    <col min="2" max="2" width="24.21875" customWidth="1"/>
    <col min="3" max="18" width="24.21875" style="55" customWidth="1"/>
    <col min="19" max="19" width="17.109375" style="55" customWidth="1"/>
    <col min="20" max="20" width="4" customWidth="1"/>
    <col min="21" max="23" width="20.77734375" style="55" hidden="1" customWidth="1" outlineLevel="1"/>
    <col min="24" max="24" width="20.77734375" style="55" customWidth="1" collapsed="1"/>
    <col min="25" max="27" width="19.21875" style="55" hidden="1" customWidth="1" outlineLevel="1"/>
    <col min="28" max="28" width="19.21875" style="55" bestFit="1" customWidth="1" collapsed="1"/>
    <col min="29" max="31" width="19.21875" style="55" hidden="1" customWidth="1" outlineLevel="1"/>
    <col min="32" max="32" width="19.21875" style="55" bestFit="1" customWidth="1" collapsed="1"/>
    <col min="33" max="35" width="19.21875" style="55" hidden="1" customWidth="1" outlineLevel="1"/>
    <col min="36" max="36" width="19.21875" bestFit="1" customWidth="1" collapsed="1"/>
    <col min="37" max="37" width="20.33203125" customWidth="1"/>
    <col min="38" max="38" width="12.77734375" customWidth="1"/>
    <col min="39" max="39" width="3.21875" style="424" customWidth="1"/>
    <col min="40" max="42" width="19" style="55" customWidth="1"/>
    <col min="43" max="43" width="20.33203125" customWidth="1"/>
    <col min="44" max="46" width="20.33203125" style="55" customWidth="1"/>
    <col min="47" max="47" width="20.33203125" customWidth="1"/>
    <col min="48" max="50" width="20.33203125" style="55" customWidth="1"/>
    <col min="51" max="51" width="20.33203125" customWidth="1"/>
    <col min="52" max="54" width="20.33203125" style="55" customWidth="1"/>
    <col min="55" max="56" width="20.33203125" customWidth="1"/>
    <col min="57" max="57" width="12.77734375" customWidth="1"/>
    <col min="58" max="61" width="20.33203125" customWidth="1"/>
    <col min="62" max="62" width="21.77734375" customWidth="1"/>
    <col min="63" max="63" width="12.77734375" customWidth="1"/>
    <col min="64" max="68" width="21.33203125" customWidth="1"/>
    <col min="69" max="69" width="12.77734375" customWidth="1"/>
    <col min="70" max="73" width="19.21875" customWidth="1"/>
    <col min="74" max="74" width="21.33203125" customWidth="1"/>
    <col min="75" max="75" width="12.77734375" customWidth="1"/>
    <col min="76" max="76" width="19.44140625" customWidth="1"/>
    <col min="77" max="77" width="21.21875" customWidth="1"/>
    <col min="78" max="79" width="19.44140625" customWidth="1"/>
    <col min="80" max="80" width="20.44140625" customWidth="1"/>
    <col min="81" max="81" width="12.77734375" customWidth="1"/>
    <col min="82" max="86" width="21.44140625" customWidth="1"/>
  </cols>
  <sheetData>
    <row r="1" spans="1:87" ht="23.25" customHeight="1" thickBot="1">
      <c r="A1" s="107" t="s">
        <v>1</v>
      </c>
      <c r="B1" s="737"/>
      <c r="C1" s="737"/>
      <c r="D1" s="737"/>
      <c r="E1" s="737"/>
      <c r="F1" s="737"/>
      <c r="G1" s="737"/>
      <c r="H1" s="737"/>
      <c r="I1" s="737"/>
      <c r="J1" s="737"/>
      <c r="K1" s="737"/>
      <c r="L1" s="737"/>
      <c r="M1" s="737"/>
      <c r="N1" s="737"/>
      <c r="O1" s="737"/>
      <c r="P1" s="737"/>
      <c r="Q1" s="737"/>
      <c r="R1" s="737"/>
      <c r="S1" s="737"/>
      <c r="T1" s="737"/>
      <c r="U1" s="737"/>
      <c r="V1" s="737"/>
      <c r="W1" s="737"/>
      <c r="X1" s="737"/>
      <c r="Y1" s="737"/>
      <c r="Z1" s="737"/>
      <c r="AA1" s="737"/>
      <c r="AB1" s="737"/>
      <c r="AC1" s="737"/>
      <c r="AD1" s="737"/>
      <c r="AE1" s="737"/>
      <c r="AF1" s="737"/>
      <c r="AG1" s="737"/>
      <c r="AH1" s="737"/>
      <c r="AI1" s="737"/>
      <c r="AJ1" s="737"/>
      <c r="AK1" s="737"/>
      <c r="AL1" s="737"/>
      <c r="AN1" s="737"/>
      <c r="AO1" s="737"/>
      <c r="AP1" s="737"/>
      <c r="AQ1" s="737"/>
      <c r="AR1" s="737"/>
      <c r="AS1" s="737"/>
      <c r="AT1" s="737"/>
      <c r="AU1" s="737"/>
      <c r="AV1" s="737"/>
      <c r="AW1" s="737"/>
      <c r="AX1" s="737"/>
      <c r="AY1" s="737"/>
      <c r="AZ1" s="737"/>
      <c r="BA1" s="737"/>
      <c r="BB1" s="737"/>
      <c r="BC1" s="737"/>
      <c r="BD1" s="737"/>
      <c r="BE1" s="737"/>
      <c r="BF1" s="737"/>
      <c r="BG1" s="737"/>
      <c r="BH1" s="737"/>
      <c r="BI1" s="737"/>
      <c r="BJ1" s="737"/>
      <c r="BK1" s="737"/>
      <c r="BL1" s="737"/>
      <c r="BM1" s="737"/>
      <c r="BN1" s="737"/>
      <c r="BO1" s="737"/>
      <c r="BP1" s="737"/>
      <c r="BQ1" s="737"/>
      <c r="BR1" s="737"/>
      <c r="BS1" s="737"/>
      <c r="BT1" s="737"/>
      <c r="BU1" s="737"/>
      <c r="BV1" s="737"/>
      <c r="BW1" s="737"/>
      <c r="BX1" s="737"/>
      <c r="BY1" s="737"/>
      <c r="BZ1" s="737"/>
      <c r="CA1" s="737"/>
      <c r="CB1" s="737"/>
      <c r="CC1" s="737"/>
      <c r="CD1" s="737"/>
      <c r="CE1" s="737"/>
      <c r="CF1" s="737"/>
      <c r="CG1" s="737"/>
      <c r="CH1" s="737"/>
      <c r="CI1" s="737"/>
    </row>
    <row r="2" spans="1:87" s="202" customFormat="1" ht="35.25" customHeight="1" thickBot="1">
      <c r="A2" s="290"/>
      <c r="B2" s="291"/>
      <c r="C2" s="1676">
        <v>2019</v>
      </c>
      <c r="D2" s="1677"/>
      <c r="E2" s="1677"/>
      <c r="F2" s="1677"/>
      <c r="G2" s="1677"/>
      <c r="H2" s="1677"/>
      <c r="I2" s="1677"/>
      <c r="J2" s="1677"/>
      <c r="K2" s="1677"/>
      <c r="L2" s="1677"/>
      <c r="M2" s="1677"/>
      <c r="N2" s="1677"/>
      <c r="O2" s="1677"/>
      <c r="P2" s="1677"/>
      <c r="Q2" s="1677"/>
      <c r="R2" s="1677"/>
      <c r="S2" s="1679"/>
      <c r="T2" s="737"/>
      <c r="U2" s="1676">
        <v>2020</v>
      </c>
      <c r="V2" s="1677"/>
      <c r="W2" s="1677"/>
      <c r="X2" s="1677"/>
      <c r="Y2" s="1677"/>
      <c r="Z2" s="1677"/>
      <c r="AA2" s="1677"/>
      <c r="AB2" s="1677"/>
      <c r="AC2" s="1677"/>
      <c r="AD2" s="1677"/>
      <c r="AE2" s="1677"/>
      <c r="AF2" s="1677"/>
      <c r="AG2" s="1677"/>
      <c r="AH2" s="1677"/>
      <c r="AI2" s="1677"/>
      <c r="AJ2" s="1677"/>
      <c r="AK2" s="1677"/>
      <c r="AL2" s="1679"/>
      <c r="AM2" s="425"/>
      <c r="AN2" s="1676">
        <v>2021</v>
      </c>
      <c r="AO2" s="1677"/>
      <c r="AP2" s="1677"/>
      <c r="AQ2" s="1677"/>
      <c r="AR2" s="1677"/>
      <c r="AS2" s="1677"/>
      <c r="AT2" s="1677"/>
      <c r="AU2" s="1677"/>
      <c r="AV2" s="1677"/>
      <c r="AW2" s="1677"/>
      <c r="AX2" s="1677"/>
      <c r="AY2" s="1677"/>
      <c r="AZ2" s="1677"/>
      <c r="BA2" s="1677"/>
      <c r="BB2" s="1677"/>
      <c r="BC2" s="1677"/>
      <c r="BD2" s="1677"/>
      <c r="BE2" s="1678"/>
      <c r="BF2" s="1676">
        <v>2022</v>
      </c>
      <c r="BG2" s="1677"/>
      <c r="BH2" s="1677"/>
      <c r="BI2" s="1677"/>
      <c r="BJ2" s="1677"/>
      <c r="BK2" s="1678"/>
      <c r="BL2" s="1676">
        <v>2023</v>
      </c>
      <c r="BM2" s="1677"/>
      <c r="BN2" s="1677"/>
      <c r="BO2" s="1677"/>
      <c r="BP2" s="1677"/>
      <c r="BQ2" s="1678"/>
      <c r="BR2" s="1676">
        <v>2024</v>
      </c>
      <c r="BS2" s="1677"/>
      <c r="BT2" s="1677"/>
      <c r="BU2" s="1677"/>
      <c r="BV2" s="1677"/>
      <c r="BW2" s="1679"/>
      <c r="BX2" s="1682">
        <v>2025</v>
      </c>
      <c r="BY2" s="1682"/>
      <c r="BZ2" s="1682"/>
      <c r="CA2" s="1682"/>
      <c r="CB2" s="1682"/>
      <c r="CC2" s="1683"/>
      <c r="CD2" s="1681">
        <v>2026</v>
      </c>
      <c r="CE2" s="1682"/>
      <c r="CF2" s="1682"/>
      <c r="CG2" s="1682"/>
      <c r="CH2" s="1682"/>
      <c r="CI2" s="1683"/>
    </row>
    <row r="3" spans="1:87" s="200" customFormat="1" ht="43.5" thickBot="1">
      <c r="A3" s="900"/>
      <c r="B3" s="901"/>
      <c r="C3" s="1674" t="s">
        <v>258</v>
      </c>
      <c r="D3" s="1675"/>
      <c r="E3" s="1675"/>
      <c r="F3" s="1675"/>
      <c r="G3" s="1675" t="s">
        <v>262</v>
      </c>
      <c r="H3" s="1675"/>
      <c r="I3" s="1675"/>
      <c r="J3" s="1675"/>
      <c r="K3" s="1675" t="s">
        <v>266</v>
      </c>
      <c r="L3" s="1675"/>
      <c r="M3" s="1675"/>
      <c r="N3" s="1675"/>
      <c r="O3" s="1675" t="s">
        <v>270</v>
      </c>
      <c r="P3" s="1675"/>
      <c r="Q3" s="1675"/>
      <c r="R3" s="1675"/>
      <c r="S3" s="1680" t="s">
        <v>978</v>
      </c>
      <c r="T3" s="737"/>
      <c r="U3" s="1674" t="s">
        <v>258</v>
      </c>
      <c r="V3" s="1675"/>
      <c r="W3" s="1675"/>
      <c r="X3" s="1675"/>
      <c r="Y3" s="1675" t="s">
        <v>262</v>
      </c>
      <c r="Z3" s="1675"/>
      <c r="AA3" s="1675"/>
      <c r="AB3" s="1675"/>
      <c r="AC3" s="1675" t="s">
        <v>266</v>
      </c>
      <c r="AD3" s="1675"/>
      <c r="AE3" s="1675"/>
      <c r="AF3" s="1675"/>
      <c r="AG3" s="1675" t="s">
        <v>270</v>
      </c>
      <c r="AH3" s="1675"/>
      <c r="AI3" s="1675"/>
      <c r="AJ3" s="1675"/>
      <c r="AK3" s="1367" t="s">
        <v>978</v>
      </c>
      <c r="AL3" s="1368" t="s">
        <v>979</v>
      </c>
      <c r="AM3" s="423"/>
      <c r="AN3" s="1674" t="s">
        <v>258</v>
      </c>
      <c r="AO3" s="1675"/>
      <c r="AP3" s="1675"/>
      <c r="AQ3" s="1675"/>
      <c r="AR3" s="1675" t="s">
        <v>262</v>
      </c>
      <c r="AS3" s="1675"/>
      <c r="AT3" s="1675"/>
      <c r="AU3" s="1675"/>
      <c r="AV3" s="1675" t="s">
        <v>266</v>
      </c>
      <c r="AW3" s="1675"/>
      <c r="AX3" s="1675"/>
      <c r="AY3" s="1675"/>
      <c r="AZ3" s="1675" t="s">
        <v>270</v>
      </c>
      <c r="BA3" s="1675"/>
      <c r="BB3" s="1675"/>
      <c r="BC3" s="1675"/>
      <c r="BD3" s="1367" t="s">
        <v>978</v>
      </c>
      <c r="BE3" s="440" t="s">
        <v>979</v>
      </c>
      <c r="BF3" s="1366" t="s">
        <v>258</v>
      </c>
      <c r="BG3" s="1367" t="s">
        <v>262</v>
      </c>
      <c r="BH3" s="1367" t="s">
        <v>266</v>
      </c>
      <c r="BI3" s="1367" t="s">
        <v>270</v>
      </c>
      <c r="BJ3" s="1367" t="s">
        <v>978</v>
      </c>
      <c r="BK3" s="440" t="s">
        <v>979</v>
      </c>
      <c r="BL3" s="1366" t="s">
        <v>258</v>
      </c>
      <c r="BM3" s="1367" t="s">
        <v>262</v>
      </c>
      <c r="BN3" s="1367" t="s">
        <v>266</v>
      </c>
      <c r="BO3" s="1367" t="s">
        <v>270</v>
      </c>
      <c r="BP3" s="1367" t="s">
        <v>978</v>
      </c>
      <c r="BQ3" s="440" t="s">
        <v>979</v>
      </c>
      <c r="BR3" s="1366" t="s">
        <v>258</v>
      </c>
      <c r="BS3" s="1367" t="s">
        <v>262</v>
      </c>
      <c r="BT3" s="1367" t="s">
        <v>266</v>
      </c>
      <c r="BU3" s="1367" t="s">
        <v>270</v>
      </c>
      <c r="BV3" s="1367" t="s">
        <v>978</v>
      </c>
      <c r="BW3" s="1368" t="s">
        <v>979</v>
      </c>
      <c r="BX3" s="427" t="s">
        <v>258</v>
      </c>
      <c r="BY3" s="292" t="s">
        <v>262</v>
      </c>
      <c r="BZ3" s="292" t="s">
        <v>266</v>
      </c>
      <c r="CA3" s="292" t="s">
        <v>270</v>
      </c>
      <c r="CB3" s="293" t="s">
        <v>978</v>
      </c>
      <c r="CC3" s="293" t="s">
        <v>979</v>
      </c>
      <c r="CD3" s="289" t="s">
        <v>258</v>
      </c>
      <c r="CE3" s="292" t="s">
        <v>262</v>
      </c>
      <c r="CF3" s="292" t="s">
        <v>266</v>
      </c>
      <c r="CG3" s="292" t="s">
        <v>270</v>
      </c>
      <c r="CH3" s="293" t="s">
        <v>978</v>
      </c>
      <c r="CI3" s="293" t="s">
        <v>979</v>
      </c>
    </row>
    <row r="4" spans="1:87" s="397" customFormat="1" ht="15" thickBot="1">
      <c r="A4" s="902"/>
      <c r="B4" s="902"/>
      <c r="C4" s="903" t="s">
        <v>255</v>
      </c>
      <c r="D4" s="904" t="s">
        <v>256</v>
      </c>
      <c r="E4" s="904" t="s">
        <v>257</v>
      </c>
      <c r="F4" s="1367" t="s">
        <v>504</v>
      </c>
      <c r="G4" s="1367" t="s">
        <v>259</v>
      </c>
      <c r="H4" s="1367" t="s">
        <v>260</v>
      </c>
      <c r="I4" s="1367" t="s">
        <v>261</v>
      </c>
      <c r="J4" s="1367" t="s">
        <v>505</v>
      </c>
      <c r="K4" s="1367" t="s">
        <v>263</v>
      </c>
      <c r="L4" s="1367" t="s">
        <v>264</v>
      </c>
      <c r="M4" s="1367" t="s">
        <v>265</v>
      </c>
      <c r="N4" s="905" t="s">
        <v>507</v>
      </c>
      <c r="O4" s="1367" t="s">
        <v>267</v>
      </c>
      <c r="P4" s="1367" t="s">
        <v>268</v>
      </c>
      <c r="Q4" s="1367" t="s">
        <v>269</v>
      </c>
      <c r="R4" s="1367" t="s">
        <v>508</v>
      </c>
      <c r="S4" s="1680"/>
      <c r="T4" s="737"/>
      <c r="U4" s="903" t="s">
        <v>255</v>
      </c>
      <c r="V4" s="904" t="s">
        <v>256</v>
      </c>
      <c r="W4" s="904" t="s">
        <v>257</v>
      </c>
      <c r="X4" s="1367" t="s">
        <v>504</v>
      </c>
      <c r="Y4" s="1367" t="s">
        <v>259</v>
      </c>
      <c r="Z4" s="1367" t="s">
        <v>260</v>
      </c>
      <c r="AA4" s="1367" t="s">
        <v>261</v>
      </c>
      <c r="AB4" s="1367" t="s">
        <v>505</v>
      </c>
      <c r="AC4" s="1367" t="s">
        <v>263</v>
      </c>
      <c r="AD4" s="1367" t="s">
        <v>264</v>
      </c>
      <c r="AE4" s="1367" t="s">
        <v>265</v>
      </c>
      <c r="AF4" s="905" t="s">
        <v>507</v>
      </c>
      <c r="AG4" s="1367" t="s">
        <v>267</v>
      </c>
      <c r="AH4" s="1367" t="s">
        <v>268</v>
      </c>
      <c r="AI4" s="1367" t="s">
        <v>269</v>
      </c>
      <c r="AJ4" s="1367" t="s">
        <v>508</v>
      </c>
      <c r="AK4" s="1367"/>
      <c r="AL4" s="1368"/>
      <c r="AM4" s="423"/>
      <c r="AN4" s="903" t="s">
        <v>255</v>
      </c>
      <c r="AO4" s="904" t="s">
        <v>256</v>
      </c>
      <c r="AP4" s="904" t="s">
        <v>257</v>
      </c>
      <c r="AQ4" s="1367" t="s">
        <v>504</v>
      </c>
      <c r="AR4" s="1367" t="s">
        <v>259</v>
      </c>
      <c r="AS4" s="1367" t="s">
        <v>260</v>
      </c>
      <c r="AT4" s="1367" t="s">
        <v>261</v>
      </c>
      <c r="AU4" s="1367" t="s">
        <v>505</v>
      </c>
      <c r="AV4" s="1367" t="s">
        <v>263</v>
      </c>
      <c r="AW4" s="1367" t="s">
        <v>264</v>
      </c>
      <c r="AX4" s="1367" t="s">
        <v>265</v>
      </c>
      <c r="AY4" s="905" t="s">
        <v>507</v>
      </c>
      <c r="AZ4" s="1367" t="s">
        <v>267</v>
      </c>
      <c r="BA4" s="1367" t="s">
        <v>268</v>
      </c>
      <c r="BB4" s="1367" t="s">
        <v>269</v>
      </c>
      <c r="BC4" s="1367" t="s">
        <v>508</v>
      </c>
      <c r="BD4" s="1367"/>
      <c r="BE4" s="440"/>
      <c r="BF4" s="1366"/>
      <c r="BG4" s="1367"/>
      <c r="BH4" s="1367"/>
      <c r="BI4" s="1367"/>
      <c r="BJ4" s="1367"/>
      <c r="BK4" s="440"/>
      <c r="BL4" s="1366"/>
      <c r="BM4" s="1367"/>
      <c r="BN4" s="1367"/>
      <c r="BO4" s="1367"/>
      <c r="BP4" s="1367"/>
      <c r="BQ4" s="440"/>
      <c r="BR4" s="1366"/>
      <c r="BS4" s="1367"/>
      <c r="BT4" s="1367"/>
      <c r="BU4" s="1367"/>
      <c r="BV4" s="1367"/>
      <c r="BW4" s="1368"/>
      <c r="BX4" s="396"/>
      <c r="BY4" s="396"/>
      <c r="BZ4" s="396"/>
      <c r="CA4" s="396"/>
      <c r="CB4" s="396"/>
      <c r="CC4" s="396"/>
      <c r="CD4" s="396"/>
      <c r="CE4" s="396"/>
      <c r="CF4" s="396"/>
      <c r="CG4" s="396"/>
      <c r="CH4" s="396"/>
      <c r="CI4" s="396"/>
    </row>
    <row r="5" spans="1:87">
      <c r="A5" s="420"/>
      <c r="B5" s="421" t="s">
        <v>980</v>
      </c>
      <c r="C5" s="436"/>
      <c r="D5" s="434"/>
      <c r="E5" s="434"/>
      <c r="F5" s="435"/>
      <c r="G5" s="435"/>
      <c r="H5" s="435"/>
      <c r="I5" s="435"/>
      <c r="J5" s="435"/>
      <c r="K5" s="435"/>
      <c r="L5" s="435"/>
      <c r="M5" s="435"/>
      <c r="N5" s="435"/>
      <c r="O5" s="435"/>
      <c r="P5" s="435"/>
      <c r="Q5" s="435"/>
      <c r="R5" s="435"/>
      <c r="S5" s="437"/>
      <c r="T5" s="737"/>
      <c r="U5" s="129"/>
      <c r="V5" s="52"/>
      <c r="W5" s="52"/>
      <c r="X5" s="52"/>
      <c r="Y5" s="52"/>
      <c r="Z5" s="52"/>
      <c r="AA5" s="52"/>
      <c r="AB5" s="52"/>
      <c r="AC5" s="52"/>
      <c r="AD5" s="52"/>
      <c r="AE5" s="52"/>
      <c r="AF5" s="52"/>
      <c r="AG5" s="52"/>
      <c r="AH5" s="52"/>
      <c r="AI5" s="52"/>
      <c r="AJ5" s="52"/>
      <c r="AK5" s="52"/>
      <c r="AL5" s="257"/>
      <c r="AN5" s="129"/>
      <c r="AO5" s="52"/>
      <c r="AP5" s="52"/>
      <c r="AQ5" s="52"/>
      <c r="AR5" s="52"/>
      <c r="AS5" s="52"/>
      <c r="AT5" s="52"/>
      <c r="AU5" s="52"/>
      <c r="AV5" s="52"/>
      <c r="AW5" s="52"/>
      <c r="AX5" s="52"/>
      <c r="AY5" s="52"/>
      <c r="AZ5" s="52"/>
      <c r="BA5" s="52"/>
      <c r="BB5" s="52"/>
      <c r="BC5" s="52"/>
      <c r="BD5" s="52"/>
      <c r="BE5" s="244"/>
      <c r="BF5" s="129"/>
      <c r="BG5" s="52"/>
      <c r="BH5" s="52"/>
      <c r="BI5" s="52"/>
      <c r="BJ5" s="52"/>
      <c r="BK5" s="244"/>
      <c r="BL5" s="129"/>
      <c r="BM5" s="52"/>
      <c r="BN5" s="52"/>
      <c r="BO5" s="52"/>
      <c r="BP5" s="52"/>
      <c r="BQ5" s="244"/>
      <c r="BR5" s="129"/>
      <c r="BS5" s="52"/>
      <c r="BT5" s="52"/>
      <c r="BU5" s="52"/>
      <c r="BV5" s="52"/>
      <c r="BW5" s="257"/>
      <c r="BX5" s="737"/>
      <c r="BY5" s="737"/>
      <c r="BZ5" s="737"/>
      <c r="CA5" s="737"/>
      <c r="CB5" s="737"/>
      <c r="CC5" s="737"/>
      <c r="CD5" s="737"/>
      <c r="CE5" s="737"/>
      <c r="CF5" s="737"/>
      <c r="CG5" s="737"/>
      <c r="CH5" s="737"/>
      <c r="CI5" s="737"/>
    </row>
    <row r="6" spans="1:87">
      <c r="A6" s="147"/>
      <c r="B6" s="54" t="s">
        <v>981</v>
      </c>
      <c r="C6" s="438">
        <f t="shared" ref="C6:E8" si="0">U6*0.92</f>
        <v>69635890.798000008</v>
      </c>
      <c r="D6" s="435">
        <f t="shared" si="0"/>
        <v>71003930.798000023</v>
      </c>
      <c r="E6" s="435">
        <f t="shared" si="0"/>
        <v>75151199.886666685</v>
      </c>
      <c r="F6" s="435">
        <f>X6*0.92</f>
        <v>138446568.44619998</v>
      </c>
      <c r="G6" s="435">
        <f t="shared" ref="G6:I8" si="1">Y6*0.92</f>
        <v>135423496.39966667</v>
      </c>
      <c r="H6" s="435">
        <f t="shared" si="1"/>
        <v>135824592.19446665</v>
      </c>
      <c r="I6" s="435">
        <f t="shared" si="1"/>
        <v>135981105.33146665</v>
      </c>
      <c r="J6" s="435">
        <f>AB6*0.92</f>
        <v>407473776.58340001</v>
      </c>
      <c r="K6" s="435">
        <f t="shared" ref="K6:M8" si="2">AC6*0.92</f>
        <v>115613178.74522223</v>
      </c>
      <c r="L6" s="435">
        <f t="shared" si="2"/>
        <v>115605320.15633334</v>
      </c>
      <c r="M6" s="435">
        <f t="shared" si="2"/>
        <v>110990587.40666667</v>
      </c>
      <c r="N6" s="435">
        <f>AF6*0.92</f>
        <v>346815960.46900004</v>
      </c>
      <c r="O6" s="435">
        <f t="shared" ref="O6:O8" si="3">AG6*0.92</f>
        <v>97280167.580244467</v>
      </c>
      <c r="P6" s="435">
        <f t="shared" ref="P6:P8" si="4">AH6*0.92</f>
        <v>95386048.118200019</v>
      </c>
      <c r="Q6" s="435">
        <f t="shared" ref="Q6:Q8" si="5">AI6*0.92</f>
        <v>93833606.433933347</v>
      </c>
      <c r="R6" s="435">
        <f t="shared" ref="R6:R8" si="6">AJ6*0.92</f>
        <v>286158144.35460001</v>
      </c>
      <c r="S6" s="428">
        <f>F6+J6+N6+R6</f>
        <v>1178894449.8532</v>
      </c>
      <c r="T6" s="737"/>
      <c r="U6" s="432">
        <f>'Záznamy o prodeji'!D20*Produkty!$C$4+'Záznamy o prodeji'!D21*Produkty!$B$4+'Záznamy o prodeji'!D56*Produkty!$C$4+'Záznamy o prodeji'!D57*Produkty!$B$4</f>
        <v>75691185.650000006</v>
      </c>
      <c r="V6" s="428">
        <f>'Záznamy o prodeji'!E20*Produkty!$C$4+'Záznamy o prodeji'!E21*Produkty!$B$4+'Záznamy o prodeji'!E56*Produkty!$C$4+'Záznamy o prodeji'!E57*Produkty!$B$4</f>
        <v>77178185.650000021</v>
      </c>
      <c r="W6" s="428">
        <f>'Záznamy o prodeji'!F20*Produkty!$C$4+'Záznamy o prodeji'!F21*Produkty!$B$4+'Záznamy o prodeji'!F56*Produkty!$C$4+'Záznamy o prodeji'!F57*Produkty!$B$4</f>
        <v>81686086.833333343</v>
      </c>
      <c r="X6" s="428">
        <f>'Záznamy o prodeji'!G20*Produkty!$C$4+'Záznamy o prodeji'!G21*Produkty!$B$4+'Záznamy o prodeji'!G56*Produkty!$C$4+'Záznamy o prodeji'!G57*Produkty!$B$4</f>
        <v>150485400.48499998</v>
      </c>
      <c r="Y6" s="428">
        <f>'Záznamy o prodeji'!H20*Produkty!$C$4+'Záznamy o prodeji'!H21*Produkty!$B$4+'Záznamy o prodeji'!H56*Produkty!$C$4+'Záznamy o prodeji'!H57*Produkty!$B$4</f>
        <v>147199452.60833332</v>
      </c>
      <c r="Z6" s="428">
        <f>'Záznamy o prodeji'!I20*Produkty!$C$4+'Záznamy o prodeji'!I21*Produkty!$B$4+'Záznamy o prodeji'!I56*Produkty!$C$4+'Záznamy o prodeji'!I57*Produkty!$B$4</f>
        <v>147635426.29833332</v>
      </c>
      <c r="AA6" s="428">
        <f>'Záznamy o prodeji'!J20*Produkty!$C$4+'Záznamy o prodeji'!J21*Produkty!$B$4+'Záznamy o prodeji'!J56*Produkty!$C$4+'Záznamy o prodeji'!J57*Produkty!$B$4</f>
        <v>147805549.27333331</v>
      </c>
      <c r="AB6" s="428">
        <f>'Záznamy o prodeji'!K20*Produkty!$C$4+'Záznamy o prodeji'!K21*Produkty!$B$4+'Záznamy o prodeji'!K56*Produkty!$C$4+'Záznamy o prodeji'!K57*Produkty!$B$4</f>
        <v>442906278.89499998</v>
      </c>
      <c r="AC6" s="428">
        <f>'Záznamy o prodeji'!L20*Produkty!$C$4+'Záznamy o prodeji'!L21*Produkty!$B$4+'Záznamy o prodeji'!L56*Produkty!$C$4+'Záznamy o prodeji'!L57*Produkty!$B$4</f>
        <v>125666498.63611111</v>
      </c>
      <c r="AD6" s="428">
        <f>'Záznamy o prodeji'!M20*Produkty!$C$4+'Záznamy o prodeji'!M21*Produkty!$B$4+'Záznamy o prodeji'!M56*Produkty!$C$4+'Záznamy o prodeji'!M57*Produkty!$B$4</f>
        <v>125657956.69166668</v>
      </c>
      <c r="AE6" s="428">
        <f>'Záznamy o prodeji'!N20*Produkty!$C$4+'Záznamy o prodeji'!N21*Produkty!$B$4+'Záznamy o prodeji'!N56*Produkty!$C$4+'Záznamy o prodeji'!N57*Produkty!$B$4</f>
        <v>120641942.83333333</v>
      </c>
      <c r="AF6" s="428">
        <f>'Záznamy o prodeji'!O20*Produkty!$C$4+'Záznamy o prodeji'!O21*Produkty!$B$4+'Záznamy o prodeji'!O56*Produkty!$C$4+'Záznamy o prodeji'!O57*Produkty!$B$4</f>
        <v>376973870.07500005</v>
      </c>
      <c r="AG6" s="428">
        <f>'Záznamy o prodeji'!P20*Produkty!$C$4+'Záznamy o prodeji'!P21*Produkty!$B$4+'Záznamy o prodeji'!P56*Produkty!$C$4+'Záznamy o prodeji'!P57*Produkty!$B$4</f>
        <v>105739312.58722225</v>
      </c>
      <c r="AH6" s="428">
        <f>'Záznamy o prodeji'!Q20*Produkty!$C$4+'Záznamy o prodeji'!Q21*Produkty!$B$4+'Záznamy o prodeji'!Q56*Produkty!$C$4+'Záznamy o prodeji'!Q57*Produkty!$B$4</f>
        <v>103680487.08500002</v>
      </c>
      <c r="AI6" s="428">
        <f>'Záznamy o prodeji'!R20*Produkty!$C$4+'Záznamy o prodeji'!R21*Produkty!$B$4+'Záznamy o prodeji'!R56*Produkty!$C$4+'Záznamy o prodeji'!R57*Produkty!$B$4</f>
        <v>101993050.47166668</v>
      </c>
      <c r="AJ6" s="428">
        <f>'Záznamy o prodeji'!S20*Produkty!$C$4+'Záznamy o prodeji'!S21*Produkty!$B$4+'Záznamy o prodeji'!S56*Produkty!$C$4+'Záznamy o prodeji'!S57*Produkty!$B$4</f>
        <v>311041461.255</v>
      </c>
      <c r="AK6" s="428">
        <f>X6+AB6+AF6+AJ6</f>
        <v>1281407010.71</v>
      </c>
      <c r="AL6" s="429">
        <f t="shared" ref="AL6:AL11" si="7">(AK6-S6)/AK6</f>
        <v>8.0000000000000057E-2</v>
      </c>
      <c r="AM6" s="426"/>
      <c r="AN6" s="428">
        <f t="shared" ref="AN6:AP8" si="8">U6*1.08</f>
        <v>81746480.502000019</v>
      </c>
      <c r="AO6" s="428">
        <f t="shared" si="8"/>
        <v>83352440.502000034</v>
      </c>
      <c r="AP6" s="428">
        <f t="shared" si="8"/>
        <v>88220973.780000016</v>
      </c>
      <c r="AQ6" s="428">
        <f>X6*1.08</f>
        <v>162524232.52379999</v>
      </c>
      <c r="AR6" s="428">
        <f t="shared" ref="AR6:AT8" si="9">Y6*1.08</f>
        <v>158975408.817</v>
      </c>
      <c r="AS6" s="428">
        <f t="shared" si="9"/>
        <v>159446260.40219998</v>
      </c>
      <c r="AT6" s="428">
        <f t="shared" si="9"/>
        <v>159629993.21519998</v>
      </c>
      <c r="AU6" s="428">
        <f>AB6*1.08</f>
        <v>478338781.20660001</v>
      </c>
      <c r="AV6" s="428">
        <f t="shared" ref="AV6:AX8" si="10">AC6*1.08</f>
        <v>135719818.52700001</v>
      </c>
      <c r="AW6" s="428">
        <f t="shared" si="10"/>
        <v>135710593.22700003</v>
      </c>
      <c r="AX6" s="428">
        <f t="shared" si="10"/>
        <v>130293298.26000001</v>
      </c>
      <c r="AY6" s="428">
        <f>AF6*1.08</f>
        <v>407131779.68100005</v>
      </c>
      <c r="AZ6" s="428">
        <f t="shared" ref="AZ6:AZ8" si="11">AG6*1.08</f>
        <v>114198457.59420003</v>
      </c>
      <c r="BA6" s="428">
        <f t="shared" ref="BA6:BA8" si="12">AH6*1.08</f>
        <v>111974926.05180003</v>
      </c>
      <c r="BB6" s="428">
        <f t="shared" ref="BB6:BB8" si="13">AI6*1.08</f>
        <v>110152494.50940003</v>
      </c>
      <c r="BC6" s="428">
        <f t="shared" ref="BC6" si="14">AJ6*1.08</f>
        <v>335924778.15540004</v>
      </c>
      <c r="BD6" s="428">
        <f>AQ6+AU6+AY6+BC6</f>
        <v>1383919571.5668001</v>
      </c>
      <c r="BE6" s="441">
        <f>(BD6-AK6)/BD6</f>
        <v>7.4074074074074125E-2</v>
      </c>
      <c r="BF6" s="432">
        <f>AQ6*1.08</f>
        <v>175526171.12570399</v>
      </c>
      <c r="BG6" s="428">
        <f t="shared" ref="BG6:BG8" si="15">AU6*1.08</f>
        <v>516605883.70312804</v>
      </c>
      <c r="BH6" s="428">
        <f t="shared" ref="BH6:BH8" si="16">AY6*1.08</f>
        <v>439702322.05548006</v>
      </c>
      <c r="BI6" s="428">
        <f t="shared" ref="BI6:BI7" si="17">BC6*1.08</f>
        <v>362798760.40783209</v>
      </c>
      <c r="BJ6" s="428">
        <f>SUM(BF6:BI6)</f>
        <v>1494633137.2921443</v>
      </c>
      <c r="BK6" s="441">
        <f>(BJ6-BD6)/BJ6</f>
        <v>7.4074074074074181E-2</v>
      </c>
      <c r="BL6" s="432">
        <f>BF6*1.08</f>
        <v>189568264.81576031</v>
      </c>
      <c r="BM6" s="428">
        <f t="shared" ref="BM6:BM8" si="18">BG6*1.08</f>
        <v>557934354.3993783</v>
      </c>
      <c r="BN6" s="428">
        <f t="shared" ref="BN6:BN8" si="19">BH6*1.08</f>
        <v>474878507.81991851</v>
      </c>
      <c r="BO6" s="428">
        <f t="shared" ref="BO6:BO7" si="20">BI6*1.08</f>
        <v>391822661.24045867</v>
      </c>
      <c r="BP6" s="428">
        <f>SUM(BL6:BO6)</f>
        <v>1614203788.2755158</v>
      </c>
      <c r="BQ6" s="441">
        <f>(BP6-BJ6)/BP6</f>
        <v>7.4074074074074042E-2</v>
      </c>
      <c r="BR6" s="432">
        <f>BL6*1.08</f>
        <v>204733726.00102115</v>
      </c>
      <c r="BS6" s="428">
        <f t="shared" ref="BS6:BS8" si="21">BM6*1.08</f>
        <v>602569102.75132859</v>
      </c>
      <c r="BT6" s="428">
        <f t="shared" ref="BT6:BT8" si="22">BN6*1.08</f>
        <v>512868788.44551206</v>
      </c>
      <c r="BU6" s="428">
        <f t="shared" ref="BU6:BU7" si="23">BO6*1.08</f>
        <v>423168474.13969541</v>
      </c>
      <c r="BV6" s="428">
        <f>SUM(BR6:BU6)</f>
        <v>1743340091.3375571</v>
      </c>
      <c r="BW6" s="429">
        <f>(BV6-BP6)/BV6</f>
        <v>7.4074074074074084E-2</v>
      </c>
      <c r="BX6" s="203">
        <f>BR6*1.08</f>
        <v>221112424.08110285</v>
      </c>
      <c r="BY6" s="203">
        <f t="shared" ref="BY6:BY8" si="24">BS6*1.08</f>
        <v>650774630.97143495</v>
      </c>
      <c r="BZ6" s="203">
        <f t="shared" ref="BZ6:BZ8" si="25">BT6*1.08</f>
        <v>553898291.52115309</v>
      </c>
      <c r="CA6" s="203">
        <f t="shared" ref="CA6:CA7" si="26">BU6*1.08</f>
        <v>457021952.07087106</v>
      </c>
      <c r="CB6" s="203">
        <f>SUM(BX6:CA6)</f>
        <v>1882807298.644562</v>
      </c>
      <c r="CC6" s="201">
        <f>(CB6-BV6)/CB6</f>
        <v>7.407407407407425E-2</v>
      </c>
      <c r="CD6" s="203">
        <f>BX6*1.08</f>
        <v>238801418.0075911</v>
      </c>
      <c r="CE6" s="203">
        <f t="shared" ref="CE6:CE8" si="27">BY6*1.08</f>
        <v>702836601.44914985</v>
      </c>
      <c r="CF6" s="203">
        <f t="shared" ref="CF6:CF8" si="28">BZ6*1.08</f>
        <v>598210154.84284532</v>
      </c>
      <c r="CG6" s="203">
        <f t="shared" ref="CG6:CG7" si="29">CA6*1.08</f>
        <v>493583708.23654079</v>
      </c>
      <c r="CH6" s="203">
        <f>SUM(CD6:CG6)</f>
        <v>2033431882.5361271</v>
      </c>
      <c r="CI6" s="201">
        <f>(CH6-CB6)/CH6</f>
        <v>7.4074074074074125E-2</v>
      </c>
    </row>
    <row r="7" spans="1:87" ht="13.5" customHeight="1">
      <c r="A7" s="147"/>
      <c r="B7" s="54" t="s">
        <v>982</v>
      </c>
      <c r="C7" s="438">
        <f t="shared" si="0"/>
        <v>200239.56387733333</v>
      </c>
      <c r="D7" s="435">
        <f t="shared" si="0"/>
        <v>200239.56387733333</v>
      </c>
      <c r="E7" s="435">
        <f t="shared" si="0"/>
        <v>337997.28384000005</v>
      </c>
      <c r="F7" s="435">
        <f>X7*0.92</f>
        <v>600718.69163200015</v>
      </c>
      <c r="G7" s="435">
        <f t="shared" si="1"/>
        <v>400479.12775466667</v>
      </c>
      <c r="H7" s="435">
        <f t="shared" si="1"/>
        <v>400479.12775466667</v>
      </c>
      <c r="I7" s="435">
        <f t="shared" si="1"/>
        <v>502522.67968000012</v>
      </c>
      <c r="J7" s="435">
        <f>AB7*0.92</f>
        <v>1201437.3832640003</v>
      </c>
      <c r="K7" s="435">
        <f t="shared" si="2"/>
        <v>333732.60646222229</v>
      </c>
      <c r="L7" s="435">
        <f t="shared" si="2"/>
        <v>333732.60646222229</v>
      </c>
      <c r="M7" s="435">
        <f t="shared" si="2"/>
        <v>385140.44640000007</v>
      </c>
      <c r="N7" s="435">
        <f>AF7*0.92</f>
        <v>1001197.8193866669</v>
      </c>
      <c r="O7" s="435">
        <f t="shared" si="3"/>
        <v>266986.08516977774</v>
      </c>
      <c r="P7" s="435">
        <f t="shared" si="4"/>
        <v>266986.08516977774</v>
      </c>
      <c r="Q7" s="435">
        <f t="shared" si="5"/>
        <v>443327.82378666668</v>
      </c>
      <c r="R7" s="435">
        <f t="shared" si="6"/>
        <v>800958.25550933334</v>
      </c>
      <c r="S7" s="428">
        <f t="shared" ref="S7:S11" si="30">F7+J7+N7+R7</f>
        <v>3604312.1497920002</v>
      </c>
      <c r="T7" s="737"/>
      <c r="U7" s="432">
        <f>'Záznamy o prodeji'!D38*Produkty!$H$12+'Záznamy o prodeji'!D39*Produkty!$G$11</f>
        <v>217651.69986666666</v>
      </c>
      <c r="V7" s="428">
        <f>'Záznamy o prodeji'!E38*Produkty!$H$12+'Záznamy o prodeji'!E39*Produkty!$G$11</f>
        <v>217651.69986666666</v>
      </c>
      <c r="W7" s="428">
        <f>'Záznamy o prodeji'!F38*Produkty!$H$12+'Záznamy o prodeji'!F39*Produkty!$G$11</f>
        <v>367388.35200000001</v>
      </c>
      <c r="X7" s="428">
        <f>'Záznamy o prodeji'!G38*Produkty!$H$12+'Záznamy o prodeji'!G39*Produkty!$G$11</f>
        <v>652955.09960000007</v>
      </c>
      <c r="Y7" s="428">
        <f>'Záznamy o prodeji'!H38*Produkty!$H$12+'Záznamy o prodeji'!H39*Produkty!$G$11</f>
        <v>435303.39973333332</v>
      </c>
      <c r="Z7" s="428">
        <f>'Záznamy o prodeji'!I38*Produkty!$H$12+'Záznamy o prodeji'!I39*Produkty!$G$11</f>
        <v>435303.39973333332</v>
      </c>
      <c r="AA7" s="428">
        <f>'Záznamy o prodeji'!J38*Produkty!$H$12+'Záznamy o prodeji'!J39*Produkty!$G$11</f>
        <v>546220.30400000012</v>
      </c>
      <c r="AB7" s="428">
        <f>'Záznamy o prodeji'!K38*Produkty!$H$12+'Záznamy o prodeji'!K39*Produkty!$G$11</f>
        <v>1305910.1992000001</v>
      </c>
      <c r="AC7" s="428">
        <f>'Záznamy o prodeji'!L38*Produkty!$H$12+'Záznamy o prodeji'!L39*Produkty!$G$11</f>
        <v>362752.83311111119</v>
      </c>
      <c r="AD7" s="428">
        <f>'Záznamy o prodeji'!M38*Produkty!$H$12+'Záznamy o prodeji'!M39*Produkty!$G$11</f>
        <v>362752.83311111119</v>
      </c>
      <c r="AE7" s="428">
        <f>'Záznamy o prodeji'!N38*Produkty!$H$12+'Záznamy o prodeji'!N39*Produkty!$G$11</f>
        <v>418630.92000000004</v>
      </c>
      <c r="AF7" s="428">
        <f>'Záznamy o prodeji'!O38*Produkty!$H$12+'Záznamy o prodeji'!O39*Produkty!$G$11</f>
        <v>1088258.4993333335</v>
      </c>
      <c r="AG7" s="428">
        <f>'Záznamy o prodeji'!P38*Produkty!$H$12+'Záznamy o prodeji'!P39*Produkty!$G$11</f>
        <v>290202.26648888882</v>
      </c>
      <c r="AH7" s="428">
        <f>'Záznamy o prodeji'!Q38*Produkty!$H$12+'Záznamy o prodeji'!Q39*Produkty!$G$11</f>
        <v>290202.26648888882</v>
      </c>
      <c r="AI7" s="428">
        <f>'Záznamy o prodeji'!R38*Produkty!$H$12+'Záznamy o prodeji'!R39*Produkty!$G$11</f>
        <v>481878.06933333335</v>
      </c>
      <c r="AJ7" s="428">
        <f>'Záznamy o prodeji'!S38*Produkty!$H$12+'Záznamy o prodeji'!S39*Produkty!$G$11</f>
        <v>870606.79946666665</v>
      </c>
      <c r="AK7" s="428">
        <f t="shared" ref="AK7:AK11" si="31">X7+AB7+AF7+AJ7</f>
        <v>3917730.5976000004</v>
      </c>
      <c r="AL7" s="429">
        <f t="shared" si="7"/>
        <v>8.0000000000000057E-2</v>
      </c>
      <c r="AM7" s="426"/>
      <c r="AN7" s="428">
        <f t="shared" si="8"/>
        <v>235063.83585600002</v>
      </c>
      <c r="AO7" s="428">
        <f t="shared" si="8"/>
        <v>235063.83585600002</v>
      </c>
      <c r="AP7" s="428">
        <f t="shared" si="8"/>
        <v>396779.42016000004</v>
      </c>
      <c r="AQ7" s="428">
        <f t="shared" ref="AQ7:AQ8" si="32">X7*1.08</f>
        <v>705191.50756800012</v>
      </c>
      <c r="AR7" s="428">
        <f t="shared" si="9"/>
        <v>470127.67171200004</v>
      </c>
      <c r="AS7" s="428">
        <f t="shared" si="9"/>
        <v>470127.67171200004</v>
      </c>
      <c r="AT7" s="428">
        <f t="shared" si="9"/>
        <v>589917.92832000018</v>
      </c>
      <c r="AU7" s="428">
        <f t="shared" ref="AU7:AU8" si="33">AB7*1.08</f>
        <v>1410383.0151360002</v>
      </c>
      <c r="AV7" s="428">
        <f t="shared" si="10"/>
        <v>391773.05976000009</v>
      </c>
      <c r="AW7" s="428">
        <f t="shared" si="10"/>
        <v>391773.05976000009</v>
      </c>
      <c r="AX7" s="428">
        <f t="shared" si="10"/>
        <v>452121.39360000007</v>
      </c>
      <c r="AY7" s="428">
        <f t="shared" ref="AY7:AY8" si="34">AF7*1.08</f>
        <v>1175319.1792800003</v>
      </c>
      <c r="AZ7" s="428">
        <f t="shared" si="11"/>
        <v>313418.44780799997</v>
      </c>
      <c r="BA7" s="428">
        <f t="shared" si="12"/>
        <v>313418.44780799997</v>
      </c>
      <c r="BB7" s="428">
        <f t="shared" si="13"/>
        <v>520428.31488000008</v>
      </c>
      <c r="BC7" s="428">
        <f t="shared" ref="BC7" si="35">AJ7*1.08</f>
        <v>940255.34342400008</v>
      </c>
      <c r="BD7" s="428">
        <f t="shared" ref="BD7:BD11" si="36">AQ7+AU7+AY7+BC7</f>
        <v>4231149.0454080012</v>
      </c>
      <c r="BE7" s="441">
        <f t="shared" ref="BE7:BE11" si="37">(BD7-AK7)/BD7</f>
        <v>7.4074074074074223E-2</v>
      </c>
      <c r="BF7" s="432">
        <f t="shared" ref="BF7:BF8" si="38">AQ7*1.08</f>
        <v>761606.82817344018</v>
      </c>
      <c r="BG7" s="428">
        <f t="shared" si="15"/>
        <v>1523213.6563468804</v>
      </c>
      <c r="BH7" s="428">
        <f t="shared" si="16"/>
        <v>1269344.7136224003</v>
      </c>
      <c r="BI7" s="428">
        <f t="shared" si="17"/>
        <v>1015475.7708979201</v>
      </c>
      <c r="BJ7" s="428">
        <f t="shared" ref="BJ7:BJ8" si="39">SUM(BF7:BI7)</f>
        <v>4569640.9690406416</v>
      </c>
      <c r="BK7" s="441">
        <f t="shared" ref="BK7:BK11" si="40">(BJ7-BD7)/BJ7</f>
        <v>7.4074074074074139E-2</v>
      </c>
      <c r="BL7" s="432">
        <f t="shared" ref="BL7:BL8" si="41">BF7*1.08</f>
        <v>822535.37442731543</v>
      </c>
      <c r="BM7" s="428">
        <f t="shared" si="18"/>
        <v>1645070.7488546309</v>
      </c>
      <c r="BN7" s="428">
        <f t="shared" si="19"/>
        <v>1370892.2907121924</v>
      </c>
      <c r="BO7" s="428">
        <f t="shared" si="20"/>
        <v>1096713.8325697538</v>
      </c>
      <c r="BP7" s="428">
        <f t="shared" ref="BP7:BP8" si="42">SUM(BL7:BO7)</f>
        <v>4935212.2465638928</v>
      </c>
      <c r="BQ7" s="441">
        <f t="shared" ref="BQ7:BQ9" si="43">(BP7-BJ7)/BP7</f>
        <v>7.4074074074074056E-2</v>
      </c>
      <c r="BR7" s="432">
        <f t="shared" ref="BR7:BR8" si="44">BL7*1.08</f>
        <v>888338.20438150072</v>
      </c>
      <c r="BS7" s="428">
        <f t="shared" si="21"/>
        <v>1776676.4087630014</v>
      </c>
      <c r="BT7" s="428">
        <f t="shared" si="22"/>
        <v>1480563.673969168</v>
      </c>
      <c r="BU7" s="428">
        <f t="shared" si="23"/>
        <v>1184450.9391753341</v>
      </c>
      <c r="BV7" s="428">
        <f t="shared" ref="BV7:BV8" si="45">SUM(BR7:BU7)</f>
        <v>5330029.2262890041</v>
      </c>
      <c r="BW7" s="429">
        <f t="shared" ref="BW7:BW9" si="46">(BV7-BP7)/BV7</f>
        <v>7.4074074074074042E-2</v>
      </c>
      <c r="BX7" s="203">
        <f t="shared" ref="BX7:BX8" si="47">BR7*1.08</f>
        <v>959405.26073202083</v>
      </c>
      <c r="BY7" s="203">
        <f t="shared" si="24"/>
        <v>1918810.5214640417</v>
      </c>
      <c r="BZ7" s="203">
        <f t="shared" si="25"/>
        <v>1599008.7678867015</v>
      </c>
      <c r="CA7" s="203">
        <f t="shared" si="26"/>
        <v>1279207.0143093609</v>
      </c>
      <c r="CB7" s="203">
        <f t="shared" ref="CB7:CB8" si="48">SUM(BX7:CA7)</f>
        <v>5756431.5643921243</v>
      </c>
      <c r="CC7" s="201">
        <f t="shared" ref="CC7:CC9" si="49">(CB7-BV7)/CB7</f>
        <v>7.4074074074074056E-2</v>
      </c>
      <c r="CD7" s="203">
        <f t="shared" ref="CD7:CD8" si="50">BX7*1.08</f>
        <v>1036157.6815905826</v>
      </c>
      <c r="CE7" s="203">
        <f t="shared" si="27"/>
        <v>2072315.3631811652</v>
      </c>
      <c r="CF7" s="203">
        <f t="shared" si="28"/>
        <v>1726929.4693176378</v>
      </c>
      <c r="CG7" s="203">
        <f t="shared" si="29"/>
        <v>1381543.5754541098</v>
      </c>
      <c r="CH7" s="203">
        <f t="shared" ref="CH7:CH8" si="51">SUM(CD7:CG7)</f>
        <v>6216946.0895434953</v>
      </c>
      <c r="CI7" s="201">
        <f t="shared" ref="CI7:CI9" si="52">(CH7-CB7)/CH7</f>
        <v>7.4074074074074236E-2</v>
      </c>
    </row>
    <row r="8" spans="1:87">
      <c r="A8" s="147"/>
      <c r="B8" s="54" t="s">
        <v>983</v>
      </c>
      <c r="C8" s="438">
        <f t="shared" si="0"/>
        <v>86506.434666666653</v>
      </c>
      <c r="D8" s="435">
        <f t="shared" si="0"/>
        <v>86506.434666666653</v>
      </c>
      <c r="E8" s="435">
        <f t="shared" si="0"/>
        <v>129112.00266666667</v>
      </c>
      <c r="F8" s="435">
        <f>X8*0.92</f>
        <v>259519.30400000003</v>
      </c>
      <c r="G8" s="435">
        <f t="shared" si="1"/>
        <v>302772.5213333334</v>
      </c>
      <c r="H8" s="435">
        <f t="shared" si="1"/>
        <v>302772.5213333334</v>
      </c>
      <c r="I8" s="435">
        <f t="shared" si="1"/>
        <v>304856.65866666671</v>
      </c>
      <c r="J8" s="435">
        <f>AB8*0.92</f>
        <v>908317.56400000013</v>
      </c>
      <c r="K8" s="435">
        <f t="shared" si="2"/>
        <v>259519.30400000003</v>
      </c>
      <c r="L8" s="435">
        <f t="shared" si="2"/>
        <v>259519.30400000003</v>
      </c>
      <c r="M8" s="435">
        <f t="shared" si="2"/>
        <v>211701.93599999999</v>
      </c>
      <c r="N8" s="435">
        <f>AF8*0.92</f>
        <v>778557.91200000001</v>
      </c>
      <c r="O8" s="435">
        <f t="shared" si="3"/>
        <v>216266.0866666667</v>
      </c>
      <c r="P8" s="435">
        <f t="shared" si="4"/>
        <v>216266.0866666667</v>
      </c>
      <c r="Q8" s="435">
        <f t="shared" si="5"/>
        <v>191119.26666666672</v>
      </c>
      <c r="R8" s="435">
        <f t="shared" si="6"/>
        <v>648798.26</v>
      </c>
      <c r="S8" s="428">
        <f t="shared" si="30"/>
        <v>2595193.04</v>
      </c>
      <c r="T8" s="737"/>
      <c r="U8" s="432">
        <f>'Záznamy o prodeji'!D74*Produkty!$H$11+'Záznamy o prodeji'!D75*Produkty!$G$11</f>
        <v>94028.733333333323</v>
      </c>
      <c r="V8" s="428">
        <f>'Záznamy o prodeji'!E74*Produkty!$H$11+'Záznamy o prodeji'!E75*Produkty!$G$11</f>
        <v>94028.733333333323</v>
      </c>
      <c r="W8" s="428">
        <f>'Záznamy o prodeji'!F74*Produkty!$H$11+'Záznamy o prodeji'!F75*Produkty!$G$11</f>
        <v>140339.13333333333</v>
      </c>
      <c r="X8" s="428">
        <f>'Záznamy o prodeji'!G74*Produkty!$H$11+'Záznamy o prodeji'!G75*Produkty!$G$11</f>
        <v>282086.2</v>
      </c>
      <c r="Y8" s="428">
        <f>'Záznamy o prodeji'!H74*Produkty!$H$11+'Záznamy o prodeji'!H75*Produkty!$G$11</f>
        <v>329100.56666666671</v>
      </c>
      <c r="Z8" s="428">
        <f>'Záznamy o prodeji'!I74*Produkty!$H$11+'Záznamy o prodeji'!I75*Produkty!$G$11</f>
        <v>329100.56666666671</v>
      </c>
      <c r="AA8" s="428">
        <f>'Záznamy o prodeji'!J74*Produkty!$H$11+'Záznamy o prodeji'!J75*Produkty!$G$11</f>
        <v>331365.93333333335</v>
      </c>
      <c r="AB8" s="428">
        <f>'Záznamy o prodeji'!K74*Produkty!$H$11+'Záznamy o prodeji'!K75*Produkty!$G$11</f>
        <v>987301.70000000007</v>
      </c>
      <c r="AC8" s="428">
        <f>'Záznamy o prodeji'!L74*Produkty!$H$11+'Záznamy o prodeji'!L75*Produkty!$G$11</f>
        <v>282086.2</v>
      </c>
      <c r="AD8" s="428">
        <f>'Záznamy o prodeji'!M74*Produkty!$H$11+'Záznamy o prodeji'!M75*Produkty!$G$11</f>
        <v>282086.2</v>
      </c>
      <c r="AE8" s="428">
        <f>'Záznamy o prodeji'!N74*Produkty!$H$11+'Záznamy o prodeji'!N75*Produkty!$G$11</f>
        <v>230110.8</v>
      </c>
      <c r="AF8" s="428">
        <f>'Záznamy o prodeji'!O74*Produkty!$H$11+'Záznamy o prodeji'!O75*Produkty!$G$11</f>
        <v>846258.6</v>
      </c>
      <c r="AG8" s="428">
        <f>'Záznamy o prodeji'!P74*Produkty!$H$11+'Záznamy o prodeji'!P75*Produkty!$G$11</f>
        <v>235071.83333333337</v>
      </c>
      <c r="AH8" s="428">
        <f>'Záznamy o prodeji'!Q74*Produkty!$H$11+'Záznamy o prodeji'!Q75*Produkty!$G$11</f>
        <v>235071.83333333337</v>
      </c>
      <c r="AI8" s="428">
        <f>'Záznamy o prodeji'!R74*Produkty!$H$11+'Záznamy o prodeji'!R75*Produkty!$G$11</f>
        <v>207738.33333333337</v>
      </c>
      <c r="AJ8" s="428">
        <f>'Záznamy o prodeji'!S74*Produkty!$H$11+'Záznamy o prodeji'!S75*Produkty!$G$11</f>
        <v>705215.5</v>
      </c>
      <c r="AK8" s="428">
        <f t="shared" si="31"/>
        <v>2820862</v>
      </c>
      <c r="AL8" s="429">
        <f t="shared" si="7"/>
        <v>7.9999999999999988E-2</v>
      </c>
      <c r="AM8" s="426"/>
      <c r="AN8" s="428">
        <f t="shared" si="8"/>
        <v>101551.03199999999</v>
      </c>
      <c r="AO8" s="428">
        <f t="shared" si="8"/>
        <v>101551.03199999999</v>
      </c>
      <c r="AP8" s="428">
        <f t="shared" si="8"/>
        <v>151566.264</v>
      </c>
      <c r="AQ8" s="428">
        <f t="shared" si="32"/>
        <v>304653.09600000002</v>
      </c>
      <c r="AR8" s="428">
        <f t="shared" si="9"/>
        <v>355428.61200000008</v>
      </c>
      <c r="AS8" s="428">
        <f t="shared" si="9"/>
        <v>355428.61200000008</v>
      </c>
      <c r="AT8" s="428">
        <f t="shared" si="9"/>
        <v>357875.20800000004</v>
      </c>
      <c r="AU8" s="428">
        <f t="shared" si="33"/>
        <v>1066285.8360000001</v>
      </c>
      <c r="AV8" s="428">
        <f t="shared" si="10"/>
        <v>304653.09600000002</v>
      </c>
      <c r="AW8" s="428">
        <f t="shared" si="10"/>
        <v>304653.09600000002</v>
      </c>
      <c r="AX8" s="428">
        <f t="shared" si="10"/>
        <v>248519.66399999999</v>
      </c>
      <c r="AY8" s="428">
        <f t="shared" si="34"/>
        <v>913959.28800000006</v>
      </c>
      <c r="AZ8" s="428">
        <f t="shared" si="11"/>
        <v>253877.58000000005</v>
      </c>
      <c r="BA8" s="428">
        <f t="shared" si="12"/>
        <v>253877.58000000005</v>
      </c>
      <c r="BB8" s="428">
        <f t="shared" si="13"/>
        <v>224357.40000000005</v>
      </c>
      <c r="BC8" s="428">
        <f>AJ8*1.08</f>
        <v>761632.74000000011</v>
      </c>
      <c r="BD8" s="428">
        <f t="shared" si="36"/>
        <v>3046530.9600000004</v>
      </c>
      <c r="BE8" s="441">
        <f t="shared" si="37"/>
        <v>7.4074074074074209E-2</v>
      </c>
      <c r="BF8" s="432">
        <f t="shared" si="38"/>
        <v>329025.34368000005</v>
      </c>
      <c r="BG8" s="428">
        <f t="shared" si="15"/>
        <v>1151588.7028800002</v>
      </c>
      <c r="BH8" s="428">
        <f t="shared" si="16"/>
        <v>987076.03104000015</v>
      </c>
      <c r="BI8" s="428">
        <f>BC8*1.08</f>
        <v>822563.35920000018</v>
      </c>
      <c r="BJ8" s="428">
        <f t="shared" si="39"/>
        <v>3290253.4368000007</v>
      </c>
      <c r="BK8" s="441">
        <f t="shared" si="40"/>
        <v>7.4074074074074153E-2</v>
      </c>
      <c r="BL8" s="432">
        <f t="shared" si="41"/>
        <v>355347.37117440009</v>
      </c>
      <c r="BM8" s="428">
        <f t="shared" si="18"/>
        <v>1243715.7991104003</v>
      </c>
      <c r="BN8" s="428">
        <f t="shared" si="19"/>
        <v>1066042.1135232002</v>
      </c>
      <c r="BO8" s="428">
        <f>BI8*1.08</f>
        <v>888368.42793600028</v>
      </c>
      <c r="BP8" s="428">
        <f t="shared" si="42"/>
        <v>3553473.7117440007</v>
      </c>
      <c r="BQ8" s="441">
        <f t="shared" si="43"/>
        <v>7.4074074074074042E-2</v>
      </c>
      <c r="BR8" s="432">
        <f t="shared" si="44"/>
        <v>383775.1608683521</v>
      </c>
      <c r="BS8" s="428">
        <f t="shared" si="21"/>
        <v>1343213.0630392323</v>
      </c>
      <c r="BT8" s="428">
        <f t="shared" si="22"/>
        <v>1151325.4826050561</v>
      </c>
      <c r="BU8" s="428">
        <f>BO8*1.08</f>
        <v>959437.90217088035</v>
      </c>
      <c r="BV8" s="428">
        <f t="shared" si="45"/>
        <v>3837751.6086835205</v>
      </c>
      <c r="BW8" s="429">
        <f t="shared" si="46"/>
        <v>7.4074074074074014E-2</v>
      </c>
      <c r="BX8" s="203">
        <f t="shared" si="47"/>
        <v>414477.1737378203</v>
      </c>
      <c r="BY8" s="203">
        <f t="shared" si="24"/>
        <v>1450670.1080823711</v>
      </c>
      <c r="BZ8" s="203">
        <f t="shared" si="25"/>
        <v>1243431.5212134607</v>
      </c>
      <c r="CA8" s="203">
        <f>BU8*1.08</f>
        <v>1036192.9343445508</v>
      </c>
      <c r="CB8" s="203">
        <f t="shared" si="48"/>
        <v>4144771.7373782024</v>
      </c>
      <c r="CC8" s="201">
        <f t="shared" si="49"/>
        <v>7.4074074074074139E-2</v>
      </c>
      <c r="CD8" s="203">
        <f t="shared" si="50"/>
        <v>447635.34763684595</v>
      </c>
      <c r="CE8" s="203">
        <f t="shared" si="27"/>
        <v>1566723.7167289609</v>
      </c>
      <c r="CF8" s="203">
        <f t="shared" si="28"/>
        <v>1342906.0429105377</v>
      </c>
      <c r="CG8" s="203">
        <f>CA8*1.08</f>
        <v>1119088.369092115</v>
      </c>
      <c r="CH8" s="203">
        <f t="shared" si="51"/>
        <v>4476353.4763684599</v>
      </c>
      <c r="CI8" s="201">
        <f t="shared" si="52"/>
        <v>7.4074074074074348E-2</v>
      </c>
    </row>
    <row r="9" spans="1:87" s="199" customFormat="1">
      <c r="A9" s="906"/>
      <c r="B9" s="907" t="s">
        <v>271</v>
      </c>
      <c r="C9" s="908">
        <f t="shared" ref="C9:E9" si="53">SUM(C6:C8)</f>
        <v>69922636.796544001</v>
      </c>
      <c r="D9" s="909">
        <f t="shared" si="53"/>
        <v>71290676.796544015</v>
      </c>
      <c r="E9" s="909">
        <f t="shared" si="53"/>
        <v>75618309.173173353</v>
      </c>
      <c r="F9" s="909">
        <f>SUM(F6:F8)</f>
        <v>139306806.44183198</v>
      </c>
      <c r="G9" s="909">
        <f t="shared" ref="G9:I9" si="54">SUM(G6:G8)</f>
        <v>136126748.04875466</v>
      </c>
      <c r="H9" s="909">
        <f t="shared" si="54"/>
        <v>136527843.84355465</v>
      </c>
      <c r="I9" s="909">
        <f t="shared" si="54"/>
        <v>136788484.66981331</v>
      </c>
      <c r="J9" s="909">
        <f t="shared" ref="J9:M9" si="55">SUM(J6:J8)</f>
        <v>409583531.53066403</v>
      </c>
      <c r="K9" s="909">
        <f t="shared" si="55"/>
        <v>116206430.65568446</v>
      </c>
      <c r="L9" s="909">
        <f t="shared" si="55"/>
        <v>116198572.06679557</v>
      </c>
      <c r="M9" s="909">
        <f t="shared" si="55"/>
        <v>111587429.78906667</v>
      </c>
      <c r="N9" s="909">
        <f t="shared" ref="N9:Q9" si="56">SUM(N6:N8)</f>
        <v>348595716.2003867</v>
      </c>
      <c r="O9" s="909">
        <f t="shared" si="56"/>
        <v>97763419.752080917</v>
      </c>
      <c r="P9" s="909">
        <f t="shared" si="56"/>
        <v>95869300.29003647</v>
      </c>
      <c r="Q9" s="909">
        <f t="shared" si="56"/>
        <v>94468053.524386674</v>
      </c>
      <c r="R9" s="909">
        <f t="shared" ref="R9" si="57">SUM(R6:R8)</f>
        <v>287607900.87010932</v>
      </c>
      <c r="S9" s="428">
        <f t="shared" si="30"/>
        <v>1185093955.0429921</v>
      </c>
      <c r="T9" s="737"/>
      <c r="U9" s="910">
        <f t="shared" ref="U9:W9" si="58">SUM(U6:U8)</f>
        <v>76002866.083200008</v>
      </c>
      <c r="V9" s="911">
        <f t="shared" si="58"/>
        <v>77489866.083200023</v>
      </c>
      <c r="W9" s="911">
        <f t="shared" si="58"/>
        <v>82193814.318666682</v>
      </c>
      <c r="X9" s="911">
        <f>SUM(X6:X8)</f>
        <v>151420441.78459996</v>
      </c>
      <c r="Y9" s="911">
        <f t="shared" ref="Y9:AA9" si="59">SUM(Y6:Y8)</f>
        <v>147963856.57473332</v>
      </c>
      <c r="Z9" s="911">
        <f t="shared" si="59"/>
        <v>148399830.26473331</v>
      </c>
      <c r="AA9" s="911">
        <f t="shared" si="59"/>
        <v>148683135.51066664</v>
      </c>
      <c r="AB9" s="911">
        <f>SUM(AB6:AB8)</f>
        <v>445199490.79419994</v>
      </c>
      <c r="AC9" s="911">
        <f t="shared" ref="AC9:AE9" si="60">SUM(AC6:AC8)</f>
        <v>126311337.66922222</v>
      </c>
      <c r="AD9" s="911">
        <f t="shared" si="60"/>
        <v>126302795.72477779</v>
      </c>
      <c r="AE9" s="911">
        <f t="shared" si="60"/>
        <v>121290684.55333333</v>
      </c>
      <c r="AF9" s="911">
        <f>SUM(AF6:AF8)</f>
        <v>378908387.17433339</v>
      </c>
      <c r="AG9" s="911">
        <f t="shared" ref="AG9:AI9" si="61">SUM(AG6:AG8)</f>
        <v>106264586.68704447</v>
      </c>
      <c r="AH9" s="911">
        <f t="shared" si="61"/>
        <v>104205761.18482225</v>
      </c>
      <c r="AI9" s="911">
        <f t="shared" si="61"/>
        <v>102682666.87433334</v>
      </c>
      <c r="AJ9" s="911">
        <f>SUM(AJ6:AJ8)</f>
        <v>312617283.55446666</v>
      </c>
      <c r="AK9" s="428">
        <f t="shared" si="31"/>
        <v>1288145603.3076</v>
      </c>
      <c r="AL9" s="912">
        <f t="shared" si="7"/>
        <v>7.9999999999999932E-2</v>
      </c>
      <c r="AM9" s="913"/>
      <c r="AN9" s="911">
        <f t="shared" ref="AN9:AP9" si="62">SUM(AN6:AN8)</f>
        <v>82083095.36985603</v>
      </c>
      <c r="AO9" s="911">
        <f t="shared" si="62"/>
        <v>83689055.369856045</v>
      </c>
      <c r="AP9" s="911">
        <f t="shared" si="62"/>
        <v>88769319.46416001</v>
      </c>
      <c r="AQ9" s="911">
        <f>SUM(AQ6:AQ8)</f>
        <v>163534077.12736797</v>
      </c>
      <c r="AR9" s="911">
        <f t="shared" ref="AR9:AT9" si="63">SUM(AR6:AR8)</f>
        <v>159800965.100712</v>
      </c>
      <c r="AS9" s="911">
        <f t="shared" si="63"/>
        <v>160271816.68591198</v>
      </c>
      <c r="AT9" s="911">
        <f t="shared" si="63"/>
        <v>160577786.35151997</v>
      </c>
      <c r="AU9" s="911">
        <f t="shared" ref="AU9:BC9" si="64">SUM(AU6:AU8)</f>
        <v>480815450.05773604</v>
      </c>
      <c r="AV9" s="911">
        <f t="shared" ref="AV9:AX9" si="65">SUM(AV6:AV8)</f>
        <v>136416244.68276</v>
      </c>
      <c r="AW9" s="911">
        <f t="shared" si="65"/>
        <v>136407019.38276002</v>
      </c>
      <c r="AX9" s="911">
        <f t="shared" si="65"/>
        <v>130993939.31760001</v>
      </c>
      <c r="AY9" s="911">
        <f t="shared" si="64"/>
        <v>409221058.14828002</v>
      </c>
      <c r="AZ9" s="911">
        <f t="shared" ref="AZ9:BB9" si="66">SUM(AZ6:AZ8)</f>
        <v>114765753.62200803</v>
      </c>
      <c r="BA9" s="911">
        <f t="shared" si="66"/>
        <v>112542222.07960802</v>
      </c>
      <c r="BB9" s="911">
        <f t="shared" si="66"/>
        <v>110897280.22428003</v>
      </c>
      <c r="BC9" s="911">
        <f t="shared" si="64"/>
        <v>337626666.23882407</v>
      </c>
      <c r="BD9" s="428">
        <f t="shared" si="36"/>
        <v>1391197251.5722082</v>
      </c>
      <c r="BE9" s="914">
        <f t="shared" si="37"/>
        <v>7.4074074074074167E-2</v>
      </c>
      <c r="BF9" s="910">
        <f>SUM(BF6:BF8)</f>
        <v>176616803.29755741</v>
      </c>
      <c r="BG9" s="911">
        <f t="shared" ref="BG9" si="67">SUM(BG6:BG8)</f>
        <v>519280686.06235492</v>
      </c>
      <c r="BH9" s="911">
        <f t="shared" ref="BH9" si="68">SUM(BH6:BH8)</f>
        <v>441958742.80014247</v>
      </c>
      <c r="BI9" s="911">
        <f t="shared" ref="BI9" si="69">SUM(BI6:BI8)</f>
        <v>364636799.53793001</v>
      </c>
      <c r="BJ9" s="911">
        <f>SUM(BF9:BI9)</f>
        <v>1502493031.6979849</v>
      </c>
      <c r="BK9" s="914">
        <f t="shared" si="40"/>
        <v>7.4074074074074139E-2</v>
      </c>
      <c r="BL9" s="910">
        <f>SUM(BL6:BL8)</f>
        <v>190746147.56136203</v>
      </c>
      <c r="BM9" s="911">
        <f t="shared" ref="BM9" si="70">SUM(BM6:BM8)</f>
        <v>560823140.94734335</v>
      </c>
      <c r="BN9" s="911">
        <f t="shared" ref="BN9" si="71">SUM(BN6:BN8)</f>
        <v>477315442.22415388</v>
      </c>
      <c r="BO9" s="911">
        <f t="shared" ref="BO9" si="72">SUM(BO6:BO8)</f>
        <v>393807743.50096446</v>
      </c>
      <c r="BP9" s="911">
        <f>SUM(BL9:BO9)</f>
        <v>1622692474.2338235</v>
      </c>
      <c r="BQ9" s="914">
        <f t="shared" si="43"/>
        <v>7.4074074074073959E-2</v>
      </c>
      <c r="BR9" s="910">
        <f>SUM(BR6:BR8)</f>
        <v>206005839.36627099</v>
      </c>
      <c r="BS9" s="911">
        <f t="shared" ref="BS9" si="73">SUM(BS6:BS8)</f>
        <v>605688992.22313082</v>
      </c>
      <c r="BT9" s="911">
        <f t="shared" ref="BT9" si="74">SUM(BT6:BT8)</f>
        <v>515500677.60208625</v>
      </c>
      <c r="BU9" s="911">
        <f t="shared" ref="BU9" si="75">SUM(BU6:BU8)</f>
        <v>425312362.98104161</v>
      </c>
      <c r="BV9" s="911">
        <f>SUM(BR9:BU9)</f>
        <v>1752507872.1725297</v>
      </c>
      <c r="BW9" s="912">
        <f t="shared" si="46"/>
        <v>7.4074074074074223E-2</v>
      </c>
      <c r="BX9" s="915">
        <f>SUM(BX6:BX8)</f>
        <v>222486306.5155727</v>
      </c>
      <c r="BY9" s="915">
        <f t="shared" ref="BY9" si="76">SUM(BY6:BY8)</f>
        <v>654144111.60098135</v>
      </c>
      <c r="BZ9" s="915">
        <f t="shared" ref="BZ9" si="77">SUM(BZ6:BZ8)</f>
        <v>556740731.81025326</v>
      </c>
      <c r="CA9" s="915">
        <f t="shared" ref="CA9" si="78">SUM(CA6:CA8)</f>
        <v>459337352.01952493</v>
      </c>
      <c r="CB9" s="915">
        <f>SUM(BX9:CA9)</f>
        <v>1892708501.9463325</v>
      </c>
      <c r="CC9" s="916">
        <f t="shared" si="49"/>
        <v>7.4074074074074264E-2</v>
      </c>
      <c r="CD9" s="915">
        <f>SUM(CD6:CD8)</f>
        <v>240285211.03681853</v>
      </c>
      <c r="CE9" s="915">
        <f t="shared" ref="CE9" si="79">SUM(CE6:CE8)</f>
        <v>706475640.52905989</v>
      </c>
      <c r="CF9" s="915">
        <f t="shared" ref="CF9" si="80">SUM(CF6:CF8)</f>
        <v>601279990.35507357</v>
      </c>
      <c r="CG9" s="915">
        <f t="shared" ref="CG9" si="81">SUM(CG6:CG8)</f>
        <v>496084340.18108702</v>
      </c>
      <c r="CH9" s="915">
        <f>SUM(CD9:CG9)</f>
        <v>2044125182.1020389</v>
      </c>
      <c r="CI9" s="916">
        <f t="shared" si="52"/>
        <v>7.4074074074073987E-2</v>
      </c>
    </row>
    <row r="10" spans="1:87">
      <c r="A10" s="147"/>
      <c r="B10" s="54" t="s">
        <v>984</v>
      </c>
      <c r="C10" s="438">
        <f t="shared" ref="C10:E10" si="82">C9*0.8</f>
        <v>55938109.437235206</v>
      </c>
      <c r="D10" s="435">
        <f t="shared" si="82"/>
        <v>57032541.437235214</v>
      </c>
      <c r="E10" s="435">
        <f t="shared" si="82"/>
        <v>60494647.338538684</v>
      </c>
      <c r="F10" s="435">
        <f t="shared" ref="F10:I10" si="83">F9*0.8</f>
        <v>111445445.15346558</v>
      </c>
      <c r="G10" s="435">
        <f t="shared" si="83"/>
        <v>108901398.43900374</v>
      </c>
      <c r="H10" s="435">
        <f t="shared" si="83"/>
        <v>109222275.07484372</v>
      </c>
      <c r="I10" s="435">
        <f t="shared" si="83"/>
        <v>109430787.73585065</v>
      </c>
      <c r="J10" s="435">
        <f t="shared" ref="J10:M10" si="84">J9*0.8</f>
        <v>327666825.22453123</v>
      </c>
      <c r="K10" s="435">
        <f t="shared" si="84"/>
        <v>92965144.524547577</v>
      </c>
      <c r="L10" s="435">
        <f t="shared" si="84"/>
        <v>92958857.653436467</v>
      </c>
      <c r="M10" s="435">
        <f t="shared" si="84"/>
        <v>89269943.83125335</v>
      </c>
      <c r="N10" s="435">
        <f t="shared" ref="N10:Q10" si="85">N9*0.8</f>
        <v>278876572.96030939</v>
      </c>
      <c r="O10" s="435">
        <f t="shared" si="85"/>
        <v>78210735.80166474</v>
      </c>
      <c r="P10" s="435">
        <f t="shared" si="85"/>
        <v>76695440.232029185</v>
      </c>
      <c r="Q10" s="435">
        <f t="shared" si="85"/>
        <v>75574442.819509342</v>
      </c>
      <c r="R10" s="435">
        <f t="shared" ref="R10" si="86">R9*0.8</f>
        <v>230086320.69608748</v>
      </c>
      <c r="S10" s="428">
        <f t="shared" si="30"/>
        <v>948075164.03439367</v>
      </c>
      <c r="T10" s="737"/>
      <c r="U10" s="432">
        <f t="shared" ref="U10:W10" si="87">U9*0.8</f>
        <v>60802292.866560012</v>
      </c>
      <c r="V10" s="428">
        <f t="shared" si="87"/>
        <v>61991892.86656002</v>
      </c>
      <c r="W10" s="428">
        <f t="shared" si="87"/>
        <v>65755051.454933345</v>
      </c>
      <c r="X10" s="428">
        <f>X9*0.8</f>
        <v>121136353.42767997</v>
      </c>
      <c r="Y10" s="428">
        <f t="shared" ref="Y10:AA10" si="88">Y9*0.8</f>
        <v>118371085.25978667</v>
      </c>
      <c r="Z10" s="428">
        <f t="shared" si="88"/>
        <v>118719864.21178666</v>
      </c>
      <c r="AA10" s="428">
        <f t="shared" si="88"/>
        <v>118946508.40853332</v>
      </c>
      <c r="AB10" s="428">
        <f t="shared" ref="AB10:AJ10" si="89">AB9*0.8</f>
        <v>356159592.63536</v>
      </c>
      <c r="AC10" s="428">
        <f t="shared" ref="AC10:AE10" si="90">AC9*0.8</f>
        <v>101049070.13537778</v>
      </c>
      <c r="AD10" s="428">
        <f t="shared" si="90"/>
        <v>101042236.57982224</v>
      </c>
      <c r="AE10" s="428">
        <f t="shared" si="90"/>
        <v>97032547.642666668</v>
      </c>
      <c r="AF10" s="428">
        <f t="shared" si="89"/>
        <v>303126709.73946673</v>
      </c>
      <c r="AG10" s="428">
        <f t="shared" ref="AG10:AI10" si="91">AG9*0.8</f>
        <v>85011669.349635586</v>
      </c>
      <c r="AH10" s="428">
        <f t="shared" si="91"/>
        <v>83364608.947857797</v>
      </c>
      <c r="AI10" s="428">
        <f t="shared" si="91"/>
        <v>82146133.499466673</v>
      </c>
      <c r="AJ10" s="428">
        <f t="shared" si="89"/>
        <v>250093826.84357333</v>
      </c>
      <c r="AK10" s="428">
        <f t="shared" si="31"/>
        <v>1030516482.64608</v>
      </c>
      <c r="AL10" s="429">
        <f t="shared" si="7"/>
        <v>7.9999999999999946E-2</v>
      </c>
      <c r="AM10" s="426"/>
      <c r="AN10" s="428">
        <f t="shared" ref="AN10:AP10" si="92">AN9*0.8</f>
        <v>65666476.295884825</v>
      </c>
      <c r="AO10" s="428">
        <f t="shared" si="92"/>
        <v>66951244.29588484</v>
      </c>
      <c r="AP10" s="428">
        <f t="shared" si="92"/>
        <v>71015455.571328014</v>
      </c>
      <c r="AQ10" s="428">
        <f t="shared" ref="AQ10:AT10" si="93">AQ9*0.8</f>
        <v>130827261.70189439</v>
      </c>
      <c r="AR10" s="428">
        <f t="shared" si="93"/>
        <v>127840772.08056961</v>
      </c>
      <c r="AS10" s="428">
        <f t="shared" si="93"/>
        <v>128217453.3487296</v>
      </c>
      <c r="AT10" s="428">
        <f t="shared" si="93"/>
        <v>128462229.08121598</v>
      </c>
      <c r="AU10" s="428">
        <f t="shared" ref="AU10:AX10" si="94">AU9*0.8</f>
        <v>384652360.04618883</v>
      </c>
      <c r="AV10" s="428">
        <f t="shared" si="94"/>
        <v>109132995.74620801</v>
      </c>
      <c r="AW10" s="428">
        <f t="shared" si="94"/>
        <v>109125615.50620802</v>
      </c>
      <c r="AX10" s="428">
        <f t="shared" si="94"/>
        <v>104795151.45408002</v>
      </c>
      <c r="AY10" s="428">
        <f t="shared" ref="AY10:BB10" si="95">AY9*0.8</f>
        <v>327376846.51862407</v>
      </c>
      <c r="AZ10" s="428">
        <f t="shared" si="95"/>
        <v>91812602.897606432</v>
      </c>
      <c r="BA10" s="428">
        <f t="shared" si="95"/>
        <v>90033777.663686424</v>
      </c>
      <c r="BB10" s="428">
        <f t="shared" si="95"/>
        <v>88717824.179424033</v>
      </c>
      <c r="BC10" s="428">
        <f t="shared" ref="BC10" si="96">BC9*0.8</f>
        <v>270101332.99105924</v>
      </c>
      <c r="BD10" s="428">
        <f t="shared" si="36"/>
        <v>1112957801.2577665</v>
      </c>
      <c r="BE10" s="441">
        <f>(BD10-AK10)/BD10</f>
        <v>7.4074074074074125E-2</v>
      </c>
      <c r="BF10" s="432">
        <f t="shared" ref="BF10" si="97">BF9*0.8</f>
        <v>141293442.63804594</v>
      </c>
      <c r="BG10" s="428">
        <f t="shared" ref="BG10" si="98">BG9*0.8</f>
        <v>415424548.84988397</v>
      </c>
      <c r="BH10" s="428">
        <f t="shared" ref="BH10" si="99">BH9*0.8</f>
        <v>353566994.24011397</v>
      </c>
      <c r="BI10" s="428">
        <f t="shared" ref="BI10" si="100">BI9*0.8</f>
        <v>291709439.63034403</v>
      </c>
      <c r="BJ10" s="428">
        <f t="shared" ref="BJ10:BJ11" si="101">SUM(BF10:BI10)</f>
        <v>1201994425.3583879</v>
      </c>
      <c r="BK10" s="441">
        <f>(BJ10-BD10)/BJ10</f>
        <v>7.4074074074074181E-2</v>
      </c>
      <c r="BL10" s="432">
        <f t="shared" ref="BL10" si="102">BL9*0.8</f>
        <v>152596918.04908964</v>
      </c>
      <c r="BM10" s="428">
        <f t="shared" ref="BM10" si="103">BM9*0.8</f>
        <v>448658512.75787473</v>
      </c>
      <c r="BN10" s="428">
        <f t="shared" ref="BN10" si="104">BN9*0.8</f>
        <v>381852353.7793231</v>
      </c>
      <c r="BO10" s="428">
        <f t="shared" ref="BO10" si="105">BO9*0.8</f>
        <v>315046194.80077159</v>
      </c>
      <c r="BP10" s="428">
        <f t="shared" ref="BP10:BP11" si="106">SUM(BL10:BO10)</f>
        <v>1298153979.3870592</v>
      </c>
      <c r="BQ10" s="441">
        <f>(BP10-BJ10)/BP10</f>
        <v>7.4074074074074236E-2</v>
      </c>
      <c r="BR10" s="432">
        <f t="shared" ref="BR10" si="107">BR9*0.8</f>
        <v>164804671.49301681</v>
      </c>
      <c r="BS10" s="428">
        <f t="shared" ref="BS10" si="108">BS9*0.8</f>
        <v>484551193.77850467</v>
      </c>
      <c r="BT10" s="428">
        <f t="shared" ref="BT10" si="109">BT9*0.8</f>
        <v>412400542.08166903</v>
      </c>
      <c r="BU10" s="428">
        <f t="shared" ref="BU10" si="110">BU9*0.8</f>
        <v>340249890.38483334</v>
      </c>
      <c r="BV10" s="428">
        <f t="shared" ref="BV10:BV11" si="111">SUM(BR10:BU10)</f>
        <v>1402006297.7380238</v>
      </c>
      <c r="BW10" s="429">
        <f>(BV10-BP10)/BV10</f>
        <v>7.4074074074073945E-2</v>
      </c>
      <c r="BX10" s="203">
        <f t="shared" ref="BX10" si="112">BX9*0.8</f>
        <v>177989045.21245816</v>
      </c>
      <c r="BY10" s="203">
        <f t="shared" ref="BY10" si="113">BY9*0.8</f>
        <v>523315289.28078508</v>
      </c>
      <c r="BZ10" s="203">
        <f t="shared" ref="BZ10" si="114">BZ9*0.8</f>
        <v>445392585.44820261</v>
      </c>
      <c r="CA10" s="203">
        <f t="shared" ref="CA10" si="115">CA9*0.8</f>
        <v>367469881.61561996</v>
      </c>
      <c r="CB10" s="203">
        <f t="shared" ref="CB10:CB11" si="116">SUM(BX10:CA10)</f>
        <v>1514166801.5570657</v>
      </c>
      <c r="CC10" s="201">
        <f>(CB10-BV10)/CB10</f>
        <v>7.4074074074074112E-2</v>
      </c>
      <c r="CD10" s="203">
        <f t="shared" ref="CD10" si="117">CD9*0.8</f>
        <v>192228168.82945484</v>
      </c>
      <c r="CE10" s="203">
        <f t="shared" ref="CE10" si="118">CE9*0.8</f>
        <v>565180512.42324793</v>
      </c>
      <c r="CF10" s="203">
        <f t="shared" ref="CF10" si="119">CF9*0.8</f>
        <v>481023992.28405887</v>
      </c>
      <c r="CG10" s="203">
        <f t="shared" ref="CG10" si="120">CG9*0.8</f>
        <v>396867472.14486963</v>
      </c>
      <c r="CH10" s="203">
        <f t="shared" ref="CH10:CH11" si="121">SUM(CD10:CG10)</f>
        <v>1635300145.6816311</v>
      </c>
      <c r="CI10" s="201">
        <f>(CH10-CB10)/CH10</f>
        <v>7.4074074074074139E-2</v>
      </c>
    </row>
    <row r="11" spans="1:87" ht="15" thickBot="1">
      <c r="A11" s="159"/>
      <c r="B11" s="422" t="s">
        <v>985</v>
      </c>
      <c r="C11" s="439">
        <f t="shared" ref="C11:E11" si="122">C9*1.2</f>
        <v>83907164.155852795</v>
      </c>
      <c r="D11" s="221">
        <f t="shared" si="122"/>
        <v>85548812.15585281</v>
      </c>
      <c r="E11" s="221">
        <f t="shared" si="122"/>
        <v>90741971.007808015</v>
      </c>
      <c r="F11" s="221">
        <f t="shared" ref="F11:R11" si="123">F9*1.2</f>
        <v>167168167.73019835</v>
      </c>
      <c r="G11" s="221">
        <f t="shared" ref="G11:I11" si="124">G9*1.2</f>
        <v>163352097.65850559</v>
      </c>
      <c r="H11" s="221">
        <f t="shared" si="124"/>
        <v>163833412.61226556</v>
      </c>
      <c r="I11" s="221">
        <f t="shared" si="124"/>
        <v>164146181.60377595</v>
      </c>
      <c r="J11" s="221">
        <f t="shared" si="123"/>
        <v>491500237.83679682</v>
      </c>
      <c r="K11" s="221">
        <f t="shared" ref="K11:M11" si="125">K9*1.2</f>
        <v>139447716.78682134</v>
      </c>
      <c r="L11" s="221">
        <f t="shared" si="125"/>
        <v>139438286.48015469</v>
      </c>
      <c r="M11" s="221">
        <f t="shared" si="125"/>
        <v>133904915.74687999</v>
      </c>
      <c r="N11" s="221">
        <f t="shared" si="123"/>
        <v>418314859.44046402</v>
      </c>
      <c r="O11" s="221">
        <f t="shared" ref="O11:Q11" si="126">O9*1.2</f>
        <v>117316103.70249709</v>
      </c>
      <c r="P11" s="221">
        <f t="shared" si="126"/>
        <v>115043160.34804375</v>
      </c>
      <c r="Q11" s="221">
        <f t="shared" si="126"/>
        <v>113361664.22926401</v>
      </c>
      <c r="R11" s="221">
        <f t="shared" si="123"/>
        <v>345129481.04413116</v>
      </c>
      <c r="S11" s="428">
        <f t="shared" si="30"/>
        <v>1422112746.0515904</v>
      </c>
      <c r="T11" s="737"/>
      <c r="U11" s="433">
        <f t="shared" ref="U11:W11" si="127">U9*1.2</f>
        <v>91203439.299840003</v>
      </c>
      <c r="V11" s="430">
        <f t="shared" si="127"/>
        <v>92987839.299840018</v>
      </c>
      <c r="W11" s="430">
        <f t="shared" si="127"/>
        <v>98632577.182400018</v>
      </c>
      <c r="X11" s="430">
        <f>X9*1.2</f>
        <v>181704530.14151993</v>
      </c>
      <c r="Y11" s="430">
        <f t="shared" ref="Y11:AA11" si="128">Y9*1.2</f>
        <v>177556627.88967997</v>
      </c>
      <c r="Z11" s="430">
        <f t="shared" si="128"/>
        <v>178079796.31767997</v>
      </c>
      <c r="AA11" s="430">
        <f t="shared" si="128"/>
        <v>178419762.61279997</v>
      </c>
      <c r="AB11" s="430">
        <f t="shared" ref="AB11:BC11" si="129">AB9*1.2</f>
        <v>534239388.95303988</v>
      </c>
      <c r="AC11" s="430">
        <f t="shared" ref="AC11:AE11" si="130">AC9*1.2</f>
        <v>151573605.20306665</v>
      </c>
      <c r="AD11" s="430">
        <f t="shared" si="130"/>
        <v>151563354.86973333</v>
      </c>
      <c r="AE11" s="430">
        <f t="shared" si="130"/>
        <v>145548821.46399999</v>
      </c>
      <c r="AF11" s="430">
        <f t="shared" si="129"/>
        <v>454690064.60920006</v>
      </c>
      <c r="AG11" s="430">
        <f t="shared" ref="AG11:AI11" si="131">AG9*1.2</f>
        <v>127517504.02445336</v>
      </c>
      <c r="AH11" s="430">
        <f t="shared" si="131"/>
        <v>125046913.4217867</v>
      </c>
      <c r="AI11" s="430">
        <f t="shared" si="131"/>
        <v>123219200.2492</v>
      </c>
      <c r="AJ11" s="430">
        <f t="shared" si="129"/>
        <v>375140740.26536</v>
      </c>
      <c r="AK11" s="428">
        <f t="shared" si="31"/>
        <v>1545774723.96912</v>
      </c>
      <c r="AL11" s="431">
        <f t="shared" si="7"/>
        <v>7.9999999999999988E-2</v>
      </c>
      <c r="AM11" s="426"/>
      <c r="AN11" s="430">
        <f t="shared" ref="AN11:AP11" si="132">AN9*1.2</f>
        <v>98499714.443827227</v>
      </c>
      <c r="AO11" s="430">
        <f t="shared" si="132"/>
        <v>100426866.44382726</v>
      </c>
      <c r="AP11" s="430">
        <f t="shared" si="132"/>
        <v>106523183.35699201</v>
      </c>
      <c r="AQ11" s="430">
        <f t="shared" si="129"/>
        <v>196240892.55284157</v>
      </c>
      <c r="AR11" s="430">
        <f t="shared" ref="AR11:AT11" si="133">AR9*1.2</f>
        <v>191761158.12085441</v>
      </c>
      <c r="AS11" s="430">
        <f t="shared" si="133"/>
        <v>192326180.02309439</v>
      </c>
      <c r="AT11" s="430">
        <f t="shared" si="133"/>
        <v>192693343.62182397</v>
      </c>
      <c r="AU11" s="430">
        <f t="shared" si="129"/>
        <v>576978540.06928325</v>
      </c>
      <c r="AV11" s="430">
        <f t="shared" ref="AV11:AX11" si="134">AV9*1.2</f>
        <v>163699493.61931199</v>
      </c>
      <c r="AW11" s="430">
        <f t="shared" si="134"/>
        <v>163688423.259312</v>
      </c>
      <c r="AX11" s="430">
        <f t="shared" si="134"/>
        <v>157192727.18112001</v>
      </c>
      <c r="AY11" s="430">
        <f t="shared" si="129"/>
        <v>491065269.77793598</v>
      </c>
      <c r="AZ11" s="430">
        <f t="shared" ref="AZ11:BB11" si="135">AZ9*1.2</f>
        <v>137718904.34640962</v>
      </c>
      <c r="BA11" s="430">
        <f t="shared" si="135"/>
        <v>135050666.49552962</v>
      </c>
      <c r="BB11" s="430">
        <f t="shared" si="135"/>
        <v>133076736.26913603</v>
      </c>
      <c r="BC11" s="430">
        <f t="shared" si="129"/>
        <v>405151999.4865889</v>
      </c>
      <c r="BD11" s="428">
        <f t="shared" si="36"/>
        <v>1669436701.8866496</v>
      </c>
      <c r="BE11" s="442">
        <f t="shared" si="37"/>
        <v>7.407407407407407E-2</v>
      </c>
      <c r="BF11" s="433">
        <f t="shared" ref="BF11:BI11" si="136">BF9*1.2</f>
        <v>211940163.95706889</v>
      </c>
      <c r="BG11" s="430">
        <f t="shared" si="136"/>
        <v>623136823.27482593</v>
      </c>
      <c r="BH11" s="430">
        <f t="shared" si="136"/>
        <v>530350491.36017096</v>
      </c>
      <c r="BI11" s="430">
        <f t="shared" si="136"/>
        <v>437564159.44551599</v>
      </c>
      <c r="BJ11" s="430">
        <f t="shared" si="101"/>
        <v>1802991638.0375819</v>
      </c>
      <c r="BK11" s="442">
        <f t="shared" si="40"/>
        <v>7.407407407407425E-2</v>
      </c>
      <c r="BL11" s="433">
        <f t="shared" ref="BL11:BO11" si="137">BL9*1.2</f>
        <v>228895377.07363442</v>
      </c>
      <c r="BM11" s="430">
        <f t="shared" si="137"/>
        <v>672987769.13681197</v>
      </c>
      <c r="BN11" s="430">
        <f t="shared" si="137"/>
        <v>572778530.66898465</v>
      </c>
      <c r="BO11" s="430">
        <f t="shared" si="137"/>
        <v>472569292.20115733</v>
      </c>
      <c r="BP11" s="430">
        <f t="shared" si="106"/>
        <v>1947230969.0805883</v>
      </c>
      <c r="BQ11" s="442">
        <f t="shared" ref="BQ11" si="138">(BP11-BJ11)/BP11</f>
        <v>7.4074074074074014E-2</v>
      </c>
      <c r="BR11" s="433">
        <f t="shared" ref="BR11:BU11" si="139">BR9*1.2</f>
        <v>247207007.23952517</v>
      </c>
      <c r="BS11" s="430">
        <f t="shared" si="139"/>
        <v>726826790.66775692</v>
      </c>
      <c r="BT11" s="430">
        <f t="shared" si="139"/>
        <v>618600813.12250352</v>
      </c>
      <c r="BU11" s="430">
        <f t="shared" si="139"/>
        <v>510374835.57724988</v>
      </c>
      <c r="BV11" s="430">
        <f t="shared" si="111"/>
        <v>2103009446.6070356</v>
      </c>
      <c r="BW11" s="431">
        <f t="shared" ref="BW11" si="140">(BV11-BP11)/BV11</f>
        <v>7.4074074074074181E-2</v>
      </c>
      <c r="BX11" s="203">
        <f t="shared" ref="BX11:CA11" si="141">BX9*1.2</f>
        <v>266983567.81868723</v>
      </c>
      <c r="BY11" s="203">
        <f t="shared" si="141"/>
        <v>784972933.92117763</v>
      </c>
      <c r="BZ11" s="203">
        <f t="shared" si="141"/>
        <v>668088878.17230392</v>
      </c>
      <c r="CA11" s="203">
        <f t="shared" si="141"/>
        <v>551204822.42342985</v>
      </c>
      <c r="CB11" s="203">
        <f t="shared" si="116"/>
        <v>2271250202.3355985</v>
      </c>
      <c r="CC11" s="201">
        <f t="shared" ref="CC11" si="142">(CB11-BV11)/CB11</f>
        <v>7.407407407407407E-2</v>
      </c>
      <c r="CD11" s="203">
        <f t="shared" ref="CD11:CG11" si="143">CD9*1.2</f>
        <v>288342253.24418223</v>
      </c>
      <c r="CE11" s="203">
        <f t="shared" si="143"/>
        <v>847770768.63487184</v>
      </c>
      <c r="CF11" s="203">
        <f t="shared" si="143"/>
        <v>721535988.42608821</v>
      </c>
      <c r="CG11" s="203">
        <f t="shared" si="143"/>
        <v>595301208.21730435</v>
      </c>
      <c r="CH11" s="203">
        <f t="shared" si="121"/>
        <v>2452950218.5224466</v>
      </c>
      <c r="CI11" s="201">
        <f t="shared" ref="CI11" si="144">(CH11-CB11)/CH11</f>
        <v>7.4074074074074181E-2</v>
      </c>
    </row>
    <row r="18" spans="80:80">
      <c r="CB18" s="203">
        <f>CB6/Produkty!C4</f>
        <v>2816.4656673815439</v>
      </c>
    </row>
  </sheetData>
  <customSheetViews>
    <customSheetView guid="{F9015B81-4D5E-47E3-BFA8-A54438E9D1FF}" scale="70" showGridLines="0" hiddenColumns="1">
      <pane xSplit="2" ySplit="4" topLeftCell="CH5" activePane="bottomRight" state="frozen"/>
      <selection pane="bottomRight"/>
      <pageMargins left="0.7" right="0.7" top="0.78740157499999996" bottom="0.78740157499999996" header="0.3" footer="0.3"/>
      <pageSetup paperSize="9" orientation="portrait" r:id="rId1"/>
    </customSheetView>
  </customSheetViews>
  <mergeCells count="21">
    <mergeCell ref="CD2:CI2"/>
    <mergeCell ref="BL2:BQ2"/>
    <mergeCell ref="BF2:BK2"/>
    <mergeCell ref="BR2:BW2"/>
    <mergeCell ref="BX2:CC2"/>
    <mergeCell ref="C3:F3"/>
    <mergeCell ref="C2:S2"/>
    <mergeCell ref="G3:J3"/>
    <mergeCell ref="K3:N3"/>
    <mergeCell ref="O3:R3"/>
    <mergeCell ref="S3:S4"/>
    <mergeCell ref="U2:AL2"/>
    <mergeCell ref="U3:X3"/>
    <mergeCell ref="Y3:AB3"/>
    <mergeCell ref="AC3:AF3"/>
    <mergeCell ref="AG3:AJ3"/>
    <mergeCell ref="AN3:AQ3"/>
    <mergeCell ref="AR3:AU3"/>
    <mergeCell ref="AV3:AY3"/>
    <mergeCell ref="AZ3:BC3"/>
    <mergeCell ref="AN2:BE2"/>
  </mergeCells>
  <hyperlinks>
    <hyperlink ref="A1" location="MENU!A1" display="MENU" xr:uid="{2E2E3878-3457-41AE-8D7F-9C7B324BAB19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7866A-4AC6-4132-B8A3-8CDF761AEF07}">
  <sheetPr>
    <tabColor theme="8"/>
  </sheetPr>
  <dimension ref="A1:N16"/>
  <sheetViews>
    <sheetView showGridLines="0" zoomScaleNormal="100" workbookViewId="0">
      <selection activeCell="H17" sqref="H17"/>
    </sheetView>
  </sheetViews>
  <sheetFormatPr defaultRowHeight="14.25"/>
  <cols>
    <col min="1" max="1" width="7.44140625" customWidth="1"/>
    <col min="2" max="2" width="13.77734375" customWidth="1"/>
    <col min="3" max="3" width="13.33203125" customWidth="1"/>
    <col min="4" max="4" width="12.109375" bestFit="1" customWidth="1"/>
    <col min="5" max="5" width="12.21875" customWidth="1"/>
    <col min="6" max="6" width="14.44140625" customWidth="1"/>
    <col min="7" max="7" width="13.77734375" customWidth="1"/>
    <col min="8" max="8" width="13.44140625" customWidth="1"/>
    <col min="9" max="9" width="17.21875" bestFit="1" customWidth="1"/>
    <col min="10" max="10" width="10.77734375" customWidth="1"/>
    <col min="11" max="11" width="11.77734375" bestFit="1" customWidth="1"/>
    <col min="12" max="12" width="11.33203125" customWidth="1"/>
    <col min="13" max="13" width="12.109375" style="55" bestFit="1" customWidth="1"/>
    <col min="14" max="14" width="14.109375" style="55" customWidth="1"/>
    <col min="15" max="15" width="14.33203125" bestFit="1" customWidth="1"/>
    <col min="16" max="16" width="13.109375" customWidth="1"/>
  </cols>
  <sheetData>
    <row r="1" spans="1:9" ht="22.5" customHeight="1" thickBot="1">
      <c r="A1" s="107" t="s">
        <v>1</v>
      </c>
      <c r="B1" s="737"/>
      <c r="C1" s="737"/>
      <c r="D1" s="737"/>
      <c r="E1" s="737"/>
      <c r="F1" s="737"/>
      <c r="G1" s="737"/>
      <c r="H1" s="737"/>
      <c r="I1" s="737"/>
    </row>
    <row r="2" spans="1:9" ht="21.75" customHeight="1">
      <c r="A2" s="737"/>
      <c r="B2" s="1537" t="s">
        <v>986</v>
      </c>
      <c r="C2" s="1538"/>
      <c r="D2" s="1539"/>
      <c r="E2" s="1389"/>
      <c r="F2" s="1390"/>
      <c r="G2" s="1684" t="s">
        <v>987</v>
      </c>
      <c r="H2" s="1685"/>
      <c r="I2" s="737"/>
    </row>
    <row r="3" spans="1:9" ht="28.5">
      <c r="A3" s="737"/>
      <c r="B3" s="135" t="s">
        <v>988</v>
      </c>
      <c r="C3" s="103" t="s">
        <v>989</v>
      </c>
      <c r="D3" s="128" t="s">
        <v>990</v>
      </c>
      <c r="E3" s="1391"/>
      <c r="F3" s="136"/>
      <c r="G3" s="125" t="s">
        <v>991</v>
      </c>
      <c r="H3" s="126" t="s">
        <v>992</v>
      </c>
      <c r="I3" s="737"/>
    </row>
    <row r="4" spans="1:9" ht="15" thickBot="1">
      <c r="A4" s="737"/>
      <c r="B4" s="1137">
        <v>818500</v>
      </c>
      <c r="C4" s="221">
        <f>B4-150000</f>
        <v>668500</v>
      </c>
      <c r="D4" s="1393">
        <v>703500</v>
      </c>
      <c r="E4" s="1392"/>
      <c r="F4" s="137"/>
      <c r="G4" s="248">
        <v>7</v>
      </c>
      <c r="H4" s="249">
        <v>2000</v>
      </c>
      <c r="I4" s="139"/>
    </row>
    <row r="5" spans="1:9" ht="15" thickBot="1">
      <c r="A5" s="737"/>
      <c r="B5" s="737"/>
      <c r="C5" s="737"/>
      <c r="D5" s="737"/>
      <c r="E5" s="737"/>
      <c r="F5" s="737"/>
      <c r="G5" s="250" t="s">
        <v>993</v>
      </c>
      <c r="H5" s="251">
        <f>H4*G4</f>
        <v>14000</v>
      </c>
      <c r="I5" s="737"/>
    </row>
    <row r="6" spans="1:9">
      <c r="A6" s="737"/>
      <c r="B6" s="737"/>
      <c r="C6" s="737"/>
      <c r="D6" s="737"/>
      <c r="E6" s="737"/>
      <c r="F6" s="737"/>
      <c r="G6" s="737"/>
      <c r="H6" s="737"/>
      <c r="I6" s="737"/>
    </row>
    <row r="8" spans="1:9" ht="15" thickBot="1">
      <c r="A8" s="737"/>
      <c r="B8" s="737"/>
      <c r="C8" s="737"/>
      <c r="D8" s="737"/>
      <c r="E8" s="737"/>
      <c r="F8" s="737"/>
      <c r="G8" s="737"/>
      <c r="H8" s="737"/>
      <c r="I8" s="737"/>
    </row>
    <row r="9" spans="1:9">
      <c r="A9" s="737"/>
      <c r="B9" s="1537" t="s">
        <v>994</v>
      </c>
      <c r="C9" s="1538"/>
      <c r="D9" s="1538"/>
      <c r="E9" s="1538"/>
      <c r="F9" s="1538"/>
      <c r="G9" s="1538"/>
      <c r="H9" s="1538"/>
      <c r="I9" s="1539"/>
    </row>
    <row r="10" spans="1:9" ht="28.5">
      <c r="A10" s="737"/>
      <c r="B10" s="127" t="s">
        <v>995</v>
      </c>
      <c r="C10" s="91" t="s">
        <v>996</v>
      </c>
      <c r="D10" s="91" t="s">
        <v>997</v>
      </c>
      <c r="E10" s="103" t="s">
        <v>998</v>
      </c>
      <c r="F10" s="103" t="s">
        <v>999</v>
      </c>
      <c r="G10" s="103" t="s">
        <v>1000</v>
      </c>
      <c r="H10" s="103" t="s">
        <v>1001</v>
      </c>
      <c r="I10" s="128" t="s">
        <v>1002</v>
      </c>
    </row>
    <row r="11" spans="1:9">
      <c r="A11" s="737"/>
      <c r="B11" s="129" t="s">
        <v>964</v>
      </c>
      <c r="C11" s="52" t="s">
        <v>1003</v>
      </c>
      <c r="D11" s="52" t="s">
        <v>1004</v>
      </c>
      <c r="E11" s="85">
        <v>9000</v>
      </c>
      <c r="F11" s="104" t="s">
        <v>679</v>
      </c>
      <c r="G11" s="85">
        <v>11200</v>
      </c>
      <c r="H11" s="85">
        <v>10000</v>
      </c>
      <c r="I11" s="294">
        <v>12000</v>
      </c>
    </row>
    <row r="12" spans="1:9" ht="15" thickBot="1">
      <c r="A12" s="737"/>
      <c r="B12" s="131" t="s">
        <v>963</v>
      </c>
      <c r="C12" s="132" t="s">
        <v>521</v>
      </c>
      <c r="D12" s="132" t="s">
        <v>1005</v>
      </c>
      <c r="E12" s="133" t="s">
        <v>679</v>
      </c>
      <c r="F12" s="134">
        <v>1550300</v>
      </c>
      <c r="G12" s="134">
        <v>40500</v>
      </c>
      <c r="H12" s="134">
        <v>39000</v>
      </c>
      <c r="I12" s="295">
        <v>35000</v>
      </c>
    </row>
    <row r="15" spans="1:9">
      <c r="A15" s="737"/>
      <c r="B15" s="737"/>
      <c r="C15" s="737"/>
      <c r="D15" s="737"/>
      <c r="E15" s="737"/>
      <c r="F15" s="737" t="s">
        <v>1006</v>
      </c>
      <c r="G15" s="737"/>
      <c r="H15" s="737"/>
      <c r="I15" s="737"/>
    </row>
    <row r="16" spans="1:9">
      <c r="A16" s="737"/>
      <c r="B16" s="737"/>
      <c r="C16" s="737"/>
      <c r="D16" s="737"/>
      <c r="E16" s="737"/>
      <c r="F16" s="139">
        <f>F12/(200)</f>
        <v>7751.5</v>
      </c>
      <c r="G16" s="737"/>
      <c r="H16" s="737"/>
      <c r="I16" s="737"/>
    </row>
  </sheetData>
  <customSheetViews>
    <customSheetView guid="{F9015B81-4D5E-47E3-BFA8-A54438E9D1FF}" showGridLines="0">
      <selection activeCell="H17" sqref="H17"/>
      <pageMargins left="0.7" right="0.7" top="0.75" bottom="0.75" header="0.3" footer="0.3"/>
      <pageSetup paperSize="9" orientation="portrait" r:id="rId1"/>
    </customSheetView>
  </customSheetViews>
  <mergeCells count="3">
    <mergeCell ref="B9:I9"/>
    <mergeCell ref="G2:H2"/>
    <mergeCell ref="B2:D2"/>
  </mergeCells>
  <hyperlinks>
    <hyperlink ref="A1" location="MENU!A1" display="MENU" xr:uid="{15FACD3B-0070-44CB-A96F-6C32CC376A60}"/>
  </hyperlinks>
  <pageMargins left="0.7" right="0.7" top="0.75" bottom="0.75" header="0.3" footer="0.3"/>
  <pageSetup paperSize="9"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1B2DA-BCD9-4709-93D7-3CF4932FDCB4}">
  <sheetPr>
    <tabColor theme="8"/>
  </sheetPr>
  <dimension ref="A1:AG43"/>
  <sheetViews>
    <sheetView showGridLines="0" zoomScale="85" zoomScaleNormal="85" workbookViewId="0"/>
  </sheetViews>
  <sheetFormatPr defaultRowHeight="14.25" outlineLevelRow="1"/>
  <cols>
    <col min="1" max="1" width="9" style="55"/>
    <col min="3" max="3" width="24.21875" bestFit="1" customWidth="1"/>
    <col min="4" max="4" width="11.33203125" customWidth="1"/>
    <col min="5" max="5" width="10.77734375" customWidth="1"/>
    <col min="6" max="6" width="14" customWidth="1"/>
    <col min="8" max="8" width="17.109375" customWidth="1"/>
  </cols>
  <sheetData>
    <row r="1" spans="1:33" s="55" customFormat="1" ht="24" customHeight="1" thickBot="1">
      <c r="A1" s="107" t="s">
        <v>1</v>
      </c>
      <c r="B1" s="1686" t="s">
        <v>1007</v>
      </c>
      <c r="C1" s="1686"/>
      <c r="D1" s="1686"/>
      <c r="E1" s="1686"/>
      <c r="F1" s="1686"/>
      <c r="G1" s="737"/>
      <c r="H1" s="737"/>
      <c r="I1" s="737"/>
      <c r="J1" s="737"/>
      <c r="K1" s="737"/>
      <c r="L1" s="737"/>
      <c r="M1" s="737"/>
      <c r="N1" s="737"/>
      <c r="O1" s="737"/>
      <c r="P1" s="737"/>
      <c r="Q1" s="737"/>
      <c r="R1" s="737"/>
      <c r="S1" s="737"/>
      <c r="T1" s="737"/>
      <c r="U1" s="737"/>
      <c r="V1" s="737"/>
      <c r="W1" s="737"/>
      <c r="X1" s="737"/>
      <c r="Y1" s="737"/>
      <c r="Z1" s="737"/>
      <c r="AA1" s="737"/>
      <c r="AB1" s="737"/>
      <c r="AC1" s="737"/>
      <c r="AD1" s="737"/>
      <c r="AE1" s="737"/>
      <c r="AF1" s="737"/>
      <c r="AG1" s="737"/>
    </row>
    <row r="2" spans="1:33" ht="21" customHeight="1" thickBot="1">
      <c r="A2" s="737"/>
      <c r="B2" s="1687" t="s">
        <v>1008</v>
      </c>
      <c r="C2" s="1688"/>
      <c r="D2" s="1688"/>
      <c r="E2" s="1688"/>
      <c r="F2" s="1689"/>
      <c r="G2" s="737"/>
      <c r="H2" s="737"/>
      <c r="I2" s="737"/>
      <c r="J2" s="737"/>
      <c r="K2" s="737"/>
      <c r="L2" s="737"/>
      <c r="M2" s="737"/>
      <c r="N2" s="737"/>
      <c r="O2" s="737"/>
      <c r="P2" s="737"/>
      <c r="Q2" s="737"/>
      <c r="R2" s="737"/>
      <c r="S2" s="737"/>
      <c r="T2" s="737"/>
      <c r="U2" s="737"/>
      <c r="V2" s="737"/>
      <c r="W2" s="737"/>
      <c r="X2" s="737"/>
      <c r="Y2" s="737"/>
      <c r="Z2" s="737"/>
      <c r="AA2" s="737"/>
      <c r="AB2" s="737"/>
      <c r="AC2" s="737"/>
      <c r="AD2" s="737"/>
      <c r="AE2" s="737"/>
      <c r="AF2" s="737"/>
      <c r="AG2" s="737"/>
    </row>
    <row r="3" spans="1:33" ht="21.75" customHeight="1" thickBot="1">
      <c r="A3" s="737"/>
      <c r="B3" s="1433" t="s">
        <v>1009</v>
      </c>
      <c r="C3" s="259" t="s">
        <v>1010</v>
      </c>
      <c r="D3" s="259" t="s">
        <v>1011</v>
      </c>
      <c r="E3" s="259" t="s">
        <v>1012</v>
      </c>
      <c r="F3" s="260" t="s">
        <v>1013</v>
      </c>
      <c r="G3" s="737"/>
      <c r="H3" s="737"/>
      <c r="I3" s="737"/>
      <c r="J3" s="737"/>
      <c r="K3" s="737"/>
      <c r="L3" s="737"/>
      <c r="M3" s="737"/>
      <c r="N3" s="737"/>
      <c r="O3" s="737"/>
      <c r="P3" s="737"/>
      <c r="Q3" s="737"/>
      <c r="R3" s="737"/>
      <c r="S3" s="737"/>
      <c r="T3" s="737"/>
      <c r="U3" s="737"/>
      <c r="V3" s="737"/>
      <c r="W3" s="737"/>
      <c r="X3" s="737"/>
      <c r="Y3" s="737"/>
      <c r="Z3" s="737"/>
      <c r="AA3" s="737"/>
      <c r="AB3" s="737"/>
      <c r="AC3" s="737"/>
      <c r="AD3" s="737"/>
      <c r="AE3" s="737"/>
      <c r="AF3" s="737"/>
      <c r="AG3" s="737"/>
    </row>
    <row r="4" spans="1:33" ht="14.25" customHeight="1" outlineLevel="1">
      <c r="A4" s="737"/>
      <c r="B4" s="1745" t="s">
        <v>1014</v>
      </c>
      <c r="C4" s="261" t="s">
        <v>1015</v>
      </c>
      <c r="D4" s="262">
        <v>4</v>
      </c>
      <c r="E4" s="263">
        <v>6680</v>
      </c>
      <c r="F4" s="264">
        <f t="shared" ref="F4:F18" si="0">D4*E4</f>
        <v>26720</v>
      </c>
      <c r="G4" s="737"/>
      <c r="H4" s="737"/>
      <c r="I4" s="737"/>
      <c r="J4" s="737"/>
      <c r="K4" s="737"/>
      <c r="L4" s="737"/>
      <c r="M4" s="737"/>
      <c r="N4" s="737"/>
      <c r="O4" s="737"/>
      <c r="P4" s="737"/>
      <c r="Q4" s="737"/>
      <c r="R4" s="737"/>
      <c r="S4" s="737"/>
      <c r="T4" s="737"/>
      <c r="U4" s="737"/>
      <c r="V4" s="737"/>
      <c r="W4" s="737"/>
      <c r="X4" s="737"/>
      <c r="Y4" s="737"/>
      <c r="Z4" s="737"/>
      <c r="AA4" s="737"/>
      <c r="AB4" s="737"/>
      <c r="AC4" s="737"/>
      <c r="AD4" s="737"/>
      <c r="AE4" s="737"/>
      <c r="AF4" s="737"/>
      <c r="AG4" s="737"/>
    </row>
    <row r="5" spans="1:33" outlineLevel="1">
      <c r="A5" s="737"/>
      <c r="B5" s="1746"/>
      <c r="C5" s="79" t="s">
        <v>1016</v>
      </c>
      <c r="D5" s="83">
        <v>4</v>
      </c>
      <c r="E5" s="52">
        <v>3200</v>
      </c>
      <c r="F5" s="130">
        <f t="shared" si="0"/>
        <v>12800</v>
      </c>
      <c r="G5" s="737"/>
      <c r="H5" s="737"/>
      <c r="I5" s="737"/>
      <c r="J5" s="737"/>
      <c r="K5" s="737"/>
      <c r="L5" s="737"/>
      <c r="M5" s="737"/>
      <c r="N5" s="737"/>
      <c r="O5" s="737"/>
      <c r="P5" s="737"/>
      <c r="Q5" s="737" t="s">
        <v>1017</v>
      </c>
      <c r="R5" s="737"/>
      <c r="S5" s="737"/>
      <c r="T5" s="737"/>
      <c r="U5" s="737"/>
      <c r="V5" s="737"/>
      <c r="W5" s="737"/>
      <c r="X5" s="737"/>
      <c r="Y5" s="737"/>
      <c r="Z5" s="737"/>
      <c r="AA5" s="737"/>
      <c r="AB5" s="737"/>
      <c r="AC5" s="737"/>
      <c r="AD5" s="737"/>
      <c r="AE5" s="737"/>
      <c r="AF5" s="737"/>
      <c r="AG5" s="737"/>
    </row>
    <row r="6" spans="1:33" outlineLevel="1">
      <c r="A6" s="737"/>
      <c r="B6" s="1746"/>
      <c r="C6" s="79" t="s">
        <v>1018</v>
      </c>
      <c r="D6" s="83">
        <v>3</v>
      </c>
      <c r="E6" s="52">
        <v>2400</v>
      </c>
      <c r="F6" s="130">
        <f t="shared" si="0"/>
        <v>7200</v>
      </c>
      <c r="G6" s="737"/>
      <c r="H6" s="737"/>
      <c r="I6" s="737"/>
      <c r="J6" s="737"/>
      <c r="K6" s="737"/>
      <c r="L6" s="737"/>
      <c r="M6" s="737"/>
      <c r="N6" s="737"/>
      <c r="O6" s="737"/>
      <c r="P6" s="737"/>
      <c r="Q6" s="737" t="s">
        <v>1019</v>
      </c>
      <c r="R6" s="737"/>
      <c r="S6" s="737"/>
      <c r="T6" s="737"/>
      <c r="U6" s="737"/>
      <c r="V6" s="737"/>
      <c r="W6" s="737"/>
      <c r="X6" s="737"/>
      <c r="Y6" s="737" t="s">
        <v>1020</v>
      </c>
      <c r="Z6" s="737"/>
      <c r="AA6" s="737"/>
      <c r="AB6" s="737" t="s">
        <v>1021</v>
      </c>
      <c r="AC6" s="737"/>
      <c r="AD6" s="737"/>
      <c r="AE6" s="737"/>
      <c r="AF6" s="737"/>
      <c r="AG6" s="737"/>
    </row>
    <row r="7" spans="1:33" outlineLevel="1">
      <c r="A7" s="737"/>
      <c r="B7" s="1746"/>
      <c r="C7" s="79" t="s">
        <v>1022</v>
      </c>
      <c r="D7" s="83">
        <v>1</v>
      </c>
      <c r="E7" s="52">
        <v>17322</v>
      </c>
      <c r="F7" s="130">
        <f t="shared" si="0"/>
        <v>17322</v>
      </c>
      <c r="G7" s="737"/>
      <c r="H7" s="737"/>
      <c r="I7" s="737"/>
      <c r="J7" s="737"/>
      <c r="K7" s="737"/>
      <c r="L7" s="737"/>
      <c r="M7" s="737"/>
      <c r="N7" s="737"/>
      <c r="O7" s="737"/>
      <c r="P7" s="737"/>
      <c r="Q7" s="737" t="s">
        <v>753</v>
      </c>
      <c r="R7" s="737" t="s">
        <v>1023</v>
      </c>
      <c r="S7" s="737" t="s">
        <v>1024</v>
      </c>
      <c r="T7" s="737" t="s">
        <v>1025</v>
      </c>
      <c r="U7" s="737" t="s">
        <v>786</v>
      </c>
      <c r="V7" s="737" t="s">
        <v>1026</v>
      </c>
      <c r="W7" s="737" t="s">
        <v>1027</v>
      </c>
      <c r="X7" s="737" t="s">
        <v>748</v>
      </c>
      <c r="Y7" s="737" t="s">
        <v>1028</v>
      </c>
      <c r="Z7" s="737" t="s">
        <v>796</v>
      </c>
      <c r="AA7" s="737" t="s">
        <v>434</v>
      </c>
      <c r="AB7" s="737"/>
      <c r="AC7" s="737" t="s">
        <v>271</v>
      </c>
      <c r="AD7" s="737"/>
      <c r="AE7" s="737"/>
      <c r="AF7" s="737"/>
      <c r="AG7" s="737"/>
    </row>
    <row r="8" spans="1:33" outlineLevel="1">
      <c r="A8" s="737"/>
      <c r="B8" s="1746"/>
      <c r="C8" s="79" t="s">
        <v>1029</v>
      </c>
      <c r="D8" s="83">
        <v>10</v>
      </c>
      <c r="E8" s="52">
        <v>18560</v>
      </c>
      <c r="F8" s="130">
        <f t="shared" si="0"/>
        <v>185600</v>
      </c>
      <c r="G8" s="737"/>
      <c r="H8" s="737"/>
      <c r="I8" s="737"/>
      <c r="J8" s="737"/>
      <c r="K8" s="737"/>
      <c r="L8" s="737"/>
      <c r="M8" s="737"/>
      <c r="N8" s="737"/>
      <c r="O8" s="737"/>
      <c r="P8" s="1272" t="s">
        <v>309</v>
      </c>
      <c r="Q8" s="737"/>
      <c r="R8" s="737"/>
      <c r="S8" s="737"/>
      <c r="T8" s="737"/>
      <c r="U8" s="737"/>
      <c r="V8" s="737"/>
      <c r="W8" s="737"/>
      <c r="X8" s="737"/>
      <c r="Y8" s="737"/>
      <c r="Z8" s="737"/>
      <c r="AA8" s="737"/>
      <c r="AB8" s="737"/>
      <c r="AC8" s="737"/>
      <c r="AD8" s="737"/>
      <c r="AE8" s="737"/>
      <c r="AF8" s="737"/>
      <c r="AG8" s="737"/>
    </row>
    <row r="9" spans="1:33" outlineLevel="1">
      <c r="A9" s="737"/>
      <c r="B9" s="1746"/>
      <c r="C9" s="79" t="s">
        <v>1030</v>
      </c>
      <c r="D9" s="83">
        <v>4</v>
      </c>
      <c r="E9" s="52">
        <v>450</v>
      </c>
      <c r="F9" s="130">
        <f t="shared" si="0"/>
        <v>1800</v>
      </c>
      <c r="G9" s="737"/>
      <c r="H9" s="737"/>
      <c r="I9" s="737"/>
      <c r="J9" s="737"/>
      <c r="K9" s="737"/>
      <c r="L9" s="737"/>
      <c r="M9" s="737"/>
      <c r="N9" s="737"/>
      <c r="O9" s="737"/>
      <c r="P9" s="737" t="s">
        <v>275</v>
      </c>
      <c r="Q9" s="73"/>
      <c r="R9" s="737"/>
      <c r="S9" s="737"/>
      <c r="T9" s="737"/>
      <c r="U9" s="737"/>
      <c r="V9" s="737"/>
      <c r="W9" s="737"/>
      <c r="X9" s="737"/>
      <c r="Y9" s="737"/>
      <c r="Z9" s="737"/>
      <c r="AA9" s="737"/>
      <c r="AB9" s="737"/>
      <c r="AC9" s="737"/>
      <c r="AD9" s="737"/>
      <c r="AE9" s="737"/>
      <c r="AF9" s="737"/>
      <c r="AG9" s="737"/>
    </row>
    <row r="10" spans="1:33" outlineLevel="1">
      <c r="A10" s="737"/>
      <c r="B10" s="1746"/>
      <c r="C10" s="79" t="s">
        <v>1031</v>
      </c>
      <c r="D10" s="83">
        <v>1</v>
      </c>
      <c r="E10" s="52">
        <v>980</v>
      </c>
      <c r="F10" s="130">
        <f t="shared" si="0"/>
        <v>980</v>
      </c>
      <c r="G10" s="737"/>
      <c r="H10" s="737"/>
      <c r="I10" s="737"/>
      <c r="J10" s="737"/>
      <c r="K10" s="737"/>
      <c r="L10" s="737"/>
      <c r="M10" s="737"/>
      <c r="N10" s="737"/>
      <c r="O10" s="737"/>
      <c r="P10" s="737" t="s">
        <v>560</v>
      </c>
      <c r="Q10" s="73"/>
      <c r="R10" s="737"/>
      <c r="S10" s="737"/>
      <c r="T10" s="737"/>
      <c r="U10" s="737"/>
      <c r="V10" s="737"/>
      <c r="W10" s="737"/>
      <c r="X10" s="737"/>
      <c r="Y10" s="737"/>
      <c r="Z10" s="737"/>
      <c r="AA10" s="737"/>
      <c r="AB10" s="737"/>
      <c r="AC10" s="737"/>
      <c r="AD10" s="737"/>
      <c r="AE10" s="737"/>
      <c r="AF10" s="737"/>
      <c r="AG10" s="737"/>
    </row>
    <row r="11" spans="1:33" outlineLevel="1">
      <c r="A11" s="737"/>
      <c r="B11" s="1746"/>
      <c r="C11" s="79" t="s">
        <v>1032</v>
      </c>
      <c r="D11" s="83">
        <v>1</v>
      </c>
      <c r="E11" s="52">
        <v>2590</v>
      </c>
      <c r="F11" s="130">
        <f t="shared" si="0"/>
        <v>2590</v>
      </c>
      <c r="G11" s="737"/>
      <c r="H11" s="737"/>
      <c r="I11" s="737"/>
      <c r="J11" s="737"/>
      <c r="K11" s="737"/>
      <c r="L11" s="737"/>
      <c r="M11" s="737"/>
      <c r="N11" s="737"/>
      <c r="O11" s="737"/>
      <c r="P11" s="737" t="s">
        <v>561</v>
      </c>
      <c r="Q11" s="73"/>
      <c r="R11" s="737"/>
      <c r="S11" s="737"/>
      <c r="T11" s="737"/>
      <c r="U11" s="737"/>
      <c r="V11" s="737"/>
      <c r="W11" s="737"/>
      <c r="X11" s="737"/>
      <c r="Y11" s="737"/>
      <c r="Z11" s="737"/>
      <c r="AA11" s="737"/>
      <c r="AB11" s="737"/>
      <c r="AC11" s="737"/>
      <c r="AD11" s="737"/>
      <c r="AE11" s="737"/>
      <c r="AF11" s="737"/>
      <c r="AG11" s="737"/>
    </row>
    <row r="12" spans="1:33" outlineLevel="1">
      <c r="A12" s="737"/>
      <c r="B12" s="1746"/>
      <c r="C12" s="79" t="s">
        <v>1033</v>
      </c>
      <c r="D12" s="83">
        <v>1</v>
      </c>
      <c r="E12" s="52">
        <v>969</v>
      </c>
      <c r="F12" s="130">
        <f t="shared" si="0"/>
        <v>969</v>
      </c>
      <c r="G12" s="737"/>
      <c r="H12" s="737"/>
      <c r="I12" s="737"/>
      <c r="J12" s="737"/>
      <c r="K12" s="737"/>
      <c r="L12" s="737"/>
      <c r="M12" s="737"/>
      <c r="N12" s="737"/>
      <c r="O12" s="737"/>
      <c r="P12" s="737" t="s">
        <v>562</v>
      </c>
      <c r="Q12" s="73"/>
      <c r="R12" s="737"/>
      <c r="S12" s="737"/>
      <c r="T12" s="737"/>
      <c r="U12" s="737"/>
      <c r="V12" s="737"/>
      <c r="W12" s="737"/>
      <c r="X12" s="737"/>
      <c r="Y12" s="737"/>
      <c r="Z12" s="737"/>
      <c r="AA12" s="737"/>
      <c r="AB12" s="737"/>
      <c r="AC12" s="737"/>
      <c r="AD12" s="737"/>
      <c r="AE12" s="737"/>
      <c r="AF12" s="737"/>
      <c r="AG12" s="737"/>
    </row>
    <row r="13" spans="1:33" outlineLevel="1">
      <c r="A13" s="737"/>
      <c r="B13" s="1746"/>
      <c r="C13" s="79" t="s">
        <v>1034</v>
      </c>
      <c r="D13" s="83">
        <v>18</v>
      </c>
      <c r="E13" s="52">
        <v>180</v>
      </c>
      <c r="F13" s="130">
        <f t="shared" si="0"/>
        <v>3240</v>
      </c>
      <c r="G13" s="737"/>
      <c r="H13" s="737"/>
      <c r="I13" s="737"/>
      <c r="J13" s="737"/>
      <c r="K13" s="737"/>
      <c r="L13" s="737"/>
      <c r="M13" s="737"/>
      <c r="N13" s="737"/>
      <c r="O13" s="737"/>
      <c r="P13" s="737" t="s">
        <v>564</v>
      </c>
      <c r="Q13" s="73"/>
      <c r="R13" s="737"/>
      <c r="S13" s="737"/>
      <c r="T13" s="737"/>
      <c r="U13" s="737"/>
      <c r="V13" s="737"/>
      <c r="W13" s="737"/>
      <c r="X13" s="737"/>
      <c r="Y13" s="737"/>
      <c r="Z13" s="737"/>
      <c r="AA13" s="737"/>
      <c r="AB13" s="737"/>
      <c r="AC13" s="737"/>
      <c r="AD13" s="737"/>
      <c r="AE13" s="737"/>
      <c r="AF13" s="737"/>
      <c r="AG13" s="737"/>
    </row>
    <row r="14" spans="1:33" outlineLevel="1">
      <c r="A14" s="737"/>
      <c r="B14" s="1746"/>
      <c r="C14" s="79" t="s">
        <v>1035</v>
      </c>
      <c r="D14" s="83">
        <v>4</v>
      </c>
      <c r="E14" s="52">
        <v>2109</v>
      </c>
      <c r="F14" s="130">
        <f t="shared" si="0"/>
        <v>8436</v>
      </c>
      <c r="G14" s="737"/>
      <c r="H14" s="737"/>
      <c r="I14" s="737"/>
      <c r="J14" s="737"/>
      <c r="K14" s="737"/>
      <c r="L14" s="737"/>
      <c r="M14" s="737"/>
      <c r="N14" s="737"/>
      <c r="O14" s="737"/>
      <c r="P14" s="1272" t="s">
        <v>428</v>
      </c>
      <c r="Q14" s="737"/>
      <c r="R14" s="737"/>
      <c r="S14" s="737"/>
      <c r="T14" s="737"/>
      <c r="U14" s="737"/>
      <c r="V14" s="737"/>
      <c r="W14" s="737"/>
      <c r="X14" s="737"/>
      <c r="Y14" s="737"/>
      <c r="Z14" s="737"/>
      <c r="AA14" s="737"/>
      <c r="AB14" s="737"/>
      <c r="AC14" s="737"/>
      <c r="AD14" s="737"/>
      <c r="AE14" s="737"/>
      <c r="AF14" s="737"/>
      <c r="AG14" s="737"/>
    </row>
    <row r="15" spans="1:33" outlineLevel="1">
      <c r="A15" s="737"/>
      <c r="B15" s="1746"/>
      <c r="C15" s="79" t="s">
        <v>1036</v>
      </c>
      <c r="D15" s="83">
        <v>2</v>
      </c>
      <c r="E15" s="52">
        <v>4560</v>
      </c>
      <c r="F15" s="130">
        <f t="shared" si="0"/>
        <v>9120</v>
      </c>
      <c r="G15" s="737"/>
      <c r="H15" s="737"/>
      <c r="I15" s="737"/>
      <c r="J15" s="737"/>
      <c r="K15" s="737"/>
      <c r="L15" s="737"/>
      <c r="M15" s="737"/>
      <c r="N15" s="737"/>
      <c r="O15" s="737"/>
      <c r="P15" s="737" t="s">
        <v>565</v>
      </c>
      <c r="Q15" s="737"/>
      <c r="R15" s="737"/>
      <c r="S15" s="737"/>
      <c r="T15" s="737"/>
      <c r="U15" s="737"/>
      <c r="V15" s="737"/>
      <c r="W15" s="737"/>
      <c r="X15" s="737"/>
      <c r="Y15" s="737"/>
      <c r="Z15" s="737"/>
      <c r="AA15" s="737"/>
      <c r="AB15" s="737"/>
      <c r="AC15" s="737"/>
      <c r="AD15" s="737"/>
      <c r="AE15" s="737"/>
      <c r="AF15" s="737"/>
      <c r="AG15" s="737"/>
    </row>
    <row r="16" spans="1:33" outlineLevel="1">
      <c r="A16" s="737"/>
      <c r="B16" s="1746"/>
      <c r="C16" s="79" t="s">
        <v>1037</v>
      </c>
      <c r="D16" s="83">
        <v>1</v>
      </c>
      <c r="E16" s="52">
        <v>27050</v>
      </c>
      <c r="F16" s="130">
        <f t="shared" si="0"/>
        <v>27050</v>
      </c>
      <c r="G16" s="737"/>
      <c r="H16" s="737"/>
      <c r="I16" s="737"/>
      <c r="J16" s="737"/>
      <c r="K16" s="737"/>
      <c r="L16" s="737"/>
      <c r="M16" s="737"/>
      <c r="N16" s="737"/>
      <c r="O16" s="737"/>
      <c r="P16" s="737" t="s">
        <v>566</v>
      </c>
      <c r="Q16" s="737"/>
      <c r="R16" s="737"/>
      <c r="S16" s="737"/>
      <c r="T16" s="737"/>
      <c r="U16" s="737"/>
      <c r="V16" s="737"/>
      <c r="W16" s="737"/>
      <c r="X16" s="737"/>
      <c r="Y16" s="737"/>
      <c r="Z16" s="737"/>
      <c r="AA16" s="737"/>
      <c r="AB16" s="737"/>
      <c r="AC16" s="737"/>
      <c r="AD16" s="737"/>
      <c r="AE16" s="737"/>
      <c r="AF16" s="737"/>
      <c r="AG16" s="737"/>
    </row>
    <row r="17" spans="2:33" s="55" customFormat="1" outlineLevel="1">
      <c r="B17" s="1746"/>
      <c r="C17" s="79" t="s">
        <v>1038</v>
      </c>
      <c r="D17" s="83">
        <v>1</v>
      </c>
      <c r="E17" s="52">
        <v>12300</v>
      </c>
      <c r="F17" s="130">
        <f t="shared" si="0"/>
        <v>12300</v>
      </c>
      <c r="G17" s="737"/>
      <c r="H17" s="737"/>
      <c r="I17" s="737"/>
      <c r="J17" s="737"/>
      <c r="K17" s="737"/>
      <c r="L17" s="737"/>
      <c r="M17" s="737"/>
      <c r="N17" s="737"/>
      <c r="O17" s="737"/>
      <c r="P17" s="737" t="s">
        <v>567</v>
      </c>
      <c r="Q17" s="737"/>
      <c r="R17" s="737"/>
      <c r="S17" s="737"/>
      <c r="T17" s="737"/>
      <c r="U17" s="737"/>
      <c r="V17" s="737"/>
      <c r="W17" s="737"/>
      <c r="X17" s="737"/>
      <c r="Y17" s="737"/>
      <c r="Z17" s="737"/>
      <c r="AA17" s="737"/>
      <c r="AB17" s="737"/>
      <c r="AC17" s="737"/>
      <c r="AD17" s="737"/>
      <c r="AE17" s="737"/>
      <c r="AF17" s="737"/>
      <c r="AG17" s="737"/>
    </row>
    <row r="18" spans="2:33" s="55" customFormat="1" outlineLevel="1">
      <c r="B18" s="1746"/>
      <c r="C18" s="79" t="s">
        <v>1039</v>
      </c>
      <c r="D18" s="83">
        <v>1</v>
      </c>
      <c r="E18" s="52">
        <v>5000</v>
      </c>
      <c r="F18" s="130">
        <f t="shared" si="0"/>
        <v>5000</v>
      </c>
      <c r="G18" s="737"/>
      <c r="H18" s="737"/>
      <c r="I18" s="737"/>
      <c r="J18" s="737"/>
      <c r="K18" s="737"/>
      <c r="L18" s="737"/>
      <c r="M18" s="737"/>
      <c r="N18" s="737"/>
      <c r="O18" s="737"/>
      <c r="P18" s="1272" t="s">
        <v>429</v>
      </c>
      <c r="Q18" s="737"/>
      <c r="R18" s="737"/>
      <c r="S18" s="737"/>
      <c r="T18" s="737"/>
      <c r="U18" s="737"/>
      <c r="V18" s="737"/>
      <c r="W18" s="737"/>
      <c r="X18" s="737"/>
      <c r="Y18" s="737"/>
      <c r="Z18" s="737"/>
      <c r="AA18" s="737"/>
      <c r="AB18" s="737"/>
      <c r="AC18" s="737"/>
      <c r="AD18" s="737"/>
      <c r="AE18" s="737"/>
      <c r="AF18" s="737"/>
      <c r="AG18" s="737"/>
    </row>
    <row r="19" spans="2:33" ht="15" thickBot="1">
      <c r="B19" s="1747"/>
      <c r="C19" s="1699" t="s">
        <v>1040</v>
      </c>
      <c r="D19" s="1700"/>
      <c r="E19" s="1701"/>
      <c r="F19" s="265">
        <f>SUM(F4:F18)</f>
        <v>321127</v>
      </c>
      <c r="G19" s="737"/>
      <c r="H19" s="737"/>
      <c r="I19" s="737"/>
      <c r="J19" s="737"/>
      <c r="K19" s="737"/>
      <c r="L19" s="737"/>
      <c r="M19" s="737"/>
      <c r="N19" s="737"/>
      <c r="O19" s="737"/>
      <c r="P19" s="1272" t="s">
        <v>430</v>
      </c>
      <c r="Q19" s="737"/>
      <c r="R19" s="737"/>
      <c r="S19" s="737"/>
      <c r="T19" s="737"/>
      <c r="U19" s="737"/>
      <c r="V19" s="737"/>
      <c r="W19" s="737"/>
      <c r="X19" s="737"/>
      <c r="Y19" s="737"/>
      <c r="Z19" s="737"/>
      <c r="AA19" s="737"/>
      <c r="AB19" s="737"/>
      <c r="AC19" s="737"/>
      <c r="AD19" s="737"/>
      <c r="AE19" s="737"/>
      <c r="AF19" s="737"/>
      <c r="AG19" s="737"/>
    </row>
    <row r="20" spans="2:33" ht="14.25" customHeight="1" outlineLevel="1">
      <c r="B20" s="1690" t="s">
        <v>1041</v>
      </c>
      <c r="C20" s="261" t="s">
        <v>1042</v>
      </c>
      <c r="D20" s="262">
        <v>15</v>
      </c>
      <c r="E20" s="263">
        <v>1120</v>
      </c>
      <c r="F20" s="264">
        <f t="shared" ref="F20:F26" si="1">D20*E20</f>
        <v>16800</v>
      </c>
      <c r="G20" s="737"/>
      <c r="H20" s="737"/>
      <c r="I20" s="737"/>
      <c r="J20" s="737"/>
      <c r="K20" s="737"/>
      <c r="L20" s="737"/>
      <c r="M20" s="737"/>
      <c r="N20" s="737"/>
      <c r="O20" s="737"/>
      <c r="P20" s="1272" t="s">
        <v>431</v>
      </c>
      <c r="Q20" s="737"/>
      <c r="R20" s="737"/>
      <c r="S20" s="737"/>
      <c r="T20" s="737"/>
      <c r="U20" s="737"/>
      <c r="V20" s="737"/>
      <c r="W20" s="737"/>
      <c r="X20" s="737"/>
      <c r="Y20" s="737"/>
      <c r="Z20" s="737"/>
      <c r="AA20" s="737"/>
      <c r="AB20" s="737"/>
      <c r="AC20" s="737"/>
      <c r="AD20" s="737"/>
      <c r="AE20" s="737"/>
      <c r="AF20" s="737"/>
      <c r="AG20" s="737"/>
    </row>
    <row r="21" spans="2:33" outlineLevel="1">
      <c r="B21" s="1691"/>
      <c r="C21" s="79" t="s">
        <v>1043</v>
      </c>
      <c r="D21" s="83">
        <v>3</v>
      </c>
      <c r="E21" s="52">
        <v>1660</v>
      </c>
      <c r="F21" s="130">
        <f t="shared" si="1"/>
        <v>4980</v>
      </c>
      <c r="G21" s="737"/>
      <c r="H21" s="737"/>
      <c r="I21" s="737"/>
      <c r="J21" s="737"/>
      <c r="K21" s="737"/>
      <c r="L21" s="737"/>
      <c r="M21" s="737"/>
      <c r="N21" s="737"/>
      <c r="O21" s="737"/>
      <c r="P21" s="1272" t="s">
        <v>432</v>
      </c>
      <c r="Q21" s="737"/>
      <c r="R21" s="737"/>
      <c r="S21" s="737"/>
      <c r="T21" s="737"/>
      <c r="U21" s="737"/>
      <c r="V21" s="737"/>
      <c r="W21" s="737"/>
      <c r="X21" s="737"/>
      <c r="Y21" s="737"/>
      <c r="Z21" s="737"/>
      <c r="AA21" s="737"/>
      <c r="AB21" s="737"/>
      <c r="AC21" s="737"/>
      <c r="AD21" s="737"/>
      <c r="AE21" s="737"/>
      <c r="AF21" s="737"/>
      <c r="AG21" s="737"/>
    </row>
    <row r="22" spans="2:33" outlineLevel="1">
      <c r="B22" s="1691"/>
      <c r="C22" s="79" t="s">
        <v>1044</v>
      </c>
      <c r="D22" s="83">
        <v>12</v>
      </c>
      <c r="E22" s="52">
        <v>1798</v>
      </c>
      <c r="F22" s="130">
        <f t="shared" si="1"/>
        <v>21576</v>
      </c>
      <c r="G22" s="737"/>
      <c r="H22" s="737"/>
      <c r="I22" s="737"/>
      <c r="J22" s="737"/>
      <c r="K22" s="737"/>
      <c r="L22" s="737"/>
      <c r="M22" s="737"/>
      <c r="N22" s="737"/>
      <c r="O22" s="737"/>
      <c r="P22" s="1272" t="s">
        <v>433</v>
      </c>
      <c r="Q22" s="737"/>
      <c r="R22" s="737"/>
      <c r="S22" s="737"/>
      <c r="T22" s="737"/>
      <c r="U22" s="737"/>
      <c r="V22" s="737"/>
      <c r="W22" s="737"/>
      <c r="X22" s="737"/>
      <c r="Y22" s="737"/>
      <c r="Z22" s="737"/>
      <c r="AA22" s="737"/>
      <c r="AB22" s="737"/>
      <c r="AC22" s="737"/>
      <c r="AD22" s="737"/>
      <c r="AE22" s="737"/>
      <c r="AF22" s="737"/>
      <c r="AG22" s="737"/>
    </row>
    <row r="23" spans="2:33" outlineLevel="1">
      <c r="B23" s="1691"/>
      <c r="C23" s="79" t="s">
        <v>1045</v>
      </c>
      <c r="D23" s="83">
        <v>10</v>
      </c>
      <c r="E23" s="52">
        <v>2367</v>
      </c>
      <c r="F23" s="130">
        <f t="shared" si="1"/>
        <v>23670</v>
      </c>
      <c r="G23" s="737"/>
      <c r="H23" s="737"/>
      <c r="I23" s="737"/>
      <c r="J23" s="737"/>
      <c r="K23" s="737"/>
      <c r="L23" s="737"/>
      <c r="M23" s="737"/>
      <c r="N23" s="737"/>
      <c r="O23" s="737"/>
      <c r="P23" s="1272" t="s">
        <v>434</v>
      </c>
      <c r="Q23" s="737"/>
      <c r="R23" s="737"/>
      <c r="S23" s="737"/>
      <c r="T23" s="737"/>
      <c r="U23" s="737"/>
      <c r="V23" s="737"/>
      <c r="W23" s="737"/>
      <c r="X23" s="737"/>
      <c r="Y23" s="737"/>
      <c r="Z23" s="737"/>
      <c r="AA23" s="737"/>
      <c r="AB23" s="737"/>
      <c r="AC23" s="737"/>
      <c r="AD23" s="737"/>
      <c r="AE23" s="737"/>
      <c r="AF23" s="737"/>
      <c r="AG23" s="737"/>
    </row>
    <row r="24" spans="2:33" outlineLevel="1">
      <c r="B24" s="1691"/>
      <c r="C24" s="79" t="s">
        <v>1046</v>
      </c>
      <c r="D24" s="83">
        <v>3</v>
      </c>
      <c r="E24" s="52">
        <v>1200</v>
      </c>
      <c r="F24" s="130">
        <f t="shared" si="1"/>
        <v>3600</v>
      </c>
      <c r="G24" s="737"/>
      <c r="H24" s="737"/>
      <c r="I24" s="737"/>
      <c r="J24" s="737"/>
      <c r="K24" s="737"/>
      <c r="L24" s="737"/>
      <c r="M24" s="737"/>
      <c r="N24" s="737"/>
      <c r="O24" s="737"/>
      <c r="P24" s="1272" t="s">
        <v>435</v>
      </c>
      <c r="Q24" s="737"/>
      <c r="R24" s="737"/>
      <c r="S24" s="737"/>
      <c r="T24" s="737"/>
      <c r="U24" s="737"/>
      <c r="V24" s="737"/>
      <c r="W24" s="737"/>
      <c r="X24" s="737"/>
      <c r="Y24" s="737"/>
      <c r="Z24" s="737"/>
      <c r="AA24" s="737"/>
      <c r="AB24" s="737"/>
      <c r="AC24" s="737"/>
      <c r="AD24" s="737"/>
      <c r="AE24" s="737"/>
      <c r="AF24" s="737"/>
      <c r="AG24" s="737"/>
    </row>
    <row r="25" spans="2:33" outlineLevel="1">
      <c r="B25" s="1691"/>
      <c r="C25" s="79" t="s">
        <v>1047</v>
      </c>
      <c r="D25" s="83">
        <v>4</v>
      </c>
      <c r="E25" s="52">
        <v>2002</v>
      </c>
      <c r="F25" s="130">
        <f t="shared" si="1"/>
        <v>8008</v>
      </c>
      <c r="G25" s="737"/>
      <c r="H25" s="737"/>
      <c r="I25" s="737"/>
      <c r="J25" s="737"/>
      <c r="K25" s="737"/>
      <c r="L25" s="737"/>
      <c r="M25" s="737"/>
      <c r="N25" s="737"/>
      <c r="O25" s="737"/>
      <c r="P25" s="1272" t="s">
        <v>436</v>
      </c>
      <c r="Q25" s="737"/>
      <c r="R25" s="737"/>
      <c r="S25" s="737"/>
      <c r="T25" s="737"/>
      <c r="U25" s="737"/>
      <c r="V25" s="737"/>
      <c r="W25" s="737"/>
      <c r="X25" s="737"/>
      <c r="Y25" s="737"/>
      <c r="Z25" s="737"/>
      <c r="AA25" s="737"/>
      <c r="AB25" s="737"/>
      <c r="AC25" s="737"/>
      <c r="AD25" s="737"/>
      <c r="AE25" s="737"/>
      <c r="AF25" s="737"/>
      <c r="AG25" s="737"/>
    </row>
    <row r="26" spans="2:33" outlineLevel="1">
      <c r="B26" s="1691"/>
      <c r="C26" s="79" t="s">
        <v>1048</v>
      </c>
      <c r="D26" s="83">
        <v>1</v>
      </c>
      <c r="E26" s="52">
        <v>5900</v>
      </c>
      <c r="F26" s="130">
        <f t="shared" si="1"/>
        <v>5900</v>
      </c>
      <c r="G26" s="737"/>
      <c r="H26" s="737"/>
      <c r="I26" s="737"/>
      <c r="J26" s="737"/>
      <c r="K26" s="737"/>
      <c r="L26" s="737"/>
      <c r="M26" s="737"/>
      <c r="N26" s="737"/>
      <c r="O26" s="737"/>
      <c r="P26" s="1272" t="s">
        <v>437</v>
      </c>
      <c r="Q26" s="737"/>
      <c r="R26" s="737"/>
      <c r="S26" s="737"/>
      <c r="T26" s="737"/>
      <c r="U26" s="737"/>
      <c r="V26" s="737"/>
      <c r="W26" s="737"/>
      <c r="X26" s="737"/>
      <c r="Y26" s="737"/>
      <c r="Z26" s="737"/>
      <c r="AA26" s="737"/>
      <c r="AB26" s="737"/>
      <c r="AC26" s="737"/>
      <c r="AD26" s="737"/>
      <c r="AE26" s="737"/>
      <c r="AF26" s="737"/>
      <c r="AG26" s="737"/>
    </row>
    <row r="27" spans="2:33" s="55" customFormat="1" ht="14.25" customHeight="1" thickBot="1">
      <c r="B27" s="1692"/>
      <c r="C27" s="1696" t="s">
        <v>1049</v>
      </c>
      <c r="D27" s="1697"/>
      <c r="E27" s="1698"/>
      <c r="F27" s="266">
        <f>SUM(F20:F26)</f>
        <v>84534</v>
      </c>
      <c r="G27" s="737"/>
      <c r="H27" s="737"/>
      <c r="I27" s="737"/>
      <c r="J27" s="737"/>
      <c r="K27" s="737"/>
      <c r="L27" s="737"/>
      <c r="M27" s="737"/>
      <c r="N27" s="737"/>
      <c r="O27" s="737"/>
      <c r="P27" s="1272" t="s">
        <v>438</v>
      </c>
      <c r="Q27" s="737"/>
      <c r="R27" s="737"/>
      <c r="S27" s="737"/>
      <c r="T27" s="737"/>
      <c r="U27" s="737"/>
      <c r="V27" s="737"/>
      <c r="W27" s="737"/>
      <c r="X27" s="737"/>
      <c r="Y27" s="737"/>
      <c r="Z27" s="737"/>
      <c r="AA27" s="737"/>
      <c r="AB27" s="737"/>
      <c r="AC27" s="737"/>
      <c r="AD27" s="737"/>
      <c r="AE27" s="737"/>
      <c r="AF27" s="737"/>
      <c r="AG27" s="737"/>
    </row>
    <row r="28" spans="2:33" ht="14.25" customHeight="1" outlineLevel="1">
      <c r="B28" s="1693" t="s">
        <v>1050</v>
      </c>
      <c r="C28" s="261" t="s">
        <v>1051</v>
      </c>
      <c r="D28" s="262">
        <v>1</v>
      </c>
      <c r="E28" s="263">
        <v>9100</v>
      </c>
      <c r="F28" s="264">
        <f t="shared" ref="F28:F33" si="2">D28*E28</f>
        <v>9100</v>
      </c>
      <c r="G28" s="737"/>
      <c r="H28" s="737"/>
      <c r="I28" s="737"/>
      <c r="J28" s="737"/>
      <c r="K28" s="737"/>
      <c r="L28" s="737"/>
      <c r="M28" s="737"/>
      <c r="N28" s="737"/>
      <c r="O28" s="737"/>
      <c r="P28" s="1272" t="s">
        <v>439</v>
      </c>
      <c r="Q28" s="737"/>
      <c r="R28" s="737"/>
      <c r="S28" s="737"/>
      <c r="T28" s="737"/>
      <c r="U28" s="737"/>
      <c r="V28" s="737"/>
      <c r="W28" s="737"/>
      <c r="X28" s="737"/>
      <c r="Y28" s="737"/>
      <c r="Z28" s="737"/>
      <c r="AA28" s="737"/>
      <c r="AB28" s="737"/>
      <c r="AC28" s="737"/>
      <c r="AD28" s="737"/>
      <c r="AE28" s="737"/>
      <c r="AF28" s="737"/>
      <c r="AG28" s="737"/>
    </row>
    <row r="29" spans="2:33" outlineLevel="1">
      <c r="B29" s="1694"/>
      <c r="C29" s="79" t="s">
        <v>1052</v>
      </c>
      <c r="D29" s="83">
        <v>4</v>
      </c>
      <c r="E29" s="52">
        <v>1756</v>
      </c>
      <c r="F29" s="130">
        <f t="shared" si="2"/>
        <v>7024</v>
      </c>
      <c r="G29" s="737"/>
      <c r="H29" s="737"/>
      <c r="I29" s="737"/>
      <c r="J29" s="737"/>
      <c r="K29" s="737"/>
      <c r="L29" s="737"/>
      <c r="M29" s="737"/>
      <c r="N29" s="737"/>
      <c r="O29" s="737"/>
      <c r="P29" s="1272" t="s">
        <v>440</v>
      </c>
      <c r="Q29" s="737"/>
      <c r="R29" s="737"/>
      <c r="S29" s="737"/>
      <c r="T29" s="737"/>
      <c r="U29" s="737"/>
      <c r="V29" s="737"/>
      <c r="W29" s="737"/>
      <c r="X29" s="737"/>
      <c r="Y29" s="737"/>
      <c r="Z29" s="737"/>
      <c r="AA29" s="737"/>
      <c r="AB29" s="737"/>
      <c r="AC29" s="737"/>
      <c r="AD29" s="737"/>
      <c r="AE29" s="737"/>
      <c r="AF29" s="737"/>
      <c r="AG29" s="737"/>
    </row>
    <row r="30" spans="2:33" outlineLevel="1">
      <c r="B30" s="1694"/>
      <c r="C30" s="79" t="s">
        <v>1053</v>
      </c>
      <c r="D30" s="83">
        <v>5</v>
      </c>
      <c r="E30" s="52">
        <v>3563</v>
      </c>
      <c r="F30" s="130">
        <f t="shared" si="2"/>
        <v>17815</v>
      </c>
      <c r="G30" s="737"/>
      <c r="H30" s="737"/>
      <c r="I30" s="737"/>
      <c r="J30" s="737"/>
      <c r="K30" s="737"/>
      <c r="L30" s="737"/>
      <c r="M30" s="737"/>
      <c r="N30" s="737"/>
      <c r="O30" s="737"/>
      <c r="P30" s="1272" t="s">
        <v>441</v>
      </c>
      <c r="Q30" s="737"/>
      <c r="R30" s="737"/>
      <c r="S30" s="737"/>
      <c r="T30" s="737"/>
      <c r="U30" s="737"/>
      <c r="V30" s="737"/>
      <c r="W30" s="737"/>
      <c r="X30" s="737"/>
      <c r="Y30" s="737"/>
      <c r="Z30" s="737"/>
      <c r="AA30" s="737"/>
      <c r="AB30" s="737"/>
      <c r="AC30" s="737"/>
      <c r="AD30" s="737"/>
      <c r="AE30" s="737"/>
      <c r="AF30" s="737"/>
      <c r="AG30" s="737"/>
    </row>
    <row r="31" spans="2:33" outlineLevel="1">
      <c r="B31" s="1694"/>
      <c r="C31" s="79" t="s">
        <v>1054</v>
      </c>
      <c r="D31" s="83">
        <v>8</v>
      </c>
      <c r="E31" s="52">
        <v>2697</v>
      </c>
      <c r="F31" s="130">
        <f t="shared" si="2"/>
        <v>21576</v>
      </c>
      <c r="G31" s="737"/>
      <c r="H31" s="737"/>
      <c r="I31" s="737"/>
      <c r="J31" s="737"/>
      <c r="K31" s="737"/>
      <c r="L31" s="737"/>
      <c r="M31" s="737"/>
      <c r="N31" s="737"/>
      <c r="O31" s="737"/>
      <c r="P31" s="1272" t="s">
        <v>247</v>
      </c>
      <c r="Q31" s="737"/>
      <c r="R31" s="737"/>
      <c r="S31" s="737"/>
      <c r="T31" s="737"/>
      <c r="U31" s="737"/>
      <c r="V31" s="737"/>
      <c r="W31" s="737"/>
      <c r="X31" s="737"/>
      <c r="Y31" s="737"/>
      <c r="Z31" s="737"/>
      <c r="AA31" s="737"/>
      <c r="AB31" s="737"/>
      <c r="AC31" s="737"/>
      <c r="AD31" s="737"/>
      <c r="AE31" s="737"/>
      <c r="AF31" s="737"/>
      <c r="AG31" s="737"/>
    </row>
    <row r="32" spans="2:33" outlineLevel="1">
      <c r="B32" s="1694"/>
      <c r="C32" s="79" t="s">
        <v>1055</v>
      </c>
      <c r="D32" s="83">
        <v>4</v>
      </c>
      <c r="E32" s="52">
        <v>2059</v>
      </c>
      <c r="F32" s="130">
        <f t="shared" si="2"/>
        <v>8236</v>
      </c>
      <c r="G32" s="737"/>
      <c r="H32" s="737"/>
      <c r="I32" s="737"/>
      <c r="J32" s="737"/>
      <c r="K32" s="737"/>
      <c r="L32" s="737"/>
      <c r="M32" s="737"/>
      <c r="N32" s="737"/>
      <c r="O32" s="737"/>
      <c r="P32" s="737"/>
      <c r="Q32" s="737"/>
      <c r="R32" s="737"/>
      <c r="S32" s="737"/>
      <c r="T32" s="737"/>
      <c r="U32" s="737"/>
      <c r="V32" s="737"/>
      <c r="W32" s="737"/>
      <c r="X32" s="737"/>
      <c r="Y32" s="737"/>
      <c r="Z32" s="737"/>
      <c r="AA32" s="737"/>
      <c r="AB32" s="737"/>
      <c r="AC32" s="737"/>
      <c r="AD32" s="737"/>
      <c r="AE32" s="737"/>
      <c r="AF32" s="737"/>
      <c r="AG32" s="737"/>
    </row>
    <row r="33" spans="2:9" outlineLevel="1">
      <c r="B33" s="1694"/>
      <c r="C33" s="79" t="s">
        <v>1056</v>
      </c>
      <c r="D33" s="83">
        <v>1</v>
      </c>
      <c r="E33" s="52">
        <v>25000</v>
      </c>
      <c r="F33" s="130">
        <f t="shared" si="2"/>
        <v>25000</v>
      </c>
      <c r="G33" s="737"/>
      <c r="H33" s="737"/>
      <c r="I33" s="737"/>
    </row>
    <row r="34" spans="2:9" ht="15" thickBot="1">
      <c r="B34" s="1695"/>
      <c r="C34" s="1702" t="s">
        <v>1057</v>
      </c>
      <c r="D34" s="1703"/>
      <c r="E34" s="1704"/>
      <c r="F34" s="268">
        <f>SUM(F28:F33)</f>
        <v>88751</v>
      </c>
      <c r="G34" s="737"/>
      <c r="H34" s="737"/>
      <c r="I34" s="737"/>
    </row>
    <row r="35" spans="2:9" ht="15" customHeight="1" thickBot="1">
      <c r="B35" s="1748" t="s">
        <v>1058</v>
      </c>
      <c r="C35" s="1749"/>
      <c r="D35" s="1749"/>
      <c r="E35" s="1750"/>
      <c r="F35" s="267">
        <f>F19+F27+F34</f>
        <v>494412</v>
      </c>
      <c r="G35" s="737"/>
      <c r="H35" s="865"/>
      <c r="I35" s="737"/>
    </row>
    <row r="37" spans="2:9" ht="21" customHeight="1">
      <c r="B37" s="737"/>
      <c r="C37" s="737"/>
      <c r="D37" s="737"/>
      <c r="E37" s="737"/>
      <c r="F37" s="737"/>
      <c r="G37" s="737"/>
      <c r="H37" s="737"/>
      <c r="I37" s="737"/>
    </row>
    <row r="38" spans="2:9" ht="16.5" customHeight="1">
      <c r="B38" s="737"/>
      <c r="C38" s="737"/>
      <c r="D38" s="737"/>
      <c r="E38" s="737"/>
      <c r="F38" s="737"/>
      <c r="G38" s="737"/>
      <c r="H38" s="737"/>
      <c r="I38" s="737"/>
    </row>
    <row r="39" spans="2:9">
      <c r="B39" s="737"/>
      <c r="C39" s="737"/>
      <c r="D39" s="737"/>
      <c r="E39" s="737"/>
      <c r="F39" s="737"/>
      <c r="G39" s="737"/>
      <c r="H39" s="737"/>
      <c r="I39" s="737"/>
    </row>
    <row r="40" spans="2:9" ht="15" customHeight="1">
      <c r="B40" s="737"/>
      <c r="C40" s="737"/>
      <c r="D40" s="737"/>
      <c r="E40" s="737"/>
      <c r="F40" s="737"/>
      <c r="G40" s="737"/>
      <c r="H40" s="737"/>
      <c r="I40" s="737"/>
    </row>
    <row r="41" spans="2:9">
      <c r="B41" s="737"/>
      <c r="C41" s="737"/>
      <c r="D41" s="737"/>
      <c r="E41" s="737"/>
      <c r="F41" s="737"/>
      <c r="G41" s="737"/>
      <c r="H41" s="737"/>
      <c r="I41" s="737"/>
    </row>
    <row r="42" spans="2:9">
      <c r="B42" s="737"/>
      <c r="C42" s="737"/>
      <c r="D42" s="737"/>
      <c r="E42" s="737"/>
      <c r="F42" s="737"/>
      <c r="G42" s="737"/>
      <c r="H42" s="737"/>
      <c r="I42" s="737"/>
    </row>
    <row r="43" spans="2:9">
      <c r="B43" s="737"/>
      <c r="C43" s="737"/>
      <c r="D43" s="737"/>
      <c r="E43" s="737"/>
      <c r="F43" s="737"/>
      <c r="G43" s="737"/>
      <c r="H43" s="737"/>
      <c r="I43" s="737"/>
    </row>
  </sheetData>
  <customSheetViews>
    <customSheetView guid="{F9015B81-4D5E-47E3-BFA8-A54438E9D1FF}" scale="85" showGridLines="0" topLeftCell="A10">
      <selection activeCell="I33" sqref="I33"/>
      <pageMargins left="0.7" right="0.7" top="0.75" bottom="0.75" header="0.3" footer="0.3"/>
    </customSheetView>
  </customSheetViews>
  <mergeCells count="9">
    <mergeCell ref="B35:E35"/>
    <mergeCell ref="B1:F1"/>
    <mergeCell ref="B2:F2"/>
    <mergeCell ref="B4:B19"/>
    <mergeCell ref="B20:B27"/>
    <mergeCell ref="B28:B34"/>
    <mergeCell ref="C27:E27"/>
    <mergeCell ref="C19:E19"/>
    <mergeCell ref="C34:E34"/>
  </mergeCells>
  <hyperlinks>
    <hyperlink ref="A1" location="MENU!A1" display="MENU" xr:uid="{D9CB5960-F374-4F2D-BA67-C16887182383}"/>
  </hyperlinks>
  <pageMargins left="0.7" right="0.7" top="0.75" bottom="0.75" header="0.3" footer="0.3"/>
  <ignoredErrors>
    <ignoredError sqref="F19 F27" formula="1"/>
  </ignoredError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6B947D-E320-4439-93E5-4649A9AB8104}">
  <sheetPr>
    <tabColor theme="8"/>
  </sheetPr>
  <dimension ref="A1:E15"/>
  <sheetViews>
    <sheetView showGridLines="0" workbookViewId="0"/>
  </sheetViews>
  <sheetFormatPr defaultRowHeight="14.25"/>
  <cols>
    <col min="2" max="2" width="19.21875" customWidth="1"/>
    <col min="3" max="3" width="15.21875" customWidth="1"/>
    <col min="4" max="4" width="19" customWidth="1"/>
  </cols>
  <sheetData>
    <row r="1" spans="1:5" ht="22.5" customHeight="1" thickBot="1">
      <c r="A1" s="107" t="s">
        <v>1</v>
      </c>
      <c r="B1" s="737"/>
      <c r="C1" s="737"/>
      <c r="D1" s="737"/>
      <c r="E1" s="737"/>
    </row>
    <row r="2" spans="1:5" ht="23.25" customHeight="1">
      <c r="A2" s="737"/>
      <c r="B2" s="1537" t="s">
        <v>1059</v>
      </c>
      <c r="C2" s="1538"/>
      <c r="D2" s="1539"/>
      <c r="E2" s="737"/>
    </row>
    <row r="3" spans="1:5">
      <c r="A3" s="737"/>
      <c r="B3" s="253" t="s">
        <v>872</v>
      </c>
      <c r="C3" s="84" t="s">
        <v>1060</v>
      </c>
      <c r="D3" s="254" t="s">
        <v>1061</v>
      </c>
      <c r="E3" s="737"/>
    </row>
    <row r="4" spans="1:5">
      <c r="A4" s="737"/>
      <c r="B4" s="129" t="s">
        <v>1062</v>
      </c>
      <c r="C4" s="52" t="s">
        <v>1005</v>
      </c>
      <c r="D4" s="130">
        <v>2895300</v>
      </c>
      <c r="E4" s="737"/>
    </row>
    <row r="5" spans="1:5">
      <c r="A5" s="737"/>
      <c r="B5" s="129" t="s">
        <v>1063</v>
      </c>
      <c r="C5" s="52" t="s">
        <v>1005</v>
      </c>
      <c r="D5" s="130">
        <v>1680530</v>
      </c>
      <c r="E5" s="737"/>
    </row>
    <row r="6" spans="1:5">
      <c r="A6" s="737"/>
      <c r="B6" s="129" t="s">
        <v>1064</v>
      </c>
      <c r="C6" s="52" t="s">
        <v>1005</v>
      </c>
      <c r="D6" s="130">
        <v>2618680</v>
      </c>
      <c r="E6" s="737"/>
    </row>
    <row r="7" spans="1:5">
      <c r="A7" s="737"/>
      <c r="B7" s="129" t="s">
        <v>1065</v>
      </c>
      <c r="C7" s="52" t="s">
        <v>1005</v>
      </c>
      <c r="D7" s="130">
        <v>3250600</v>
      </c>
      <c r="E7" s="737"/>
    </row>
    <row r="8" spans="1:5">
      <c r="A8" s="737"/>
      <c r="B8" s="129" t="s">
        <v>1066</v>
      </c>
      <c r="C8" s="52" t="s">
        <v>1005</v>
      </c>
      <c r="D8" s="130">
        <v>2319800</v>
      </c>
      <c r="E8" s="737"/>
    </row>
    <row r="9" spans="1:5">
      <c r="A9" s="737"/>
      <c r="B9" s="129"/>
      <c r="C9" s="52"/>
      <c r="D9" s="130"/>
      <c r="E9" s="737"/>
    </row>
    <row r="10" spans="1:5">
      <c r="A10" s="737"/>
      <c r="B10" s="129" t="s">
        <v>1067</v>
      </c>
      <c r="C10" s="52" t="s">
        <v>1068</v>
      </c>
      <c r="D10" s="130">
        <v>558320</v>
      </c>
      <c r="E10" s="737"/>
    </row>
    <row r="11" spans="1:5">
      <c r="A11" s="737"/>
      <c r="B11" s="129"/>
      <c r="C11" s="52"/>
      <c r="D11" s="130"/>
      <c r="E11" s="737"/>
    </row>
    <row r="12" spans="1:5">
      <c r="A12" s="737"/>
      <c r="B12" s="255" t="s">
        <v>1069</v>
      </c>
      <c r="C12" s="90" t="s">
        <v>1070</v>
      </c>
      <c r="D12" s="256">
        <v>1500000</v>
      </c>
      <c r="E12" s="737"/>
    </row>
    <row r="13" spans="1:5">
      <c r="A13" s="737"/>
      <c r="B13" s="129"/>
      <c r="C13" s="52"/>
      <c r="D13" s="257"/>
      <c r="E13" s="737"/>
    </row>
    <row r="14" spans="1:5" ht="15" thickBot="1">
      <c r="A14" s="737"/>
      <c r="B14" s="1705" t="s">
        <v>1071</v>
      </c>
      <c r="C14" s="1706"/>
      <c r="D14" s="258">
        <f>SUM(D4:D13)</f>
        <v>14823230</v>
      </c>
      <c r="E14" s="737"/>
    </row>
    <row r="15" spans="1:5" ht="14.25" customHeight="1" thickBot="1">
      <c r="A15" s="737"/>
      <c r="B15" s="1707" t="s">
        <v>1072</v>
      </c>
      <c r="C15" s="1708"/>
      <c r="D15" s="252">
        <f>D14/Produkty!H5</f>
        <v>1058.8021428571428</v>
      </c>
      <c r="E15" s="737"/>
    </row>
  </sheetData>
  <customSheetViews>
    <customSheetView guid="{F9015B81-4D5E-47E3-BFA8-A54438E9D1FF}" showGridLines="0">
      <pageMargins left="0.7" right="0.7" top="0.75" bottom="0.75" header="0.3" footer="0.3"/>
    </customSheetView>
  </customSheetViews>
  <mergeCells count="3">
    <mergeCell ref="B2:D2"/>
    <mergeCell ref="B14:C14"/>
    <mergeCell ref="B15:C15"/>
  </mergeCells>
  <hyperlinks>
    <hyperlink ref="A1" location="MENU!A1" display="MENU" xr:uid="{C10EEDD3-21EB-41B0-A2B7-10EEE46EFAFC}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8CE44-C8AC-407A-BE30-A34D67EF6A07}">
  <sheetPr>
    <tabColor theme="8"/>
  </sheetPr>
  <dimension ref="A1:E16"/>
  <sheetViews>
    <sheetView workbookViewId="0"/>
  </sheetViews>
  <sheetFormatPr defaultColWidth="8.77734375" defaultRowHeight="14.25"/>
  <cols>
    <col min="1" max="1" width="8.77734375" style="55"/>
    <col min="2" max="2" width="14.44140625" style="55" bestFit="1" customWidth="1"/>
    <col min="3" max="6" width="8.44140625" style="55" customWidth="1"/>
    <col min="7" max="16384" width="8.77734375" style="55"/>
  </cols>
  <sheetData>
    <row r="1" spans="1:5" ht="22.5" customHeight="1">
      <c r="A1" s="107" t="s">
        <v>1</v>
      </c>
      <c r="B1" s="737"/>
      <c r="C1" s="737"/>
      <c r="D1" s="737"/>
      <c r="E1" s="737"/>
    </row>
    <row r="2" spans="1:5" ht="23.25" customHeight="1">
      <c r="A2" s="737"/>
      <c r="B2" s="1709" t="s">
        <v>1073</v>
      </c>
      <c r="C2" s="1709"/>
      <c r="D2" s="1709"/>
      <c r="E2" s="1709"/>
    </row>
    <row r="3" spans="1:5" ht="23.25" customHeight="1">
      <c r="A3" s="737"/>
      <c r="B3" s="1369"/>
      <c r="C3" s="1369"/>
      <c r="D3" s="1369"/>
      <c r="E3" s="1369"/>
    </row>
    <row r="4" spans="1:5">
      <c r="A4" s="737"/>
      <c r="B4" s="1710" t="s">
        <v>769</v>
      </c>
      <c r="C4" s="1710"/>
      <c r="D4" s="737"/>
      <c r="E4" s="737"/>
    </row>
    <row r="5" spans="1:5">
      <c r="A5" s="737"/>
      <c r="B5" s="737" t="s">
        <v>1074</v>
      </c>
      <c r="C5" s="737">
        <f>HR!E13</f>
        <v>1</v>
      </c>
      <c r="D5" s="737"/>
      <c r="E5" s="737"/>
    </row>
    <row r="6" spans="1:5">
      <c r="A6" s="737"/>
      <c r="B6" s="737" t="s">
        <v>771</v>
      </c>
      <c r="C6" s="737">
        <f>HR!E14</f>
        <v>4</v>
      </c>
      <c r="D6" s="737"/>
      <c r="E6" s="737"/>
    </row>
    <row r="7" spans="1:5">
      <c r="A7" s="737"/>
      <c r="B7" s="737" t="s">
        <v>774</v>
      </c>
      <c r="C7" s="737">
        <f>HR!E15</f>
        <v>2</v>
      </c>
      <c r="D7" s="737"/>
      <c r="E7" s="737"/>
    </row>
    <row r="8" spans="1:5">
      <c r="A8" s="737"/>
      <c r="B8" s="737" t="s">
        <v>776</v>
      </c>
      <c r="C8" s="737">
        <f>HR!E16</f>
        <v>2</v>
      </c>
      <c r="D8" s="737"/>
      <c r="E8" s="737"/>
    </row>
    <row r="9" spans="1:5">
      <c r="A9" s="737"/>
      <c r="B9" s="737" t="s">
        <v>777</v>
      </c>
      <c r="C9" s="737">
        <f>HR!E17</f>
        <v>4</v>
      </c>
      <c r="D9" s="737"/>
      <c r="E9" s="737"/>
    </row>
    <row r="10" spans="1:5">
      <c r="A10" s="737"/>
      <c r="B10" s="1711" t="s">
        <v>2</v>
      </c>
      <c r="C10" s="1711"/>
      <c r="D10" s="737"/>
      <c r="E10" s="737"/>
    </row>
    <row r="11" spans="1:5">
      <c r="A11" s="737"/>
      <c r="B11" s="737" t="s">
        <v>1075</v>
      </c>
      <c r="C11" s="737">
        <f>HR!E18</f>
        <v>1</v>
      </c>
      <c r="D11" s="737"/>
      <c r="E11" s="737"/>
    </row>
    <row r="12" spans="1:5">
      <c r="A12" s="737"/>
      <c r="B12" s="737" t="s">
        <v>779</v>
      </c>
      <c r="C12" s="737">
        <f>HR!E19</f>
        <v>2</v>
      </c>
      <c r="D12" s="737"/>
      <c r="E12" s="737"/>
    </row>
    <row r="13" spans="1:5">
      <c r="A13" s="737"/>
      <c r="B13" s="737" t="s">
        <v>781</v>
      </c>
      <c r="C13" s="737">
        <f>HR!E20</f>
        <v>2</v>
      </c>
      <c r="D13" s="737"/>
      <c r="E13" s="737"/>
    </row>
    <row r="14" spans="1:5">
      <c r="A14" s="737"/>
      <c r="B14" s="737" t="s">
        <v>782</v>
      </c>
      <c r="C14" s="737">
        <f>HR!E21</f>
        <v>2</v>
      </c>
      <c r="D14" s="737"/>
      <c r="E14" s="737"/>
    </row>
    <row r="15" spans="1:5">
      <c r="A15" s="737"/>
      <c r="B15" s="737" t="s">
        <v>783</v>
      </c>
      <c r="C15" s="737">
        <f>HR!E22</f>
        <v>2</v>
      </c>
      <c r="D15" s="737"/>
      <c r="E15" s="737"/>
    </row>
    <row r="16" spans="1:5" ht="14.25" customHeight="1">
      <c r="A16" s="737"/>
      <c r="B16" s="737" t="s">
        <v>784</v>
      </c>
      <c r="C16" s="737">
        <f>HR!E23</f>
        <v>2</v>
      </c>
      <c r="D16" s="737"/>
      <c r="E16" s="737"/>
    </row>
  </sheetData>
  <customSheetViews>
    <customSheetView guid="{F9015B81-4D5E-47E3-BFA8-A54438E9D1FF}">
      <pageMargins left="0.7" right="0.7" top="0.75" bottom="0.75" header="0.3" footer="0.3"/>
    </customSheetView>
  </customSheetViews>
  <mergeCells count="3">
    <mergeCell ref="B2:E2"/>
    <mergeCell ref="B4:C4"/>
    <mergeCell ref="B10:C10"/>
  </mergeCells>
  <hyperlinks>
    <hyperlink ref="A1" location="MENU!A1" display="MENU" xr:uid="{A5DF61BD-6144-45DE-BEA9-180291F65A90}"/>
  </hyperlinks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C2590-15C6-41D5-808D-99D706BD403D}">
  <sheetPr>
    <tabColor theme="0" tint="-0.499984740745262"/>
  </sheetPr>
  <dimension ref="A1:M19"/>
  <sheetViews>
    <sheetView showGridLines="0" zoomScale="85" zoomScaleNormal="85" workbookViewId="0">
      <selection activeCell="M19" sqref="M19"/>
    </sheetView>
  </sheetViews>
  <sheetFormatPr defaultRowHeight="14.25" outlineLevelRow="1"/>
  <cols>
    <col min="2" max="2" width="3.21875" customWidth="1"/>
    <col min="3" max="3" width="18.77734375" customWidth="1"/>
    <col min="4" max="7" width="12.33203125" customWidth="1"/>
    <col min="8" max="8" width="12.33203125" style="55" customWidth="1"/>
    <col min="9" max="9" width="12.33203125" customWidth="1"/>
    <col min="10" max="10" width="9.33203125" style="55" customWidth="1"/>
    <col min="11" max="13" width="12.33203125" customWidth="1"/>
  </cols>
  <sheetData>
    <row r="1" spans="1:13" ht="23.25" customHeight="1">
      <c r="A1" s="107" t="s">
        <v>1</v>
      </c>
      <c r="B1" s="737"/>
      <c r="C1" s="737"/>
      <c r="D1" s="737"/>
      <c r="E1" s="737"/>
      <c r="F1" s="737"/>
      <c r="G1" s="737"/>
      <c r="H1" s="737"/>
      <c r="I1" s="737"/>
      <c r="J1" s="737"/>
      <c r="K1" s="737"/>
      <c r="L1" s="737"/>
      <c r="M1" s="737"/>
    </row>
    <row r="2" spans="1:13" ht="15" thickBot="1">
      <c r="A2" s="737"/>
      <c r="B2" s="737"/>
      <c r="C2" s="737"/>
      <c r="D2" s="737"/>
      <c r="E2" s="737"/>
      <c r="F2" s="737"/>
      <c r="G2" s="737"/>
      <c r="H2" s="737"/>
      <c r="I2" s="737"/>
      <c r="J2" s="737"/>
      <c r="K2" s="737"/>
      <c r="L2" s="737"/>
      <c r="M2" s="737"/>
    </row>
    <row r="3" spans="1:13" ht="15" thickBot="1">
      <c r="A3" s="737"/>
      <c r="B3" s="737"/>
      <c r="C3" s="275" t="s">
        <v>1076</v>
      </c>
      <c r="D3" s="1714" t="s">
        <v>1077</v>
      </c>
      <c r="E3" s="1715"/>
      <c r="F3" s="1715"/>
      <c r="G3" s="1715"/>
      <c r="H3" s="1715"/>
      <c r="I3" s="1716"/>
      <c r="J3" s="219"/>
      <c r="K3" s="1717" t="s">
        <v>1078</v>
      </c>
      <c r="L3" s="1718"/>
      <c r="M3" s="1719"/>
    </row>
    <row r="4" spans="1:13" ht="15" thickBot="1">
      <c r="A4" s="737"/>
      <c r="B4" s="737"/>
      <c r="C4" s="276" t="s">
        <v>1079</v>
      </c>
      <c r="D4" s="269" t="s">
        <v>1080</v>
      </c>
      <c r="E4" s="210" t="s">
        <v>1081</v>
      </c>
      <c r="F4" s="210" t="s">
        <v>1082</v>
      </c>
      <c r="G4" s="210" t="s">
        <v>1073</v>
      </c>
      <c r="H4" s="210" t="s">
        <v>1083</v>
      </c>
      <c r="I4" s="213" t="s">
        <v>1084</v>
      </c>
      <c r="J4" s="220"/>
      <c r="K4" s="216" t="s">
        <v>753</v>
      </c>
      <c r="L4" s="211" t="s">
        <v>786</v>
      </c>
      <c r="M4" s="212" t="s">
        <v>1085</v>
      </c>
    </row>
    <row r="5" spans="1:13" outlineLevel="1">
      <c r="A5" s="737"/>
      <c r="B5" s="737"/>
      <c r="C5" s="277" t="s">
        <v>309</v>
      </c>
      <c r="D5" s="217">
        <f>SUM('ROZ Tech. us.'!E11:E14)</f>
        <v>1794703.5</v>
      </c>
      <c r="E5" s="209">
        <f>SUM('ROZ Tech. us.'!Z20:Z23)</f>
        <v>10126209.1</v>
      </c>
      <c r="F5" s="209">
        <f>SUM('ROZ Tech. us.'!AG29:AG32)</f>
        <v>5358110.5</v>
      </c>
      <c r="G5" s="209">
        <f>SUM('ROZ Tech. us.'!AN19:AN22)</f>
        <v>24019496.399999999</v>
      </c>
      <c r="H5" s="209">
        <f>SUM('ROZ Tech. us.'!BB19:BB22)</f>
        <v>5790119</v>
      </c>
      <c r="I5" s="214">
        <f>SUM('ROZ Tech. us.'!L29:L32)</f>
        <v>1841703.5</v>
      </c>
      <c r="J5" s="220"/>
      <c r="K5" s="217">
        <f>SUM('ROZ Tech. us.'!S15:S18)</f>
        <v>10793887.949999999</v>
      </c>
      <c r="L5" s="209">
        <f>SUM('ROZ Tech. us.'!AU11:AU14)</f>
        <v>5676117.2999999998</v>
      </c>
      <c r="M5" s="236">
        <f>SUM('ROZ Manag.'!$E$10:$E$13)/6</f>
        <v>1426362.8</v>
      </c>
    </row>
    <row r="6" spans="1:13" s="55" customFormat="1" outlineLevel="1">
      <c r="A6" s="737"/>
      <c r="B6" s="737"/>
      <c r="C6" s="278" t="s">
        <v>1086</v>
      </c>
      <c r="D6" s="218">
        <f>'ROZ Tech. us.'!E8</f>
        <v>335000</v>
      </c>
      <c r="E6" s="124">
        <f>'ROZ Tech. us.'!Z12+'ROZ Tech. us.'!Z17</f>
        <v>805883</v>
      </c>
      <c r="F6" s="124">
        <f>'ROZ Tech. us.'!AG12+'ROZ Tech. us.'!AG26+'ROZ Tech. us.'!AG17</f>
        <v>1122552.3333333333</v>
      </c>
      <c r="G6" s="124">
        <f>'ROZ Tech. us.'!AN12+'ROZ Tech. us.'!AN14</f>
        <v>732345</v>
      </c>
      <c r="H6" s="124">
        <f>'ROZ Tech. us.'!BB12+'ROZ Tech. us.'!BB14</f>
        <v>2171610</v>
      </c>
      <c r="I6" s="215">
        <f>'ROZ Tech. us.'!L12+'ROZ Tech. us.'!L21+'ROZ Tech. us.'!L26</f>
        <v>840769</v>
      </c>
      <c r="J6" s="220"/>
      <c r="K6" s="218">
        <f>'ROZ Tech. us.'!S12</f>
        <v>2120500</v>
      </c>
      <c r="L6" s="124">
        <f>'ROZ Tech. us.'!AU8</f>
        <v>656000</v>
      </c>
      <c r="M6" s="237">
        <f>'ROZ Manag.'!E7</f>
        <v>705000</v>
      </c>
    </row>
    <row r="7" spans="1:13" outlineLevel="1">
      <c r="A7" s="737"/>
      <c r="B7" s="737"/>
      <c r="C7" s="278" t="s">
        <v>1087</v>
      </c>
      <c r="D7" s="218">
        <f>SUM('ROZ Tech. us.'!E15:E17)</f>
        <v>45000</v>
      </c>
      <c r="E7" s="124">
        <f>SUM('ROZ Tech. us.'!Z24:Z26)</f>
        <v>77000</v>
      </c>
      <c r="F7" s="124">
        <f>SUM('ROZ Tech. us.'!AG33:AG35)</f>
        <v>49000</v>
      </c>
      <c r="G7" s="124">
        <f>SUM('ROZ Tech. us.'!AN23:AN25)</f>
        <v>137000</v>
      </c>
      <c r="H7" s="124">
        <f>SUM('ROZ Tech. us.'!BB23:BB25)</f>
        <v>56000</v>
      </c>
      <c r="I7" s="215">
        <f>SUM('ROZ Tech. us.'!L33:L35)</f>
        <v>30000</v>
      </c>
      <c r="J7" s="220"/>
      <c r="K7" s="218">
        <f>SUM('ROZ Tech. us.'!S19:S21)</f>
        <v>102000</v>
      </c>
      <c r="L7" s="124">
        <f>SUM('ROZ Tech. us.'!AU15:AU17)</f>
        <v>45000</v>
      </c>
      <c r="M7" s="237">
        <f>SUM('ROZ Manag.'!$E$14:$E$16)/6</f>
        <v>6166.666666666667</v>
      </c>
    </row>
    <row r="8" spans="1:13" s="55" customFormat="1" outlineLevel="1">
      <c r="A8" s="737"/>
      <c r="B8" s="737"/>
      <c r="C8" s="278" t="s">
        <v>922</v>
      </c>
      <c r="D8" s="218">
        <f>'ROZ Tech. us.'!E18</f>
        <v>180780</v>
      </c>
      <c r="E8" s="124">
        <f>'ROZ Tech. us.'!Z27</f>
        <v>399550</v>
      </c>
      <c r="F8" s="124">
        <f>'ROZ Tech. us.'!AG36</f>
        <v>444090</v>
      </c>
      <c r="G8" s="124">
        <f>'ROZ Tech. us.'!AN26</f>
        <v>438850</v>
      </c>
      <c r="H8" s="124">
        <f>'ROZ Tech. us.'!BB26</f>
        <v>189950</v>
      </c>
      <c r="I8" s="215">
        <f>'ROZ Tech. us.'!L36</f>
        <v>445400</v>
      </c>
      <c r="J8" s="220"/>
      <c r="K8" s="218">
        <f>'ROZ Tech. us.'!S22</f>
        <v>353700</v>
      </c>
      <c r="L8" s="124">
        <f>'ROZ Tech. us.'!AU18</f>
        <v>248900</v>
      </c>
      <c r="M8" s="237">
        <f>'ROZ Manag.'!$E$17/6</f>
        <v>21833.333333333332</v>
      </c>
    </row>
    <row r="9" spans="1:13" s="55" customFormat="1" outlineLevel="1">
      <c r="A9" s="737"/>
      <c r="B9" s="737"/>
      <c r="C9" s="278" t="s">
        <v>904</v>
      </c>
      <c r="D9" s="218">
        <f>'ROZ Tech. us.'!E19</f>
        <v>3869.1538461538462</v>
      </c>
      <c r="E9" s="124">
        <f>'ROZ Tech. us.'!Z28</f>
        <v>3938.1538461538462</v>
      </c>
      <c r="F9" s="124">
        <f>'ROZ Tech. us.'!AG37</f>
        <v>3961.1538461538462</v>
      </c>
      <c r="G9" s="124">
        <f>'ROZ Tech. us.'!AN27</f>
        <v>3915.1538461538462</v>
      </c>
      <c r="H9" s="124">
        <f>'ROZ Tech. us.'!BB27</f>
        <v>3903.6538461538462</v>
      </c>
      <c r="I9" s="215">
        <f>'ROZ Tech. us.'!L37</f>
        <v>3869.1538461538462</v>
      </c>
      <c r="J9" s="220"/>
      <c r="K9" s="218">
        <f>'ROZ Tech. us.'!S23</f>
        <v>3892.1538461538462</v>
      </c>
      <c r="L9" s="124">
        <f>'ROZ Tech. us.'!AU19</f>
        <v>3880.6538461538462</v>
      </c>
      <c r="M9" s="237">
        <f>'ROZ Manag.'!$E$17/6</f>
        <v>21833.333333333332</v>
      </c>
    </row>
    <row r="10" spans="1:13" s="55" customFormat="1" outlineLevel="1">
      <c r="A10" s="737"/>
      <c r="B10" s="737"/>
      <c r="C10" s="278" t="s">
        <v>901</v>
      </c>
      <c r="D10" s="218">
        <f>'ROZ Tech. us.'!E20</f>
        <v>5500</v>
      </c>
      <c r="E10" s="124">
        <f>'ROZ Tech. us.'!Z29</f>
        <v>6500</v>
      </c>
      <c r="F10" s="124">
        <f>'ROZ Tech. us.'!AG38</f>
        <v>4900</v>
      </c>
      <c r="G10" s="124">
        <f>'ROZ Tech. us.'!AN28</f>
        <v>12000</v>
      </c>
      <c r="H10" s="124">
        <f>'ROZ Tech. us.'!BB28</f>
        <v>5100</v>
      </c>
      <c r="I10" s="215">
        <f>'ROZ Tech. us.'!L38</f>
        <v>4300</v>
      </c>
      <c r="J10" s="220"/>
      <c r="K10" s="218">
        <f>'ROZ Tech. us.'!S24</f>
        <v>6100</v>
      </c>
      <c r="L10" s="124">
        <f>'ROZ Tech. us.'!AU20</f>
        <v>5200</v>
      </c>
      <c r="M10" s="237">
        <f>'ROZ Manag.'!$E$17/6</f>
        <v>21833.333333333332</v>
      </c>
    </row>
    <row r="11" spans="1:13" ht="15" outlineLevel="1" thickBot="1">
      <c r="A11" s="737"/>
      <c r="B11" s="737"/>
      <c r="C11" s="279" t="s">
        <v>1056</v>
      </c>
      <c r="D11" s="226">
        <f>'ROZ Tech. us.'!E21</f>
        <v>8500</v>
      </c>
      <c r="E11" s="222">
        <f>'ROZ Tech. us.'!Z30</f>
        <v>11500</v>
      </c>
      <c r="F11" s="222">
        <f>'ROZ Tech. us.'!AG39</f>
        <v>13500</v>
      </c>
      <c r="G11" s="222">
        <f>'ROZ Tech. us.'!AN29+'ROZ Tech. us.'!AN15</f>
        <v>215000</v>
      </c>
      <c r="H11" s="222">
        <f>'ROZ Tech. us.'!BB29+'ROZ Tech. us.'!BB15</f>
        <v>175000</v>
      </c>
      <c r="I11" s="223">
        <f>'ROZ Tech. us.'!L39</f>
        <v>28000</v>
      </c>
      <c r="J11" s="220"/>
      <c r="K11" s="226">
        <f>'ROZ Tech. us.'!S25</f>
        <v>20000</v>
      </c>
      <c r="L11" s="222">
        <f>'ROZ Tech. us.'!AU21</f>
        <v>25800</v>
      </c>
      <c r="M11" s="238">
        <f>'ROZ Manag.'!$E$17/6+('ROZ Manag.'!E19/6)</f>
        <v>56833.333333333328</v>
      </c>
    </row>
    <row r="12" spans="1:13" ht="15" thickBot="1">
      <c r="A12" s="737"/>
      <c r="B12" s="737"/>
      <c r="C12" s="280" t="s">
        <v>1088</v>
      </c>
      <c r="D12" s="270">
        <f t="shared" ref="D12:I12" si="0">SUM(D5:D11)</f>
        <v>2373352.653846154</v>
      </c>
      <c r="E12" s="224">
        <f t="shared" si="0"/>
        <v>11430580.253846154</v>
      </c>
      <c r="F12" s="224">
        <f t="shared" si="0"/>
        <v>6996113.987179487</v>
      </c>
      <c r="G12" s="224">
        <f t="shared" si="0"/>
        <v>25558606.553846151</v>
      </c>
      <c r="H12" s="224">
        <f t="shared" si="0"/>
        <v>8391682.653846154</v>
      </c>
      <c r="I12" s="225">
        <f t="shared" si="0"/>
        <v>3194041.653846154</v>
      </c>
      <c r="J12" s="220"/>
      <c r="K12" s="229">
        <f>SUM(K5:K11)</f>
        <v>13400080.103846153</v>
      </c>
      <c r="L12" s="224">
        <f>SUM(L5:L11)</f>
        <v>6660897.9538461538</v>
      </c>
      <c r="M12" s="225">
        <f>SUM(M5:M11)</f>
        <v>2259862.8000000003</v>
      </c>
    </row>
    <row r="13" spans="1:13" ht="15" thickBot="1">
      <c r="A13" s="737"/>
      <c r="B13" s="737"/>
      <c r="C13" s="917" t="s">
        <v>1089</v>
      </c>
      <c r="D13" s="271">
        <f>HR!$D$63</f>
        <v>3765</v>
      </c>
      <c r="E13" s="231">
        <f>HR!$D$63</f>
        <v>3765</v>
      </c>
      <c r="F13" s="231">
        <f>HR!$D$63</f>
        <v>3765</v>
      </c>
      <c r="G13" s="231">
        <f>HR!$D$63</f>
        <v>3765</v>
      </c>
      <c r="H13" s="231">
        <f>HR!$D$63</f>
        <v>3765</v>
      </c>
      <c r="I13" s="231">
        <f>HR!$D$63</f>
        <v>3765</v>
      </c>
      <c r="J13" s="230"/>
      <c r="K13" s="227">
        <f>SUM($D$13:$I$13)</f>
        <v>22590</v>
      </c>
      <c r="L13" s="228">
        <f>SUM($D$13:$I$13)</f>
        <v>22590</v>
      </c>
      <c r="M13" s="239">
        <f t="shared" ref="M13" si="1">SUM($D$13:$I$13)</f>
        <v>22590</v>
      </c>
    </row>
    <row r="14" spans="1:13" ht="15" thickBot="1">
      <c r="A14" s="737"/>
      <c r="B14" s="737"/>
      <c r="C14" s="281" t="s">
        <v>1090</v>
      </c>
      <c r="D14" s="272">
        <f>D12/D13</f>
        <v>630.37255082235163</v>
      </c>
      <c r="E14" s="138">
        <f t="shared" ref="E14:M14" si="2">E12/E13</f>
        <v>3036.010691592604</v>
      </c>
      <c r="F14" s="138">
        <f t="shared" si="2"/>
        <v>1858.1976061565701</v>
      </c>
      <c r="G14" s="138">
        <f t="shared" si="2"/>
        <v>6788.4745162937979</v>
      </c>
      <c r="H14" s="138">
        <f t="shared" si="2"/>
        <v>2228.8665747267341</v>
      </c>
      <c r="I14" s="243">
        <f t="shared" si="2"/>
        <v>848.35103687812853</v>
      </c>
      <c r="J14" s="235" t="s">
        <v>1091</v>
      </c>
      <c r="K14" s="232">
        <f t="shared" si="2"/>
        <v>593.18637024551367</v>
      </c>
      <c r="L14" s="233">
        <f t="shared" si="2"/>
        <v>294.8604671910648</v>
      </c>
      <c r="M14" s="240">
        <f t="shared" si="2"/>
        <v>100.03819389110227</v>
      </c>
    </row>
    <row r="15" spans="1:13" ht="15" thickBot="1">
      <c r="A15" s="737"/>
      <c r="B15" s="737"/>
      <c r="C15" s="282" t="s">
        <v>1092</v>
      </c>
      <c r="D15" s="273">
        <v>3.56</v>
      </c>
      <c r="E15" s="52">
        <v>3.98</v>
      </c>
      <c r="F15" s="52">
        <v>4</v>
      </c>
      <c r="G15" s="52">
        <v>5.2</v>
      </c>
      <c r="H15" s="52">
        <v>3.22</v>
      </c>
      <c r="I15" s="244">
        <v>3.05</v>
      </c>
      <c r="J15" s="246">
        <f>SUM(D15:I15)</f>
        <v>23.009999999999998</v>
      </c>
      <c r="K15" s="1720" t="s">
        <v>1093</v>
      </c>
      <c r="L15" s="1721"/>
      <c r="M15" s="241">
        <f>K14+L14+M14</f>
        <v>988.08503132768078</v>
      </c>
    </row>
    <row r="16" spans="1:13" ht="15" thickBot="1">
      <c r="A16" s="737"/>
      <c r="B16" s="737"/>
      <c r="C16" s="283" t="s">
        <v>1094</v>
      </c>
      <c r="D16" s="274">
        <f>D14*D15</f>
        <v>2244.1262809275718</v>
      </c>
      <c r="E16" s="221">
        <f t="shared" ref="E16:I16" si="3">E14*E15</f>
        <v>12083.322552538564</v>
      </c>
      <c r="F16" s="221">
        <f t="shared" si="3"/>
        <v>7432.7904246262806</v>
      </c>
      <c r="G16" s="221">
        <f t="shared" si="3"/>
        <v>35300.067484727748</v>
      </c>
      <c r="H16" s="221">
        <f t="shared" si="3"/>
        <v>7176.950370620084</v>
      </c>
      <c r="I16" s="245">
        <f t="shared" si="3"/>
        <v>2587.4706624782921</v>
      </c>
      <c r="J16" s="247">
        <f>SUM(D16:I16)</f>
        <v>66824.727775918538</v>
      </c>
      <c r="K16" s="1712" t="s">
        <v>1095</v>
      </c>
      <c r="L16" s="1713"/>
      <c r="M16" s="242">
        <f>J15*M15</f>
        <v>22735.836570849933</v>
      </c>
    </row>
    <row r="17" spans="3:12">
      <c r="C17" s="737"/>
      <c r="D17" s="737"/>
      <c r="E17" s="737"/>
      <c r="F17" s="737"/>
      <c r="G17" s="737"/>
      <c r="H17" s="737"/>
      <c r="I17" s="737"/>
      <c r="J17" s="737"/>
      <c r="K17" s="737"/>
      <c r="L17" s="737"/>
    </row>
    <row r="18" spans="3:12" ht="15" thickBot="1">
      <c r="C18" s="737"/>
      <c r="D18" s="737"/>
      <c r="E18" s="737"/>
      <c r="F18" s="737"/>
      <c r="G18" s="737"/>
      <c r="H18" s="737"/>
      <c r="I18" s="737"/>
      <c r="J18" s="737"/>
      <c r="K18" s="737"/>
      <c r="L18" s="737"/>
    </row>
    <row r="19" spans="3:12" ht="43.5" thickBot="1">
      <c r="C19" s="234" t="s">
        <v>1096</v>
      </c>
      <c r="D19" s="235">
        <f>J16+M16</f>
        <v>89560.564346768471</v>
      </c>
      <c r="E19" s="737"/>
      <c r="F19" s="737"/>
      <c r="G19" s="737"/>
      <c r="H19" s="737"/>
      <c r="I19" s="737"/>
      <c r="J19" s="737"/>
      <c r="K19" s="737"/>
      <c r="L19" s="737"/>
    </row>
  </sheetData>
  <customSheetViews>
    <customSheetView guid="{F9015B81-4D5E-47E3-BFA8-A54438E9D1FF}" scale="85" showGridLines="0" topLeftCell="A10">
      <selection activeCell="M19" sqref="M19"/>
      <pageMargins left="0.7" right="0.7" top="0.75" bottom="0.75" header="0.3" footer="0.3"/>
    </customSheetView>
  </customSheetViews>
  <mergeCells count="4">
    <mergeCell ref="K16:L16"/>
    <mergeCell ref="D3:I3"/>
    <mergeCell ref="K3:M3"/>
    <mergeCell ref="K15:L15"/>
  </mergeCells>
  <hyperlinks>
    <hyperlink ref="A1" location="MENU!A1" display="MENU" xr:uid="{B4B0F415-CD88-43FB-94EA-AB7D343E1908}"/>
  </hyperlinks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1C4CF-A2A0-4511-8218-8D464F255212}">
  <sheetPr>
    <tabColor theme="0" tint="-0.499984740745262"/>
  </sheetPr>
  <dimension ref="A1:I16"/>
  <sheetViews>
    <sheetView showGridLines="0" workbookViewId="0">
      <selection activeCell="G11" sqref="G11"/>
    </sheetView>
  </sheetViews>
  <sheetFormatPr defaultRowHeight="14.25"/>
  <cols>
    <col min="1" max="1" width="9.33203125" customWidth="1"/>
    <col min="3" max="3" width="13.109375" customWidth="1"/>
    <col min="4" max="4" width="16.77734375" customWidth="1"/>
    <col min="5" max="6" width="16.77734375" style="55" customWidth="1"/>
    <col min="7" max="7" width="21.33203125" customWidth="1"/>
    <col min="8" max="8" width="11" bestFit="1" customWidth="1"/>
  </cols>
  <sheetData>
    <row r="1" spans="1:9" ht="24" customHeight="1" thickBot="1">
      <c r="A1" s="107" t="s">
        <v>1</v>
      </c>
      <c r="B1" s="737"/>
      <c r="C1" s="737"/>
      <c r="D1" s="737"/>
      <c r="E1" s="737"/>
      <c r="F1" s="737"/>
      <c r="G1" s="54"/>
      <c r="H1" s="737"/>
      <c r="I1" s="737"/>
    </row>
    <row r="2" spans="1:9" ht="15.75" thickBot="1">
      <c r="A2" s="737"/>
      <c r="B2" s="1728" t="s">
        <v>44</v>
      </c>
      <c r="C2" s="1736"/>
      <c r="D2" s="111" t="s">
        <v>516</v>
      </c>
      <c r="E2" s="111" t="s">
        <v>519</v>
      </c>
      <c r="F2" s="111" t="s">
        <v>521</v>
      </c>
      <c r="G2" s="111" t="s">
        <v>1097</v>
      </c>
      <c r="H2" s="737"/>
      <c r="I2" s="737"/>
    </row>
    <row r="3" spans="1:9">
      <c r="A3" s="737"/>
      <c r="B3" s="1737" t="s">
        <v>1098</v>
      </c>
      <c r="C3" s="1738"/>
      <c r="D3" s="341">
        <f>'Záznamy o prodeji'!T115*Produkty!C4+Produkty!B4*'Záznamy o prodeji'!T116</f>
        <v>1239644786.2199998</v>
      </c>
      <c r="E3" s="341">
        <f>'Záznamy o prodeji'!T117*Produkty!H11+Produkty!G11*'Záznamy o prodeji'!T118</f>
        <v>2724462</v>
      </c>
      <c r="F3" s="341">
        <f>'Záznamy o prodeji'!T119*Produkty!H12+Produkty!G12*'Záznamy o prodeji'!T120</f>
        <v>3890043.8100000005</v>
      </c>
      <c r="G3" s="347">
        <f>SUM(D3:F3)</f>
        <v>1246259292.0299997</v>
      </c>
      <c r="H3" s="737"/>
      <c r="I3" s="737"/>
    </row>
    <row r="4" spans="1:9" ht="15" thickBot="1">
      <c r="A4" s="737"/>
      <c r="B4" s="1739" t="s">
        <v>1099</v>
      </c>
      <c r="C4" s="1740"/>
      <c r="D4" s="342">
        <f>PVN!F35*('Záznamy o prodeji'!T115+'Záznamy o prodeji'!T116)</f>
        <v>909891183.52943993</v>
      </c>
      <c r="E4" s="342">
        <f>Produkty!E11*('Záznamy o prodeji'!T117+'Záznamy o prodeji'!T118)</f>
        <v>2441604.6</v>
      </c>
      <c r="F4" s="342">
        <f>Produkty!F16*('Záznamy o prodeji'!T119+'Záznamy o prodeji'!T120)</f>
        <v>772320.17539800017</v>
      </c>
      <c r="G4" s="347">
        <f>SUM(D4:F4)</f>
        <v>913105108.30483794</v>
      </c>
      <c r="H4" s="737"/>
      <c r="I4" s="737"/>
    </row>
    <row r="5" spans="1:9" ht="15" thickBot="1">
      <c r="A5" s="737"/>
      <c r="B5" s="1741" t="s">
        <v>1100</v>
      </c>
      <c r="C5" s="1742"/>
      <c r="D5" s="343">
        <f>D3-D4</f>
        <v>329753602.69055986</v>
      </c>
      <c r="E5" s="343">
        <f>E3-E4</f>
        <v>282857.39999999991</v>
      </c>
      <c r="F5" s="343">
        <f>F3-F4</f>
        <v>3117723.6346020005</v>
      </c>
      <c r="G5" s="340">
        <f>G3-G4</f>
        <v>333154183.72516179</v>
      </c>
      <c r="H5" s="737"/>
      <c r="I5" s="737"/>
    </row>
    <row r="6" spans="1:9" ht="15" thickBot="1">
      <c r="A6" s="737"/>
      <c r="B6" s="1743" t="s">
        <v>1101</v>
      </c>
      <c r="C6" s="1744"/>
      <c r="D6" s="344">
        <f>PFN!D15*('Záznamy o prodeji'!T115+'Záznamy o prodeji'!T116)</f>
        <v>1948566.6506633998</v>
      </c>
      <c r="E6" s="354"/>
      <c r="F6" s="344"/>
      <c r="G6" s="347">
        <f>SUM(D6:F6)</f>
        <v>1948566.6506633998</v>
      </c>
      <c r="H6" s="54"/>
      <c r="I6" s="737"/>
    </row>
    <row r="7" spans="1:9" ht="15" thickBot="1">
      <c r="A7" s="737"/>
      <c r="B7" s="1741" t="s">
        <v>1102</v>
      </c>
      <c r="C7" s="1742"/>
      <c r="D7" s="345">
        <f>D5-D6</f>
        <v>327805036.03989649</v>
      </c>
      <c r="E7" s="345"/>
      <c r="F7" s="345"/>
      <c r="G7" s="340">
        <f>G5-G6</f>
        <v>331205617.07449841</v>
      </c>
      <c r="H7" s="54"/>
      <c r="I7" s="737"/>
    </row>
    <row r="8" spans="1:9" ht="15" thickBot="1">
      <c r="A8" s="737"/>
      <c r="B8" s="1743" t="s">
        <v>1103</v>
      </c>
      <c r="C8" s="1744"/>
      <c r="D8" s="342">
        <f>HNS!D19*('Záznamy o prodeji'!T115+'Záznamy o prodeji'!T116)</f>
        <v>164822795.34284306</v>
      </c>
      <c r="E8" s="342"/>
      <c r="F8" s="342"/>
      <c r="G8" s="347">
        <f>SUM(D8:F8)</f>
        <v>164822795.34284306</v>
      </c>
      <c r="H8" s="164"/>
      <c r="I8" s="737"/>
    </row>
    <row r="9" spans="1:9" ht="15" thickBot="1">
      <c r="A9" s="737"/>
      <c r="B9" s="1734" t="s">
        <v>1104</v>
      </c>
      <c r="C9" s="1735"/>
      <c r="D9" s="346">
        <f>D7-D8</f>
        <v>162982240.69705343</v>
      </c>
      <c r="E9" s="346"/>
      <c r="F9" s="346"/>
      <c r="G9" s="348">
        <f>G7-G8</f>
        <v>166382821.73165536</v>
      </c>
      <c r="H9" s="54"/>
      <c r="I9" s="737"/>
    </row>
    <row r="10" spans="1:9" ht="15" thickBot="1">
      <c r="A10" s="737"/>
      <c r="B10" s="1722" t="s">
        <v>1105</v>
      </c>
      <c r="C10" s="1723"/>
      <c r="D10" s="1724"/>
      <c r="E10" s="1724"/>
      <c r="F10" s="1724"/>
      <c r="G10" s="1725"/>
      <c r="H10" s="54"/>
      <c r="I10" s="737"/>
    </row>
    <row r="11" spans="1:9" ht="15" thickBot="1">
      <c r="A11" s="737"/>
      <c r="B11" s="1730" t="s">
        <v>947</v>
      </c>
      <c r="C11" s="1731"/>
      <c r="D11" s="350"/>
      <c r="E11" s="402"/>
      <c r="F11" s="351"/>
      <c r="G11" s="349">
        <f>SUM('ROZ Eko. us.'!J4:J14)</f>
        <v>5343132.653846154</v>
      </c>
      <c r="H11" s="54"/>
      <c r="I11" s="737"/>
    </row>
    <row r="12" spans="1:9" ht="15" thickBot="1">
      <c r="A12" s="737"/>
      <c r="B12" s="1732" t="s">
        <v>1106</v>
      </c>
      <c r="C12" s="1733"/>
      <c r="D12" s="404"/>
      <c r="E12" s="405"/>
      <c r="F12" s="406"/>
      <c r="G12" s="340">
        <f>G9-G11</f>
        <v>161039689.07780921</v>
      </c>
      <c r="H12" s="54"/>
      <c r="I12" s="737"/>
    </row>
    <row r="13" spans="1:9" ht="15" thickBot="1">
      <c r="A13" s="737"/>
      <c r="B13" s="1726" t="s">
        <v>1107</v>
      </c>
      <c r="C13" s="1727"/>
      <c r="D13" s="352"/>
      <c r="E13" s="403"/>
      <c r="F13" s="353"/>
      <c r="G13" s="347">
        <f>SUM('ROZ Obch. us. '!X4:X17)</f>
        <v>10856198.761538463</v>
      </c>
      <c r="H13" s="54"/>
      <c r="I13" s="737"/>
    </row>
    <row r="14" spans="1:9" ht="15" thickBot="1">
      <c r="A14" s="737"/>
      <c r="B14" s="1732" t="s">
        <v>1108</v>
      </c>
      <c r="C14" s="1733"/>
      <c r="D14" s="404"/>
      <c r="E14" s="405"/>
      <c r="F14" s="406"/>
      <c r="G14" s="340">
        <f>G12-G13</f>
        <v>150183490.31627074</v>
      </c>
      <c r="H14" s="737"/>
      <c r="I14" s="737"/>
    </row>
    <row r="15" spans="1:9" ht="15" thickBot="1">
      <c r="A15" s="737"/>
      <c r="B15" s="1726" t="s">
        <v>878</v>
      </c>
      <c r="C15" s="1727"/>
      <c r="D15" s="352"/>
      <c r="E15" s="403"/>
      <c r="F15" s="353"/>
      <c r="G15" s="347">
        <f>'ROZ Manag.'!E23/6*5+'Roční Rozpočet '!C26</f>
        <v>10551557.461538464</v>
      </c>
      <c r="H15" s="737"/>
      <c r="I15" s="737"/>
    </row>
    <row r="16" spans="1:9" ht="15.75" thickBot="1">
      <c r="A16" s="737"/>
      <c r="B16" s="1728" t="s">
        <v>1109</v>
      </c>
      <c r="C16" s="1729"/>
      <c r="D16" s="918"/>
      <c r="E16" s="919"/>
      <c r="F16" s="920"/>
      <c r="G16" s="921">
        <f>G14-G15</f>
        <v>139631932.85473228</v>
      </c>
      <c r="H16" s="737"/>
      <c r="I16" s="737"/>
    </row>
  </sheetData>
  <customSheetViews>
    <customSheetView guid="{F9015B81-4D5E-47E3-BFA8-A54438E9D1FF}" showGridLines="0">
      <pageMargins left="0.7" right="0.7" top="0.78740157499999996" bottom="0.78740157499999996" header="0.3" footer="0.3"/>
    </customSheetView>
  </customSheetViews>
  <mergeCells count="15">
    <mergeCell ref="B9:C9"/>
    <mergeCell ref="B2:C2"/>
    <mergeCell ref="B3:C3"/>
    <mergeCell ref="B4:C4"/>
    <mergeCell ref="B5:C5"/>
    <mergeCell ref="B7:C7"/>
    <mergeCell ref="B6:C6"/>
    <mergeCell ref="B8:C8"/>
    <mergeCell ref="B10:G10"/>
    <mergeCell ref="B15:C15"/>
    <mergeCell ref="B16:C16"/>
    <mergeCell ref="B11:C11"/>
    <mergeCell ref="B12:C12"/>
    <mergeCell ref="B13:C13"/>
    <mergeCell ref="B14:C14"/>
  </mergeCells>
  <hyperlinks>
    <hyperlink ref="A1" location="MENU!A1" display="MENU" xr:uid="{90EDA913-A722-4813-9EE2-84ABE5F93070}"/>
  </hyperlinks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��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2F3AE227E10F254295995A7F9D6BC99A" ma:contentTypeVersion="6" ma:contentTypeDescription="Vytvoří nový dokument" ma:contentTypeScope="" ma:versionID="76a15435d06a37ba88c6843120c8b156">
  <xsd:schema xmlns:xsd="http://www.w3.org/2001/XMLSchema" xmlns:xs="http://www.w3.org/2001/XMLSchema" xmlns:p="http://schemas.microsoft.com/office/2006/metadata/properties" xmlns:ns2="c57a3d2b-9a6c-4e7a-8c37-cec02f2514f4" targetNamespace="http://schemas.microsoft.com/office/2006/metadata/properties" ma:root="true" ma:fieldsID="a166a1bfa2b9484e77be5116f7aac9b8" ns2:_="">
    <xsd:import namespace="c57a3d2b-9a6c-4e7a-8c37-cec02f2514f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57a3d2b-9a6c-4e7a-8c37-cec02f2514f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 obsahu"/>
        <xsd:element ref="dc:title" minOccurs="0" maxOccurs="1" ma:index="4" ma:displayName="Nadpis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8FFDFE6-DC12-4985-9F6A-90766BE1A723}">
  <ds:schemaRefs>
    <ds:schemaRef ds:uri="c57a3d2b-9a6c-4e7a-8c37-cec02f2514f4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0673A099-D276-4ADC-BD00-4ED70371B3D0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0CCED876-D28F-4715-94ED-D8B10E10FB4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57a3d2b-9a6c-4e7a-8c37-cec02f2514f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0116BBBB-A6E1-4D66-80F3-202EAE2CA156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50</vt:i4>
      </vt:variant>
    </vt:vector>
  </HeadingPairs>
  <TitlesOfParts>
    <vt:vector size="50" baseType="lpstr">
      <vt:lpstr>MENU</vt:lpstr>
      <vt:lpstr>screeny</vt:lpstr>
      <vt:lpstr>DASHBOARD</vt:lpstr>
      <vt:lpstr>Vazby</vt:lpstr>
      <vt:lpstr>VazbyOld</vt:lpstr>
      <vt:lpstr>Cla</vt:lpstr>
      <vt:lpstr>Harm. exp.</vt:lpstr>
      <vt:lpstr>Expanze</vt:lpstr>
      <vt:lpstr>Vývoj trhu</vt:lpstr>
      <vt:lpstr>Vývoj CF</vt:lpstr>
      <vt:lpstr>Hodnoc. Inv.</vt:lpstr>
      <vt:lpstr>Platf. SE</vt:lpstr>
      <vt:lpstr>Výnosy 10%ZW</vt:lpstr>
      <vt:lpstr>Náklady 10%ZW</vt:lpstr>
      <vt:lpstr>Matice rizik</vt:lpstr>
      <vt:lpstr>Vývoj CF (2)</vt:lpstr>
      <vt:lpstr>Citl. Anal.</vt:lpstr>
      <vt:lpstr>Exchange</vt:lpstr>
      <vt:lpstr>SWOT</vt:lpstr>
      <vt:lpstr>Rozvaha</vt:lpstr>
      <vt:lpstr>VZZ</vt:lpstr>
      <vt:lpstr>CashFlow</vt:lpstr>
      <vt:lpstr>NEPŘÍMÁ CF</vt:lpstr>
      <vt:lpstr>PL. Prodeje</vt:lpstr>
      <vt:lpstr>PL. Výnosů</vt:lpstr>
      <vt:lpstr>PL. Příjmů</vt:lpstr>
      <vt:lpstr>PL. Výroby</vt:lpstr>
      <vt:lpstr>PL. FN</vt:lpstr>
      <vt:lpstr>PL. Nákupu</vt:lpstr>
      <vt:lpstr>PL. Výdajů</vt:lpstr>
      <vt:lpstr>Sklad</vt:lpstr>
      <vt:lpstr>Konkurence</vt:lpstr>
      <vt:lpstr>Prom.</vt:lpstr>
      <vt:lpstr>PM</vt:lpstr>
      <vt:lpstr>OrgStr</vt:lpstr>
      <vt:lpstr>HR</vt:lpstr>
      <vt:lpstr>NS + DHM</vt:lpstr>
      <vt:lpstr>Roční Rozpočet </vt:lpstr>
      <vt:lpstr>ROZ Tech. us.</vt:lpstr>
      <vt:lpstr>ROZ Obch. us. </vt:lpstr>
      <vt:lpstr>ROZ Eko. us.</vt:lpstr>
      <vt:lpstr>ROZ Manag.</vt:lpstr>
      <vt:lpstr>Záznamy o prodeji</vt:lpstr>
      <vt:lpstr>Forcasting</vt:lpstr>
      <vt:lpstr>Produkty</vt:lpstr>
      <vt:lpstr>PVN</vt:lpstr>
      <vt:lpstr>PFN</vt:lpstr>
      <vt:lpstr>Kapacity</vt:lpstr>
      <vt:lpstr>HNS</vt:lpstr>
      <vt:lpstr>VK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Štěpán</dc:creator>
  <cp:keywords/>
  <dc:description/>
  <cp:lastModifiedBy>Štěpán</cp:lastModifiedBy>
  <cp:revision/>
  <dcterms:created xsi:type="dcterms:W3CDTF">2020-10-27T17:43:45Z</dcterms:created>
  <dcterms:modified xsi:type="dcterms:W3CDTF">2020-12-17T21:26:37Z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0x0101002F3AE227E10F254295995A7F9D6BC99A</vt:lpwstr>
  </property>
</Properties>
</file>