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go\Downloads\"/>
    </mc:Choice>
  </mc:AlternateContent>
  <xr:revisionPtr revIDLastSave="0" documentId="8_{88465D07-F114-490A-95E4-4012C40C6AED}" xr6:coauthVersionLast="47" xr6:coauthVersionMax="47" xr10:uidLastSave="{00000000-0000-0000-0000-000000000000}"/>
  <bookViews>
    <workbookView xWindow="-120" yWindow="-120" windowWidth="24240" windowHeight="13020" firstSheet="12" activeTab="14" xr2:uid="{0F5B0311-9A05-4FD9-89A8-640A950BB610}"/>
  </bookViews>
  <sheets>
    <sheet name="Feuil1" sheetId="1" r:id="rId1"/>
    <sheet name="Feuil2" sheetId="2" r:id="rId2"/>
    <sheet name="Feuil3" sheetId="3" r:id="rId3"/>
    <sheet name="Feuil4" sheetId="4" r:id="rId4"/>
    <sheet name="Mise en forme 1" sheetId="5" r:id="rId5"/>
    <sheet name="Mise en forme 2" sheetId="6" r:id="rId6"/>
    <sheet name="liaison" sheetId="7" r:id="rId7"/>
    <sheet name="gaphiques" sheetId="8" r:id="rId8"/>
    <sheet name="graphique" sheetId="9" r:id="rId9"/>
    <sheet name="Gestion de base de donnees" sheetId="10" r:id="rId10"/>
    <sheet name="Figer les data" sheetId="11" r:id="rId11"/>
    <sheet name="Filtrer les data" sheetId="12" r:id="rId12"/>
    <sheet name="soux-totaux" sheetId="13" r:id="rId13"/>
    <sheet name="Tableau croise dynamique" sheetId="14" r:id="rId14"/>
    <sheet name="TCD1" sheetId="16" r:id="rId15"/>
    <sheet name="TCD2" sheetId="20" r:id="rId16"/>
    <sheet name="TCD3" sheetId="17" r:id="rId17"/>
    <sheet name="TCD4" sheetId="18" r:id="rId18"/>
    <sheet name="TCD5" sheetId="19" r:id="rId19"/>
  </sheets>
  <externalReferences>
    <externalReference r:id="rId20"/>
  </externalReferences>
  <definedNames>
    <definedName name="_xlnm._FilterDatabase" localSheetId="2" hidden="1">Feuil3!$L$48:$L$58</definedName>
    <definedName name="_xlnm._FilterDatabase" localSheetId="11" hidden="1">'Filtrer les data'!$A$1:$K$10</definedName>
    <definedName name="colA">Feuil3!$A:$A</definedName>
    <definedName name="Mois">Tableau5[[#Headers],[Colonne1]]</definedName>
    <definedName name="Obj_Delettre">Feuil3!$C$55</definedName>
    <definedName name="Obj_Diéval">Feuil3!$C$53</definedName>
    <definedName name="Obj_Montagne">Feuil3!$C$54</definedName>
    <definedName name="PU_HT">Feuil4!$L$11</definedName>
    <definedName name="PU_net_HT">Feuil4!$L$12:$L$15</definedName>
    <definedName name="PU_TTC">Feuil4!$M$12:$M$15</definedName>
    <definedName name="Remise">Feuil4!$K$12:$K$15</definedName>
    <definedName name="TAB_ARTICLE">Feuil3!$A$191:$C$199</definedName>
    <definedName name="TAB_ARTICLES">Feuil3!$A$190:$C$199</definedName>
    <definedName name="TAB_CLIENT">Feuil3!$A$202:$E$223</definedName>
    <definedName name="Taux_A">Feuil3!$G$54</definedName>
    <definedName name="Taux_NA">Feuil3!$G$55</definedName>
    <definedName name="TauxTVA">Feuil4!$L$11</definedName>
    <definedName name="TVA">Feuil4!$M$10</definedName>
  </definedNames>
  <calcPr calcId="191029"/>
  <pivotCaches>
    <pivotCache cacheId="0" r:id="rId21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2" l="1"/>
  <c r="L26" i="2"/>
  <c r="G13" i="2"/>
  <c r="G14" i="2"/>
  <c r="G15" i="2"/>
  <c r="G16" i="2"/>
  <c r="G17" i="2"/>
  <c r="G18" i="2"/>
  <c r="G19" i="2"/>
  <c r="C36" i="13"/>
  <c r="C27" i="13"/>
  <c r="C21" i="13"/>
  <c r="C10" i="13"/>
  <c r="C37" i="13" s="1"/>
  <c r="F23" i="9"/>
  <c r="D23" i="9"/>
  <c r="E23" i="9"/>
  <c r="C23" i="9"/>
  <c r="D3" i="9"/>
  <c r="D4" i="9"/>
  <c r="D2" i="9"/>
  <c r="B8" i="7" a="1"/>
  <c r="B8" i="7" s="1"/>
  <c r="B7" i="7"/>
  <c r="C5" i="7"/>
  <c r="B5" i="7"/>
  <c r="B3" i="7"/>
  <c r="D15" i="6"/>
  <c r="E15" i="6"/>
  <c r="F15" i="6"/>
  <c r="G15" i="6"/>
  <c r="H15" i="6"/>
  <c r="I15" i="6"/>
  <c r="C15" i="6"/>
  <c r="I13" i="6"/>
  <c r="I14" i="6"/>
  <c r="I12" i="6"/>
  <c r="I9" i="6"/>
  <c r="D9" i="6"/>
  <c r="E9" i="6"/>
  <c r="F9" i="6"/>
  <c r="G9" i="6"/>
  <c r="H9" i="6"/>
  <c r="C9" i="6"/>
  <c r="I6" i="6"/>
  <c r="I7" i="6"/>
  <c r="I8" i="6"/>
  <c r="I5" i="6"/>
  <c r="G6" i="5"/>
  <c r="G12" i="5"/>
  <c r="G10" i="5"/>
  <c r="G11" i="5"/>
  <c r="G13" i="5"/>
  <c r="G9" i="5"/>
  <c r="C12" i="5"/>
  <c r="D12" i="5"/>
  <c r="E12" i="5"/>
  <c r="F12" i="5"/>
  <c r="B12" i="5"/>
  <c r="C6" i="5"/>
  <c r="D6" i="5"/>
  <c r="E6" i="5"/>
  <c r="F6" i="5"/>
  <c r="B6" i="5"/>
  <c r="G4" i="5"/>
  <c r="G5" i="5"/>
  <c r="G3" i="5"/>
  <c r="G230" i="3"/>
  <c r="L237" i="3"/>
  <c r="E184" i="3"/>
  <c r="E183" i="3"/>
  <c r="E182" i="3"/>
  <c r="E177" i="3"/>
  <c r="E178" i="3"/>
  <c r="E179" i="3"/>
  <c r="E180" i="3"/>
  <c r="E176" i="3"/>
  <c r="C177" i="3"/>
  <c r="C178" i="3"/>
  <c r="C179" i="3"/>
  <c r="C180" i="3"/>
  <c r="C176" i="3"/>
  <c r="B177" i="3"/>
  <c r="B178" i="3"/>
  <c r="B179" i="3"/>
  <c r="B180" i="3"/>
  <c r="B176" i="3"/>
  <c r="C168" i="3"/>
  <c r="C170" i="3" s="1"/>
  <c r="C172" i="3" s="1"/>
  <c r="E186" i="3" s="1"/>
  <c r="D165" i="3"/>
  <c r="D164" i="3"/>
  <c r="D163" i="3"/>
  <c r="C150" i="3"/>
  <c r="C147" i="3"/>
  <c r="C144" i="3"/>
  <c r="C141" i="3"/>
  <c r="C138" i="3"/>
  <c r="C135" i="3"/>
  <c r="E115" i="3"/>
  <c r="E116" i="3"/>
  <c r="E117" i="3"/>
  <c r="E118" i="3"/>
  <c r="E119" i="3"/>
  <c r="E120" i="3"/>
  <c r="E121" i="3"/>
  <c r="E122" i="3"/>
  <c r="E123" i="3"/>
  <c r="D104" i="3"/>
  <c r="D99" i="3"/>
  <c r="E96" i="3"/>
  <c r="F96" i="3"/>
  <c r="E97" i="3"/>
  <c r="F97" i="3"/>
  <c r="D97" i="3"/>
  <c r="D96" i="3"/>
  <c r="F95" i="3"/>
  <c r="E95" i="3"/>
  <c r="D95" i="3"/>
  <c r="F85" i="3"/>
  <c r="F86" i="3"/>
  <c r="F87" i="3"/>
  <c r="F88" i="3"/>
  <c r="F89" i="3"/>
  <c r="F90" i="3"/>
  <c r="F91" i="3"/>
  <c r="F92" i="3"/>
  <c r="F93" i="3"/>
  <c r="F94" i="3"/>
  <c r="F84" i="3"/>
  <c r="G60" i="3"/>
  <c r="G61" i="3"/>
  <c r="G62" i="3"/>
  <c r="G63" i="3"/>
  <c r="G64" i="3"/>
  <c r="G65" i="3"/>
  <c r="G66" i="3"/>
  <c r="G67" i="3"/>
  <c r="G68" i="3"/>
  <c r="G69" i="3"/>
  <c r="G70" i="3"/>
  <c r="G59" i="3"/>
  <c r="E59" i="3"/>
  <c r="E60" i="3"/>
  <c r="E61" i="3"/>
  <c r="E62" i="3"/>
  <c r="E63" i="3"/>
  <c r="E64" i="3"/>
  <c r="E65" i="3"/>
  <c r="E66" i="3"/>
  <c r="E67" i="3"/>
  <c r="E68" i="3"/>
  <c r="E69" i="3"/>
  <c r="E70" i="3"/>
  <c r="C59" i="3"/>
  <c r="C60" i="3"/>
  <c r="C61" i="3"/>
  <c r="C62" i="3"/>
  <c r="C63" i="3"/>
  <c r="C64" i="3"/>
  <c r="C65" i="3"/>
  <c r="C66" i="3"/>
  <c r="C67" i="3"/>
  <c r="C68" i="3"/>
  <c r="C69" i="3"/>
  <c r="C70" i="3"/>
  <c r="R49" i="3"/>
  <c r="O53" i="3"/>
  <c r="Q35" i="3"/>
  <c r="Q36" i="3"/>
  <c r="C45" i="3"/>
  <c r="F40" i="3"/>
  <c r="F41" i="3"/>
  <c r="F42" i="3"/>
  <c r="F39" i="3"/>
  <c r="E40" i="3"/>
  <c r="E41" i="3"/>
  <c r="E42" i="3"/>
  <c r="E39" i="3"/>
  <c r="C29" i="3"/>
  <c r="C30" i="3" s="1"/>
  <c r="G28" i="3"/>
  <c r="F28" i="3"/>
  <c r="F27" i="3"/>
  <c r="G27" i="3" s="1"/>
  <c r="F26" i="3"/>
  <c r="G26" i="3" s="1"/>
  <c r="F25" i="3"/>
  <c r="G25" i="3" s="1"/>
  <c r="C16" i="3"/>
  <c r="D5" i="3"/>
  <c r="E5" i="3"/>
  <c r="F5" i="3"/>
  <c r="G5" i="3"/>
  <c r="H5" i="3"/>
  <c r="I5" i="3"/>
  <c r="C5" i="3"/>
  <c r="C19" i="3"/>
  <c r="E19" i="3"/>
  <c r="D14" i="3"/>
  <c r="E14" i="3"/>
  <c r="C15" i="3" s="1" a="1"/>
  <c r="C15" i="3" s="1"/>
  <c r="F14" i="3"/>
  <c r="G14" i="3"/>
  <c r="H14" i="3"/>
  <c r="I14" i="3"/>
  <c r="C14" i="3"/>
  <c r="B14" i="3"/>
  <c r="J9" i="3"/>
  <c r="J10" i="3"/>
  <c r="J11" i="3"/>
  <c r="J12" i="3"/>
  <c r="J13" i="3"/>
  <c r="J8" i="3"/>
  <c r="M16" i="4"/>
  <c r="K16" i="4"/>
  <c r="M17" i="4"/>
  <c r="M12" i="4"/>
  <c r="L13" i="4"/>
  <c r="M13" i="4" s="1"/>
  <c r="L14" i="4"/>
  <c r="M14" i="4" s="1"/>
  <c r="L15" i="4"/>
  <c r="M15" i="4" s="1"/>
  <c r="L12" i="4"/>
  <c r="B13" i="4"/>
  <c r="F3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27" i="2"/>
  <c r="G12" i="2"/>
  <c r="C11" i="2"/>
  <c r="C12" i="2"/>
  <c r="C13" i="2"/>
  <c r="C14" i="2"/>
  <c r="C15" i="2"/>
  <c r="C16" i="2"/>
  <c r="C17" i="2"/>
  <c r="C18" i="2"/>
  <c r="C19" i="2"/>
  <c r="C10" i="2"/>
  <c r="F2" i="2"/>
  <c r="F1" i="2"/>
  <c r="E32" i="1"/>
  <c r="E3" i="2"/>
  <c r="E2" i="2"/>
  <c r="E1" i="2"/>
  <c r="A1" i="2"/>
  <c r="A2" i="2"/>
  <c r="A23" i="1"/>
  <c r="A4" i="1"/>
  <c r="V95" i="1"/>
  <c r="V96" i="1"/>
  <c r="V97" i="1"/>
  <c r="V98" i="1"/>
  <c r="U98" i="1"/>
  <c r="U97" i="1"/>
  <c r="U96" i="1"/>
  <c r="U95" i="1"/>
  <c r="X84" i="1"/>
  <c r="U93" i="1"/>
  <c r="W93" i="1"/>
  <c r="X81" i="1"/>
  <c r="X82" i="1"/>
  <c r="X83" i="1"/>
  <c r="X85" i="1"/>
  <c r="X86" i="1"/>
  <c r="X87" i="1"/>
  <c r="X88" i="1"/>
  <c r="X89" i="1"/>
  <c r="X90" i="1"/>
  <c r="X91" i="1"/>
  <c r="X92" i="1"/>
  <c r="V93" i="1"/>
  <c r="W81" i="1" s="1"/>
  <c r="X76" i="1"/>
  <c r="X77" i="1"/>
  <c r="X78" i="1"/>
  <c r="X79" i="1"/>
  <c r="W79" i="1"/>
  <c r="W77" i="1"/>
  <c r="W78" i="1"/>
  <c r="V79" i="1"/>
  <c r="W76" i="1" s="1"/>
  <c r="U79" i="1"/>
  <c r="Y60" i="1"/>
  <c r="Y61" i="1"/>
  <c r="V66" i="1"/>
  <c r="V65" i="1"/>
  <c r="V60" i="1"/>
  <c r="V61" i="1"/>
  <c r="V62" i="1"/>
  <c r="Y62" i="1" s="1"/>
  <c r="V59" i="1"/>
  <c r="V64" i="1" s="1"/>
  <c r="M73" i="1"/>
  <c r="M74" i="1"/>
  <c r="M75" i="1"/>
  <c r="M76" i="1"/>
  <c r="M77" i="1"/>
  <c r="M72" i="1"/>
  <c r="J72" i="1"/>
  <c r="L76" i="1"/>
  <c r="K78" i="1"/>
  <c r="L75" i="1" s="1"/>
  <c r="I78" i="1"/>
  <c r="J73" i="1" s="1"/>
  <c r="J74" i="1"/>
  <c r="J75" i="1"/>
  <c r="J76" i="1"/>
  <c r="O66" i="1"/>
  <c r="K64" i="1"/>
  <c r="K66" i="1" s="1"/>
  <c r="L64" i="1"/>
  <c r="L66" i="1" s="1"/>
  <c r="M64" i="1"/>
  <c r="N64" i="1"/>
  <c r="N66" i="1" s="1"/>
  <c r="O64" i="1"/>
  <c r="J64" i="1"/>
  <c r="Q64" i="1" s="1"/>
  <c r="Q59" i="1"/>
  <c r="Q58" i="1"/>
  <c r="Q60" i="1"/>
  <c r="Q61" i="1"/>
  <c r="Q62" i="1"/>
  <c r="Q57" i="1"/>
  <c r="F38" i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D38" i="1"/>
  <c r="D39" i="1" s="1"/>
  <c r="D40" i="1" s="1"/>
  <c r="D41" i="1" s="1"/>
  <c r="D42" i="1" s="1"/>
  <c r="G32" i="1"/>
  <c r="F31" i="1"/>
  <c r="H31" i="1" s="1"/>
  <c r="F28" i="1"/>
  <c r="H28" i="1" s="1"/>
  <c r="F29" i="1"/>
  <c r="H29" i="1" s="1"/>
  <c r="F30" i="1"/>
  <c r="H30" i="1" s="1"/>
  <c r="D32" i="1"/>
  <c r="C32" i="1"/>
  <c r="K24" i="1"/>
  <c r="I24" i="1"/>
  <c r="G22" i="1"/>
  <c r="D24" i="1"/>
  <c r="A24" i="1"/>
  <c r="A22" i="1"/>
  <c r="E1" i="1"/>
  <c r="F1" i="1" s="1"/>
  <c r="D17" i="4"/>
  <c r="D18" i="4"/>
  <c r="D19" i="4"/>
  <c r="D20" i="4"/>
  <c r="D21" i="4"/>
  <c r="D22" i="4"/>
  <c r="D23" i="4"/>
  <c r="D24" i="4"/>
  <c r="D25" i="4"/>
  <c r="E12" i="4"/>
  <c r="E11" i="4"/>
  <c r="C13" i="4"/>
  <c r="D13" i="4"/>
  <c r="D7" i="4"/>
  <c r="D6" i="4"/>
  <c r="D5" i="4"/>
  <c r="G42" i="3" l="1"/>
  <c r="G40" i="3"/>
  <c r="G43" i="3" s="1"/>
  <c r="F48" i="3" s="1"/>
  <c r="G39" i="3"/>
  <c r="G41" i="3"/>
  <c r="W83" i="1"/>
  <c r="X93" i="1"/>
  <c r="W87" i="1"/>
  <c r="W91" i="1"/>
  <c r="W92" i="1"/>
  <c r="W88" i="1"/>
  <c r="W84" i="1"/>
  <c r="W90" i="1"/>
  <c r="W86" i="1"/>
  <c r="W82" i="1"/>
  <c r="W89" i="1"/>
  <c r="W85" i="1"/>
  <c r="M66" i="1"/>
  <c r="L72" i="1"/>
  <c r="L74" i="1"/>
  <c r="M78" i="1"/>
  <c r="Y59" i="1"/>
  <c r="L77" i="1"/>
  <c r="L73" i="1"/>
  <c r="J77" i="1"/>
  <c r="J78" i="1" s="1"/>
  <c r="D43" i="1"/>
  <c r="D44" i="1" s="1"/>
  <c r="D45" i="1" s="1"/>
  <c r="D46" i="1" s="1"/>
  <c r="D47" i="1" s="1"/>
  <c r="D48" i="1" s="1"/>
  <c r="D49" i="1" s="1"/>
  <c r="F32" i="1"/>
  <c r="H32" i="1" s="1"/>
  <c r="E13" i="4"/>
  <c r="L7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<sst xmlns="http://schemas.openxmlformats.org/spreadsheetml/2006/main" count="1541" uniqueCount="689">
  <si>
    <t>yannick</t>
  </si>
  <si>
    <t>(yo)</t>
  </si>
  <si>
    <t>Colonne1</t>
  </si>
  <si>
    <t>tab1</t>
  </si>
  <si>
    <t>j'apprend excel</t>
  </si>
  <si>
    <t>mange</t>
  </si>
  <si>
    <t>RECETTES</t>
  </si>
  <si>
    <t>RESULTAT</t>
  </si>
  <si>
    <t>JANUARY</t>
  </si>
  <si>
    <t>FEBRUARY</t>
  </si>
  <si>
    <t>MARCH</t>
  </si>
  <si>
    <t>SOMME</t>
  </si>
  <si>
    <t xml:space="preserve"> </t>
  </si>
  <si>
    <t>AA</t>
  </si>
  <si>
    <t>MM</t>
  </si>
  <si>
    <t>JJ</t>
  </si>
  <si>
    <t>jan</t>
  </si>
  <si>
    <t>feb</t>
  </si>
  <si>
    <t>mar</t>
  </si>
  <si>
    <t>avr</t>
  </si>
  <si>
    <t>may</t>
  </si>
  <si>
    <t>jun</t>
  </si>
  <si>
    <t>jul</t>
  </si>
  <si>
    <t>oct</t>
  </si>
  <si>
    <t>AA+10</t>
  </si>
  <si>
    <t>nombre</t>
  </si>
  <si>
    <t>dollars</t>
  </si>
  <si>
    <t>date</t>
  </si>
  <si>
    <t>date autre format</t>
  </si>
  <si>
    <t>FORMULE DATE TODAY</t>
  </si>
  <si>
    <t>nbre de jours entre les 2 dates</t>
  </si>
  <si>
    <t>scientifique</t>
  </si>
  <si>
    <t xml:space="preserve">Mois </t>
  </si>
  <si>
    <t xml:space="preserve">Jour </t>
  </si>
  <si>
    <t>Trimestre</t>
  </si>
  <si>
    <t>Date</t>
  </si>
  <si>
    <t>Nombre</t>
  </si>
  <si>
    <t>Mois incrementé</t>
  </si>
  <si>
    <t>Jour incrementé</t>
  </si>
  <si>
    <t>Nombre incrementé</t>
  </si>
  <si>
    <t>Janvier</t>
  </si>
  <si>
    <t>lundi</t>
  </si>
  <si>
    <t>Trimestre 1</t>
  </si>
  <si>
    <t>21/03/2003</t>
  </si>
  <si>
    <t>Lundi</t>
  </si>
  <si>
    <t>21/03/2004</t>
  </si>
  <si>
    <t>21/03/2005</t>
  </si>
  <si>
    <t>21/03/2006</t>
  </si>
  <si>
    <t>21/03/2007</t>
  </si>
  <si>
    <t>21/03/2008</t>
  </si>
  <si>
    <t>21/03/2009</t>
  </si>
  <si>
    <t>21/03/2010</t>
  </si>
  <si>
    <t>21/03/2011</t>
  </si>
  <si>
    <t>date incrementé</t>
  </si>
  <si>
    <t>Trimestre 2</t>
  </si>
  <si>
    <t>Trimestre 3</t>
  </si>
  <si>
    <t>Trimestre 4</t>
  </si>
  <si>
    <t>trimestre incrementé</t>
  </si>
  <si>
    <t>probleme</t>
  </si>
  <si>
    <t>copier coller incrementer</t>
  </si>
  <si>
    <t>calculs</t>
  </si>
  <si>
    <t>calcul TTC avec remises</t>
  </si>
  <si>
    <t>PTHT</t>
  </si>
  <si>
    <t>concaténation</t>
  </si>
  <si>
    <t>calcul avec dates</t>
  </si>
  <si>
    <t>CALCULS SIMPLES</t>
  </si>
  <si>
    <t>Janv</t>
  </si>
  <si>
    <t>fevr</t>
  </si>
  <si>
    <t>mars</t>
  </si>
  <si>
    <t>Trimestre n</t>
  </si>
  <si>
    <t>Trimestre n-1</t>
  </si>
  <si>
    <t>Evolution</t>
  </si>
  <si>
    <t xml:space="preserve">Produit 1 </t>
  </si>
  <si>
    <t>Produit 2</t>
  </si>
  <si>
    <t>Produit 3</t>
  </si>
  <si>
    <t>Produit 4</t>
  </si>
  <si>
    <t>TOTAL</t>
  </si>
  <si>
    <t>EXO1 Cumuls et sommes</t>
  </si>
  <si>
    <t>Prévision mensuelle</t>
  </si>
  <si>
    <t>Prévision Cumul</t>
  </si>
  <si>
    <t>Réalisé Mensuel</t>
  </si>
  <si>
    <t>Réalisé Cumul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</si>
  <si>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</si>
  <si>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</si>
  <si>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</si>
  <si>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</si>
  <si>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</si>
  <si>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</si>
  <si>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</si>
  <si>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</si>
  <si>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</si>
  <si>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</si>
  <si>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</si>
  <si>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</si>
  <si>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REALISER UN CUMUL DANS EXCEL</t>
  </si>
  <si>
    <t>EXO4 variation et statistiques</t>
  </si>
  <si>
    <t>N° departement</t>
  </si>
  <si>
    <t>Total</t>
  </si>
  <si>
    <t xml:space="preserve">Variation par rapport au mois précedent exprimé en euros </t>
  </si>
  <si>
    <t>Statistiques commerciales du premier semestre</t>
  </si>
  <si>
    <t>Chriffre d'affaires des 8 départements exprimés en euros</t>
  </si>
  <si>
    <t>Exo5 Maitriser les pourcentages</t>
  </si>
  <si>
    <t>TF1</t>
  </si>
  <si>
    <t xml:space="preserve">F2 </t>
  </si>
  <si>
    <t>F3</t>
  </si>
  <si>
    <t>CANAL +</t>
  </si>
  <si>
    <t>LA 5éme/ARTE</t>
  </si>
  <si>
    <t>M6</t>
  </si>
  <si>
    <t>%</t>
  </si>
  <si>
    <t>Variation</t>
  </si>
  <si>
    <t>LES POURCENTAGES</t>
  </si>
  <si>
    <t>Calcul d'une variation V:</t>
  </si>
  <si>
    <t>V=(X2-X1)/X1</t>
  </si>
  <si>
    <t>Avec:</t>
  </si>
  <si>
    <t>X1= année de base</t>
  </si>
  <si>
    <t>X2= année N+1(ou N+y)</t>
  </si>
  <si>
    <t>reference absolue</t>
  </si>
  <si>
    <t>Location de vélos</t>
  </si>
  <si>
    <t>Tarifs en Euros:</t>
  </si>
  <si>
    <t>Date de sortie</t>
  </si>
  <si>
    <t>Date de retour</t>
  </si>
  <si>
    <t>Nbre de jours</t>
  </si>
  <si>
    <t>Prix par jour</t>
  </si>
  <si>
    <t>Accessoires par jour</t>
  </si>
  <si>
    <t>Durée moyenne:</t>
  </si>
  <si>
    <t>Prixjour le plus élevé:</t>
  </si>
  <si>
    <t>Prixjour le plus bas:</t>
  </si>
  <si>
    <t>Exo6: Maitriser les calculs de base 1</t>
  </si>
  <si>
    <t>Exo7 BUDGET</t>
  </si>
  <si>
    <t>BUDGET</t>
  </si>
  <si>
    <t>% de chaque depense/recette par rapport au total des dépenses/recettes dans la catégorie</t>
  </si>
  <si>
    <t>Ecart réel/prévision</t>
  </si>
  <si>
    <t>Prévision</t>
  </si>
  <si>
    <t>Réel</t>
  </si>
  <si>
    <t>Ecart</t>
  </si>
  <si>
    <t>Revenus</t>
  </si>
  <si>
    <t>Salaire net Mr</t>
  </si>
  <si>
    <t>Salaire net Mme</t>
  </si>
  <si>
    <t>Allocation familliales</t>
  </si>
  <si>
    <t>Total Revenus</t>
  </si>
  <si>
    <t>Dépenses</t>
  </si>
  <si>
    <t>Loyer</t>
  </si>
  <si>
    <t>Emprunts</t>
  </si>
  <si>
    <t>Impots</t>
  </si>
  <si>
    <t>Assurances</t>
  </si>
  <si>
    <t>E.D.F</t>
  </si>
  <si>
    <t>Téléphone</t>
  </si>
  <si>
    <t>Epargne</t>
  </si>
  <si>
    <t>Loisirs</t>
  </si>
  <si>
    <t>Alimentation &amp; Habillement</t>
  </si>
  <si>
    <t>Cantine scolaire</t>
  </si>
  <si>
    <t>Transport</t>
  </si>
  <si>
    <t>Divers</t>
  </si>
  <si>
    <t>Total Dépenses</t>
  </si>
  <si>
    <t>Nombre de dépenses</t>
  </si>
  <si>
    <t>Moyenne des dépenses</t>
  </si>
  <si>
    <t>Dépense la +élevée</t>
  </si>
  <si>
    <t>Dépense la -élevée</t>
  </si>
  <si>
    <t>Exemple de reference tridimensionnelle</t>
  </si>
  <si>
    <t>Exemple de reference externes</t>
  </si>
  <si>
    <t>Exo reference relatif</t>
  </si>
  <si>
    <t>Chiffre</t>
  </si>
  <si>
    <t>Multiplicateur</t>
  </si>
  <si>
    <t>Resultat de la multiplication</t>
  </si>
  <si>
    <t>Exo reference absolu</t>
  </si>
  <si>
    <t>Nombre à multiplier</t>
  </si>
  <si>
    <t>résultat de la multiplication</t>
  </si>
  <si>
    <t>EXO calcul simple, ref relatif</t>
  </si>
  <si>
    <t xml:space="preserve">Taux de TVA: </t>
  </si>
  <si>
    <t>Liste des produits vendus</t>
  </si>
  <si>
    <t>En Euros</t>
  </si>
  <si>
    <t>Matieres</t>
  </si>
  <si>
    <t>Qté vendus</t>
  </si>
  <si>
    <t>Prix de vente HT</t>
  </si>
  <si>
    <t>Montant TVA sur ventes</t>
  </si>
  <si>
    <t>Montant ventes TTC</t>
  </si>
  <si>
    <t>Produit 1</t>
  </si>
  <si>
    <t>Produit 5</t>
  </si>
  <si>
    <t>Produit 6</t>
  </si>
  <si>
    <t>Produit 7</t>
  </si>
  <si>
    <t>Produit 8</t>
  </si>
  <si>
    <t>Produit 9</t>
  </si>
  <si>
    <t>Produit 10</t>
  </si>
  <si>
    <t>Produit 11</t>
  </si>
  <si>
    <t>Produit 12</t>
  </si>
  <si>
    <t>Produit 13</t>
  </si>
  <si>
    <t>Produit 14</t>
  </si>
  <si>
    <t>Produit 15</t>
  </si>
  <si>
    <t>Produit 16</t>
  </si>
  <si>
    <t>Produit 17</t>
  </si>
  <si>
    <t>Produit 18</t>
  </si>
  <si>
    <t>Produit 19</t>
  </si>
  <si>
    <t>Produit 20</t>
  </si>
  <si>
    <t>Montant Ventes HT</t>
  </si>
  <si>
    <t>Taux du euros:</t>
  </si>
  <si>
    <t>Montant ventes TTC en euros</t>
  </si>
  <si>
    <t>Depenses</t>
  </si>
  <si>
    <t>Attribuer un nom à une cellule</t>
  </si>
  <si>
    <t>TARIF</t>
  </si>
  <si>
    <t>Référence</t>
  </si>
  <si>
    <t>Libellé</t>
  </si>
  <si>
    <t>Remise</t>
  </si>
  <si>
    <t>PU net HT</t>
  </si>
  <si>
    <t>PU TTC</t>
  </si>
  <si>
    <t>Taux TVA:</t>
  </si>
  <si>
    <t>ABC1</t>
  </si>
  <si>
    <t>ABC2</t>
  </si>
  <si>
    <t>ABC3</t>
  </si>
  <si>
    <t>ABC4</t>
  </si>
  <si>
    <t>bloc note</t>
  </si>
  <si>
    <t>Enveloppe</t>
  </si>
  <si>
    <t>Stylo</t>
  </si>
  <si>
    <t>Gomme</t>
  </si>
  <si>
    <t>PU HT</t>
  </si>
  <si>
    <t>Les fonctions de calculs</t>
  </si>
  <si>
    <t>Monday</t>
  </si>
  <si>
    <t>Tuesday</t>
  </si>
  <si>
    <t>Wednesday</t>
  </si>
  <si>
    <t>Thursday</t>
  </si>
  <si>
    <t>Friday</t>
  </si>
  <si>
    <t>Saturday</t>
  </si>
  <si>
    <t>Sunday</t>
  </si>
  <si>
    <t>Durée du travail</t>
  </si>
  <si>
    <t>Machine</t>
  </si>
  <si>
    <t>Capacité</t>
  </si>
  <si>
    <t>Total/Machine</t>
  </si>
  <si>
    <t>Machine1</t>
  </si>
  <si>
    <t>Machine2</t>
  </si>
  <si>
    <t>Machine3</t>
  </si>
  <si>
    <t>Machine4</t>
  </si>
  <si>
    <t>Machine5</t>
  </si>
  <si>
    <t>Machine6</t>
  </si>
  <si>
    <t>Total/Jour</t>
  </si>
  <si>
    <t>Nombre d'élements du tableau:</t>
  </si>
  <si>
    <t>Today's Day:</t>
  </si>
  <si>
    <t>Rythme de travail des machine(Au moins 6000 par jour):</t>
  </si>
  <si>
    <t>Fonctionnement de l'atelier</t>
  </si>
  <si>
    <t>fonction somme.si</t>
  </si>
  <si>
    <t>Libellé du Code à trouver: ABC4</t>
  </si>
  <si>
    <t>Troix premieres lettres du libellé trouvé:</t>
  </si>
  <si>
    <t>Exo1</t>
  </si>
  <si>
    <t>Location de caméras DVCam</t>
  </si>
  <si>
    <t>Mars</t>
  </si>
  <si>
    <t>TVA:</t>
  </si>
  <si>
    <t>Caméra</t>
  </si>
  <si>
    <t>Nb jours location</t>
  </si>
  <si>
    <t>Prix Accessoires /jour</t>
  </si>
  <si>
    <t>Total HT</t>
  </si>
  <si>
    <t>TVA</t>
  </si>
  <si>
    <t>Total TTC</t>
  </si>
  <si>
    <t>DVC 207</t>
  </si>
  <si>
    <t>DVC 214</t>
  </si>
  <si>
    <t>DVC 221</t>
  </si>
  <si>
    <t>DVC 223</t>
  </si>
  <si>
    <t>Total jours de location</t>
  </si>
  <si>
    <t>Durée moyenne de location</t>
  </si>
  <si>
    <t>CA Mars année précédente</t>
  </si>
  <si>
    <t>Evolution en % CA par rapport au CA Mars année précedente</t>
  </si>
  <si>
    <t>Exo2 Moyennes avec ou sans zéro</t>
  </si>
  <si>
    <t>Notes</t>
  </si>
  <si>
    <t>Moyenne en ignorant les zéros</t>
  </si>
  <si>
    <t>Moyenne en tenant compte des zéros</t>
  </si>
  <si>
    <t>Prix/       jour</t>
  </si>
  <si>
    <t>Somme des valeurs sur une tranche</t>
  </si>
  <si>
    <t>Valeurs</t>
  </si>
  <si>
    <t>Somme des valeurs</t>
  </si>
  <si>
    <t>entre</t>
  </si>
  <si>
    <t>et</t>
  </si>
  <si>
    <t>Résultat</t>
  </si>
  <si>
    <t>Combien de valeurs correspondent à cette tranche</t>
  </si>
  <si>
    <t>Exo3 Fonction SI 1</t>
  </si>
  <si>
    <t>Objectifs</t>
  </si>
  <si>
    <t>Dieval</t>
  </si>
  <si>
    <t>Montagne</t>
  </si>
  <si>
    <t>Delettre</t>
  </si>
  <si>
    <t>Taux de commission (sur c.a.h.t.)</t>
  </si>
  <si>
    <t>Objectif atteint</t>
  </si>
  <si>
    <t>Objectif non atteint</t>
  </si>
  <si>
    <t>C.A. réalisé</t>
  </si>
  <si>
    <t>Commission</t>
  </si>
  <si>
    <t>Obj_Diéval</t>
  </si>
  <si>
    <t>Obj_Montagne</t>
  </si>
  <si>
    <t>Obj_Delettre</t>
  </si>
  <si>
    <t>Taux_A</t>
  </si>
  <si>
    <t>Taux_NA</t>
  </si>
  <si>
    <t>G55</t>
  </si>
  <si>
    <t>G54</t>
  </si>
  <si>
    <t>C55</t>
  </si>
  <si>
    <t>C54</t>
  </si>
  <si>
    <t>C53</t>
  </si>
  <si>
    <t>PALMARES DES VENTES DES MEILLEURS VENTES D'ORDINATEURS</t>
  </si>
  <si>
    <t>Répresentants</t>
  </si>
  <si>
    <t>Département</t>
  </si>
  <si>
    <t>Région</t>
  </si>
  <si>
    <t>Ventes (en quantité)</t>
  </si>
  <si>
    <t>Quota</t>
  </si>
  <si>
    <t>Prime</t>
  </si>
  <si>
    <t>SVOITKA</t>
  </si>
  <si>
    <t>GAELLE</t>
  </si>
  <si>
    <t>MAEVA</t>
  </si>
  <si>
    <t>SIOVIC</t>
  </si>
  <si>
    <t>SOIVIC</t>
  </si>
  <si>
    <t>FLORIAN</t>
  </si>
  <si>
    <t>LOIC</t>
  </si>
  <si>
    <t>ARNAUD</t>
  </si>
  <si>
    <t>JEAN</t>
  </si>
  <si>
    <t>SYLVIANE</t>
  </si>
  <si>
    <t>BLANCHET</t>
  </si>
  <si>
    <t>Stavoie</t>
  </si>
  <si>
    <t>Cote-d'or</t>
  </si>
  <si>
    <t>Ain</t>
  </si>
  <si>
    <t>Isère</t>
  </si>
  <si>
    <t>Niévre</t>
  </si>
  <si>
    <t>Loire</t>
  </si>
  <si>
    <t>Yonne</t>
  </si>
  <si>
    <t>Ardèche</t>
  </si>
  <si>
    <t>Rhone</t>
  </si>
  <si>
    <t>Cote-d'Amor</t>
  </si>
  <si>
    <t>Rhone-Alpes</t>
  </si>
  <si>
    <t>Bourgogne</t>
  </si>
  <si>
    <t>Totaux</t>
  </si>
  <si>
    <t>Maximum</t>
  </si>
  <si>
    <t>Minimum</t>
  </si>
  <si>
    <t>Nbre de piéces vendues pour la région Bourgogne:</t>
  </si>
  <si>
    <t>Nbre de piéges vendues pour la région Rhone-Alpes</t>
  </si>
  <si>
    <t>Exo3 Fonction SI 2</t>
  </si>
  <si>
    <t>Nom</t>
  </si>
  <si>
    <t>Niveau de qualification</t>
  </si>
  <si>
    <t>Date début</t>
  </si>
  <si>
    <t>Date Fin</t>
  </si>
  <si>
    <t>Nb jours effectués</t>
  </si>
  <si>
    <t xml:space="preserve">Montant Salaire brut </t>
  </si>
  <si>
    <t>Prime panier</t>
  </si>
  <si>
    <t>Montant prime panier</t>
  </si>
  <si>
    <t>Prime estivale 7%</t>
  </si>
  <si>
    <t>salaire dù</t>
  </si>
  <si>
    <t>Beckmann</t>
  </si>
  <si>
    <t>Chaparo</t>
  </si>
  <si>
    <t>Damaso</t>
  </si>
  <si>
    <t>Given</t>
  </si>
  <si>
    <t>Jansen</t>
  </si>
  <si>
    <t>Semptey</t>
  </si>
  <si>
    <t>Siegrist</t>
  </si>
  <si>
    <t>Tanos</t>
  </si>
  <si>
    <t>Tompin</t>
  </si>
  <si>
    <t>Salaire par niveau</t>
  </si>
  <si>
    <t>Total salaire dù par niveau de qualification</t>
  </si>
  <si>
    <t>Jours fériés</t>
  </si>
  <si>
    <t>Niveau 1:</t>
  </si>
  <si>
    <t>Niveau 2:</t>
  </si>
  <si>
    <t>Niveau 3:</t>
  </si>
  <si>
    <t>Prime estivale</t>
  </si>
  <si>
    <t>14/07/2015</t>
  </si>
  <si>
    <t>15/08/2015</t>
  </si>
  <si>
    <t>31/08/12015</t>
  </si>
  <si>
    <t xml:space="preserve">                               Charges personnel intérimaire par atelier (en euro)- Eté 2015</t>
  </si>
  <si>
    <t>13/07/2015</t>
  </si>
  <si>
    <t>14/06/2015</t>
  </si>
  <si>
    <t>20/08/2015</t>
  </si>
  <si>
    <t>17/06/2015</t>
  </si>
  <si>
    <t>21/07/2015</t>
  </si>
  <si>
    <t>13/08/2015</t>
  </si>
  <si>
    <t>31/07/2015</t>
  </si>
  <si>
    <t>Exo4 fonction Avance 1</t>
  </si>
  <si>
    <t>pas terminer probleme de format date</t>
  </si>
  <si>
    <t>EXO 2 EFFECTUER LES CALCULS DANS LES ZONES ROSES</t>
  </si>
  <si>
    <t>ELEMENT</t>
  </si>
  <si>
    <t>COULEUR</t>
  </si>
  <si>
    <t>marmotte</t>
  </si>
  <si>
    <t>BLEUE</t>
  </si>
  <si>
    <t>ROSE</t>
  </si>
  <si>
    <t>VIOLETTE</t>
  </si>
  <si>
    <t>Afficher ci dessous le nombre total de valeurs</t>
  </si>
  <si>
    <r>
      <t xml:space="preserve">Afficher ci dessous le nombre de valeurs numeriques des </t>
    </r>
    <r>
      <rPr>
        <sz val="11"/>
        <color rgb="FF006600"/>
        <rFont val="Calibri"/>
        <family val="2"/>
        <scheme val="minor"/>
      </rPr>
      <t>valeurs vertes</t>
    </r>
  </si>
  <si>
    <r>
      <t xml:space="preserve">Afficher ci dessous le nombre total d'element </t>
    </r>
    <r>
      <rPr>
        <sz val="11"/>
        <color theme="5"/>
        <rFont val="Calibri"/>
        <family val="2"/>
        <scheme val="minor"/>
      </rPr>
      <t xml:space="preserve">marmottes </t>
    </r>
    <r>
      <rPr>
        <sz val="11"/>
        <color theme="1"/>
        <rFont val="Calibri"/>
        <family val="2"/>
        <scheme val="minor"/>
      </rPr>
      <t>couleur rose</t>
    </r>
  </si>
  <si>
    <r>
      <t xml:space="preserve">Afficher ci dessous le nombre total d'element </t>
    </r>
    <r>
      <rPr>
        <sz val="11"/>
        <color theme="5"/>
        <rFont val="Calibri"/>
        <family val="2"/>
        <scheme val="minor"/>
      </rPr>
      <t>marmottes</t>
    </r>
    <r>
      <rPr>
        <sz val="11"/>
        <color theme="1"/>
        <rFont val="Calibri"/>
        <family val="2"/>
        <scheme val="minor"/>
      </rPr>
      <t xml:space="preserve"> couleur violette</t>
    </r>
  </si>
  <si>
    <r>
      <t xml:space="preserve">Afficher ci dessous le nombre total d'element </t>
    </r>
    <r>
      <rPr>
        <sz val="11"/>
        <color theme="5"/>
        <rFont val="Calibri"/>
        <family val="2"/>
        <scheme val="minor"/>
      </rPr>
      <t>marmottes</t>
    </r>
    <r>
      <rPr>
        <sz val="11"/>
        <color theme="1"/>
        <rFont val="Calibri"/>
        <family val="2"/>
        <scheme val="minor"/>
      </rPr>
      <t xml:space="preserve"> couleur bleues</t>
    </r>
  </si>
  <si>
    <r>
      <t xml:space="preserve">Afficher ci dessous le nombre total d'element </t>
    </r>
    <r>
      <rPr>
        <sz val="11"/>
        <color theme="5"/>
        <rFont val="Calibri"/>
        <family val="2"/>
        <scheme val="minor"/>
      </rPr>
      <t>marmottes</t>
    </r>
    <r>
      <rPr>
        <sz val="11"/>
        <color theme="1"/>
        <rFont val="Calibri"/>
        <family val="2"/>
        <scheme val="minor"/>
      </rPr>
      <t xml:space="preserve"> seulement</t>
    </r>
  </si>
  <si>
    <t>EXO 3 LA RONDE DES JOUETS</t>
  </si>
  <si>
    <t>FAIRE LA FACTURE POUR LE CLIENT N`</t>
  </si>
  <si>
    <t xml:space="preserve">numero client </t>
  </si>
  <si>
    <t>nom client</t>
  </si>
  <si>
    <t>adresse</t>
  </si>
  <si>
    <t>livraison prevue le :</t>
  </si>
  <si>
    <t>Date de commande</t>
  </si>
  <si>
    <t>Facture numero:</t>
  </si>
  <si>
    <t>Date de facture:</t>
  </si>
  <si>
    <t>FAC07/92/125</t>
  </si>
  <si>
    <t>Code Article</t>
  </si>
  <si>
    <t>Designation</t>
  </si>
  <si>
    <t>Prix</t>
  </si>
  <si>
    <t>Qtes</t>
  </si>
  <si>
    <t>Montant</t>
  </si>
  <si>
    <t>Total HTTC</t>
  </si>
  <si>
    <t>Facture a payer avant le:</t>
  </si>
  <si>
    <t>Poupee Barbie</t>
  </si>
  <si>
    <t>Ourson</t>
  </si>
  <si>
    <t>Marmotte Bleue</t>
  </si>
  <si>
    <t>Robe princesse</t>
  </si>
  <si>
    <t>Habit tarzan</t>
  </si>
  <si>
    <t>Voiture Pompier</t>
  </si>
  <si>
    <t>Autobus</t>
  </si>
  <si>
    <t>Garage</t>
  </si>
  <si>
    <t>PS2</t>
  </si>
  <si>
    <t>TABLE ARTICLE</t>
  </si>
  <si>
    <t>CODE</t>
  </si>
  <si>
    <t>ARTICLE</t>
  </si>
  <si>
    <t>PRIX</t>
  </si>
  <si>
    <t>CODE CLIENT</t>
  </si>
  <si>
    <t xml:space="preserve">NOM </t>
  </si>
  <si>
    <t>ADRESSE</t>
  </si>
  <si>
    <t>CP</t>
  </si>
  <si>
    <t>VILLE</t>
  </si>
  <si>
    <t>C123587001</t>
  </si>
  <si>
    <t>C123587002</t>
  </si>
  <si>
    <t>C123587003</t>
  </si>
  <si>
    <t>C123587004</t>
  </si>
  <si>
    <t>C123587005</t>
  </si>
  <si>
    <t>C123587006</t>
  </si>
  <si>
    <t>C123587007</t>
  </si>
  <si>
    <t>C123587008</t>
  </si>
  <si>
    <t>C123587009</t>
  </si>
  <si>
    <t>C123587010</t>
  </si>
  <si>
    <t>C123587011</t>
  </si>
  <si>
    <t>C123587012</t>
  </si>
  <si>
    <t>C123587013</t>
  </si>
  <si>
    <t>C123587014</t>
  </si>
  <si>
    <t>C123587015</t>
  </si>
  <si>
    <t>C123587016</t>
  </si>
  <si>
    <t>C123587017</t>
  </si>
  <si>
    <t>C123587018</t>
  </si>
  <si>
    <t>C123587019</t>
  </si>
  <si>
    <t>C123587020</t>
  </si>
  <si>
    <t>C123587021</t>
  </si>
  <si>
    <t>C123587022</t>
  </si>
  <si>
    <t>Nos chers petits</t>
  </si>
  <si>
    <t>les copains 1</t>
  </si>
  <si>
    <t>les copains 2</t>
  </si>
  <si>
    <t>les copains 3</t>
  </si>
  <si>
    <t>les copains 4</t>
  </si>
  <si>
    <t>les copains 5</t>
  </si>
  <si>
    <t>les copains 6</t>
  </si>
  <si>
    <t>les copains 7</t>
  </si>
  <si>
    <t>les copains 8</t>
  </si>
  <si>
    <t>les copains 9</t>
  </si>
  <si>
    <t>les copains 10</t>
  </si>
  <si>
    <t>les copains 11</t>
  </si>
  <si>
    <t>les copains 12</t>
  </si>
  <si>
    <t>les copains 13</t>
  </si>
  <si>
    <t>les copains 14</t>
  </si>
  <si>
    <t>les copains 15</t>
  </si>
  <si>
    <t>les copains 16</t>
  </si>
  <si>
    <t>les copains 17</t>
  </si>
  <si>
    <t>les copains 18</t>
  </si>
  <si>
    <t>les copains 19</t>
  </si>
  <si>
    <t>les copains 20</t>
  </si>
  <si>
    <t>les copains 21</t>
  </si>
  <si>
    <t>25 rue des Lilas</t>
  </si>
  <si>
    <t>rue des alouettes</t>
  </si>
  <si>
    <t>26 rue des Lilas</t>
  </si>
  <si>
    <t>27 rue des Lilas</t>
  </si>
  <si>
    <t>28 rue des Lilas</t>
  </si>
  <si>
    <t>29 rue des Lilas</t>
  </si>
  <si>
    <t>30 rue des Lilas</t>
  </si>
  <si>
    <t>31 rue des Lilas</t>
  </si>
  <si>
    <t>32 rue des Lilas</t>
  </si>
  <si>
    <t>33 rue des Lilas</t>
  </si>
  <si>
    <t>34 rue des Lilas</t>
  </si>
  <si>
    <t>35 rue des Lilas</t>
  </si>
  <si>
    <t>MONTPELLIER</t>
  </si>
  <si>
    <t>NARBONNE</t>
  </si>
  <si>
    <t>TABLE CLIENT</t>
  </si>
  <si>
    <t>CP- ville</t>
  </si>
  <si>
    <t>&gt;Deux jours apres la date de la facture</t>
  </si>
  <si>
    <t>&gt;livraison prevue 6 jours apres la date de la commande</t>
  </si>
  <si>
    <t>&gt;Inserer la date du jour</t>
  </si>
  <si>
    <t>&gt;Date de reglement maximum 60 jours apres la date de la livraison</t>
  </si>
  <si>
    <t>EXO 4 ACHAT DE FOURNITURES</t>
  </si>
  <si>
    <t>SOFTDATA</t>
  </si>
  <si>
    <t>Budget</t>
  </si>
  <si>
    <t>2500,00</t>
  </si>
  <si>
    <t>Ref service</t>
  </si>
  <si>
    <t>Prevision en %</t>
  </si>
  <si>
    <t xml:space="preserve">Montant en euros </t>
  </si>
  <si>
    <t>Consomme</t>
  </si>
  <si>
    <t>% conso</t>
  </si>
  <si>
    <t>Credit restant</t>
  </si>
  <si>
    <t>Nb de cdes</t>
  </si>
  <si>
    <t>EFFECTIFS</t>
  </si>
  <si>
    <t>PER</t>
  </si>
  <si>
    <t>FIN</t>
  </si>
  <si>
    <t>COM</t>
  </si>
  <si>
    <t>TEC</t>
  </si>
  <si>
    <t>DIR</t>
  </si>
  <si>
    <t>Service</t>
  </si>
  <si>
    <t>Services gestion personnel</t>
  </si>
  <si>
    <t>Servces finances</t>
  </si>
  <si>
    <t>Services commerciaux</t>
  </si>
  <si>
    <t>Services techniques</t>
  </si>
  <si>
    <t xml:space="preserve">Direction </t>
  </si>
  <si>
    <t>LISTE DES ACHATS</t>
  </si>
  <si>
    <t>designition</t>
  </si>
  <si>
    <t>PU</t>
  </si>
  <si>
    <t>Qte</t>
  </si>
  <si>
    <t>15/01/2006</t>
  </si>
  <si>
    <t>18/01/2006</t>
  </si>
  <si>
    <t>21/01/2006</t>
  </si>
  <si>
    <t>24/01/2006</t>
  </si>
  <si>
    <t>27/01/2006</t>
  </si>
  <si>
    <t>stylos</t>
  </si>
  <si>
    <t>Gommes</t>
  </si>
  <si>
    <t>Lampes bureau</t>
  </si>
  <si>
    <t>Classeurs</t>
  </si>
  <si>
    <t>cartouches laser</t>
  </si>
  <si>
    <t>Papier</t>
  </si>
  <si>
    <t>apres achat du</t>
  </si>
  <si>
    <t>14/01/2006</t>
  </si>
  <si>
    <t>Non termine</t>
  </si>
  <si>
    <t>ferme DUBOIS</t>
  </si>
  <si>
    <t>ferme DUPONT</t>
  </si>
  <si>
    <t>REGION DU HAVRE</t>
  </si>
  <si>
    <t>LAIT</t>
  </si>
  <si>
    <t>BEURRE</t>
  </si>
  <si>
    <t>OEUF</t>
  </si>
  <si>
    <t>FROMAGE</t>
  </si>
  <si>
    <t>PRODUITS DE LA FERME</t>
  </si>
  <si>
    <t>TOTAL PAR FERME</t>
  </si>
  <si>
    <t>ferme DUPUIS</t>
  </si>
  <si>
    <t>ferme ACHARD</t>
  </si>
  <si>
    <t>ferme DUBERNARD</t>
  </si>
  <si>
    <t>REGION DES SANS TERRE</t>
  </si>
  <si>
    <t>Europe</t>
  </si>
  <si>
    <t>France</t>
  </si>
  <si>
    <t>Italie</t>
  </si>
  <si>
    <t>Espagne</t>
  </si>
  <si>
    <t>Allemagne</t>
  </si>
  <si>
    <t>Total Europe</t>
  </si>
  <si>
    <t>february</t>
  </si>
  <si>
    <t>Total par pays</t>
  </si>
  <si>
    <t>CHIFFRE D'AFFAIRES POUR L'EUROPE ET L'AFRIQUE</t>
  </si>
  <si>
    <t>Maghreb</t>
  </si>
  <si>
    <t>Algerie</t>
  </si>
  <si>
    <t>Maroc</t>
  </si>
  <si>
    <t>Tunisie</t>
  </si>
  <si>
    <t>Total Afrique</t>
  </si>
  <si>
    <t>liaison interne</t>
  </si>
  <si>
    <t>liaison externe</t>
  </si>
  <si>
    <t>Reference externe simple</t>
  </si>
  <si>
    <t>nom defini externe</t>
  </si>
  <si>
    <t>ventes ASIE SUD EST</t>
  </si>
  <si>
    <t>Tri 1</t>
  </si>
  <si>
    <t>Tri 2</t>
  </si>
  <si>
    <t>Tri 3</t>
  </si>
  <si>
    <t>Tri 4</t>
  </si>
  <si>
    <t xml:space="preserve">Produit </t>
  </si>
  <si>
    <t>Nombre de ventes</t>
  </si>
  <si>
    <t>Salade</t>
  </si>
  <si>
    <t>Sandwich</t>
  </si>
  <si>
    <t>Dessert</t>
  </si>
  <si>
    <t>Boissons</t>
  </si>
  <si>
    <t>Soupes</t>
  </si>
  <si>
    <t>Temps</t>
  </si>
  <si>
    <t>Temperature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</si>
  <si>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</si>
  <si>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</si>
  <si>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</si>
  <si>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</si>
  <si>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</si>
  <si>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</si>
  <si>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</si>
  <si>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</si>
  <si>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</si>
  <si>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</si>
  <si>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Nombre de produits </t>
  </si>
  <si>
    <t>ventes</t>
  </si>
  <si>
    <t>Part de marche</t>
  </si>
  <si>
    <t>Trim 1</t>
  </si>
  <si>
    <t>Trim 2</t>
  </si>
  <si>
    <t>Prevu</t>
  </si>
  <si>
    <t>Real</t>
  </si>
  <si>
    <t>Vente concurent</t>
  </si>
  <si>
    <t>Evol</t>
  </si>
  <si>
    <t>Total ventes par famille de produits</t>
  </si>
  <si>
    <t>Lait entier</t>
  </si>
  <si>
    <t>Lait demi-ecreme</t>
  </si>
  <si>
    <t>Lait ecreme</t>
  </si>
  <si>
    <t>Beurre</t>
  </si>
  <si>
    <t>Fromage Blanc 0%</t>
  </si>
  <si>
    <t>Fromage Blanc</t>
  </si>
  <si>
    <t>Vente lait en litres</t>
  </si>
  <si>
    <t xml:space="preserve">Moyenne lait </t>
  </si>
  <si>
    <t>NOM</t>
  </si>
  <si>
    <t xml:space="preserve">Prenom </t>
  </si>
  <si>
    <t>CA 2020</t>
  </si>
  <si>
    <t>CA 2021</t>
  </si>
  <si>
    <t>Evolution 2020/2021</t>
  </si>
  <si>
    <t>Departement</t>
  </si>
  <si>
    <t>Note</t>
  </si>
  <si>
    <t>Comission</t>
  </si>
  <si>
    <t>DUPONT</t>
  </si>
  <si>
    <t>DENTER</t>
  </si>
  <si>
    <t>DHORA</t>
  </si>
  <si>
    <t>FENTAR</t>
  </si>
  <si>
    <t>GUYOT</t>
  </si>
  <si>
    <t>CARTER</t>
  </si>
  <si>
    <t>DULETIER</t>
  </si>
  <si>
    <t>Antoine</t>
  </si>
  <si>
    <t>Martine</t>
  </si>
  <si>
    <t>Alice</t>
  </si>
  <si>
    <t>Thomas</t>
  </si>
  <si>
    <t>Jean</t>
  </si>
  <si>
    <t>Charlotte</t>
  </si>
  <si>
    <t>DepartementsValides</t>
  </si>
  <si>
    <t>Ventes</t>
  </si>
  <si>
    <t>Marketing</t>
  </si>
  <si>
    <t>R&amp;D</t>
  </si>
  <si>
    <t>Direction</t>
  </si>
  <si>
    <t>Suppression de doublons DHORA</t>
  </si>
  <si>
    <t>Validation des donnees pour empecher les modifications</t>
  </si>
  <si>
    <t>Perfomances</t>
  </si>
  <si>
    <t>Faible</t>
  </si>
  <si>
    <t>Moyenne</t>
  </si>
  <si>
    <t>Elevee</t>
  </si>
  <si>
    <t>Couleur</t>
  </si>
  <si>
    <t>Trier et filtrer les listes</t>
  </si>
  <si>
    <t>Date naissance</t>
  </si>
  <si>
    <t>28/08/1982</t>
  </si>
  <si>
    <t>17/11/1964</t>
  </si>
  <si>
    <t>28/03/1970</t>
  </si>
  <si>
    <t>30/08/1986</t>
  </si>
  <si>
    <t>MARVINTER</t>
  </si>
  <si>
    <t>Leopard</t>
  </si>
  <si>
    <t>MITROU</t>
  </si>
  <si>
    <t>19/09/1993</t>
  </si>
  <si>
    <t>20/07/1991</t>
  </si>
  <si>
    <t>Region</t>
  </si>
  <si>
    <t>Mois</t>
  </si>
  <si>
    <t>Est</t>
  </si>
  <si>
    <t>Ouest</t>
  </si>
  <si>
    <t>Avril</t>
  </si>
  <si>
    <t>Total Mars</t>
  </si>
  <si>
    <t>Total Avril</t>
  </si>
  <si>
    <t>Total général</t>
  </si>
  <si>
    <t>Titre</t>
  </si>
  <si>
    <t>Representant</t>
  </si>
  <si>
    <t>Num Client</t>
  </si>
  <si>
    <t>Type enseignement</t>
  </si>
  <si>
    <t xml:space="preserve">Ville </t>
  </si>
  <si>
    <t>Qte ventes An</t>
  </si>
  <si>
    <t xml:space="preserve">Qte ventes An-1 </t>
  </si>
  <si>
    <t>CA An (k$)</t>
  </si>
  <si>
    <t>CA An-1(k$)</t>
  </si>
  <si>
    <t>MATHEMATIQUES AVANCES</t>
  </si>
  <si>
    <t>ANGLAIS DE A A Z</t>
  </si>
  <si>
    <t>GUIDES DES VINS</t>
  </si>
  <si>
    <t>LE DERNIER DUEL</t>
  </si>
  <si>
    <t>FICHES BAC</t>
  </si>
  <si>
    <t>DURAND</t>
  </si>
  <si>
    <t>PONTIER</t>
  </si>
  <si>
    <t>GMSS</t>
  </si>
  <si>
    <t>LIBRAIRIE</t>
  </si>
  <si>
    <t>GSS</t>
  </si>
  <si>
    <t>CARREFOUR MONTPARNASSE</t>
  </si>
  <si>
    <t>LECLERC ZI SUD</t>
  </si>
  <si>
    <t>SARL BOITE A LIRE</t>
  </si>
  <si>
    <t>INTERMARCHE ECUILY</t>
  </si>
  <si>
    <t>AU COIN DU FEU SARL</t>
  </si>
  <si>
    <t>LIVRE D'ART SARL</t>
  </si>
  <si>
    <t>SARL LE PETIT LIBRAIRE</t>
  </si>
  <si>
    <t>LIBRAIRIE DU PORT SARL</t>
  </si>
  <si>
    <t>FNAC RIVE GAUCHE</t>
  </si>
  <si>
    <t>DECITRE GARE</t>
  </si>
  <si>
    <t>INTERMARCHE ZI NORD</t>
  </si>
  <si>
    <t>FNAC PART-DIEU</t>
  </si>
  <si>
    <t>FNAC MONTPARNASSE</t>
  </si>
  <si>
    <t>PARIS</t>
  </si>
  <si>
    <t>BORDEAUX</t>
  </si>
  <si>
    <t>LYON</t>
  </si>
  <si>
    <t>MARSEILLE</t>
  </si>
  <si>
    <t>VERSAILLES</t>
  </si>
  <si>
    <t>LILLE</t>
  </si>
  <si>
    <t>Somme de CA An-1(k$)</t>
  </si>
  <si>
    <t>Somme de CA An (k$)</t>
  </si>
  <si>
    <t>Étiquettes de lignes</t>
  </si>
  <si>
    <t>(Tous)</t>
  </si>
  <si>
    <t>Nombre de Nom</t>
  </si>
  <si>
    <t>Somme de Qte ventes An</t>
  </si>
  <si>
    <t>Poids CA An (k$)</t>
  </si>
  <si>
    <t>Somme de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</si>
</sst>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#,##0.000"/>
    <numFmt numFmtId="165" formatCode="[$-F800]dddd\,\ mmmm\ dd\,\ yyyy"/>
    <numFmt numFmtId="166" formatCode="[$-409]mmmmm;@"/>
    <numFmt numFmtId="167" formatCode="&quot;$&quot;#,##0.00"/>
    <numFmt numFmtId="168" formatCode="0.000%"/>
    <numFmt numFmtId="169" formatCode="[$€-2]\ #,##0.00"/>
    <numFmt numFmtId="170" formatCode="yyyy\-mm\-dd;@"/>
    <numFmt numFmtId="171" formatCode="[$EUR]\ #,##0.00"/>
    <numFmt numFmtId="172" formatCode="[$-1240C]dd/mm/yyyy;@"/>
    <numFmt numFmtId="173" formatCode="_([$€-2]\ * #,##0.00_);_([$€-2]\ * \(#,##0.00\);_([$€-2]\ * &quot;-&quot;??_);_(@_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rgb="FF0066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4"/>
      <color rgb="FF00CCFF"/>
      <name val="Calibri"/>
      <family val="2"/>
      <scheme val="minor"/>
    </font>
    <font>
      <sz val="16"/>
      <color rgb="FF00CC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CC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2"/>
      <color rgb="FF00CCFF"/>
      <name val="Calibri"/>
      <family val="2"/>
      <scheme val="minor"/>
    </font>
    <font>
      <b/>
      <sz val="16"/>
      <color rgb="FF00CCFF"/>
      <name val="Calibri"/>
      <family val="2"/>
      <scheme val="minor"/>
    </font>
    <font>
      <b/>
      <sz val="20"/>
      <color rgb="FF00CCF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66FFFF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2060"/>
        <bgColor indexed="64"/>
      </patternFill>
    </fill>
  </fills>
  <borders count="10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CCFF"/>
      </left>
      <right style="thin">
        <color rgb="FF00CCFF"/>
      </right>
      <top style="thin">
        <color rgb="FF00CCFF"/>
      </top>
      <bottom style="thin">
        <color rgb="FF00CCFF"/>
      </bottom>
      <diagonal/>
    </border>
    <border>
      <left style="medium">
        <color rgb="FF00CCFF"/>
      </left>
      <right style="thin">
        <color rgb="FF00CCFF"/>
      </right>
      <top style="medium">
        <color rgb="FF00CCFF"/>
      </top>
      <bottom style="thin">
        <color rgb="FF00CCFF"/>
      </bottom>
      <diagonal/>
    </border>
    <border>
      <left style="thin">
        <color rgb="FF00CCFF"/>
      </left>
      <right style="thin">
        <color rgb="FF00CCFF"/>
      </right>
      <top style="medium">
        <color rgb="FF00CCFF"/>
      </top>
      <bottom style="thin">
        <color rgb="FF00CCFF"/>
      </bottom>
      <diagonal/>
    </border>
    <border>
      <left style="thin">
        <color rgb="FF00CCFF"/>
      </left>
      <right style="medium">
        <color rgb="FF00CCFF"/>
      </right>
      <top style="medium">
        <color rgb="FF00CCFF"/>
      </top>
      <bottom style="thin">
        <color rgb="FF00CCFF"/>
      </bottom>
      <diagonal/>
    </border>
    <border>
      <left style="medium">
        <color rgb="FF00CCFF"/>
      </left>
      <right style="thin">
        <color rgb="FF00CCFF"/>
      </right>
      <top style="thin">
        <color rgb="FF00CCFF"/>
      </top>
      <bottom style="thin">
        <color rgb="FF00CCFF"/>
      </bottom>
      <diagonal/>
    </border>
    <border>
      <left style="thin">
        <color rgb="FF00CCFF"/>
      </left>
      <right style="medium">
        <color rgb="FF00CCFF"/>
      </right>
      <top style="thin">
        <color rgb="FF00CCFF"/>
      </top>
      <bottom style="thin">
        <color rgb="FF00CCFF"/>
      </bottom>
      <diagonal/>
    </border>
    <border>
      <left style="medium">
        <color rgb="FF00CCFF"/>
      </left>
      <right style="thin">
        <color rgb="FF00CCFF"/>
      </right>
      <top style="thin">
        <color rgb="FF00CCFF"/>
      </top>
      <bottom style="medium">
        <color rgb="FF00CCFF"/>
      </bottom>
      <diagonal/>
    </border>
    <border>
      <left style="thin">
        <color rgb="FF00CCFF"/>
      </left>
      <right style="thin">
        <color rgb="FF00CCFF"/>
      </right>
      <top style="thin">
        <color rgb="FF00CCFF"/>
      </top>
      <bottom style="medium">
        <color rgb="FF00CCFF"/>
      </bottom>
      <diagonal/>
    </border>
    <border>
      <left/>
      <right/>
      <top style="medium">
        <color rgb="FF00CCFF"/>
      </top>
      <bottom/>
      <diagonal/>
    </border>
    <border>
      <left style="medium">
        <color rgb="FF006600"/>
      </left>
      <right style="medium">
        <color rgb="FF006600"/>
      </right>
      <top style="medium">
        <color rgb="FF006600"/>
      </top>
      <bottom style="medium">
        <color rgb="FF0066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CCFF"/>
      </right>
      <top style="medium">
        <color rgb="FF00CCFF"/>
      </top>
      <bottom/>
      <diagonal/>
    </border>
    <border>
      <left style="medium">
        <color rgb="FF00CCFF"/>
      </left>
      <right/>
      <top/>
      <bottom/>
      <diagonal/>
    </border>
    <border>
      <left/>
      <right style="medium">
        <color rgb="FF00CCFF"/>
      </right>
      <top/>
      <bottom/>
      <diagonal/>
    </border>
    <border>
      <left style="medium">
        <color rgb="FF00CCFF"/>
      </left>
      <right/>
      <top/>
      <bottom style="medium">
        <color rgb="FF00CCFF"/>
      </bottom>
      <diagonal/>
    </border>
    <border>
      <left/>
      <right/>
      <top/>
      <bottom style="medium">
        <color rgb="FF00CCFF"/>
      </bottom>
      <diagonal/>
    </border>
    <border>
      <left style="medium">
        <color rgb="FF00CCFF"/>
      </left>
      <right style="thin">
        <color rgb="FF7030A0"/>
      </right>
      <top style="medium">
        <color rgb="FF00CCFF"/>
      </top>
      <bottom/>
      <diagonal/>
    </border>
    <border>
      <left style="thin">
        <color rgb="FF7030A0"/>
      </left>
      <right style="thin">
        <color rgb="FF7030A0"/>
      </right>
      <top style="medium">
        <color rgb="FF00CCFF"/>
      </top>
      <bottom/>
      <diagonal/>
    </border>
    <border>
      <left style="thin">
        <color rgb="FF7030A0"/>
      </left>
      <right style="medium">
        <color rgb="FF00CCFF"/>
      </right>
      <top style="medium">
        <color rgb="FF00CCFF"/>
      </top>
      <bottom/>
      <diagonal/>
    </border>
    <border>
      <left style="medium">
        <color rgb="FF00CCFF"/>
      </left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medium">
        <color rgb="FF00CCFF"/>
      </right>
      <top/>
      <bottom/>
      <diagonal/>
    </border>
    <border>
      <left style="medium">
        <color rgb="FF00CCFF"/>
      </left>
      <right style="thin">
        <color rgb="FF7030A0"/>
      </right>
      <top/>
      <bottom style="medium">
        <color rgb="FF00CCFF"/>
      </bottom>
      <diagonal/>
    </border>
    <border>
      <left style="thin">
        <color rgb="FF7030A0"/>
      </left>
      <right style="thin">
        <color rgb="FF7030A0"/>
      </right>
      <top/>
      <bottom style="medium">
        <color rgb="FF00CCFF"/>
      </bottom>
      <diagonal/>
    </border>
    <border>
      <left style="thin">
        <color rgb="FF7030A0"/>
      </left>
      <right style="medium">
        <color rgb="FF00CCFF"/>
      </right>
      <top/>
      <bottom style="medium">
        <color rgb="FF00C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rgb="FF00B050"/>
      </right>
      <top style="medium">
        <color theme="9" tint="-0.249977111117893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theme="9" tint="-0.249977111117893"/>
      </top>
      <bottom style="thin">
        <color rgb="FF00B050"/>
      </bottom>
      <diagonal/>
    </border>
    <border>
      <left style="thin">
        <color rgb="FF00B050"/>
      </left>
      <right style="medium">
        <color theme="9" tint="-0.249977111117893"/>
      </right>
      <top style="medium">
        <color theme="9" tint="-0.249977111117893"/>
      </top>
      <bottom style="thin">
        <color rgb="FF00B050"/>
      </bottom>
      <diagonal/>
    </border>
    <border>
      <left style="medium">
        <color theme="9" tint="-0.249977111117893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theme="9" tint="-0.249977111117893"/>
      </right>
      <top style="thin">
        <color rgb="FF00B050"/>
      </top>
      <bottom style="thin">
        <color rgb="FF00B050"/>
      </bottom>
      <diagonal/>
    </border>
    <border>
      <left style="medium">
        <color theme="9" tint="-0.249977111117893"/>
      </left>
      <right style="thin">
        <color rgb="FF00B050"/>
      </right>
      <top style="thin">
        <color rgb="FF00B050"/>
      </top>
      <bottom style="medium">
        <color theme="9" tint="-0.249977111117893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theme="9" tint="-0.249977111117893"/>
      </bottom>
      <diagonal/>
    </border>
    <border>
      <left style="thin">
        <color rgb="FF00B050"/>
      </left>
      <right style="medium">
        <color theme="9" tint="-0.249977111117893"/>
      </right>
      <top style="thin">
        <color rgb="FF00B050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rgb="FF00B050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rgb="FF00B050"/>
      </left>
      <right style="thin">
        <color rgb="FF00B050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rgb="FF00B050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/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7030A0"/>
      </right>
      <top style="thin">
        <color rgb="FFFFC000"/>
      </top>
      <bottom style="thin">
        <color rgb="FFFFC000"/>
      </bottom>
      <diagonal/>
    </border>
    <border>
      <left style="medium">
        <color rgb="FF7030A0"/>
      </left>
      <right style="thin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medium">
        <color rgb="FF7030A0"/>
      </bottom>
      <diagonal/>
    </border>
    <border>
      <left style="medium">
        <color rgb="FF7030A0"/>
      </left>
      <right style="thin">
        <color rgb="FFFFC000"/>
      </right>
      <top style="medium">
        <color rgb="FF7030A0"/>
      </top>
      <bottom style="medium">
        <color rgb="FFFFC000"/>
      </bottom>
      <diagonal/>
    </border>
    <border>
      <left style="thin">
        <color rgb="FFFFC000"/>
      </left>
      <right style="thin">
        <color rgb="FFFFC000"/>
      </right>
      <top style="medium">
        <color rgb="FF7030A0"/>
      </top>
      <bottom style="thin">
        <color rgb="FFFFC000"/>
      </bottom>
      <diagonal/>
    </border>
    <border>
      <left style="thin">
        <color rgb="FFFFC000"/>
      </left>
      <right style="medium">
        <color rgb="FF7030A0"/>
      </right>
      <top style="medium">
        <color rgb="FF7030A0"/>
      </top>
      <bottom style="thin">
        <color rgb="FFFFC000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0">
    <xf numFmtId="0" fontId="0" fillId="0" borderId="0" xfId="0"/>
    <xf numFmtId="0" fontId="0" fillId="0" borderId="0" xfId="0" quotePrefix="1"/>
    <xf numFmtId="44" fontId="0" fillId="0" borderId="0" xfId="1" applyFont="1"/>
    <xf numFmtId="164" fontId="0" fillId="0" borderId="0" xfId="1" applyNumberFormat="1" applyFont="1"/>
    <xf numFmtId="14" fontId="0" fillId="0" borderId="0" xfId="0" applyNumberFormat="1"/>
    <xf numFmtId="165" fontId="0" fillId="0" borderId="0" xfId="0" applyNumberFormat="1"/>
    <xf numFmtId="11" fontId="0" fillId="0" borderId="0" xfId="0" applyNumberFormat="1"/>
    <xf numFmtId="49" fontId="0" fillId="0" borderId="0" xfId="0" applyNumberFormat="1"/>
    <xf numFmtId="165" fontId="0" fillId="0" borderId="0" xfId="0" quotePrefix="1" applyNumberFormat="1"/>
    <xf numFmtId="2" fontId="0" fillId="0" borderId="0" xfId="0" applyNumberFormat="1"/>
    <xf numFmtId="166" fontId="0" fillId="0" borderId="0" xfId="0" quotePrefix="1" applyNumberFormat="1"/>
    <xf numFmtId="165" fontId="3" fillId="0" borderId="0" xfId="0" quotePrefix="1" applyNumberFormat="1" applyFont="1"/>
    <xf numFmtId="0" fontId="3" fillId="0" borderId="0" xfId="0" applyFont="1"/>
    <xf numFmtId="9" fontId="0" fillId="0" borderId="0" xfId="0" applyNumberFormat="1"/>
    <xf numFmtId="0" fontId="5" fillId="0" borderId="0" xfId="0" applyFont="1"/>
    <xf numFmtId="9" fontId="0" fillId="0" borderId="0" xfId="2" applyFont="1"/>
    <xf numFmtId="0" fontId="0" fillId="0" borderId="0" xfId="2" applyNumberFormat="1" applyFont="1"/>
    <xf numFmtId="0" fontId="0" fillId="2" borderId="2" xfId="0" applyFill="1" applyBorder="1"/>
    <xf numFmtId="0" fontId="6" fillId="2" borderId="2" xfId="0" applyFont="1" applyFill="1" applyBorder="1" applyAlignment="1">
      <alignment wrapText="1"/>
    </xf>
    <xf numFmtId="0" fontId="7" fillId="3" borderId="3" xfId="0" applyFont="1" applyFill="1" applyBorder="1"/>
    <xf numFmtId="0" fontId="0" fillId="3" borderId="3" xfId="0" applyFill="1" applyBorder="1"/>
    <xf numFmtId="0" fontId="7" fillId="3" borderId="4" xfId="0" applyFont="1" applyFill="1" applyBorder="1"/>
    <xf numFmtId="0" fontId="0" fillId="3" borderId="4" xfId="0" applyFill="1" applyBorder="1"/>
    <xf numFmtId="0" fontId="7" fillId="4" borderId="3" xfId="0" applyFont="1" applyFill="1" applyBorder="1"/>
    <xf numFmtId="0" fontId="7" fillId="4" borderId="4" xfId="0" applyFont="1" applyFill="1" applyBorder="1"/>
    <xf numFmtId="0" fontId="4" fillId="4" borderId="3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0" fillId="4" borderId="0" xfId="0" applyFill="1"/>
    <xf numFmtId="0" fontId="4" fillId="5" borderId="5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7" borderId="6" xfId="0" applyFont="1" applyFill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167" fontId="0" fillId="6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4" xfId="0" applyFill="1" applyBorder="1" applyAlignment="1">
      <alignment vertical="center"/>
    </xf>
    <xf numFmtId="0" fontId="13" fillId="4" borderId="0" xfId="0" applyFont="1" applyFill="1"/>
    <xf numFmtId="168" fontId="0" fillId="6" borderId="7" xfId="2" applyNumberFormat="1" applyFont="1" applyFill="1" applyBorder="1" applyAlignment="1">
      <alignment vertical="center"/>
    </xf>
    <xf numFmtId="168" fontId="0" fillId="6" borderId="14" xfId="2" applyNumberFormat="1" applyFont="1" applyFill="1" applyBorder="1" applyAlignment="1">
      <alignment vertical="center"/>
    </xf>
    <xf numFmtId="168" fontId="0" fillId="6" borderId="12" xfId="2" applyNumberFormat="1" applyFont="1" applyFill="1" applyBorder="1" applyAlignment="1">
      <alignment vertical="center"/>
    </xf>
    <xf numFmtId="0" fontId="0" fillId="8" borderId="0" xfId="0" applyFill="1"/>
    <xf numFmtId="0" fontId="15" fillId="8" borderId="0" xfId="0" applyFont="1" applyFill="1"/>
    <xf numFmtId="0" fontId="9" fillId="0" borderId="0" xfId="0" applyFont="1" applyAlignment="1">
      <alignment horizontal="center" vertical="center"/>
    </xf>
    <xf numFmtId="0" fontId="0" fillId="9" borderId="0" xfId="0" applyFill="1"/>
    <xf numFmtId="14" fontId="0" fillId="0" borderId="0" xfId="0" applyNumberFormat="1" applyAlignment="1">
      <alignment horizontal="right" vertical="center"/>
    </xf>
    <xf numFmtId="0" fontId="16" fillId="0" borderId="16" xfId="0" applyFont="1" applyBorder="1"/>
    <xf numFmtId="0" fontId="0" fillId="9" borderId="19" xfId="0" applyFill="1" applyBorder="1"/>
    <xf numFmtId="0" fontId="0" fillId="9" borderId="21" xfId="0" applyFill="1" applyBorder="1"/>
    <xf numFmtId="0" fontId="0" fillId="9" borderId="24" xfId="0" applyFill="1" applyBorder="1"/>
    <xf numFmtId="0" fontId="0" fillId="8" borderId="18" xfId="0" applyFill="1" applyBorder="1"/>
    <xf numFmtId="0" fontId="0" fillId="8" borderId="23" xfId="0" applyFill="1" applyBorder="1"/>
    <xf numFmtId="0" fontId="17" fillId="8" borderId="17" xfId="0" applyFont="1" applyFill="1" applyBorder="1"/>
    <xf numFmtId="0" fontId="17" fillId="8" borderId="20" xfId="0" applyFont="1" applyFill="1" applyBorder="1"/>
    <xf numFmtId="0" fontId="17" fillId="8" borderId="22" xfId="0" applyFont="1" applyFill="1" applyBorder="1"/>
    <xf numFmtId="167" fontId="0" fillId="9" borderId="0" xfId="0" applyNumberFormat="1" applyFill="1"/>
    <xf numFmtId="0" fontId="9" fillId="0" borderId="0" xfId="0" applyFont="1" applyAlignment="1">
      <alignment horizontal="center" vertical="center" wrapText="1"/>
    </xf>
    <xf numFmtId="0" fontId="18" fillId="0" borderId="0" xfId="0" applyFont="1"/>
    <xf numFmtId="0" fontId="10" fillId="0" borderId="0" xfId="0" applyFont="1"/>
    <xf numFmtId="0" fontId="10" fillId="0" borderId="0" xfId="0" applyFont="1" applyAlignment="1">
      <alignment horizontal="right" vertical="center"/>
    </xf>
    <xf numFmtId="0" fontId="0" fillId="0" borderId="5" xfId="0" applyBorder="1"/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10" fontId="0" fillId="0" borderId="5" xfId="2" applyNumberFormat="1" applyFont="1" applyBorder="1"/>
    <xf numFmtId="168" fontId="0" fillId="0" borderId="5" xfId="0" applyNumberFormat="1" applyBorder="1"/>
    <xf numFmtId="0" fontId="12" fillId="10" borderId="5" xfId="0" applyFont="1" applyFill="1" applyBorder="1"/>
    <xf numFmtId="0" fontId="0" fillId="10" borderId="5" xfId="0" applyFill="1" applyBorder="1"/>
    <xf numFmtId="10" fontId="0" fillId="10" borderId="5" xfId="2" applyNumberFormat="1" applyFont="1" applyFill="1" applyBorder="1"/>
    <xf numFmtId="168" fontId="0" fillId="10" borderId="5" xfId="0" applyNumberFormat="1" applyFill="1" applyBorder="1"/>
    <xf numFmtId="168" fontId="8" fillId="11" borderId="5" xfId="0" applyNumberFormat="1" applyFont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6" xfId="0" applyBorder="1"/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12" borderId="0" xfId="0" applyFill="1"/>
    <xf numFmtId="0" fontId="10" fillId="0" borderId="0" xfId="0" applyFont="1" applyAlignment="1">
      <alignment wrapText="1"/>
    </xf>
    <xf numFmtId="10" fontId="0" fillId="12" borderId="0" xfId="0" applyNumberFormat="1" applyFill="1"/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167" fontId="0" fillId="0" borderId="6" xfId="0" applyNumberFormat="1" applyBorder="1"/>
    <xf numFmtId="167" fontId="0" fillId="0" borderId="31" xfId="0" applyNumberFormat="1" applyBorder="1"/>
    <xf numFmtId="169" fontId="0" fillId="0" borderId="29" xfId="0" applyNumberFormat="1" applyBorder="1"/>
    <xf numFmtId="0" fontId="10" fillId="0" borderId="0" xfId="0" applyFont="1" applyAlignment="1">
      <alignment horizontal="center" vertical="center"/>
    </xf>
    <xf numFmtId="10" fontId="0" fillId="0" borderId="19" xfId="0" applyNumberFormat="1" applyBorder="1"/>
    <xf numFmtId="9" fontId="0" fillId="0" borderId="6" xfId="0" applyNumberFormat="1" applyBorder="1"/>
    <xf numFmtId="0" fontId="9" fillId="0" borderId="6" xfId="0" applyFont="1" applyBorder="1" applyAlignment="1">
      <alignment horizontal="center" vertical="center"/>
    </xf>
    <xf numFmtId="0" fontId="9" fillId="0" borderId="17" xfId="0" applyFont="1" applyBorder="1"/>
    <xf numFmtId="0" fontId="0" fillId="0" borderId="32" xfId="0" applyBorder="1"/>
    <xf numFmtId="0" fontId="9" fillId="0" borderId="6" xfId="0" applyFont="1" applyBorder="1"/>
    <xf numFmtId="0" fontId="9" fillId="0" borderId="25" xfId="0" applyFont="1" applyBorder="1"/>
    <xf numFmtId="0" fontId="9" fillId="0" borderId="26" xfId="0" applyFont="1" applyBorder="1"/>
    <xf numFmtId="0" fontId="9" fillId="0" borderId="27" xfId="0" applyFont="1" applyBorder="1"/>
    <xf numFmtId="0" fontId="9" fillId="0" borderId="30" xfId="0" applyFont="1" applyBorder="1"/>
    <xf numFmtId="0" fontId="0" fillId="0" borderId="35" xfId="0" applyBorder="1"/>
    <xf numFmtId="22" fontId="0" fillId="0" borderId="0" xfId="0" applyNumberFormat="1"/>
    <xf numFmtId="0" fontId="4" fillId="0" borderId="32" xfId="0" applyFont="1" applyBorder="1" applyAlignment="1">
      <alignment wrapText="1"/>
    </xf>
    <xf numFmtId="0" fontId="23" fillId="0" borderId="6" xfId="0" applyFont="1" applyBorder="1"/>
    <xf numFmtId="0" fontId="24" fillId="0" borderId="0" xfId="0" applyFont="1"/>
    <xf numFmtId="10" fontId="24" fillId="0" borderId="0" xfId="0" applyNumberFormat="1" applyFont="1"/>
    <xf numFmtId="0" fontId="25" fillId="13" borderId="6" xfId="0" applyFont="1" applyFill="1" applyBorder="1" applyAlignment="1">
      <alignment horizontal="center" vertical="center" wrapText="1"/>
    </xf>
    <xf numFmtId="0" fontId="0" fillId="9" borderId="6" xfId="0" applyFill="1" applyBorder="1"/>
    <xf numFmtId="0" fontId="23" fillId="9" borderId="6" xfId="0" applyFont="1" applyFill="1" applyBorder="1"/>
    <xf numFmtId="0" fontId="31" fillId="0" borderId="0" xfId="0" applyFont="1"/>
    <xf numFmtId="0" fontId="29" fillId="0" borderId="0" xfId="0" applyFont="1"/>
    <xf numFmtId="0" fontId="0" fillId="0" borderId="37" xfId="0" applyBorder="1"/>
    <xf numFmtId="0" fontId="0" fillId="0" borderId="38" xfId="0" applyBorder="1"/>
    <xf numFmtId="0" fontId="0" fillId="0" borderId="27" xfId="0" applyBorder="1"/>
    <xf numFmtId="0" fontId="4" fillId="14" borderId="36" xfId="0" applyFont="1" applyFill="1" applyBorder="1" applyAlignment="1">
      <alignment horizontal="center" vertical="center"/>
    </xf>
    <xf numFmtId="0" fontId="4" fillId="14" borderId="25" xfId="0" applyFont="1" applyFill="1" applyBorder="1" applyAlignment="1">
      <alignment vertical="center"/>
    </xf>
    <xf numFmtId="0" fontId="4" fillId="14" borderId="26" xfId="0" applyFont="1" applyFill="1" applyBorder="1" applyAlignment="1">
      <alignment vertical="center"/>
    </xf>
    <xf numFmtId="10" fontId="0" fillId="0" borderId="6" xfId="0" applyNumberFormat="1" applyBorder="1"/>
    <xf numFmtId="2" fontId="0" fillId="9" borderId="6" xfId="0" applyNumberFormat="1" applyFill="1" applyBorder="1"/>
    <xf numFmtId="2" fontId="25" fillId="13" borderId="6" xfId="0" applyNumberFormat="1" applyFont="1" applyFill="1" applyBorder="1"/>
    <xf numFmtId="10" fontId="23" fillId="9" borderId="6" xfId="0" applyNumberFormat="1" applyFont="1" applyFill="1" applyBorder="1"/>
    <xf numFmtId="0" fontId="0" fillId="14" borderId="6" xfId="0" applyFill="1" applyBorder="1"/>
    <xf numFmtId="0" fontId="0" fillId="15" borderId="7" xfId="0" applyFill="1" applyBorder="1" applyAlignment="1">
      <alignment horizontal="right" vertical="center" wrapText="1"/>
    </xf>
    <xf numFmtId="0" fontId="4" fillId="0" borderId="7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/>
    <xf numFmtId="0" fontId="4" fillId="0" borderId="7" xfId="0" applyFont="1" applyBorder="1" applyAlignment="1">
      <alignment vertical="top" wrapText="1"/>
    </xf>
    <xf numFmtId="0" fontId="10" fillId="0" borderId="7" xfId="0" applyFont="1" applyBorder="1" applyAlignment="1">
      <alignment horizontal="left"/>
    </xf>
    <xf numFmtId="9" fontId="4" fillId="15" borderId="7" xfId="0" applyNumberFormat="1" applyFont="1" applyFill="1" applyBorder="1"/>
    <xf numFmtId="0" fontId="3" fillId="15" borderId="7" xfId="0" applyFont="1" applyFill="1" applyBorder="1" applyAlignment="1">
      <alignment horizontal="center" vertical="center" wrapText="1"/>
    </xf>
    <xf numFmtId="0" fontId="4" fillId="6" borderId="7" xfId="0" applyFont="1" applyFill="1" applyBorder="1"/>
    <xf numFmtId="0" fontId="10" fillId="15" borderId="43" xfId="0" applyFont="1" applyFill="1" applyBorder="1" applyAlignment="1">
      <alignment horizontal="center" vertical="center" wrapText="1"/>
    </xf>
    <xf numFmtId="0" fontId="4" fillId="15" borderId="44" xfId="0" applyFont="1" applyFill="1" applyBorder="1" applyAlignment="1">
      <alignment vertical="center" wrapText="1"/>
    </xf>
    <xf numFmtId="0" fontId="4" fillId="15" borderId="46" xfId="0" applyFont="1" applyFill="1" applyBorder="1" applyAlignment="1">
      <alignment vertical="center" wrapText="1"/>
    </xf>
    <xf numFmtId="0" fontId="0" fillId="6" borderId="0" xfId="0" applyFill="1"/>
    <xf numFmtId="0" fontId="0" fillId="6" borderId="45" xfId="0" applyFill="1" applyBorder="1"/>
    <xf numFmtId="0" fontId="0" fillId="6" borderId="47" xfId="0" applyFill="1" applyBorder="1"/>
    <xf numFmtId="0" fontId="10" fillId="15" borderId="48" xfId="0" applyFont="1" applyFill="1" applyBorder="1" applyAlignment="1">
      <alignment horizontal="center" vertical="center" wrapText="1"/>
    </xf>
    <xf numFmtId="0" fontId="10" fillId="15" borderId="49" xfId="0" applyFont="1" applyFill="1" applyBorder="1" applyAlignment="1">
      <alignment horizontal="center" vertical="center" wrapText="1"/>
    </xf>
    <xf numFmtId="0" fontId="10" fillId="15" borderId="50" xfId="0" applyFont="1" applyFill="1" applyBorder="1" applyAlignment="1">
      <alignment horizontal="center" vertical="center" wrapText="1"/>
    </xf>
    <xf numFmtId="0" fontId="0" fillId="4" borderId="51" xfId="0" applyFill="1" applyBorder="1"/>
    <xf numFmtId="0" fontId="0" fillId="4" borderId="52" xfId="0" applyFill="1" applyBorder="1"/>
    <xf numFmtId="0" fontId="0" fillId="4" borderId="53" xfId="0" applyFill="1" applyBorder="1"/>
    <xf numFmtId="0" fontId="0" fillId="4" borderId="54" xfId="0" applyFill="1" applyBorder="1"/>
    <xf numFmtId="0" fontId="0" fillId="4" borderId="55" xfId="0" applyFill="1" applyBorder="1"/>
    <xf numFmtId="0" fontId="0" fillId="4" borderId="56" xfId="0" applyFill="1" applyBorder="1"/>
    <xf numFmtId="0" fontId="26" fillId="16" borderId="6" xfId="0" applyFont="1" applyFill="1" applyBorder="1" applyAlignment="1">
      <alignment horizontal="center" vertical="center" wrapText="1"/>
    </xf>
    <xf numFmtId="14" fontId="0" fillId="0" borderId="6" xfId="0" applyNumberFormat="1" applyBorder="1"/>
    <xf numFmtId="0" fontId="26" fillId="16" borderId="57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4" xfId="0" applyBorder="1"/>
    <xf numFmtId="0" fontId="0" fillId="0" borderId="34" xfId="0" applyBorder="1" applyAlignment="1">
      <alignment horizontal="center"/>
    </xf>
    <xf numFmtId="0" fontId="21" fillId="14" borderId="6" xfId="0" applyFont="1" applyFill="1" applyBorder="1" applyAlignment="1">
      <alignment horizontal="center" vertical="center" wrapText="1"/>
    </xf>
    <xf numFmtId="170" fontId="0" fillId="0" borderId="32" xfId="0" applyNumberFormat="1" applyBorder="1"/>
    <xf numFmtId="170" fontId="0" fillId="0" borderId="34" xfId="0" applyNumberFormat="1" applyBorder="1"/>
    <xf numFmtId="170" fontId="0" fillId="0" borderId="6" xfId="0" applyNumberFormat="1" applyBorder="1"/>
    <xf numFmtId="0" fontId="0" fillId="11" borderId="0" xfId="0" applyFill="1"/>
    <xf numFmtId="0" fontId="9" fillId="12" borderId="0" xfId="0" applyFont="1" applyFill="1"/>
    <xf numFmtId="0" fontId="9" fillId="12" borderId="0" xfId="0" applyFont="1" applyFill="1" applyAlignment="1">
      <alignment horizontal="center" vertical="center"/>
    </xf>
    <xf numFmtId="0" fontId="9" fillId="12" borderId="58" xfId="0" applyFont="1" applyFill="1" applyBorder="1" applyAlignment="1">
      <alignment horizontal="center" vertical="center"/>
    </xf>
    <xf numFmtId="0" fontId="9" fillId="12" borderId="59" xfId="0" applyFont="1" applyFill="1" applyBorder="1" applyAlignment="1">
      <alignment horizontal="center" vertical="center"/>
    </xf>
    <xf numFmtId="0" fontId="35" fillId="0" borderId="60" xfId="0" applyFont="1" applyBorder="1"/>
    <xf numFmtId="0" fontId="0" fillId="0" borderId="61" xfId="0" applyBorder="1"/>
    <xf numFmtId="0" fontId="37" fillId="0" borderId="60" xfId="0" applyFont="1" applyBorder="1"/>
    <xf numFmtId="0" fontId="35" fillId="0" borderId="62" xfId="0" applyFont="1" applyBorder="1"/>
    <xf numFmtId="0" fontId="0" fillId="0" borderId="63" xfId="0" applyBorder="1"/>
    <xf numFmtId="0" fontId="38" fillId="0" borderId="0" xfId="0" applyFont="1"/>
    <xf numFmtId="0" fontId="0" fillId="0" borderId="64" xfId="0" applyBorder="1"/>
    <xf numFmtId="0" fontId="0" fillId="9" borderId="64" xfId="0" applyFill="1" applyBorder="1"/>
    <xf numFmtId="9" fontId="0" fillId="0" borderId="64" xfId="0" applyNumberFormat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9" borderId="69" xfId="0" applyFill="1" applyBorder="1"/>
    <xf numFmtId="0" fontId="0" fillId="9" borderId="71" xfId="0" applyFill="1" applyBorder="1"/>
    <xf numFmtId="0" fontId="0" fillId="0" borderId="72" xfId="0" applyBorder="1"/>
    <xf numFmtId="14" fontId="0" fillId="9" borderId="76" xfId="0" applyNumberFormat="1" applyFill="1" applyBorder="1"/>
    <xf numFmtId="171" fontId="0" fillId="9" borderId="70" xfId="0" applyNumberFormat="1" applyFill="1" applyBorder="1"/>
    <xf numFmtId="171" fontId="0" fillId="9" borderId="68" xfId="0" applyNumberFormat="1" applyFill="1" applyBorder="1"/>
    <xf numFmtId="171" fontId="0" fillId="9" borderId="73" xfId="0" applyNumberFormat="1" applyFill="1" applyBorder="1"/>
    <xf numFmtId="0" fontId="0" fillId="0" borderId="77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1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4" fillId="0" borderId="79" xfId="0" applyFont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/>
    </xf>
    <xf numFmtId="0" fontId="4" fillId="17" borderId="86" xfId="0" applyFont="1" applyFill="1" applyBorder="1" applyAlignment="1">
      <alignment horizontal="center" vertical="center" wrapText="1"/>
    </xf>
    <xf numFmtId="0" fontId="4" fillId="17" borderId="80" xfId="0" applyFont="1" applyFill="1" applyBorder="1" applyAlignment="1">
      <alignment horizontal="center" vertical="center" wrapText="1"/>
    </xf>
    <xf numFmtId="0" fontId="4" fillId="17" borderId="0" xfId="0" applyFont="1" applyFill="1"/>
    <xf numFmtId="0" fontId="9" fillId="0" borderId="33" xfId="0" applyFont="1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Alignment="1">
      <alignment wrapText="1"/>
    </xf>
    <xf numFmtId="0" fontId="9" fillId="0" borderId="2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1" xfId="0" applyBorder="1" applyAlignment="1">
      <alignment wrapText="1"/>
    </xf>
    <xf numFmtId="0" fontId="9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wrapText="1"/>
    </xf>
    <xf numFmtId="0" fontId="23" fillId="9" borderId="6" xfId="0" applyFont="1" applyFill="1" applyBorder="1" applyAlignment="1">
      <alignment wrapText="1"/>
    </xf>
    <xf numFmtId="0" fontId="4" fillId="15" borderId="7" xfId="0" applyFont="1" applyFill="1" applyBorder="1" applyAlignment="1">
      <alignment wrapText="1"/>
    </xf>
    <xf numFmtId="0" fontId="4" fillId="6" borderId="7" xfId="0" applyFont="1" applyFill="1" applyBorder="1" applyAlignment="1">
      <alignment wrapText="1"/>
    </xf>
    <xf numFmtId="0" fontId="0" fillId="4" borderId="52" xfId="0" applyFill="1" applyBorder="1" applyAlignment="1">
      <alignment wrapText="1"/>
    </xf>
    <xf numFmtId="0" fontId="0" fillId="4" borderId="55" xfId="0" applyFill="1" applyBorder="1" applyAlignment="1">
      <alignment wrapText="1"/>
    </xf>
    <xf numFmtId="170" fontId="0" fillId="0" borderId="32" xfId="0" applyNumberFormat="1" applyBorder="1" applyAlignment="1">
      <alignment wrapText="1"/>
    </xf>
    <xf numFmtId="170" fontId="0" fillId="0" borderId="34" xfId="0" applyNumberFormat="1" applyBorder="1" applyAlignment="1">
      <alignment wrapText="1"/>
    </xf>
    <xf numFmtId="2" fontId="0" fillId="0" borderId="6" xfId="0" applyNumberFormat="1" applyBorder="1" applyAlignment="1">
      <alignment wrapText="1"/>
    </xf>
    <xf numFmtId="0" fontId="0" fillId="9" borderId="0" xfId="0" applyFill="1" applyAlignment="1">
      <alignment wrapText="1"/>
    </xf>
    <xf numFmtId="14" fontId="0" fillId="9" borderId="65" xfId="0" applyNumberFormat="1" applyFill="1" applyBorder="1" applyAlignment="1">
      <alignment wrapText="1"/>
    </xf>
    <xf numFmtId="0" fontId="0" fillId="0" borderId="67" xfId="0" applyBorder="1" applyAlignment="1">
      <alignment wrapText="1"/>
    </xf>
    <xf numFmtId="171" fontId="0" fillId="9" borderId="64" xfId="0" applyNumberFormat="1" applyFill="1" applyBorder="1" applyAlignment="1">
      <alignment wrapText="1"/>
    </xf>
    <xf numFmtId="0" fontId="0" fillId="0" borderId="66" xfId="0" applyBorder="1" applyAlignment="1">
      <alignment wrapText="1"/>
    </xf>
    <xf numFmtId="0" fontId="0" fillId="0" borderId="69" xfId="0" applyBorder="1" applyAlignment="1">
      <alignment wrapText="1"/>
    </xf>
    <xf numFmtId="0" fontId="0" fillId="0" borderId="71" xfId="0" applyBorder="1" applyAlignment="1">
      <alignment wrapText="1"/>
    </xf>
    <xf numFmtId="0" fontId="9" fillId="12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wrapText="1"/>
    </xf>
    <xf numFmtId="0" fontId="0" fillId="0" borderId="77" xfId="0" applyBorder="1" applyAlignment="1">
      <alignment wrapText="1"/>
    </xf>
    <xf numFmtId="0" fontId="0" fillId="0" borderId="84" xfId="0" applyBorder="1" applyAlignment="1">
      <alignment wrapText="1"/>
    </xf>
    <xf numFmtId="0" fontId="4" fillId="0" borderId="77" xfId="0" applyFont="1" applyBorder="1" applyAlignment="1">
      <alignment horizontal="center" vertical="center" wrapText="1"/>
    </xf>
    <xf numFmtId="0" fontId="0" fillId="0" borderId="32" xfId="0" applyBorder="1" applyAlignment="1">
      <alignment wrapText="1"/>
    </xf>
    <xf numFmtId="0" fontId="0" fillId="0" borderId="90" xfId="0" applyBorder="1"/>
    <xf numFmtId="172" fontId="0" fillId="0" borderId="32" xfId="0" applyNumberFormat="1" applyBorder="1" applyAlignment="1">
      <alignment horizontal="right"/>
    </xf>
    <xf numFmtId="172" fontId="0" fillId="0" borderId="89" xfId="0" applyNumberFormat="1" applyBorder="1"/>
    <xf numFmtId="0" fontId="0" fillId="19" borderId="0" xfId="0" applyFill="1"/>
    <xf numFmtId="173" fontId="0" fillId="19" borderId="0" xfId="0" applyNumberFormat="1" applyFill="1"/>
    <xf numFmtId="0" fontId="0" fillId="20" borderId="0" xfId="0" applyFill="1"/>
    <xf numFmtId="173" fontId="0" fillId="20" borderId="0" xfId="0" applyNumberFormat="1" applyFill="1"/>
    <xf numFmtId="0" fontId="41" fillId="18" borderId="0" xfId="0" applyFont="1" applyFill="1" applyAlignment="1">
      <alignment horizontal="center" vertical="center" wrapText="1"/>
    </xf>
    <xf numFmtId="0" fontId="41" fillId="18" borderId="0" xfId="0" applyFont="1" applyFill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43" fillId="0" borderId="97" xfId="0" applyFont="1" applyBorder="1"/>
    <xf numFmtId="0" fontId="42" fillId="0" borderId="97" xfId="0" applyFont="1" applyBorder="1" applyAlignment="1">
      <alignment horizontal="center" vertical="center"/>
    </xf>
    <xf numFmtId="0" fontId="43" fillId="19" borderId="91" xfId="0" applyFont="1" applyFill="1" applyBorder="1" applyAlignment="1">
      <alignment horizontal="center" vertical="center"/>
    </xf>
    <xf numFmtId="0" fontId="42" fillId="14" borderId="97" xfId="0" applyFont="1" applyFill="1" applyBorder="1" applyAlignment="1">
      <alignment horizontal="center" vertical="center"/>
    </xf>
    <xf numFmtId="0" fontId="0" fillId="14" borderId="95" xfId="0" applyFill="1" applyBorder="1"/>
    <xf numFmtId="0" fontId="0" fillId="20" borderId="98" xfId="0" applyFill="1" applyBorder="1"/>
    <xf numFmtId="0" fontId="0" fillId="20" borderId="96" xfId="0" applyFill="1" applyBorder="1"/>
    <xf numFmtId="0" fontId="43" fillId="0" borderId="99" xfId="0" applyFont="1" applyBorder="1"/>
    <xf numFmtId="0" fontId="0" fillId="0" borderId="100" xfId="0" applyBorder="1"/>
    <xf numFmtId="0" fontId="0" fillId="0" borderId="101" xfId="0" applyBorder="1"/>
    <xf numFmtId="0" fontId="45" fillId="19" borderId="92" xfId="0" applyFont="1" applyFill="1" applyBorder="1" applyAlignment="1">
      <alignment horizontal="center" vertical="center" wrapText="1"/>
    </xf>
    <xf numFmtId="0" fontId="45" fillId="19" borderId="93" xfId="0" applyFont="1" applyFill="1" applyBorder="1" applyAlignment="1">
      <alignment horizontal="center" vertical="center"/>
    </xf>
    <xf numFmtId="173" fontId="0" fillId="0" borderId="0" xfId="1" applyNumberFormat="1" applyFont="1"/>
    <xf numFmtId="0" fontId="4" fillId="0" borderId="6" xfId="0" applyFont="1" applyBorder="1"/>
    <xf numFmtId="0" fontId="4" fillId="0" borderId="6" xfId="0" applyFont="1" applyBorder="1" applyAlignment="1">
      <alignment vertical="center"/>
    </xf>
    <xf numFmtId="0" fontId="0" fillId="0" borderId="58" xfId="0" applyBorder="1"/>
    <xf numFmtId="0" fontId="0" fillId="0" borderId="102" xfId="0" applyBorder="1"/>
    <xf numFmtId="0" fontId="0" fillId="11" borderId="6" xfId="0" applyFill="1" applyBorder="1"/>
    <xf numFmtId="0" fontId="0" fillId="12" borderId="6" xfId="0" applyFill="1" applyBorder="1"/>
    <xf numFmtId="0" fontId="0" fillId="18" borderId="6" xfId="0" applyFill="1" applyBorder="1"/>
    <xf numFmtId="14" fontId="0" fillId="0" borderId="6" xfId="0" applyNumberFormat="1" applyBorder="1" applyAlignment="1">
      <alignment horizontal="left" indent="2"/>
    </xf>
    <xf numFmtId="49" fontId="0" fillId="0" borderId="6" xfId="0" applyNumberFormat="1" applyBorder="1"/>
    <xf numFmtId="0" fontId="8" fillId="21" borderId="6" xfId="0" applyFont="1" applyFill="1" applyBorder="1"/>
    <xf numFmtId="0" fontId="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16" fontId="0" fillId="0" borderId="0" xfId="0" applyNumberFormat="1"/>
    <xf numFmtId="0" fontId="0" fillId="0" borderId="1" xfId="0" applyBorder="1" applyAlignment="1">
      <alignment horizontal="center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/>
    <xf numFmtId="0" fontId="4" fillId="4" borderId="0" xfId="0" applyFont="1" applyFill="1"/>
    <xf numFmtId="0" fontId="4" fillId="5" borderId="0" xfId="0" applyFont="1" applyFill="1"/>
    <xf numFmtId="0" fontId="14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15" xfId="0" applyFont="1" applyFill="1" applyBorder="1"/>
    <xf numFmtId="0" fontId="0" fillId="4" borderId="15" xfId="0" applyFill="1" applyBorder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" fillId="1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/>
    </xf>
    <xf numFmtId="0" fontId="39" fillId="17" borderId="0" xfId="0" applyFont="1" applyFill="1" applyAlignment="1">
      <alignment horizontal="center"/>
    </xf>
    <xf numFmtId="0" fontId="0" fillId="0" borderId="78" xfId="0" applyBorder="1" applyAlignment="1">
      <alignment horizontal="center"/>
    </xf>
    <xf numFmtId="0" fontId="0" fillId="0" borderId="80" xfId="0" applyBorder="1" applyAlignment="1">
      <alignment horizontal="center"/>
    </xf>
    <xf numFmtId="0" fontId="4" fillId="17" borderId="57" xfId="0" applyFont="1" applyFill="1" applyBorder="1" applyAlignment="1">
      <alignment horizontal="center"/>
    </xf>
    <xf numFmtId="0" fontId="4" fillId="17" borderId="87" xfId="0" applyFont="1" applyFill="1" applyBorder="1" applyAlignment="1">
      <alignment horizontal="center"/>
    </xf>
    <xf numFmtId="0" fontId="4" fillId="17" borderId="88" xfId="0" applyFont="1" applyFill="1" applyBorder="1" applyAlignment="1">
      <alignment horizontal="center"/>
    </xf>
    <xf numFmtId="0" fontId="38" fillId="0" borderId="0" xfId="0" applyFont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7" fillId="13" borderId="0" xfId="0" applyFont="1" applyFill="1" applyAlignment="1">
      <alignment horizontal="center"/>
    </xf>
    <xf numFmtId="0" fontId="23" fillId="9" borderId="6" xfId="0" applyFont="1" applyFill="1" applyBorder="1"/>
    <xf numFmtId="0" fontId="23" fillId="9" borderId="6" xfId="0" applyFont="1" applyFill="1" applyBorder="1" applyAlignment="1">
      <alignment horizontal="center" vertical="center"/>
    </xf>
    <xf numFmtId="0" fontId="4" fillId="14" borderId="39" xfId="0" applyFont="1" applyFill="1" applyBorder="1" applyAlignment="1">
      <alignment horizontal="center" vertical="center"/>
    </xf>
    <xf numFmtId="0" fontId="4" fillId="14" borderId="40" xfId="0" applyFont="1" applyFill="1" applyBorder="1" applyAlignment="1">
      <alignment horizontal="center" vertical="center"/>
    </xf>
    <xf numFmtId="0" fontId="4" fillId="14" borderId="41" xfId="0" applyFont="1" applyFill="1" applyBorder="1" applyAlignment="1">
      <alignment horizontal="center" vertical="center"/>
    </xf>
    <xf numFmtId="0" fontId="0" fillId="14" borderId="42" xfId="0" applyFill="1" applyBorder="1" applyAlignment="1">
      <alignment horizontal="center"/>
    </xf>
    <xf numFmtId="0" fontId="0" fillId="14" borderId="33" xfId="0" applyFill="1" applyBorder="1" applyAlignment="1">
      <alignment horizontal="center"/>
    </xf>
    <xf numFmtId="0" fontId="0" fillId="14" borderId="42" xfId="0" applyFill="1" applyBorder="1" applyAlignment="1">
      <alignment horizontal="center" vertical="center" wrapText="1"/>
    </xf>
    <xf numFmtId="0" fontId="0" fillId="14" borderId="33" xfId="0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1" fillId="14" borderId="6" xfId="0" applyFont="1" applyFill="1" applyBorder="1" applyAlignment="1">
      <alignment horizontal="center" vertical="center"/>
    </xf>
    <xf numFmtId="0" fontId="33" fillId="0" borderId="0" xfId="0" applyFont="1" applyAlignment="1">
      <alignment horizontal="center"/>
    </xf>
    <xf numFmtId="0" fontId="32" fillId="0" borderId="0" xfId="0" applyFont="1" applyAlignment="1">
      <alignment horizontal="center" wrapText="1"/>
    </xf>
    <xf numFmtId="0" fontId="4" fillId="15" borderId="0" xfId="0" applyFont="1" applyFill="1" applyAlignment="1">
      <alignment horizontal="center" vertical="top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4" fillId="14" borderId="0" xfId="0" applyFont="1" applyFill="1" applyAlignment="1">
      <alignment vertical="center"/>
    </xf>
    <xf numFmtId="0" fontId="26" fillId="16" borderId="6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3">
    <cellStyle name="Monétaire" xfId="1" builtinId="4"/>
    <cellStyle name="Normal" xfId="0" builtinId="0"/>
    <cellStyle name="Pourcentage" xfId="2" builtinId="5"/>
  </cellStyles>
  <dxfs count="6">
    <dxf>
      <font>
        <u val="none"/>
      </font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6600"/>
      <color rgb="FF00FFFF"/>
      <color rgb="FF663300"/>
      <color rgb="FF00CCFF"/>
      <color rgb="FFFF5050"/>
      <color rgb="FF66FF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gaphiques!$A$4</c:f>
              <c:strCache>
                <c:ptCount val="1"/>
                <c:pt idx="0">
                  <c:v>Produit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gaphiques!$B$4:$E$4</c:f>
              <c:numCache>
                <c:formatCode>General</c:formatCode>
                <c:ptCount val="4"/>
                <c:pt idx="0">
                  <c:v>27000</c:v>
                </c:pt>
                <c:pt idx="1">
                  <c:v>68290</c:v>
                </c:pt>
                <c:pt idx="2">
                  <c:v>28300</c:v>
                </c:pt>
                <c:pt idx="3">
                  <c:v>9203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8-4B9A-896C-E540DC3230E5}"/>
            </c:ext>
          </c:extLst>
        </c:ser>
        <c:ser>
          <c:idx val="1"/>
          <c:order val="1"/>
          <c:tx>
            <c:strRef>
              <c:f>gaphiques!$A$5</c:f>
              <c:strCache>
                <c:ptCount val="1"/>
                <c:pt idx="0">
                  <c:v>Produit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gaphiques!$B$5:$E$5</c:f>
              <c:numCache>
                <c:formatCode>General</c:formatCode>
                <c:ptCount val="4"/>
                <c:pt idx="0">
                  <c:v>32193</c:v>
                </c:pt>
                <c:pt idx="1">
                  <c:v>17265</c:v>
                </c:pt>
                <c:pt idx="2">
                  <c:v>8725</c:v>
                </c:pt>
                <c:pt idx="3">
                  <c:v>19286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58-4B9A-896C-E540DC3230E5}"/>
            </c:ext>
          </c:extLst>
        </c:ser>
        <c:ser>
          <c:idx val="2"/>
          <c:order val="2"/>
          <c:tx>
            <c:strRef>
              <c:f>gaphiques!$A$6</c:f>
              <c:strCache>
                <c:ptCount val="1"/>
                <c:pt idx="0">
                  <c:v>Produit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gaphiques!$B$6:$E$6</c:f>
              <c:numCache>
                <c:formatCode>General</c:formatCode>
                <c:ptCount val="4"/>
                <c:pt idx="0">
                  <c:v>82635</c:v>
                </c:pt>
                <c:pt idx="1">
                  <c:v>52738</c:v>
                </c:pt>
                <c:pt idx="2">
                  <c:v>61528</c:v>
                </c:pt>
                <c:pt idx="3">
                  <c:v>91726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58-4B9A-896C-E540DC323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5033200"/>
        <c:axId val="385032720"/>
      </c:barChart>
      <c:catAx>
        <c:axId val="38503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032720"/>
        <c:crosses val="autoZero"/>
        <c:auto val="1"/>
        <c:lblAlgn val="ctr"/>
        <c:lblOffset val="100"/>
        <c:noMultiLvlLbl val="0"/>
      </c:catAx>
      <c:valAx>
        <c:axId val="38503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03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872900262467194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gaphiques!$A$4</c:f>
              <c:strCache>
                <c:ptCount val="1"/>
                <c:pt idx="0">
                  <c:v>Produit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gaphiques!$B$4:$E$4</c:f>
              <c:numCache>
                <c:formatCode>General</c:formatCode>
                <c:ptCount val="4"/>
                <c:pt idx="0">
                  <c:v>27000</c:v>
                </c:pt>
                <c:pt idx="1">
                  <c:v>68290</c:v>
                </c:pt>
                <c:pt idx="2">
                  <c:v>28300</c:v>
                </c:pt>
                <c:pt idx="3">
                  <c:v>9203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0-44FC-AB24-6C749C08024A}"/>
            </c:ext>
          </c:extLst>
        </c:ser>
        <c:ser>
          <c:idx val="1"/>
          <c:order val="1"/>
          <c:tx>
            <c:strRef>
              <c:f>gaphiques!$A$5</c:f>
              <c:strCache>
                <c:ptCount val="1"/>
                <c:pt idx="0">
                  <c:v>Produit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gaphiques!$B$5:$E$5</c:f>
              <c:numCache>
                <c:formatCode>General</c:formatCode>
                <c:ptCount val="4"/>
                <c:pt idx="0">
                  <c:v>32193</c:v>
                </c:pt>
                <c:pt idx="1">
                  <c:v>17265</c:v>
                </c:pt>
                <c:pt idx="2">
                  <c:v>8725</c:v>
                </c:pt>
                <c:pt idx="3">
                  <c:v>19286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30-44FC-AB24-6C749C08024A}"/>
            </c:ext>
          </c:extLst>
        </c:ser>
        <c:ser>
          <c:idx val="2"/>
          <c:order val="2"/>
          <c:tx>
            <c:strRef>
              <c:f>gaphiques!$A$6</c:f>
              <c:strCache>
                <c:ptCount val="1"/>
                <c:pt idx="0">
                  <c:v>Produit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gaphiques!$B$6:$E$6</c:f>
              <c:numCache>
                <c:formatCode>General</c:formatCode>
                <c:ptCount val="4"/>
                <c:pt idx="0">
                  <c:v>82635</c:v>
                </c:pt>
                <c:pt idx="1">
                  <c:v>52738</c:v>
                </c:pt>
                <c:pt idx="2">
                  <c:v>61528</c:v>
                </c:pt>
                <c:pt idx="3">
                  <c:v>91726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30-44FC-AB24-6C749C080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5020240"/>
        <c:axId val="385020720"/>
        <c:axId val="0"/>
      </c:bar3DChart>
      <c:catAx>
        <c:axId val="38502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020720"/>
        <c:crosses val="autoZero"/>
        <c:auto val="1"/>
        <c:lblAlgn val="ctr"/>
        <c:lblOffset val="100"/>
        <c:noMultiLvlLbl val="0"/>
      </c:catAx>
      <c:valAx>
        <c:axId val="3850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02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gaphiques!$A$4</c:f>
              <c:strCache>
                <c:ptCount val="1"/>
                <c:pt idx="0">
                  <c:v>Produit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gaphiques!$B$4:$E$4</c:f>
              <c:numCache>
                <c:formatCode>General</c:formatCode>
                <c:ptCount val="4"/>
                <c:pt idx="0">
                  <c:v>27000</c:v>
                </c:pt>
                <c:pt idx="1">
                  <c:v>68290</c:v>
                </c:pt>
                <c:pt idx="2">
                  <c:v>28300</c:v>
                </c:pt>
                <c:pt idx="3">
                  <c:v>9203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71-4DFA-902F-44731907CCF7}"/>
            </c:ext>
          </c:extLst>
        </c:ser>
        <c:ser>
          <c:idx val="1"/>
          <c:order val="1"/>
          <c:tx>
            <c:strRef>
              <c:f>gaphiques!$A$5</c:f>
              <c:strCache>
                <c:ptCount val="1"/>
                <c:pt idx="0">
                  <c:v>Produit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gaphiques!$B$5:$E$5</c:f>
              <c:numCache>
                <c:formatCode>General</c:formatCode>
                <c:ptCount val="4"/>
                <c:pt idx="0">
                  <c:v>32193</c:v>
                </c:pt>
                <c:pt idx="1">
                  <c:v>17265</c:v>
                </c:pt>
                <c:pt idx="2">
                  <c:v>8725</c:v>
                </c:pt>
                <c:pt idx="3">
                  <c:v>19286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71-4DFA-902F-44731907CCF7}"/>
            </c:ext>
          </c:extLst>
        </c:ser>
        <c:ser>
          <c:idx val="2"/>
          <c:order val="2"/>
          <c:tx>
            <c:strRef>
              <c:f>gaphiques!$A$6</c:f>
              <c:strCache>
                <c:ptCount val="1"/>
                <c:pt idx="0">
                  <c:v>Produit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gaphiques!$B$6:$E$6</c:f>
              <c:numCache>
                <c:formatCode>General</c:formatCode>
                <c:ptCount val="4"/>
                <c:pt idx="0">
                  <c:v>82635</c:v>
                </c:pt>
                <c:pt idx="1">
                  <c:v>52738</c:v>
                </c:pt>
                <c:pt idx="2">
                  <c:v>61528</c:v>
                </c:pt>
                <c:pt idx="3">
                  <c:v>91726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71-4DFA-902F-44731907C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043760"/>
        <c:axId val="385055280"/>
      </c:lineChart>
      <c:catAx>
        <c:axId val="38504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055280"/>
        <c:crosses val="autoZero"/>
        <c:auto val="1"/>
        <c:lblAlgn val="ctr"/>
        <c:lblOffset val="100"/>
        <c:noMultiLvlLbl val="0"/>
      </c:catAx>
      <c:valAx>
        <c:axId val="38505528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04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gaphiques!$B$27</c:f>
              <c:strCache>
                <c:ptCount val="1"/>
                <c:pt idx="0">
                  <c:v>Nombre de ventes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0D6-466E-8B8C-811161E321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0D6-466E-8B8C-811161E321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0D6-466E-8B8C-811161E321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0D6-466E-8B8C-811161E321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0D6-466E-8B8C-811161E321E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gaphiques!$A$28:$A$32</c:f>
              <c:strCache>
                <c:ptCount val="5"/>
                <c:pt idx="0">
                  <c:v>Salade</c:v>
                </c:pt>
                <c:pt idx="1">
                  <c:v>Sandwich</c:v>
                </c:pt>
                <c:pt idx="2">
                  <c:v>Dessert</c:v>
                </c:pt>
                <c:pt idx="3">
                  <c:v>Boissons</c:v>
                </c:pt>
                <c:pt idx="4">
                  <c:v>Soupes</c:v>
                </c:pt>
              </c:strCache>
            </c:strRef>
          </c:cat>
          <c:val>
            <c:numRef>
              <c:f>gaphiques!$B$28:$B$32</c:f>
              <c:numCache>
                <c:formatCode>General</c:formatCode>
                <c:ptCount val="5"/>
                <c:pt idx="0">
                  <c:v>59</c:v>
                </c:pt>
                <c:pt idx="1">
                  <c:v>192</c:v>
                </c:pt>
                <c:pt idx="2">
                  <c:v>102</c:v>
                </c:pt>
                <c:pt idx="3">
                  <c:v>96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B3-4684-842C-48AA8FDDCB5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gaphiques!$B$27</c:f>
              <c:strCache>
                <c:ptCount val="1"/>
                <c:pt idx="0">
                  <c:v>Nombre de ventes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170-4433-A6F1-0BB76BC258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170-4433-A6F1-0BB76BC258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170-4433-A6F1-0BB76BC258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170-4433-A6F1-0BB76BC258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170-4433-A6F1-0BB76BC2580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170-4433-A6F1-0BB76BC2580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gaphiques!$A$28:$A$32</c:f>
              <c:strCache>
                <c:ptCount val="5"/>
                <c:pt idx="0">
                  <c:v>Salade</c:v>
                </c:pt>
                <c:pt idx="1">
                  <c:v>Sandwich</c:v>
                </c:pt>
                <c:pt idx="2">
                  <c:v>Dessert</c:v>
                </c:pt>
                <c:pt idx="3">
                  <c:v>Boissons</c:v>
                </c:pt>
                <c:pt idx="4">
                  <c:v>Soupes</c:v>
                </c:pt>
              </c:strCache>
            </c:strRef>
          </c:cat>
          <c:val>
            <c:numRef>
              <c:f>gaphiques!$B$28:$B$32</c:f>
              <c:numCache>
                <c:formatCode>General</c:formatCode>
                <c:ptCount val="5"/>
                <c:pt idx="0">
                  <c:v>59</c:v>
                </c:pt>
                <c:pt idx="1">
                  <c:v>192</c:v>
                </c:pt>
                <c:pt idx="2">
                  <c:v>102</c:v>
                </c:pt>
                <c:pt idx="3">
                  <c:v>96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1-4833-BBD0-BADFA205D5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gaphiques!$A$4</c:f>
              <c:strCache>
                <c:ptCount val="1"/>
                <c:pt idx="0">
                  <c:v>Produit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gaphiques!$B$4:$E$4</c:f>
              <c:numCache>
                <c:formatCode>General</c:formatCode>
                <c:ptCount val="4"/>
                <c:pt idx="0">
                  <c:v>27000</c:v>
                </c:pt>
                <c:pt idx="1">
                  <c:v>68290</c:v>
                </c:pt>
                <c:pt idx="2">
                  <c:v>28300</c:v>
                </c:pt>
                <c:pt idx="3">
                  <c:v>9203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E-4B4A-8168-C1CD98378D1B}"/>
            </c:ext>
          </c:extLst>
        </c:ser>
        <c:ser>
          <c:idx val="1"/>
          <c:order val="1"/>
          <c:tx>
            <c:strRef>
              <c:f>gaphiques!$A$5</c:f>
              <c:strCache>
                <c:ptCount val="1"/>
                <c:pt idx="0">
                  <c:v>Produit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gaphiques!$B$5:$E$5</c:f>
              <c:numCache>
                <c:formatCode>General</c:formatCode>
                <c:ptCount val="4"/>
                <c:pt idx="0">
                  <c:v>32193</c:v>
                </c:pt>
                <c:pt idx="1">
                  <c:v>17265</c:v>
                </c:pt>
                <c:pt idx="2">
                  <c:v>8725</c:v>
                </c:pt>
                <c:pt idx="3">
                  <c:v>19286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E-4B4A-8168-C1CD98378D1B}"/>
            </c:ext>
          </c:extLst>
        </c:ser>
        <c:ser>
          <c:idx val="2"/>
          <c:order val="2"/>
          <c:tx>
            <c:strRef>
              <c:f>gaphiques!$A$6</c:f>
              <c:strCache>
                <c:ptCount val="1"/>
                <c:pt idx="0">
                  <c:v>Produit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gaphiques!$B$3:$E$3</c:f>
              <c:strCache>
                <c:ptCount val="4"/>
                <c:pt idx="0">
                  <c:v>Tri 1</c:v>
                </c:pt>
                <c:pt idx="1">
                  <c:v>Tri 2</c:v>
                </c:pt>
                <c:pt idx="2">
                  <c:v>Tri 3</c:v>
                </c:pt>
                <c:pt idx="3">
                  <c:v>Tri 4</c:v>
                </c:pt>
              </c:strCache>
            </c:strRef>
          </c:cat>
          <c:val>
            <c:numRef>
              <c:f>gaphiques!$B$6:$E$6</c:f>
              <c:numCache>
                <c:formatCode>General</c:formatCode>
                <c:ptCount val="4"/>
                <c:pt idx="0">
                  <c:v>82635</c:v>
                </c:pt>
                <c:pt idx="1">
                  <c:v>52738</c:v>
                </c:pt>
                <c:pt idx="2">
                  <c:v>61528</c:v>
                </c:pt>
                <c:pt idx="3">
                  <c:v>91726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E-4B4A-8168-C1CD98378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9260576"/>
        <c:axId val="509245216"/>
      </c:barChart>
      <c:catAx>
        <c:axId val="50926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9245216"/>
        <c:crosses val="autoZero"/>
        <c:auto val="1"/>
        <c:lblAlgn val="ctr"/>
        <c:lblOffset val="100"/>
        <c:noMultiLvlLbl val="0"/>
      </c:catAx>
      <c:valAx>
        <c:axId val="50924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926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gaphiques!$A$41</c:f>
              <c:strCache>
                <c:ptCount val="1"/>
                <c:pt idx="0">
                  <c:v>Temps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gaphiques!$A$42:$A$52</c:f>
              <c:numCache>
                <c:formatCode>General</c:formatCode>
                <c:ptCount val="11"/>
                <c:pt idx="0">
                  <c:v>0</c:v>
                </c:pt>
                <c:pt idx="1">
                  <c:v>1.2</c:v>
                </c:pt>
                <c:pt idx="2">
                  <c:v>3</c:v>
                </c:pt>
                <c:pt idx="3">
                  <c:v>4.0999999999999996</c:v>
                </c:pt>
                <c:pt idx="4">
                  <c:v>5</c:v>
                </c:pt>
                <c:pt idx="5">
                  <c:v>6.2</c:v>
                </c:pt>
                <c:pt idx="6">
                  <c:v>6.5</c:v>
                </c:pt>
                <c:pt idx="7">
                  <c:v>7.2</c:v>
                </c:pt>
                <c:pt idx="8">
                  <c:v>10</c:v>
                </c:pt>
                <c:pt idx="9">
                  <c:v>13</c:v>
                </c:pt>
                <c:pt idx="10">
                  <c:v>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AE-43C1-A297-E6DB02B48C3E}"/>
            </c:ext>
          </c:extLst>
        </c:ser>
        <c:ser>
          <c:idx val="1"/>
          <c:order val="1"/>
          <c:tx>
            <c:strRef>
              <c:f>gaphiques!$B$41</c:f>
              <c:strCache>
                <c:ptCount val="1"/>
                <c:pt idx="0">
                  <c:v>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yVal>
            <c:numRef>
              <c:f>gaphiques!$B$42:$B$52</c:f>
              <c:numCache>
                <c:formatCode>General</c:formatCode>
                <c:ptCount val="11"/>
                <c:pt idx="0">
                  <c:v>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-5</c:v>
                </c:pt>
                <c:pt idx="5">
                  <c:v>5</c:v>
                </c:pt>
                <c:pt idx="6">
                  <c:v>-2</c:v>
                </c:pt>
                <c:pt idx="7">
                  <c:v>-1</c:v>
                </c:pt>
                <c:pt idx="8">
                  <c:v>-4</c:v>
                </c:pt>
                <c:pt idx="9">
                  <c:v>1</c:v>
                </c:pt>
                <c:pt idx="10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AE-43C1-A297-E6DB02B48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38976"/>
        <c:axId val="509234656"/>
      </c:scatterChart>
      <c:valAx>
        <c:axId val="50923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9234656"/>
        <c:crosses val="autoZero"/>
        <c:crossBetween val="midCat"/>
      </c:valAx>
      <c:valAx>
        <c:axId val="50923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923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1178293697539264E-2"/>
          <c:y val="0.17406240886555849"/>
          <c:w val="0.89587247286494853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gaphiques!$B$41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gaphiques!$A$42:$A$52</c:f>
              <c:numCache>
                <c:formatCode>General</c:formatCode>
                <c:ptCount val="11"/>
                <c:pt idx="0">
                  <c:v>0</c:v>
                </c:pt>
                <c:pt idx="1">
                  <c:v>1.2</c:v>
                </c:pt>
                <c:pt idx="2">
                  <c:v>3</c:v>
                </c:pt>
                <c:pt idx="3">
                  <c:v>4.0999999999999996</c:v>
                </c:pt>
                <c:pt idx="4">
                  <c:v>5</c:v>
                </c:pt>
                <c:pt idx="5">
                  <c:v>6.2</c:v>
                </c:pt>
                <c:pt idx="6">
                  <c:v>6.5</c:v>
                </c:pt>
                <c:pt idx="7">
                  <c:v>7.2</c:v>
                </c:pt>
                <c:pt idx="8">
                  <c:v>10</c:v>
                </c:pt>
                <c:pt idx="9">
                  <c:v>13</c:v>
                </c:pt>
                <c:pt idx="10">
                  <c:v>14.1</c:v>
                </c:pt>
              </c:numCache>
            </c:numRef>
          </c:xVal>
          <c:yVal>
            <c:numRef>
              <c:f>gaphiques!$B$42:$B$52</c:f>
              <c:numCache>
                <c:formatCode>General</c:formatCode>
                <c:ptCount val="11"/>
                <c:pt idx="0">
                  <c:v>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-5</c:v>
                </c:pt>
                <c:pt idx="5">
                  <c:v>5</c:v>
                </c:pt>
                <c:pt idx="6">
                  <c:v>-2</c:v>
                </c:pt>
                <c:pt idx="7">
                  <c:v>-1</c:v>
                </c:pt>
                <c:pt idx="8">
                  <c:v>-4</c:v>
                </c:pt>
                <c:pt idx="9">
                  <c:v>1</c:v>
                </c:pt>
                <c:pt idx="10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F2-4065-A923-0DBB294E0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771520"/>
        <c:axId val="387774400"/>
      </c:scatterChart>
      <c:valAx>
        <c:axId val="38777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74400"/>
        <c:crosses val="autoZero"/>
        <c:crossBetween val="midCat"/>
      </c:valAx>
      <c:valAx>
        <c:axId val="3877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7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gaphiques!$B$57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gaphiques!$B$58:$B$69</c:f>
              <c:numCache>
                <c:formatCode>General</c:formatCode>
                <c:ptCount val="12"/>
                <c:pt idx="0">
                  <c:v>-1</c:v>
                </c:pt>
                <c:pt idx="1">
                  <c:v>2</c:v>
                </c:pt>
                <c:pt idx="2">
                  <c:v>10</c:v>
                </c:pt>
                <c:pt idx="3">
                  <c:v>15</c:v>
                </c:pt>
                <c:pt idx="4">
                  <c:v>17</c:v>
                </c:pt>
                <c:pt idx="5">
                  <c:v>21</c:v>
                </c:pt>
                <c:pt idx="6">
                  <c:v>22</c:v>
                </c:pt>
                <c:pt idx="7">
                  <c:v>25</c:v>
                </c:pt>
                <c:pt idx="8">
                  <c:v>17</c:v>
                </c:pt>
                <c:pt idx="9">
                  <c:v>5</c:v>
                </c:pt>
                <c:pt idx="10">
                  <c:v>6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0-40E9-837F-99B6496160CA}"/>
            </c:ext>
          </c:extLst>
        </c:ser>
        <c:ser>
          <c:idx val="1"/>
          <c:order val="1"/>
          <c:tx>
            <c:strRef>
              <c:f>gaphiques!$C$57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gaphiques!$C$58:$C$69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18</c:v>
                </c:pt>
                <c:pt idx="7">
                  <c:v>26</c:v>
                </c:pt>
                <c:pt idx="8">
                  <c:v>24</c:v>
                </c:pt>
                <c:pt idx="9">
                  <c:v>16</c:v>
                </c:pt>
                <c:pt idx="10">
                  <c:v>13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70-40E9-837F-99B6496160CA}"/>
            </c:ext>
          </c:extLst>
        </c:ser>
        <c:ser>
          <c:idx val="2"/>
          <c:order val="2"/>
          <c:tx>
            <c:strRef>
              <c:f>gaphiques!$D$57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gaphiques!$D$58:$D$69</c:f>
              <c:numCache>
                <c:formatCode>General</c:formatCode>
                <c:ptCount val="12"/>
                <c:pt idx="0">
                  <c:v>-4</c:v>
                </c:pt>
                <c:pt idx="1">
                  <c:v>5</c:v>
                </c:pt>
                <c:pt idx="2">
                  <c:v>3</c:v>
                </c:pt>
                <c:pt idx="3">
                  <c:v>12</c:v>
                </c:pt>
                <c:pt idx="4">
                  <c:v>12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18</c:v>
                </c:pt>
                <c:pt idx="9">
                  <c:v>7</c:v>
                </c:pt>
                <c:pt idx="10">
                  <c:v>15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70-40E9-837F-99B6496160CA}"/>
            </c:ext>
          </c:extLst>
        </c:ser>
        <c:ser>
          <c:idx val="3"/>
          <c:order val="3"/>
          <c:tx>
            <c:strRef>
              <c:f>gaphiques!$E$57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gaphiques!$E$58:$E$69</c:f>
              <c:numCache>
                <c:formatCode>General</c:formatCode>
                <c:ptCount val="12"/>
                <c:pt idx="0">
                  <c:v>1</c:v>
                </c:pt>
                <c:pt idx="1">
                  <c:v>-2</c:v>
                </c:pt>
                <c:pt idx="2">
                  <c:v>6</c:v>
                </c:pt>
                <c:pt idx="3">
                  <c:v>6</c:v>
                </c:pt>
                <c:pt idx="4">
                  <c:v>18</c:v>
                </c:pt>
                <c:pt idx="5">
                  <c:v>23</c:v>
                </c:pt>
                <c:pt idx="6">
                  <c:v>26</c:v>
                </c:pt>
                <c:pt idx="7">
                  <c:v>24</c:v>
                </c:pt>
                <c:pt idx="8">
                  <c:v>18</c:v>
                </c:pt>
                <c:pt idx="9">
                  <c:v>14</c:v>
                </c:pt>
                <c:pt idx="10">
                  <c:v>14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70-40E9-837F-99B6496160CA}"/>
            </c:ext>
          </c:extLst>
        </c:ser>
        <c:ser>
          <c:idx val="4"/>
          <c:order val="4"/>
          <c:tx>
            <c:strRef>
              <c:f>gaphiques!$F$57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gaphiques!$F$58:$F$69</c:f>
              <c:numCache>
                <c:formatCode>General</c:formatCode>
                <c:ptCount val="12"/>
                <c:pt idx="0">
                  <c:v>-2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18</c:v>
                </c:pt>
                <c:pt idx="5">
                  <c:v>15</c:v>
                </c:pt>
                <c:pt idx="6">
                  <c:v>21</c:v>
                </c:pt>
                <c:pt idx="7">
                  <c:v>22</c:v>
                </c:pt>
                <c:pt idx="8">
                  <c:v>20</c:v>
                </c:pt>
                <c:pt idx="9">
                  <c:v>6</c:v>
                </c:pt>
                <c:pt idx="10">
                  <c:v>12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70-40E9-837F-99B6496160CA}"/>
            </c:ext>
          </c:extLst>
        </c:ser>
        <c:ser>
          <c:idx val="5"/>
          <c:order val="5"/>
          <c:tx>
            <c:strRef>
              <c:f>gaphiques!$G$57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gaphiques!$G$58:$G$69</c:f>
              <c:numCache>
                <c:formatCode>General</c:formatCode>
                <c:ptCount val="12"/>
                <c:pt idx="0">
                  <c:v>-1</c:v>
                </c:pt>
                <c:pt idx="1">
                  <c:v>3</c:v>
                </c:pt>
                <c:pt idx="2">
                  <c:v>1</c:v>
                </c:pt>
                <c:pt idx="3">
                  <c:v>13</c:v>
                </c:pt>
                <c:pt idx="4">
                  <c:v>14</c:v>
                </c:pt>
                <c:pt idx="5">
                  <c:v>20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10</c:v>
                </c:pt>
                <c:pt idx="10">
                  <c:v>12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70-40E9-837F-99B6496160C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87776800"/>
        <c:axId val="387783520"/>
        <c:axId val="332085440"/>
      </c:surface3DChart>
      <c:catAx>
        <c:axId val="38777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3520"/>
        <c:crosses val="autoZero"/>
        <c:auto val="1"/>
        <c:lblAlgn val="ctr"/>
        <c:lblOffset val="100"/>
        <c:noMultiLvlLbl val="0"/>
      </c:catAx>
      <c:valAx>
        <c:axId val="3877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76800"/>
        <c:crosses val="autoZero"/>
        <c:crossBetween val="midCat"/>
      </c:valAx>
      <c:serAx>
        <c:axId val="3320854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35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gaphiques!$B$57</c:f>
              <c:strCache>
                <c:ptCount val="1"/>
                <c:pt idx="0">
                  <c:v>2015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gaphiques!$B$58:$B$69</c:f>
              <c:numCache>
                <c:formatCode>General</c:formatCode>
                <c:ptCount val="12"/>
                <c:pt idx="0">
                  <c:v>-1</c:v>
                </c:pt>
                <c:pt idx="1">
                  <c:v>2</c:v>
                </c:pt>
                <c:pt idx="2">
                  <c:v>10</c:v>
                </c:pt>
                <c:pt idx="3">
                  <c:v>15</c:v>
                </c:pt>
                <c:pt idx="4">
                  <c:v>17</c:v>
                </c:pt>
                <c:pt idx="5">
                  <c:v>21</c:v>
                </c:pt>
                <c:pt idx="6">
                  <c:v>22</c:v>
                </c:pt>
                <c:pt idx="7">
                  <c:v>25</c:v>
                </c:pt>
                <c:pt idx="8">
                  <c:v>17</c:v>
                </c:pt>
                <c:pt idx="9">
                  <c:v>5</c:v>
                </c:pt>
                <c:pt idx="10">
                  <c:v>6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3-4D17-8CD2-AB0802E573D4}"/>
            </c:ext>
          </c:extLst>
        </c:ser>
        <c:ser>
          <c:idx val="1"/>
          <c:order val="1"/>
          <c:tx>
            <c:strRef>
              <c:f>gaphiques!$C$57</c:f>
              <c:strCache>
                <c:ptCount val="1"/>
                <c:pt idx="0">
                  <c:v>2016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gaphiques!$C$58:$C$69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18</c:v>
                </c:pt>
                <c:pt idx="7">
                  <c:v>26</c:v>
                </c:pt>
                <c:pt idx="8">
                  <c:v>24</c:v>
                </c:pt>
                <c:pt idx="9">
                  <c:v>16</c:v>
                </c:pt>
                <c:pt idx="10">
                  <c:v>13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D3-4D17-8CD2-AB0802E573D4}"/>
            </c:ext>
          </c:extLst>
        </c:ser>
        <c:ser>
          <c:idx val="2"/>
          <c:order val="2"/>
          <c:tx>
            <c:strRef>
              <c:f>gaphiques!$D$57</c:f>
              <c:strCache>
                <c:ptCount val="1"/>
                <c:pt idx="0">
                  <c:v>2017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gaphiques!$D$58:$D$69</c:f>
              <c:numCache>
                <c:formatCode>General</c:formatCode>
                <c:ptCount val="12"/>
                <c:pt idx="0">
                  <c:v>-4</c:v>
                </c:pt>
                <c:pt idx="1">
                  <c:v>5</c:v>
                </c:pt>
                <c:pt idx="2">
                  <c:v>3</c:v>
                </c:pt>
                <c:pt idx="3">
                  <c:v>12</c:v>
                </c:pt>
                <c:pt idx="4">
                  <c:v>12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18</c:v>
                </c:pt>
                <c:pt idx="9">
                  <c:v>7</c:v>
                </c:pt>
                <c:pt idx="10">
                  <c:v>15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D3-4D17-8CD2-AB0802E573D4}"/>
            </c:ext>
          </c:extLst>
        </c:ser>
        <c:ser>
          <c:idx val="3"/>
          <c:order val="3"/>
          <c:tx>
            <c:strRef>
              <c:f>gaphiques!$E$57</c:f>
              <c:strCache>
                <c:ptCount val="1"/>
                <c:pt idx="0">
                  <c:v>2018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gaphiques!$E$58:$E$69</c:f>
              <c:numCache>
                <c:formatCode>General</c:formatCode>
                <c:ptCount val="12"/>
                <c:pt idx="0">
                  <c:v>1</c:v>
                </c:pt>
                <c:pt idx="1">
                  <c:v>-2</c:v>
                </c:pt>
                <c:pt idx="2">
                  <c:v>6</c:v>
                </c:pt>
                <c:pt idx="3">
                  <c:v>6</c:v>
                </c:pt>
                <c:pt idx="4">
                  <c:v>18</c:v>
                </c:pt>
                <c:pt idx="5">
                  <c:v>23</c:v>
                </c:pt>
                <c:pt idx="6">
                  <c:v>26</c:v>
                </c:pt>
                <c:pt idx="7">
                  <c:v>24</c:v>
                </c:pt>
                <c:pt idx="8">
                  <c:v>18</c:v>
                </c:pt>
                <c:pt idx="9">
                  <c:v>14</c:v>
                </c:pt>
                <c:pt idx="10">
                  <c:v>14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D3-4D17-8CD2-AB0802E573D4}"/>
            </c:ext>
          </c:extLst>
        </c:ser>
        <c:ser>
          <c:idx val="4"/>
          <c:order val="4"/>
          <c:tx>
            <c:strRef>
              <c:f>gaphiques!$F$57</c:f>
              <c:strCache>
                <c:ptCount val="1"/>
                <c:pt idx="0">
                  <c:v>2019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gaphiques!$F$58:$F$69</c:f>
              <c:numCache>
                <c:formatCode>General</c:formatCode>
                <c:ptCount val="12"/>
                <c:pt idx="0">
                  <c:v>-2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18</c:v>
                </c:pt>
                <c:pt idx="5">
                  <c:v>15</c:v>
                </c:pt>
                <c:pt idx="6">
                  <c:v>21</c:v>
                </c:pt>
                <c:pt idx="7">
                  <c:v>22</c:v>
                </c:pt>
                <c:pt idx="8">
                  <c:v>20</c:v>
                </c:pt>
                <c:pt idx="9">
                  <c:v>6</c:v>
                </c:pt>
                <c:pt idx="10">
                  <c:v>12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D3-4D17-8CD2-AB0802E573D4}"/>
            </c:ext>
          </c:extLst>
        </c:ser>
        <c:ser>
          <c:idx val="5"/>
          <c:order val="5"/>
          <c:tx>
            <c:strRef>
              <c:f>gaphiques!$G$57</c:f>
              <c:strCache>
                <c:ptCount val="1"/>
                <c:pt idx="0">
                  <c:v>2020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gaphiques!$A$58:$A$69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gaphiques!$G$58:$G$69</c:f>
              <c:numCache>
                <c:formatCode>General</c:formatCode>
                <c:ptCount val="12"/>
                <c:pt idx="0">
                  <c:v>-1</c:v>
                </c:pt>
                <c:pt idx="1">
                  <c:v>3</c:v>
                </c:pt>
                <c:pt idx="2">
                  <c:v>1</c:v>
                </c:pt>
                <c:pt idx="3">
                  <c:v>13</c:v>
                </c:pt>
                <c:pt idx="4">
                  <c:v>14</c:v>
                </c:pt>
                <c:pt idx="5">
                  <c:v>20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10</c:v>
                </c:pt>
                <c:pt idx="10">
                  <c:v>12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D3-4D17-8CD2-AB0802E573D4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387767200"/>
        <c:axId val="387788320"/>
        <c:axId val="327716256"/>
      </c:surface3DChart>
      <c:catAx>
        <c:axId val="38776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8320"/>
        <c:crosses val="autoZero"/>
        <c:auto val="1"/>
        <c:lblAlgn val="ctr"/>
        <c:lblOffset val="100"/>
        <c:noMultiLvlLbl val="0"/>
      </c:catAx>
      <c:valAx>
        <c:axId val="3877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67200"/>
        <c:crosses val="autoZero"/>
        <c:crossBetween val="midCat"/>
      </c:valAx>
      <c:serAx>
        <c:axId val="3277162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83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gaphiques!$B$83</c:f>
              <c:strCache>
                <c:ptCount val="1"/>
                <c:pt idx="0">
                  <c:v>ventes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gaphiques!$A$84:$A$87</c:f>
              <c:numCache>
                <c:formatCode>General</c:formatCode>
                <c:ptCount val="4"/>
                <c:pt idx="0">
                  <c:v>14</c:v>
                </c:pt>
                <c:pt idx="1">
                  <c:v>20</c:v>
                </c:pt>
                <c:pt idx="2">
                  <c:v>18</c:v>
                </c:pt>
                <c:pt idx="3">
                  <c:v>22</c:v>
                </c:pt>
              </c:numCache>
            </c:numRef>
          </c:xVal>
          <c:yVal>
            <c:numRef>
              <c:f>gaphiques!$B$84:$B$87</c:f>
              <c:numCache>
                <c:formatCode>_([$€-2]\ * #,##0.00_);_([$€-2]\ * \(#,##0.00\);_([$€-2]\ * "-"??_);_(@_)</c:formatCode>
                <c:ptCount val="4"/>
                <c:pt idx="0">
                  <c:v>12200</c:v>
                </c:pt>
                <c:pt idx="1">
                  <c:v>60000</c:v>
                </c:pt>
                <c:pt idx="2">
                  <c:v>24000</c:v>
                </c:pt>
                <c:pt idx="3">
                  <c:v>32000</c:v>
                </c:pt>
              </c:numCache>
            </c:numRef>
          </c:yVal>
          <c:bubbleSize>
            <c:numRef>
              <c:f>gaphiques!$C$84:$C$87</c:f>
              <c:numCache>
                <c:formatCode>0%</c:formatCode>
                <c:ptCount val="4"/>
                <c:pt idx="0">
                  <c:v>0.15</c:v>
                </c:pt>
                <c:pt idx="1">
                  <c:v>0.33</c:v>
                </c:pt>
                <c:pt idx="2">
                  <c:v>0.1</c:v>
                </c:pt>
                <c:pt idx="3">
                  <c:v>0.42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0250-4C97-BF41-9B601F6EF4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387782080"/>
        <c:axId val="387782560"/>
      </c:bubbleChart>
      <c:valAx>
        <c:axId val="38778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2560"/>
        <c:crosses val="autoZero"/>
        <c:crossBetween val="midCat"/>
      </c:valAx>
      <c:valAx>
        <c:axId val="3877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208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graphique!$A$2</c:f>
              <c:strCache>
                <c:ptCount val="1"/>
                <c:pt idx="0">
                  <c:v>Prevu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graphique!$B$1:$C$1</c:f>
              <c:strCache>
                <c:ptCount val="2"/>
                <c:pt idx="0">
                  <c:v>Trim 1</c:v>
                </c:pt>
                <c:pt idx="1">
                  <c:v>Trim 2</c:v>
                </c:pt>
              </c:strCache>
            </c:strRef>
          </c:cat>
          <c:val>
            <c:numRef>
              <c:f>graphique!$B$2:$C$2</c:f>
              <c:numCache>
                <c:formatCode>General</c:formatCode>
                <c:ptCount val="2"/>
                <c:pt idx="0">
                  <c:v>75</c:v>
                </c:pt>
                <c:pt idx="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2-49AA-AEC3-A51B4EDDC47B}"/>
            </c:ext>
          </c:extLst>
        </c:ser>
        <c:ser>
          <c:idx val="1"/>
          <c:order val="1"/>
          <c:tx>
            <c:strRef>
              <c:f>graphique!$A$3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graphique!$B$1:$C$1</c:f>
              <c:strCache>
                <c:ptCount val="2"/>
                <c:pt idx="0">
                  <c:v>Trim 1</c:v>
                </c:pt>
                <c:pt idx="1">
                  <c:v>Trim 2</c:v>
                </c:pt>
              </c:strCache>
            </c:strRef>
          </c:cat>
          <c:val>
            <c:numRef>
              <c:f>graphique!$B$3:$C$3</c:f>
              <c:numCache>
                <c:formatCode>General</c:formatCode>
                <c:ptCount val="2"/>
                <c:pt idx="0">
                  <c:v>84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02-49AA-AEC3-A51B4EDDC47B}"/>
            </c:ext>
          </c:extLst>
        </c:ser>
        <c:ser>
          <c:idx val="2"/>
          <c:order val="2"/>
          <c:tx>
            <c:strRef>
              <c:f>graphique!$A$4</c:f>
              <c:strCache>
                <c:ptCount val="1"/>
                <c:pt idx="0">
                  <c:v>Vente concurent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graphique!$B$1:$C$1</c:f>
              <c:strCache>
                <c:ptCount val="2"/>
                <c:pt idx="0">
                  <c:v>Trim 1</c:v>
                </c:pt>
                <c:pt idx="1">
                  <c:v>Trim 2</c:v>
                </c:pt>
              </c:strCache>
            </c:strRef>
          </c:cat>
          <c:val>
            <c:numRef>
              <c:f>graphique!$B$4:$C$4</c:f>
              <c:numCache>
                <c:formatCode>General</c:formatCode>
                <c:ptCount val="2"/>
                <c:pt idx="0">
                  <c:v>60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B-49FC-B1D1-EFF5BEC41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7791680"/>
        <c:axId val="387773440"/>
      </c:barChart>
      <c:catAx>
        <c:axId val="38779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73440"/>
        <c:crosses val="autoZero"/>
        <c:auto val="1"/>
        <c:lblAlgn val="ctr"/>
        <c:lblOffset val="100"/>
        <c:noMultiLvlLbl val="0"/>
      </c:catAx>
      <c:valAx>
        <c:axId val="3877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9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graphique!$B$1</c:f>
              <c:strCache>
                <c:ptCount val="1"/>
                <c:pt idx="0">
                  <c:v>Trim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graphique!$A$2:$A$4</c:f>
              <c:strCache>
                <c:ptCount val="3"/>
                <c:pt idx="0">
                  <c:v>Prevu</c:v>
                </c:pt>
                <c:pt idx="1">
                  <c:v>Real</c:v>
                </c:pt>
                <c:pt idx="2">
                  <c:v>Vente concurent</c:v>
                </c:pt>
              </c:strCache>
            </c:strRef>
          </c:cat>
          <c:val>
            <c:numRef>
              <c:f>graphique!$B$2:$B$4</c:f>
              <c:numCache>
                <c:formatCode>General</c:formatCode>
                <c:ptCount val="3"/>
                <c:pt idx="0">
                  <c:v>75</c:v>
                </c:pt>
                <c:pt idx="1">
                  <c:v>84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90-478F-B04A-0700C37E1783}"/>
            </c:ext>
          </c:extLst>
        </c:ser>
        <c:ser>
          <c:idx val="1"/>
          <c:order val="1"/>
          <c:tx>
            <c:strRef>
              <c:f>graphique!$C$1</c:f>
              <c:strCache>
                <c:ptCount val="1"/>
                <c:pt idx="0">
                  <c:v>Trim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graphique!$A$2:$A$4</c:f>
              <c:strCache>
                <c:ptCount val="3"/>
                <c:pt idx="0">
                  <c:v>Prevu</c:v>
                </c:pt>
                <c:pt idx="1">
                  <c:v>Real</c:v>
                </c:pt>
                <c:pt idx="2">
                  <c:v>Vente concurent</c:v>
                </c:pt>
              </c:strCache>
            </c:strRef>
          </c:cat>
          <c:val>
            <c:numRef>
              <c:f>graphique!$C$2:$C$4</c:f>
              <c:numCache>
                <c:formatCode>General</c:formatCode>
                <c:ptCount val="3"/>
                <c:pt idx="0">
                  <c:v>85</c:v>
                </c:pt>
                <c:pt idx="1">
                  <c:v>99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90-478F-B04A-0700C37E1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7784960"/>
        <c:axId val="387766240"/>
        <c:axId val="0"/>
      </c:bar3DChart>
      <c:catAx>
        <c:axId val="38778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66240"/>
        <c:crosses val="autoZero"/>
        <c:auto val="1"/>
        <c:lblAlgn val="ctr"/>
        <c:lblOffset val="100"/>
        <c:noMultiLvlLbl val="0"/>
      </c:catAx>
      <c:valAx>
        <c:axId val="38776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8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graphique!$B$1</c:f>
              <c:strCache>
                <c:ptCount val="1"/>
                <c:pt idx="0">
                  <c:v>Trim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graphique!$A$2:$A$4</c:f>
              <c:strCache>
                <c:ptCount val="3"/>
                <c:pt idx="0">
                  <c:v>Prevu</c:v>
                </c:pt>
                <c:pt idx="1">
                  <c:v>Real</c:v>
                </c:pt>
                <c:pt idx="2">
                  <c:v>Vente concurent</c:v>
                </c:pt>
              </c:strCache>
            </c:strRef>
          </c:cat>
          <c:val>
            <c:numRef>
              <c:f>graphique!$B$2:$B$4</c:f>
              <c:numCache>
                <c:formatCode>General</c:formatCode>
                <c:ptCount val="3"/>
                <c:pt idx="0">
                  <c:v>75</c:v>
                </c:pt>
                <c:pt idx="1">
                  <c:v>84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0-4243-B898-1C40B7007CED}"/>
            </c:ext>
          </c:extLst>
        </c:ser>
        <c:ser>
          <c:idx val="1"/>
          <c:order val="1"/>
          <c:tx>
            <c:strRef>
              <c:f>graphique!$C$1</c:f>
              <c:strCache>
                <c:ptCount val="1"/>
                <c:pt idx="0">
                  <c:v>Trim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graphique!$A$2:$A$4</c:f>
              <c:strCache>
                <c:ptCount val="3"/>
                <c:pt idx="0">
                  <c:v>Prevu</c:v>
                </c:pt>
                <c:pt idx="1">
                  <c:v>Real</c:v>
                </c:pt>
                <c:pt idx="2">
                  <c:v>Vente concurent</c:v>
                </c:pt>
              </c:strCache>
            </c:strRef>
          </c:cat>
          <c:val>
            <c:numRef>
              <c:f>graphique!$C$2:$C$4</c:f>
              <c:numCache>
                <c:formatCode>General</c:formatCode>
                <c:ptCount val="3"/>
                <c:pt idx="0">
                  <c:v>85</c:v>
                </c:pt>
                <c:pt idx="1">
                  <c:v>99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F0-4243-B898-1C40B7007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7748480"/>
        <c:axId val="387754240"/>
      </c:barChart>
      <c:barChart>
        <c:barDir val="col"/>
        <c:grouping val="stacked"/>
        <c:varyColors val="0"/>
        <c:ser>
          <c:idx val="2"/>
          <c:order val="2"/>
          <c:tx>
            <c:strRef>
              <c:f>graphique!$D$1</c:f>
              <c:strCache>
                <c:ptCount val="1"/>
                <c:pt idx="0">
                  <c:v>Evol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graphique!$A$2:$A$4</c:f>
              <c:strCache>
                <c:ptCount val="3"/>
                <c:pt idx="0">
                  <c:v>Prevu</c:v>
                </c:pt>
                <c:pt idx="1">
                  <c:v>Real</c:v>
                </c:pt>
                <c:pt idx="2">
                  <c:v>Vente concurent</c:v>
                </c:pt>
              </c:strCache>
            </c:strRef>
          </c:cat>
          <c:val>
            <c:numRef>
              <c:f>graphique!$D$2:$D$4</c:f>
              <c:numCache>
                <c:formatCode>General</c:formatCode>
                <c:ptCount val="3"/>
                <c:pt idx="0">
                  <c:v>0.13333333333333333</c:v>
                </c:pt>
                <c:pt idx="1">
                  <c:v>0.17857142857142858</c:v>
                </c:pt>
                <c:pt idx="2">
                  <c:v>-0.36666666666666664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F0-4243-B898-1C40B7007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7752320"/>
        <c:axId val="387746080"/>
      </c:barChart>
      <c:catAx>
        <c:axId val="38774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54240"/>
        <c:crosses val="autoZero"/>
        <c:auto val="1"/>
        <c:lblAlgn val="ctr"/>
        <c:lblOffset val="100"/>
        <c:noMultiLvlLbl val="0"/>
      </c:catAx>
      <c:valAx>
        <c:axId val="38775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48480"/>
        <c:crosses val="autoZero"/>
        <c:crossBetween val="between"/>
      </c:valAx>
      <c:valAx>
        <c:axId val="387746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52320"/>
        <c:crosses val="max"/>
        <c:crossBetween val="between"/>
      </c:valAx>
      <c:catAx>
        <c:axId val="387752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7746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Ventes par produit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graphique!$A$15:$B$15</c:f>
              <c:strCache>
                <c:ptCount val="2"/>
                <c:pt idx="0">
                  <c:v>Lait entier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graphique!$C$14:$F$14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graphique!$C$15:$F$15</c:f>
              <c:numCache>
                <c:formatCode>General</c:formatCode>
                <c:ptCount val="4"/>
                <c:pt idx="0">
                  <c:v>167</c:v>
                </c:pt>
                <c:pt idx="1">
                  <c:v>189</c:v>
                </c:pt>
                <c:pt idx="2">
                  <c:v>197</c:v>
                </c:pt>
                <c:pt idx="3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B-4334-A4CC-472B2CFF710B}"/>
            </c:ext>
          </c:extLst>
        </c:ser>
        <c:ser>
          <c:idx val="1"/>
          <c:order val="1"/>
          <c:tx>
            <c:strRef>
              <c:f>graphique!$A$16:$B$16</c:f>
              <c:strCache>
                <c:ptCount val="2"/>
                <c:pt idx="0">
                  <c:v>Lait demi-ecreme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graphique!$C$14:$F$14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graphique!$C$16:$F$16</c:f>
              <c:numCache>
                <c:formatCode>General</c:formatCode>
                <c:ptCount val="4"/>
                <c:pt idx="0">
                  <c:v>341</c:v>
                </c:pt>
                <c:pt idx="1">
                  <c:v>356</c:v>
                </c:pt>
                <c:pt idx="2">
                  <c:v>371</c:v>
                </c:pt>
                <c:pt idx="3">
                  <c:v>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B-4334-A4CC-472B2CFF710B}"/>
            </c:ext>
          </c:extLst>
        </c:ser>
        <c:ser>
          <c:idx val="2"/>
          <c:order val="2"/>
          <c:tx>
            <c:strRef>
              <c:f>graphique!$A$17:$B$17</c:f>
              <c:strCache>
                <c:ptCount val="2"/>
                <c:pt idx="0">
                  <c:v>Lait ecreme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graphique!$C$14:$F$14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graphique!$C$17:$F$17</c:f>
              <c:numCache>
                <c:formatCode>General</c:formatCode>
                <c:ptCount val="4"/>
                <c:pt idx="0">
                  <c:v>197</c:v>
                </c:pt>
                <c:pt idx="1">
                  <c:v>227</c:v>
                </c:pt>
                <c:pt idx="2">
                  <c:v>280</c:v>
                </c:pt>
                <c:pt idx="3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CB-4334-A4CC-472B2CFF7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7755200"/>
        <c:axId val="38775712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graphique!$A$18:$B$18</c15:sqref>
                        </c15:formulaRef>
                      </c:ext>
                    </c:extLst>
                    <c:strCache>
                      <c:ptCount val="2"/>
                      <c:pt idx="0">
                        <c:v>Beurre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graphique!$C$14:$F$14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graphique!$C$18:$F$18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686</c:v>
                      </c:pt>
                      <c:pt idx="1">
                        <c:v>788</c:v>
                      </c:pt>
                      <c:pt idx="2">
                        <c:v>909</c:v>
                      </c:pt>
                      <c:pt idx="3">
                        <c:v>833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3CB-4334-A4CC-472B2CFF710B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graphique!$A$23</c:f>
              <c:strCache>
                <c:ptCount val="1"/>
                <c:pt idx="0">
                  <c:v>Moyenne lait </c:v>
                </c:pt>
              </c:strCache>
            </c:strRef>
          </c:tx>
          <c:spPr>
            <a:ln w="28575" cap="rnd">
              <a:solidFill>
                <a:srgbClr val="006600"/>
              </a:solidFill>
              <a:prstDash val="sysDot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12700">
                <a:solidFill>
                  <a:schemeClr val="accent5"/>
                </a:solidFill>
              </a:ln>
              <a:effectLst/>
            </c:spPr>
          </c:marker>
          <c:val>
            <c:numRef>
              <c:f>graphique!$C$23:$F$23</c:f>
              <c:numCache>
                <c:formatCode>General</c:formatCode>
                <c:ptCount val="4"/>
                <c:pt idx="0">
                  <c:v>235</c:v>
                </c:pt>
                <c:pt idx="1">
                  <c:v>257.33333333333331</c:v>
                </c:pt>
                <c:pt idx="2">
                  <c:v>282.66666666666669</c:v>
                </c:pt>
                <c:pt idx="3">
                  <c:v>348.66666666666669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CB-4334-A4CC-472B2CFF7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755200"/>
        <c:axId val="387757120"/>
      </c:lineChart>
      <c:catAx>
        <c:axId val="387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57120"/>
        <c:crosses val="autoZero"/>
        <c:auto val="1"/>
        <c:lblAlgn val="ctr"/>
        <c:lblOffset val="100"/>
        <c:noMultiLvlLbl val="0"/>
      </c:catAx>
      <c:valAx>
        <c:axId val="38775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En milliers d'euros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755200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0</xdr:row>
      <xdr:rowOff>142876</xdr:rowOff>
    </xdr:from>
    <xdr:ext cx="3790950" cy="72390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E6C0E3-BD37-6A71-9DA4-36B256C30768}"/>
            </a:ext>
          </a:extLst>
        </xdr:cNvPr>
        <xdr:cNvSpPr/>
      </xdr:nvSpPr>
      <xdr:spPr>
        <a:xfrm>
          <a:off x="1257300" y="142876"/>
          <a:ext cx="3790950" cy="723900"/>
        </a:xfrm>
        <a:prstGeom prst="rect">
          <a:avLst/>
        </a:prstGeom>
        <a:noFill/>
      </xdr:spPr>
      <xdr:txBody>
        <a:bodyPr wrap="none" lIns="91440" tIns="45720" rIns="91440" bIns="45720">
          <a:prstTxWarp prst="textWave1">
            <a:avLst/>
          </a:prstTxWarp>
          <a:spAutoFit/>
        </a:bodyPr>
        <a:lstStyle/>
        <a:p>
          <a:pPr algn="ctr"/>
          <a:r>
            <a:rPr lang="fr-FR" sz="5400" b="1" cap="none" spc="0">
              <a:ln w="9525">
                <a:noFill/>
                <a:prstDash val="solid"/>
              </a:ln>
              <a:gradFill flip="none" rotWithShape="1">
                <a:gsLst>
                  <a:gs pos="55000">
                    <a:schemeClr val="tx1"/>
                  </a:gs>
                  <a:gs pos="0">
                    <a:srgbClr val="0070C0"/>
                  </a:gs>
                  <a:gs pos="100000">
                    <a:srgbClr val="663300"/>
                  </a:gs>
                </a:gsLst>
                <a:lin ang="10800000" scaled="0"/>
                <a:tileRect/>
              </a:gradFill>
              <a:effectLst>
                <a:outerShdw blurRad="12700" dist="50800" dir="6120000" algn="tl" rotWithShape="0">
                  <a:schemeClr val="bg1">
                    <a:lumMod val="50000"/>
                  </a:schemeClr>
                </a:outerShdw>
              </a:effectLst>
            </a:rPr>
            <a:t>Les</a:t>
          </a:r>
          <a:r>
            <a:rPr lang="fr-FR" sz="5400" b="1" cap="none" spc="0" baseline="0">
              <a:ln w="9525">
                <a:noFill/>
                <a:prstDash val="solid"/>
              </a:ln>
              <a:gradFill flip="none" rotWithShape="1">
                <a:gsLst>
                  <a:gs pos="55000">
                    <a:schemeClr val="tx1"/>
                  </a:gs>
                  <a:gs pos="0">
                    <a:srgbClr val="0070C0"/>
                  </a:gs>
                  <a:gs pos="100000">
                    <a:srgbClr val="663300"/>
                  </a:gs>
                </a:gsLst>
                <a:lin ang="10800000" scaled="0"/>
                <a:tileRect/>
              </a:gradFill>
              <a:effectLst>
                <a:outerShdw blurRad="12700" dist="50800" dir="6120000" algn="tl" rotWithShape="0">
                  <a:schemeClr val="bg1">
                    <a:lumMod val="50000"/>
                  </a:schemeClr>
                </a:outerShdw>
              </a:effectLst>
            </a:rPr>
            <a:t> produits des huit</a:t>
          </a:r>
          <a:endParaRPr lang="fr-FR" sz="5400" b="1" cap="none" spc="0">
            <a:ln w="9525">
              <a:noFill/>
              <a:prstDash val="solid"/>
            </a:ln>
            <a:gradFill flip="none" rotWithShape="1">
              <a:gsLst>
                <a:gs pos="55000">
                  <a:schemeClr val="tx1"/>
                </a:gs>
                <a:gs pos="0">
                  <a:srgbClr val="0070C0"/>
                </a:gs>
                <a:gs pos="100000">
                  <a:srgbClr val="663300"/>
                </a:gs>
              </a:gsLst>
              <a:lin ang="10800000" scaled="0"/>
              <a:tileRect/>
            </a:gradFill>
            <a:effectLst>
              <a:outerShdw blurRad="12700" dist="50800" dir="612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742568</xdr:colOff>
      <xdr:row>0</xdr:row>
      <xdr:rowOff>723901</xdr:rowOff>
    </xdr:from>
    <xdr:ext cx="1667636" cy="71846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11487DD-0BA1-4954-8C63-8C389EFF23C5}"/>
            </a:ext>
          </a:extLst>
        </xdr:cNvPr>
        <xdr:cNvSpPr/>
      </xdr:nvSpPr>
      <xdr:spPr>
        <a:xfrm>
          <a:off x="1942718" y="723901"/>
          <a:ext cx="1667636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4000" b="1" cap="none" spc="0">
              <a:ln w="9525">
                <a:noFill/>
                <a:prstDash val="solid"/>
              </a:ln>
              <a:gradFill flip="none" rotWithShape="1">
                <a:gsLst>
                  <a:gs pos="55000">
                    <a:schemeClr val="tx1"/>
                  </a:gs>
                  <a:gs pos="0">
                    <a:srgbClr val="0070C0"/>
                  </a:gs>
                  <a:gs pos="100000">
                    <a:srgbClr val="663300"/>
                  </a:gs>
                </a:gsLst>
                <a:lin ang="10800000" scaled="0"/>
                <a:tileRect/>
              </a:gradFill>
              <a:effectLst>
                <a:outerShdw blurRad="12700" dist="50800" dir="6120000" algn="tl" rotWithShape="0">
                  <a:schemeClr val="bg1">
                    <a:lumMod val="50000"/>
                  </a:schemeClr>
                </a:outerShdw>
              </a:effectLst>
            </a:rPr>
            <a:t>fermes</a:t>
          </a:r>
          <a:endParaRPr lang="fr-FR" sz="5400" b="1" cap="none" spc="0">
            <a:ln w="9525">
              <a:noFill/>
              <a:prstDash val="solid"/>
            </a:ln>
            <a:gradFill flip="none" rotWithShape="1">
              <a:gsLst>
                <a:gs pos="55000">
                  <a:schemeClr val="tx1"/>
                </a:gs>
                <a:gs pos="0">
                  <a:srgbClr val="0070C0"/>
                </a:gs>
                <a:gs pos="100000">
                  <a:srgbClr val="663300"/>
                </a:gs>
              </a:gsLst>
              <a:lin ang="10800000" scaled="0"/>
              <a:tileRect/>
            </a:gradFill>
            <a:effectLst>
              <a:outerShdw blurRad="12700" dist="50800" dir="612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169571</xdr:colOff>
      <xdr:row>1</xdr:row>
      <xdr:rowOff>478923</xdr:rowOff>
    </xdr:from>
    <xdr:ext cx="184731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A84644-CF3D-476E-788E-D9DFA0D9F69B}"/>
            </a:ext>
          </a:extLst>
        </xdr:cNvPr>
        <xdr:cNvSpPr/>
      </xdr:nvSpPr>
      <xdr:spPr>
        <a:xfrm>
          <a:off x="5941721" y="219342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fr-FR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119062</xdr:rowOff>
    </xdr:from>
    <xdr:to>
      <xdr:col>10</xdr:col>
      <xdr:colOff>57150</xdr:colOff>
      <xdr:row>10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F878063-7C4B-F52E-2B8F-5F43316BA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</xdr:row>
      <xdr:rowOff>119062</xdr:rowOff>
    </xdr:from>
    <xdr:to>
      <xdr:col>13</xdr:col>
      <xdr:colOff>742950</xdr:colOff>
      <xdr:row>10</xdr:row>
      <xdr:rowOff>142875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C431067-1E49-57B9-75AF-750B7B3B8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390525</xdr:colOff>
      <xdr:row>11</xdr:row>
      <xdr:rowOff>23812</xdr:rowOff>
    </xdr:from>
    <xdr:to>
      <xdr:col>10</xdr:col>
      <xdr:colOff>76200</xdr:colOff>
      <xdr:row>20</xdr:row>
      <xdr:rowOff>123825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40FAF7B-B687-9806-436C-F607E69EB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19050</xdr:colOff>
      <xdr:row>26</xdr:row>
      <xdr:rowOff>33337</xdr:rowOff>
    </xdr:from>
    <xdr:to>
      <xdr:col>9</xdr:col>
      <xdr:colOff>733425</xdr:colOff>
      <xdr:row>38</xdr:row>
      <xdr:rowOff>76200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1E17EC9-1C1A-CA5E-A284-74B910CCF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57150</xdr:colOff>
      <xdr:row>25</xdr:row>
      <xdr:rowOff>185737</xdr:rowOff>
    </xdr:from>
    <xdr:to>
      <xdr:col>15</xdr:col>
      <xdr:colOff>390525</xdr:colOff>
      <xdr:row>38</xdr:row>
      <xdr:rowOff>85725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BAA3E27-C513-04E2-02D1-484C5F842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228600</xdr:colOff>
      <xdr:row>11</xdr:row>
      <xdr:rowOff>33337</xdr:rowOff>
    </xdr:from>
    <xdr:to>
      <xdr:col>14</xdr:col>
      <xdr:colOff>514350</xdr:colOff>
      <xdr:row>20</xdr:row>
      <xdr:rowOff>180975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6831529-D825-BB21-B0A9-CEC1136BB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539212</xdr:colOff>
      <xdr:row>39</xdr:row>
      <xdr:rowOff>89436</xdr:rowOff>
    </xdr:from>
    <xdr:to>
      <xdr:col>10</xdr:col>
      <xdr:colOff>80720</xdr:colOff>
      <xdr:row>53</xdr:row>
      <xdr:rowOff>120433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4274B6F-BB55-3A9B-FDC1-FC43705D9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113008</xdr:colOff>
      <xdr:row>39</xdr:row>
      <xdr:rowOff>24861</xdr:rowOff>
    </xdr:from>
    <xdr:to>
      <xdr:col>16</xdr:col>
      <xdr:colOff>129153</xdr:colOff>
      <xdr:row>53</xdr:row>
      <xdr:rowOff>55858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88BAB0CF-D6C4-6939-86E2-3BCC72B34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248619</xdr:colOff>
      <xdr:row>55</xdr:row>
      <xdr:rowOff>105581</xdr:rowOff>
    </xdr:from>
    <xdr:to>
      <xdr:col>18</xdr:col>
      <xdr:colOff>387458</xdr:colOff>
      <xdr:row>80</xdr:row>
      <xdr:rowOff>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A2A2655D-6D9B-E216-C02E-B863BF5F1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38746</xdr:colOff>
      <xdr:row>55</xdr:row>
      <xdr:rowOff>105580</xdr:rowOff>
    </xdr:from>
    <xdr:to>
      <xdr:col>28</xdr:col>
      <xdr:colOff>322882</xdr:colOff>
      <xdr:row>79</xdr:row>
      <xdr:rowOff>145296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16799E0B-0FC5-E9F8-DAAC-88511D4B9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737633</xdr:colOff>
      <xdr:row>82</xdr:row>
      <xdr:rowOff>12848</xdr:rowOff>
    </xdr:from>
    <xdr:to>
      <xdr:col>9</xdr:col>
      <xdr:colOff>724342</xdr:colOff>
      <xdr:row>96</xdr:row>
      <xdr:rowOff>120059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BBA6013D-DF8F-BB18-4433-0E2906587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</xdr:row>
      <xdr:rowOff>14287</xdr:rowOff>
    </xdr:from>
    <xdr:to>
      <xdr:col>7</xdr:col>
      <xdr:colOff>685800</xdr:colOff>
      <xdr:row>10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A29DFE-15AD-BA06-15E7-7ED93791C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0</xdr:row>
      <xdr:rowOff>176213</xdr:rowOff>
    </xdr:from>
    <xdr:to>
      <xdr:col>11</xdr:col>
      <xdr:colOff>495300</xdr:colOff>
      <xdr:row>11</xdr:row>
      <xdr:rowOff>19051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A49DE4D-1EE2-3DB1-FE70-562C3DB8C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714375</xdr:colOff>
      <xdr:row>1</xdr:row>
      <xdr:rowOff>4762</xdr:rowOff>
    </xdr:from>
    <xdr:to>
      <xdr:col>15</xdr:col>
      <xdr:colOff>476250</xdr:colOff>
      <xdr:row>10</xdr:row>
      <xdr:rowOff>152400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57C872D4-5A3C-BADE-A656-9FE837DCF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761999</xdr:colOff>
      <xdr:row>11</xdr:row>
      <xdr:rowOff>119061</xdr:rowOff>
    </xdr:from>
    <xdr:to>
      <xdr:col>11</xdr:col>
      <xdr:colOff>752474</xdr:colOff>
      <xdr:row>26</xdr:row>
      <xdr:rowOff>47624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648B086-5EC6-B45C-09D8-6635136B7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nago\Downloads\Classeur2%20TEST.xlsx" TargetMode="External"/><Relationship Id="rId1" Type="http://schemas.openxmlformats.org/officeDocument/2006/relationships/externalLinkPath" Target="Classeur2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  <sheetName val="Feuil2"/>
      <sheetName val="Feuil3"/>
      <sheetName val="Feuil4"/>
      <sheetName val="Classeur2 TEST"/>
    </sheetNames>
    <definedNames>
      <definedName name="obj" refersTo="='Feuil3'!$B$13"/>
    </definedNames>
    <sheetDataSet>
      <sheetData sheetId="0">
        <row r="1">
          <cell r="A1">
            <v>4578512204</v>
          </cell>
        </row>
        <row r="2">
          <cell r="A2">
            <v>145252</v>
          </cell>
        </row>
      </sheetData>
      <sheetData sheetId="1"/>
      <sheetData sheetId="2">
        <row r="3">
          <cell r="A3" t="str">
            <v>Machine2</v>
          </cell>
        </row>
        <row r="13">
          <cell r="B13">
            <v>11000</v>
          </cell>
        </row>
      </sheetData>
      <sheetData sheetId="3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nick Gnago" refreshedDate="45119.129827546298" createdVersion="8" refreshedVersion="8" minRefreshableVersion="3" recordCount="35" xr:uid="{E419F50E-80AB-46C0-B288-A32480D64942}">
  <cacheSource type="worksheet">
    <worksheetSource ref="A1:J36" sheet="Tableau croise dynamique"/>
  </cacheSource>
  <cacheFields count="11">
    <cacheField name="Titre" numFmtId="0">
      <sharedItems count="5">
        <s v="MATHEMATIQUES AVANCES"/>
        <s v="ANGLAIS DE A A Z"/>
        <s v="GUIDES DES VINS"/>
        <s v="LE DERNIER DUEL"/>
        <s v="FICHES BAC"/>
      </sharedItems>
    </cacheField>
    <cacheField name="Representant" numFmtId="0">
      <sharedItems count="3">
        <s v="DURAND"/>
        <s v="PONTIER"/>
        <s v="DUPONT"/>
      </sharedItems>
    </cacheField>
    <cacheField name="Num Client" numFmtId="0">
      <sharedItems containsSemiMixedTypes="0" containsString="0" containsNumber="1" containsInteger="1" minValue="10001" maxValue="10013"/>
    </cacheField>
    <cacheField name="Type enseignement" numFmtId="0">
      <sharedItems count="3">
        <s v="GMSS"/>
        <s v="LIBRAIRIE"/>
        <s v="GSS"/>
      </sharedItems>
    </cacheField>
    <cacheField name="Nom" numFmtId="0">
      <sharedItems/>
    </cacheField>
    <cacheField name="Ville " numFmtId="0">
      <sharedItems count="6">
        <s v="PARIS"/>
        <s v="BORDEAUX"/>
        <s v="LYON"/>
        <s v="MARSEILLE"/>
        <s v="VERSAILLES"/>
        <s v="LILLE"/>
      </sharedItems>
    </cacheField>
    <cacheField name="Qte ventes An" numFmtId="0">
      <sharedItems containsSemiMixedTypes="0" containsString="0" containsNumber="1" containsInteger="1" minValue="5" maxValue="100"/>
    </cacheField>
    <cacheField name="Qte ventes An-1 " numFmtId="0">
      <sharedItems containsSemiMixedTypes="0" containsString="0" containsNumber="1" containsInteger="1" minValue="5" maxValue="80"/>
    </cacheField>
    <cacheField name="CA An (k$)" numFmtId="0">
      <sharedItems containsSemiMixedTypes="0" containsString="0" containsNumber="1" containsInteger="1" minValue="75" maxValue="3320" count="23">
        <n v="144"/>
        <n v="75"/>
        <n v="96"/>
        <n v="100"/>
        <n v="119"/>
        <n v="125"/>
        <n v="192"/>
        <n v="168"/>
        <n v="165"/>
        <n v="120"/>
        <n v="138"/>
        <n v="130"/>
        <n v="200"/>
        <n v="105"/>
        <n v="140"/>
        <n v="150"/>
        <n v="3320"/>
        <n v="90"/>
        <n v="122"/>
        <n v="98"/>
        <n v="154"/>
        <n v="247"/>
        <n v="214"/>
      </sharedItems>
    </cacheField>
    <cacheField name="CA An-1(k$)" numFmtId="0">
      <sharedItems containsSemiMixedTypes="0" containsString="0" containsNumber="1" containsInteger="1" minValue="80" maxValue="520"/>
    </cacheField>
    <cacheField name="Evolution" numFmtId="0" formula=" ('CA An (k$)'-'CA An-1(k$)' )/'CA An-1(k$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x v="0"/>
    <n v="10002"/>
    <x v="0"/>
    <s v="CARREFOUR MONTPARNASSE"/>
    <x v="0"/>
    <n v="100"/>
    <n v="7"/>
    <x v="0"/>
    <n v="512"/>
  </r>
  <r>
    <x v="0"/>
    <x v="1"/>
    <n v="10012"/>
    <x v="0"/>
    <s v="LECLERC ZI SUD"/>
    <x v="1"/>
    <n v="5"/>
    <n v="11"/>
    <x v="1"/>
    <n v="276"/>
  </r>
  <r>
    <x v="0"/>
    <x v="0"/>
    <n v="10001"/>
    <x v="1"/>
    <s v="SARL BOITE A LIRE"/>
    <x v="0"/>
    <n v="6"/>
    <n v="9"/>
    <x v="2"/>
    <n v="164"/>
  </r>
  <r>
    <x v="0"/>
    <x v="1"/>
    <n v="10009"/>
    <x v="0"/>
    <s v="INTERMARCHE ECUILY"/>
    <x v="2"/>
    <n v="10"/>
    <n v="5"/>
    <x v="3"/>
    <n v="80"/>
  </r>
  <r>
    <x v="0"/>
    <x v="1"/>
    <n v="10011"/>
    <x v="1"/>
    <s v="LIBRAIRIE DU PORT SARL"/>
    <x v="3"/>
    <n v="6"/>
    <n v="10"/>
    <x v="2"/>
    <n v="250"/>
  </r>
  <r>
    <x v="1"/>
    <x v="1"/>
    <n v="10013"/>
    <x v="1"/>
    <s v="AU COIN DU FEU SARL"/>
    <x v="1"/>
    <n v="7"/>
    <n v="12"/>
    <x v="4"/>
    <n v="216"/>
  </r>
  <r>
    <x v="0"/>
    <x v="0"/>
    <n v="10005"/>
    <x v="1"/>
    <s v="LIVRE D'ART SARL"/>
    <x v="4"/>
    <n v="9"/>
    <n v="7"/>
    <x v="5"/>
    <n v="105"/>
  </r>
  <r>
    <x v="1"/>
    <x v="2"/>
    <n v="10008"/>
    <x v="1"/>
    <s v="SARL LE PETIT LIBRAIRE"/>
    <x v="5"/>
    <n v="8"/>
    <n v="13"/>
    <x v="3"/>
    <n v="254"/>
  </r>
  <r>
    <x v="0"/>
    <x v="1"/>
    <n v="10013"/>
    <x v="1"/>
    <s v="AU COIN DU FEU SARL"/>
    <x v="1"/>
    <n v="12"/>
    <n v="8"/>
    <x v="6"/>
    <n v="520"/>
  </r>
  <r>
    <x v="2"/>
    <x v="1"/>
    <n v="10011"/>
    <x v="1"/>
    <s v="LIBRAIRIE DU PORT SARL"/>
    <x v="3"/>
    <n v="14"/>
    <n v="9"/>
    <x v="7"/>
    <n v="99"/>
  </r>
  <r>
    <x v="0"/>
    <x v="0"/>
    <n v="10004"/>
    <x v="2"/>
    <s v="FNAC RIVE GAUCHE"/>
    <x v="4"/>
    <n v="11"/>
    <n v="8"/>
    <x v="8"/>
    <n v="135"/>
  </r>
  <r>
    <x v="0"/>
    <x v="2"/>
    <n v="10006"/>
    <x v="2"/>
    <s v="DECITRE GARE"/>
    <x v="5"/>
    <n v="12"/>
    <n v="11"/>
    <x v="6"/>
    <n v="175"/>
  </r>
  <r>
    <x v="2"/>
    <x v="2"/>
    <n v="10007"/>
    <x v="0"/>
    <s v="INTERMARCHE ZI NORD"/>
    <x v="5"/>
    <n v="14"/>
    <n v="12"/>
    <x v="9"/>
    <n v="132"/>
  </r>
  <r>
    <x v="3"/>
    <x v="1"/>
    <n v="10009"/>
    <x v="0"/>
    <s v="INTERMARCHE ECUILY"/>
    <x v="2"/>
    <n v="10"/>
    <n v="6"/>
    <x v="10"/>
    <n v="144"/>
  </r>
  <r>
    <x v="3"/>
    <x v="1"/>
    <n v="10013"/>
    <x v="1"/>
    <s v="AU COIN DU FEU SARL"/>
    <x v="1"/>
    <n v="12"/>
    <n v="12"/>
    <x v="11"/>
    <n v="105"/>
  </r>
  <r>
    <x v="0"/>
    <x v="1"/>
    <n v="10010"/>
    <x v="2"/>
    <s v="FNAC PART-DIEU"/>
    <x v="2"/>
    <n v="20"/>
    <n v="6"/>
    <x v="12"/>
    <n v="156"/>
  </r>
  <r>
    <x v="0"/>
    <x v="0"/>
    <n v="10003"/>
    <x v="2"/>
    <s v="FNAC MONTPARNASSE"/>
    <x v="0"/>
    <n v="7"/>
    <n v="7"/>
    <x v="13"/>
    <n v="156"/>
  </r>
  <r>
    <x v="2"/>
    <x v="0"/>
    <n v="10004"/>
    <x v="2"/>
    <s v="FNAC RIVE GAUCHE"/>
    <x v="4"/>
    <n v="7"/>
    <n v="18"/>
    <x v="13"/>
    <n v="162"/>
  </r>
  <r>
    <x v="2"/>
    <x v="1"/>
    <n v="10006"/>
    <x v="1"/>
    <s v="AU COIN DU FEU SARL"/>
    <x v="1"/>
    <n v="14"/>
    <n v="27"/>
    <x v="14"/>
    <n v="459"/>
  </r>
  <r>
    <x v="3"/>
    <x v="2"/>
    <n v="10007"/>
    <x v="1"/>
    <s v="SARL LE PETIT LIBRAIRE"/>
    <x v="5"/>
    <n v="15"/>
    <n v="50"/>
    <x v="15"/>
    <n v="180"/>
  </r>
  <r>
    <x v="1"/>
    <x v="1"/>
    <n v="10009"/>
    <x v="2"/>
    <s v="FNAC PART-DIEU"/>
    <x v="2"/>
    <n v="10"/>
    <n v="54"/>
    <x v="3"/>
    <n v="80"/>
  </r>
  <r>
    <x v="0"/>
    <x v="2"/>
    <n v="10013"/>
    <x v="0"/>
    <s v="INTERMARCHE ZI NORD"/>
    <x v="5"/>
    <n v="11"/>
    <n v="21"/>
    <x v="16"/>
    <n v="168"/>
  </r>
  <r>
    <x v="0"/>
    <x v="2"/>
    <n v="10010"/>
    <x v="1"/>
    <s v="SARL LE PETIT LIBRAIRE"/>
    <x v="5"/>
    <n v="12"/>
    <n v="10"/>
    <x v="3"/>
    <n v="162"/>
  </r>
  <r>
    <x v="2"/>
    <x v="0"/>
    <n v="10003"/>
    <x v="1"/>
    <s v="LIVRE D'ART SARL"/>
    <x v="4"/>
    <n v="6"/>
    <n v="57"/>
    <x v="17"/>
    <n v="200"/>
  </r>
  <r>
    <x v="3"/>
    <x v="1"/>
    <n v="10004"/>
    <x v="0"/>
    <s v="LECLERC ZI SUD"/>
    <x v="1"/>
    <n v="11"/>
    <n v="28"/>
    <x v="18"/>
    <n v="121"/>
  </r>
  <r>
    <x v="4"/>
    <x v="1"/>
    <n v="10013"/>
    <x v="1"/>
    <s v="LIBRAIRIE DU PORT SARL"/>
    <x v="3"/>
    <n v="13"/>
    <n v="31"/>
    <x v="11"/>
    <n v="162"/>
  </r>
  <r>
    <x v="2"/>
    <x v="0"/>
    <n v="10010"/>
    <x v="0"/>
    <s v="CARREFOUR MONTPARNASSE"/>
    <x v="0"/>
    <n v="12"/>
    <n v="27"/>
    <x v="0"/>
    <n v="200"/>
  </r>
  <r>
    <x v="2"/>
    <x v="2"/>
    <n v="10003"/>
    <x v="2"/>
    <s v="DECITRE GARE"/>
    <x v="5"/>
    <n v="14"/>
    <n v="51"/>
    <x v="14"/>
    <n v="321"/>
  </r>
  <r>
    <x v="2"/>
    <x v="2"/>
    <n v="10004"/>
    <x v="1"/>
    <s v="SARL LE PETIT LIBRAIRE"/>
    <x v="5"/>
    <n v="15"/>
    <n v="27"/>
    <x v="15"/>
    <n v="100"/>
  </r>
  <r>
    <x v="4"/>
    <x v="1"/>
    <n v="10013"/>
    <x v="2"/>
    <s v="FNAC PART-DIEU"/>
    <x v="5"/>
    <n v="14"/>
    <n v="80"/>
    <x v="9"/>
    <n v="132"/>
  </r>
  <r>
    <x v="2"/>
    <x v="1"/>
    <n v="10008"/>
    <x v="2"/>
    <s v="FNAC PART-DIEU"/>
    <x v="2"/>
    <n v="11"/>
    <n v="14"/>
    <x v="19"/>
    <n v="310"/>
  </r>
  <r>
    <x v="3"/>
    <x v="2"/>
    <n v="10010"/>
    <x v="2"/>
    <s v="DECITRE GARE"/>
    <x v="2"/>
    <n v="9"/>
    <n v="25"/>
    <x v="9"/>
    <n v="165"/>
  </r>
  <r>
    <x v="4"/>
    <x v="2"/>
    <n v="10007"/>
    <x v="2"/>
    <s v="DECITRE GARE"/>
    <x v="5"/>
    <n v="12"/>
    <n v="13"/>
    <x v="20"/>
    <n v="130"/>
  </r>
  <r>
    <x v="1"/>
    <x v="1"/>
    <n v="10008"/>
    <x v="0"/>
    <s v="INTERMARCHE ECUILY"/>
    <x v="5"/>
    <n v="11"/>
    <n v="5"/>
    <x v="21"/>
    <n v="132"/>
  </r>
  <r>
    <x v="1"/>
    <x v="0"/>
    <n v="10005"/>
    <x v="1"/>
    <s v="LIVRE D'ART SARL"/>
    <x v="2"/>
    <n v="15"/>
    <n v="11"/>
    <x v="22"/>
    <n v="5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7665D9-940F-4194-85D1-65306D0B3669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4:C17" firstHeaderRow="0" firstDataRow="1" firstDataCol="1" rowPageCount="1" colPageCount="1"/>
  <pivotFields count="11">
    <pivotField subtotalTop="0" showAll="0" defaultSubtotal="0"/>
    <pivotField axis="axisRow" subtotalTop="0" showAll="0" defaultSubtotal="0">
      <items count="3">
        <item x="2"/>
        <item x="0"/>
        <item x="1"/>
      </items>
    </pivotField>
    <pivotField subtotalTop="0" showAll="0" defaultSubtotal="0"/>
    <pivotField axis="axisRow" subtotalTop="0" showAll="0" defaultSubtotal="0">
      <items count="3">
        <item x="0"/>
        <item x="2"/>
        <item x="1"/>
      </items>
    </pivotField>
    <pivotField subtotalTop="0" showAll="0" defaultSubtotal="0"/>
    <pivotField axis="axisPage" subtotalTop="0" multipleItemSelectionAllowed="1" showAll="0" defaultSubtotal="0">
      <items count="6">
        <item x="1"/>
        <item x="5"/>
        <item x="2"/>
        <item x="3"/>
        <item x="0"/>
        <item x="4"/>
      </items>
    </pivotField>
    <pivotField subtotalTop="0" showAll="0" defaultSubtotal="0"/>
    <pivotField subtotalTop="0" showAll="0" defaultSubtotal="0"/>
    <pivotField dataField="1" subtotalTop="0" showAll="0" defaultSubtotal="0"/>
    <pivotField dataField="1" subtotalTop="0" showAll="0" defaultSubtotal="0"/>
    <pivotField subtotalTop="0" dragToRow="0" dragToCol="0" dragToPage="0" showAll="0" defaultSubtotal="0"/>
  </pivotFields>
  <rowFields count="2">
    <field x="1"/>
    <field x="3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omme de CA An (k$)" fld="8" baseField="0" baseItem="0"/>
    <dataField name="Somme de CA An-1(k$)" fld="9" baseField="0" baseItem="0"/>
  </dataFields>
  <pivotTableStyleInfo name="PivotStyleLight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B31FFE-5F91-422C-BADB-2B2A2F0509AC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27" firstHeaderRow="0" firstDataRow="1" firstDataCol="1"/>
  <pivotFields count="11"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axis="axisRow" showAll="0">
      <items count="24">
        <item x="1"/>
        <item x="17"/>
        <item x="2"/>
        <item x="19"/>
        <item x="3"/>
        <item x="13"/>
        <item x="4"/>
        <item x="9"/>
        <item x="18"/>
        <item x="5"/>
        <item x="11"/>
        <item x="10"/>
        <item x="14"/>
        <item x="0"/>
        <item x="15"/>
        <item x="20"/>
        <item x="8"/>
        <item x="7"/>
        <item x="6"/>
        <item x="12"/>
        <item x="22"/>
        <item x="21"/>
        <item x="16"/>
        <item t="default"/>
      </items>
    </pivotField>
    <pivotField showAll="0"/>
    <pivotField dragToRow="0" dragToCol="0" dragToPage="0" showAll="0" defaultSubtotal="0"/>
  </pivotFields>
  <rowFields count="1">
    <field x="8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e Nom" fld="4" subtotal="count" baseField="0" baseItem="0"/>
    <dataField name="Somme de Qte ventes A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8974B-9B3B-4F38-8869-E5AD6DD659BD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D9" firstHeaderRow="0" firstDataRow="1" firstDataCol="1"/>
  <pivotFields count="11">
    <pivotField axis="axisRow" showAll="0" sortType="descending">
      <items count="6">
        <item x="1"/>
        <item x="4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dragToRow="0" dragToCol="0" dragToPage="0" showAll="0" defaultSubtotal="0"/>
  </pivotFields>
  <rowFields count="1">
    <field x="0"/>
  </rowFields>
  <rowItems count="6">
    <i>
      <x v="4"/>
    </i>
    <i>
      <x v="2"/>
    </i>
    <i>
      <x/>
    </i>
    <i>
      <x v="3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mbre de Nom" fld="4" subtotal="count" baseField="0" baseItem="0"/>
    <dataField name="Somme de CA An (k$)" fld="8" baseField="0" baseItem="0"/>
    <dataField name="Poids CA An (k$)" fld="8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7F5AC-CE18-4DEF-946A-D6526AAC9127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D16" firstHeaderRow="0" firstDataRow="1" firstDataCol="1"/>
  <pivotFields count="11">
    <pivotField showAll="0"/>
    <pivotField axis="axisRow" showAll="0">
      <items count="4">
        <item x="2"/>
        <item x="0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dragToRow="0" dragToCol="0" dragToPage="0" showAll="0" defaultSubtotal="0"/>
  </pivotFields>
  <rowFields count="2">
    <field x="1"/>
    <field x="3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CA An (k$)" fld="8" baseField="0" baseItem="0"/>
    <dataField name="Somme de CA An-1(k$)" fld="9" baseField="0" baseItem="0"/>
    <dataField name="Somme de Evolution" fld="10" baseField="0" baseItem="0"/>
  </dataFields>
  <formats count="2">
    <format dxfId="1">
      <pivotArea dataOnly="0" outline="0" fieldPosition="0">
        <references count="1">
          <reference field="4294967294" count="1">
            <x v="2"/>
          </reference>
        </references>
      </pivotArea>
    </format>
    <format dxfId="0">
      <pivotArea collapsedLevelsAreSubtotals="1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3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432010-42BA-4550-833F-5FDB30647A25}" name="Tableau2" displayName="Tableau2" ref="B27:H32" totalsRowShown="0">
  <autoFilter ref="B27:H32" xr:uid="{7D432010-42BA-4550-833F-5FDB30647A25}"/>
  <tableColumns count="7">
    <tableColumn id="1" xr3:uid="{B87E0763-90C3-49C8-BE3B-783B1529C92A}" name="Colonne1"/>
    <tableColumn id="2" xr3:uid="{06FD078B-BAA2-40F2-8426-3D214E823868}" name="Janv"/>
    <tableColumn id="3" xr3:uid="{8D0ECE62-A686-4192-B5CF-B6EE71030A78}" name="fevr"/>
    <tableColumn id="4" xr3:uid="{C2810E8E-3F6D-43DF-A9A0-AE64311E05AC}" name="mars"/>
    <tableColumn id="5" xr3:uid="{FCBC1670-9A9A-49F0-8D1C-8D2CC7078105}" name="Trimestre n" dataDxfId="5">
      <calculatedColumnFormula>C28+D28+E28</calculatedColumnFormula>
    </tableColumn>
    <tableColumn id="6" xr3:uid="{C52A83F6-B9F0-44A9-B31B-1D98C114880C}" name="Trimestre n-1"/>
    <tableColumn id="9" xr3:uid="{41B2F9FF-3BC0-434E-B69F-D13E62BCF58A}" name="Evolution" dataDxfId="4">
      <calculatedColumnFormula>(F28-G28)/G28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CAE90-AC36-4ADE-BB21-7CAEF3430C67}" name="Tableau1" displayName="Tableau1" ref="D1:D6" totalsRowCount="1">
  <autoFilter ref="D1:D5" xr:uid="{817CAE90-AC36-4ADE-BB21-7CAEF3430C67}"/>
  <tableColumns count="1">
    <tableColumn id="1" xr3:uid="{370C5D52-AB92-4ACA-8920-22601A7FE4FE}" name="tab1" totalsRowFunction="custom">
      <totalsRowFormula>(10+15)/2</totalsRowFormula>
    </tableColumn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3D9F5E-64AC-4DF1-BE26-DB8CF4721FFD}" name="Tableau5" displayName="Tableau5" ref="A10:E13" totalsRowShown="0">
  <autoFilter ref="A10:E13" xr:uid="{563D9F5E-64AC-4DF1-BE26-DB8CF4721FFD}"/>
  <tableColumns count="5">
    <tableColumn id="1" xr3:uid="{DCB2A6CE-6A12-462D-B41D-66282530B10C}" name="Colonne1"/>
    <tableColumn id="2" xr3:uid="{22B68950-F254-412E-8683-CD02090B4DF7}" name="JANUARY"/>
    <tableColumn id="3" xr3:uid="{2E516F81-7ABD-400D-9C9B-DB7D7B3925F9}" name="FEBRUARY"/>
    <tableColumn id="4" xr3:uid="{F4CF3DA6-9D87-4AC6-8133-6D2902C79D2D}" name="MARCH"/>
    <tableColumn id="5" xr3:uid="{894D88DA-26BF-4B97-AACD-DE2E4F5E2555}" name="SOMME" dataDxfId="3">
      <calculatedColumnFormula>SUM(B11,C11,D11)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DF9B51-22C2-43D1-8EC5-ED2A5EB6C08F}" name="Tableau7" displayName="Tableau7" ref="B16:E25" totalsRowShown="0">
  <autoFilter ref="B16:E25" xr:uid="{70DF9B51-22C2-43D1-8EC5-ED2A5EB6C08F}"/>
  <tableColumns count="4">
    <tableColumn id="1" xr3:uid="{18F77560-C50D-4D26-83A2-0E99BA53EB1A}" name="JJ"/>
    <tableColumn id="2" xr3:uid="{1F69ADB8-5213-46A8-BB00-D31CC6B2248C}" name="MM"/>
    <tableColumn id="5" xr3:uid="{B2DAFAC8-C2E7-4554-AC08-C0077CC9CE0F}" name="AA+10" dataDxfId="2">
      <calculatedColumnFormula>E17+10</calculatedColumnFormula>
    </tableColumn>
    <tableColumn id="3" xr3:uid="{C20B5A36-CEF9-4E03-91C1-7A217CC7F408}" name="AA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A209E5-B98C-4449-BE8B-EB069CE84F24}" name="Tableau3" displayName="Tableau3" ref="A1:J11" totalsRowShown="0">
  <autoFilter ref="A1:J11" xr:uid="{4BA209E5-B98C-4449-BE8B-EB069CE84F24}"/>
  <tableColumns count="10">
    <tableColumn id="1" xr3:uid="{E14C67EB-C6E9-42B4-ADF6-E9B518C51F54}" name="Titre"/>
    <tableColumn id="2" xr3:uid="{BC9F86A9-4917-4A0B-A3A1-EF47148E05BC}" name="Representant"/>
    <tableColumn id="3" xr3:uid="{D5D59F81-3EEA-4B33-88BA-5166CD87A485}" name="Num Client"/>
    <tableColumn id="4" xr3:uid="{95AF718E-58F9-4F50-9F5A-E75B9B775247}" name="Type enseignement"/>
    <tableColumn id="5" xr3:uid="{7930F44F-04EC-4F76-B81B-C14CDC33973D}" name="Nom"/>
    <tableColumn id="6" xr3:uid="{E08BFC94-90E7-415A-AE79-4539FF9CA757}" name="Ville "/>
    <tableColumn id="7" xr3:uid="{162C0F73-4549-4960-8203-67D9A143D588}" name="Qte ventes An"/>
    <tableColumn id="8" xr3:uid="{F1F8FC4C-475B-4D05-9A47-4677158B72CA}" name="Qte ventes An-1 "/>
    <tableColumn id="9" xr3:uid="{0B9D8582-6B16-49E4-96C7-E423B3E74E72}" name="CA An (k$)"/>
    <tableColumn id="10" xr3:uid="{33C201A1-D497-4682-B01D-5E7E31EEFA3E}" name="CA An-1(k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F102-7CDB-4C89-80D2-51C91F7E73AC}">
  <dimension ref="A1:Y98"/>
  <sheetViews>
    <sheetView workbookViewId="0"/>
  </sheetViews>
  <sheetFormatPr baseColWidth="10" defaultRowHeight="15" x14ac:dyDescent="0.25"/>
  <cols>
    <col min="1" max="1" width="17.140625" bestFit="1" customWidth="1"/>
    <col min="2" max="3" width="11.85546875" customWidth="1"/>
    <col min="4" max="4" width="9.7109375" customWidth="1"/>
    <col min="5" max="5" width="10.28515625" customWidth="1"/>
    <col min="6" max="6" width="8.28515625" customWidth="1"/>
    <col min="7" max="7" width="11.85546875" customWidth="1"/>
    <col min="8" max="8" width="15.7109375" customWidth="1"/>
    <col min="9" max="9" width="11.85546875" customWidth="1"/>
    <col min="13" max="13" width="22.42578125" bestFit="1" customWidth="1"/>
    <col min="19" max="19" width="7.7109375" customWidth="1"/>
    <col min="20" max="20" width="28.5703125" bestFit="1" customWidth="1"/>
    <col min="21" max="21" width="15.42578125" bestFit="1" customWidth="1"/>
    <col min="22" max="22" width="14.28515625" bestFit="1" customWidth="1"/>
    <col min="23" max="23" width="13.140625" bestFit="1" customWidth="1"/>
    <col min="24" max="24" width="14.140625" customWidth="1"/>
    <col min="25" max="25" width="8.85546875" bestFit="1" customWidth="1"/>
  </cols>
  <sheetData>
    <row r="1" spans="1:12" x14ac:dyDescent="0.25">
      <c r="A1" s="3">
        <v>-2021230030</v>
      </c>
      <c r="B1" s="2">
        <v>12300.3</v>
      </c>
      <c r="C1" s="4">
        <v>44358</v>
      </c>
      <c r="D1" s="5">
        <v>44358</v>
      </c>
      <c r="E1" s="4">
        <f ca="1">TODAY()</f>
        <v>45122</v>
      </c>
      <c r="F1">
        <f ca="1">E1-C1</f>
        <v>764</v>
      </c>
      <c r="H1" s="6">
        <v>14520</v>
      </c>
    </row>
    <row r="2" spans="1:12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1" t="s">
        <v>30</v>
      </c>
      <c r="H2" t="s">
        <v>31</v>
      </c>
    </row>
    <row r="4" spans="1:12" x14ac:dyDescent="0.25">
      <c r="A4">
        <f>4813.71</f>
        <v>4813.71</v>
      </c>
      <c r="D4" s="7"/>
    </row>
    <row r="5" spans="1:12" x14ac:dyDescent="0.25">
      <c r="D5" s="6"/>
      <c r="F5" s="14" t="s">
        <v>59</v>
      </c>
    </row>
    <row r="6" spans="1:12" x14ac:dyDescent="0.25"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53</v>
      </c>
      <c r="L6" t="s">
        <v>57</v>
      </c>
    </row>
    <row r="7" spans="1:12" x14ac:dyDescent="0.25">
      <c r="C7" s="1" t="s">
        <v>40</v>
      </c>
      <c r="D7" s="1" t="s">
        <v>41</v>
      </c>
      <c r="E7" t="s">
        <v>42</v>
      </c>
      <c r="F7" t="s">
        <v>43</v>
      </c>
      <c r="G7">
        <v>21</v>
      </c>
      <c r="H7" s="10" t="s">
        <v>40</v>
      </c>
      <c r="I7" s="8" t="s">
        <v>44</v>
      </c>
      <c r="J7" s="9">
        <v>21</v>
      </c>
      <c r="K7" s="5" t="s">
        <v>43</v>
      </c>
      <c r="L7" s="1" t="s">
        <v>42</v>
      </c>
    </row>
    <row r="8" spans="1:12" x14ac:dyDescent="0.25">
      <c r="C8" s="1" t="s">
        <v>40</v>
      </c>
      <c r="D8" s="1" t="s">
        <v>41</v>
      </c>
      <c r="E8" t="s">
        <v>42</v>
      </c>
      <c r="F8" t="s">
        <v>43</v>
      </c>
      <c r="G8">
        <v>21</v>
      </c>
      <c r="H8" s="8" t="s">
        <v>40</v>
      </c>
      <c r="I8" s="8" t="s">
        <v>44</v>
      </c>
      <c r="J8" s="9">
        <v>22</v>
      </c>
      <c r="K8" s="5" t="s">
        <v>45</v>
      </c>
      <c r="L8" s="1" t="s">
        <v>54</v>
      </c>
    </row>
    <row r="9" spans="1:12" x14ac:dyDescent="0.25">
      <c r="C9" s="1" t="s">
        <v>40</v>
      </c>
      <c r="D9" s="1" t="s">
        <v>41</v>
      </c>
      <c r="E9" t="s">
        <v>42</v>
      </c>
      <c r="F9" t="s">
        <v>43</v>
      </c>
      <c r="G9">
        <v>21</v>
      </c>
      <c r="H9" s="8" t="s">
        <v>40</v>
      </c>
      <c r="I9" s="8" t="s">
        <v>44</v>
      </c>
      <c r="J9" s="9">
        <v>23</v>
      </c>
      <c r="K9" s="5" t="s">
        <v>46</v>
      </c>
      <c r="L9" s="1" t="s">
        <v>55</v>
      </c>
    </row>
    <row r="10" spans="1:12" x14ac:dyDescent="0.25">
      <c r="C10" s="1" t="s">
        <v>40</v>
      </c>
      <c r="D10" s="1" t="s">
        <v>41</v>
      </c>
      <c r="E10" t="s">
        <v>42</v>
      </c>
      <c r="F10" t="s">
        <v>43</v>
      </c>
      <c r="G10">
        <v>21</v>
      </c>
      <c r="H10" s="12" t="s">
        <v>58</v>
      </c>
      <c r="I10" s="11" t="s">
        <v>58</v>
      </c>
      <c r="J10" s="9">
        <v>24</v>
      </c>
      <c r="K10" s="5" t="s">
        <v>47</v>
      </c>
      <c r="L10" s="1" t="s">
        <v>56</v>
      </c>
    </row>
    <row r="11" spans="1:12" x14ac:dyDescent="0.25">
      <c r="C11" s="1" t="s">
        <v>40</v>
      </c>
      <c r="D11" s="1" t="s">
        <v>41</v>
      </c>
      <c r="E11" t="s">
        <v>42</v>
      </c>
      <c r="F11" t="s">
        <v>43</v>
      </c>
      <c r="G11">
        <v>21</v>
      </c>
      <c r="I11" s="8"/>
      <c r="J11" s="9">
        <v>25</v>
      </c>
      <c r="K11" s="5" t="s">
        <v>48</v>
      </c>
      <c r="L11" s="1" t="s">
        <v>42</v>
      </c>
    </row>
    <row r="12" spans="1:12" x14ac:dyDescent="0.25">
      <c r="C12" s="1" t="s">
        <v>40</v>
      </c>
      <c r="D12" s="1" t="s">
        <v>41</v>
      </c>
      <c r="E12" t="s">
        <v>42</v>
      </c>
      <c r="F12" t="s">
        <v>43</v>
      </c>
      <c r="G12">
        <v>21</v>
      </c>
      <c r="I12" s="8"/>
      <c r="J12" s="9">
        <v>26</v>
      </c>
      <c r="K12" s="5" t="s">
        <v>49</v>
      </c>
      <c r="L12" s="1" t="s">
        <v>54</v>
      </c>
    </row>
    <row r="13" spans="1:12" x14ac:dyDescent="0.25">
      <c r="C13" s="1" t="s">
        <v>40</v>
      </c>
      <c r="D13" s="1" t="s">
        <v>41</v>
      </c>
      <c r="E13" t="s">
        <v>42</v>
      </c>
      <c r="F13" t="s">
        <v>43</v>
      </c>
      <c r="G13">
        <v>21</v>
      </c>
      <c r="I13" s="8"/>
      <c r="J13" s="9">
        <v>27</v>
      </c>
      <c r="K13" s="5" t="s">
        <v>50</v>
      </c>
      <c r="L13" s="1" t="s">
        <v>55</v>
      </c>
    </row>
    <row r="14" spans="1:12" x14ac:dyDescent="0.25">
      <c r="C14" s="1" t="s">
        <v>40</v>
      </c>
      <c r="E14" t="s">
        <v>42</v>
      </c>
      <c r="F14" t="s">
        <v>43</v>
      </c>
      <c r="G14">
        <v>21</v>
      </c>
      <c r="J14" s="9">
        <v>28</v>
      </c>
      <c r="K14" s="5" t="s">
        <v>51</v>
      </c>
    </row>
    <row r="15" spans="1:12" x14ac:dyDescent="0.25">
      <c r="C15" s="1" t="s">
        <v>40</v>
      </c>
      <c r="E15" t="s">
        <v>42</v>
      </c>
      <c r="F15" t="s">
        <v>43</v>
      </c>
      <c r="G15">
        <v>21</v>
      </c>
      <c r="J15" s="9">
        <v>29</v>
      </c>
      <c r="K15" s="5" t="s">
        <v>52</v>
      </c>
    </row>
    <row r="16" spans="1:12" x14ac:dyDescent="0.25">
      <c r="C16" s="1" t="s">
        <v>40</v>
      </c>
      <c r="J16" s="9">
        <v>30</v>
      </c>
    </row>
    <row r="17" spans="1:11" x14ac:dyDescent="0.25">
      <c r="C17" s="1" t="s">
        <v>40</v>
      </c>
      <c r="J17" s="9">
        <v>31</v>
      </c>
    </row>
    <row r="18" spans="1:11" x14ac:dyDescent="0.25">
      <c r="C18" s="1" t="s">
        <v>40</v>
      </c>
      <c r="J18" s="9">
        <v>32</v>
      </c>
    </row>
    <row r="19" spans="1:11" x14ac:dyDescent="0.25">
      <c r="J19" s="9"/>
    </row>
    <row r="20" spans="1:11" x14ac:dyDescent="0.25">
      <c r="F20" s="14" t="s">
        <v>65</v>
      </c>
      <c r="J20" s="9"/>
    </row>
    <row r="21" spans="1:11" x14ac:dyDescent="0.25">
      <c r="A21" t="s">
        <v>60</v>
      </c>
      <c r="D21" t="s">
        <v>61</v>
      </c>
      <c r="G21" t="s">
        <v>63</v>
      </c>
      <c r="J21" s="9"/>
      <c r="K21" t="s">
        <v>64</v>
      </c>
    </row>
    <row r="22" spans="1:11" x14ac:dyDescent="0.25">
      <c r="A22">
        <f>19+61</f>
        <v>80</v>
      </c>
      <c r="D22">
        <v>75</v>
      </c>
      <c r="E22" s="13">
        <v>0.1</v>
      </c>
      <c r="G22" t="str">
        <f>"Micro"&amp;""&amp;""&amp;"Application"</f>
        <v>MicroApplication</v>
      </c>
      <c r="I22">
        <v>154</v>
      </c>
      <c r="J22" s="9"/>
      <c r="K22" s="4">
        <v>40885</v>
      </c>
    </row>
    <row r="23" spans="1:11" x14ac:dyDescent="0.25">
      <c r="A23">
        <f>(19+145)/3</f>
        <v>54.666666666666664</v>
      </c>
      <c r="D23">
        <v>100</v>
      </c>
      <c r="E23" s="13">
        <v>0.05</v>
      </c>
      <c r="I23">
        <v>-254</v>
      </c>
      <c r="K23">
        <v>25</v>
      </c>
    </row>
    <row r="24" spans="1:11" x14ac:dyDescent="0.25">
      <c r="A24">
        <f>(((12+2)*3)/4)-0.6</f>
        <v>9.9</v>
      </c>
      <c r="C24" t="s">
        <v>62</v>
      </c>
      <c r="D24">
        <f>(75*(1-10%)+100*(1-5%))*(1+19.6%)</f>
        <v>194.35</v>
      </c>
      <c r="I24">
        <f>I22+I23</f>
        <v>-100</v>
      </c>
      <c r="K24" s="4">
        <f>K22+K23</f>
        <v>40910</v>
      </c>
    </row>
    <row r="27" spans="1:11" x14ac:dyDescent="0.25">
      <c r="B27" t="s">
        <v>2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</row>
    <row r="28" spans="1:11" x14ac:dyDescent="0.25">
      <c r="B28" t="s">
        <v>72</v>
      </c>
      <c r="C28">
        <v>158</v>
      </c>
      <c r="D28">
        <v>189</v>
      </c>
      <c r="E28">
        <v>356</v>
      </c>
      <c r="F28">
        <f>C28+D28+E28</f>
        <v>703</v>
      </c>
      <c r="G28">
        <v>950</v>
      </c>
      <c r="H28" s="15">
        <f>(F28-G28)/G28</f>
        <v>-0.26</v>
      </c>
    </row>
    <row r="29" spans="1:11" x14ac:dyDescent="0.25">
      <c r="B29" t="s">
        <v>73</v>
      </c>
      <c r="C29">
        <v>147</v>
      </c>
      <c r="D29">
        <v>212</v>
      </c>
      <c r="E29">
        <v>258</v>
      </c>
      <c r="F29">
        <f>C29+D29+E29</f>
        <v>617</v>
      </c>
      <c r="G29">
        <v>487</v>
      </c>
      <c r="H29" s="15">
        <f>(F29-G29)/G29</f>
        <v>0.26694045174537989</v>
      </c>
    </row>
    <row r="30" spans="1:11" x14ac:dyDescent="0.25">
      <c r="B30" t="s">
        <v>74</v>
      </c>
      <c r="C30">
        <v>978</v>
      </c>
      <c r="D30">
        <v>235</v>
      </c>
      <c r="E30">
        <v>410</v>
      </c>
      <c r="F30">
        <f>C30+D30+E30</f>
        <v>1623</v>
      </c>
      <c r="G30">
        <v>2100</v>
      </c>
      <c r="H30" s="15">
        <f>(F30-G30)/G30</f>
        <v>-0.22714285714285715</v>
      </c>
    </row>
    <row r="31" spans="1:11" x14ac:dyDescent="0.25">
      <c r="B31" t="s">
        <v>75</v>
      </c>
      <c r="C31">
        <v>1025</v>
      </c>
      <c r="D31">
        <v>425</v>
      </c>
      <c r="E31">
        <v>652</v>
      </c>
      <c r="F31">
        <f>C31+D31+E31</f>
        <v>2102</v>
      </c>
      <c r="G31">
        <v>1500</v>
      </c>
      <c r="H31" s="15">
        <f>(F31-G31)/G31</f>
        <v>0.40133333333333332</v>
      </c>
    </row>
    <row r="32" spans="1:11" x14ac:dyDescent="0.25">
      <c r="B32" t="s">
        <v>76</v>
      </c>
      <c r="C32">
        <f>C28+C29+C30+C31</f>
        <v>2308</v>
      </c>
      <c r="D32">
        <f>D28+D29+D30+D31</f>
        <v>1061</v>
      </c>
      <c r="E32">
        <f>E28+E29+E30+E31</f>
        <v>1676</v>
      </c>
      <c r="F32">
        <f>F28+F29+F30+F31</f>
        <v>5045</v>
      </c>
      <c r="G32">
        <f>G28+G29+G30+G31</f>
        <v>5037</v>
      </c>
      <c r="H32" s="16">
        <f>(F32-G32)/G32</f>
        <v>1.5882469724042088E-3</v>
      </c>
    </row>
    <row r="34" spans="2:7" ht="18.75" x14ac:dyDescent="0.3">
      <c r="F34" s="280" t="s">
        <v>77</v>
      </c>
      <c r="G34" s="281"/>
    </row>
    <row r="36" spans="2:7" ht="15.75" thickBot="1" x14ac:dyDescent="0.3">
      <c r="B36" s="279" t="s">
        <v>94</v>
      </c>
      <c r="C36" s="279"/>
      <c r="D36" s="279"/>
      <c r="E36" s="279"/>
      <c r="F36" s="279"/>
    </row>
    <row r="37" spans="2:7" ht="26.25" x14ac:dyDescent="0.25">
      <c r="B37" s="17"/>
      <c r="C37" s="18" t="s">
        <v>78</v>
      </c>
      <c r="D37" s="18" t="s">
        <v>79</v>
      </c>
      <c r="E37" s="18" t="s">
        <v>80</v>
      </c>
      <c r="F37" s="18" t="s">
        <v>81</v>
      </c>
    </row>
    <row r="38" spans="2:7" x14ac:dyDescent="0.25">
      <c r="B38" s="25" t="s">
        <v>82</v>
      </c>
      <c r="C38" s="23">
        <v>1000</v>
      </c>
      <c r="D38" s="19">
        <f>C38</f>
        <v>1000</v>
      </c>
      <c r="E38" s="23">
        <v>1200</v>
      </c>
      <c r="F38" s="20">
        <f>E38</f>
        <v>1200</v>
      </c>
    </row>
    <row r="39" spans="2:7" x14ac:dyDescent="0.25">
      <c r="B39" s="25" t="s">
        <v>83</v>
      </c>
      <c r="C39" s="23">
        <v>1200</v>
      </c>
      <c r="D39" s="19">
        <f>D38+C38</f>
        <v>2000</v>
      </c>
      <c r="E39" s="23">
        <v>1300</v>
      </c>
      <c r="F39" s="20">
        <f>F38+E39</f>
        <v>2500</v>
      </c>
    </row>
    <row r="40" spans="2:7" x14ac:dyDescent="0.25">
      <c r="B40" s="25" t="s">
        <v>84</v>
      </c>
      <c r="C40" s="23">
        <v>1100</v>
      </c>
      <c r="D40" s="19">
        <f t="shared" ref="D40:D49" si="0">D39+C39</f>
        <v>3200</v>
      </c>
      <c r="E40" s="23">
        <v>1500</v>
      </c>
      <c r="F40" s="20">
        <f>F39+E40</f>
        <v>4000</v>
      </c>
    </row>
    <row r="41" spans="2:7" x14ac:dyDescent="0.25">
      <c r="B41" s="25" t="s">
        <v>85</v>
      </c>
      <c r="C41" s="23">
        <v>1300</v>
      </c>
      <c r="D41" s="19">
        <f t="shared" si="0"/>
        <v>4300</v>
      </c>
      <c r="E41" s="23">
        <v>1800</v>
      </c>
      <c r="F41" s="20">
        <f>F40+E41</f>
        <v>5800</v>
      </c>
    </row>
    <row r="42" spans="2:7" x14ac:dyDescent="0.25">
      <c r="B42" s="25" t="s">
        <v>86</v>
      </c>
      <c r="C42" s="23">
        <v>1500</v>
      </c>
      <c r="D42" s="19">
        <f t="shared" si="0"/>
        <v>5600</v>
      </c>
      <c r="E42" s="23">
        <v>1300</v>
      </c>
      <c r="F42" s="20">
        <f>F41+E42</f>
        <v>7100</v>
      </c>
    </row>
    <row r="43" spans="2:7" x14ac:dyDescent="0.25">
      <c r="B43" s="25" t="s">
        <v>87</v>
      </c>
      <c r="C43" s="23">
        <v>2700</v>
      </c>
      <c r="D43" s="19">
        <f t="shared" si="0"/>
        <v>7100</v>
      </c>
      <c r="E43" s="23"/>
      <c r="F43" s="20">
        <f t="shared" ref="F43:F49" si="1">F42+E43</f>
        <v>7100</v>
      </c>
    </row>
    <row r="44" spans="2:7" x14ac:dyDescent="0.25">
      <c r="B44" s="25" t="s">
        <v>88</v>
      </c>
      <c r="C44" s="23">
        <v>1800</v>
      </c>
      <c r="D44" s="19">
        <f t="shared" si="0"/>
        <v>9800</v>
      </c>
      <c r="E44" s="23"/>
      <c r="F44" s="20">
        <f t="shared" si="1"/>
        <v>7100</v>
      </c>
    </row>
    <row r="45" spans="2:7" x14ac:dyDescent="0.25">
      <c r="B45" s="25" t="s">
        <v>89</v>
      </c>
      <c r="C45" s="23">
        <v>1547</v>
      </c>
      <c r="D45" s="19">
        <f t="shared" si="0"/>
        <v>11600</v>
      </c>
      <c r="E45" s="23"/>
      <c r="F45" s="20">
        <f t="shared" si="1"/>
        <v>7100</v>
      </c>
    </row>
    <row r="46" spans="2:7" x14ac:dyDescent="0.25">
      <c r="B46" s="25" t="s">
        <v>90</v>
      </c>
      <c r="C46" s="23">
        <v>1325</v>
      </c>
      <c r="D46" s="19">
        <f t="shared" si="0"/>
        <v>13147</v>
      </c>
      <c r="E46" s="23"/>
      <c r="F46" s="20">
        <f t="shared" si="1"/>
        <v>7100</v>
      </c>
    </row>
    <row r="47" spans="2:7" x14ac:dyDescent="0.25">
      <c r="B47" s="25" t="s">
        <v>91</v>
      </c>
      <c r="C47" s="23">
        <v>1300</v>
      </c>
      <c r="D47" s="19">
        <f t="shared" si="0"/>
        <v>14472</v>
      </c>
      <c r="E47" s="23"/>
      <c r="F47" s="20">
        <f t="shared" si="1"/>
        <v>7100</v>
      </c>
    </row>
    <row r="48" spans="2:7" x14ac:dyDescent="0.25">
      <c r="B48" s="25" t="s">
        <v>92</v>
      </c>
      <c r="C48" s="23">
        <v>1500</v>
      </c>
      <c r="D48" s="19">
        <f t="shared" si="0"/>
        <v>15772</v>
      </c>
      <c r="E48" s="23"/>
      <c r="F48" s="20">
        <f t="shared" si="1"/>
        <v>7100</v>
      </c>
    </row>
    <row r="49" spans="2:25" ht="15.75" thickBot="1" x14ac:dyDescent="0.3">
      <c r="B49" s="26" t="s">
        <v>93</v>
      </c>
      <c r="C49" s="24">
        <v>1600</v>
      </c>
      <c r="D49" s="21">
        <f t="shared" si="0"/>
        <v>17272</v>
      </c>
      <c r="E49" s="24"/>
      <c r="F49" s="22">
        <f t="shared" si="1"/>
        <v>7100</v>
      </c>
    </row>
    <row r="51" spans="2:25" ht="18.75" x14ac:dyDescent="0.3">
      <c r="G51" s="280" t="s">
        <v>95</v>
      </c>
      <c r="H51" s="282"/>
      <c r="V51" s="289" t="s">
        <v>127</v>
      </c>
      <c r="W51" s="286"/>
      <c r="X51" s="286"/>
    </row>
    <row r="52" spans="2:25" ht="18.75" x14ac:dyDescent="0.3">
      <c r="H52" t="s">
        <v>12</v>
      </c>
      <c r="I52" s="285" t="s">
        <v>99</v>
      </c>
      <c r="J52" s="285"/>
      <c r="K52" s="285"/>
      <c r="L52" s="285"/>
      <c r="M52" s="285"/>
      <c r="N52" s="285"/>
      <c r="O52" s="285"/>
      <c r="P52" s="285"/>
    </row>
    <row r="53" spans="2:25" ht="15.75" thickBot="1" x14ac:dyDescent="0.3">
      <c r="H53" s="286" t="s">
        <v>100</v>
      </c>
      <c r="I53" s="286"/>
      <c r="J53" s="286"/>
      <c r="K53" s="286"/>
      <c r="L53" s="286"/>
      <c r="M53" s="286"/>
      <c r="N53" s="27"/>
      <c r="O53" s="27"/>
      <c r="P53" s="27"/>
      <c r="Q53" s="27"/>
    </row>
    <row r="54" spans="2:25" ht="21.75" thickBot="1" x14ac:dyDescent="0.4">
      <c r="H54" s="27"/>
      <c r="I54" s="27"/>
      <c r="J54" s="27"/>
      <c r="K54" s="27"/>
      <c r="L54" s="27"/>
      <c r="M54" s="27"/>
      <c r="N54" s="27"/>
      <c r="O54" s="27"/>
      <c r="P54" s="27"/>
      <c r="Q54" s="27"/>
      <c r="T54" s="55" t="s">
        <v>117</v>
      </c>
    </row>
    <row r="55" spans="2:25" ht="35.25" customHeight="1" thickBot="1" x14ac:dyDescent="0.3">
      <c r="H55" s="28" t="s">
        <v>96</v>
      </c>
      <c r="I55" s="29"/>
      <c r="J55" s="30" t="s">
        <v>82</v>
      </c>
      <c r="K55" s="30" t="s">
        <v>83</v>
      </c>
      <c r="L55" s="30" t="s">
        <v>84</v>
      </c>
      <c r="M55" s="30" t="s">
        <v>85</v>
      </c>
      <c r="N55" s="30" t="s">
        <v>86</v>
      </c>
      <c r="O55" s="30" t="s">
        <v>87</v>
      </c>
      <c r="P55" s="29"/>
      <c r="Q55" s="30" t="s">
        <v>97</v>
      </c>
    </row>
    <row r="56" spans="2:25" ht="22.5" customHeight="1" x14ac:dyDescent="0.3">
      <c r="H56" s="31"/>
      <c r="I56" s="29"/>
      <c r="J56" s="31"/>
      <c r="K56" s="31"/>
      <c r="L56" s="31"/>
      <c r="M56" s="31"/>
      <c r="N56" s="31"/>
      <c r="O56" s="31"/>
      <c r="P56" s="29"/>
      <c r="Q56" s="31"/>
      <c r="T56" s="51" t="s">
        <v>118</v>
      </c>
      <c r="U56" s="50"/>
      <c r="V56" s="50"/>
      <c r="W56" s="50"/>
      <c r="X56" s="50"/>
      <c r="Y56" s="50"/>
    </row>
    <row r="57" spans="2:25" x14ac:dyDescent="0.25">
      <c r="H57" s="32">
        <v>1</v>
      </c>
      <c r="I57" s="29"/>
      <c r="J57" s="36">
        <v>120</v>
      </c>
      <c r="K57" s="36">
        <v>140</v>
      </c>
      <c r="L57" s="36">
        <v>120</v>
      </c>
      <c r="M57" s="36">
        <v>90</v>
      </c>
      <c r="N57" s="36">
        <v>160</v>
      </c>
      <c r="O57" s="36">
        <v>140</v>
      </c>
      <c r="P57" s="29"/>
      <c r="Q57" s="33">
        <f t="shared" ref="Q57:Q62" si="2">SUM(J57:O57)</f>
        <v>770</v>
      </c>
      <c r="T57" s="4"/>
    </row>
    <row r="58" spans="2:25" ht="33" customHeight="1" x14ac:dyDescent="0.25">
      <c r="H58" s="34">
        <v>2</v>
      </c>
      <c r="I58" s="29"/>
      <c r="J58" s="37">
        <v>250</v>
      </c>
      <c r="K58" s="37">
        <v>210</v>
      </c>
      <c r="L58" s="37">
        <v>260</v>
      </c>
      <c r="M58" s="37">
        <v>280</v>
      </c>
      <c r="N58" s="37">
        <v>300</v>
      </c>
      <c r="O58" s="37">
        <v>210</v>
      </c>
      <c r="P58" s="29"/>
      <c r="Q58" s="33">
        <f t="shared" si="2"/>
        <v>1510</v>
      </c>
      <c r="T58" s="52" t="s">
        <v>119</v>
      </c>
      <c r="U58" s="52" t="s">
        <v>120</v>
      </c>
      <c r="V58" s="52" t="s">
        <v>121</v>
      </c>
      <c r="W58" s="52" t="s">
        <v>122</v>
      </c>
      <c r="X58" s="65" t="s">
        <v>123</v>
      </c>
      <c r="Y58" s="52" t="s">
        <v>97</v>
      </c>
    </row>
    <row r="59" spans="2:25" x14ac:dyDescent="0.25">
      <c r="H59" s="32">
        <v>3</v>
      </c>
      <c r="I59" s="29"/>
      <c r="J59" s="36">
        <v>750</v>
      </c>
      <c r="K59" s="36">
        <v>800</v>
      </c>
      <c r="L59" s="36">
        <v>720</v>
      </c>
      <c r="M59" s="36">
        <v>710</v>
      </c>
      <c r="N59" s="36">
        <v>840</v>
      </c>
      <c r="O59" s="36">
        <v>810</v>
      </c>
      <c r="P59" s="29"/>
      <c r="Q59" s="33">
        <f t="shared" si="2"/>
        <v>4630</v>
      </c>
      <c r="T59" s="54">
        <v>42045</v>
      </c>
      <c r="U59" s="54">
        <v>42050</v>
      </c>
      <c r="V59" s="53">
        <f>U59-T59</f>
        <v>5</v>
      </c>
      <c r="W59">
        <v>19.5</v>
      </c>
      <c r="X59">
        <v>3</v>
      </c>
      <c r="Y59" s="64">
        <f>(W59+X59)*V59</f>
        <v>112.5</v>
      </c>
    </row>
    <row r="60" spans="2:25" x14ac:dyDescent="0.25">
      <c r="H60" s="34">
        <v>4</v>
      </c>
      <c r="I60" s="29"/>
      <c r="J60" s="37">
        <v>210</v>
      </c>
      <c r="K60" s="37">
        <v>240</v>
      </c>
      <c r="L60" s="37">
        <v>180</v>
      </c>
      <c r="M60" s="37">
        <v>205</v>
      </c>
      <c r="N60" s="37">
        <v>220</v>
      </c>
      <c r="O60" s="37">
        <v>210</v>
      </c>
      <c r="P60" s="29"/>
      <c r="Q60" s="33">
        <f t="shared" si="2"/>
        <v>1265</v>
      </c>
      <c r="T60" s="54">
        <v>42047</v>
      </c>
      <c r="U60" s="54">
        <v>42048</v>
      </c>
      <c r="V60" s="53">
        <f>U60-T60</f>
        <v>1</v>
      </c>
      <c r="W60">
        <v>31.5</v>
      </c>
      <c r="Y60" s="64">
        <f>(W60+X60)*V60</f>
        <v>31.5</v>
      </c>
    </row>
    <row r="61" spans="2:25" x14ac:dyDescent="0.25">
      <c r="H61" s="32">
        <v>5</v>
      </c>
      <c r="I61" s="29"/>
      <c r="J61" s="36">
        <v>142</v>
      </c>
      <c r="K61" s="36">
        <v>160</v>
      </c>
      <c r="L61" s="36">
        <v>130</v>
      </c>
      <c r="M61" s="36">
        <v>160</v>
      </c>
      <c r="N61" s="36">
        <v>220</v>
      </c>
      <c r="O61" s="36">
        <v>230</v>
      </c>
      <c r="P61" s="29"/>
      <c r="Q61" s="33">
        <f t="shared" si="2"/>
        <v>1042</v>
      </c>
      <c r="T61" s="54">
        <v>42048</v>
      </c>
      <c r="U61" s="54">
        <v>42051</v>
      </c>
      <c r="V61" s="53">
        <f>U61-T61</f>
        <v>3</v>
      </c>
      <c r="W61">
        <v>19.5</v>
      </c>
      <c r="X61">
        <v>3</v>
      </c>
      <c r="Y61" s="64">
        <f>(W61+X61)*V61</f>
        <v>67.5</v>
      </c>
    </row>
    <row r="62" spans="2:25" x14ac:dyDescent="0.25">
      <c r="H62" s="34">
        <v>6</v>
      </c>
      <c r="I62" s="29"/>
      <c r="J62" s="37">
        <v>845</v>
      </c>
      <c r="K62" s="37">
        <v>900</v>
      </c>
      <c r="L62" s="37">
        <v>810</v>
      </c>
      <c r="M62" s="37">
        <v>710</v>
      </c>
      <c r="N62" s="37">
        <v>860</v>
      </c>
      <c r="O62" s="37">
        <v>890</v>
      </c>
      <c r="P62" s="29"/>
      <c r="Q62" s="33">
        <f t="shared" si="2"/>
        <v>5015</v>
      </c>
      <c r="T62" s="54">
        <v>42050</v>
      </c>
      <c r="U62" s="54">
        <v>42063</v>
      </c>
      <c r="V62" s="53">
        <f>U62-T62</f>
        <v>13</v>
      </c>
      <c r="W62">
        <v>23</v>
      </c>
      <c r="X62">
        <v>6.75</v>
      </c>
      <c r="Y62" s="64">
        <f>(W62+X62)*V62</f>
        <v>386.75</v>
      </c>
    </row>
    <row r="63" spans="2:25" ht="23.25" customHeight="1" thickBot="1" x14ac:dyDescent="0.3">
      <c r="H63" s="31"/>
      <c r="I63" s="29"/>
      <c r="J63" s="31"/>
      <c r="K63" s="31"/>
      <c r="L63" s="31"/>
      <c r="M63" s="31"/>
      <c r="N63" s="31"/>
      <c r="O63" s="31"/>
      <c r="P63" s="29"/>
      <c r="Q63" s="31"/>
    </row>
    <row r="64" spans="2:25" ht="26.25" customHeight="1" x14ac:dyDescent="0.25">
      <c r="H64" s="30" t="s">
        <v>97</v>
      </c>
      <c r="I64" s="29"/>
      <c r="J64" s="33">
        <f t="shared" ref="J64:O64" si="3">SUM(J57:J62)</f>
        <v>2317</v>
      </c>
      <c r="K64" s="33">
        <f t="shared" si="3"/>
        <v>2450</v>
      </c>
      <c r="L64" s="33">
        <f t="shared" si="3"/>
        <v>2220</v>
      </c>
      <c r="M64" s="33">
        <f t="shared" si="3"/>
        <v>2155</v>
      </c>
      <c r="N64" s="33">
        <f t="shared" si="3"/>
        <v>2600</v>
      </c>
      <c r="O64" s="33">
        <f t="shared" si="3"/>
        <v>2490</v>
      </c>
      <c r="P64" s="29"/>
      <c r="Q64" s="33">
        <f>SUM(J64:O64)</f>
        <v>14232</v>
      </c>
      <c r="T64" s="61" t="s">
        <v>124</v>
      </c>
      <c r="U64" s="59"/>
      <c r="V64" s="56">
        <f>AVERAGE(V59:V62)</f>
        <v>5.5</v>
      </c>
    </row>
    <row r="65" spans="8:25" ht="15.75" x14ac:dyDescent="0.25">
      <c r="H65" s="283" t="s">
        <v>98</v>
      </c>
      <c r="I65" s="284"/>
      <c r="J65" s="284"/>
      <c r="K65" s="284"/>
      <c r="L65" s="284"/>
      <c r="M65" s="284"/>
      <c r="N65" s="31"/>
      <c r="O65" s="31"/>
      <c r="P65" s="29"/>
      <c r="Q65" s="29"/>
      <c r="T65" s="62" t="s">
        <v>125</v>
      </c>
      <c r="U65" s="50"/>
      <c r="V65" s="57">
        <f>MAX(W59:W62)</f>
        <v>31.5</v>
      </c>
    </row>
    <row r="66" spans="8:25" ht="16.5" thickBot="1" x14ac:dyDescent="0.3">
      <c r="H66" s="29"/>
      <c r="I66" s="29"/>
      <c r="J66" s="29"/>
      <c r="K66" s="38">
        <f>(K64-J64)</f>
        <v>133</v>
      </c>
      <c r="L66" s="38">
        <f>(L64-K64)</f>
        <v>-230</v>
      </c>
      <c r="M66" s="38">
        <f>(M64-L64)</f>
        <v>-65</v>
      </c>
      <c r="N66" s="38">
        <f>(N64-M64)</f>
        <v>445</v>
      </c>
      <c r="O66" s="38">
        <f>(O64-N64)</f>
        <v>-110</v>
      </c>
      <c r="P66" s="29"/>
      <c r="Q66" s="29"/>
      <c r="T66" s="63" t="s">
        <v>126</v>
      </c>
      <c r="U66" s="60"/>
      <c r="V66" s="58">
        <f>MIN(W59:W62)</f>
        <v>19.5</v>
      </c>
    </row>
    <row r="68" spans="8:25" ht="18.75" x14ac:dyDescent="0.3">
      <c r="J68" s="280" t="s">
        <v>101</v>
      </c>
      <c r="K68" s="281"/>
      <c r="L68" s="281"/>
      <c r="W68" s="66" t="s">
        <v>128</v>
      </c>
    </row>
    <row r="69" spans="8:25" ht="18.75" x14ac:dyDescent="0.3">
      <c r="H69" s="27"/>
      <c r="I69" s="293" t="s">
        <v>110</v>
      </c>
      <c r="J69" s="294"/>
      <c r="K69" s="294"/>
      <c r="L69" s="27"/>
      <c r="M69" s="27"/>
    </row>
    <row r="70" spans="8:25" ht="19.5" thickBot="1" x14ac:dyDescent="0.35">
      <c r="H70" s="27"/>
      <c r="I70" s="27"/>
      <c r="J70" s="27" t="s">
        <v>116</v>
      </c>
      <c r="K70" s="27"/>
      <c r="L70" s="27" t="s">
        <v>116</v>
      </c>
      <c r="M70" s="27"/>
      <c r="W70" s="67" t="s">
        <v>129</v>
      </c>
    </row>
    <row r="71" spans="8:25" ht="30" customHeight="1" x14ac:dyDescent="0.25">
      <c r="H71" s="41"/>
      <c r="I71" s="42">
        <v>1986</v>
      </c>
      <c r="J71" s="42" t="s">
        <v>108</v>
      </c>
      <c r="K71" s="42">
        <v>1995</v>
      </c>
      <c r="L71" s="42" t="s">
        <v>108</v>
      </c>
      <c r="M71" s="43" t="s">
        <v>109</v>
      </c>
      <c r="T71" s="290" t="s">
        <v>130</v>
      </c>
      <c r="U71" s="286"/>
      <c r="V71" s="286"/>
      <c r="W71" s="286"/>
      <c r="X71" s="286"/>
      <c r="Y71" s="286"/>
    </row>
    <row r="72" spans="8:25" ht="30" customHeight="1" x14ac:dyDescent="0.25">
      <c r="H72" s="40" t="s">
        <v>102</v>
      </c>
      <c r="I72" s="39">
        <v>143</v>
      </c>
      <c r="J72" s="47">
        <f t="shared" ref="J72:J77" si="4">I72/$I$78</f>
        <v>0.14517766497461929</v>
      </c>
      <c r="K72" s="39">
        <v>170</v>
      </c>
      <c r="L72" s="47">
        <f t="shared" ref="L72:L77" si="5">K72/$K$78</f>
        <v>0.11333333333333333</v>
      </c>
      <c r="M72" s="49">
        <f>(K72-I72)/I72</f>
        <v>0.1888111888111888</v>
      </c>
      <c r="T72" s="291" t="s">
        <v>131</v>
      </c>
      <c r="U72" s="292"/>
    </row>
    <row r="73" spans="8:25" ht="30" customHeight="1" thickBot="1" x14ac:dyDescent="0.3">
      <c r="H73" s="40" t="s">
        <v>103</v>
      </c>
      <c r="I73" s="39">
        <v>158</v>
      </c>
      <c r="J73" s="47">
        <f t="shared" si="4"/>
        <v>0.16040609137055836</v>
      </c>
      <c r="K73" s="39">
        <v>190</v>
      </c>
      <c r="L73" s="47">
        <f t="shared" si="5"/>
        <v>0.12666666666666668</v>
      </c>
      <c r="M73" s="49">
        <f t="shared" ref="M73:M78" si="6">(K73-I73)/I73</f>
        <v>0.20253164556962025</v>
      </c>
    </row>
    <row r="74" spans="8:25" ht="30" customHeight="1" thickBot="1" x14ac:dyDescent="0.3">
      <c r="H74" s="40" t="s">
        <v>104</v>
      </c>
      <c r="I74" s="39">
        <v>257</v>
      </c>
      <c r="J74" s="47">
        <f t="shared" si="4"/>
        <v>0.26091370558375637</v>
      </c>
      <c r="K74" s="39">
        <v>206</v>
      </c>
      <c r="L74" s="47">
        <f t="shared" si="5"/>
        <v>0.13733333333333334</v>
      </c>
      <c r="M74" s="49">
        <f t="shared" si="6"/>
        <v>-0.19844357976653695</v>
      </c>
      <c r="T74" s="69"/>
      <c r="U74" s="70" t="s">
        <v>132</v>
      </c>
      <c r="V74" s="70" t="s">
        <v>133</v>
      </c>
      <c r="W74" s="70" t="s">
        <v>108</v>
      </c>
      <c r="X74" s="70" t="s">
        <v>134</v>
      </c>
    </row>
    <row r="75" spans="8:25" ht="30" customHeight="1" thickBot="1" x14ac:dyDescent="0.3">
      <c r="H75" s="40" t="s">
        <v>105</v>
      </c>
      <c r="I75" s="39">
        <v>367</v>
      </c>
      <c r="J75" s="47">
        <f t="shared" si="4"/>
        <v>0.37258883248730962</v>
      </c>
      <c r="K75" s="39">
        <v>453</v>
      </c>
      <c r="L75" s="47">
        <f t="shared" si="5"/>
        <v>0.30199999999999999</v>
      </c>
      <c r="M75" s="49">
        <f t="shared" si="6"/>
        <v>0.23433242506811988</v>
      </c>
      <c r="T75" s="74" t="s">
        <v>135</v>
      </c>
      <c r="U75" s="74"/>
      <c r="V75" s="74"/>
      <c r="W75" s="74"/>
      <c r="X75" s="74"/>
    </row>
    <row r="76" spans="8:25" ht="30" customHeight="1" thickBot="1" x14ac:dyDescent="0.3">
      <c r="H76" s="40" t="s">
        <v>106</v>
      </c>
      <c r="I76" s="39">
        <v>30</v>
      </c>
      <c r="J76" s="47">
        <f t="shared" si="4"/>
        <v>3.0456852791878174E-2</v>
      </c>
      <c r="K76" s="39">
        <v>293</v>
      </c>
      <c r="L76" s="47">
        <f t="shared" si="5"/>
        <v>0.19533333333333333</v>
      </c>
      <c r="M76" s="49">
        <f t="shared" si="6"/>
        <v>8.7666666666666675</v>
      </c>
      <c r="T76" s="69" t="s">
        <v>136</v>
      </c>
      <c r="U76" s="69">
        <v>13200</v>
      </c>
      <c r="V76" s="69">
        <v>13200</v>
      </c>
      <c r="W76" s="72">
        <f>V76/$V$79</f>
        <v>0.5714285714285714</v>
      </c>
      <c r="X76" s="73">
        <f>(V76-U76)/U76</f>
        <v>0</v>
      </c>
    </row>
    <row r="77" spans="8:25" ht="30" customHeight="1" thickBot="1" x14ac:dyDescent="0.3">
      <c r="H77" s="40" t="s">
        <v>107</v>
      </c>
      <c r="I77" s="39">
        <v>30</v>
      </c>
      <c r="J77" s="47">
        <f t="shared" si="4"/>
        <v>3.0456852791878174E-2</v>
      </c>
      <c r="K77" s="39">
        <v>188</v>
      </c>
      <c r="L77" s="47">
        <f t="shared" si="5"/>
        <v>0.12533333333333332</v>
      </c>
      <c r="M77" s="49">
        <f t="shared" si="6"/>
        <v>5.2666666666666666</v>
      </c>
      <c r="T77" s="69" t="s">
        <v>137</v>
      </c>
      <c r="U77" s="69">
        <v>9000</v>
      </c>
      <c r="V77" s="69">
        <v>9200</v>
      </c>
      <c r="W77" s="72">
        <f>V77/$V$79</f>
        <v>0.39826839826839827</v>
      </c>
      <c r="X77" s="73">
        <f>(V77-U77)/U77</f>
        <v>2.2222222222222223E-2</v>
      </c>
    </row>
    <row r="78" spans="8:25" ht="30" customHeight="1" thickBot="1" x14ac:dyDescent="0.3">
      <c r="H78" s="44" t="s">
        <v>76</v>
      </c>
      <c r="I78" s="45">
        <f>SUM(I72:I77)</f>
        <v>985</v>
      </c>
      <c r="J78" s="48">
        <f>SUM(J72:J77)</f>
        <v>1</v>
      </c>
      <c r="K78" s="45">
        <f>SUM(K72:K77)</f>
        <v>1500</v>
      </c>
      <c r="L78" s="48">
        <f>SUM(L72:L77)</f>
        <v>1</v>
      </c>
      <c r="M78" s="49">
        <f t="shared" si="6"/>
        <v>0.52284263959390864</v>
      </c>
      <c r="T78" s="69" t="s">
        <v>138</v>
      </c>
      <c r="U78" s="69">
        <v>700</v>
      </c>
      <c r="V78" s="69">
        <v>700</v>
      </c>
      <c r="W78" s="72">
        <f>V78/$V$79</f>
        <v>3.0303030303030304E-2</v>
      </c>
      <c r="X78" s="73">
        <f>(V78-U78)/U78</f>
        <v>0</v>
      </c>
    </row>
    <row r="79" spans="8:25" ht="19.5" thickBot="1" x14ac:dyDescent="0.3">
      <c r="H79" s="295" t="s">
        <v>111</v>
      </c>
      <c r="I79" s="296"/>
      <c r="J79" s="27"/>
      <c r="K79" s="27"/>
      <c r="L79" s="27"/>
      <c r="M79" s="27"/>
      <c r="T79" s="71" t="s">
        <v>139</v>
      </c>
      <c r="U79" s="69">
        <f>SUM(U76:U78)</f>
        <v>22900</v>
      </c>
      <c r="V79" s="69">
        <f>SUM(V76:V78)</f>
        <v>23100</v>
      </c>
      <c r="W79" s="72">
        <f>V79/$V$79</f>
        <v>1</v>
      </c>
      <c r="X79" s="73">
        <f>(V79-U79)/U79</f>
        <v>8.7336244541484712E-3</v>
      </c>
    </row>
    <row r="80" spans="8:25" ht="15.75" thickBot="1" x14ac:dyDescent="0.3">
      <c r="H80" s="27"/>
      <c r="I80" s="27"/>
      <c r="J80" s="27"/>
      <c r="K80" s="27"/>
      <c r="L80" s="27"/>
      <c r="M80" s="27"/>
      <c r="T80" s="75" t="s">
        <v>140</v>
      </c>
      <c r="U80" s="75"/>
      <c r="V80" s="75"/>
      <c r="W80" s="76"/>
      <c r="X80" s="77"/>
    </row>
    <row r="81" spans="8:24" ht="15.75" thickBot="1" x14ac:dyDescent="0.3">
      <c r="H81" s="287" t="s">
        <v>112</v>
      </c>
      <c r="I81" s="287"/>
      <c r="J81" s="27"/>
      <c r="K81" s="27"/>
      <c r="L81" s="27"/>
      <c r="M81" s="27"/>
      <c r="T81" s="69" t="s">
        <v>141</v>
      </c>
      <c r="U81" s="69">
        <v>4200</v>
      </c>
      <c r="V81" s="69">
        <v>4200</v>
      </c>
      <c r="W81" s="72">
        <f t="shared" ref="W81:W93" si="7">V81/$V$93</f>
        <v>0.18502202643171806</v>
      </c>
      <c r="X81" s="73">
        <f t="shared" ref="X81:X93" si="8">(V81-U81)/U81</f>
        <v>0</v>
      </c>
    </row>
    <row r="82" spans="8:24" ht="15.75" thickBot="1" x14ac:dyDescent="0.3">
      <c r="H82" s="27"/>
      <c r="I82" s="27"/>
      <c r="J82" s="27"/>
      <c r="K82" s="27"/>
      <c r="L82" s="27"/>
      <c r="M82" s="27"/>
      <c r="T82" s="69" t="s">
        <v>142</v>
      </c>
      <c r="U82" s="69">
        <v>3500</v>
      </c>
      <c r="V82" s="69">
        <v>3500</v>
      </c>
      <c r="W82" s="72">
        <f t="shared" si="7"/>
        <v>0.15418502202643172</v>
      </c>
      <c r="X82" s="73">
        <f t="shared" si="8"/>
        <v>0</v>
      </c>
    </row>
    <row r="83" spans="8:24" ht="15.75" thickBot="1" x14ac:dyDescent="0.3">
      <c r="H83" s="46" t="s">
        <v>113</v>
      </c>
      <c r="I83" s="288" t="s">
        <v>114</v>
      </c>
      <c r="J83" s="288"/>
      <c r="K83" s="288"/>
      <c r="L83" s="27"/>
      <c r="M83" s="27"/>
      <c r="T83" s="69" t="s">
        <v>143</v>
      </c>
      <c r="U83" s="69">
        <v>1950</v>
      </c>
      <c r="V83" s="69">
        <v>1950</v>
      </c>
      <c r="W83" s="72">
        <f t="shared" si="7"/>
        <v>8.590308370044053E-2</v>
      </c>
      <c r="X83" s="73">
        <f t="shared" si="8"/>
        <v>0</v>
      </c>
    </row>
    <row r="84" spans="8:24" ht="15.75" thickBot="1" x14ac:dyDescent="0.3">
      <c r="H84" s="27"/>
      <c r="I84" s="288" t="s">
        <v>115</v>
      </c>
      <c r="J84" s="288"/>
      <c r="K84" s="288"/>
      <c r="L84" s="27"/>
      <c r="M84" s="27"/>
      <c r="T84" s="69" t="s">
        <v>144</v>
      </c>
      <c r="U84" s="69"/>
      <c r="V84" s="69">
        <v>570</v>
      </c>
      <c r="W84" s="72">
        <f t="shared" si="7"/>
        <v>2.5110132158590308E-2</v>
      </c>
      <c r="X84" s="78" t="e">
        <f>(V84-U84)/U84</f>
        <v>#DIV/0!</v>
      </c>
    </row>
    <row r="85" spans="8:24" ht="15.75" thickBot="1" x14ac:dyDescent="0.3">
      <c r="T85" s="69" t="s">
        <v>145</v>
      </c>
      <c r="U85" s="69">
        <v>1250</v>
      </c>
      <c r="V85" s="69">
        <v>1100</v>
      </c>
      <c r="W85" s="72">
        <f t="shared" si="7"/>
        <v>4.8458149779735685E-2</v>
      </c>
      <c r="X85" s="73">
        <f t="shared" si="8"/>
        <v>-0.12</v>
      </c>
    </row>
    <row r="86" spans="8:24" ht="15.75" thickBot="1" x14ac:dyDescent="0.3">
      <c r="T86" s="69" t="s">
        <v>146</v>
      </c>
      <c r="U86" s="69">
        <v>550</v>
      </c>
      <c r="V86" s="69">
        <v>680</v>
      </c>
      <c r="W86" s="72">
        <f t="shared" si="7"/>
        <v>2.9955947136563875E-2</v>
      </c>
      <c r="X86" s="73">
        <f t="shared" si="8"/>
        <v>0.23636363636363636</v>
      </c>
    </row>
    <row r="87" spans="8:24" ht="15.75" thickBot="1" x14ac:dyDescent="0.3">
      <c r="T87" s="69" t="s">
        <v>147</v>
      </c>
      <c r="U87" s="69">
        <v>1000</v>
      </c>
      <c r="V87" s="69"/>
      <c r="W87" s="72">
        <f t="shared" si="7"/>
        <v>0</v>
      </c>
      <c r="X87" s="73">
        <f t="shared" si="8"/>
        <v>-1</v>
      </c>
    </row>
    <row r="88" spans="8:24" ht="15.75" thickBot="1" x14ac:dyDescent="0.3">
      <c r="T88" s="69" t="s">
        <v>148</v>
      </c>
      <c r="U88" s="69">
        <v>1280</v>
      </c>
      <c r="V88" s="69">
        <v>1300</v>
      </c>
      <c r="W88" s="72">
        <f t="shared" si="7"/>
        <v>5.7268722466960353E-2</v>
      </c>
      <c r="X88" s="73">
        <f t="shared" si="8"/>
        <v>1.5625E-2</v>
      </c>
    </row>
    <row r="89" spans="8:24" ht="15.75" thickBot="1" x14ac:dyDescent="0.3">
      <c r="T89" s="69" t="s">
        <v>149</v>
      </c>
      <c r="U89" s="69">
        <v>6200</v>
      </c>
      <c r="V89" s="69">
        <v>7000</v>
      </c>
      <c r="W89" s="72">
        <f t="shared" si="7"/>
        <v>0.30837004405286345</v>
      </c>
      <c r="X89" s="73">
        <f t="shared" si="8"/>
        <v>0.12903225806451613</v>
      </c>
    </row>
    <row r="90" spans="8:24" ht="15.75" thickBot="1" x14ac:dyDescent="0.3">
      <c r="T90" s="69" t="s">
        <v>150</v>
      </c>
      <c r="U90" s="69"/>
      <c r="V90" s="69">
        <v>700</v>
      </c>
      <c r="W90" s="72">
        <f t="shared" si="7"/>
        <v>3.0837004405286344E-2</v>
      </c>
      <c r="X90" s="78" t="e">
        <f t="shared" si="8"/>
        <v>#DIV/0!</v>
      </c>
    </row>
    <row r="91" spans="8:24" ht="15.75" thickBot="1" x14ac:dyDescent="0.3">
      <c r="T91" s="69" t="s">
        <v>151</v>
      </c>
      <c r="U91" s="69">
        <v>900</v>
      </c>
      <c r="V91" s="69">
        <v>850</v>
      </c>
      <c r="W91" s="72">
        <f t="shared" si="7"/>
        <v>3.7444933920704845E-2</v>
      </c>
      <c r="X91" s="73">
        <f t="shared" si="8"/>
        <v>-5.5555555555555552E-2</v>
      </c>
    </row>
    <row r="92" spans="8:24" ht="15.75" thickBot="1" x14ac:dyDescent="0.3">
      <c r="T92" s="69" t="s">
        <v>152</v>
      </c>
      <c r="U92" s="69">
        <v>800</v>
      </c>
      <c r="V92" s="69">
        <v>850</v>
      </c>
      <c r="W92" s="72">
        <f t="shared" si="7"/>
        <v>3.7444933920704845E-2</v>
      </c>
      <c r="X92" s="73">
        <f t="shared" si="8"/>
        <v>6.25E-2</v>
      </c>
    </row>
    <row r="93" spans="8:24" ht="19.5" thickBot="1" x14ac:dyDescent="0.3">
      <c r="T93" s="68" t="s">
        <v>153</v>
      </c>
      <c r="U93">
        <f>SUM(U81:U92)</f>
        <v>21630</v>
      </c>
      <c r="V93">
        <f>SUM(V80:V92)</f>
        <v>22700</v>
      </c>
      <c r="W93" s="72">
        <f t="shared" si="7"/>
        <v>1</v>
      </c>
      <c r="X93" s="73">
        <f t="shared" si="8"/>
        <v>4.9468331021729081E-2</v>
      </c>
    </row>
    <row r="94" spans="8:24" ht="15.75" thickBot="1" x14ac:dyDescent="0.3">
      <c r="T94" s="35"/>
    </row>
    <row r="95" spans="8:24" ht="19.5" thickBot="1" x14ac:dyDescent="0.3">
      <c r="T95" s="71" t="s">
        <v>154</v>
      </c>
      <c r="U95" s="69">
        <f>COUNT(U81:U92)</f>
        <v>10</v>
      </c>
      <c r="V95" s="69">
        <f>COUNT(V81:V92)</f>
        <v>11</v>
      </c>
    </row>
    <row r="96" spans="8:24" ht="19.5" thickBot="1" x14ac:dyDescent="0.3">
      <c r="T96" s="71" t="s">
        <v>155</v>
      </c>
      <c r="U96" s="69">
        <f>SUM(U81:U92)/U95</f>
        <v>2163</v>
      </c>
      <c r="V96" s="69">
        <f>SUM(V81:V92)/V95</f>
        <v>2063.6363636363635</v>
      </c>
    </row>
    <row r="97" spans="20:22" ht="19.5" thickBot="1" x14ac:dyDescent="0.3">
      <c r="T97" s="71" t="s">
        <v>156</v>
      </c>
      <c r="U97" s="69">
        <f>MAX(U81:U92)</f>
        <v>6200</v>
      </c>
      <c r="V97" s="69">
        <f>MAX(V81:V92)</f>
        <v>7000</v>
      </c>
    </row>
    <row r="98" spans="20:22" ht="19.5" thickBot="1" x14ac:dyDescent="0.3">
      <c r="T98" s="71" t="s">
        <v>157</v>
      </c>
      <c r="U98" s="69">
        <f>MIN(U81:U92)</f>
        <v>550</v>
      </c>
      <c r="V98" s="69">
        <f>MIN(V81:V92)</f>
        <v>570</v>
      </c>
    </row>
  </sheetData>
  <mergeCells count="15">
    <mergeCell ref="H81:I81"/>
    <mergeCell ref="I83:K83"/>
    <mergeCell ref="I84:K84"/>
    <mergeCell ref="V51:X51"/>
    <mergeCell ref="T71:Y71"/>
    <mergeCell ref="T72:U72"/>
    <mergeCell ref="J68:L68"/>
    <mergeCell ref="I69:K69"/>
    <mergeCell ref="H79:I79"/>
    <mergeCell ref="B36:F36"/>
    <mergeCell ref="F34:G34"/>
    <mergeCell ref="G51:H51"/>
    <mergeCell ref="H65:M65"/>
    <mergeCell ref="I52:P52"/>
    <mergeCell ref="H53:M53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FF37-5EF5-480D-B1E3-D94A58F1F1D3}">
  <dimension ref="A1:M46"/>
  <sheetViews>
    <sheetView topLeftCell="D7" zoomScale="66" workbookViewId="0">
      <selection activeCell="M27" sqref="M27"/>
    </sheetView>
  </sheetViews>
  <sheetFormatPr baseColWidth="10" defaultRowHeight="15" x14ac:dyDescent="0.25"/>
  <cols>
    <col min="1" max="1" width="11.7109375" bestFit="1" customWidth="1"/>
    <col min="2" max="2" width="17" customWidth="1"/>
    <col min="3" max="3" width="18.140625" customWidth="1"/>
    <col min="4" max="4" width="13.42578125" customWidth="1"/>
    <col min="5" max="5" width="12.85546875" customWidth="1"/>
    <col min="6" max="6" width="14.28515625" customWidth="1"/>
    <col min="7" max="7" width="15.140625" customWidth="1"/>
  </cols>
  <sheetData>
    <row r="1" spans="1:8" x14ac:dyDescent="0.25">
      <c r="A1">
        <f>Feuil1!$A$1</f>
        <v>-2021230030</v>
      </c>
      <c r="E1">
        <f>[1]Feuil1!$A$1</f>
        <v>4578512204</v>
      </c>
      <c r="F1">
        <f>[1]Feuil1!$A$1+Feuil4!$A$5</f>
        <v>4578512324</v>
      </c>
    </row>
    <row r="2" spans="1:8" x14ac:dyDescent="0.25">
      <c r="A2">
        <f>Feuil1!C30 + Feuil4!C5</f>
        <v>978</v>
      </c>
      <c r="E2">
        <f>[1]Feuil1!$A$1 +  [1]Feuil1!$A$2</f>
        <v>4578657456</v>
      </c>
      <c r="F2">
        <f>[1]Feuil1!$A$1 * Feuil1!$D$24</f>
        <v>889833846847.40002</v>
      </c>
    </row>
    <row r="3" spans="1:8" x14ac:dyDescent="0.25">
      <c r="A3" t="s">
        <v>158</v>
      </c>
      <c r="E3">
        <f>[1]Feuil1!$A$1 - Feuil1!$A$1</f>
        <v>6599742234</v>
      </c>
      <c r="F3">
        <f>[1]Feuil1!$A$1 / Feuil1!A4</f>
        <v>951140.01549740217</v>
      </c>
    </row>
    <row r="4" spans="1:8" x14ac:dyDescent="0.25">
      <c r="E4" t="s">
        <v>159</v>
      </c>
    </row>
    <row r="7" spans="1:8" ht="21" x14ac:dyDescent="0.35">
      <c r="B7" s="297" t="s">
        <v>160</v>
      </c>
      <c r="C7" s="282"/>
      <c r="F7" s="298" t="s">
        <v>164</v>
      </c>
      <c r="G7" s="299"/>
    </row>
    <row r="8" spans="1:8" ht="15.75" thickBot="1" x14ac:dyDescent="0.3"/>
    <row r="9" spans="1:8" ht="27.75" customHeight="1" x14ac:dyDescent="0.25">
      <c r="A9" s="82" t="s">
        <v>161</v>
      </c>
      <c r="B9" s="83" t="s">
        <v>162</v>
      </c>
      <c r="C9" s="84" t="s">
        <v>163</v>
      </c>
      <c r="D9" s="79"/>
      <c r="F9" s="91" t="s">
        <v>165</v>
      </c>
      <c r="G9">
        <v>5</v>
      </c>
    </row>
    <row r="10" spans="1:8" x14ac:dyDescent="0.25">
      <c r="A10" s="85">
        <v>1</v>
      </c>
      <c r="B10" s="81">
        <v>5</v>
      </c>
      <c r="C10" s="86">
        <f>A10*B10</f>
        <v>5</v>
      </c>
    </row>
    <row r="11" spans="1:8" ht="33.75" customHeight="1" x14ac:dyDescent="0.25">
      <c r="A11" s="85">
        <v>2</v>
      </c>
      <c r="B11" s="81">
        <v>5</v>
      </c>
      <c r="C11" s="86">
        <f t="shared" ref="C11:C19" si="0">A11*B11</f>
        <v>10</v>
      </c>
      <c r="F11" s="90" t="s">
        <v>161</v>
      </c>
      <c r="G11" s="90" t="s">
        <v>166</v>
      </c>
      <c r="H11" s="89"/>
    </row>
    <row r="12" spans="1:8" x14ac:dyDescent="0.25">
      <c r="A12" s="85">
        <v>3</v>
      </c>
      <c r="B12" s="81">
        <v>5</v>
      </c>
      <c r="C12" s="86">
        <f t="shared" si="0"/>
        <v>15</v>
      </c>
      <c r="F12" s="81">
        <v>1</v>
      </c>
      <c r="G12" s="81">
        <f>F12*$G$9</f>
        <v>5</v>
      </c>
    </row>
    <row r="13" spans="1:8" x14ac:dyDescent="0.25">
      <c r="A13" s="85">
        <v>4</v>
      </c>
      <c r="B13" s="81">
        <v>5</v>
      </c>
      <c r="C13" s="86">
        <f t="shared" si="0"/>
        <v>20</v>
      </c>
      <c r="F13" s="81">
        <v>2</v>
      </c>
      <c r="G13" s="81">
        <f t="shared" ref="G13:G19" si="1">F13*$G$9</f>
        <v>10</v>
      </c>
    </row>
    <row r="14" spans="1:8" x14ac:dyDescent="0.25">
      <c r="A14" s="85">
        <v>5</v>
      </c>
      <c r="B14" s="81">
        <v>5</v>
      </c>
      <c r="C14" s="86">
        <f t="shared" si="0"/>
        <v>25</v>
      </c>
      <c r="F14" s="81">
        <v>3</v>
      </c>
      <c r="G14" s="81">
        <f t="shared" si="1"/>
        <v>15</v>
      </c>
    </row>
    <row r="15" spans="1:8" x14ac:dyDescent="0.25">
      <c r="A15" s="85">
        <v>6</v>
      </c>
      <c r="B15" s="81">
        <v>5</v>
      </c>
      <c r="C15" s="86">
        <f t="shared" si="0"/>
        <v>30</v>
      </c>
      <c r="F15" s="81">
        <v>4</v>
      </c>
      <c r="G15" s="81">
        <f t="shared" si="1"/>
        <v>20</v>
      </c>
    </row>
    <row r="16" spans="1:8" x14ac:dyDescent="0.25">
      <c r="A16" s="85">
        <v>7</v>
      </c>
      <c r="B16" s="81">
        <v>5</v>
      </c>
      <c r="C16" s="86">
        <f t="shared" si="0"/>
        <v>35</v>
      </c>
      <c r="F16" s="81">
        <v>5</v>
      </c>
      <c r="G16" s="81">
        <f t="shared" si="1"/>
        <v>25</v>
      </c>
    </row>
    <row r="17" spans="1:13" x14ac:dyDescent="0.25">
      <c r="A17" s="85">
        <v>8</v>
      </c>
      <c r="B17" s="81">
        <v>5</v>
      </c>
      <c r="C17" s="86">
        <f t="shared" si="0"/>
        <v>40</v>
      </c>
      <c r="F17" s="81">
        <v>6</v>
      </c>
      <c r="G17" s="81">
        <f t="shared" si="1"/>
        <v>30</v>
      </c>
    </row>
    <row r="18" spans="1:13" x14ac:dyDescent="0.25">
      <c r="A18" s="85">
        <v>9</v>
      </c>
      <c r="B18" s="81">
        <v>5</v>
      </c>
      <c r="C18" s="86">
        <f t="shared" si="0"/>
        <v>45</v>
      </c>
      <c r="F18" s="81">
        <v>7</v>
      </c>
      <c r="G18" s="81">
        <f t="shared" si="1"/>
        <v>35</v>
      </c>
    </row>
    <row r="19" spans="1:13" ht="15.75" thickBot="1" x14ac:dyDescent="0.3">
      <c r="A19" s="87">
        <v>10</v>
      </c>
      <c r="B19" s="88">
        <v>5</v>
      </c>
      <c r="C19" s="86">
        <f t="shared" si="0"/>
        <v>50</v>
      </c>
      <c r="F19" s="81">
        <v>8</v>
      </c>
      <c r="G19" s="81">
        <f t="shared" si="1"/>
        <v>40</v>
      </c>
    </row>
    <row r="21" spans="1:13" ht="18.75" x14ac:dyDescent="0.3">
      <c r="B21" s="298" t="s">
        <v>167</v>
      </c>
      <c r="C21" s="282"/>
    </row>
    <row r="23" spans="1:13" ht="37.5" x14ac:dyDescent="0.3">
      <c r="B23" s="94" t="s">
        <v>168</v>
      </c>
      <c r="C23" s="95">
        <v>0.2</v>
      </c>
      <c r="E23" s="94" t="s">
        <v>194</v>
      </c>
      <c r="F23" s="93">
        <v>0.85</v>
      </c>
    </row>
    <row r="25" spans="1:13" ht="15.75" thickBot="1" x14ac:dyDescent="0.3">
      <c r="A25" s="301" t="s">
        <v>169</v>
      </c>
      <c r="B25" s="301"/>
      <c r="C25" s="92"/>
      <c r="D25" s="300" t="s">
        <v>170</v>
      </c>
      <c r="E25" s="300"/>
      <c r="F25" s="300"/>
      <c r="G25" s="92"/>
      <c r="H25" s="92"/>
    </row>
    <row r="26" spans="1:13" ht="30" x14ac:dyDescent="0.25">
      <c r="A26" s="96" t="s">
        <v>171</v>
      </c>
      <c r="B26" s="97" t="s">
        <v>172</v>
      </c>
      <c r="C26" s="97" t="s">
        <v>173</v>
      </c>
      <c r="D26" s="97" t="s">
        <v>193</v>
      </c>
      <c r="E26" s="97" t="s">
        <v>174</v>
      </c>
      <c r="F26" s="97" t="s">
        <v>175</v>
      </c>
      <c r="G26" s="98" t="s">
        <v>195</v>
      </c>
      <c r="H26" s="92"/>
      <c r="L26">
        <f>L24</f>
        <v>0</v>
      </c>
      <c r="M26">
        <f>INT(3.78)</f>
        <v>3</v>
      </c>
    </row>
    <row r="27" spans="1:13" ht="20.100000000000001" customHeight="1" x14ac:dyDescent="0.25">
      <c r="A27" s="85" t="s">
        <v>176</v>
      </c>
      <c r="B27" s="99">
        <v>10</v>
      </c>
      <c r="C27" s="101">
        <v>100</v>
      </c>
      <c r="D27" s="101">
        <f>C27*B27</f>
        <v>1000</v>
      </c>
      <c r="E27" s="101">
        <f>$C$23*D27</f>
        <v>200</v>
      </c>
      <c r="F27" s="101">
        <f>D27+E27</f>
        <v>1200</v>
      </c>
      <c r="G27" s="103">
        <f>F27/$F$23</f>
        <v>1411.7647058823529</v>
      </c>
      <c r="L27" s="278">
        <v>44929</v>
      </c>
    </row>
    <row r="28" spans="1:13" ht="20.100000000000001" customHeight="1" x14ac:dyDescent="0.25">
      <c r="A28" s="85" t="s">
        <v>73</v>
      </c>
      <c r="B28" s="99">
        <v>652</v>
      </c>
      <c r="C28" s="101">
        <v>200</v>
      </c>
      <c r="D28" s="101">
        <f>C28*B28</f>
        <v>130400</v>
      </c>
      <c r="E28" s="101">
        <f t="shared" ref="E28:E46" si="2">$C$23*D28</f>
        <v>26080</v>
      </c>
      <c r="F28" s="101">
        <f t="shared" ref="F28:F46" si="3">D28+E28</f>
        <v>156480</v>
      </c>
      <c r="G28" s="103">
        <f t="shared" ref="G28:G46" si="4">F28/$F$23</f>
        <v>184094.11764705883</v>
      </c>
      <c r="L28" s="278">
        <v>44929</v>
      </c>
    </row>
    <row r="29" spans="1:13" ht="20.100000000000001" customHeight="1" x14ac:dyDescent="0.25">
      <c r="A29" s="85" t="s">
        <v>74</v>
      </c>
      <c r="B29" s="99">
        <v>7</v>
      </c>
      <c r="C29" s="101">
        <v>50</v>
      </c>
      <c r="D29" s="101">
        <f t="shared" ref="D29:D46" si="5">C29*B29</f>
        <v>350</v>
      </c>
      <c r="E29" s="101">
        <f t="shared" si="2"/>
        <v>70</v>
      </c>
      <c r="F29" s="101">
        <f t="shared" si="3"/>
        <v>420</v>
      </c>
      <c r="G29" s="103">
        <f t="shared" si="4"/>
        <v>494.11764705882354</v>
      </c>
    </row>
    <row r="30" spans="1:13" ht="20.100000000000001" customHeight="1" x14ac:dyDescent="0.25">
      <c r="A30" s="85" t="s">
        <v>75</v>
      </c>
      <c r="B30" s="99">
        <v>9</v>
      </c>
      <c r="C30" s="101">
        <v>60</v>
      </c>
      <c r="D30" s="101">
        <f t="shared" si="5"/>
        <v>540</v>
      </c>
      <c r="E30" s="101">
        <f t="shared" si="2"/>
        <v>108</v>
      </c>
      <c r="F30" s="101">
        <f t="shared" si="3"/>
        <v>648</v>
      </c>
      <c r="G30" s="103">
        <f t="shared" si="4"/>
        <v>762.35294117647061</v>
      </c>
    </row>
    <row r="31" spans="1:13" ht="20.100000000000001" customHeight="1" x14ac:dyDescent="0.25">
      <c r="A31" s="85" t="s">
        <v>177</v>
      </c>
      <c r="B31" s="99">
        <v>10</v>
      </c>
      <c r="C31" s="101">
        <v>150</v>
      </c>
      <c r="D31" s="101">
        <f t="shared" si="5"/>
        <v>1500</v>
      </c>
      <c r="E31" s="101">
        <f t="shared" si="2"/>
        <v>300</v>
      </c>
      <c r="F31" s="101">
        <f t="shared" si="3"/>
        <v>1800</v>
      </c>
      <c r="G31" s="103">
        <f t="shared" si="4"/>
        <v>2117.6470588235293</v>
      </c>
    </row>
    <row r="32" spans="1:13" ht="20.100000000000001" customHeight="1" x14ac:dyDescent="0.25">
      <c r="A32" s="85" t="s">
        <v>178</v>
      </c>
      <c r="B32" s="99">
        <v>8</v>
      </c>
      <c r="C32" s="101">
        <v>100</v>
      </c>
      <c r="D32" s="101">
        <f t="shared" si="5"/>
        <v>800</v>
      </c>
      <c r="E32" s="101">
        <f t="shared" si="2"/>
        <v>160</v>
      </c>
      <c r="F32" s="101">
        <f t="shared" si="3"/>
        <v>960</v>
      </c>
      <c r="G32" s="103">
        <f t="shared" si="4"/>
        <v>1129.4117647058824</v>
      </c>
    </row>
    <row r="33" spans="1:7" ht="20.100000000000001" customHeight="1" x14ac:dyDescent="0.25">
      <c r="A33" s="85" t="s">
        <v>179</v>
      </c>
      <c r="B33" s="99">
        <v>10</v>
      </c>
      <c r="C33" s="101">
        <v>200</v>
      </c>
      <c r="D33" s="101">
        <f t="shared" si="5"/>
        <v>2000</v>
      </c>
      <c r="E33" s="101">
        <f t="shared" si="2"/>
        <v>400</v>
      </c>
      <c r="F33" s="101">
        <f t="shared" si="3"/>
        <v>2400</v>
      </c>
      <c r="G33" s="103">
        <f t="shared" si="4"/>
        <v>2823.5294117647059</v>
      </c>
    </row>
    <row r="34" spans="1:7" ht="20.100000000000001" customHeight="1" x14ac:dyDescent="0.25">
      <c r="A34" s="85" t="s">
        <v>180</v>
      </c>
      <c r="B34" s="99">
        <v>6</v>
      </c>
      <c r="C34" s="101">
        <v>50</v>
      </c>
      <c r="D34" s="101">
        <f t="shared" si="5"/>
        <v>300</v>
      </c>
      <c r="E34" s="101">
        <f t="shared" si="2"/>
        <v>60</v>
      </c>
      <c r="F34" s="101">
        <f t="shared" si="3"/>
        <v>360</v>
      </c>
      <c r="G34" s="103">
        <f t="shared" si="4"/>
        <v>423.52941176470591</v>
      </c>
    </row>
    <row r="35" spans="1:7" ht="20.100000000000001" customHeight="1" x14ac:dyDescent="0.25">
      <c r="A35" s="85" t="s">
        <v>181</v>
      </c>
      <c r="B35" s="99">
        <v>7</v>
      </c>
      <c r="C35" s="101">
        <v>60</v>
      </c>
      <c r="D35" s="101">
        <f t="shared" si="5"/>
        <v>420</v>
      </c>
      <c r="E35" s="101">
        <f t="shared" si="2"/>
        <v>84</v>
      </c>
      <c r="F35" s="101">
        <f t="shared" si="3"/>
        <v>504</v>
      </c>
      <c r="G35" s="103">
        <f t="shared" si="4"/>
        <v>592.94117647058829</v>
      </c>
    </row>
    <row r="36" spans="1:7" ht="20.100000000000001" customHeight="1" x14ac:dyDescent="0.25">
      <c r="A36" s="85" t="s">
        <v>182</v>
      </c>
      <c r="B36" s="99">
        <v>4</v>
      </c>
      <c r="C36" s="101">
        <v>60</v>
      </c>
      <c r="D36" s="101">
        <f t="shared" si="5"/>
        <v>240</v>
      </c>
      <c r="E36" s="101">
        <f t="shared" si="2"/>
        <v>48</v>
      </c>
      <c r="F36" s="101">
        <f t="shared" si="3"/>
        <v>288</v>
      </c>
      <c r="G36" s="103">
        <f t="shared" si="4"/>
        <v>338.8235294117647</v>
      </c>
    </row>
    <row r="37" spans="1:7" ht="20.100000000000001" customHeight="1" x14ac:dyDescent="0.25">
      <c r="A37" s="85" t="s">
        <v>183</v>
      </c>
      <c r="B37" s="99">
        <v>6</v>
      </c>
      <c r="C37" s="101">
        <v>50</v>
      </c>
      <c r="D37" s="101">
        <f t="shared" si="5"/>
        <v>300</v>
      </c>
      <c r="E37" s="101">
        <f t="shared" si="2"/>
        <v>60</v>
      </c>
      <c r="F37" s="101">
        <f t="shared" si="3"/>
        <v>360</v>
      </c>
      <c r="G37" s="103">
        <f t="shared" si="4"/>
        <v>423.52941176470591</v>
      </c>
    </row>
    <row r="38" spans="1:7" ht="20.100000000000001" customHeight="1" x14ac:dyDescent="0.25">
      <c r="A38" s="85" t="s">
        <v>184</v>
      </c>
      <c r="B38" s="99">
        <v>8</v>
      </c>
      <c r="C38" s="101">
        <v>60</v>
      </c>
      <c r="D38" s="101">
        <f t="shared" si="5"/>
        <v>480</v>
      </c>
      <c r="E38" s="101">
        <f t="shared" si="2"/>
        <v>96</v>
      </c>
      <c r="F38" s="101">
        <f t="shared" si="3"/>
        <v>576</v>
      </c>
      <c r="G38" s="103">
        <f t="shared" si="4"/>
        <v>677.64705882352939</v>
      </c>
    </row>
    <row r="39" spans="1:7" ht="20.100000000000001" customHeight="1" x14ac:dyDescent="0.25">
      <c r="A39" s="85" t="s">
        <v>185</v>
      </c>
      <c r="B39" s="99">
        <v>4</v>
      </c>
      <c r="C39" s="101">
        <v>150</v>
      </c>
      <c r="D39" s="101">
        <f t="shared" si="5"/>
        <v>600</v>
      </c>
      <c r="E39" s="101">
        <f t="shared" si="2"/>
        <v>120</v>
      </c>
      <c r="F39" s="101">
        <f t="shared" si="3"/>
        <v>720</v>
      </c>
      <c r="G39" s="103">
        <f t="shared" si="4"/>
        <v>847.05882352941182</v>
      </c>
    </row>
    <row r="40" spans="1:7" ht="20.100000000000001" customHeight="1" x14ac:dyDescent="0.25">
      <c r="A40" s="85" t="s">
        <v>186</v>
      </c>
      <c r="B40" s="99">
        <v>8</v>
      </c>
      <c r="C40" s="101">
        <v>200</v>
      </c>
      <c r="D40" s="101">
        <f t="shared" si="5"/>
        <v>1600</v>
      </c>
      <c r="E40" s="101">
        <f t="shared" si="2"/>
        <v>320</v>
      </c>
      <c r="F40" s="101">
        <f t="shared" si="3"/>
        <v>1920</v>
      </c>
      <c r="G40" s="103">
        <f t="shared" si="4"/>
        <v>2258.8235294117649</v>
      </c>
    </row>
    <row r="41" spans="1:7" ht="20.100000000000001" customHeight="1" x14ac:dyDescent="0.25">
      <c r="A41" s="85" t="s">
        <v>187</v>
      </c>
      <c r="B41" s="99">
        <v>5</v>
      </c>
      <c r="C41" s="101">
        <v>50</v>
      </c>
      <c r="D41" s="101">
        <f t="shared" si="5"/>
        <v>250</v>
      </c>
      <c r="E41" s="101">
        <f t="shared" si="2"/>
        <v>50</v>
      </c>
      <c r="F41" s="101">
        <f t="shared" si="3"/>
        <v>300</v>
      </c>
      <c r="G41" s="103">
        <f t="shared" si="4"/>
        <v>352.94117647058823</v>
      </c>
    </row>
    <row r="42" spans="1:7" ht="20.100000000000001" customHeight="1" x14ac:dyDescent="0.25">
      <c r="A42" s="85" t="s">
        <v>188</v>
      </c>
      <c r="B42" s="99">
        <v>5</v>
      </c>
      <c r="C42" s="101">
        <v>50</v>
      </c>
      <c r="D42" s="101">
        <f t="shared" si="5"/>
        <v>250</v>
      </c>
      <c r="E42" s="101">
        <f t="shared" si="2"/>
        <v>50</v>
      </c>
      <c r="F42" s="101">
        <f t="shared" si="3"/>
        <v>300</v>
      </c>
      <c r="G42" s="103">
        <f t="shared" si="4"/>
        <v>352.94117647058823</v>
      </c>
    </row>
    <row r="43" spans="1:7" ht="20.100000000000001" customHeight="1" x14ac:dyDescent="0.25">
      <c r="A43" s="85" t="s">
        <v>189</v>
      </c>
      <c r="B43" s="99">
        <v>5</v>
      </c>
      <c r="C43" s="101">
        <v>50</v>
      </c>
      <c r="D43" s="101">
        <f t="shared" si="5"/>
        <v>250</v>
      </c>
      <c r="E43" s="101">
        <f t="shared" si="2"/>
        <v>50</v>
      </c>
      <c r="F43" s="101">
        <f t="shared" si="3"/>
        <v>300</v>
      </c>
      <c r="G43" s="103">
        <f t="shared" si="4"/>
        <v>352.94117647058823</v>
      </c>
    </row>
    <row r="44" spans="1:7" ht="20.100000000000001" customHeight="1" x14ac:dyDescent="0.25">
      <c r="A44" s="85" t="s">
        <v>190</v>
      </c>
      <c r="B44" s="99">
        <v>5</v>
      </c>
      <c r="C44" s="101">
        <v>100</v>
      </c>
      <c r="D44" s="101">
        <f t="shared" si="5"/>
        <v>500</v>
      </c>
      <c r="E44" s="101">
        <f t="shared" si="2"/>
        <v>100</v>
      </c>
      <c r="F44" s="101">
        <f t="shared" si="3"/>
        <v>600</v>
      </c>
      <c r="G44" s="103">
        <f t="shared" si="4"/>
        <v>705.88235294117646</v>
      </c>
    </row>
    <row r="45" spans="1:7" ht="20.100000000000001" customHeight="1" x14ac:dyDescent="0.25">
      <c r="A45" s="85" t="s">
        <v>191</v>
      </c>
      <c r="B45" s="99">
        <v>10</v>
      </c>
      <c r="C45" s="101">
        <v>200</v>
      </c>
      <c r="D45" s="101">
        <f t="shared" si="5"/>
        <v>2000</v>
      </c>
      <c r="E45" s="101">
        <f t="shared" si="2"/>
        <v>400</v>
      </c>
      <c r="F45" s="101">
        <f t="shared" si="3"/>
        <v>2400</v>
      </c>
      <c r="G45" s="103">
        <f t="shared" si="4"/>
        <v>2823.5294117647059</v>
      </c>
    </row>
    <row r="46" spans="1:7" ht="20.100000000000001" customHeight="1" thickBot="1" x14ac:dyDescent="0.3">
      <c r="A46" s="87" t="s">
        <v>192</v>
      </c>
      <c r="B46" s="100">
        <v>6</v>
      </c>
      <c r="C46" s="102">
        <v>50</v>
      </c>
      <c r="D46" s="101">
        <f t="shared" si="5"/>
        <v>300</v>
      </c>
      <c r="E46" s="101">
        <f t="shared" si="2"/>
        <v>60</v>
      </c>
      <c r="F46" s="101">
        <f t="shared" si="3"/>
        <v>360</v>
      </c>
      <c r="G46" s="103">
        <f t="shared" si="4"/>
        <v>423.52941176470591</v>
      </c>
    </row>
  </sheetData>
  <mergeCells count="5">
    <mergeCell ref="B7:C7"/>
    <mergeCell ref="F7:G7"/>
    <mergeCell ref="B21:C21"/>
    <mergeCell ref="D25:F25"/>
    <mergeCell ref="A25:B2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9B48-DF37-4214-A008-6FADAC315715}">
  <dimension ref="A1:R255"/>
  <sheetViews>
    <sheetView topLeftCell="A22" zoomScale="40" workbookViewId="0">
      <selection activeCell="E63" sqref="E63"/>
    </sheetView>
  </sheetViews>
  <sheetFormatPr baseColWidth="10" defaultRowHeight="15" x14ac:dyDescent="0.25"/>
  <cols>
    <col min="1" max="1" width="18.42578125" customWidth="1"/>
    <col min="2" max="2" width="25" bestFit="1" customWidth="1"/>
    <col min="3" max="3" width="10.7109375" style="211" customWidth="1"/>
    <col min="4" max="4" width="9.5703125" customWidth="1"/>
    <col min="5" max="5" width="18.140625" customWidth="1"/>
    <col min="6" max="6" width="16.140625" customWidth="1"/>
    <col min="7" max="7" width="10.85546875" customWidth="1"/>
    <col min="10" max="10" width="15.42578125" bestFit="1" customWidth="1"/>
    <col min="16" max="16" width="22.7109375" customWidth="1"/>
  </cols>
  <sheetData>
    <row r="1" spans="1:10" ht="18.75" x14ac:dyDescent="0.3">
      <c r="B1" s="312" t="s">
        <v>214</v>
      </c>
      <c r="C1" s="282"/>
      <c r="D1" s="282"/>
    </row>
    <row r="3" spans="1:10" ht="15.75" x14ac:dyDescent="0.25">
      <c r="B3" s="27"/>
      <c r="C3" s="209" t="s">
        <v>215</v>
      </c>
      <c r="D3" s="110" t="s">
        <v>216</v>
      </c>
      <c r="E3" s="110" t="s">
        <v>217</v>
      </c>
      <c r="F3" s="110" t="s">
        <v>218</v>
      </c>
      <c r="G3" s="110" t="s">
        <v>219</v>
      </c>
      <c r="H3" s="110" t="s">
        <v>220</v>
      </c>
      <c r="I3" s="110" t="s">
        <v>221</v>
      </c>
    </row>
    <row r="4" spans="1:10" ht="15.75" x14ac:dyDescent="0.25">
      <c r="B4" s="110" t="s">
        <v>222</v>
      </c>
      <c r="C4" s="210">
        <v>8</v>
      </c>
      <c r="D4" s="81">
        <v>10</v>
      </c>
      <c r="E4" s="81">
        <v>10</v>
      </c>
      <c r="F4" s="81">
        <v>10</v>
      </c>
      <c r="G4" s="81">
        <v>8</v>
      </c>
      <c r="H4" s="81">
        <v>6</v>
      </c>
      <c r="I4" s="81">
        <v>0</v>
      </c>
    </row>
    <row r="5" spans="1:10" ht="30" x14ac:dyDescent="0.25">
      <c r="B5" s="91" t="s">
        <v>236</v>
      </c>
      <c r="C5" s="211" t="str">
        <f>IF(C4&gt;0,"OUI","ARRET")</f>
        <v>OUI</v>
      </c>
      <c r="D5" t="str">
        <f t="shared" ref="D5:I5" si="0">IF(D4&gt;0,"OUI","ARRET")</f>
        <v>OUI</v>
      </c>
      <c r="E5" t="str">
        <f t="shared" si="0"/>
        <v>OUI</v>
      </c>
      <c r="F5" t="str">
        <f t="shared" si="0"/>
        <v>OUI</v>
      </c>
      <c r="G5" t="str">
        <f t="shared" si="0"/>
        <v>OUI</v>
      </c>
      <c r="H5" t="str">
        <f t="shared" si="0"/>
        <v>OUI</v>
      </c>
      <c r="I5" t="str">
        <f t="shared" si="0"/>
        <v>ARRET</v>
      </c>
    </row>
    <row r="6" spans="1:10" ht="15.75" thickBot="1" x14ac:dyDescent="0.3"/>
    <row r="7" spans="1:10" ht="15.75" x14ac:dyDescent="0.25">
      <c r="A7" s="111" t="s">
        <v>223</v>
      </c>
      <c r="B7" s="112" t="s">
        <v>224</v>
      </c>
      <c r="C7" s="212" t="s">
        <v>215</v>
      </c>
      <c r="D7" s="112" t="s">
        <v>216</v>
      </c>
      <c r="E7" s="112" t="s">
        <v>217</v>
      </c>
      <c r="F7" s="112" t="s">
        <v>218</v>
      </c>
      <c r="G7" s="112" t="s">
        <v>219</v>
      </c>
      <c r="H7" s="112" t="s">
        <v>220</v>
      </c>
      <c r="I7" s="112" t="s">
        <v>221</v>
      </c>
      <c r="J7" s="113" t="s">
        <v>225</v>
      </c>
    </row>
    <row r="8" spans="1:10" x14ac:dyDescent="0.25">
      <c r="A8" s="85" t="s">
        <v>226</v>
      </c>
      <c r="B8" s="81">
        <v>100</v>
      </c>
      <c r="C8" s="213">
        <v>800</v>
      </c>
      <c r="D8" s="81">
        <v>1000</v>
      </c>
      <c r="E8" s="81">
        <v>1000</v>
      </c>
      <c r="F8" s="81">
        <v>1000</v>
      </c>
      <c r="G8" s="81">
        <v>800</v>
      </c>
      <c r="H8" s="81">
        <v>600</v>
      </c>
      <c r="I8" s="81">
        <v>0</v>
      </c>
      <c r="J8" s="86">
        <f t="shared" ref="J8:J13" si="1">SUM(B8:I8)</f>
        <v>5300</v>
      </c>
    </row>
    <row r="9" spans="1:10" x14ac:dyDescent="0.25">
      <c r="A9" s="85" t="s">
        <v>227</v>
      </c>
      <c r="B9" s="81">
        <v>150</v>
      </c>
      <c r="C9" s="213">
        <v>1200</v>
      </c>
      <c r="D9" s="81">
        <v>1500</v>
      </c>
      <c r="E9" s="81">
        <v>1500</v>
      </c>
      <c r="F9" s="81">
        <v>1500</v>
      </c>
      <c r="G9" s="81">
        <v>1200</v>
      </c>
      <c r="H9" s="81">
        <v>900</v>
      </c>
      <c r="I9" s="81">
        <v>0</v>
      </c>
      <c r="J9" s="86">
        <f t="shared" si="1"/>
        <v>7950</v>
      </c>
    </row>
    <row r="10" spans="1:10" x14ac:dyDescent="0.25">
      <c r="A10" s="85" t="s">
        <v>228</v>
      </c>
      <c r="B10" s="81">
        <v>75</v>
      </c>
      <c r="C10" s="213">
        <v>600</v>
      </c>
      <c r="D10" s="81">
        <v>750</v>
      </c>
      <c r="E10" s="81">
        <v>750</v>
      </c>
      <c r="F10" s="81">
        <v>750</v>
      </c>
      <c r="G10" s="81">
        <v>600</v>
      </c>
      <c r="H10" s="81">
        <v>450</v>
      </c>
      <c r="I10" s="81">
        <v>0</v>
      </c>
      <c r="J10" s="86">
        <f t="shared" si="1"/>
        <v>3975</v>
      </c>
    </row>
    <row r="11" spans="1:10" x14ac:dyDescent="0.25">
      <c r="A11" s="85" t="s">
        <v>229</v>
      </c>
      <c r="B11" s="81">
        <v>98</v>
      </c>
      <c r="C11" s="213">
        <v>784</v>
      </c>
      <c r="D11" s="81">
        <v>980</v>
      </c>
      <c r="E11" s="81">
        <v>980</v>
      </c>
      <c r="F11" s="81">
        <v>980</v>
      </c>
      <c r="G11" s="81">
        <v>784</v>
      </c>
      <c r="H11" s="81">
        <v>588</v>
      </c>
      <c r="I11" s="81">
        <v>0</v>
      </c>
      <c r="J11" s="86">
        <f t="shared" si="1"/>
        <v>5194</v>
      </c>
    </row>
    <row r="12" spans="1:10" x14ac:dyDescent="0.25">
      <c r="A12" s="85" t="s">
        <v>230</v>
      </c>
      <c r="B12" s="81">
        <v>102</v>
      </c>
      <c r="C12" s="213">
        <v>816</v>
      </c>
      <c r="D12" s="81">
        <v>1020</v>
      </c>
      <c r="E12" s="81">
        <v>1020</v>
      </c>
      <c r="F12" s="81">
        <v>1020</v>
      </c>
      <c r="G12" s="81">
        <v>816</v>
      </c>
      <c r="H12" s="81">
        <v>612</v>
      </c>
      <c r="I12" s="81">
        <v>0</v>
      </c>
      <c r="J12" s="86">
        <f t="shared" si="1"/>
        <v>5406</v>
      </c>
    </row>
    <row r="13" spans="1:10" x14ac:dyDescent="0.25">
      <c r="A13" s="85" t="s">
        <v>231</v>
      </c>
      <c r="B13" s="81">
        <v>123</v>
      </c>
      <c r="C13" s="213">
        <v>984</v>
      </c>
      <c r="D13" s="81">
        <v>1230</v>
      </c>
      <c r="E13" s="81">
        <v>1230</v>
      </c>
      <c r="F13" s="81">
        <v>1230</v>
      </c>
      <c r="G13" s="81">
        <v>984</v>
      </c>
      <c r="H13" s="81">
        <v>738</v>
      </c>
      <c r="I13" s="81">
        <v>0</v>
      </c>
      <c r="J13" s="86">
        <f t="shared" si="1"/>
        <v>6519</v>
      </c>
    </row>
    <row r="14" spans="1:10" ht="16.5" thickBot="1" x14ac:dyDescent="0.3">
      <c r="A14" s="114" t="s">
        <v>232</v>
      </c>
      <c r="B14" s="88">
        <f>AVERAGE(B8:B13)</f>
        <v>108</v>
      </c>
      <c r="C14" s="214">
        <f>SUM(C8:C13)</f>
        <v>5184</v>
      </c>
      <c r="D14" s="88">
        <f t="shared" ref="D14:I14" si="2">SUM(D8:D13)</f>
        <v>6480</v>
      </c>
      <c r="E14" s="88">
        <f t="shared" si="2"/>
        <v>6480</v>
      </c>
      <c r="F14" s="88">
        <f t="shared" si="2"/>
        <v>6480</v>
      </c>
      <c r="G14" s="88">
        <f t="shared" si="2"/>
        <v>5184</v>
      </c>
      <c r="H14" s="88">
        <f t="shared" si="2"/>
        <v>3888</v>
      </c>
      <c r="I14" s="88">
        <f t="shared" si="2"/>
        <v>0</v>
      </c>
      <c r="J14" s="115"/>
    </row>
    <row r="15" spans="1:10" ht="49.5" customHeight="1" x14ac:dyDescent="0.25">
      <c r="A15" s="314" t="s">
        <v>235</v>
      </c>
      <c r="B15" s="315"/>
      <c r="C15" s="211" t="str" cm="1">
        <f t="array" ref="C15:I15">IF(C14:I14&lt;=6000,"TROP LENT","BON")</f>
        <v>TROP LENT</v>
      </c>
      <c r="D15" t="str">
        <v>BON</v>
      </c>
      <c r="E15" s="116" t="str">
        <v>BON</v>
      </c>
      <c r="F15" t="str">
        <v>BON</v>
      </c>
      <c r="G15" t="str">
        <v>TROP LENT</v>
      </c>
      <c r="H15" t="str">
        <v>TROP LENT</v>
      </c>
      <c r="I15" t="str">
        <v>TROP LENT</v>
      </c>
    </row>
    <row r="16" spans="1:10" x14ac:dyDescent="0.25">
      <c r="A16" s="282" t="s">
        <v>237</v>
      </c>
      <c r="B16" s="282"/>
      <c r="C16" s="211">
        <f>SUMIF(C7:I7,"Monday",C8:I8)</f>
        <v>800</v>
      </c>
    </row>
    <row r="19" spans="1:14" ht="90" x14ac:dyDescent="0.25">
      <c r="A19" s="282" t="s">
        <v>233</v>
      </c>
      <c r="B19" s="282"/>
      <c r="C19" s="211" t="str">
        <f>A15</f>
        <v>Rythme de travail des machine(Au moins 6000 par jour):</v>
      </c>
      <c r="D19" t="s">
        <v>234</v>
      </c>
      <c r="E19" s="4">
        <f ca="1">TODAY()</f>
        <v>45122</v>
      </c>
    </row>
    <row r="22" spans="1:14" ht="15.75" thickBot="1" x14ac:dyDescent="0.3"/>
    <row r="23" spans="1:14" ht="18.75" x14ac:dyDescent="0.25">
      <c r="D23" s="104" t="s">
        <v>198</v>
      </c>
      <c r="F23" s="108" t="s">
        <v>204</v>
      </c>
      <c r="G23" s="105">
        <v>0.19600000000000001</v>
      </c>
    </row>
    <row r="24" spans="1:14" ht="15.75" x14ac:dyDescent="0.25">
      <c r="B24" s="107" t="s">
        <v>199</v>
      </c>
      <c r="C24" s="215" t="s">
        <v>200</v>
      </c>
      <c r="D24" s="107" t="s">
        <v>213</v>
      </c>
      <c r="E24" s="107" t="s">
        <v>201</v>
      </c>
      <c r="F24" s="107" t="s">
        <v>202</v>
      </c>
      <c r="G24" s="107" t="s">
        <v>203</v>
      </c>
    </row>
    <row r="25" spans="1:14" x14ac:dyDescent="0.25">
      <c r="B25" s="81" t="s">
        <v>205</v>
      </c>
      <c r="C25" s="213" t="s">
        <v>209</v>
      </c>
      <c r="D25" s="81">
        <v>0.93</v>
      </c>
      <c r="E25" s="106">
        <v>0.15</v>
      </c>
      <c r="F25" s="81">
        <f>D25*(1-E25)</f>
        <v>0.79049999999999998</v>
      </c>
      <c r="G25" s="81">
        <f>F25*(1+TVA)</f>
        <v>0.94543799999999989</v>
      </c>
    </row>
    <row r="26" spans="1:14" x14ac:dyDescent="0.25">
      <c r="B26" s="81" t="s">
        <v>206</v>
      </c>
      <c r="C26" s="213" t="s">
        <v>210</v>
      </c>
      <c r="D26" s="81">
        <v>11.07</v>
      </c>
      <c r="E26" s="106">
        <v>0.16</v>
      </c>
      <c r="F26" s="81">
        <f>D26*(1-E26)</f>
        <v>9.2988</v>
      </c>
      <c r="G26" s="81">
        <f>F26*(1+TVA)</f>
        <v>11.1213648</v>
      </c>
    </row>
    <row r="27" spans="1:14" x14ac:dyDescent="0.25">
      <c r="B27" s="81" t="s">
        <v>207</v>
      </c>
      <c r="C27" s="213" t="s">
        <v>211</v>
      </c>
      <c r="D27" s="81">
        <v>0.66</v>
      </c>
      <c r="E27" s="106">
        <v>0.25</v>
      </c>
      <c r="F27" s="81">
        <f>D27*(1-E27)</f>
        <v>0.495</v>
      </c>
      <c r="G27" s="81">
        <f>F27*(1+TVA)</f>
        <v>0.59201999999999999</v>
      </c>
    </row>
    <row r="28" spans="1:14" x14ac:dyDescent="0.25">
      <c r="B28" s="81" t="s">
        <v>208</v>
      </c>
      <c r="C28" s="213" t="s">
        <v>212</v>
      </c>
      <c r="D28" s="81">
        <v>0.76</v>
      </c>
      <c r="E28" s="106">
        <v>0.12</v>
      </c>
      <c r="F28" s="81">
        <f>D28*(1-E28)</f>
        <v>0.66880000000000006</v>
      </c>
      <c r="G28" s="81">
        <f>F28*(1+TVA)</f>
        <v>0.79988480000000006</v>
      </c>
    </row>
    <row r="29" spans="1:14" ht="30" x14ac:dyDescent="0.25">
      <c r="B29" s="117" t="s">
        <v>238</v>
      </c>
      <c r="C29" s="211" t="str">
        <f>VLOOKUP("ABC4",B24:G28,2)</f>
        <v>Gomme</v>
      </c>
      <c r="F29" s="109"/>
    </row>
    <row r="30" spans="1:14" ht="30" x14ac:dyDescent="0.25">
      <c r="B30" s="117" t="s">
        <v>239</v>
      </c>
      <c r="C30" s="211" t="str">
        <f>LEFT(C29,3)</f>
        <v>Gom</v>
      </c>
    </row>
    <row r="32" spans="1:14" ht="26.25" x14ac:dyDescent="0.4">
      <c r="E32" s="124" t="s">
        <v>240</v>
      </c>
      <c r="L32" s="125" t="s">
        <v>258</v>
      </c>
      <c r="M32" s="125"/>
      <c r="N32" s="125"/>
    </row>
    <row r="33" spans="1:18" ht="15.75" thickBot="1" x14ac:dyDescent="0.3"/>
    <row r="34" spans="1:18" ht="21.75" thickBot="1" x14ac:dyDescent="0.4">
      <c r="A34" s="316" t="s">
        <v>241</v>
      </c>
      <c r="B34" s="316"/>
      <c r="C34" s="316"/>
      <c r="D34" s="316"/>
      <c r="E34" s="316"/>
      <c r="F34" s="316"/>
      <c r="G34" s="316"/>
      <c r="L34" s="129" t="s">
        <v>259</v>
      </c>
    </row>
    <row r="35" spans="1:18" x14ac:dyDescent="0.25">
      <c r="L35" s="126">
        <v>20</v>
      </c>
      <c r="N35" s="130" t="s">
        <v>260</v>
      </c>
      <c r="O35" s="131"/>
      <c r="P35" s="131"/>
      <c r="Q35" s="128">
        <f>SUMIF(L35:L44,"&lt;&gt;0")/COUNTIF(L35:L44,"&lt;&gt;0")</f>
        <v>14.375</v>
      </c>
    </row>
    <row r="36" spans="1:18" ht="15.75" thickBot="1" x14ac:dyDescent="0.3">
      <c r="A36" s="119" t="s">
        <v>242</v>
      </c>
      <c r="F36" s="119" t="s">
        <v>243</v>
      </c>
      <c r="G36" s="120">
        <v>0.19600000000000001</v>
      </c>
      <c r="L36" s="126">
        <v>10</v>
      </c>
      <c r="N36" s="319" t="s">
        <v>261</v>
      </c>
      <c r="O36" s="320"/>
      <c r="P36" s="321"/>
      <c r="Q36" s="115">
        <f>AVERAGE(L35:L44)</f>
        <v>11.5</v>
      </c>
    </row>
    <row r="37" spans="1:18" x14ac:dyDescent="0.25">
      <c r="L37" s="126">
        <v>15</v>
      </c>
    </row>
    <row r="38" spans="1:18" ht="47.25" x14ac:dyDescent="0.25">
      <c r="A38" s="121" t="s">
        <v>244</v>
      </c>
      <c r="B38" s="121" t="s">
        <v>245</v>
      </c>
      <c r="C38" s="121" t="s">
        <v>262</v>
      </c>
      <c r="D38" s="121" t="s">
        <v>246</v>
      </c>
      <c r="E38" s="121" t="s">
        <v>247</v>
      </c>
      <c r="F38" s="121" t="s">
        <v>248</v>
      </c>
      <c r="G38" s="121" t="s">
        <v>249</v>
      </c>
      <c r="L38" s="126">
        <v>0</v>
      </c>
    </row>
    <row r="39" spans="1:18" x14ac:dyDescent="0.25">
      <c r="A39" s="118" t="s">
        <v>250</v>
      </c>
      <c r="B39" s="118">
        <v>10</v>
      </c>
      <c r="C39" s="216">
        <v>65</v>
      </c>
      <c r="D39" s="118">
        <v>23</v>
      </c>
      <c r="E39" s="81">
        <f>(C39+D39)*B39</f>
        <v>880</v>
      </c>
      <c r="F39" s="132">
        <f>$G$36</f>
        <v>0.19600000000000001</v>
      </c>
      <c r="G39" s="133">
        <f>(1+F39)+E39</f>
        <v>881.19600000000003</v>
      </c>
      <c r="L39" s="126">
        <v>5</v>
      </c>
    </row>
    <row r="40" spans="1:18" x14ac:dyDescent="0.25">
      <c r="A40" s="118" t="s">
        <v>251</v>
      </c>
      <c r="B40" s="118">
        <v>3</v>
      </c>
      <c r="C40" s="216">
        <v>90</v>
      </c>
      <c r="D40" s="118">
        <v>17.5</v>
      </c>
      <c r="E40" s="81">
        <f>(C40+D40)*B40</f>
        <v>322.5</v>
      </c>
      <c r="F40" s="132">
        <f>$G$36</f>
        <v>0.19600000000000001</v>
      </c>
      <c r="G40" s="133">
        <f>(1+F40)+E40</f>
        <v>323.69600000000003</v>
      </c>
      <c r="L40" s="126">
        <v>20</v>
      </c>
    </row>
    <row r="41" spans="1:18" x14ac:dyDescent="0.25">
      <c r="A41" s="118" t="s">
        <v>252</v>
      </c>
      <c r="B41" s="118">
        <v>7</v>
      </c>
      <c r="C41" s="216">
        <v>75</v>
      </c>
      <c r="D41" s="118">
        <v>30</v>
      </c>
      <c r="E41" s="81">
        <f>(C41+D41)*B41</f>
        <v>735</v>
      </c>
      <c r="F41" s="132">
        <f>$G$36</f>
        <v>0.19600000000000001</v>
      </c>
      <c r="G41" s="133">
        <f>(1+F41)+E41</f>
        <v>736.19600000000003</v>
      </c>
      <c r="L41" s="126">
        <v>0</v>
      </c>
    </row>
    <row r="42" spans="1:18" x14ac:dyDescent="0.25">
      <c r="A42" s="118" t="s">
        <v>253</v>
      </c>
      <c r="B42" s="118">
        <v>13</v>
      </c>
      <c r="C42" s="216">
        <v>65</v>
      </c>
      <c r="D42" s="118">
        <v>15.2</v>
      </c>
      <c r="E42" s="81">
        <f>(C42+D42)*B42</f>
        <v>1042.6000000000001</v>
      </c>
      <c r="F42" s="132">
        <f>$G$36</f>
        <v>0.19600000000000001</v>
      </c>
      <c r="G42" s="133">
        <f>(1+F42)+E42</f>
        <v>1043.796</v>
      </c>
      <c r="L42" s="126">
        <v>10</v>
      </c>
    </row>
    <row r="43" spans="1:18" ht="15.75" x14ac:dyDescent="0.25">
      <c r="G43" s="134">
        <f>SUM(G39:G42)</f>
        <v>2984.884</v>
      </c>
      <c r="L43" s="126">
        <v>15</v>
      </c>
    </row>
    <row r="44" spans="1:18" ht="15.75" thickBot="1" x14ac:dyDescent="0.3">
      <c r="A44" s="317" t="s">
        <v>254</v>
      </c>
      <c r="B44" s="317"/>
      <c r="C44" s="217">
        <v>33</v>
      </c>
      <c r="L44" s="127">
        <v>20</v>
      </c>
    </row>
    <row r="45" spans="1:18" x14ac:dyDescent="0.25">
      <c r="A45" s="317" t="s">
        <v>255</v>
      </c>
      <c r="B45" s="317"/>
      <c r="C45" s="217">
        <f>AVERAGE(B39:B42)</f>
        <v>8.25</v>
      </c>
    </row>
    <row r="46" spans="1:18" ht="21" x14ac:dyDescent="0.35">
      <c r="L46" s="297" t="s">
        <v>263</v>
      </c>
      <c r="M46" s="297"/>
      <c r="N46" s="297"/>
      <c r="O46" s="297"/>
    </row>
    <row r="47" spans="1:18" x14ac:dyDescent="0.25">
      <c r="A47" s="317" t="s">
        <v>256</v>
      </c>
      <c r="B47" s="317"/>
      <c r="C47" s="317"/>
      <c r="D47" s="317"/>
      <c r="E47" s="317"/>
      <c r="F47" s="123">
        <v>3245.3</v>
      </c>
    </row>
    <row r="48" spans="1:18" ht="48" customHeight="1" x14ac:dyDescent="0.25">
      <c r="A48" s="318" t="s">
        <v>257</v>
      </c>
      <c r="B48" s="318"/>
      <c r="C48" s="318"/>
      <c r="D48" s="318"/>
      <c r="E48" s="122"/>
      <c r="F48" s="135">
        <f>(G43-F47)/F47</f>
        <v>-8.024404523464708E-2</v>
      </c>
      <c r="L48" s="136" t="s">
        <v>264</v>
      </c>
      <c r="N48" s="322" t="s">
        <v>265</v>
      </c>
      <c r="O48" s="323"/>
      <c r="Q48" s="324" t="s">
        <v>269</v>
      </c>
      <c r="R48" s="325"/>
    </row>
    <row r="49" spans="1:18" x14ac:dyDescent="0.25">
      <c r="L49" s="81">
        <v>2000</v>
      </c>
      <c r="N49" s="136" t="s">
        <v>266</v>
      </c>
      <c r="O49" s="136" t="s">
        <v>267</v>
      </c>
      <c r="Q49" s="136" t="s">
        <v>268</v>
      </c>
      <c r="R49" s="81">
        <f>COUNTIFS(L49:L58,"&gt;=1000",L49:L58,"&lt;=3000")</f>
        <v>5</v>
      </c>
    </row>
    <row r="50" spans="1:18" ht="21" x14ac:dyDescent="0.35">
      <c r="B50" t="s">
        <v>12</v>
      </c>
      <c r="C50" s="297" t="s">
        <v>270</v>
      </c>
      <c r="D50" s="297"/>
      <c r="E50" s="297"/>
      <c r="F50" s="297"/>
      <c r="L50" s="81">
        <v>200</v>
      </c>
      <c r="N50" s="81">
        <v>1000</v>
      </c>
      <c r="O50" s="81">
        <v>3000</v>
      </c>
    </row>
    <row r="51" spans="1:18" x14ac:dyDescent="0.25">
      <c r="L51" s="81">
        <v>560</v>
      </c>
    </row>
    <row r="52" spans="1:18" ht="18.75" x14ac:dyDescent="0.25">
      <c r="A52" s="80"/>
      <c r="B52" s="326" t="s">
        <v>271</v>
      </c>
      <c r="C52" s="326"/>
      <c r="D52" s="80"/>
      <c r="E52" s="80"/>
      <c r="F52" s="326" t="s">
        <v>275</v>
      </c>
      <c r="G52" s="326"/>
      <c r="L52" s="81">
        <v>800</v>
      </c>
    </row>
    <row r="53" spans="1:18" ht="18.75" x14ac:dyDescent="0.3">
      <c r="A53" s="80"/>
      <c r="B53" s="142" t="s">
        <v>272</v>
      </c>
      <c r="C53" s="218">
        <v>150000</v>
      </c>
      <c r="D53" s="80"/>
      <c r="E53" s="80"/>
      <c r="F53" s="138"/>
      <c r="G53" s="138"/>
      <c r="L53" s="81">
        <v>1500</v>
      </c>
      <c r="N53" s="136" t="s">
        <v>268</v>
      </c>
      <c r="O53" s="81">
        <f>SUMIFS(L49:L58,L49:L58,"&gt;=1000",L49:L58,"&lt;=3000")</f>
        <v>9100</v>
      </c>
    </row>
    <row r="54" spans="1:18" ht="37.5" customHeight="1" x14ac:dyDescent="0.3">
      <c r="A54" s="80"/>
      <c r="B54" s="142" t="s">
        <v>273</v>
      </c>
      <c r="C54" s="218">
        <v>20000</v>
      </c>
      <c r="D54" s="80"/>
      <c r="E54" s="80"/>
      <c r="F54" s="141" t="s">
        <v>276</v>
      </c>
      <c r="G54" s="143">
        <v>0.1</v>
      </c>
      <c r="L54" s="81">
        <v>3000</v>
      </c>
    </row>
    <row r="55" spans="1:18" ht="34.5" customHeight="1" x14ac:dyDescent="0.3">
      <c r="A55" s="80"/>
      <c r="B55" s="142" t="s">
        <v>274</v>
      </c>
      <c r="C55" s="218">
        <v>11000</v>
      </c>
      <c r="D55" s="80"/>
      <c r="E55" s="80"/>
      <c r="F55" s="141" t="s">
        <v>277</v>
      </c>
      <c r="G55" s="143">
        <v>0.08</v>
      </c>
      <c r="L55" s="81">
        <v>5000</v>
      </c>
    </row>
    <row r="56" spans="1:18" x14ac:dyDescent="0.25">
      <c r="A56" s="80"/>
      <c r="B56" s="80"/>
      <c r="C56" s="89"/>
      <c r="D56" s="80"/>
      <c r="E56" s="80"/>
      <c r="F56" s="80"/>
      <c r="G56" s="80"/>
      <c r="L56" s="81">
        <v>900</v>
      </c>
    </row>
    <row r="57" spans="1:18" ht="18.75" x14ac:dyDescent="0.25">
      <c r="A57" s="80"/>
      <c r="B57" s="326" t="s">
        <v>272</v>
      </c>
      <c r="C57" s="326"/>
      <c r="D57" s="326" t="s">
        <v>273</v>
      </c>
      <c r="E57" s="326"/>
      <c r="F57" s="326" t="s">
        <v>274</v>
      </c>
      <c r="G57" s="326"/>
      <c r="L57" s="81">
        <v>1200</v>
      </c>
    </row>
    <row r="58" spans="1:18" ht="37.5" x14ac:dyDescent="0.25">
      <c r="A58" s="80"/>
      <c r="B58" s="139" t="s">
        <v>278</v>
      </c>
      <c r="C58" s="139" t="s">
        <v>279</v>
      </c>
      <c r="D58" s="139" t="s">
        <v>278</v>
      </c>
      <c r="E58" s="139" t="s">
        <v>279</v>
      </c>
      <c r="F58" s="139" t="s">
        <v>278</v>
      </c>
      <c r="G58" s="139" t="s">
        <v>279</v>
      </c>
      <c r="L58" s="81">
        <v>1400</v>
      </c>
    </row>
    <row r="59" spans="1:18" ht="18.75" x14ac:dyDescent="0.3">
      <c r="A59" s="140" t="s">
        <v>82</v>
      </c>
      <c r="B59" s="138">
        <v>165800</v>
      </c>
      <c r="C59" s="219">
        <f t="shared" ref="C59:C70" si="3">IF(B59&gt;=Obj_Diéval,Taux_A*B59,Taux_NA*B59)</f>
        <v>16580</v>
      </c>
      <c r="D59" s="138">
        <v>196200</v>
      </c>
      <c r="E59" s="145">
        <f t="shared" ref="E59:E70" si="4">IF(D59&gt;=Obj_Montagne,Taux_A*D59,Taux_NA*D59)</f>
        <v>19620</v>
      </c>
      <c r="F59" s="138">
        <v>167400</v>
      </c>
      <c r="G59" s="145">
        <f t="shared" ref="G59:G70" si="5">IF(F59&gt;=Obj_Delettre,Taux_A*F59,Taux_NA*F59)</f>
        <v>16740</v>
      </c>
    </row>
    <row r="60" spans="1:18" ht="18.75" x14ac:dyDescent="0.3">
      <c r="A60" s="140" t="s">
        <v>83</v>
      </c>
      <c r="B60" s="138">
        <v>204780</v>
      </c>
      <c r="C60" s="219">
        <f t="shared" si="3"/>
        <v>20478</v>
      </c>
      <c r="D60" s="138">
        <v>185200</v>
      </c>
      <c r="E60" s="145">
        <f t="shared" si="4"/>
        <v>18520</v>
      </c>
      <c r="F60" s="138">
        <v>127400</v>
      </c>
      <c r="G60" s="145">
        <f t="shared" si="5"/>
        <v>12740</v>
      </c>
    </row>
    <row r="61" spans="1:18" ht="18.75" x14ac:dyDescent="0.3">
      <c r="A61" s="140" t="s">
        <v>84</v>
      </c>
      <c r="B61" s="138">
        <v>196500</v>
      </c>
      <c r="C61" s="219">
        <f t="shared" si="3"/>
        <v>19650</v>
      </c>
      <c r="D61" s="138">
        <v>159900</v>
      </c>
      <c r="E61" s="145">
        <f t="shared" si="4"/>
        <v>15990</v>
      </c>
      <c r="F61" s="138">
        <v>166400</v>
      </c>
      <c r="G61" s="145">
        <f t="shared" si="5"/>
        <v>16640</v>
      </c>
    </row>
    <row r="62" spans="1:18" ht="18.75" x14ac:dyDescent="0.3">
      <c r="A62" s="140" t="s">
        <v>85</v>
      </c>
      <c r="B62" s="138">
        <v>152666</v>
      </c>
      <c r="C62" s="219">
        <f t="shared" si="3"/>
        <v>15266.6</v>
      </c>
      <c r="D62" s="138">
        <v>132000</v>
      </c>
      <c r="E62" s="145">
        <f t="shared" si="4"/>
        <v>13200</v>
      </c>
      <c r="F62" s="138">
        <v>167400</v>
      </c>
      <c r="G62" s="145">
        <f t="shared" si="5"/>
        <v>16740</v>
      </c>
    </row>
    <row r="63" spans="1:18" ht="18.75" x14ac:dyDescent="0.3">
      <c r="A63" s="140" t="s">
        <v>86</v>
      </c>
      <c r="B63" s="138">
        <v>132000</v>
      </c>
      <c r="C63" s="219">
        <f t="shared" si="3"/>
        <v>10560</v>
      </c>
      <c r="D63" s="138">
        <v>150200</v>
      </c>
      <c r="E63" s="145">
        <f t="shared" si="4"/>
        <v>15020</v>
      </c>
      <c r="F63" s="138">
        <v>127400</v>
      </c>
      <c r="G63" s="145">
        <f t="shared" si="5"/>
        <v>12740</v>
      </c>
    </row>
    <row r="64" spans="1:18" ht="18.75" x14ac:dyDescent="0.3">
      <c r="A64" s="140" t="s">
        <v>87</v>
      </c>
      <c r="B64" s="138">
        <v>115000</v>
      </c>
      <c r="C64" s="219">
        <f t="shared" si="3"/>
        <v>9200</v>
      </c>
      <c r="D64" s="138">
        <v>165343</v>
      </c>
      <c r="E64" s="145">
        <f t="shared" si="4"/>
        <v>16534.3</v>
      </c>
      <c r="F64" s="138">
        <v>200400</v>
      </c>
      <c r="G64" s="145">
        <f t="shared" si="5"/>
        <v>20040</v>
      </c>
    </row>
    <row r="65" spans="1:7" ht="18.75" x14ac:dyDescent="0.3">
      <c r="A65" s="140" t="s">
        <v>88</v>
      </c>
      <c r="B65" s="138">
        <v>161543</v>
      </c>
      <c r="C65" s="219">
        <f t="shared" si="3"/>
        <v>16154.300000000001</v>
      </c>
      <c r="D65" s="138">
        <v>167400</v>
      </c>
      <c r="E65" s="145">
        <f t="shared" si="4"/>
        <v>16740</v>
      </c>
      <c r="F65" s="138">
        <v>162400</v>
      </c>
      <c r="G65" s="145">
        <f t="shared" si="5"/>
        <v>16240</v>
      </c>
    </row>
    <row r="66" spans="1:7" ht="18.75" x14ac:dyDescent="0.3">
      <c r="A66" s="140" t="s">
        <v>89</v>
      </c>
      <c r="B66" s="138">
        <v>122356</v>
      </c>
      <c r="C66" s="219">
        <f t="shared" si="3"/>
        <v>9788.48</v>
      </c>
      <c r="D66" s="138">
        <v>127400</v>
      </c>
      <c r="E66" s="145">
        <f t="shared" si="4"/>
        <v>12740</v>
      </c>
      <c r="F66" s="138">
        <v>127400</v>
      </c>
      <c r="G66" s="145">
        <f t="shared" si="5"/>
        <v>12740</v>
      </c>
    </row>
    <row r="67" spans="1:7" ht="18.75" x14ac:dyDescent="0.3">
      <c r="A67" s="140" t="s">
        <v>90</v>
      </c>
      <c r="B67" s="138">
        <v>128880</v>
      </c>
      <c r="C67" s="219">
        <f t="shared" si="3"/>
        <v>10310.4</v>
      </c>
      <c r="D67" s="138">
        <v>166400</v>
      </c>
      <c r="E67" s="145">
        <f t="shared" si="4"/>
        <v>16640</v>
      </c>
      <c r="F67" s="138">
        <v>166400</v>
      </c>
      <c r="G67" s="145">
        <f t="shared" si="5"/>
        <v>16640</v>
      </c>
    </row>
    <row r="68" spans="1:7" ht="18.75" x14ac:dyDescent="0.3">
      <c r="A68" s="140" t="s">
        <v>91</v>
      </c>
      <c r="B68" s="138">
        <v>160666</v>
      </c>
      <c r="C68" s="219">
        <f t="shared" si="3"/>
        <v>16066.6</v>
      </c>
      <c r="D68" s="138">
        <v>200000</v>
      </c>
      <c r="E68" s="145">
        <f t="shared" si="4"/>
        <v>20000</v>
      </c>
      <c r="F68" s="138">
        <v>22400</v>
      </c>
      <c r="G68" s="145">
        <f t="shared" si="5"/>
        <v>2240</v>
      </c>
    </row>
    <row r="69" spans="1:7" ht="18.75" x14ac:dyDescent="0.3">
      <c r="A69" s="140" t="s">
        <v>92</v>
      </c>
      <c r="B69" s="138">
        <v>121321</v>
      </c>
      <c r="C69" s="219">
        <f t="shared" si="3"/>
        <v>9705.68</v>
      </c>
      <c r="D69" s="138">
        <v>214465</v>
      </c>
      <c r="E69" s="145">
        <f t="shared" si="4"/>
        <v>21446.5</v>
      </c>
      <c r="F69" s="138">
        <v>110400</v>
      </c>
      <c r="G69" s="145">
        <f t="shared" si="5"/>
        <v>11040</v>
      </c>
    </row>
    <row r="70" spans="1:7" ht="18.75" x14ac:dyDescent="0.3">
      <c r="A70" s="140" t="s">
        <v>93</v>
      </c>
      <c r="B70" s="138">
        <v>111220</v>
      </c>
      <c r="C70" s="219">
        <f t="shared" si="3"/>
        <v>8897.6</v>
      </c>
      <c r="D70" s="138">
        <v>243162</v>
      </c>
      <c r="E70" s="145">
        <f t="shared" si="4"/>
        <v>24316.2</v>
      </c>
      <c r="F70" s="138">
        <v>100400</v>
      </c>
      <c r="G70" s="145">
        <f t="shared" si="5"/>
        <v>10040</v>
      </c>
    </row>
    <row r="73" spans="1:7" x14ac:dyDescent="0.25">
      <c r="A73" s="144" t="s">
        <v>289</v>
      </c>
      <c r="B73" s="137" t="s">
        <v>280</v>
      </c>
    </row>
    <row r="74" spans="1:7" x14ac:dyDescent="0.25">
      <c r="A74" s="144" t="s">
        <v>288</v>
      </c>
      <c r="B74" s="137" t="s">
        <v>281</v>
      </c>
    </row>
    <row r="75" spans="1:7" x14ac:dyDescent="0.25">
      <c r="A75" s="144" t="s">
        <v>287</v>
      </c>
      <c r="B75" s="137" t="s">
        <v>282</v>
      </c>
    </row>
    <row r="76" spans="1:7" x14ac:dyDescent="0.25">
      <c r="A76" s="144" t="s">
        <v>286</v>
      </c>
      <c r="B76" s="137" t="s">
        <v>283</v>
      </c>
    </row>
    <row r="77" spans="1:7" x14ac:dyDescent="0.25">
      <c r="A77" s="144" t="s">
        <v>285</v>
      </c>
      <c r="B77" s="137" t="s">
        <v>284</v>
      </c>
    </row>
    <row r="79" spans="1:7" ht="18.75" x14ac:dyDescent="0.3">
      <c r="C79" s="329" t="s">
        <v>325</v>
      </c>
      <c r="D79" s="329"/>
      <c r="E79" s="329"/>
    </row>
    <row r="80" spans="1:7" x14ac:dyDescent="0.25">
      <c r="A80" s="27"/>
      <c r="B80" s="330" t="s">
        <v>290</v>
      </c>
      <c r="C80" s="330"/>
      <c r="D80" s="330"/>
      <c r="E80" s="330"/>
      <c r="F80" s="330"/>
    </row>
    <row r="81" spans="1:6" ht="33.75" customHeight="1" x14ac:dyDescent="0.25">
      <c r="A81" s="27"/>
      <c r="B81" s="330"/>
      <c r="C81" s="330"/>
      <c r="D81" s="330"/>
      <c r="E81" s="330"/>
      <c r="F81" s="330"/>
    </row>
    <row r="82" spans="1:6" ht="15.75" thickBot="1" x14ac:dyDescent="0.3"/>
    <row r="83" spans="1:6" ht="75" x14ac:dyDescent="0.25">
      <c r="A83" s="152" t="s">
        <v>291</v>
      </c>
      <c r="B83" s="153" t="s">
        <v>292</v>
      </c>
      <c r="C83" s="153" t="s">
        <v>293</v>
      </c>
      <c r="D83" s="153" t="s">
        <v>294</v>
      </c>
      <c r="E83" s="154" t="s">
        <v>295</v>
      </c>
      <c r="F83" s="146" t="s">
        <v>296</v>
      </c>
    </row>
    <row r="84" spans="1:6" ht="30" x14ac:dyDescent="0.25">
      <c r="A84" s="155" t="s">
        <v>297</v>
      </c>
      <c r="B84" s="156" t="s">
        <v>308</v>
      </c>
      <c r="C84" s="220" t="s">
        <v>318</v>
      </c>
      <c r="D84" s="156">
        <v>300</v>
      </c>
      <c r="E84" s="157">
        <v>250</v>
      </c>
      <c r="F84" s="150">
        <f>IF(D84&gt;E84,50*D84,0)</f>
        <v>15000</v>
      </c>
    </row>
    <row r="85" spans="1:6" x14ac:dyDescent="0.25">
      <c r="A85" s="155" t="s">
        <v>298</v>
      </c>
      <c r="B85" s="156" t="s">
        <v>309</v>
      </c>
      <c r="C85" s="220" t="s">
        <v>319</v>
      </c>
      <c r="D85" s="156">
        <v>250</v>
      </c>
      <c r="E85" s="157">
        <v>280</v>
      </c>
      <c r="F85" s="150">
        <f t="shared" ref="F85:F94" si="6">IF(D85&gt;E85,50*D85,0)</f>
        <v>0</v>
      </c>
    </row>
    <row r="86" spans="1:6" ht="30" x14ac:dyDescent="0.25">
      <c r="A86" s="155" t="s">
        <v>299</v>
      </c>
      <c r="B86" s="156" t="s">
        <v>310</v>
      </c>
      <c r="C86" s="220" t="s">
        <v>318</v>
      </c>
      <c r="D86" s="156">
        <v>250</v>
      </c>
      <c r="E86" s="157">
        <v>270</v>
      </c>
      <c r="F86" s="150">
        <f t="shared" si="6"/>
        <v>0</v>
      </c>
    </row>
    <row r="87" spans="1:6" ht="30" x14ac:dyDescent="0.25">
      <c r="A87" s="155" t="s">
        <v>300</v>
      </c>
      <c r="B87" s="156" t="s">
        <v>311</v>
      </c>
      <c r="C87" s="220" t="s">
        <v>318</v>
      </c>
      <c r="D87" s="156">
        <v>320</v>
      </c>
      <c r="E87" s="157">
        <v>300</v>
      </c>
      <c r="F87" s="150">
        <f t="shared" si="6"/>
        <v>16000</v>
      </c>
    </row>
    <row r="88" spans="1:6" x14ac:dyDescent="0.25">
      <c r="A88" s="155" t="s">
        <v>301</v>
      </c>
      <c r="B88" s="156" t="s">
        <v>312</v>
      </c>
      <c r="C88" s="220" t="s">
        <v>319</v>
      </c>
      <c r="D88" s="156">
        <v>180</v>
      </c>
      <c r="E88" s="157">
        <v>190</v>
      </c>
      <c r="F88" s="150">
        <f t="shared" si="6"/>
        <v>0</v>
      </c>
    </row>
    <row r="89" spans="1:6" x14ac:dyDescent="0.25">
      <c r="A89" s="155" t="s">
        <v>302</v>
      </c>
      <c r="B89" s="156" t="s">
        <v>312</v>
      </c>
      <c r="C89" s="220" t="s">
        <v>319</v>
      </c>
      <c r="D89" s="156">
        <v>240</v>
      </c>
      <c r="E89" s="157">
        <v>250</v>
      </c>
      <c r="F89" s="150">
        <f t="shared" si="6"/>
        <v>0</v>
      </c>
    </row>
    <row r="90" spans="1:6" ht="30" x14ac:dyDescent="0.25">
      <c r="A90" s="155" t="s">
        <v>303</v>
      </c>
      <c r="B90" s="156" t="s">
        <v>317</v>
      </c>
      <c r="C90" s="220" t="s">
        <v>318</v>
      </c>
      <c r="D90" s="156">
        <v>400</v>
      </c>
      <c r="E90" s="157">
        <v>350</v>
      </c>
      <c r="F90" s="150">
        <f t="shared" si="6"/>
        <v>20000</v>
      </c>
    </row>
    <row r="91" spans="1:6" ht="30" x14ac:dyDescent="0.25">
      <c r="A91" s="155" t="s">
        <v>304</v>
      </c>
      <c r="B91" s="156" t="s">
        <v>313</v>
      </c>
      <c r="C91" s="220" t="s">
        <v>318</v>
      </c>
      <c r="D91" s="156">
        <v>280</v>
      </c>
      <c r="E91" s="157">
        <v>280</v>
      </c>
      <c r="F91" s="150">
        <f t="shared" si="6"/>
        <v>0</v>
      </c>
    </row>
    <row r="92" spans="1:6" x14ac:dyDescent="0.25">
      <c r="A92" s="155" t="s">
        <v>305</v>
      </c>
      <c r="B92" s="156" t="s">
        <v>314</v>
      </c>
      <c r="C92" s="220" t="s">
        <v>319</v>
      </c>
      <c r="D92" s="156">
        <v>270</v>
      </c>
      <c r="E92" s="157">
        <v>200</v>
      </c>
      <c r="F92" s="150">
        <f t="shared" si="6"/>
        <v>13500</v>
      </c>
    </row>
    <row r="93" spans="1:6" ht="30" x14ac:dyDescent="0.25">
      <c r="A93" s="155" t="s">
        <v>306</v>
      </c>
      <c r="B93" s="156" t="s">
        <v>315</v>
      </c>
      <c r="C93" s="220" t="s">
        <v>318</v>
      </c>
      <c r="D93" s="156">
        <v>200</v>
      </c>
      <c r="E93" s="157">
        <v>240</v>
      </c>
      <c r="F93" s="150">
        <f t="shared" si="6"/>
        <v>0</v>
      </c>
    </row>
    <row r="94" spans="1:6" ht="30.75" thickBot="1" x14ac:dyDescent="0.3">
      <c r="A94" s="158" t="s">
        <v>307</v>
      </c>
      <c r="B94" s="159" t="s">
        <v>316</v>
      </c>
      <c r="C94" s="221" t="s">
        <v>318</v>
      </c>
      <c r="D94" s="159">
        <v>310</v>
      </c>
      <c r="E94" s="160">
        <v>300</v>
      </c>
      <c r="F94" s="150">
        <f t="shared" si="6"/>
        <v>15500</v>
      </c>
    </row>
    <row r="95" spans="1:6" x14ac:dyDescent="0.25">
      <c r="C95" s="147" t="s">
        <v>320</v>
      </c>
      <c r="D95" s="149">
        <f>SUM(D84:D94)</f>
        <v>3000</v>
      </c>
      <c r="E95" s="149">
        <f>SUM(E84:E94)</f>
        <v>2910</v>
      </c>
      <c r="F95" s="149">
        <f>SUM(F84:F94)</f>
        <v>80000</v>
      </c>
    </row>
    <row r="96" spans="1:6" x14ac:dyDescent="0.25">
      <c r="C96" s="147" t="s">
        <v>321</v>
      </c>
      <c r="D96" s="149">
        <f>MAX(D84:D94)</f>
        <v>400</v>
      </c>
      <c r="E96" s="149">
        <f>MAX(E84:E94)</f>
        <v>350</v>
      </c>
      <c r="F96" s="149">
        <f>MAX(F84:F94)</f>
        <v>20000</v>
      </c>
    </row>
    <row r="97" spans="1:11" ht="15.75" thickBot="1" x14ac:dyDescent="0.3">
      <c r="C97" s="148" t="s">
        <v>322</v>
      </c>
      <c r="D97" s="151">
        <f>MIN(D84:D94)</f>
        <v>180</v>
      </c>
      <c r="E97" s="151">
        <f>MIN(E84:E94)</f>
        <v>190</v>
      </c>
      <c r="F97" s="151">
        <f>MIN(F84:F94)</f>
        <v>0</v>
      </c>
    </row>
    <row r="99" spans="1:11" x14ac:dyDescent="0.25">
      <c r="A99" s="331" t="s">
        <v>323</v>
      </c>
      <c r="B99" s="331"/>
      <c r="C99" s="331"/>
      <c r="D99" s="332">
        <f>SUMIF(C84:C94,"Bourgogne",D84:D94)</f>
        <v>940</v>
      </c>
    </row>
    <row r="100" spans="1:11" x14ac:dyDescent="0.25">
      <c r="A100" s="331"/>
      <c r="B100" s="331"/>
      <c r="C100" s="331"/>
      <c r="D100" s="332"/>
    </row>
    <row r="101" spans="1:11" x14ac:dyDescent="0.25">
      <c r="A101" s="331"/>
      <c r="B101" s="331"/>
      <c r="C101" s="331"/>
      <c r="D101" s="332"/>
    </row>
    <row r="102" spans="1:11" x14ac:dyDescent="0.25">
      <c r="A102" s="331"/>
      <c r="B102" s="331"/>
      <c r="C102" s="331"/>
      <c r="D102" s="332"/>
    </row>
    <row r="104" spans="1:11" x14ac:dyDescent="0.25">
      <c r="A104" s="331" t="s">
        <v>324</v>
      </c>
      <c r="B104" s="331"/>
      <c r="C104" s="331"/>
      <c r="D104" s="333">
        <f>SUMIF(C84:C94,"Rhone-Alpes",D84:D94)</f>
        <v>2060</v>
      </c>
    </row>
    <row r="105" spans="1:11" x14ac:dyDescent="0.25">
      <c r="A105" s="331"/>
      <c r="B105" s="331"/>
      <c r="C105" s="331"/>
      <c r="D105" s="333"/>
    </row>
    <row r="106" spans="1:11" x14ac:dyDescent="0.25">
      <c r="A106" s="331"/>
      <c r="B106" s="331"/>
      <c r="C106" s="331"/>
      <c r="D106" s="333"/>
    </row>
    <row r="107" spans="1:11" x14ac:dyDescent="0.25">
      <c r="A107" s="331"/>
      <c r="B107" s="331"/>
      <c r="C107" s="331"/>
      <c r="D107" s="333"/>
    </row>
    <row r="110" spans="1:11" ht="21" x14ac:dyDescent="0.35">
      <c r="C110" s="334" t="s">
        <v>363</v>
      </c>
      <c r="D110" s="335"/>
      <c r="E110" s="335"/>
    </row>
    <row r="112" spans="1:11" ht="28.5" x14ac:dyDescent="0.25">
      <c r="A112" s="336" t="s">
        <v>355</v>
      </c>
      <c r="B112" s="336"/>
      <c r="C112" s="336"/>
      <c r="D112" s="336"/>
      <c r="E112" s="336"/>
      <c r="F112" s="336"/>
      <c r="G112" s="336"/>
      <c r="H112" s="336"/>
      <c r="I112" s="336"/>
      <c r="J112" s="336"/>
      <c r="K112" s="336"/>
    </row>
    <row r="114" spans="1:10" ht="56.25" x14ac:dyDescent="0.25">
      <c r="A114" s="163" t="s">
        <v>326</v>
      </c>
      <c r="B114" s="163" t="s">
        <v>327</v>
      </c>
      <c r="C114" s="163" t="s">
        <v>328</v>
      </c>
      <c r="D114" s="163" t="s">
        <v>329</v>
      </c>
      <c r="E114" s="163" t="s">
        <v>330</v>
      </c>
      <c r="F114" s="163" t="s">
        <v>331</v>
      </c>
      <c r="G114" s="163" t="s">
        <v>332</v>
      </c>
      <c r="H114" s="163" t="s">
        <v>333</v>
      </c>
      <c r="I114" s="163" t="s">
        <v>334</v>
      </c>
      <c r="J114" s="163" t="s">
        <v>335</v>
      </c>
    </row>
    <row r="115" spans="1:10" x14ac:dyDescent="0.25">
      <c r="A115" s="109" t="s">
        <v>336</v>
      </c>
      <c r="B115" s="164">
        <v>3</v>
      </c>
      <c r="C115" s="222">
        <v>42254</v>
      </c>
      <c r="D115" s="168">
        <v>42345</v>
      </c>
      <c r="E115" s="109" t="e">
        <f>NETWORKDAYS(C115,D115,E127)</f>
        <v>#VALUE!</v>
      </c>
      <c r="F115" s="109"/>
      <c r="G115" s="109"/>
      <c r="H115" s="109"/>
      <c r="I115" s="109"/>
      <c r="J115" s="109"/>
    </row>
    <row r="116" spans="1:10" x14ac:dyDescent="0.25">
      <c r="A116" s="109" t="s">
        <v>337</v>
      </c>
      <c r="B116" s="164">
        <v>3</v>
      </c>
      <c r="C116" s="222">
        <v>42071</v>
      </c>
      <c r="D116" s="168">
        <v>42255</v>
      </c>
      <c r="E116" s="109" t="e">
        <f t="shared" ref="E116:E123" si="7">NETWORKDAYS(C116,D116,E127:E128)</f>
        <v>#VALUE!</v>
      </c>
      <c r="F116" s="109"/>
      <c r="G116" s="109"/>
      <c r="H116" s="109"/>
      <c r="I116" s="109"/>
      <c r="J116" s="109"/>
    </row>
    <row r="117" spans="1:10" x14ac:dyDescent="0.25">
      <c r="A117" s="109" t="s">
        <v>338</v>
      </c>
      <c r="B117" s="164">
        <v>3</v>
      </c>
      <c r="C117" s="222">
        <v>42010</v>
      </c>
      <c r="D117" s="168" t="s">
        <v>359</v>
      </c>
      <c r="E117" s="109" t="e">
        <f t="shared" si="7"/>
        <v>#VALUE!</v>
      </c>
      <c r="F117" s="109"/>
      <c r="G117" s="109"/>
      <c r="H117" s="109"/>
      <c r="I117" s="109"/>
      <c r="J117" s="109"/>
    </row>
    <row r="118" spans="1:10" x14ac:dyDescent="0.25">
      <c r="A118" s="109" t="s">
        <v>339</v>
      </c>
      <c r="B118" s="164">
        <v>1</v>
      </c>
      <c r="C118" s="222" t="s">
        <v>356</v>
      </c>
      <c r="D118" s="168">
        <v>42071</v>
      </c>
      <c r="E118" s="109" t="e">
        <f t="shared" si="7"/>
        <v>#VALUE!</v>
      </c>
      <c r="F118" s="109"/>
      <c r="G118" s="109"/>
      <c r="H118" s="109"/>
      <c r="I118" s="109"/>
      <c r="J118" s="109"/>
    </row>
    <row r="119" spans="1:10" x14ac:dyDescent="0.25">
      <c r="A119" s="109" t="s">
        <v>340</v>
      </c>
      <c r="B119" s="164">
        <v>2</v>
      </c>
      <c r="C119" s="222" t="s">
        <v>357</v>
      </c>
      <c r="D119" s="168" t="s">
        <v>360</v>
      </c>
      <c r="E119" s="109" t="e">
        <f t="shared" si="7"/>
        <v>#VALUE!</v>
      </c>
      <c r="F119" s="109"/>
      <c r="G119" s="109"/>
      <c r="H119" s="109"/>
      <c r="I119" s="109"/>
      <c r="J119" s="109"/>
    </row>
    <row r="120" spans="1:10" x14ac:dyDescent="0.25">
      <c r="A120" s="109" t="s">
        <v>341</v>
      </c>
      <c r="B120" s="164">
        <v>1</v>
      </c>
      <c r="C120" s="222">
        <v>42010</v>
      </c>
      <c r="D120" s="168" t="s">
        <v>357</v>
      </c>
      <c r="E120" s="109" t="e">
        <f t="shared" si="7"/>
        <v>#VALUE!</v>
      </c>
      <c r="F120" s="109"/>
      <c r="G120" s="109"/>
      <c r="H120" s="109"/>
      <c r="I120" s="109"/>
      <c r="J120" s="109"/>
    </row>
    <row r="121" spans="1:10" x14ac:dyDescent="0.25">
      <c r="A121" s="109" t="s">
        <v>342</v>
      </c>
      <c r="B121" s="164">
        <v>1</v>
      </c>
      <c r="C121" s="222">
        <v>42070</v>
      </c>
      <c r="D121" s="168">
        <v>42344</v>
      </c>
      <c r="E121" s="109">
        <f t="shared" si="7"/>
        <v>195</v>
      </c>
      <c r="F121" s="109"/>
      <c r="G121" s="109"/>
      <c r="H121" s="109"/>
      <c r="I121" s="109"/>
      <c r="J121" s="109"/>
    </row>
    <row r="122" spans="1:10" x14ac:dyDescent="0.25">
      <c r="A122" s="109" t="s">
        <v>343</v>
      </c>
      <c r="B122" s="164">
        <v>2</v>
      </c>
      <c r="C122" s="222">
        <v>42043</v>
      </c>
      <c r="D122" s="168" t="s">
        <v>361</v>
      </c>
      <c r="E122" s="109" t="e">
        <f t="shared" si="7"/>
        <v>#VALUE!</v>
      </c>
      <c r="F122" s="109"/>
      <c r="G122" s="109"/>
      <c r="H122" s="109"/>
      <c r="I122" s="109"/>
      <c r="J122" s="109"/>
    </row>
    <row r="123" spans="1:10" x14ac:dyDescent="0.25">
      <c r="A123" s="165" t="s">
        <v>344</v>
      </c>
      <c r="B123" s="166">
        <v>2</v>
      </c>
      <c r="C123" s="223" t="s">
        <v>358</v>
      </c>
      <c r="D123" s="169" t="s">
        <v>362</v>
      </c>
      <c r="E123" s="109" t="e">
        <f t="shared" si="7"/>
        <v>#VALUE!</v>
      </c>
      <c r="F123" s="165"/>
      <c r="G123" s="165"/>
      <c r="H123" s="165"/>
      <c r="I123" s="165"/>
      <c r="J123" s="165"/>
    </row>
    <row r="125" spans="1:10" ht="75.75" customHeight="1" x14ac:dyDescent="0.25">
      <c r="A125" s="337" t="s">
        <v>345</v>
      </c>
      <c r="B125" s="337"/>
      <c r="C125" s="337"/>
      <c r="D125" s="167" t="s">
        <v>346</v>
      </c>
      <c r="E125" s="161" t="s">
        <v>347</v>
      </c>
      <c r="G125" s="328" t="s">
        <v>351</v>
      </c>
      <c r="H125" s="328"/>
      <c r="I125" s="162">
        <v>42011</v>
      </c>
      <c r="J125" s="81" t="s">
        <v>354</v>
      </c>
    </row>
    <row r="126" spans="1:10" x14ac:dyDescent="0.25">
      <c r="A126" s="327" t="s">
        <v>348</v>
      </c>
      <c r="B126" s="327"/>
      <c r="C126" s="224">
        <v>55.9</v>
      </c>
      <c r="D126" s="81"/>
      <c r="E126" s="170" t="s">
        <v>352</v>
      </c>
      <c r="G126" s="328" t="s">
        <v>351</v>
      </c>
      <c r="H126" s="328"/>
      <c r="I126" s="106">
        <v>7.0000000000000007E-2</v>
      </c>
    </row>
    <row r="127" spans="1:10" x14ac:dyDescent="0.25">
      <c r="A127" s="327" t="s">
        <v>349</v>
      </c>
      <c r="B127" s="327"/>
      <c r="C127" s="213">
        <v>62.7</v>
      </c>
      <c r="D127" s="81"/>
      <c r="E127" s="170" t="s">
        <v>353</v>
      </c>
      <c r="G127" s="328" t="s">
        <v>332</v>
      </c>
      <c r="H127" s="328"/>
      <c r="I127" s="132">
        <v>4.4999999999999998E-2</v>
      </c>
    </row>
    <row r="128" spans="1:10" x14ac:dyDescent="0.25">
      <c r="A128" s="327" t="s">
        <v>350</v>
      </c>
      <c r="B128" s="327"/>
      <c r="C128" s="213">
        <v>68.5</v>
      </c>
      <c r="D128" s="81"/>
    </row>
    <row r="130" spans="1:5" x14ac:dyDescent="0.25">
      <c r="D130" s="171" t="s">
        <v>364</v>
      </c>
    </row>
    <row r="132" spans="1:5" ht="18.75" x14ac:dyDescent="0.25">
      <c r="C132" s="313" t="s">
        <v>365</v>
      </c>
      <c r="D132" s="313"/>
      <c r="E132" s="313"/>
    </row>
    <row r="133" spans="1:5" ht="15.75" x14ac:dyDescent="0.25">
      <c r="A133" s="174" t="s">
        <v>366</v>
      </c>
      <c r="B133" s="175" t="s">
        <v>367</v>
      </c>
    </row>
    <row r="134" spans="1:5" x14ac:dyDescent="0.25">
      <c r="A134" s="176">
        <v>1</v>
      </c>
      <c r="B134" s="177" t="s">
        <v>369</v>
      </c>
      <c r="C134" s="282" t="s">
        <v>373</v>
      </c>
      <c r="D134" s="282"/>
      <c r="E134" s="282"/>
    </row>
    <row r="135" spans="1:5" x14ac:dyDescent="0.25">
      <c r="A135" s="176">
        <v>2</v>
      </c>
      <c r="B135" s="177" t="s">
        <v>369</v>
      </c>
      <c r="C135" s="225">
        <f>COUNT(A134:A158)</f>
        <v>13</v>
      </c>
    </row>
    <row r="136" spans="1:5" x14ac:dyDescent="0.25">
      <c r="A136" s="178" t="s">
        <v>368</v>
      </c>
      <c r="B136" s="177" t="s">
        <v>369</v>
      </c>
    </row>
    <row r="137" spans="1:5" x14ac:dyDescent="0.25">
      <c r="A137" s="178" t="s">
        <v>368</v>
      </c>
      <c r="B137" s="177" t="s">
        <v>370</v>
      </c>
      <c r="C137" s="286" t="s">
        <v>372</v>
      </c>
      <c r="D137" s="286"/>
      <c r="E137" s="286"/>
    </row>
    <row r="138" spans="1:5" x14ac:dyDescent="0.25">
      <c r="A138" s="178" t="s">
        <v>368</v>
      </c>
      <c r="B138" s="177" t="s">
        <v>371</v>
      </c>
      <c r="C138" s="225">
        <f>COUNTA(A134:A158)</f>
        <v>25</v>
      </c>
    </row>
    <row r="139" spans="1:5" x14ac:dyDescent="0.25">
      <c r="A139" s="176">
        <v>1</v>
      </c>
      <c r="B139" s="177" t="s">
        <v>369</v>
      </c>
    </row>
    <row r="140" spans="1:5" x14ac:dyDescent="0.25">
      <c r="A140" s="176">
        <v>2</v>
      </c>
      <c r="B140" s="177" t="s">
        <v>370</v>
      </c>
      <c r="C140" s="286" t="s">
        <v>377</v>
      </c>
      <c r="D140" s="286"/>
      <c r="E140" s="286"/>
    </row>
    <row r="141" spans="1:5" x14ac:dyDescent="0.25">
      <c r="A141" s="176">
        <v>3</v>
      </c>
      <c r="B141" s="177" t="s">
        <v>371</v>
      </c>
      <c r="C141" s="225">
        <f>COUNTIF(A134:A158,"marmotte")</f>
        <v>12</v>
      </c>
    </row>
    <row r="142" spans="1:5" x14ac:dyDescent="0.25">
      <c r="A142" s="178" t="s">
        <v>368</v>
      </c>
      <c r="B142" s="177" t="s">
        <v>369</v>
      </c>
    </row>
    <row r="143" spans="1:5" x14ac:dyDescent="0.25">
      <c r="A143" s="178" t="s">
        <v>368</v>
      </c>
      <c r="B143" s="177" t="s">
        <v>370</v>
      </c>
      <c r="C143" s="286" t="s">
        <v>374</v>
      </c>
      <c r="D143" s="286"/>
      <c r="E143" s="286"/>
    </row>
    <row r="144" spans="1:5" x14ac:dyDescent="0.25">
      <c r="A144" s="178" t="s">
        <v>368</v>
      </c>
      <c r="B144" s="177" t="s">
        <v>371</v>
      </c>
      <c r="C144" s="225">
        <f>COUNTIFS(A134:A158,"marmotte",B134:B158,"rose")</f>
        <v>4</v>
      </c>
    </row>
    <row r="145" spans="1:5" x14ac:dyDescent="0.25">
      <c r="A145" s="176">
        <v>2</v>
      </c>
      <c r="B145" s="177" t="s">
        <v>369</v>
      </c>
    </row>
    <row r="146" spans="1:5" x14ac:dyDescent="0.25">
      <c r="A146" s="176">
        <v>3</v>
      </c>
      <c r="B146" s="177" t="s">
        <v>369</v>
      </c>
      <c r="C146" s="286" t="s">
        <v>375</v>
      </c>
      <c r="D146" s="286"/>
      <c r="E146" s="286"/>
    </row>
    <row r="147" spans="1:5" x14ac:dyDescent="0.25">
      <c r="A147" s="176">
        <v>4</v>
      </c>
      <c r="B147" s="177" t="s">
        <v>369</v>
      </c>
      <c r="C147" s="225">
        <f>COUNTIFS(A134:A158,"marmotte",B134:B158,"violette")</f>
        <v>3</v>
      </c>
    </row>
    <row r="148" spans="1:5" x14ac:dyDescent="0.25">
      <c r="A148" s="178" t="s">
        <v>368</v>
      </c>
      <c r="B148" s="177" t="s">
        <v>369</v>
      </c>
    </row>
    <row r="149" spans="1:5" x14ac:dyDescent="0.25">
      <c r="A149" s="178" t="s">
        <v>368</v>
      </c>
      <c r="B149" s="177" t="s">
        <v>369</v>
      </c>
      <c r="C149" s="286" t="s">
        <v>376</v>
      </c>
      <c r="D149" s="286"/>
      <c r="E149" s="286"/>
    </row>
    <row r="150" spans="1:5" x14ac:dyDescent="0.25">
      <c r="A150" s="178" t="s">
        <v>368</v>
      </c>
      <c r="B150" s="177" t="s">
        <v>369</v>
      </c>
      <c r="C150" s="225">
        <f>COUNTIFS(A134:A158,"marmotte",B134:B158,"bleue")</f>
        <v>5</v>
      </c>
    </row>
    <row r="151" spans="1:5" x14ac:dyDescent="0.25">
      <c r="A151" s="176">
        <v>1</v>
      </c>
      <c r="B151" s="177" t="s">
        <v>369</v>
      </c>
    </row>
    <row r="152" spans="1:5" x14ac:dyDescent="0.25">
      <c r="A152" s="176">
        <v>2</v>
      </c>
      <c r="B152" s="177" t="s">
        <v>370</v>
      </c>
    </row>
    <row r="153" spans="1:5" x14ac:dyDescent="0.25">
      <c r="A153" s="178" t="s">
        <v>368</v>
      </c>
      <c r="B153" s="177" t="s">
        <v>370</v>
      </c>
    </row>
    <row r="154" spans="1:5" x14ac:dyDescent="0.25">
      <c r="A154" s="178" t="s">
        <v>368</v>
      </c>
      <c r="B154" s="177" t="s">
        <v>370</v>
      </c>
    </row>
    <row r="155" spans="1:5" x14ac:dyDescent="0.25">
      <c r="A155" s="178" t="s">
        <v>368</v>
      </c>
      <c r="B155" s="177" t="s">
        <v>371</v>
      </c>
    </row>
    <row r="156" spans="1:5" x14ac:dyDescent="0.25">
      <c r="A156" s="176">
        <v>5</v>
      </c>
      <c r="B156" s="177" t="s">
        <v>371</v>
      </c>
    </row>
    <row r="157" spans="1:5" x14ac:dyDescent="0.25">
      <c r="A157" s="176">
        <v>1</v>
      </c>
      <c r="B157" s="177" t="s">
        <v>371</v>
      </c>
    </row>
    <row r="158" spans="1:5" x14ac:dyDescent="0.25">
      <c r="A158" s="179">
        <v>2</v>
      </c>
      <c r="B158" s="180" t="s">
        <v>370</v>
      </c>
    </row>
    <row r="160" spans="1:5" ht="18.75" x14ac:dyDescent="0.3">
      <c r="C160" s="312" t="s">
        <v>378</v>
      </c>
      <c r="D160" s="312"/>
      <c r="E160" s="312"/>
    </row>
    <row r="162" spans="1:5" ht="30" x14ac:dyDescent="0.25">
      <c r="A162" s="286" t="s">
        <v>379</v>
      </c>
      <c r="B162" s="286"/>
      <c r="C162" s="211" t="s">
        <v>380</v>
      </c>
      <c r="D162" t="s">
        <v>426</v>
      </c>
    </row>
    <row r="163" spans="1:5" x14ac:dyDescent="0.25">
      <c r="C163" s="211" t="s">
        <v>381</v>
      </c>
      <c r="D163" t="str">
        <f>VLOOKUP($D$162,TAB_CLIENT,2)</f>
        <v>les copains 13</v>
      </c>
    </row>
    <row r="164" spans="1:5" x14ac:dyDescent="0.25">
      <c r="C164" s="211" t="s">
        <v>382</v>
      </c>
      <c r="D164" t="str">
        <f>VLOOKUP($D$162,TAB_CLIENT,3)</f>
        <v>rue des alouettes</v>
      </c>
    </row>
    <row r="165" spans="1:5" x14ac:dyDescent="0.25">
      <c r="C165" s="211" t="s">
        <v>472</v>
      </c>
      <c r="D165" t="str">
        <f>VLOOKUP($D$162,TAB_CLIENT,4)&amp;"-"&amp;VLOOKUP($D$162,TAB_CLIENT,5)</f>
        <v>11000-NARBONNE</v>
      </c>
    </row>
    <row r="167" spans="1:5" ht="31.5" thickBot="1" x14ac:dyDescent="0.35">
      <c r="A167" s="309" t="s">
        <v>385</v>
      </c>
      <c r="B167" s="309"/>
      <c r="C167" s="211" t="s">
        <v>387</v>
      </c>
    </row>
    <row r="168" spans="1:5" ht="19.5" thickBot="1" x14ac:dyDescent="0.35">
      <c r="A168" s="309" t="s">
        <v>386</v>
      </c>
      <c r="B168" s="309"/>
      <c r="C168" s="226">
        <f ca="1">TODAY()</f>
        <v>45122</v>
      </c>
      <c r="D168" t="s">
        <v>475</v>
      </c>
    </row>
    <row r="169" spans="1:5" ht="19.5" thickBot="1" x14ac:dyDescent="0.35">
      <c r="A169" s="181"/>
      <c r="B169" s="181"/>
    </row>
    <row r="170" spans="1:5" ht="19.5" thickBot="1" x14ac:dyDescent="0.35">
      <c r="A170" s="309" t="s">
        <v>384</v>
      </c>
      <c r="B170" s="309"/>
      <c r="C170" s="226">
        <f ca="1">C168+2</f>
        <v>45124</v>
      </c>
      <c r="D170" t="s">
        <v>473</v>
      </c>
    </row>
    <row r="171" spans="1:5" ht="19.5" thickBot="1" x14ac:dyDescent="0.35">
      <c r="A171" s="181"/>
      <c r="B171" s="181"/>
    </row>
    <row r="172" spans="1:5" ht="19.5" thickBot="1" x14ac:dyDescent="0.35">
      <c r="A172" s="309" t="s">
        <v>383</v>
      </c>
      <c r="B172" s="309"/>
      <c r="C172" s="226">
        <f ca="1">C170+6</f>
        <v>45130</v>
      </c>
      <c r="D172" t="s">
        <v>474</v>
      </c>
    </row>
    <row r="174" spans="1:5" ht="15.75" thickBot="1" x14ac:dyDescent="0.3"/>
    <row r="175" spans="1:5" x14ac:dyDescent="0.25">
      <c r="A175" s="185" t="s">
        <v>388</v>
      </c>
      <c r="B175" s="186" t="s">
        <v>389</v>
      </c>
      <c r="C175" s="227" t="s">
        <v>390</v>
      </c>
      <c r="D175" s="186" t="s">
        <v>391</v>
      </c>
      <c r="E175" s="187" t="s">
        <v>392</v>
      </c>
    </row>
    <row r="176" spans="1:5" x14ac:dyDescent="0.25">
      <c r="A176" s="188">
        <v>123</v>
      </c>
      <c r="B176" s="183" t="str">
        <f>VLOOKUP(A176,TAB_ARTICLE,2)</f>
        <v>Poupee Barbie</v>
      </c>
      <c r="C176" s="228">
        <f>VLOOKUP(A176,TAB_ARTICLE,3)</f>
        <v>2.5</v>
      </c>
      <c r="D176" s="182">
        <v>5</v>
      </c>
      <c r="E176" s="192">
        <f>C176*D176</f>
        <v>12.5</v>
      </c>
    </row>
    <row r="177" spans="1:6" x14ac:dyDescent="0.25">
      <c r="A177" s="188">
        <v>125</v>
      </c>
      <c r="B177" s="183" t="str">
        <f>VLOOKUP(A177,TAB_ARTICLE,2)</f>
        <v>Marmotte Bleue</v>
      </c>
      <c r="C177" s="228">
        <f>VLOOKUP(A177,TAB_ARTICLE,3)</f>
        <v>15</v>
      </c>
      <c r="D177" s="182">
        <v>4</v>
      </c>
      <c r="E177" s="192">
        <f>C177*D177</f>
        <v>60</v>
      </c>
    </row>
    <row r="178" spans="1:6" x14ac:dyDescent="0.25">
      <c r="A178" s="188">
        <v>127</v>
      </c>
      <c r="B178" s="183" t="str">
        <f>VLOOKUP(A178,TAB_ARTICLE,2)</f>
        <v>Habit tarzan</v>
      </c>
      <c r="C178" s="228">
        <f>VLOOKUP(A178,TAB_ARTICLE,3)</f>
        <v>12</v>
      </c>
      <c r="D178" s="182">
        <v>2</v>
      </c>
      <c r="E178" s="192">
        <f>C178*D178</f>
        <v>24</v>
      </c>
    </row>
    <row r="179" spans="1:6" x14ac:dyDescent="0.25">
      <c r="A179" s="188">
        <v>129</v>
      </c>
      <c r="B179" s="183" t="str">
        <f>VLOOKUP(A179,TAB_ARTICLE,2)</f>
        <v>Autobus</v>
      </c>
      <c r="C179" s="228">
        <f>VLOOKUP(A179,TAB_ARTICLE,3)</f>
        <v>3.5</v>
      </c>
      <c r="D179" s="182">
        <v>3</v>
      </c>
      <c r="E179" s="192">
        <f>C179*D179</f>
        <v>10.5</v>
      </c>
    </row>
    <row r="180" spans="1:6" ht="15.75" thickBot="1" x14ac:dyDescent="0.3">
      <c r="A180" s="189">
        <v>131</v>
      </c>
      <c r="B180" s="183" t="str">
        <f>VLOOKUP(A180,TAB_ARTICLE,2)</f>
        <v>PS2</v>
      </c>
      <c r="C180" s="228">
        <f>VLOOKUP(A180,TAB_ARTICLE,3)</f>
        <v>150</v>
      </c>
      <c r="D180" s="190">
        <v>2</v>
      </c>
      <c r="E180" s="192">
        <f>C180*D180</f>
        <v>300</v>
      </c>
    </row>
    <row r="181" spans="1:6" ht="15.75" thickBot="1" x14ac:dyDescent="0.3"/>
    <row r="182" spans="1:6" x14ac:dyDescent="0.25">
      <c r="C182" s="229" t="s">
        <v>247</v>
      </c>
      <c r="D182" s="186"/>
      <c r="E182" s="193">
        <f>SUM(E176:E180)</f>
        <v>407</v>
      </c>
    </row>
    <row r="183" spans="1:6" x14ac:dyDescent="0.25">
      <c r="C183" s="230" t="s">
        <v>248</v>
      </c>
      <c r="D183" s="184">
        <v>0.2</v>
      </c>
      <c r="E183" s="192">
        <f>D183*E182</f>
        <v>81.400000000000006</v>
      </c>
    </row>
    <row r="184" spans="1:6" ht="15.75" thickBot="1" x14ac:dyDescent="0.3">
      <c r="C184" s="231" t="s">
        <v>393</v>
      </c>
      <c r="D184" s="190"/>
      <c r="E184" s="194">
        <f>E182+E183</f>
        <v>488.4</v>
      </c>
    </row>
    <row r="185" spans="1:6" ht="15.75" thickBot="1" x14ac:dyDescent="0.3"/>
    <row r="186" spans="1:6" ht="15.75" thickBot="1" x14ac:dyDescent="0.3">
      <c r="C186" s="310" t="s">
        <v>394</v>
      </c>
      <c r="D186" s="311"/>
      <c r="E186" s="191">
        <f ca="1">C172+60</f>
        <v>45190</v>
      </c>
      <c r="F186" t="s">
        <v>476</v>
      </c>
    </row>
    <row r="189" spans="1:6" x14ac:dyDescent="0.25">
      <c r="A189" s="282" t="s">
        <v>404</v>
      </c>
      <c r="B189" s="282"/>
      <c r="C189" s="282"/>
    </row>
    <row r="190" spans="1:6" ht="15.75" x14ac:dyDescent="0.25">
      <c r="A190" s="173" t="s">
        <v>405</v>
      </c>
      <c r="B190" s="173" t="s">
        <v>406</v>
      </c>
      <c r="C190" s="232" t="s">
        <v>407</v>
      </c>
    </row>
    <row r="191" spans="1:6" ht="15.75" x14ac:dyDescent="0.25">
      <c r="A191" s="172">
        <v>123</v>
      </c>
      <c r="B191" s="172" t="s">
        <v>395</v>
      </c>
      <c r="C191" s="233">
        <v>2.5</v>
      </c>
    </row>
    <row r="192" spans="1:6" ht="15.75" x14ac:dyDescent="0.25">
      <c r="A192" s="172">
        <v>124</v>
      </c>
      <c r="B192" s="172" t="s">
        <v>396</v>
      </c>
      <c r="C192" s="233">
        <v>5</v>
      </c>
    </row>
    <row r="193" spans="1:5" ht="15.75" x14ac:dyDescent="0.25">
      <c r="A193" s="172">
        <v>125</v>
      </c>
      <c r="B193" s="172" t="s">
        <v>397</v>
      </c>
      <c r="C193" s="233">
        <v>15</v>
      </c>
    </row>
    <row r="194" spans="1:5" ht="15.75" x14ac:dyDescent="0.25">
      <c r="A194" s="172">
        <v>126</v>
      </c>
      <c r="B194" s="172" t="s">
        <v>398</v>
      </c>
      <c r="C194" s="233">
        <v>23</v>
      </c>
    </row>
    <row r="195" spans="1:5" ht="15.75" x14ac:dyDescent="0.25">
      <c r="A195" s="172">
        <v>127</v>
      </c>
      <c r="B195" s="172" t="s">
        <v>399</v>
      </c>
      <c r="C195" s="233">
        <v>12</v>
      </c>
    </row>
    <row r="196" spans="1:5" ht="15.75" x14ac:dyDescent="0.25">
      <c r="A196" s="172">
        <v>128</v>
      </c>
      <c r="B196" s="172" t="s">
        <v>400</v>
      </c>
      <c r="C196" s="233">
        <v>2</v>
      </c>
    </row>
    <row r="197" spans="1:5" ht="15.75" x14ac:dyDescent="0.25">
      <c r="A197" s="172">
        <v>129</v>
      </c>
      <c r="B197" s="172" t="s">
        <v>401</v>
      </c>
      <c r="C197" s="233">
        <v>3.5</v>
      </c>
    </row>
    <row r="198" spans="1:5" ht="15.75" x14ac:dyDescent="0.25">
      <c r="A198" s="172">
        <v>130</v>
      </c>
      <c r="B198" s="172" t="s">
        <v>402</v>
      </c>
      <c r="C198" s="233">
        <v>12.5</v>
      </c>
    </row>
    <row r="199" spans="1:5" ht="15.75" x14ac:dyDescent="0.25">
      <c r="A199" s="172">
        <v>131</v>
      </c>
      <c r="B199" s="172" t="s">
        <v>403</v>
      </c>
      <c r="C199" s="233">
        <v>150</v>
      </c>
    </row>
    <row r="200" spans="1:5" x14ac:dyDescent="0.25">
      <c r="A200" s="282" t="s">
        <v>471</v>
      </c>
      <c r="B200" s="282"/>
      <c r="C200" s="282"/>
    </row>
    <row r="201" spans="1:5" x14ac:dyDescent="0.25">
      <c r="A201" s="80" t="s">
        <v>408</v>
      </c>
      <c r="B201" s="80" t="s">
        <v>409</v>
      </c>
      <c r="C201" s="89" t="s">
        <v>410</v>
      </c>
      <c r="D201" s="80" t="s">
        <v>411</v>
      </c>
      <c r="E201" s="80" t="s">
        <v>412</v>
      </c>
    </row>
    <row r="202" spans="1:5" ht="30" x14ac:dyDescent="0.25">
      <c r="A202" s="80" t="s">
        <v>413</v>
      </c>
      <c r="B202" s="80" t="s">
        <v>435</v>
      </c>
      <c r="C202" s="89" t="s">
        <v>457</v>
      </c>
      <c r="D202" s="80">
        <v>34000</v>
      </c>
      <c r="E202" s="80" t="s">
        <v>469</v>
      </c>
    </row>
    <row r="203" spans="1:5" ht="30" x14ac:dyDescent="0.25">
      <c r="A203" s="80" t="s">
        <v>414</v>
      </c>
      <c r="B203" s="80" t="s">
        <v>436</v>
      </c>
      <c r="C203" s="89" t="s">
        <v>458</v>
      </c>
      <c r="D203" s="80">
        <v>11000</v>
      </c>
      <c r="E203" s="80" t="s">
        <v>470</v>
      </c>
    </row>
    <row r="204" spans="1:5" ht="30" x14ac:dyDescent="0.25">
      <c r="A204" s="80" t="s">
        <v>415</v>
      </c>
      <c r="B204" s="80" t="s">
        <v>437</v>
      </c>
      <c r="C204" s="89" t="s">
        <v>459</v>
      </c>
      <c r="D204" s="80">
        <v>34000</v>
      </c>
      <c r="E204" s="80" t="s">
        <v>469</v>
      </c>
    </row>
    <row r="205" spans="1:5" ht="30" x14ac:dyDescent="0.25">
      <c r="A205" s="80" t="s">
        <v>416</v>
      </c>
      <c r="B205" s="80" t="s">
        <v>438</v>
      </c>
      <c r="C205" s="89" t="s">
        <v>458</v>
      </c>
      <c r="D205" s="80">
        <v>11000</v>
      </c>
      <c r="E205" s="80" t="s">
        <v>470</v>
      </c>
    </row>
    <row r="206" spans="1:5" ht="30" x14ac:dyDescent="0.25">
      <c r="A206" s="80" t="s">
        <v>417</v>
      </c>
      <c r="B206" s="80" t="s">
        <v>439</v>
      </c>
      <c r="C206" s="89" t="s">
        <v>460</v>
      </c>
      <c r="D206" s="80">
        <v>34000</v>
      </c>
      <c r="E206" s="80" t="s">
        <v>469</v>
      </c>
    </row>
    <row r="207" spans="1:5" ht="30" x14ac:dyDescent="0.25">
      <c r="A207" s="80" t="s">
        <v>418</v>
      </c>
      <c r="B207" s="80" t="s">
        <v>440</v>
      </c>
      <c r="C207" s="89" t="s">
        <v>458</v>
      </c>
      <c r="D207" s="80">
        <v>11000</v>
      </c>
      <c r="E207" s="80" t="s">
        <v>470</v>
      </c>
    </row>
    <row r="208" spans="1:5" ht="30" x14ac:dyDescent="0.25">
      <c r="A208" s="80" t="s">
        <v>419</v>
      </c>
      <c r="B208" s="80" t="s">
        <v>441</v>
      </c>
      <c r="C208" s="89" t="s">
        <v>461</v>
      </c>
      <c r="D208" s="80">
        <v>34000</v>
      </c>
      <c r="E208" s="80" t="s">
        <v>469</v>
      </c>
    </row>
    <row r="209" spans="1:5" ht="30" x14ac:dyDescent="0.25">
      <c r="A209" s="80" t="s">
        <v>420</v>
      </c>
      <c r="B209" s="80" t="s">
        <v>442</v>
      </c>
      <c r="C209" s="89" t="s">
        <v>458</v>
      </c>
      <c r="D209" s="80">
        <v>11000</v>
      </c>
      <c r="E209" s="80" t="s">
        <v>470</v>
      </c>
    </row>
    <row r="210" spans="1:5" ht="30" x14ac:dyDescent="0.25">
      <c r="A210" s="80" t="s">
        <v>421</v>
      </c>
      <c r="B210" s="80" t="s">
        <v>443</v>
      </c>
      <c r="C210" s="89" t="s">
        <v>462</v>
      </c>
      <c r="D210" s="80">
        <v>34000</v>
      </c>
      <c r="E210" s="80" t="s">
        <v>469</v>
      </c>
    </row>
    <row r="211" spans="1:5" ht="30" x14ac:dyDescent="0.25">
      <c r="A211" s="80" t="s">
        <v>422</v>
      </c>
      <c r="B211" s="80" t="s">
        <v>444</v>
      </c>
      <c r="C211" s="89" t="s">
        <v>458</v>
      </c>
      <c r="D211" s="80">
        <v>11000</v>
      </c>
      <c r="E211" s="80" t="s">
        <v>470</v>
      </c>
    </row>
    <row r="212" spans="1:5" ht="30" x14ac:dyDescent="0.25">
      <c r="A212" s="80" t="s">
        <v>423</v>
      </c>
      <c r="B212" s="80" t="s">
        <v>445</v>
      </c>
      <c r="C212" s="89" t="s">
        <v>463</v>
      </c>
      <c r="D212" s="80">
        <v>34000</v>
      </c>
      <c r="E212" s="80" t="s">
        <v>469</v>
      </c>
    </row>
    <row r="213" spans="1:5" ht="30" x14ac:dyDescent="0.25">
      <c r="A213" s="80" t="s">
        <v>424</v>
      </c>
      <c r="B213" s="80" t="s">
        <v>446</v>
      </c>
      <c r="C213" s="89" t="s">
        <v>458</v>
      </c>
      <c r="D213" s="80">
        <v>11000</v>
      </c>
      <c r="E213" s="80" t="s">
        <v>470</v>
      </c>
    </row>
    <row r="214" spans="1:5" ht="30" x14ac:dyDescent="0.25">
      <c r="A214" s="80" t="s">
        <v>425</v>
      </c>
      <c r="B214" s="80" t="s">
        <v>447</v>
      </c>
      <c r="C214" s="89" t="s">
        <v>464</v>
      </c>
      <c r="D214" s="80">
        <v>34000</v>
      </c>
      <c r="E214" s="80" t="s">
        <v>469</v>
      </c>
    </row>
    <row r="215" spans="1:5" ht="30" x14ac:dyDescent="0.25">
      <c r="A215" s="80" t="s">
        <v>426</v>
      </c>
      <c r="B215" s="80" t="s">
        <v>448</v>
      </c>
      <c r="C215" s="89" t="s">
        <v>458</v>
      </c>
      <c r="D215" s="80">
        <v>11000</v>
      </c>
      <c r="E215" s="80" t="s">
        <v>470</v>
      </c>
    </row>
    <row r="216" spans="1:5" ht="30" x14ac:dyDescent="0.25">
      <c r="A216" s="80" t="s">
        <v>427</v>
      </c>
      <c r="B216" s="80" t="s">
        <v>449</v>
      </c>
      <c r="C216" s="89" t="s">
        <v>465</v>
      </c>
      <c r="D216" s="80">
        <v>34000</v>
      </c>
      <c r="E216" s="80" t="s">
        <v>469</v>
      </c>
    </row>
    <row r="217" spans="1:5" ht="30" x14ac:dyDescent="0.25">
      <c r="A217" s="80" t="s">
        <v>428</v>
      </c>
      <c r="B217" s="80" t="s">
        <v>450</v>
      </c>
      <c r="C217" s="89" t="s">
        <v>458</v>
      </c>
      <c r="D217" s="80">
        <v>11000</v>
      </c>
      <c r="E217" s="80" t="s">
        <v>470</v>
      </c>
    </row>
    <row r="218" spans="1:5" ht="30" x14ac:dyDescent="0.25">
      <c r="A218" s="80" t="s">
        <v>429</v>
      </c>
      <c r="B218" s="80" t="s">
        <v>451</v>
      </c>
      <c r="C218" s="89" t="s">
        <v>466</v>
      </c>
      <c r="D218" s="80">
        <v>34000</v>
      </c>
      <c r="E218" s="80" t="s">
        <v>469</v>
      </c>
    </row>
    <row r="219" spans="1:5" ht="30" x14ac:dyDescent="0.25">
      <c r="A219" s="80" t="s">
        <v>430</v>
      </c>
      <c r="B219" s="80" t="s">
        <v>452</v>
      </c>
      <c r="C219" s="89" t="s">
        <v>458</v>
      </c>
      <c r="D219" s="80">
        <v>11000</v>
      </c>
      <c r="E219" s="80" t="s">
        <v>470</v>
      </c>
    </row>
    <row r="220" spans="1:5" ht="30" x14ac:dyDescent="0.25">
      <c r="A220" s="80" t="s">
        <v>431</v>
      </c>
      <c r="B220" s="80" t="s">
        <v>453</v>
      </c>
      <c r="C220" s="89" t="s">
        <v>467</v>
      </c>
      <c r="D220" s="80">
        <v>34000</v>
      </c>
      <c r="E220" s="80" t="s">
        <v>469</v>
      </c>
    </row>
    <row r="221" spans="1:5" ht="30" x14ac:dyDescent="0.25">
      <c r="A221" s="80" t="s">
        <v>432</v>
      </c>
      <c r="B221" s="80" t="s">
        <v>454</v>
      </c>
      <c r="C221" s="89" t="s">
        <v>458</v>
      </c>
      <c r="D221" s="80">
        <v>11000</v>
      </c>
      <c r="E221" s="80" t="s">
        <v>470</v>
      </c>
    </row>
    <row r="222" spans="1:5" ht="30" x14ac:dyDescent="0.25">
      <c r="A222" s="80" t="s">
        <v>433</v>
      </c>
      <c r="B222" s="80" t="s">
        <v>455</v>
      </c>
      <c r="C222" s="89" t="s">
        <v>468</v>
      </c>
      <c r="D222" s="80">
        <v>34000</v>
      </c>
      <c r="E222" s="80" t="s">
        <v>469</v>
      </c>
    </row>
    <row r="223" spans="1:5" ht="30" x14ac:dyDescent="0.25">
      <c r="A223" s="80" t="s">
        <v>434</v>
      </c>
      <c r="B223" s="80" t="s">
        <v>456</v>
      </c>
      <c r="C223" s="89" t="s">
        <v>458</v>
      </c>
      <c r="D223" s="80">
        <v>11000</v>
      </c>
      <c r="E223" s="80" t="s">
        <v>470</v>
      </c>
    </row>
    <row r="225" spans="1:12" ht="18.75" x14ac:dyDescent="0.3">
      <c r="F225" s="298" t="s">
        <v>477</v>
      </c>
      <c r="G225" s="298"/>
      <c r="H225" s="298"/>
    </row>
    <row r="227" spans="1:12" ht="21" x14ac:dyDescent="0.35">
      <c r="A227" s="303" t="s">
        <v>478</v>
      </c>
      <c r="B227" s="303"/>
      <c r="C227" s="303"/>
    </row>
    <row r="229" spans="1:12" ht="15.75" thickBot="1" x14ac:dyDescent="0.3">
      <c r="B229" s="208" t="s">
        <v>479</v>
      </c>
      <c r="C229" s="211" t="s">
        <v>480</v>
      </c>
    </row>
    <row r="230" spans="1:12" ht="15.75" thickBot="1" x14ac:dyDescent="0.3">
      <c r="E230" s="307" t="s">
        <v>515</v>
      </c>
      <c r="F230" s="308"/>
      <c r="G230" s="240" t="str">
        <f>A247</f>
        <v>27/01/2006</v>
      </c>
    </row>
    <row r="231" spans="1:12" ht="30" x14ac:dyDescent="0.25">
      <c r="A231" s="204" t="s">
        <v>481</v>
      </c>
      <c r="B231" s="203" t="s">
        <v>494</v>
      </c>
      <c r="C231" s="203" t="s">
        <v>482</v>
      </c>
      <c r="D231" s="203" t="s">
        <v>483</v>
      </c>
      <c r="E231" s="206" t="s">
        <v>484</v>
      </c>
      <c r="F231" s="206" t="s">
        <v>485</v>
      </c>
      <c r="G231" s="206" t="s">
        <v>486</v>
      </c>
      <c r="H231" s="207" t="s">
        <v>487</v>
      </c>
      <c r="K231" s="304" t="s">
        <v>488</v>
      </c>
      <c r="L231" s="305"/>
    </row>
    <row r="232" spans="1:12" x14ac:dyDescent="0.25">
      <c r="A232" s="201" t="s">
        <v>489</v>
      </c>
      <c r="B232" s="195" t="s">
        <v>495</v>
      </c>
      <c r="C232" s="234"/>
      <c r="D232" s="195"/>
      <c r="E232" s="195"/>
      <c r="F232" s="195"/>
      <c r="G232" s="195"/>
      <c r="H232" s="197"/>
      <c r="K232" s="196" t="s">
        <v>489</v>
      </c>
      <c r="L232" s="197">
        <v>9</v>
      </c>
    </row>
    <row r="233" spans="1:12" x14ac:dyDescent="0.25">
      <c r="A233" s="201" t="s">
        <v>490</v>
      </c>
      <c r="B233" s="195" t="s">
        <v>496</v>
      </c>
      <c r="C233" s="234"/>
      <c r="D233" s="195"/>
      <c r="E233" s="195"/>
      <c r="F233" s="195"/>
      <c r="G233" s="195"/>
      <c r="H233" s="197"/>
      <c r="K233" s="196" t="s">
        <v>490</v>
      </c>
      <c r="L233" s="197">
        <v>10</v>
      </c>
    </row>
    <row r="234" spans="1:12" x14ac:dyDescent="0.25">
      <c r="A234" s="201" t="s">
        <v>491</v>
      </c>
      <c r="B234" s="195" t="s">
        <v>497</v>
      </c>
      <c r="C234" s="234"/>
      <c r="D234" s="195"/>
      <c r="E234" s="195"/>
      <c r="F234" s="195"/>
      <c r="G234" s="195"/>
      <c r="H234" s="197"/>
      <c r="K234" s="196" t="s">
        <v>491</v>
      </c>
      <c r="L234" s="197">
        <v>10</v>
      </c>
    </row>
    <row r="235" spans="1:12" x14ac:dyDescent="0.25">
      <c r="A235" s="201" t="s">
        <v>492</v>
      </c>
      <c r="B235" s="195" t="s">
        <v>498</v>
      </c>
      <c r="C235" s="234"/>
      <c r="D235" s="195"/>
      <c r="E235" s="195"/>
      <c r="F235" s="195"/>
      <c r="G235" s="195"/>
      <c r="H235" s="197"/>
      <c r="K235" s="196" t="s">
        <v>492</v>
      </c>
      <c r="L235" s="197">
        <v>11</v>
      </c>
    </row>
    <row r="236" spans="1:12" ht="15.75" thickBot="1" x14ac:dyDescent="0.3">
      <c r="A236" s="202" t="s">
        <v>493</v>
      </c>
      <c r="B236" s="199" t="s">
        <v>499</v>
      </c>
      <c r="C236" s="235"/>
      <c r="D236" s="199"/>
      <c r="E236" s="199"/>
      <c r="F236" s="199"/>
      <c r="G236" s="199"/>
      <c r="H236" s="200"/>
      <c r="K236" s="198" t="s">
        <v>493</v>
      </c>
      <c r="L236" s="200">
        <v>10</v>
      </c>
    </row>
    <row r="237" spans="1:12" x14ac:dyDescent="0.25">
      <c r="K237" s="238" t="s">
        <v>76</v>
      </c>
      <c r="L237">
        <f>SUM(L232:L236)</f>
        <v>50</v>
      </c>
    </row>
    <row r="240" spans="1:12" x14ac:dyDescent="0.25">
      <c r="A240" s="306" t="s">
        <v>500</v>
      </c>
      <c r="B240" s="306"/>
      <c r="C240" s="306"/>
      <c r="D240" s="306"/>
      <c r="E240" s="306"/>
      <c r="F240" s="306"/>
    </row>
    <row r="241" spans="1:7" x14ac:dyDescent="0.25">
      <c r="A241" s="205" t="s">
        <v>27</v>
      </c>
      <c r="B241" s="205" t="s">
        <v>501</v>
      </c>
      <c r="C241" s="236" t="s">
        <v>494</v>
      </c>
      <c r="D241" s="205" t="s">
        <v>502</v>
      </c>
      <c r="E241" s="205" t="s">
        <v>503</v>
      </c>
      <c r="F241" s="205" t="s">
        <v>392</v>
      </c>
    </row>
    <row r="242" spans="1:7" x14ac:dyDescent="0.25">
      <c r="A242" s="239" t="s">
        <v>516</v>
      </c>
      <c r="B242" s="109" t="s">
        <v>509</v>
      </c>
      <c r="C242" s="237" t="s">
        <v>489</v>
      </c>
      <c r="D242" s="109">
        <v>1.2</v>
      </c>
      <c r="E242" s="109">
        <v>100</v>
      </c>
      <c r="F242" s="109">
        <v>120</v>
      </c>
    </row>
    <row r="243" spans="1:7" x14ac:dyDescent="0.25">
      <c r="A243" s="239" t="s">
        <v>504</v>
      </c>
      <c r="B243" s="109" t="s">
        <v>510</v>
      </c>
      <c r="C243" s="237" t="s">
        <v>490</v>
      </c>
      <c r="D243" s="109">
        <v>1.55</v>
      </c>
      <c r="E243" s="109">
        <v>60</v>
      </c>
      <c r="F243" s="109">
        <v>93</v>
      </c>
    </row>
    <row r="244" spans="1:7" x14ac:dyDescent="0.25">
      <c r="A244" s="239" t="s">
        <v>505</v>
      </c>
      <c r="B244" s="109" t="s">
        <v>511</v>
      </c>
      <c r="C244" s="237" t="s">
        <v>493</v>
      </c>
      <c r="D244" s="109">
        <v>210</v>
      </c>
      <c r="E244" s="109">
        <v>4</v>
      </c>
      <c r="F244" s="109">
        <v>840</v>
      </c>
    </row>
    <row r="245" spans="1:7" x14ac:dyDescent="0.25">
      <c r="A245" s="239" t="s">
        <v>506</v>
      </c>
      <c r="B245" s="109" t="s">
        <v>512</v>
      </c>
      <c r="C245" s="237" t="s">
        <v>489</v>
      </c>
      <c r="D245" s="109">
        <v>18</v>
      </c>
      <c r="E245" s="109">
        <v>25</v>
      </c>
      <c r="F245" s="109">
        <v>450</v>
      </c>
    </row>
    <row r="246" spans="1:7" x14ac:dyDescent="0.25">
      <c r="A246" s="239" t="s">
        <v>507</v>
      </c>
      <c r="B246" s="109" t="s">
        <v>513</v>
      </c>
      <c r="C246" s="237" t="s">
        <v>490</v>
      </c>
      <c r="D246" s="109">
        <v>420</v>
      </c>
      <c r="E246" s="109">
        <v>2</v>
      </c>
      <c r="F246" s="109">
        <v>840</v>
      </c>
    </row>
    <row r="247" spans="1:7" x14ac:dyDescent="0.25">
      <c r="A247" s="239" t="s">
        <v>508</v>
      </c>
      <c r="B247" s="109" t="s">
        <v>514</v>
      </c>
      <c r="C247" s="237" t="s">
        <v>489</v>
      </c>
      <c r="D247" s="109">
        <v>32.5</v>
      </c>
      <c r="E247" s="109">
        <v>8</v>
      </c>
      <c r="F247" s="109">
        <v>260</v>
      </c>
    </row>
    <row r="248" spans="1:7" x14ac:dyDescent="0.25">
      <c r="A248" s="109"/>
      <c r="B248" s="109"/>
      <c r="C248" s="237"/>
      <c r="D248" s="109"/>
      <c r="E248" s="109"/>
      <c r="F248" s="109"/>
    </row>
    <row r="249" spans="1:7" x14ac:dyDescent="0.25">
      <c r="A249" s="109"/>
      <c r="B249" s="109"/>
      <c r="C249" s="237"/>
      <c r="D249" s="109"/>
      <c r="E249" s="109"/>
      <c r="F249" s="109"/>
    </row>
    <row r="250" spans="1:7" x14ac:dyDescent="0.25">
      <c r="A250" s="109"/>
      <c r="B250" s="109"/>
      <c r="C250" s="237"/>
      <c r="D250" s="109"/>
      <c r="E250" s="109"/>
      <c r="F250" s="109"/>
    </row>
    <row r="251" spans="1:7" x14ac:dyDescent="0.25">
      <c r="A251" s="109"/>
      <c r="B251" s="109"/>
      <c r="C251" s="237"/>
      <c r="D251" s="109"/>
      <c r="E251" s="109"/>
      <c r="F251" s="109"/>
    </row>
    <row r="252" spans="1:7" x14ac:dyDescent="0.25">
      <c r="A252" s="109"/>
      <c r="B252" s="109"/>
      <c r="C252" s="237"/>
      <c r="D252" s="109"/>
      <c r="E252" s="109"/>
      <c r="F252" s="109"/>
    </row>
    <row r="253" spans="1:7" x14ac:dyDescent="0.25">
      <c r="A253" s="109"/>
      <c r="B253" s="109"/>
      <c r="C253" s="237"/>
      <c r="D253" s="109"/>
      <c r="E253" s="109"/>
      <c r="F253" s="109"/>
    </row>
    <row r="255" spans="1:7" ht="21" x14ac:dyDescent="0.35">
      <c r="E255" s="302" t="s">
        <v>517</v>
      </c>
      <c r="F255" s="302"/>
      <c r="G255" s="302"/>
    </row>
  </sheetData>
  <mergeCells count="56">
    <mergeCell ref="A128:B128"/>
    <mergeCell ref="G125:H125"/>
    <mergeCell ref="G126:H126"/>
    <mergeCell ref="G127:H127"/>
    <mergeCell ref="C79:E79"/>
    <mergeCell ref="B80:F81"/>
    <mergeCell ref="A99:C102"/>
    <mergeCell ref="A104:C107"/>
    <mergeCell ref="D99:D102"/>
    <mergeCell ref="D104:D107"/>
    <mergeCell ref="C110:E110"/>
    <mergeCell ref="A112:K112"/>
    <mergeCell ref="A125:C125"/>
    <mergeCell ref="A126:B126"/>
    <mergeCell ref="A127:B127"/>
    <mergeCell ref="Q48:R48"/>
    <mergeCell ref="C50:F50"/>
    <mergeCell ref="B52:C52"/>
    <mergeCell ref="F52:G52"/>
    <mergeCell ref="B57:C57"/>
    <mergeCell ref="D57:E57"/>
    <mergeCell ref="F57:G57"/>
    <mergeCell ref="A45:B45"/>
    <mergeCell ref="A47:E47"/>
    <mergeCell ref="A48:D48"/>
    <mergeCell ref="N36:P36"/>
    <mergeCell ref="L46:O46"/>
    <mergeCell ref="N48:O48"/>
    <mergeCell ref="A44:B44"/>
    <mergeCell ref="B1:D1"/>
    <mergeCell ref="A15:B15"/>
    <mergeCell ref="A19:B19"/>
    <mergeCell ref="A16:B16"/>
    <mergeCell ref="A34:G34"/>
    <mergeCell ref="C132:E132"/>
    <mergeCell ref="C134:E134"/>
    <mergeCell ref="C137:E137"/>
    <mergeCell ref="C140:E140"/>
    <mergeCell ref="C143:E143"/>
    <mergeCell ref="C146:E146"/>
    <mergeCell ref="C149:E149"/>
    <mergeCell ref="C160:E160"/>
    <mergeCell ref="A162:B162"/>
    <mergeCell ref="A167:B167"/>
    <mergeCell ref="A168:B168"/>
    <mergeCell ref="A170:B170"/>
    <mergeCell ref="A172:B172"/>
    <mergeCell ref="C186:D186"/>
    <mergeCell ref="A189:C189"/>
    <mergeCell ref="E255:G255"/>
    <mergeCell ref="A200:C200"/>
    <mergeCell ref="F225:H225"/>
    <mergeCell ref="A227:C227"/>
    <mergeCell ref="K231:L231"/>
    <mergeCell ref="A240:F240"/>
    <mergeCell ref="E230:F23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369-8887-46F4-A8C2-0F824220EC26}">
  <dimension ref="A1:M25"/>
  <sheetViews>
    <sheetView zoomScale="57" workbookViewId="0"/>
  </sheetViews>
  <sheetFormatPr baseColWidth="10" defaultRowHeight="15" x14ac:dyDescent="0.25"/>
  <cols>
    <col min="2" max="2" width="11.7109375" bestFit="1" customWidth="1"/>
    <col min="3" max="3" width="12.5703125" bestFit="1" customWidth="1"/>
    <col min="4" max="4" width="20" customWidth="1"/>
    <col min="5" max="5" width="10.42578125" bestFit="1" customWidth="1"/>
  </cols>
  <sheetData>
    <row r="1" spans="1:13" x14ac:dyDescent="0.25">
      <c r="A1">
        <v>1</v>
      </c>
      <c r="C1" s="1" t="s">
        <v>0</v>
      </c>
      <c r="D1" t="s">
        <v>3</v>
      </c>
    </row>
    <row r="2" spans="1:13" x14ac:dyDescent="0.25">
      <c r="A2">
        <v>2</v>
      </c>
      <c r="C2" t="s">
        <v>1</v>
      </c>
      <c r="D2">
        <v>5</v>
      </c>
    </row>
    <row r="3" spans="1:13" x14ac:dyDescent="0.25">
      <c r="A3">
        <v>5</v>
      </c>
      <c r="D3">
        <v>5</v>
      </c>
    </row>
    <row r="4" spans="1:13" x14ac:dyDescent="0.25">
      <c r="A4">
        <v>4</v>
      </c>
      <c r="D4">
        <v>5</v>
      </c>
    </row>
    <row r="5" spans="1:13" x14ac:dyDescent="0.25">
      <c r="A5">
        <v>120</v>
      </c>
      <c r="D5">
        <f>SUM(D2:D4)</f>
        <v>15</v>
      </c>
    </row>
    <row r="6" spans="1:13" x14ac:dyDescent="0.25">
      <c r="A6" s="1" t="s">
        <v>4</v>
      </c>
      <c r="D6">
        <f>(10+15)/2</f>
        <v>12.5</v>
      </c>
    </row>
    <row r="7" spans="1:13" x14ac:dyDescent="0.25">
      <c r="B7" t="s">
        <v>5</v>
      </c>
      <c r="D7">
        <f>-(10+15)*2</f>
        <v>-50</v>
      </c>
    </row>
    <row r="9" spans="1:13" ht="19.5" thickBot="1" x14ac:dyDescent="0.35">
      <c r="I9" s="66" t="s">
        <v>197</v>
      </c>
    </row>
    <row r="10" spans="1:13" ht="29.25" customHeight="1" x14ac:dyDescent="0.25">
      <c r="A10" t="s">
        <v>2</v>
      </c>
      <c r="B10" s="1" t="s">
        <v>8</v>
      </c>
      <c r="C10" s="1" t="s">
        <v>9</v>
      </c>
      <c r="D10" s="1" t="s">
        <v>10</v>
      </c>
      <c r="E10" s="1" t="s">
        <v>11</v>
      </c>
      <c r="F10" s="1"/>
      <c r="J10" s="104" t="s">
        <v>198</v>
      </c>
      <c r="L10" s="108" t="s">
        <v>204</v>
      </c>
      <c r="M10" s="105">
        <v>0.19600000000000001</v>
      </c>
    </row>
    <row r="11" spans="1:13" ht="15.75" x14ac:dyDescent="0.25">
      <c r="A11" s="1" t="s">
        <v>196</v>
      </c>
      <c r="B11">
        <v>502</v>
      </c>
      <c r="C11">
        <v>402</v>
      </c>
      <c r="D11">
        <v>895</v>
      </c>
      <c r="E11">
        <f>SUM(B11,C11,D11)</f>
        <v>1799</v>
      </c>
      <c r="H11" s="107" t="s">
        <v>199</v>
      </c>
      <c r="I11" s="107" t="s">
        <v>200</v>
      </c>
      <c r="J11" s="107" t="s">
        <v>213</v>
      </c>
      <c r="K11" s="107" t="s">
        <v>201</v>
      </c>
      <c r="L11" s="107" t="s">
        <v>202</v>
      </c>
      <c r="M11" s="107" t="s">
        <v>203</v>
      </c>
    </row>
    <row r="12" spans="1:13" x14ac:dyDescent="0.25">
      <c r="A12" s="1" t="s">
        <v>6</v>
      </c>
      <c r="B12">
        <v>1050</v>
      </c>
      <c r="C12">
        <v>100</v>
      </c>
      <c r="D12">
        <v>123</v>
      </c>
      <c r="E12">
        <f>SUM(B12,C12,D12)</f>
        <v>1273</v>
      </c>
      <c r="H12" s="81" t="s">
        <v>205</v>
      </c>
      <c r="I12" s="81" t="s">
        <v>209</v>
      </c>
      <c r="J12" s="81">
        <v>0.93</v>
      </c>
      <c r="K12" s="106">
        <v>0.15</v>
      </c>
      <c r="L12" s="81">
        <f>J12*(1-K12)</f>
        <v>0.79049999999999998</v>
      </c>
      <c r="M12" s="81">
        <f>L12*(1+TVA)</f>
        <v>0.94543799999999989</v>
      </c>
    </row>
    <row r="13" spans="1:13" x14ac:dyDescent="0.25">
      <c r="A13" s="1" t="s">
        <v>7</v>
      </c>
      <c r="B13">
        <f>B11-B12</f>
        <v>-548</v>
      </c>
      <c r="C13">
        <f>C11-C12</f>
        <v>302</v>
      </c>
      <c r="D13">
        <f>D11-D12</f>
        <v>772</v>
      </c>
      <c r="E13">
        <f>SUM(B13,C13,D13)</f>
        <v>526</v>
      </c>
      <c r="H13" s="81" t="s">
        <v>206</v>
      </c>
      <c r="I13" s="81" t="s">
        <v>210</v>
      </c>
      <c r="J13" s="81">
        <v>11.07</v>
      </c>
      <c r="K13" s="106">
        <v>0.16</v>
      </c>
      <c r="L13" s="81">
        <f>J13*(1-K13)</f>
        <v>9.2988</v>
      </c>
      <c r="M13" s="81">
        <f>L13*(1+TVA)</f>
        <v>11.1213648</v>
      </c>
    </row>
    <row r="14" spans="1:13" x14ac:dyDescent="0.25">
      <c r="H14" s="81" t="s">
        <v>207</v>
      </c>
      <c r="I14" s="81" t="s">
        <v>211</v>
      </c>
      <c r="J14" s="81">
        <v>0.66</v>
      </c>
      <c r="K14" s="106">
        <v>0.25</v>
      </c>
      <c r="L14" s="81">
        <f>J14*(1-K14)</f>
        <v>0.495</v>
      </c>
      <c r="M14" s="81">
        <f>L14*(1+TVA)</f>
        <v>0.59201999999999999</v>
      </c>
    </row>
    <row r="15" spans="1:13" ht="14.25" customHeight="1" x14ac:dyDescent="0.25">
      <c r="H15" s="81" t="s">
        <v>208</v>
      </c>
      <c r="I15" s="81" t="s">
        <v>212</v>
      </c>
      <c r="J15" s="81">
        <v>0.76</v>
      </c>
      <c r="K15" s="106">
        <v>0.12</v>
      </c>
      <c r="L15" s="81">
        <f>J15*(1-K15)</f>
        <v>0.66880000000000006</v>
      </c>
      <c r="M15" s="81">
        <f>L15*(1+TVA)</f>
        <v>0.79988480000000006</v>
      </c>
    </row>
    <row r="16" spans="1:13" ht="44.25" customHeight="1" x14ac:dyDescent="0.25">
      <c r="B16" t="s">
        <v>15</v>
      </c>
      <c r="C16" t="s">
        <v>14</v>
      </c>
      <c r="D16" t="s">
        <v>24</v>
      </c>
      <c r="E16" t="s">
        <v>13</v>
      </c>
      <c r="K16">
        <f>MAX(Remise)</f>
        <v>0.25</v>
      </c>
      <c r="M16" s="109">
        <f>MAX(PU_TTC)</f>
        <v>11.1213648</v>
      </c>
    </row>
    <row r="17" spans="2:13" x14ac:dyDescent="0.25">
      <c r="B17">
        <v>2</v>
      </c>
      <c r="C17" s="1" t="s">
        <v>16</v>
      </c>
      <c r="D17" s="1">
        <f t="shared" ref="D17:D25" si="0">E17+10</f>
        <v>1967</v>
      </c>
      <c r="E17">
        <v>1957</v>
      </c>
      <c r="M17" s="109">
        <f>MIN(PU_HT)</f>
        <v>0</v>
      </c>
    </row>
    <row r="18" spans="2:13" x14ac:dyDescent="0.25">
      <c r="B18">
        <v>14</v>
      </c>
      <c r="C18" s="1" t="s">
        <v>17</v>
      </c>
      <c r="D18" s="1">
        <f t="shared" si="0"/>
        <v>1556</v>
      </c>
      <c r="E18">
        <v>1546</v>
      </c>
    </row>
    <row r="19" spans="2:13" x14ac:dyDescent="0.25">
      <c r="B19">
        <v>7</v>
      </c>
      <c r="C19" s="1" t="s">
        <v>23</v>
      </c>
      <c r="D19" s="1">
        <f t="shared" si="0"/>
        <v>2008</v>
      </c>
      <c r="E19">
        <v>1998</v>
      </c>
    </row>
    <row r="20" spans="2:13" x14ac:dyDescent="0.25">
      <c r="B20">
        <v>24</v>
      </c>
      <c r="C20" s="1" t="s">
        <v>17</v>
      </c>
      <c r="D20" s="1">
        <f t="shared" si="0"/>
        <v>1874</v>
      </c>
      <c r="E20">
        <v>1864</v>
      </c>
    </row>
    <row r="21" spans="2:13" x14ac:dyDescent="0.25">
      <c r="B21">
        <v>17</v>
      </c>
      <c r="C21" s="1" t="s">
        <v>18</v>
      </c>
      <c r="D21" s="1">
        <f t="shared" si="0"/>
        <v>15374</v>
      </c>
      <c r="E21">
        <v>15364</v>
      </c>
    </row>
    <row r="22" spans="2:13" x14ac:dyDescent="0.25">
      <c r="B22">
        <v>1</v>
      </c>
      <c r="C22" s="1" t="s">
        <v>19</v>
      </c>
      <c r="D22" s="1">
        <f t="shared" si="0"/>
        <v>2025</v>
      </c>
      <c r="E22">
        <v>2015</v>
      </c>
    </row>
    <row r="23" spans="2:13" x14ac:dyDescent="0.25">
      <c r="B23">
        <v>6</v>
      </c>
      <c r="C23" s="1" t="s">
        <v>20</v>
      </c>
      <c r="D23" s="1">
        <f t="shared" si="0"/>
        <v>3168</v>
      </c>
      <c r="E23">
        <v>3158</v>
      </c>
    </row>
    <row r="24" spans="2:13" x14ac:dyDescent="0.25">
      <c r="B24">
        <v>19</v>
      </c>
      <c r="C24" s="1" t="s">
        <v>21</v>
      </c>
      <c r="D24" s="1">
        <f t="shared" si="0"/>
        <v>1978</v>
      </c>
      <c r="E24">
        <v>1968</v>
      </c>
    </row>
    <row r="25" spans="2:13" x14ac:dyDescent="0.25">
      <c r="B25">
        <v>5</v>
      </c>
      <c r="C25" s="1" t="s">
        <v>22</v>
      </c>
      <c r="D25" s="1">
        <f t="shared" si="0"/>
        <v>1970</v>
      </c>
      <c r="E25">
        <v>1960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1501-96A9-4474-A311-B7A77E98DC7E}">
  <dimension ref="A1:G13"/>
  <sheetViews>
    <sheetView zoomScale="61" workbookViewId="0"/>
  </sheetViews>
  <sheetFormatPr baseColWidth="10" defaultRowHeight="15" x14ac:dyDescent="0.25"/>
  <cols>
    <col min="1" max="1" width="18" customWidth="1"/>
    <col min="7" max="7" width="12" bestFit="1" customWidth="1"/>
  </cols>
  <sheetData>
    <row r="1" spans="1:7" ht="135" customHeight="1" x14ac:dyDescent="0.25"/>
    <row r="2" spans="1:7" ht="47.25" x14ac:dyDescent="0.25">
      <c r="A2" s="246"/>
      <c r="B2" s="245" t="s">
        <v>521</v>
      </c>
      <c r="C2" s="245" t="s">
        <v>522</v>
      </c>
      <c r="D2" s="245" t="s">
        <v>523</v>
      </c>
      <c r="E2" s="245" t="s">
        <v>524</v>
      </c>
      <c r="F2" s="245" t="s">
        <v>525</v>
      </c>
      <c r="G2" s="245" t="s">
        <v>526</v>
      </c>
    </row>
    <row r="3" spans="1:7" x14ac:dyDescent="0.25">
      <c r="A3" s="241" t="s">
        <v>518</v>
      </c>
      <c r="B3" s="242">
        <v>1549.49</v>
      </c>
      <c r="C3" s="242">
        <v>1143.3699999999999</v>
      </c>
      <c r="D3" s="242">
        <v>1715.05</v>
      </c>
      <c r="E3" s="242">
        <v>838.47</v>
      </c>
      <c r="F3" s="242">
        <v>1452</v>
      </c>
      <c r="G3" s="244">
        <f>SUM(B3:F3)</f>
        <v>6698.38</v>
      </c>
    </row>
    <row r="4" spans="1:7" x14ac:dyDescent="0.25">
      <c r="A4" s="243" t="s">
        <v>519</v>
      </c>
      <c r="B4" s="244">
        <v>1219.5899999999999</v>
      </c>
      <c r="C4" s="244">
        <v>914.69</v>
      </c>
      <c r="D4" s="244">
        <v>1103.73</v>
      </c>
      <c r="E4" s="244">
        <v>1097.6300000000001</v>
      </c>
      <c r="F4" s="244">
        <v>895.23</v>
      </c>
      <c r="G4" s="244">
        <f>SUM(B4:F4)</f>
        <v>5230.869999999999</v>
      </c>
    </row>
    <row r="5" spans="1:7" x14ac:dyDescent="0.25">
      <c r="A5" s="241" t="s">
        <v>519</v>
      </c>
      <c r="B5" s="242">
        <v>2206.7399999999998</v>
      </c>
      <c r="C5" s="242">
        <v>1067.1400000000001</v>
      </c>
      <c r="D5" s="242">
        <v>1901.84</v>
      </c>
      <c r="E5" s="242">
        <v>2307.23</v>
      </c>
      <c r="F5" s="242">
        <v>567.24</v>
      </c>
      <c r="G5" s="244">
        <f>SUM(B5:F5)</f>
        <v>8050.1900000000005</v>
      </c>
    </row>
    <row r="6" spans="1:7" ht="31.5" x14ac:dyDescent="0.25">
      <c r="A6" s="245" t="s">
        <v>520</v>
      </c>
      <c r="B6" s="244">
        <f>SUM(B3:B5)</f>
        <v>4975.82</v>
      </c>
      <c r="C6" s="244">
        <f>SUM(C3:C5)</f>
        <v>3125.2</v>
      </c>
      <c r="D6" s="244">
        <f>SUM(D3:D5)</f>
        <v>4720.62</v>
      </c>
      <c r="E6" s="244">
        <f>SUM(E3:E5)</f>
        <v>4243.33</v>
      </c>
      <c r="F6" s="244">
        <f>SUM(F3:F5)</f>
        <v>2914.4700000000003</v>
      </c>
      <c r="G6" s="244">
        <f>SUM(B6:F6)</f>
        <v>19979.440000000002</v>
      </c>
    </row>
    <row r="9" spans="1:7" x14ac:dyDescent="0.25">
      <c r="A9" s="241" t="s">
        <v>527</v>
      </c>
      <c r="B9" s="242">
        <v>1720.24</v>
      </c>
      <c r="C9" s="242">
        <v>1294.1199999999999</v>
      </c>
      <c r="D9" s="242">
        <v>1865.8</v>
      </c>
      <c r="E9" s="242">
        <v>989.22</v>
      </c>
      <c r="F9" s="242">
        <v>1602.75</v>
      </c>
      <c r="G9" s="244">
        <f>SUM(B9:F9)</f>
        <v>7472.13</v>
      </c>
    </row>
    <row r="10" spans="1:7" x14ac:dyDescent="0.25">
      <c r="A10" s="243" t="s">
        <v>528</v>
      </c>
      <c r="B10" s="244">
        <v>1270.3399999999999</v>
      </c>
      <c r="C10" s="244">
        <v>965.44</v>
      </c>
      <c r="D10" s="244">
        <v>1154.48</v>
      </c>
      <c r="E10" s="244">
        <v>1148.3800000000001</v>
      </c>
      <c r="F10" s="244">
        <v>945.9</v>
      </c>
      <c r="G10" s="244">
        <f>SUM(B10:F10)</f>
        <v>5484.5399999999991</v>
      </c>
    </row>
    <row r="11" spans="1:7" ht="44.25" customHeight="1" x14ac:dyDescent="0.25">
      <c r="A11" s="241" t="s">
        <v>529</v>
      </c>
      <c r="B11" s="242">
        <v>2515.62</v>
      </c>
      <c r="C11" s="242">
        <v>1296.02</v>
      </c>
      <c r="D11" s="242">
        <v>2210.7199999999998</v>
      </c>
      <c r="E11" s="242">
        <v>2546.11</v>
      </c>
      <c r="F11" s="242">
        <v>816.12</v>
      </c>
      <c r="G11" s="244">
        <f>SUM(B11:F11)</f>
        <v>9384.59</v>
      </c>
    </row>
    <row r="12" spans="1:7" ht="31.5" x14ac:dyDescent="0.25">
      <c r="A12" s="245" t="s">
        <v>530</v>
      </c>
      <c r="B12" s="244">
        <f>SUM(B9:B11)</f>
        <v>5506.2</v>
      </c>
      <c r="C12" s="244">
        <f>SUM(C9:C11)</f>
        <v>3555.58</v>
      </c>
      <c r="D12" s="244">
        <f>SUM(D9:D11)</f>
        <v>5231</v>
      </c>
      <c r="E12" s="244">
        <f>SUM(E9:E11)</f>
        <v>4683.7100000000009</v>
      </c>
      <c r="F12" s="244">
        <f>SUM(F9:F11)</f>
        <v>3364.77</v>
      </c>
      <c r="G12" s="244">
        <f>SUM(B12:F12)</f>
        <v>22341.26</v>
      </c>
    </row>
    <row r="13" spans="1:7" x14ac:dyDescent="0.25">
      <c r="G13" s="244">
        <f>SUM(B13:F13)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A1C6-A2F5-4580-89DC-BBEA4DB6AC7F}">
  <dimension ref="A1:J17"/>
  <sheetViews>
    <sheetView workbookViewId="0">
      <selection sqref="A1:I2"/>
    </sheetView>
  </sheetViews>
  <sheetFormatPr baseColWidth="10" defaultRowHeight="15" x14ac:dyDescent="0.25"/>
  <cols>
    <col min="1" max="2" width="12.140625" bestFit="1" customWidth="1"/>
  </cols>
  <sheetData>
    <row r="1" spans="1:10" x14ac:dyDescent="0.25">
      <c r="A1" s="338" t="s">
        <v>539</v>
      </c>
      <c r="B1" s="338"/>
      <c r="C1" s="338"/>
      <c r="D1" s="338"/>
      <c r="E1" s="338"/>
      <c r="F1" s="338"/>
      <c r="G1" s="338"/>
      <c r="H1" s="338"/>
      <c r="I1" s="338"/>
      <c r="J1" s="27"/>
    </row>
    <row r="2" spans="1:10" ht="15.75" thickBot="1" x14ac:dyDescent="0.3">
      <c r="A2" s="338"/>
      <c r="B2" s="338"/>
      <c r="C2" s="338"/>
      <c r="D2" s="338"/>
      <c r="E2" s="338"/>
      <c r="F2" s="338"/>
      <c r="G2" s="338"/>
      <c r="H2" s="338"/>
      <c r="I2" s="338"/>
      <c r="J2" s="27"/>
    </row>
    <row r="3" spans="1:10" ht="30.75" thickBot="1" x14ac:dyDescent="0.3">
      <c r="A3" s="27"/>
      <c r="B3" s="247"/>
      <c r="C3" s="252" t="s">
        <v>82</v>
      </c>
      <c r="D3" s="252" t="s">
        <v>537</v>
      </c>
      <c r="E3" s="252" t="s">
        <v>84</v>
      </c>
      <c r="F3" s="252" t="s">
        <v>85</v>
      </c>
      <c r="G3" s="252" t="s">
        <v>86</v>
      </c>
      <c r="H3" s="252" t="s">
        <v>87</v>
      </c>
      <c r="I3" s="260" t="s">
        <v>538</v>
      </c>
      <c r="J3" s="27"/>
    </row>
    <row r="4" spans="1:10" ht="15.75" thickBot="1" x14ac:dyDescent="0.3">
      <c r="A4" s="27"/>
      <c r="B4" s="250" t="s">
        <v>531</v>
      </c>
      <c r="C4" s="248"/>
      <c r="D4" s="248"/>
      <c r="E4" s="248"/>
      <c r="F4" s="248"/>
      <c r="G4" s="248"/>
      <c r="H4" s="248"/>
      <c r="I4" s="249"/>
      <c r="J4" s="27"/>
    </row>
    <row r="5" spans="1:10" ht="15.75" thickBot="1" x14ac:dyDescent="0.3">
      <c r="A5" s="27"/>
      <c r="B5" s="253" t="s">
        <v>532</v>
      </c>
      <c r="C5" s="254">
        <v>150</v>
      </c>
      <c r="D5" s="254">
        <v>250</v>
      </c>
      <c r="E5" s="254">
        <v>147</v>
      </c>
      <c r="F5" s="254">
        <v>120</v>
      </c>
      <c r="G5" s="254">
        <v>159</v>
      </c>
      <c r="H5" s="254">
        <v>546</v>
      </c>
      <c r="I5" s="256">
        <f>SUM(C5:H5)</f>
        <v>1372</v>
      </c>
      <c r="J5" s="27"/>
    </row>
    <row r="6" spans="1:10" ht="15.75" thickBot="1" x14ac:dyDescent="0.3">
      <c r="A6" s="27"/>
      <c r="B6" s="251" t="s">
        <v>533</v>
      </c>
      <c r="C6" s="248">
        <v>200</v>
      </c>
      <c r="D6" s="248">
        <v>500</v>
      </c>
      <c r="E6" s="248">
        <v>159</v>
      </c>
      <c r="F6" s="248">
        <v>80</v>
      </c>
      <c r="G6" s="248">
        <v>153</v>
      </c>
      <c r="H6" s="248">
        <v>253</v>
      </c>
      <c r="I6" s="256">
        <f>SUM(C6:H6)</f>
        <v>1345</v>
      </c>
      <c r="J6" s="27"/>
    </row>
    <row r="7" spans="1:10" ht="15.75" thickBot="1" x14ac:dyDescent="0.3">
      <c r="A7" s="27"/>
      <c r="B7" s="253" t="s">
        <v>534</v>
      </c>
      <c r="C7" s="254">
        <v>80</v>
      </c>
      <c r="D7" s="254">
        <v>357</v>
      </c>
      <c r="E7" s="254">
        <v>955</v>
      </c>
      <c r="F7" s="254">
        <v>245</v>
      </c>
      <c r="G7" s="254">
        <v>447</v>
      </c>
      <c r="H7" s="254">
        <v>23</v>
      </c>
      <c r="I7" s="256">
        <f>SUM(C7:H7)</f>
        <v>2107</v>
      </c>
      <c r="J7" s="27"/>
    </row>
    <row r="8" spans="1:10" ht="15.75" thickBot="1" x14ac:dyDescent="0.3">
      <c r="A8" s="27"/>
      <c r="B8" s="251" t="s">
        <v>535</v>
      </c>
      <c r="C8" s="248">
        <v>254</v>
      </c>
      <c r="D8" s="248">
        <v>800</v>
      </c>
      <c r="E8" s="248">
        <v>100</v>
      </c>
      <c r="F8" s="248">
        <v>753</v>
      </c>
      <c r="G8" s="248">
        <v>524</v>
      </c>
      <c r="H8" s="248">
        <v>78</v>
      </c>
      <c r="I8" s="256">
        <f>SUM(C8:H8)</f>
        <v>2509</v>
      </c>
      <c r="J8" s="27"/>
    </row>
    <row r="9" spans="1:10" ht="15.75" thickBot="1" x14ac:dyDescent="0.3">
      <c r="A9" s="27"/>
      <c r="B9" s="261" t="s">
        <v>536</v>
      </c>
      <c r="C9" s="255">
        <f t="shared" ref="C9:H9" si="0">SUM(C5:C8)</f>
        <v>684</v>
      </c>
      <c r="D9" s="255">
        <f t="shared" si="0"/>
        <v>1907</v>
      </c>
      <c r="E9" s="255">
        <f t="shared" si="0"/>
        <v>1361</v>
      </c>
      <c r="F9" s="255">
        <f t="shared" si="0"/>
        <v>1198</v>
      </c>
      <c r="G9" s="255">
        <f t="shared" si="0"/>
        <v>1283</v>
      </c>
      <c r="H9" s="255">
        <f t="shared" si="0"/>
        <v>900</v>
      </c>
      <c r="I9" s="256">
        <f>SUM(C9:H9)</f>
        <v>7333</v>
      </c>
      <c r="J9" s="27"/>
    </row>
    <row r="10" spans="1:10" ht="15.75" thickBot="1" x14ac:dyDescent="0.3">
      <c r="A10" s="27"/>
      <c r="B10" s="27"/>
      <c r="C10" s="27"/>
      <c r="D10" s="27"/>
      <c r="E10" s="27"/>
      <c r="F10" s="27"/>
      <c r="G10" s="27"/>
      <c r="H10" s="27"/>
      <c r="I10" s="27"/>
      <c r="J10" s="27"/>
    </row>
    <row r="11" spans="1:10" ht="15.75" thickBot="1" x14ac:dyDescent="0.3">
      <c r="A11" s="27"/>
      <c r="B11" s="257" t="s">
        <v>540</v>
      </c>
      <c r="C11" s="258"/>
      <c r="D11" s="258"/>
      <c r="E11" s="258"/>
      <c r="F11" s="258"/>
      <c r="G11" s="258"/>
      <c r="H11" s="258"/>
      <c r="I11" s="259"/>
      <c r="J11" s="27"/>
    </row>
    <row r="12" spans="1:10" ht="15.75" thickBot="1" x14ac:dyDescent="0.3">
      <c r="A12" s="27"/>
      <c r="B12" s="253" t="s">
        <v>541</v>
      </c>
      <c r="C12" s="254">
        <v>148</v>
      </c>
      <c r="D12" s="254">
        <v>232</v>
      </c>
      <c r="E12" s="254">
        <v>149</v>
      </c>
      <c r="F12" s="254">
        <v>33</v>
      </c>
      <c r="G12" s="254">
        <v>265</v>
      </c>
      <c r="H12" s="254">
        <v>444</v>
      </c>
      <c r="I12" s="256">
        <f>SUM(C12:H12)</f>
        <v>1271</v>
      </c>
      <c r="J12" s="27"/>
    </row>
    <row r="13" spans="1:10" ht="15.75" thickBot="1" x14ac:dyDescent="0.3">
      <c r="A13" s="27"/>
      <c r="B13" s="251" t="s">
        <v>542</v>
      </c>
      <c r="C13" s="248">
        <v>236</v>
      </c>
      <c r="D13" s="248">
        <v>189</v>
      </c>
      <c r="E13" s="248">
        <v>545</v>
      </c>
      <c r="F13" s="248">
        <v>789</v>
      </c>
      <c r="G13" s="248">
        <v>465</v>
      </c>
      <c r="H13" s="248">
        <v>137</v>
      </c>
      <c r="I13" s="256">
        <f>SUM(C13:H13)</f>
        <v>2361</v>
      </c>
      <c r="J13" s="27"/>
    </row>
    <row r="14" spans="1:10" ht="15.75" thickBot="1" x14ac:dyDescent="0.3">
      <c r="A14" s="27"/>
      <c r="B14" s="253" t="s">
        <v>543</v>
      </c>
      <c r="C14" s="254">
        <v>555</v>
      </c>
      <c r="D14" s="254">
        <v>54</v>
      </c>
      <c r="E14" s="254">
        <v>89</v>
      </c>
      <c r="F14" s="254">
        <v>168</v>
      </c>
      <c r="G14" s="254">
        <v>457</v>
      </c>
      <c r="H14" s="254">
        <v>945</v>
      </c>
      <c r="I14" s="256">
        <f>SUM(C14:H14)</f>
        <v>2268</v>
      </c>
      <c r="J14" s="27"/>
    </row>
    <row r="15" spans="1:10" ht="15.75" thickBot="1" x14ac:dyDescent="0.3">
      <c r="A15" s="27"/>
      <c r="B15" s="261" t="s">
        <v>544</v>
      </c>
      <c r="C15" s="255">
        <f>SUM(C12:C14)</f>
        <v>939</v>
      </c>
      <c r="D15" s="255">
        <f t="shared" ref="D15:I15" si="1">SUM(D12:D14)</f>
        <v>475</v>
      </c>
      <c r="E15" s="255">
        <f t="shared" si="1"/>
        <v>783</v>
      </c>
      <c r="F15" s="255">
        <f t="shared" si="1"/>
        <v>990</v>
      </c>
      <c r="G15" s="255">
        <f t="shared" si="1"/>
        <v>1187</v>
      </c>
      <c r="H15" s="255">
        <f t="shared" si="1"/>
        <v>1526</v>
      </c>
      <c r="I15" s="255">
        <f t="shared" si="1"/>
        <v>5900</v>
      </c>
      <c r="J15" s="27"/>
    </row>
    <row r="16" spans="1:10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</row>
  </sheetData>
  <mergeCells count="1">
    <mergeCell ref="A1:I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8685-6CDF-431E-968E-79147D18E89B}">
  <dimension ref="A2:C8"/>
  <sheetViews>
    <sheetView workbookViewId="0">
      <selection activeCell="B8" sqref="B8"/>
    </sheetView>
  </sheetViews>
  <sheetFormatPr baseColWidth="10" defaultRowHeight="15" x14ac:dyDescent="0.25"/>
  <sheetData>
    <row r="2" spans="1:3" x14ac:dyDescent="0.25">
      <c r="B2">
        <v>4</v>
      </c>
    </row>
    <row r="3" spans="1:3" x14ac:dyDescent="0.25">
      <c r="A3" t="s">
        <v>545</v>
      </c>
      <c r="B3">
        <f>B2</f>
        <v>4</v>
      </c>
    </row>
    <row r="5" spans="1:3" x14ac:dyDescent="0.25">
      <c r="A5" t="s">
        <v>546</v>
      </c>
      <c r="B5">
        <f>'Mise en forme 2'!I9+'Mise en forme 2'!I15</f>
        <v>13233</v>
      </c>
      <c r="C5">
        <f>'Mise en forme 2'!I8</f>
        <v>2509</v>
      </c>
    </row>
    <row r="7" spans="1:3" x14ac:dyDescent="0.25">
      <c r="A7" t="s">
        <v>547</v>
      </c>
      <c r="B7" t="str">
        <f>[1]Feuil3!$A$3</f>
        <v>Machine2</v>
      </c>
    </row>
    <row r="8" spans="1:3" x14ac:dyDescent="0.25">
      <c r="A8" t="s">
        <v>548</v>
      </c>
      <c r="B8" cm="1">
        <f t="array" ref="B8">[1]!obj</f>
        <v>11000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5975-13A5-4074-9F74-66F94A0CBDAF}">
  <dimension ref="A1:G105"/>
  <sheetViews>
    <sheetView topLeftCell="A22" zoomScale="23" zoomScaleNormal="53" workbookViewId="0">
      <selection activeCell="A3" sqref="A3:E6"/>
    </sheetView>
  </sheetViews>
  <sheetFormatPr baseColWidth="10" defaultRowHeight="15" x14ac:dyDescent="0.25"/>
  <cols>
    <col min="2" max="2" width="20.28515625" bestFit="1" customWidth="1"/>
  </cols>
  <sheetData>
    <row r="1" spans="1:5" x14ac:dyDescent="0.25">
      <c r="A1" s="282" t="s">
        <v>549</v>
      </c>
      <c r="B1" s="282"/>
    </row>
    <row r="3" spans="1:5" x14ac:dyDescent="0.25">
      <c r="B3" t="s">
        <v>550</v>
      </c>
      <c r="C3" t="s">
        <v>551</v>
      </c>
      <c r="D3" t="s">
        <v>552</v>
      </c>
      <c r="E3" t="s">
        <v>553</v>
      </c>
    </row>
    <row r="4" spans="1:5" x14ac:dyDescent="0.25">
      <c r="A4" t="s">
        <v>176</v>
      </c>
      <c r="B4">
        <v>27000</v>
      </c>
      <c r="C4">
        <v>68290</v>
      </c>
      <c r="D4">
        <v>28300</v>
      </c>
      <c r="E4">
        <v>9203</v>
      </c>
    </row>
    <row r="5" spans="1:5" x14ac:dyDescent="0.25">
      <c r="A5" t="s">
        <v>73</v>
      </c>
      <c r="B5">
        <v>32193</v>
      </c>
      <c r="C5">
        <v>17265</v>
      </c>
      <c r="D5">
        <v>8725</v>
      </c>
      <c r="E5">
        <v>19286</v>
      </c>
    </row>
    <row r="6" spans="1:5" x14ac:dyDescent="0.25">
      <c r="A6" t="s">
        <v>74</v>
      </c>
      <c r="B6">
        <v>82635</v>
      </c>
      <c r="C6">
        <v>52738</v>
      </c>
      <c r="D6">
        <v>61528</v>
      </c>
      <c r="E6">
        <v>91726</v>
      </c>
    </row>
    <row r="27" spans="1:2" x14ac:dyDescent="0.25">
      <c r="A27" t="s">
        <v>554</v>
      </c>
      <c r="B27" t="s">
        <v>555</v>
      </c>
    </row>
    <row r="28" spans="1:2" x14ac:dyDescent="0.25">
      <c r="A28" t="s">
        <v>556</v>
      </c>
      <c r="B28">
        <v>59</v>
      </c>
    </row>
    <row r="29" spans="1:2" x14ac:dyDescent="0.25">
      <c r="A29" t="s">
        <v>557</v>
      </c>
      <c r="B29">
        <v>192</v>
      </c>
    </row>
    <row r="30" spans="1:2" x14ac:dyDescent="0.25">
      <c r="A30" t="s">
        <v>558</v>
      </c>
      <c r="B30">
        <v>102</v>
      </c>
    </row>
    <row r="31" spans="1:2" x14ac:dyDescent="0.25">
      <c r="A31" t="s">
        <v>559</v>
      </c>
      <c r="B31">
        <v>96</v>
      </c>
    </row>
    <row r="32" spans="1:2" x14ac:dyDescent="0.25">
      <c r="A32" t="s">
        <v>560</v>
      </c>
      <c r="B32">
        <v>23</v>
      </c>
    </row>
    <row r="41" spans="1:2" x14ac:dyDescent="0.25">
      <c r="A41" t="s">
        <v>561</v>
      </c>
      <c r="B41" t="s">
        <v>562</v>
      </c>
    </row>
    <row r="42" spans="1:2" x14ac:dyDescent="0.25">
      <c r="A42">
        <v>0</v>
      </c>
      <c r="B42">
        <v>1</v>
      </c>
    </row>
    <row r="43" spans="1:2" x14ac:dyDescent="0.25">
      <c r="A43">
        <v>1.2</v>
      </c>
      <c r="B43">
        <v>-2</v>
      </c>
    </row>
    <row r="44" spans="1:2" x14ac:dyDescent="0.25">
      <c r="A44">
        <v>3</v>
      </c>
      <c r="B44">
        <v>-1</v>
      </c>
    </row>
    <row r="45" spans="1:2" x14ac:dyDescent="0.25">
      <c r="A45">
        <v>4.0999999999999996</v>
      </c>
      <c r="B45">
        <v>-2</v>
      </c>
    </row>
    <row r="46" spans="1:2" x14ac:dyDescent="0.25">
      <c r="A46">
        <v>5</v>
      </c>
      <c r="B46">
        <v>-5</v>
      </c>
    </row>
    <row r="47" spans="1:2" x14ac:dyDescent="0.25">
      <c r="A47">
        <v>6.2</v>
      </c>
      <c r="B47">
        <v>5</v>
      </c>
    </row>
    <row r="48" spans="1:2" x14ac:dyDescent="0.25">
      <c r="A48">
        <v>6.5</v>
      </c>
      <c r="B48">
        <v>-2</v>
      </c>
    </row>
    <row r="49" spans="1:7" x14ac:dyDescent="0.25">
      <c r="A49">
        <v>7.2</v>
      </c>
      <c r="B49">
        <v>-1</v>
      </c>
    </row>
    <row r="50" spans="1:7" x14ac:dyDescent="0.25">
      <c r="A50">
        <v>10</v>
      </c>
      <c r="B50">
        <v>-4</v>
      </c>
    </row>
    <row r="51" spans="1:7" x14ac:dyDescent="0.25">
      <c r="A51">
        <v>13</v>
      </c>
      <c r="B51">
        <v>1</v>
      </c>
    </row>
    <row r="52" spans="1:7" x14ac:dyDescent="0.25">
      <c r="A52">
        <v>14.1</v>
      </c>
      <c r="B52">
        <v>-2</v>
      </c>
    </row>
    <row r="57" spans="1:7" x14ac:dyDescent="0.25">
      <c r="B57">
        <v>2015</v>
      </c>
      <c r="C57">
        <v>2016</v>
      </c>
      <c r="D57">
        <v>2017</v>
      </c>
      <c r="E57">
        <v>2018</v>
      </c>
      <c r="F57">
        <v>2019</v>
      </c>
      <c r="G57">
        <v>2020</v>
      </c>
    </row>
    <row r="58" spans="1:7" x14ac:dyDescent="0.25">
      <c r="A58" t="s">
        <v>563</v>
      </c>
      <c r="B58">
        <v>-1</v>
      </c>
      <c r="C58">
        <v>1</v>
      </c>
      <c r="D58">
        <v>-4</v>
      </c>
      <c r="E58">
        <v>1</v>
      </c>
      <c r="F58">
        <v>-2</v>
      </c>
      <c r="G58">
        <v>-1</v>
      </c>
    </row>
    <row r="59" spans="1:7" x14ac:dyDescent="0.25">
      <c r="A59" t="s">
        <v>537</v>
      </c>
      <c r="B59">
        <v>2</v>
      </c>
      <c r="C59">
        <v>1</v>
      </c>
      <c r="D59">
        <v>5</v>
      </c>
      <c r="E59">
        <v>-2</v>
      </c>
      <c r="F59">
        <v>5</v>
      </c>
      <c r="G59">
        <v>3</v>
      </c>
    </row>
    <row r="60" spans="1:7" x14ac:dyDescent="0.25">
      <c r="A60" t="s">
        <v>564</v>
      </c>
      <c r="B60">
        <v>10</v>
      </c>
      <c r="C60">
        <v>4</v>
      </c>
      <c r="D60">
        <v>3</v>
      </c>
      <c r="E60">
        <v>6</v>
      </c>
      <c r="F60">
        <v>9</v>
      </c>
      <c r="G60">
        <v>1</v>
      </c>
    </row>
    <row r="61" spans="1:7" x14ac:dyDescent="0.25">
      <c r="A61" t="s">
        <v>565</v>
      </c>
      <c r="B61">
        <v>15</v>
      </c>
      <c r="C61">
        <v>14</v>
      </c>
      <c r="D61">
        <v>12</v>
      </c>
      <c r="E61">
        <v>6</v>
      </c>
      <c r="F61">
        <v>5</v>
      </c>
      <c r="G61">
        <v>13</v>
      </c>
    </row>
    <row r="62" spans="1:7" x14ac:dyDescent="0.25">
      <c r="A62" t="s">
        <v>20</v>
      </c>
      <c r="B62">
        <v>17</v>
      </c>
      <c r="C62">
        <v>14</v>
      </c>
      <c r="D62">
        <v>12</v>
      </c>
      <c r="E62">
        <v>18</v>
      </c>
      <c r="F62">
        <v>18</v>
      </c>
      <c r="G62">
        <v>14</v>
      </c>
    </row>
    <row r="63" spans="1:7" x14ac:dyDescent="0.25">
      <c r="A63" t="s">
        <v>566</v>
      </c>
      <c r="B63">
        <v>21</v>
      </c>
      <c r="C63">
        <v>13</v>
      </c>
      <c r="D63">
        <v>20</v>
      </c>
      <c r="E63">
        <v>23</v>
      </c>
      <c r="F63">
        <v>15</v>
      </c>
      <c r="G63">
        <v>20</v>
      </c>
    </row>
    <row r="64" spans="1:7" x14ac:dyDescent="0.25">
      <c r="A64" t="s">
        <v>567</v>
      </c>
      <c r="B64">
        <v>22</v>
      </c>
      <c r="C64">
        <v>18</v>
      </c>
      <c r="D64">
        <v>20</v>
      </c>
      <c r="E64">
        <v>26</v>
      </c>
      <c r="F64">
        <v>21</v>
      </c>
      <c r="G64">
        <v>25</v>
      </c>
    </row>
    <row r="65" spans="1:7" x14ac:dyDescent="0.25">
      <c r="A65" t="s">
        <v>568</v>
      </c>
      <c r="B65">
        <v>25</v>
      </c>
      <c r="C65">
        <v>26</v>
      </c>
      <c r="D65">
        <v>21</v>
      </c>
      <c r="E65">
        <v>24</v>
      </c>
      <c r="F65">
        <v>22</v>
      </c>
      <c r="G65">
        <v>25</v>
      </c>
    </row>
    <row r="66" spans="1:7" x14ac:dyDescent="0.25">
      <c r="A66" t="s">
        <v>569</v>
      </c>
      <c r="B66">
        <v>17</v>
      </c>
      <c r="C66">
        <v>24</v>
      </c>
      <c r="D66">
        <v>18</v>
      </c>
      <c r="E66">
        <v>18</v>
      </c>
      <c r="F66">
        <v>20</v>
      </c>
      <c r="G66">
        <v>19</v>
      </c>
    </row>
    <row r="67" spans="1:7" x14ac:dyDescent="0.25">
      <c r="A67" t="s">
        <v>570</v>
      </c>
      <c r="B67">
        <v>5</v>
      </c>
      <c r="C67">
        <v>16</v>
      </c>
      <c r="D67">
        <v>7</v>
      </c>
      <c r="E67">
        <v>14</v>
      </c>
      <c r="F67">
        <v>6</v>
      </c>
      <c r="G67">
        <v>10</v>
      </c>
    </row>
    <row r="68" spans="1:7" x14ac:dyDescent="0.25">
      <c r="A68" t="s">
        <v>571</v>
      </c>
      <c r="B68">
        <v>6</v>
      </c>
      <c r="C68">
        <v>13</v>
      </c>
      <c r="D68">
        <v>15</v>
      </c>
      <c r="E68">
        <v>14</v>
      </c>
      <c r="F68">
        <v>12</v>
      </c>
      <c r="G68">
        <v>12</v>
      </c>
    </row>
    <row r="69" spans="1:7" x14ac:dyDescent="0.25">
      <c r="A69" t="s">
        <v>572</v>
      </c>
      <c r="B69">
        <v>-1</v>
      </c>
      <c r="C69">
        <v>1</v>
      </c>
      <c r="D69">
        <v>14</v>
      </c>
      <c r="E69">
        <v>7</v>
      </c>
      <c r="F69">
        <v>6</v>
      </c>
      <c r="G69">
        <v>9</v>
      </c>
    </row>
    <row r="83" spans="1:3" x14ac:dyDescent="0.25">
      <c r="A83" t="s">
        <v>573</v>
      </c>
      <c r="B83" t="s">
        <v>574</v>
      </c>
      <c r="C83" t="s">
        <v>575</v>
      </c>
    </row>
    <row r="84" spans="1:3" x14ac:dyDescent="0.25">
      <c r="A84">
        <v>14</v>
      </c>
      <c r="B84" s="262">
        <v>12200</v>
      </c>
      <c r="C84" s="13">
        <v>0.15</v>
      </c>
    </row>
    <row r="85" spans="1:3" x14ac:dyDescent="0.25">
      <c r="A85">
        <v>20</v>
      </c>
      <c r="B85" s="262">
        <v>60000</v>
      </c>
      <c r="C85" s="13">
        <v>0.33</v>
      </c>
    </row>
    <row r="86" spans="1:3" x14ac:dyDescent="0.25">
      <c r="A86">
        <v>18</v>
      </c>
      <c r="B86" s="262">
        <v>24000</v>
      </c>
      <c r="C86" s="13">
        <v>0.1</v>
      </c>
    </row>
    <row r="87" spans="1:3" x14ac:dyDescent="0.25">
      <c r="A87">
        <v>22</v>
      </c>
      <c r="B87" s="262">
        <v>32000</v>
      </c>
      <c r="C87" s="13">
        <v>0.42</v>
      </c>
    </row>
    <row r="100" spans="1:5" x14ac:dyDescent="0.25">
      <c r="A100" s="282" t="s">
        <v>549</v>
      </c>
      <c r="B100" s="282"/>
    </row>
    <row r="102" spans="1:5" x14ac:dyDescent="0.25">
      <c r="B102" t="s">
        <v>550</v>
      </c>
      <c r="C102" t="s">
        <v>551</v>
      </c>
      <c r="D102" t="s">
        <v>552</v>
      </c>
      <c r="E102" t="s">
        <v>553</v>
      </c>
    </row>
    <row r="103" spans="1:5" ht="19.5" customHeight="1" x14ac:dyDescent="0.25">
      <c r="A103" t="s">
        <v>176</v>
      </c>
      <c r="B103">
        <v>27000</v>
      </c>
      <c r="C103">
        <v>68290</v>
      </c>
      <c r="D103">
        <v>28300</v>
      </c>
      <c r="E103">
        <v>9203</v>
      </c>
    </row>
    <row r="104" spans="1:5" ht="20.25" customHeight="1" x14ac:dyDescent="0.25">
      <c r="A104" t="s">
        <v>73</v>
      </c>
      <c r="B104">
        <v>32193</v>
      </c>
      <c r="C104">
        <v>17265</v>
      </c>
      <c r="D104">
        <v>8725</v>
      </c>
      <c r="E104">
        <v>19286</v>
      </c>
    </row>
    <row r="105" spans="1:5" x14ac:dyDescent="0.25">
      <c r="A105" t="s">
        <v>74</v>
      </c>
      <c r="B105">
        <v>82635</v>
      </c>
      <c r="C105">
        <v>52738</v>
      </c>
      <c r="D105">
        <v>61528</v>
      </c>
      <c r="E105">
        <v>91726</v>
      </c>
    </row>
  </sheetData>
  <mergeCells count="2">
    <mergeCell ref="A1:B1"/>
    <mergeCell ref="A100:B100"/>
  </mergeCells>
  <phoneticPr fontId="2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0C619048-1B97-4F9F-BF7D-04754BD91F2A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gaphiques!A103:E103</xm:f>
              <xm:sqref>F103</xm:sqref>
            </x14:sparkline>
            <x14:sparkline>
              <xm:f>gaphiques!A104:E104</xm:f>
              <xm:sqref>F104</xm:sqref>
            </x14:sparkline>
            <x14:sparkline>
              <xm:f>gaphiques!A105:E105</xm:f>
              <xm:sqref>F105</xm:sqref>
            </x14:sparkline>
          </x14:sparklines>
        </x14:sparklineGroup>
        <x14:sparklineGroup manualMax="0" manualMin="0" type="column" displayEmptyCellsAs="gap" xr2:uid="{5F9A517A-12A9-4717-8564-51F2C83CA48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gaphiques!A103:E103</xm:f>
              <xm:sqref>G103</xm:sqref>
            </x14:sparkline>
            <x14:sparkline>
              <xm:f>gaphiques!A104:E104</xm:f>
              <xm:sqref>G104</xm:sqref>
            </x14:sparkline>
            <x14:sparkline>
              <xm:f>gaphiques!A105:E105</xm:f>
              <xm:sqref>G105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7950-5D09-407D-A6C9-A9AC345B671F}">
  <dimension ref="A1:F23"/>
  <sheetViews>
    <sheetView zoomScale="40" zoomScaleNormal="40" workbookViewId="0">
      <selection activeCell="D21" sqref="D21"/>
    </sheetView>
  </sheetViews>
  <sheetFormatPr baseColWidth="10" defaultRowHeight="15" x14ac:dyDescent="0.25"/>
  <sheetData>
    <row r="1" spans="1:6" x14ac:dyDescent="0.25">
      <c r="B1" t="s">
        <v>576</v>
      </c>
      <c r="C1" t="s">
        <v>577</v>
      </c>
      <c r="D1" t="s">
        <v>581</v>
      </c>
    </row>
    <row r="2" spans="1:6" x14ac:dyDescent="0.25">
      <c r="A2" t="s">
        <v>578</v>
      </c>
      <c r="B2">
        <v>75</v>
      </c>
      <c r="C2">
        <v>85</v>
      </c>
      <c r="D2">
        <f>(C2-B2)/B2</f>
        <v>0.13333333333333333</v>
      </c>
    </row>
    <row r="3" spans="1:6" x14ac:dyDescent="0.25">
      <c r="A3" t="s">
        <v>579</v>
      </c>
      <c r="B3">
        <v>84</v>
      </c>
      <c r="C3">
        <v>99</v>
      </c>
      <c r="D3">
        <f>(C3-B3)/B3</f>
        <v>0.17857142857142858</v>
      </c>
    </row>
    <row r="4" spans="1:6" x14ac:dyDescent="0.25">
      <c r="A4" t="s">
        <v>580</v>
      </c>
      <c r="B4">
        <v>60</v>
      </c>
      <c r="C4">
        <v>38</v>
      </c>
      <c r="D4">
        <f>(C4-B4)/B4</f>
        <v>-0.36666666666666664</v>
      </c>
    </row>
    <row r="13" spans="1:6" x14ac:dyDescent="0.25">
      <c r="A13" s="282" t="s">
        <v>582</v>
      </c>
      <c r="B13" s="282"/>
      <c r="C13" s="282"/>
    </row>
    <row r="14" spans="1:6" x14ac:dyDescent="0.25">
      <c r="C14">
        <v>2017</v>
      </c>
      <c r="D14">
        <v>2018</v>
      </c>
      <c r="E14">
        <v>2019</v>
      </c>
      <c r="F14">
        <v>2020</v>
      </c>
    </row>
    <row r="15" spans="1:6" x14ac:dyDescent="0.25">
      <c r="A15" s="282" t="s">
        <v>583</v>
      </c>
      <c r="B15" s="282"/>
      <c r="C15">
        <v>167</v>
      </c>
      <c r="D15">
        <v>189</v>
      </c>
      <c r="E15">
        <v>197</v>
      </c>
      <c r="F15">
        <v>197</v>
      </c>
    </row>
    <row r="16" spans="1:6" x14ac:dyDescent="0.25">
      <c r="A16" s="282" t="s">
        <v>584</v>
      </c>
      <c r="B16" s="282"/>
      <c r="C16">
        <v>341</v>
      </c>
      <c r="D16">
        <v>356</v>
      </c>
      <c r="E16">
        <v>371</v>
      </c>
      <c r="F16">
        <v>394</v>
      </c>
    </row>
    <row r="17" spans="1:6" x14ac:dyDescent="0.25">
      <c r="A17" s="282" t="s">
        <v>585</v>
      </c>
      <c r="B17" s="282"/>
      <c r="C17">
        <v>197</v>
      </c>
      <c r="D17">
        <v>227</v>
      </c>
      <c r="E17">
        <v>280</v>
      </c>
      <c r="F17">
        <v>455</v>
      </c>
    </row>
    <row r="18" spans="1:6" x14ac:dyDescent="0.25">
      <c r="A18" s="282" t="s">
        <v>586</v>
      </c>
      <c r="B18" s="282"/>
      <c r="C18">
        <v>686</v>
      </c>
      <c r="D18">
        <v>788</v>
      </c>
      <c r="E18">
        <v>909</v>
      </c>
      <c r="F18">
        <v>833</v>
      </c>
    </row>
    <row r="19" spans="1:6" x14ac:dyDescent="0.25">
      <c r="A19" s="282" t="s">
        <v>587</v>
      </c>
      <c r="B19" s="282"/>
      <c r="C19">
        <v>152</v>
      </c>
      <c r="D19">
        <v>273</v>
      </c>
      <c r="E19">
        <v>303</v>
      </c>
      <c r="F19">
        <v>576</v>
      </c>
    </row>
    <row r="20" spans="1:6" x14ac:dyDescent="0.25">
      <c r="A20" s="282" t="s">
        <v>588</v>
      </c>
      <c r="B20" s="282"/>
      <c r="C20">
        <v>606</v>
      </c>
      <c r="D20">
        <v>576</v>
      </c>
      <c r="E20">
        <v>455</v>
      </c>
      <c r="F20">
        <v>182</v>
      </c>
    </row>
    <row r="21" spans="1:6" x14ac:dyDescent="0.25">
      <c r="A21" s="282"/>
      <c r="B21" s="282"/>
    </row>
    <row r="22" spans="1:6" x14ac:dyDescent="0.25">
      <c r="A22" s="282" t="s">
        <v>589</v>
      </c>
      <c r="B22" s="282"/>
      <c r="C22">
        <v>1762</v>
      </c>
      <c r="D22">
        <v>1930</v>
      </c>
      <c r="E22">
        <v>2120</v>
      </c>
      <c r="F22">
        <v>2615</v>
      </c>
    </row>
    <row r="23" spans="1:6" x14ac:dyDescent="0.25">
      <c r="A23" s="282" t="s">
        <v>590</v>
      </c>
      <c r="B23" s="282"/>
      <c r="C23">
        <f>AVERAGE(C15:C17)</f>
        <v>235</v>
      </c>
      <c r="D23">
        <f>AVERAGE(D15:D17)</f>
        <v>257.33333333333331</v>
      </c>
      <c r="E23">
        <f>AVERAGE(E15:E17)</f>
        <v>282.66666666666669</v>
      </c>
      <c r="F23">
        <f>AVERAGE(F15:F17)</f>
        <v>348.66666666666669</v>
      </c>
    </row>
  </sheetData>
  <mergeCells count="10">
    <mergeCell ref="A20:B20"/>
    <mergeCell ref="A21:B21"/>
    <mergeCell ref="A22:B22"/>
    <mergeCell ref="A23:B23"/>
    <mergeCell ref="A13:C13"/>
    <mergeCell ref="A15:B15"/>
    <mergeCell ref="A16:B16"/>
    <mergeCell ref="A17:B17"/>
    <mergeCell ref="A18:B18"/>
    <mergeCell ref="A19:B1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CCB8-836A-4D02-9F56-E9F81C47A6D6}">
  <dimension ref="A1:K57"/>
  <sheetViews>
    <sheetView topLeftCell="A15" zoomScale="54" workbookViewId="0">
      <selection activeCell="I54" sqref="I54:I56"/>
    </sheetView>
  </sheetViews>
  <sheetFormatPr baseColWidth="10" defaultRowHeight="15" x14ac:dyDescent="0.25"/>
  <cols>
    <col min="3" max="3" width="13.85546875" customWidth="1"/>
    <col min="5" max="5" width="18.85546875" bestFit="1" customWidth="1"/>
    <col min="6" max="6" width="20.42578125" bestFit="1" customWidth="1"/>
    <col min="9" max="9" width="12.5703125" bestFit="1" customWidth="1"/>
    <col min="11" max="11" width="20.42578125" bestFit="1" customWidth="1"/>
  </cols>
  <sheetData>
    <row r="1" spans="1:8" x14ac:dyDescent="0.25">
      <c r="A1" s="264" t="s">
        <v>591</v>
      </c>
      <c r="B1" s="264" t="s">
        <v>592</v>
      </c>
      <c r="C1" s="264" t="s">
        <v>593</v>
      </c>
      <c r="D1" s="264" t="s">
        <v>594</v>
      </c>
      <c r="E1" s="264" t="s">
        <v>595</v>
      </c>
      <c r="F1" s="264" t="s">
        <v>596</v>
      </c>
      <c r="G1" s="264" t="s">
        <v>597</v>
      </c>
      <c r="H1" s="264" t="s">
        <v>598</v>
      </c>
    </row>
    <row r="2" spans="1:8" x14ac:dyDescent="0.25">
      <c r="A2" s="81" t="s">
        <v>599</v>
      </c>
      <c r="B2" s="81" t="s">
        <v>606</v>
      </c>
      <c r="C2" s="81">
        <v>150</v>
      </c>
      <c r="D2" s="81">
        <v>200</v>
      </c>
      <c r="E2" s="106">
        <v>0.33</v>
      </c>
      <c r="F2" s="81"/>
      <c r="G2" s="81"/>
      <c r="H2" s="81"/>
    </row>
    <row r="3" spans="1:8" x14ac:dyDescent="0.25">
      <c r="A3" s="81" t="s">
        <v>600</v>
      </c>
      <c r="B3" s="81" t="s">
        <v>607</v>
      </c>
      <c r="C3" s="81">
        <v>200</v>
      </c>
      <c r="D3" s="81">
        <v>150</v>
      </c>
      <c r="E3" s="106">
        <v>-0.25</v>
      </c>
      <c r="F3" s="81"/>
      <c r="G3" s="81"/>
      <c r="H3" s="81"/>
    </row>
    <row r="4" spans="1:8" x14ac:dyDescent="0.25">
      <c r="A4" s="81" t="s">
        <v>601</v>
      </c>
      <c r="B4" s="81" t="s">
        <v>608</v>
      </c>
      <c r="C4" s="81">
        <v>90</v>
      </c>
      <c r="D4" s="81">
        <v>100</v>
      </c>
      <c r="E4" s="106">
        <v>0.11</v>
      </c>
      <c r="F4" s="81"/>
      <c r="G4" s="81"/>
      <c r="H4" s="81"/>
    </row>
    <row r="5" spans="1:8" x14ac:dyDescent="0.25">
      <c r="A5" s="81" t="s">
        <v>602</v>
      </c>
      <c r="B5" s="81" t="s">
        <v>609</v>
      </c>
      <c r="C5" s="81">
        <v>300</v>
      </c>
      <c r="D5" s="81">
        <v>230</v>
      </c>
      <c r="E5" s="106">
        <v>-0.23</v>
      </c>
      <c r="F5" s="81"/>
      <c r="G5" s="81"/>
      <c r="H5" s="81"/>
    </row>
    <row r="6" spans="1:8" x14ac:dyDescent="0.25">
      <c r="A6" s="81" t="s">
        <v>603</v>
      </c>
      <c r="B6" s="81" t="s">
        <v>610</v>
      </c>
      <c r="C6" s="81">
        <v>100</v>
      </c>
      <c r="D6" s="81">
        <v>85</v>
      </c>
      <c r="E6" s="106">
        <v>-0.15</v>
      </c>
      <c r="F6" s="81"/>
      <c r="G6" s="81"/>
      <c r="H6" s="81"/>
    </row>
    <row r="7" spans="1:8" x14ac:dyDescent="0.25">
      <c r="A7" s="81" t="s">
        <v>604</v>
      </c>
      <c r="B7" s="81" t="s">
        <v>611</v>
      </c>
      <c r="C7" s="81">
        <v>270</v>
      </c>
      <c r="D7" s="81">
        <v>290</v>
      </c>
      <c r="E7" s="106">
        <v>7.0000000000000007E-2</v>
      </c>
      <c r="F7" s="81"/>
      <c r="G7" s="81"/>
      <c r="H7" s="81"/>
    </row>
    <row r="8" spans="1:8" x14ac:dyDescent="0.25">
      <c r="A8" s="81" t="s">
        <v>601</v>
      </c>
      <c r="B8" s="81" t="s">
        <v>608</v>
      </c>
      <c r="C8" s="81">
        <v>90</v>
      </c>
      <c r="D8" s="81">
        <v>100</v>
      </c>
      <c r="E8" s="106">
        <v>0.11</v>
      </c>
      <c r="F8" s="81"/>
      <c r="G8" s="81"/>
      <c r="H8" s="81"/>
    </row>
    <row r="9" spans="1:8" x14ac:dyDescent="0.25">
      <c r="A9" s="81" t="s">
        <v>605</v>
      </c>
      <c r="B9" s="81" t="s">
        <v>609</v>
      </c>
      <c r="C9" s="81">
        <v>70</v>
      </c>
      <c r="D9" s="81">
        <v>126</v>
      </c>
      <c r="E9" s="106">
        <v>0.8</v>
      </c>
      <c r="F9" s="81"/>
      <c r="G9" s="81"/>
      <c r="H9" s="81"/>
    </row>
    <row r="12" spans="1:8" x14ac:dyDescent="0.25">
      <c r="F12" s="263" t="s">
        <v>612</v>
      </c>
    </row>
    <row r="13" spans="1:8" x14ac:dyDescent="0.25">
      <c r="F13" s="81" t="s">
        <v>613</v>
      </c>
    </row>
    <row r="14" spans="1:8" x14ac:dyDescent="0.25">
      <c r="F14" s="81" t="s">
        <v>614</v>
      </c>
    </row>
    <row r="15" spans="1:8" x14ac:dyDescent="0.25">
      <c r="F15" s="81" t="s">
        <v>615</v>
      </c>
    </row>
    <row r="16" spans="1:8" x14ac:dyDescent="0.25">
      <c r="F16" s="81" t="s">
        <v>616</v>
      </c>
    </row>
    <row r="18" spans="1:8" x14ac:dyDescent="0.25">
      <c r="B18" s="339" t="s">
        <v>617</v>
      </c>
      <c r="C18" s="282"/>
      <c r="D18" s="282"/>
      <c r="E18" s="282"/>
    </row>
    <row r="20" spans="1:8" x14ac:dyDescent="0.25">
      <c r="A20" s="264" t="s">
        <v>591</v>
      </c>
      <c r="B20" s="264" t="s">
        <v>592</v>
      </c>
      <c r="C20" s="264" t="s">
        <v>593</v>
      </c>
      <c r="D20" s="264" t="s">
        <v>594</v>
      </c>
      <c r="E20" s="264" t="s">
        <v>595</v>
      </c>
      <c r="F20" s="264" t="s">
        <v>596</v>
      </c>
      <c r="G20" s="264" t="s">
        <v>597</v>
      </c>
      <c r="H20" s="264" t="s">
        <v>598</v>
      </c>
    </row>
    <row r="21" spans="1:8" x14ac:dyDescent="0.25">
      <c r="A21" s="81" t="s">
        <v>599</v>
      </c>
      <c r="B21" s="81" t="s">
        <v>606</v>
      </c>
      <c r="C21" s="81">
        <v>150</v>
      </c>
      <c r="D21" s="81">
        <v>200</v>
      </c>
      <c r="E21" s="106">
        <v>0.33</v>
      </c>
      <c r="F21" s="81"/>
      <c r="G21" s="81"/>
      <c r="H21" s="81"/>
    </row>
    <row r="22" spans="1:8" x14ac:dyDescent="0.25">
      <c r="A22" s="81" t="s">
        <v>600</v>
      </c>
      <c r="B22" s="81" t="s">
        <v>607</v>
      </c>
      <c r="C22" s="81">
        <v>200</v>
      </c>
      <c r="D22" s="81">
        <v>150</v>
      </c>
      <c r="E22" s="106">
        <v>-0.25</v>
      </c>
      <c r="F22" s="81"/>
      <c r="G22" s="81"/>
      <c r="H22" s="81"/>
    </row>
    <row r="23" spans="1:8" x14ac:dyDescent="0.25">
      <c r="A23" s="81" t="s">
        <v>601</v>
      </c>
      <c r="B23" s="81" t="s">
        <v>608</v>
      </c>
      <c r="C23" s="81">
        <v>90</v>
      </c>
      <c r="D23" s="81">
        <v>100</v>
      </c>
      <c r="E23" s="106">
        <v>0.11</v>
      </c>
      <c r="F23" s="81"/>
      <c r="G23" s="81"/>
      <c r="H23" s="81"/>
    </row>
    <row r="24" spans="1:8" x14ac:dyDescent="0.25">
      <c r="A24" s="81" t="s">
        <v>602</v>
      </c>
      <c r="B24" s="81" t="s">
        <v>609</v>
      </c>
      <c r="C24" s="81">
        <v>300</v>
      </c>
      <c r="D24" s="81">
        <v>230</v>
      </c>
      <c r="E24" s="106">
        <v>-0.23</v>
      </c>
      <c r="F24" s="81"/>
      <c r="G24" s="81"/>
      <c r="H24" s="81"/>
    </row>
    <row r="25" spans="1:8" x14ac:dyDescent="0.25">
      <c r="A25" s="81" t="s">
        <v>603</v>
      </c>
      <c r="B25" s="81" t="s">
        <v>610</v>
      </c>
      <c r="C25" s="81">
        <v>100</v>
      </c>
      <c r="D25" s="81">
        <v>85</v>
      </c>
      <c r="E25" s="106">
        <v>-0.15</v>
      </c>
      <c r="F25" s="81"/>
      <c r="G25" s="81"/>
      <c r="H25" s="81"/>
    </row>
    <row r="26" spans="1:8" x14ac:dyDescent="0.25">
      <c r="A26" s="81" t="s">
        <v>604</v>
      </c>
      <c r="B26" s="81" t="s">
        <v>611</v>
      </c>
      <c r="C26" s="81">
        <v>270</v>
      </c>
      <c r="D26" s="81">
        <v>290</v>
      </c>
      <c r="E26" s="106">
        <v>7.0000000000000007E-2</v>
      </c>
      <c r="F26" s="81"/>
      <c r="G26" s="81"/>
      <c r="H26" s="81"/>
    </row>
    <row r="27" spans="1:8" x14ac:dyDescent="0.25">
      <c r="A27" s="81" t="s">
        <v>605</v>
      </c>
      <c r="B27" s="81" t="s">
        <v>609</v>
      </c>
      <c r="C27" s="81">
        <v>70</v>
      </c>
      <c r="D27" s="81">
        <v>126</v>
      </c>
      <c r="E27" s="106">
        <v>0.8</v>
      </c>
      <c r="F27" s="81"/>
      <c r="G27" s="81"/>
      <c r="H27" s="81"/>
    </row>
    <row r="30" spans="1:8" x14ac:dyDescent="0.25">
      <c r="C30" s="12" t="s">
        <v>618</v>
      </c>
      <c r="D30" s="12"/>
      <c r="E30" s="12"/>
      <c r="F30" s="12"/>
    </row>
    <row r="32" spans="1:8" x14ac:dyDescent="0.25">
      <c r="A32" s="264" t="s">
        <v>591</v>
      </c>
      <c r="B32" s="264" t="s">
        <v>592</v>
      </c>
      <c r="C32" s="264" t="s">
        <v>593</v>
      </c>
      <c r="D32" s="264" t="s">
        <v>594</v>
      </c>
      <c r="E32" s="264" t="s">
        <v>595</v>
      </c>
      <c r="F32" s="264" t="s">
        <v>596</v>
      </c>
      <c r="G32" s="264" t="s">
        <v>597</v>
      </c>
      <c r="H32" s="264" t="s">
        <v>598</v>
      </c>
    </row>
    <row r="33" spans="1:11" x14ac:dyDescent="0.25">
      <c r="A33" s="81" t="s">
        <v>599</v>
      </c>
      <c r="B33" s="81" t="s">
        <v>606</v>
      </c>
      <c r="C33" s="81">
        <v>150</v>
      </c>
      <c r="D33" s="81">
        <v>200</v>
      </c>
      <c r="E33" s="106">
        <v>0.33</v>
      </c>
      <c r="F33" s="81" t="s">
        <v>614</v>
      </c>
      <c r="G33" s="81">
        <v>5</v>
      </c>
      <c r="H33" s="106">
        <v>0.05</v>
      </c>
    </row>
    <row r="34" spans="1:11" x14ac:dyDescent="0.25">
      <c r="A34" s="81" t="s">
        <v>600</v>
      </c>
      <c r="B34" s="81" t="s">
        <v>607</v>
      </c>
      <c r="C34" s="81">
        <v>200</v>
      </c>
      <c r="D34" s="81">
        <v>150</v>
      </c>
      <c r="E34" s="106">
        <v>-0.25</v>
      </c>
      <c r="F34" s="81" t="s">
        <v>615</v>
      </c>
      <c r="G34" s="81">
        <v>4</v>
      </c>
      <c r="H34" s="106">
        <v>0.03</v>
      </c>
    </row>
    <row r="35" spans="1:11" x14ac:dyDescent="0.25">
      <c r="A35" s="81" t="s">
        <v>601</v>
      </c>
      <c r="B35" s="81" t="s">
        <v>608</v>
      </c>
      <c r="C35" s="81">
        <v>90</v>
      </c>
      <c r="D35" s="81">
        <v>100</v>
      </c>
      <c r="E35" s="106">
        <v>0.11</v>
      </c>
      <c r="F35" s="81" t="s">
        <v>616</v>
      </c>
      <c r="G35" s="81">
        <v>10</v>
      </c>
      <c r="H35" s="81"/>
    </row>
    <row r="36" spans="1:11" x14ac:dyDescent="0.25">
      <c r="A36" s="81" t="s">
        <v>602</v>
      </c>
      <c r="B36" s="81" t="s">
        <v>609</v>
      </c>
      <c r="C36" s="81">
        <v>300</v>
      </c>
      <c r="D36" s="81">
        <v>230</v>
      </c>
      <c r="E36" s="106">
        <v>-0.23</v>
      </c>
      <c r="F36" s="81" t="s">
        <v>615</v>
      </c>
      <c r="G36" s="81">
        <v>6</v>
      </c>
      <c r="H36" s="81"/>
    </row>
    <row r="37" spans="1:11" x14ac:dyDescent="0.25">
      <c r="A37" s="81" t="s">
        <v>603</v>
      </c>
      <c r="B37" s="81" t="s">
        <v>610</v>
      </c>
      <c r="C37" s="81">
        <v>100</v>
      </c>
      <c r="D37" s="81">
        <v>85</v>
      </c>
      <c r="E37" s="106">
        <v>-0.15</v>
      </c>
      <c r="F37" s="81"/>
      <c r="G37" s="81"/>
      <c r="H37" s="106">
        <v>0.02</v>
      </c>
    </row>
    <row r="38" spans="1:11" x14ac:dyDescent="0.25">
      <c r="A38" s="81" t="s">
        <v>604</v>
      </c>
      <c r="B38" s="81" t="s">
        <v>611</v>
      </c>
      <c r="C38" s="81">
        <v>270</v>
      </c>
      <c r="D38" s="81">
        <v>290</v>
      </c>
      <c r="E38" s="106">
        <v>7.0000000000000007E-2</v>
      </c>
      <c r="F38" s="81" t="s">
        <v>616</v>
      </c>
      <c r="G38" s="81">
        <v>4</v>
      </c>
      <c r="H38" s="106">
        <v>0.04</v>
      </c>
    </row>
    <row r="39" spans="1:11" x14ac:dyDescent="0.25">
      <c r="A39" s="81" t="s">
        <v>601</v>
      </c>
      <c r="B39" s="81" t="s">
        <v>608</v>
      </c>
      <c r="C39" s="81">
        <v>90</v>
      </c>
      <c r="D39" s="81">
        <v>100</v>
      </c>
      <c r="E39" s="106">
        <v>0.11</v>
      </c>
      <c r="F39" s="81"/>
      <c r="G39" s="81">
        <v>3</v>
      </c>
      <c r="H39" s="81"/>
    </row>
    <row r="40" spans="1:11" x14ac:dyDescent="0.25">
      <c r="A40" s="81" t="s">
        <v>605</v>
      </c>
      <c r="B40" s="81" t="s">
        <v>609</v>
      </c>
      <c r="C40" s="81">
        <v>70</v>
      </c>
      <c r="D40" s="81">
        <v>126</v>
      </c>
      <c r="E40" s="106">
        <v>0.8</v>
      </c>
      <c r="F40" s="81" t="s">
        <v>616</v>
      </c>
      <c r="G40" s="81">
        <v>3</v>
      </c>
      <c r="H40" s="132"/>
    </row>
    <row r="43" spans="1:11" x14ac:dyDescent="0.25">
      <c r="D43" s="339" t="s">
        <v>624</v>
      </c>
      <c r="E43" s="339"/>
    </row>
    <row r="45" spans="1:11" x14ac:dyDescent="0.25">
      <c r="A45" s="264" t="s">
        <v>591</v>
      </c>
      <c r="B45" s="264" t="s">
        <v>592</v>
      </c>
      <c r="C45" s="263" t="s">
        <v>625</v>
      </c>
      <c r="D45" s="264" t="s">
        <v>593</v>
      </c>
      <c r="E45" s="264" t="s">
        <v>594</v>
      </c>
      <c r="F45" s="264" t="s">
        <v>595</v>
      </c>
      <c r="G45" s="264" t="s">
        <v>596</v>
      </c>
      <c r="H45" s="264" t="s">
        <v>597</v>
      </c>
      <c r="I45" s="264" t="s">
        <v>598</v>
      </c>
      <c r="J45" s="264" t="s">
        <v>619</v>
      </c>
      <c r="K45" s="264" t="s">
        <v>623</v>
      </c>
    </row>
    <row r="46" spans="1:11" x14ac:dyDescent="0.25">
      <c r="A46" s="271" t="s">
        <v>602</v>
      </c>
      <c r="B46" s="81" t="s">
        <v>609</v>
      </c>
      <c r="C46" s="270" t="s">
        <v>628</v>
      </c>
      <c r="D46" s="81">
        <v>300</v>
      </c>
      <c r="E46" s="81">
        <v>230</v>
      </c>
      <c r="F46" s="106">
        <v>-0.23</v>
      </c>
      <c r="G46" s="81" t="s">
        <v>615</v>
      </c>
      <c r="H46" s="81">
        <v>7</v>
      </c>
      <c r="I46" s="81">
        <v>0.05</v>
      </c>
      <c r="J46" s="81" t="s">
        <v>622</v>
      </c>
      <c r="K46" s="269"/>
    </row>
    <row r="47" spans="1:11" x14ac:dyDescent="0.25">
      <c r="A47" s="271" t="s">
        <v>604</v>
      </c>
      <c r="B47" s="81" t="s">
        <v>611</v>
      </c>
      <c r="C47" s="270">
        <v>27730</v>
      </c>
      <c r="D47" s="81">
        <v>270</v>
      </c>
      <c r="E47" s="81">
        <v>290</v>
      </c>
      <c r="F47" s="106">
        <v>7.0000000000000007E-2</v>
      </c>
      <c r="G47" s="81" t="s">
        <v>614</v>
      </c>
      <c r="H47" s="81">
        <v>6</v>
      </c>
      <c r="I47" s="81">
        <v>0.05</v>
      </c>
      <c r="J47" s="81" t="s">
        <v>621</v>
      </c>
      <c r="K47" s="268"/>
    </row>
    <row r="48" spans="1:11" x14ac:dyDescent="0.25">
      <c r="A48" s="271" t="s">
        <v>600</v>
      </c>
      <c r="B48" s="81" t="s">
        <v>607</v>
      </c>
      <c r="C48" s="270" t="s">
        <v>627</v>
      </c>
      <c r="D48" s="81">
        <v>200</v>
      </c>
      <c r="E48" s="81">
        <v>150</v>
      </c>
      <c r="F48" s="106">
        <v>-0.25</v>
      </c>
      <c r="G48" s="81" t="s">
        <v>616</v>
      </c>
      <c r="H48" s="81">
        <v>6</v>
      </c>
      <c r="I48" s="81">
        <v>0.04</v>
      </c>
      <c r="J48" s="81" t="s">
        <v>621</v>
      </c>
      <c r="K48" s="268"/>
    </row>
    <row r="49" spans="1:11" x14ac:dyDescent="0.25">
      <c r="A49" s="271" t="s">
        <v>599</v>
      </c>
      <c r="B49" s="81" t="s">
        <v>606</v>
      </c>
      <c r="C49" s="270" t="s">
        <v>626</v>
      </c>
      <c r="D49" s="81">
        <v>150</v>
      </c>
      <c r="E49" s="81">
        <v>200</v>
      </c>
      <c r="F49" s="106">
        <v>0.33</v>
      </c>
      <c r="G49" s="81" t="s">
        <v>616</v>
      </c>
      <c r="H49" s="81">
        <v>3</v>
      </c>
      <c r="I49" s="81">
        <v>0.01</v>
      </c>
      <c r="J49" s="81" t="s">
        <v>620</v>
      </c>
      <c r="K49" s="267"/>
    </row>
    <row r="50" spans="1:11" x14ac:dyDescent="0.25">
      <c r="A50" s="271" t="s">
        <v>601</v>
      </c>
      <c r="B50" s="81" t="s">
        <v>608</v>
      </c>
      <c r="C50" s="270">
        <v>22833</v>
      </c>
      <c r="D50" s="81">
        <v>90</v>
      </c>
      <c r="E50" s="81">
        <v>100</v>
      </c>
      <c r="F50" s="106">
        <v>0.11</v>
      </c>
      <c r="G50" s="81" t="s">
        <v>613</v>
      </c>
      <c r="H50" s="81">
        <v>1</v>
      </c>
      <c r="I50" s="81">
        <v>0.01</v>
      </c>
      <c r="J50" s="81" t="s">
        <v>620</v>
      </c>
      <c r="K50" s="267"/>
    </row>
    <row r="51" spans="1:11" x14ac:dyDescent="0.25">
      <c r="A51" s="271" t="s">
        <v>603</v>
      </c>
      <c r="B51" s="81" t="s">
        <v>610</v>
      </c>
      <c r="C51" s="270" t="s">
        <v>629</v>
      </c>
      <c r="D51" s="81">
        <v>100</v>
      </c>
      <c r="E51" s="81">
        <v>85</v>
      </c>
      <c r="F51" s="106">
        <v>-0.15</v>
      </c>
      <c r="G51" s="81" t="s">
        <v>614</v>
      </c>
      <c r="H51" s="81">
        <v>2</v>
      </c>
      <c r="I51" s="81">
        <v>0.01</v>
      </c>
      <c r="J51" s="81" t="s">
        <v>620</v>
      </c>
      <c r="K51" s="267"/>
    </row>
    <row r="52" spans="1:11" x14ac:dyDescent="0.25">
      <c r="A52" s="265"/>
      <c r="B52" s="266"/>
      <c r="C52" s="266"/>
      <c r="D52" s="266"/>
      <c r="E52" s="266"/>
      <c r="F52" s="266"/>
      <c r="G52" s="266"/>
      <c r="H52" s="266"/>
    </row>
    <row r="53" spans="1:11" x14ac:dyDescent="0.25">
      <c r="F53" s="263" t="s">
        <v>612</v>
      </c>
    </row>
    <row r="54" spans="1:11" x14ac:dyDescent="0.25">
      <c r="F54" s="81" t="s">
        <v>613</v>
      </c>
      <c r="I54" t="s">
        <v>622</v>
      </c>
    </row>
    <row r="55" spans="1:11" x14ac:dyDescent="0.25">
      <c r="F55" s="81" t="s">
        <v>614</v>
      </c>
      <c r="I55" t="s">
        <v>621</v>
      </c>
    </row>
    <row r="56" spans="1:11" x14ac:dyDescent="0.25">
      <c r="F56" s="81" t="s">
        <v>615</v>
      </c>
      <c r="I56" t="s">
        <v>620</v>
      </c>
    </row>
    <row r="57" spans="1:11" x14ac:dyDescent="0.25">
      <c r="F57" s="81" t="s">
        <v>616</v>
      </c>
    </row>
  </sheetData>
  <sortState xmlns:xlrd2="http://schemas.microsoft.com/office/spreadsheetml/2017/richdata2" ref="A46:K51">
    <sortCondition ref="J46:J51" customList="Elevee,Moyenne,Faible"/>
    <sortCondition descending="1" ref="E46:E51"/>
  </sortState>
  <mergeCells count="2">
    <mergeCell ref="B18:E18"/>
    <mergeCell ref="D43:E43"/>
  </mergeCells>
  <dataValidations count="3">
    <dataValidation type="list" errorStyle="warning" allowBlank="1" showInputMessage="1" showErrorMessage="1" errorTitle="Probleme" error="le dpt n'est pas valide" promptTitle="Departement" prompt="Entrez le dpt" sqref="F33:F40" xr:uid="{411F58BB-FA66-4DA2-B6F2-1833E29AD56E}">
      <formula1>$F$15:$F$16</formula1>
    </dataValidation>
    <dataValidation type="whole" allowBlank="1" showInputMessage="1" showErrorMessage="1" errorTitle="warning" error="Valeur erronee" promptTitle="Note" prompt="Entrez une note entre 1 et 10" sqref="G33:G40" xr:uid="{347DAA11-8FA7-4E98-AD2A-FC8137203C5D}">
      <formula1>1</formula1>
      <formula2>10</formula2>
    </dataValidation>
    <dataValidation type="custom" errorStyle="information" operator="lessThan" allowBlank="1" showInputMessage="1" showErrorMessage="1" sqref="H33:H40" xr:uid="{2204CB03-13B8-4E4C-ABFC-3A45FEDADFBD}">
      <formula1>"ET(&gt;0.02;&lt;0.05;&lt;G2/100)"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C769-DDC8-478A-A283-F5CE0BDED6F6}">
  <dimension ref="A1:S37"/>
  <sheetViews>
    <sheetView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N26" sqref="N26"/>
    </sheetView>
  </sheetViews>
  <sheetFormatPr baseColWidth="10" defaultRowHeight="15" x14ac:dyDescent="0.25"/>
  <cols>
    <col min="3" max="3" width="14.140625" bestFit="1" customWidth="1"/>
  </cols>
  <sheetData>
    <row r="1" spans="1:19" x14ac:dyDescent="0.25">
      <c r="A1" s="264" t="s">
        <v>591</v>
      </c>
      <c r="B1" s="264" t="s">
        <v>592</v>
      </c>
      <c r="C1" s="263" t="s">
        <v>625</v>
      </c>
      <c r="D1" s="264" t="s">
        <v>593</v>
      </c>
      <c r="E1" s="264" t="s">
        <v>594</v>
      </c>
      <c r="F1" s="264" t="s">
        <v>595</v>
      </c>
      <c r="G1" s="264" t="s">
        <v>596</v>
      </c>
      <c r="H1" s="264" t="s">
        <v>597</v>
      </c>
      <c r="I1" s="264" t="s">
        <v>598</v>
      </c>
      <c r="J1" s="264" t="s">
        <v>619</v>
      </c>
      <c r="K1" s="264" t="s">
        <v>623</v>
      </c>
      <c r="L1" s="263">
        <v>2023</v>
      </c>
      <c r="M1" s="263">
        <v>2023</v>
      </c>
      <c r="N1" s="263">
        <v>2023</v>
      </c>
      <c r="O1" s="263">
        <v>2023</v>
      </c>
      <c r="P1" s="263">
        <v>2023</v>
      </c>
      <c r="Q1" s="263">
        <v>2023</v>
      </c>
      <c r="R1" s="263">
        <v>2023</v>
      </c>
      <c r="S1" s="263">
        <v>2023</v>
      </c>
    </row>
    <row r="2" spans="1:19" x14ac:dyDescent="0.25">
      <c r="A2" s="271" t="s">
        <v>602</v>
      </c>
      <c r="B2" s="81" t="s">
        <v>609</v>
      </c>
      <c r="C2" s="270" t="s">
        <v>628</v>
      </c>
      <c r="D2" s="81">
        <v>300</v>
      </c>
      <c r="E2" s="81">
        <v>230</v>
      </c>
      <c r="F2" s="106">
        <v>-0.23</v>
      </c>
      <c r="G2" s="81" t="s">
        <v>615</v>
      </c>
      <c r="H2" s="81">
        <v>7</v>
      </c>
      <c r="I2" s="81">
        <v>0.05</v>
      </c>
      <c r="J2" s="81" t="s">
        <v>622</v>
      </c>
      <c r="K2" s="269"/>
      <c r="L2" s="81">
        <v>200</v>
      </c>
      <c r="M2" s="81">
        <v>200</v>
      </c>
      <c r="N2" s="81">
        <v>200</v>
      </c>
      <c r="O2" s="81">
        <v>200</v>
      </c>
      <c r="P2" s="81">
        <v>200</v>
      </c>
      <c r="Q2" s="81">
        <v>200</v>
      </c>
      <c r="R2" s="81">
        <v>200</v>
      </c>
      <c r="S2" s="81">
        <v>200</v>
      </c>
    </row>
    <row r="3" spans="1:19" x14ac:dyDescent="0.25">
      <c r="A3" s="271" t="s">
        <v>604</v>
      </c>
      <c r="B3" s="81" t="s">
        <v>611</v>
      </c>
      <c r="C3" s="270">
        <v>27730</v>
      </c>
      <c r="D3" s="81">
        <v>270</v>
      </c>
      <c r="E3" s="81">
        <v>290</v>
      </c>
      <c r="F3" s="106">
        <v>7.0000000000000007E-2</v>
      </c>
      <c r="G3" s="81" t="s">
        <v>614</v>
      </c>
      <c r="H3" s="81">
        <v>6</v>
      </c>
      <c r="I3" s="81">
        <v>0.05</v>
      </c>
      <c r="J3" s="81" t="s">
        <v>621</v>
      </c>
      <c r="K3" s="268"/>
      <c r="L3" s="81">
        <v>150</v>
      </c>
      <c r="M3" s="81">
        <v>150</v>
      </c>
      <c r="N3" s="81">
        <v>150</v>
      </c>
      <c r="O3" s="81">
        <v>150</v>
      </c>
      <c r="P3" s="81">
        <v>150</v>
      </c>
      <c r="Q3" s="81">
        <v>150</v>
      </c>
      <c r="R3" s="81">
        <v>150</v>
      </c>
      <c r="S3" s="81">
        <v>150</v>
      </c>
    </row>
    <row r="4" spans="1:19" x14ac:dyDescent="0.25">
      <c r="A4" s="271" t="s">
        <v>600</v>
      </c>
      <c r="B4" s="81" t="s">
        <v>607</v>
      </c>
      <c r="C4" s="270" t="s">
        <v>627</v>
      </c>
      <c r="D4" s="81">
        <v>200</v>
      </c>
      <c r="E4" s="81">
        <v>150</v>
      </c>
      <c r="F4" s="106">
        <v>-0.25</v>
      </c>
      <c r="G4" s="81" t="s">
        <v>616</v>
      </c>
      <c r="H4" s="81">
        <v>6</v>
      </c>
      <c r="I4" s="81">
        <v>0.04</v>
      </c>
      <c r="J4" s="81" t="s">
        <v>621</v>
      </c>
      <c r="K4" s="268"/>
      <c r="L4" s="81">
        <v>140</v>
      </c>
      <c r="M4" s="81">
        <v>140</v>
      </c>
      <c r="N4" s="81">
        <v>140</v>
      </c>
      <c r="O4" s="81">
        <v>140</v>
      </c>
      <c r="P4" s="81">
        <v>140</v>
      </c>
      <c r="Q4" s="81">
        <v>140</v>
      </c>
      <c r="R4" s="81">
        <v>140</v>
      </c>
      <c r="S4" s="81">
        <v>140</v>
      </c>
    </row>
    <row r="5" spans="1:19" x14ac:dyDescent="0.25">
      <c r="A5" s="271" t="s">
        <v>599</v>
      </c>
      <c r="B5" s="81" t="s">
        <v>606</v>
      </c>
      <c r="C5" s="270" t="s">
        <v>626</v>
      </c>
      <c r="D5" s="81">
        <v>150</v>
      </c>
      <c r="E5" s="81">
        <v>200</v>
      </c>
      <c r="F5" s="106">
        <v>0.33</v>
      </c>
      <c r="G5" s="81" t="s">
        <v>616</v>
      </c>
      <c r="H5" s="81">
        <v>3</v>
      </c>
      <c r="I5" s="81">
        <v>0.01</v>
      </c>
      <c r="J5" s="81" t="s">
        <v>620</v>
      </c>
      <c r="K5" s="267"/>
      <c r="L5" s="81">
        <v>78</v>
      </c>
      <c r="M5" s="81">
        <v>78</v>
      </c>
      <c r="N5" s="81">
        <v>78</v>
      </c>
      <c r="O5" s="81">
        <v>78</v>
      </c>
      <c r="P5" s="81">
        <v>78</v>
      </c>
      <c r="Q5" s="81">
        <v>78</v>
      </c>
      <c r="R5" s="81">
        <v>78</v>
      </c>
      <c r="S5" s="81">
        <v>78</v>
      </c>
    </row>
    <row r="6" spans="1:19" x14ac:dyDescent="0.25">
      <c r="A6" s="271" t="s">
        <v>601</v>
      </c>
      <c r="B6" s="81" t="s">
        <v>608</v>
      </c>
      <c r="C6" s="270">
        <v>22833</v>
      </c>
      <c r="D6" s="81">
        <v>90</v>
      </c>
      <c r="E6" s="81">
        <v>100</v>
      </c>
      <c r="F6" s="106">
        <v>0.11</v>
      </c>
      <c r="G6" s="81" t="s">
        <v>613</v>
      </c>
      <c r="H6" s="81">
        <v>1</v>
      </c>
      <c r="I6" s="81">
        <v>0.01</v>
      </c>
      <c r="J6" s="81" t="s">
        <v>620</v>
      </c>
      <c r="K6" s="267"/>
      <c r="L6" s="81">
        <v>59</v>
      </c>
      <c r="M6" s="81">
        <v>59</v>
      </c>
      <c r="N6" s="81">
        <v>59</v>
      </c>
      <c r="O6" s="81">
        <v>59</v>
      </c>
      <c r="P6" s="81">
        <v>59</v>
      </c>
      <c r="Q6" s="81">
        <v>59</v>
      </c>
      <c r="R6" s="81">
        <v>59</v>
      </c>
      <c r="S6" s="81">
        <v>59</v>
      </c>
    </row>
    <row r="7" spans="1:19" x14ac:dyDescent="0.25">
      <c r="A7" s="271" t="s">
        <v>603</v>
      </c>
      <c r="B7" s="81" t="s">
        <v>610</v>
      </c>
      <c r="C7" s="270" t="s">
        <v>629</v>
      </c>
      <c r="D7" s="81">
        <v>100</v>
      </c>
      <c r="E7" s="81">
        <v>85</v>
      </c>
      <c r="F7" s="106">
        <v>-0.15</v>
      </c>
      <c r="G7" s="81" t="s">
        <v>614</v>
      </c>
      <c r="H7" s="81">
        <v>2</v>
      </c>
      <c r="I7" s="81">
        <v>0.01</v>
      </c>
      <c r="J7" s="81" t="s">
        <v>620</v>
      </c>
      <c r="K7" s="267"/>
      <c r="L7" s="81">
        <v>1000</v>
      </c>
      <c r="M7" s="81">
        <v>1000</v>
      </c>
      <c r="N7" s="81">
        <v>1000</v>
      </c>
      <c r="O7" s="81">
        <v>1000</v>
      </c>
      <c r="P7" s="81">
        <v>1000</v>
      </c>
      <c r="Q7" s="81">
        <v>1000</v>
      </c>
      <c r="R7" s="81">
        <v>1000</v>
      </c>
      <c r="S7" s="81">
        <v>1000</v>
      </c>
    </row>
    <row r="8" spans="1:19" x14ac:dyDescent="0.25">
      <c r="A8" s="271" t="s">
        <v>602</v>
      </c>
      <c r="B8" s="81" t="s">
        <v>609</v>
      </c>
      <c r="C8" s="270" t="s">
        <v>628</v>
      </c>
      <c r="D8" s="81">
        <v>300</v>
      </c>
      <c r="E8" s="81">
        <v>230</v>
      </c>
      <c r="F8" s="106">
        <v>-0.23</v>
      </c>
      <c r="G8" s="81" t="s">
        <v>615</v>
      </c>
      <c r="H8" s="81">
        <v>7</v>
      </c>
      <c r="I8" s="81">
        <v>0.05</v>
      </c>
      <c r="J8" s="81" t="s">
        <v>622</v>
      </c>
      <c r="K8" s="269"/>
      <c r="L8" s="81">
        <v>200</v>
      </c>
      <c r="M8" s="81">
        <v>200</v>
      </c>
      <c r="N8" s="81">
        <v>200</v>
      </c>
      <c r="O8" s="81">
        <v>200</v>
      </c>
      <c r="P8" s="81">
        <v>200</v>
      </c>
      <c r="Q8" s="81">
        <v>200</v>
      </c>
      <c r="R8" s="81">
        <v>200</v>
      </c>
      <c r="S8" s="81">
        <v>200</v>
      </c>
    </row>
    <row r="9" spans="1:19" x14ac:dyDescent="0.25">
      <c r="A9" s="271" t="s">
        <v>604</v>
      </c>
      <c r="B9" s="81" t="s">
        <v>611</v>
      </c>
      <c r="C9" s="270">
        <v>27730</v>
      </c>
      <c r="D9" s="81">
        <v>270</v>
      </c>
      <c r="E9" s="81">
        <v>290</v>
      </c>
      <c r="F9" s="106">
        <v>7.0000000000000007E-2</v>
      </c>
      <c r="G9" s="81" t="s">
        <v>614</v>
      </c>
      <c r="H9" s="81">
        <v>6</v>
      </c>
      <c r="I9" s="81">
        <v>0.05</v>
      </c>
      <c r="J9" s="81" t="s">
        <v>621</v>
      </c>
      <c r="K9" s="268"/>
      <c r="L9" s="81">
        <v>150</v>
      </c>
      <c r="M9" s="81">
        <v>150</v>
      </c>
      <c r="N9" s="81">
        <v>150</v>
      </c>
      <c r="O9" s="81">
        <v>150</v>
      </c>
      <c r="P9" s="81">
        <v>150</v>
      </c>
      <c r="Q9" s="81">
        <v>150</v>
      </c>
      <c r="R9" s="81">
        <v>150</v>
      </c>
      <c r="S9" s="81">
        <v>150</v>
      </c>
    </row>
    <row r="10" spans="1:19" x14ac:dyDescent="0.25">
      <c r="A10" s="271" t="s">
        <v>600</v>
      </c>
      <c r="B10" s="81" t="s">
        <v>607</v>
      </c>
      <c r="C10" s="270" t="s">
        <v>627</v>
      </c>
      <c r="D10" s="81">
        <v>200</v>
      </c>
      <c r="E10" s="81">
        <v>150</v>
      </c>
      <c r="F10" s="106">
        <v>-0.25</v>
      </c>
      <c r="G10" s="81" t="s">
        <v>616</v>
      </c>
      <c r="H10" s="81">
        <v>6</v>
      </c>
      <c r="I10" s="81">
        <v>0.04</v>
      </c>
      <c r="J10" s="81" t="s">
        <v>621</v>
      </c>
      <c r="K10" s="268"/>
      <c r="L10" s="81">
        <v>140</v>
      </c>
      <c r="M10" s="81">
        <v>140</v>
      </c>
      <c r="N10" s="81">
        <v>140</v>
      </c>
      <c r="O10" s="81">
        <v>140</v>
      </c>
      <c r="P10" s="81">
        <v>140</v>
      </c>
      <c r="Q10" s="81">
        <v>140</v>
      </c>
      <c r="R10" s="81">
        <v>140</v>
      </c>
      <c r="S10" s="81">
        <v>140</v>
      </c>
    </row>
    <row r="11" spans="1:19" x14ac:dyDescent="0.25">
      <c r="A11" s="271" t="s">
        <v>599</v>
      </c>
      <c r="B11" s="81" t="s">
        <v>606</v>
      </c>
      <c r="C11" s="270" t="s">
        <v>626</v>
      </c>
      <c r="D11" s="81">
        <v>150</v>
      </c>
      <c r="E11" s="81">
        <v>200</v>
      </c>
      <c r="F11" s="106">
        <v>0.33</v>
      </c>
      <c r="G11" s="81" t="s">
        <v>616</v>
      </c>
      <c r="H11" s="81">
        <v>3</v>
      </c>
      <c r="I11" s="81">
        <v>0.01</v>
      </c>
      <c r="J11" s="81" t="s">
        <v>620</v>
      </c>
      <c r="K11" s="267"/>
      <c r="L11" s="81">
        <v>78</v>
      </c>
      <c r="M11" s="81">
        <v>78</v>
      </c>
      <c r="N11" s="81">
        <v>78</v>
      </c>
      <c r="O11" s="81">
        <v>78</v>
      </c>
      <c r="P11" s="81">
        <v>78</v>
      </c>
      <c r="Q11" s="81">
        <v>78</v>
      </c>
      <c r="R11" s="81">
        <v>78</v>
      </c>
      <c r="S11" s="81">
        <v>78</v>
      </c>
    </row>
    <row r="12" spans="1:19" x14ac:dyDescent="0.25">
      <c r="A12" s="271" t="s">
        <v>601</v>
      </c>
      <c r="B12" s="81" t="s">
        <v>608</v>
      </c>
      <c r="C12" s="270">
        <v>22833</v>
      </c>
      <c r="D12" s="81">
        <v>90</v>
      </c>
      <c r="E12" s="81">
        <v>100</v>
      </c>
      <c r="F12" s="106">
        <v>0.11</v>
      </c>
      <c r="G12" s="81" t="s">
        <v>613</v>
      </c>
      <c r="H12" s="81">
        <v>1</v>
      </c>
      <c r="I12" s="81">
        <v>0.01</v>
      </c>
      <c r="J12" s="81" t="s">
        <v>620</v>
      </c>
      <c r="K12" s="267"/>
      <c r="L12" s="81">
        <v>59</v>
      </c>
      <c r="M12" s="81">
        <v>59</v>
      </c>
      <c r="N12" s="81">
        <v>59</v>
      </c>
      <c r="O12" s="81">
        <v>59</v>
      </c>
      <c r="P12" s="81">
        <v>59</v>
      </c>
      <c r="Q12" s="81">
        <v>59</v>
      </c>
      <c r="R12" s="81">
        <v>59</v>
      </c>
      <c r="S12" s="81">
        <v>59</v>
      </c>
    </row>
    <row r="13" spans="1:19" x14ac:dyDescent="0.25">
      <c r="A13" s="271" t="s">
        <v>603</v>
      </c>
      <c r="B13" s="81" t="s">
        <v>610</v>
      </c>
      <c r="C13" s="270" t="s">
        <v>629</v>
      </c>
      <c r="D13" s="81">
        <v>100</v>
      </c>
      <c r="E13" s="81">
        <v>85</v>
      </c>
      <c r="F13" s="106">
        <v>-0.15</v>
      </c>
      <c r="G13" s="81" t="s">
        <v>614</v>
      </c>
      <c r="H13" s="81">
        <v>2</v>
      </c>
      <c r="I13" s="81">
        <v>0.01</v>
      </c>
      <c r="J13" s="81" t="s">
        <v>620</v>
      </c>
      <c r="K13" s="267"/>
      <c r="L13" s="81">
        <v>1000</v>
      </c>
      <c r="M13" s="81">
        <v>1000</v>
      </c>
      <c r="N13" s="81">
        <v>1000</v>
      </c>
      <c r="O13" s="81">
        <v>1000</v>
      </c>
      <c r="P13" s="81">
        <v>1000</v>
      </c>
      <c r="Q13" s="81">
        <v>1000</v>
      </c>
      <c r="R13" s="81">
        <v>1000</v>
      </c>
      <c r="S13" s="81">
        <v>1000</v>
      </c>
    </row>
    <row r="14" spans="1:19" x14ac:dyDescent="0.25">
      <c r="A14" s="271" t="s">
        <v>602</v>
      </c>
      <c r="B14" s="81" t="s">
        <v>609</v>
      </c>
      <c r="C14" s="270" t="s">
        <v>628</v>
      </c>
      <c r="D14" s="81">
        <v>300</v>
      </c>
      <c r="E14" s="81">
        <v>230</v>
      </c>
      <c r="F14" s="106">
        <v>-0.23</v>
      </c>
      <c r="G14" s="81" t="s">
        <v>615</v>
      </c>
      <c r="H14" s="81">
        <v>7</v>
      </c>
      <c r="I14" s="81">
        <v>0.05</v>
      </c>
      <c r="J14" s="81" t="s">
        <v>622</v>
      </c>
      <c r="K14" s="269"/>
      <c r="L14" s="81">
        <v>200</v>
      </c>
      <c r="M14" s="81">
        <v>200</v>
      </c>
      <c r="N14" s="81">
        <v>200</v>
      </c>
      <c r="O14" s="81">
        <v>200</v>
      </c>
      <c r="P14" s="81">
        <v>200</v>
      </c>
      <c r="Q14" s="81">
        <v>200</v>
      </c>
      <c r="R14" s="81">
        <v>200</v>
      </c>
      <c r="S14" s="81">
        <v>200</v>
      </c>
    </row>
    <row r="15" spans="1:19" x14ac:dyDescent="0.25">
      <c r="A15" s="271" t="s">
        <v>604</v>
      </c>
      <c r="B15" s="81" t="s">
        <v>611</v>
      </c>
      <c r="C15" s="270">
        <v>27730</v>
      </c>
      <c r="D15" s="81">
        <v>270</v>
      </c>
      <c r="E15" s="81">
        <v>290</v>
      </c>
      <c r="F15" s="106">
        <v>7.0000000000000007E-2</v>
      </c>
      <c r="G15" s="81" t="s">
        <v>614</v>
      </c>
      <c r="H15" s="81">
        <v>6</v>
      </c>
      <c r="I15" s="81">
        <v>0.05</v>
      </c>
      <c r="J15" s="81" t="s">
        <v>621</v>
      </c>
      <c r="K15" s="268"/>
      <c r="L15" s="81">
        <v>150</v>
      </c>
      <c r="M15" s="81">
        <v>150</v>
      </c>
      <c r="N15" s="81">
        <v>150</v>
      </c>
      <c r="O15" s="81">
        <v>150</v>
      </c>
      <c r="P15" s="81">
        <v>150</v>
      </c>
      <c r="Q15" s="81">
        <v>150</v>
      </c>
      <c r="R15" s="81">
        <v>150</v>
      </c>
      <c r="S15" s="81">
        <v>150</v>
      </c>
    </row>
    <row r="16" spans="1:19" x14ac:dyDescent="0.25">
      <c r="A16" s="271" t="s">
        <v>600</v>
      </c>
      <c r="B16" s="81" t="s">
        <v>607</v>
      </c>
      <c r="C16" s="270" t="s">
        <v>627</v>
      </c>
      <c r="D16" s="81">
        <v>200</v>
      </c>
      <c r="E16" s="81">
        <v>150</v>
      </c>
      <c r="F16" s="106">
        <v>-0.25</v>
      </c>
      <c r="G16" s="81" t="s">
        <v>616</v>
      </c>
      <c r="H16" s="81">
        <v>6</v>
      </c>
      <c r="I16" s="81">
        <v>0.04</v>
      </c>
      <c r="J16" s="81" t="s">
        <v>621</v>
      </c>
      <c r="K16" s="268"/>
      <c r="L16" s="81">
        <v>140</v>
      </c>
      <c r="M16" s="81">
        <v>140</v>
      </c>
      <c r="N16" s="81">
        <v>140</v>
      </c>
      <c r="O16" s="81">
        <v>140</v>
      </c>
      <c r="P16" s="81">
        <v>140</v>
      </c>
      <c r="Q16" s="81">
        <v>140</v>
      </c>
      <c r="R16" s="81">
        <v>140</v>
      </c>
      <c r="S16" s="81">
        <v>140</v>
      </c>
    </row>
    <row r="17" spans="1:19" x14ac:dyDescent="0.25">
      <c r="A17" s="271" t="s">
        <v>599</v>
      </c>
      <c r="B17" s="81" t="s">
        <v>606</v>
      </c>
      <c r="C17" s="270" t="s">
        <v>626</v>
      </c>
      <c r="D17" s="81">
        <v>150</v>
      </c>
      <c r="E17" s="81">
        <v>200</v>
      </c>
      <c r="F17" s="106">
        <v>0.33</v>
      </c>
      <c r="G17" s="81" t="s">
        <v>616</v>
      </c>
      <c r="H17" s="81">
        <v>3</v>
      </c>
      <c r="I17" s="81">
        <v>0.01</v>
      </c>
      <c r="J17" s="81" t="s">
        <v>620</v>
      </c>
      <c r="K17" s="267"/>
      <c r="L17" s="81">
        <v>78</v>
      </c>
      <c r="M17" s="81">
        <v>78</v>
      </c>
      <c r="N17" s="81">
        <v>78</v>
      </c>
      <c r="O17" s="81">
        <v>78</v>
      </c>
      <c r="P17" s="81">
        <v>78</v>
      </c>
      <c r="Q17" s="81">
        <v>78</v>
      </c>
      <c r="R17" s="81">
        <v>78</v>
      </c>
      <c r="S17" s="81">
        <v>78</v>
      </c>
    </row>
    <row r="18" spans="1:19" x14ac:dyDescent="0.25">
      <c r="A18" s="271" t="s">
        <v>601</v>
      </c>
      <c r="B18" s="81" t="s">
        <v>608</v>
      </c>
      <c r="C18" s="270">
        <v>22833</v>
      </c>
      <c r="D18" s="81">
        <v>90</v>
      </c>
      <c r="E18" s="81">
        <v>100</v>
      </c>
      <c r="F18" s="106">
        <v>0.11</v>
      </c>
      <c r="G18" s="81" t="s">
        <v>613</v>
      </c>
      <c r="H18" s="81">
        <v>1</v>
      </c>
      <c r="I18" s="81">
        <v>0.01</v>
      </c>
      <c r="J18" s="81" t="s">
        <v>620</v>
      </c>
      <c r="K18" s="267"/>
      <c r="L18" s="81">
        <v>59</v>
      </c>
      <c r="M18" s="81">
        <v>59</v>
      </c>
      <c r="N18" s="81">
        <v>59</v>
      </c>
      <c r="O18" s="81">
        <v>59</v>
      </c>
      <c r="P18" s="81">
        <v>59</v>
      </c>
      <c r="Q18" s="81">
        <v>59</v>
      </c>
      <c r="R18" s="81">
        <v>59</v>
      </c>
      <c r="S18" s="81">
        <v>59</v>
      </c>
    </row>
    <row r="19" spans="1:19" x14ac:dyDescent="0.25">
      <c r="A19" s="271" t="s">
        <v>603</v>
      </c>
      <c r="B19" s="81" t="s">
        <v>610</v>
      </c>
      <c r="C19" s="270" t="s">
        <v>629</v>
      </c>
      <c r="D19" s="81">
        <v>100</v>
      </c>
      <c r="E19" s="81">
        <v>85</v>
      </c>
      <c r="F19" s="106">
        <v>-0.15</v>
      </c>
      <c r="G19" s="81" t="s">
        <v>614</v>
      </c>
      <c r="H19" s="81">
        <v>2</v>
      </c>
      <c r="I19" s="81">
        <v>0.01</v>
      </c>
      <c r="J19" s="81" t="s">
        <v>620</v>
      </c>
      <c r="K19" s="267"/>
      <c r="L19" s="81">
        <v>1000</v>
      </c>
      <c r="M19" s="81">
        <v>1000</v>
      </c>
      <c r="N19" s="81">
        <v>1000</v>
      </c>
      <c r="O19" s="81">
        <v>1000</v>
      </c>
      <c r="P19" s="81">
        <v>1000</v>
      </c>
      <c r="Q19" s="81">
        <v>1000</v>
      </c>
      <c r="R19" s="81">
        <v>1000</v>
      </c>
      <c r="S19" s="81">
        <v>1000</v>
      </c>
    </row>
    <row r="20" spans="1:19" x14ac:dyDescent="0.25">
      <c r="A20" s="271" t="s">
        <v>602</v>
      </c>
      <c r="B20" s="81" t="s">
        <v>609</v>
      </c>
      <c r="C20" s="270" t="s">
        <v>628</v>
      </c>
      <c r="D20" s="81">
        <v>300</v>
      </c>
      <c r="E20" s="81">
        <v>230</v>
      </c>
      <c r="F20" s="106">
        <v>-0.23</v>
      </c>
      <c r="G20" s="81" t="s">
        <v>615</v>
      </c>
      <c r="H20" s="81">
        <v>7</v>
      </c>
      <c r="I20" s="81">
        <v>0.05</v>
      </c>
      <c r="J20" s="81" t="s">
        <v>622</v>
      </c>
      <c r="K20" s="269"/>
      <c r="L20" s="81">
        <v>200</v>
      </c>
      <c r="M20" s="81">
        <v>200</v>
      </c>
      <c r="N20" s="81">
        <v>200</v>
      </c>
      <c r="O20" s="81">
        <v>200</v>
      </c>
      <c r="P20" s="81">
        <v>200</v>
      </c>
      <c r="Q20" s="81">
        <v>200</v>
      </c>
      <c r="R20" s="81">
        <v>200</v>
      </c>
      <c r="S20" s="81">
        <v>200</v>
      </c>
    </row>
    <row r="21" spans="1:19" x14ac:dyDescent="0.25">
      <c r="A21" s="271" t="s">
        <v>604</v>
      </c>
      <c r="B21" s="81" t="s">
        <v>611</v>
      </c>
      <c r="C21" s="270">
        <v>27730</v>
      </c>
      <c r="D21" s="81">
        <v>270</v>
      </c>
      <c r="E21" s="81">
        <v>290</v>
      </c>
      <c r="F21" s="106">
        <v>7.0000000000000007E-2</v>
      </c>
      <c r="G21" s="81" t="s">
        <v>614</v>
      </c>
      <c r="H21" s="81">
        <v>6</v>
      </c>
      <c r="I21" s="81">
        <v>0.05</v>
      </c>
      <c r="J21" s="81" t="s">
        <v>621</v>
      </c>
      <c r="K21" s="268"/>
      <c r="L21" s="81">
        <v>150</v>
      </c>
      <c r="M21" s="81">
        <v>150</v>
      </c>
      <c r="N21" s="81">
        <v>150</v>
      </c>
      <c r="O21" s="81">
        <v>150</v>
      </c>
      <c r="P21" s="81">
        <v>150</v>
      </c>
      <c r="Q21" s="81">
        <v>150</v>
      </c>
      <c r="R21" s="81">
        <v>150</v>
      </c>
      <c r="S21" s="81">
        <v>150</v>
      </c>
    </row>
    <row r="22" spans="1:19" x14ac:dyDescent="0.25">
      <c r="A22" s="271" t="s">
        <v>600</v>
      </c>
      <c r="B22" s="81" t="s">
        <v>607</v>
      </c>
      <c r="C22" s="270" t="s">
        <v>627</v>
      </c>
      <c r="D22" s="81">
        <v>200</v>
      </c>
      <c r="E22" s="81">
        <v>150</v>
      </c>
      <c r="F22" s="106">
        <v>-0.25</v>
      </c>
      <c r="G22" s="81" t="s">
        <v>616</v>
      </c>
      <c r="H22" s="81">
        <v>6</v>
      </c>
      <c r="I22" s="81">
        <v>0.04</v>
      </c>
      <c r="J22" s="81" t="s">
        <v>621</v>
      </c>
      <c r="K22" s="268"/>
      <c r="L22" s="81">
        <v>140</v>
      </c>
      <c r="M22" s="81">
        <v>140</v>
      </c>
      <c r="N22" s="81">
        <v>140</v>
      </c>
      <c r="O22" s="81">
        <v>140</v>
      </c>
      <c r="P22" s="81">
        <v>140</v>
      </c>
      <c r="Q22" s="81">
        <v>140</v>
      </c>
      <c r="R22" s="81">
        <v>140</v>
      </c>
      <c r="S22" s="81">
        <v>140</v>
      </c>
    </row>
    <row r="23" spans="1:19" x14ac:dyDescent="0.25">
      <c r="A23" s="271" t="s">
        <v>599</v>
      </c>
      <c r="B23" s="81" t="s">
        <v>606</v>
      </c>
      <c r="C23" s="270" t="s">
        <v>626</v>
      </c>
      <c r="D23" s="81">
        <v>150</v>
      </c>
      <c r="E23" s="81">
        <v>200</v>
      </c>
      <c r="F23" s="106">
        <v>0.33</v>
      </c>
      <c r="G23" s="81" t="s">
        <v>616</v>
      </c>
      <c r="H23" s="81">
        <v>3</v>
      </c>
      <c r="I23" s="81">
        <v>0.01</v>
      </c>
      <c r="J23" s="81" t="s">
        <v>620</v>
      </c>
      <c r="K23" s="267"/>
      <c r="L23" s="81">
        <v>78</v>
      </c>
      <c r="M23" s="81">
        <v>78</v>
      </c>
      <c r="N23" s="81">
        <v>78</v>
      </c>
      <c r="O23" s="81">
        <v>78</v>
      </c>
      <c r="P23" s="81">
        <v>78</v>
      </c>
      <c r="Q23" s="81">
        <v>78</v>
      </c>
      <c r="R23" s="81">
        <v>78</v>
      </c>
      <c r="S23" s="81">
        <v>78</v>
      </c>
    </row>
    <row r="24" spans="1:19" x14ac:dyDescent="0.25">
      <c r="A24" s="271" t="s">
        <v>601</v>
      </c>
      <c r="B24" s="81" t="s">
        <v>608</v>
      </c>
      <c r="C24" s="270">
        <v>22833</v>
      </c>
      <c r="D24" s="81">
        <v>90</v>
      </c>
      <c r="E24" s="81">
        <v>100</v>
      </c>
      <c r="F24" s="106">
        <v>0.11</v>
      </c>
      <c r="G24" s="81" t="s">
        <v>613</v>
      </c>
      <c r="H24" s="81">
        <v>1</v>
      </c>
      <c r="I24" s="81">
        <v>0.01</v>
      </c>
      <c r="J24" s="81" t="s">
        <v>620</v>
      </c>
      <c r="K24" s="267"/>
      <c r="L24" s="81">
        <v>59</v>
      </c>
      <c r="M24" s="81">
        <v>59</v>
      </c>
      <c r="N24" s="81">
        <v>59</v>
      </c>
      <c r="O24" s="81">
        <v>59</v>
      </c>
      <c r="P24" s="81">
        <v>59</v>
      </c>
      <c r="Q24" s="81">
        <v>59</v>
      </c>
      <c r="R24" s="81">
        <v>59</v>
      </c>
      <c r="S24" s="81">
        <v>59</v>
      </c>
    </row>
    <row r="25" spans="1:19" x14ac:dyDescent="0.25">
      <c r="A25" s="271" t="s">
        <v>603</v>
      </c>
      <c r="B25" s="81" t="s">
        <v>610</v>
      </c>
      <c r="C25" s="270" t="s">
        <v>629</v>
      </c>
      <c r="D25" s="81">
        <v>100</v>
      </c>
      <c r="E25" s="81">
        <v>85</v>
      </c>
      <c r="F25" s="106">
        <v>-0.15</v>
      </c>
      <c r="G25" s="81" t="s">
        <v>614</v>
      </c>
      <c r="H25" s="81">
        <v>2</v>
      </c>
      <c r="I25" s="81">
        <v>0.01</v>
      </c>
      <c r="J25" s="81" t="s">
        <v>620</v>
      </c>
      <c r="K25" s="267"/>
      <c r="L25" s="81">
        <v>1000</v>
      </c>
      <c r="M25" s="81">
        <v>1000</v>
      </c>
      <c r="N25" s="81">
        <v>1000</v>
      </c>
      <c r="O25" s="81">
        <v>1000</v>
      </c>
      <c r="P25" s="81">
        <v>1000</v>
      </c>
      <c r="Q25" s="81">
        <v>1000</v>
      </c>
      <c r="R25" s="81">
        <v>1000</v>
      </c>
      <c r="S25" s="81">
        <v>1000</v>
      </c>
    </row>
    <row r="26" spans="1:19" x14ac:dyDescent="0.25">
      <c r="A26" s="271" t="s">
        <v>602</v>
      </c>
      <c r="B26" s="81" t="s">
        <v>609</v>
      </c>
      <c r="C26" s="270" t="s">
        <v>628</v>
      </c>
      <c r="D26" s="81">
        <v>300</v>
      </c>
      <c r="E26" s="81">
        <v>230</v>
      </c>
      <c r="F26" s="106">
        <v>-0.23</v>
      </c>
      <c r="G26" s="81" t="s">
        <v>615</v>
      </c>
      <c r="H26" s="81">
        <v>7</v>
      </c>
      <c r="I26" s="81">
        <v>0.05</v>
      </c>
      <c r="J26" s="81" t="s">
        <v>622</v>
      </c>
      <c r="K26" s="269"/>
      <c r="L26" s="81">
        <v>200</v>
      </c>
      <c r="M26" s="81">
        <v>200</v>
      </c>
      <c r="N26" s="272">
        <v>200</v>
      </c>
      <c r="O26" s="81">
        <v>200</v>
      </c>
      <c r="P26" s="81">
        <v>200</v>
      </c>
      <c r="Q26" s="81">
        <v>200</v>
      </c>
      <c r="R26" s="81">
        <v>200</v>
      </c>
      <c r="S26" s="81">
        <v>200</v>
      </c>
    </row>
    <row r="27" spans="1:19" x14ac:dyDescent="0.25">
      <c r="A27" s="271" t="s">
        <v>604</v>
      </c>
      <c r="B27" s="81" t="s">
        <v>611</v>
      </c>
      <c r="C27" s="270">
        <v>27730</v>
      </c>
      <c r="D27" s="81">
        <v>270</v>
      </c>
      <c r="E27" s="81">
        <v>290</v>
      </c>
      <c r="F27" s="106">
        <v>7.0000000000000007E-2</v>
      </c>
      <c r="G27" s="81" t="s">
        <v>614</v>
      </c>
      <c r="H27" s="81">
        <v>6</v>
      </c>
      <c r="I27" s="81">
        <v>0.05</v>
      </c>
      <c r="J27" s="81" t="s">
        <v>621</v>
      </c>
      <c r="K27" s="268"/>
      <c r="L27" s="81">
        <v>150</v>
      </c>
      <c r="M27" s="81">
        <v>150</v>
      </c>
      <c r="N27" s="81">
        <v>150</v>
      </c>
      <c r="O27" s="81">
        <v>150</v>
      </c>
      <c r="P27" s="81">
        <v>150</v>
      </c>
      <c r="Q27" s="81">
        <v>150</v>
      </c>
      <c r="R27" s="81">
        <v>150</v>
      </c>
      <c r="S27" s="81">
        <v>150</v>
      </c>
    </row>
    <row r="28" spans="1:19" x14ac:dyDescent="0.25">
      <c r="A28" s="271" t="s">
        <v>600</v>
      </c>
      <c r="B28" s="81" t="s">
        <v>607</v>
      </c>
      <c r="C28" s="270" t="s">
        <v>627</v>
      </c>
      <c r="D28" s="81">
        <v>200</v>
      </c>
      <c r="E28" s="81">
        <v>150</v>
      </c>
      <c r="F28" s="106">
        <v>-0.25</v>
      </c>
      <c r="G28" s="81" t="s">
        <v>616</v>
      </c>
      <c r="H28" s="81">
        <v>6</v>
      </c>
      <c r="I28" s="81">
        <v>0.04</v>
      </c>
      <c r="J28" s="81" t="s">
        <v>621</v>
      </c>
      <c r="K28" s="268"/>
      <c r="L28" s="81">
        <v>140</v>
      </c>
      <c r="M28" s="81">
        <v>140</v>
      </c>
      <c r="N28" s="81">
        <v>140</v>
      </c>
      <c r="O28" s="81">
        <v>140</v>
      </c>
      <c r="P28" s="81">
        <v>140</v>
      </c>
      <c r="Q28" s="81">
        <v>140</v>
      </c>
      <c r="R28" s="81">
        <v>140</v>
      </c>
      <c r="S28" s="81">
        <v>140</v>
      </c>
    </row>
    <row r="29" spans="1:19" x14ac:dyDescent="0.25">
      <c r="A29" s="271" t="s">
        <v>599</v>
      </c>
      <c r="B29" s="81" t="s">
        <v>606</v>
      </c>
      <c r="C29" s="270" t="s">
        <v>626</v>
      </c>
      <c r="D29" s="81">
        <v>150</v>
      </c>
      <c r="E29" s="81">
        <v>200</v>
      </c>
      <c r="F29" s="106">
        <v>0.33</v>
      </c>
      <c r="G29" s="81" t="s">
        <v>616</v>
      </c>
      <c r="H29" s="81">
        <v>3</v>
      </c>
      <c r="I29" s="81">
        <v>0.01</v>
      </c>
      <c r="J29" s="81" t="s">
        <v>620</v>
      </c>
      <c r="K29" s="267"/>
      <c r="L29" s="81">
        <v>78</v>
      </c>
      <c r="M29" s="81">
        <v>78</v>
      </c>
      <c r="N29" s="81">
        <v>78</v>
      </c>
      <c r="O29" s="81">
        <v>78</v>
      </c>
      <c r="P29" s="81">
        <v>78</v>
      </c>
      <c r="Q29" s="81">
        <v>78</v>
      </c>
      <c r="R29" s="81">
        <v>78</v>
      </c>
      <c r="S29" s="81">
        <v>78</v>
      </c>
    </row>
    <row r="30" spans="1:19" x14ac:dyDescent="0.25">
      <c r="A30" s="271" t="s">
        <v>601</v>
      </c>
      <c r="B30" s="81" t="s">
        <v>608</v>
      </c>
      <c r="C30" s="270">
        <v>22833</v>
      </c>
      <c r="D30" s="81">
        <v>90</v>
      </c>
      <c r="E30" s="81">
        <v>100</v>
      </c>
      <c r="F30" s="106">
        <v>0.11</v>
      </c>
      <c r="G30" s="81" t="s">
        <v>613</v>
      </c>
      <c r="H30" s="81">
        <v>1</v>
      </c>
      <c r="I30" s="81">
        <v>0.01</v>
      </c>
      <c r="J30" s="81" t="s">
        <v>620</v>
      </c>
      <c r="K30" s="267"/>
      <c r="L30" s="81">
        <v>59</v>
      </c>
      <c r="M30" s="81">
        <v>59</v>
      </c>
      <c r="N30" s="81">
        <v>59</v>
      </c>
      <c r="O30" s="81">
        <v>59</v>
      </c>
      <c r="P30" s="81">
        <v>59</v>
      </c>
      <c r="Q30" s="81">
        <v>59</v>
      </c>
      <c r="R30" s="81">
        <v>59</v>
      </c>
      <c r="S30" s="81">
        <v>59</v>
      </c>
    </row>
    <row r="31" spans="1:19" x14ac:dyDescent="0.25">
      <c r="A31" s="271" t="s">
        <v>603</v>
      </c>
      <c r="B31" s="81" t="s">
        <v>610</v>
      </c>
      <c r="C31" s="270" t="s">
        <v>629</v>
      </c>
      <c r="D31" s="81">
        <v>100</v>
      </c>
      <c r="E31" s="81">
        <v>85</v>
      </c>
      <c r="F31" s="106">
        <v>-0.15</v>
      </c>
      <c r="G31" s="81" t="s">
        <v>614</v>
      </c>
      <c r="H31" s="81">
        <v>2</v>
      </c>
      <c r="I31" s="81">
        <v>0.01</v>
      </c>
      <c r="J31" s="81" t="s">
        <v>620</v>
      </c>
      <c r="K31" s="267"/>
      <c r="L31" s="81">
        <v>1000</v>
      </c>
      <c r="M31" s="81">
        <v>1000</v>
      </c>
      <c r="N31" s="81">
        <v>1000</v>
      </c>
      <c r="O31" s="81">
        <v>1000</v>
      </c>
      <c r="P31" s="81">
        <v>1000</v>
      </c>
      <c r="Q31" s="81">
        <v>1000</v>
      </c>
      <c r="R31" s="81">
        <v>1000</v>
      </c>
      <c r="S31" s="81">
        <v>1000</v>
      </c>
    </row>
    <row r="32" spans="1:19" x14ac:dyDescent="0.25">
      <c r="A32" s="271" t="s">
        <v>602</v>
      </c>
      <c r="B32" s="81" t="s">
        <v>609</v>
      </c>
      <c r="C32" s="270" t="s">
        <v>628</v>
      </c>
      <c r="D32" s="81">
        <v>300</v>
      </c>
      <c r="E32" s="81">
        <v>230</v>
      </c>
      <c r="F32" s="106">
        <v>-0.23</v>
      </c>
      <c r="G32" s="81" t="s">
        <v>615</v>
      </c>
      <c r="H32" s="81">
        <v>7</v>
      </c>
      <c r="I32" s="81">
        <v>0.05</v>
      </c>
      <c r="J32" s="81" t="s">
        <v>622</v>
      </c>
      <c r="K32" s="269"/>
      <c r="L32" s="81">
        <v>200</v>
      </c>
      <c r="M32" s="81">
        <v>200</v>
      </c>
      <c r="N32" s="81">
        <v>200</v>
      </c>
      <c r="O32" s="81">
        <v>200</v>
      </c>
      <c r="P32" s="81">
        <v>200</v>
      </c>
      <c r="Q32" s="81">
        <v>200</v>
      </c>
      <c r="R32" s="81">
        <v>200</v>
      </c>
      <c r="S32" s="81">
        <v>200</v>
      </c>
    </row>
    <row r="33" spans="1:19" x14ac:dyDescent="0.25">
      <c r="A33" s="271" t="s">
        <v>604</v>
      </c>
      <c r="B33" s="81" t="s">
        <v>611</v>
      </c>
      <c r="C33" s="270">
        <v>27730</v>
      </c>
      <c r="D33" s="81">
        <v>270</v>
      </c>
      <c r="E33" s="81">
        <v>290</v>
      </c>
      <c r="F33" s="106">
        <v>7.0000000000000007E-2</v>
      </c>
      <c r="G33" s="81" t="s">
        <v>614</v>
      </c>
      <c r="H33" s="81">
        <v>6</v>
      </c>
      <c r="I33" s="81">
        <v>0.05</v>
      </c>
      <c r="J33" s="81" t="s">
        <v>621</v>
      </c>
      <c r="K33" s="268"/>
      <c r="L33" s="81">
        <v>150</v>
      </c>
      <c r="M33" s="81">
        <v>150</v>
      </c>
      <c r="N33" s="81">
        <v>150</v>
      </c>
      <c r="O33" s="81">
        <v>150</v>
      </c>
      <c r="P33" s="81">
        <v>150</v>
      </c>
      <c r="Q33" s="81">
        <v>150</v>
      </c>
      <c r="R33" s="81">
        <v>150</v>
      </c>
      <c r="S33" s="81">
        <v>150</v>
      </c>
    </row>
    <row r="34" spans="1:19" x14ac:dyDescent="0.25">
      <c r="A34" s="271" t="s">
        <v>600</v>
      </c>
      <c r="B34" s="81" t="s">
        <v>607</v>
      </c>
      <c r="C34" s="270" t="s">
        <v>627</v>
      </c>
      <c r="D34" s="81">
        <v>200</v>
      </c>
      <c r="E34" s="81">
        <v>150</v>
      </c>
      <c r="F34" s="106">
        <v>-0.25</v>
      </c>
      <c r="G34" s="81" t="s">
        <v>616</v>
      </c>
      <c r="H34" s="81">
        <v>6</v>
      </c>
      <c r="I34" s="81">
        <v>0.04</v>
      </c>
      <c r="J34" s="81" t="s">
        <v>621</v>
      </c>
      <c r="K34" s="268"/>
      <c r="L34" s="81">
        <v>140</v>
      </c>
      <c r="M34" s="81">
        <v>140</v>
      </c>
      <c r="N34" s="81">
        <v>140</v>
      </c>
      <c r="O34" s="81">
        <v>140</v>
      </c>
      <c r="P34" s="81">
        <v>140</v>
      </c>
      <c r="Q34" s="81">
        <v>140</v>
      </c>
      <c r="R34" s="81">
        <v>140</v>
      </c>
      <c r="S34" s="81">
        <v>140</v>
      </c>
    </row>
    <row r="35" spans="1:19" x14ac:dyDescent="0.25">
      <c r="A35" s="271" t="s">
        <v>599</v>
      </c>
      <c r="B35" s="81" t="s">
        <v>606</v>
      </c>
      <c r="C35" s="270" t="s">
        <v>626</v>
      </c>
      <c r="D35" s="81">
        <v>150</v>
      </c>
      <c r="E35" s="81">
        <v>200</v>
      </c>
      <c r="F35" s="106">
        <v>0.33</v>
      </c>
      <c r="G35" s="81" t="s">
        <v>616</v>
      </c>
      <c r="H35" s="81">
        <v>3</v>
      </c>
      <c r="I35" s="81">
        <v>0.01</v>
      </c>
      <c r="J35" s="81" t="s">
        <v>620</v>
      </c>
      <c r="K35" s="267"/>
      <c r="L35" s="81">
        <v>78</v>
      </c>
      <c r="M35" s="81">
        <v>78</v>
      </c>
      <c r="N35" s="81">
        <v>78</v>
      </c>
      <c r="O35" s="81">
        <v>78</v>
      </c>
      <c r="P35" s="81">
        <v>78</v>
      </c>
      <c r="Q35" s="81">
        <v>78</v>
      </c>
      <c r="R35" s="81">
        <v>78</v>
      </c>
      <c r="S35" s="81">
        <v>78</v>
      </c>
    </row>
    <row r="36" spans="1:19" x14ac:dyDescent="0.25">
      <c r="A36" s="271" t="s">
        <v>601</v>
      </c>
      <c r="B36" s="81" t="s">
        <v>608</v>
      </c>
      <c r="C36" s="270">
        <v>22833</v>
      </c>
      <c r="D36" s="81">
        <v>90</v>
      </c>
      <c r="E36" s="81">
        <v>100</v>
      </c>
      <c r="F36" s="106">
        <v>0.11</v>
      </c>
      <c r="G36" s="81" t="s">
        <v>613</v>
      </c>
      <c r="H36" s="81">
        <v>1</v>
      </c>
      <c r="I36" s="81">
        <v>0.01</v>
      </c>
      <c r="J36" s="81" t="s">
        <v>620</v>
      </c>
      <c r="K36" s="267"/>
      <c r="L36" s="81">
        <v>59</v>
      </c>
      <c r="M36" s="81">
        <v>59</v>
      </c>
      <c r="N36" s="81">
        <v>59</v>
      </c>
      <c r="O36" s="81">
        <v>59</v>
      </c>
      <c r="P36" s="81">
        <v>59</v>
      </c>
      <c r="Q36" s="81">
        <v>59</v>
      </c>
      <c r="R36" s="81">
        <v>59</v>
      </c>
      <c r="S36" s="81">
        <v>59</v>
      </c>
    </row>
    <row r="37" spans="1:19" x14ac:dyDescent="0.25">
      <c r="A37" s="271" t="s">
        <v>603</v>
      </c>
      <c r="B37" s="81" t="s">
        <v>610</v>
      </c>
      <c r="C37" s="270" t="s">
        <v>629</v>
      </c>
      <c r="D37" s="81">
        <v>100</v>
      </c>
      <c r="E37" s="81">
        <v>85</v>
      </c>
      <c r="F37" s="106">
        <v>-0.15</v>
      </c>
      <c r="G37" s="81" t="s">
        <v>614</v>
      </c>
      <c r="H37" s="81">
        <v>2</v>
      </c>
      <c r="I37" s="81">
        <v>0.01</v>
      </c>
      <c r="J37" s="81" t="s">
        <v>620</v>
      </c>
      <c r="K37" s="267"/>
      <c r="L37" s="81">
        <v>1000</v>
      </c>
      <c r="M37" s="81">
        <v>1000</v>
      </c>
      <c r="N37" s="81">
        <v>1000</v>
      </c>
      <c r="O37" s="81">
        <v>1000</v>
      </c>
      <c r="P37" s="81">
        <v>1000</v>
      </c>
      <c r="Q37" s="81">
        <v>1000</v>
      </c>
      <c r="R37" s="81">
        <v>1000</v>
      </c>
      <c r="S37" s="81">
        <v>1000</v>
      </c>
    </row>
  </sheetData>
  <dataValidations count="1">
    <dataValidation allowBlank="1" showInputMessage="1" showErrorMessage="1" promptTitle="cellule a figer" prompt="Figer les 2 premieres colonnes et la premieres ligne" sqref="N26" xr:uid="{6D7D114A-CEAD-4332-AA2E-2DC145B411E3}"/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9B2F-3D45-4873-94A9-E77A5B1E255E}">
  <dimension ref="A1:M10"/>
  <sheetViews>
    <sheetView workbookViewId="0">
      <selection activeCell="B10" sqref="B10"/>
    </sheetView>
  </sheetViews>
  <sheetFormatPr baseColWidth="10" defaultRowHeight="15" x14ac:dyDescent="0.25"/>
  <cols>
    <col min="3" max="3" width="14.140625" bestFit="1" customWidth="1"/>
    <col min="6" max="6" width="18.85546875" bestFit="1" customWidth="1"/>
    <col min="7" max="7" width="12.85546875" bestFit="1" customWidth="1"/>
    <col min="13" max="13" width="20.42578125" bestFit="1" customWidth="1"/>
  </cols>
  <sheetData>
    <row r="1" spans="1:13" x14ac:dyDescent="0.25">
      <c r="A1" s="264" t="s">
        <v>591</v>
      </c>
      <c r="B1" s="264" t="s">
        <v>592</v>
      </c>
      <c r="C1" s="263" t="s">
        <v>625</v>
      </c>
      <c r="D1" s="264" t="s">
        <v>593</v>
      </c>
      <c r="E1" s="264" t="s">
        <v>594</v>
      </c>
      <c r="F1" s="264" t="s">
        <v>595</v>
      </c>
      <c r="G1" s="264" t="s">
        <v>596</v>
      </c>
      <c r="H1" s="264" t="s">
        <v>597</v>
      </c>
      <c r="I1" s="264" t="s">
        <v>598</v>
      </c>
      <c r="J1" s="264" t="s">
        <v>619</v>
      </c>
      <c r="K1" s="264" t="s">
        <v>623</v>
      </c>
      <c r="M1" s="263" t="s">
        <v>612</v>
      </c>
    </row>
    <row r="2" spans="1:13" x14ac:dyDescent="0.25">
      <c r="A2" s="271" t="s">
        <v>602</v>
      </c>
      <c r="B2" s="81" t="s">
        <v>609</v>
      </c>
      <c r="C2" s="270" t="s">
        <v>628</v>
      </c>
      <c r="D2" s="81">
        <v>300</v>
      </c>
      <c r="E2" s="81">
        <v>230</v>
      </c>
      <c r="F2" s="106">
        <v>-0.23</v>
      </c>
      <c r="G2" s="81" t="s">
        <v>615</v>
      </c>
      <c r="H2" s="81">
        <v>7</v>
      </c>
      <c r="I2" s="81">
        <v>0.05</v>
      </c>
      <c r="J2" s="81" t="s">
        <v>622</v>
      </c>
      <c r="K2" s="269"/>
      <c r="M2" s="81" t="s">
        <v>613</v>
      </c>
    </row>
    <row r="3" spans="1:13" x14ac:dyDescent="0.25">
      <c r="A3" s="271" t="s">
        <v>604</v>
      </c>
      <c r="B3" s="81" t="s">
        <v>611</v>
      </c>
      <c r="C3" s="270">
        <v>27730</v>
      </c>
      <c r="D3" s="81">
        <v>270</v>
      </c>
      <c r="E3" s="81">
        <v>290</v>
      </c>
      <c r="F3" s="106">
        <v>7.0000000000000007E-2</v>
      </c>
      <c r="G3" s="81" t="s">
        <v>614</v>
      </c>
      <c r="H3" s="81">
        <v>6</v>
      </c>
      <c r="I3" s="81">
        <v>0.05</v>
      </c>
      <c r="J3" s="81" t="s">
        <v>621</v>
      </c>
      <c r="K3" s="268"/>
      <c r="M3" s="81" t="s">
        <v>614</v>
      </c>
    </row>
    <row r="4" spans="1:13" x14ac:dyDescent="0.25">
      <c r="A4" s="271" t="s">
        <v>600</v>
      </c>
      <c r="B4" s="81" t="s">
        <v>607</v>
      </c>
      <c r="C4" s="270" t="s">
        <v>627</v>
      </c>
      <c r="D4" s="81">
        <v>200</v>
      </c>
      <c r="E4" s="81">
        <v>150</v>
      </c>
      <c r="F4" s="106">
        <v>-0.25</v>
      </c>
      <c r="G4" s="81" t="s">
        <v>616</v>
      </c>
      <c r="H4" s="81">
        <v>6</v>
      </c>
      <c r="I4" s="81">
        <v>0.04</v>
      </c>
      <c r="J4" s="81" t="s">
        <v>621</v>
      </c>
      <c r="K4" s="268"/>
      <c r="M4" s="81" t="s">
        <v>615</v>
      </c>
    </row>
    <row r="5" spans="1:13" x14ac:dyDescent="0.25">
      <c r="A5" s="271" t="s">
        <v>599</v>
      </c>
      <c r="B5" s="81" t="s">
        <v>606</v>
      </c>
      <c r="C5" s="270" t="s">
        <v>626</v>
      </c>
      <c r="D5" s="81">
        <v>150</v>
      </c>
      <c r="E5" s="81">
        <v>200</v>
      </c>
      <c r="F5" s="106">
        <v>0.33</v>
      </c>
      <c r="G5" s="81" t="s">
        <v>616</v>
      </c>
      <c r="H5" s="81">
        <v>3</v>
      </c>
      <c r="I5" s="81">
        <v>0.01</v>
      </c>
      <c r="J5" s="81" t="s">
        <v>620</v>
      </c>
      <c r="K5" s="267"/>
      <c r="M5" s="81" t="s">
        <v>616</v>
      </c>
    </row>
    <row r="6" spans="1:13" x14ac:dyDescent="0.25">
      <c r="A6" s="271" t="s">
        <v>601</v>
      </c>
      <c r="B6" s="81" t="s">
        <v>608</v>
      </c>
      <c r="C6" s="270">
        <v>22833</v>
      </c>
      <c r="D6" s="81">
        <v>90</v>
      </c>
      <c r="E6" s="81">
        <v>100</v>
      </c>
      <c r="F6" s="106">
        <v>0.11</v>
      </c>
      <c r="G6" s="81" t="s">
        <v>613</v>
      </c>
      <c r="H6" s="81">
        <v>1</v>
      </c>
      <c r="I6" s="81">
        <v>0.01</v>
      </c>
      <c r="J6" s="81" t="s">
        <v>620</v>
      </c>
      <c r="K6" s="267"/>
    </row>
    <row r="7" spans="1:13" x14ac:dyDescent="0.25">
      <c r="M7" t="s">
        <v>622</v>
      </c>
    </row>
    <row r="8" spans="1:13" x14ac:dyDescent="0.25">
      <c r="A8" s="271" t="s">
        <v>603</v>
      </c>
      <c r="B8" s="81" t="s">
        <v>610</v>
      </c>
      <c r="C8" s="270" t="s">
        <v>629</v>
      </c>
      <c r="D8" s="81">
        <v>100</v>
      </c>
      <c r="E8" s="81">
        <v>85</v>
      </c>
      <c r="F8" s="106">
        <v>-0.15</v>
      </c>
      <c r="G8" s="81" t="s">
        <v>616</v>
      </c>
      <c r="H8" s="81">
        <v>3</v>
      </c>
      <c r="I8" s="81">
        <v>0.01</v>
      </c>
      <c r="J8" s="81" t="s">
        <v>620</v>
      </c>
      <c r="K8" s="267"/>
      <c r="M8" t="s">
        <v>621</v>
      </c>
    </row>
    <row r="9" spans="1:13" x14ac:dyDescent="0.25">
      <c r="A9" s="271" t="s">
        <v>630</v>
      </c>
      <c r="B9" s="81" t="s">
        <v>631</v>
      </c>
      <c r="C9" s="270" t="s">
        <v>633</v>
      </c>
      <c r="D9" s="81">
        <v>90</v>
      </c>
      <c r="E9" s="81">
        <v>200</v>
      </c>
      <c r="F9" s="106">
        <v>1.22</v>
      </c>
      <c r="G9" s="81" t="s">
        <v>615</v>
      </c>
      <c r="H9" s="81">
        <v>9</v>
      </c>
      <c r="I9" s="81">
        <v>0.05</v>
      </c>
      <c r="J9" s="81" t="s">
        <v>622</v>
      </c>
      <c r="K9" s="269"/>
      <c r="M9" t="s">
        <v>620</v>
      </c>
    </row>
    <row r="10" spans="1:13" x14ac:dyDescent="0.25">
      <c r="A10" s="271" t="s">
        <v>632</v>
      </c>
      <c r="B10" s="81" t="s">
        <v>609</v>
      </c>
      <c r="C10" s="270" t="s">
        <v>634</v>
      </c>
      <c r="D10" s="81">
        <v>100</v>
      </c>
      <c r="E10" s="81">
        <v>150</v>
      </c>
      <c r="F10" s="106">
        <v>0.5</v>
      </c>
      <c r="G10" s="81" t="s">
        <v>613</v>
      </c>
      <c r="H10" s="81">
        <v>8</v>
      </c>
      <c r="I10" s="81">
        <v>0.04</v>
      </c>
      <c r="J10" s="81" t="s">
        <v>622</v>
      </c>
      <c r="K10" s="269"/>
    </row>
  </sheetData>
  <autoFilter ref="A1:K10" xr:uid="{36859B2F-3D45-4873-94A9-E77A5B1E255E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7632-2A53-48B7-9A35-69E580375C33}">
  <dimension ref="A1:C37"/>
  <sheetViews>
    <sheetView zoomScale="73" zoomScaleNormal="73" workbookViewId="0">
      <selection activeCell="C22" sqref="C22:C24"/>
    </sheetView>
  </sheetViews>
  <sheetFormatPr baseColWidth="10" defaultRowHeight="15" outlineLevelRow="2" x14ac:dyDescent="0.25"/>
  <sheetData>
    <row r="1" spans="1:3" x14ac:dyDescent="0.25">
      <c r="A1" t="s">
        <v>635</v>
      </c>
      <c r="B1" t="s">
        <v>636</v>
      </c>
      <c r="C1" t="s">
        <v>613</v>
      </c>
    </row>
    <row r="2" spans="1:3" outlineLevel="2" x14ac:dyDescent="0.25">
      <c r="A2" t="s">
        <v>637</v>
      </c>
      <c r="B2" t="s">
        <v>242</v>
      </c>
      <c r="C2">
        <v>5762</v>
      </c>
    </row>
    <row r="3" spans="1:3" outlineLevel="2" x14ac:dyDescent="0.25">
      <c r="A3" t="s">
        <v>637</v>
      </c>
      <c r="B3" t="s">
        <v>242</v>
      </c>
      <c r="C3">
        <v>11500</v>
      </c>
    </row>
    <row r="4" spans="1:3" outlineLevel="2" x14ac:dyDescent="0.25">
      <c r="A4" t="s">
        <v>637</v>
      </c>
      <c r="B4" t="s">
        <v>242</v>
      </c>
      <c r="C4">
        <v>5167</v>
      </c>
    </row>
    <row r="5" spans="1:3" outlineLevel="2" x14ac:dyDescent="0.25">
      <c r="A5" t="s">
        <v>637</v>
      </c>
      <c r="B5" t="s">
        <v>242</v>
      </c>
      <c r="C5">
        <v>6450</v>
      </c>
    </row>
    <row r="6" spans="1:3" outlineLevel="2" x14ac:dyDescent="0.25">
      <c r="A6" t="s">
        <v>637</v>
      </c>
      <c r="B6" t="s">
        <v>242</v>
      </c>
      <c r="C6">
        <v>5048</v>
      </c>
    </row>
    <row r="7" spans="1:3" outlineLevel="2" x14ac:dyDescent="0.25">
      <c r="A7" t="s">
        <v>637</v>
      </c>
      <c r="B7" t="s">
        <v>242</v>
      </c>
      <c r="C7">
        <v>11697</v>
      </c>
    </row>
    <row r="8" spans="1:3" outlineLevel="2" x14ac:dyDescent="0.25">
      <c r="A8" t="s">
        <v>637</v>
      </c>
      <c r="B8" t="s">
        <v>242</v>
      </c>
      <c r="C8">
        <v>4476</v>
      </c>
    </row>
    <row r="9" spans="1:3" outlineLevel="2" x14ac:dyDescent="0.25">
      <c r="A9" t="s">
        <v>637</v>
      </c>
      <c r="B9" t="s">
        <v>242</v>
      </c>
      <c r="C9">
        <v>4876</v>
      </c>
    </row>
    <row r="10" spans="1:3" outlineLevel="1" x14ac:dyDescent="0.25">
      <c r="B10" s="80" t="s">
        <v>640</v>
      </c>
      <c r="C10">
        <f>SUBTOTAL(9,C2:C9)</f>
        <v>54976</v>
      </c>
    </row>
    <row r="11" spans="1:3" outlineLevel="2" x14ac:dyDescent="0.25">
      <c r="A11" t="s">
        <v>637</v>
      </c>
      <c r="B11" t="s">
        <v>639</v>
      </c>
      <c r="C11">
        <v>11201</v>
      </c>
    </row>
    <row r="12" spans="1:3" outlineLevel="2" x14ac:dyDescent="0.25">
      <c r="A12" t="s">
        <v>637</v>
      </c>
      <c r="B12" t="s">
        <v>639</v>
      </c>
      <c r="C12">
        <v>9560</v>
      </c>
    </row>
    <row r="13" spans="1:3" outlineLevel="2" x14ac:dyDescent="0.25">
      <c r="A13" t="s">
        <v>637</v>
      </c>
      <c r="B13" t="s">
        <v>639</v>
      </c>
      <c r="C13">
        <v>10032</v>
      </c>
    </row>
    <row r="14" spans="1:3" outlineLevel="2" x14ac:dyDescent="0.25">
      <c r="A14" t="s">
        <v>637</v>
      </c>
      <c r="B14" t="s">
        <v>639</v>
      </c>
      <c r="C14">
        <v>6172</v>
      </c>
    </row>
    <row r="15" spans="1:3" outlineLevel="2" x14ac:dyDescent="0.25">
      <c r="A15" t="s">
        <v>637</v>
      </c>
      <c r="B15" t="s">
        <v>639</v>
      </c>
      <c r="C15">
        <v>1564</v>
      </c>
    </row>
    <row r="16" spans="1:3" outlineLevel="2" x14ac:dyDescent="0.25">
      <c r="A16" t="s">
        <v>637</v>
      </c>
      <c r="B16" t="s">
        <v>639</v>
      </c>
      <c r="C16">
        <v>23597</v>
      </c>
    </row>
    <row r="17" spans="1:3" outlineLevel="2" x14ac:dyDescent="0.25">
      <c r="A17" t="s">
        <v>637</v>
      </c>
      <c r="B17" t="s">
        <v>639</v>
      </c>
      <c r="C17">
        <v>125346</v>
      </c>
    </row>
    <row r="18" spans="1:3" outlineLevel="2" x14ac:dyDescent="0.25">
      <c r="A18" t="s">
        <v>637</v>
      </c>
      <c r="B18" t="s">
        <v>639</v>
      </c>
      <c r="C18">
        <v>15625</v>
      </c>
    </row>
    <row r="19" spans="1:3" outlineLevel="2" x14ac:dyDescent="0.25">
      <c r="A19" t="s">
        <v>637</v>
      </c>
      <c r="B19" t="s">
        <v>639</v>
      </c>
      <c r="C19">
        <v>12364</v>
      </c>
    </row>
    <row r="20" spans="1:3" outlineLevel="2" x14ac:dyDescent="0.25">
      <c r="A20" t="s">
        <v>637</v>
      </c>
      <c r="B20" t="s">
        <v>639</v>
      </c>
      <c r="C20">
        <v>1256</v>
      </c>
    </row>
    <row r="21" spans="1:3" outlineLevel="1" x14ac:dyDescent="0.25">
      <c r="B21" s="80" t="s">
        <v>641</v>
      </c>
      <c r="C21">
        <f>SUBTOTAL(9,C11:C20)</f>
        <v>216717</v>
      </c>
    </row>
    <row r="22" spans="1:3" outlineLevel="2" x14ac:dyDescent="0.25">
      <c r="A22" t="s">
        <v>638</v>
      </c>
      <c r="B22" t="s">
        <v>242</v>
      </c>
      <c r="C22">
        <v>20147</v>
      </c>
    </row>
    <row r="23" spans="1:3" outlineLevel="2" x14ac:dyDescent="0.25">
      <c r="A23" t="s">
        <v>638</v>
      </c>
      <c r="B23" t="s">
        <v>242</v>
      </c>
      <c r="C23">
        <v>3658</v>
      </c>
    </row>
    <row r="24" spans="1:3" outlineLevel="2" x14ac:dyDescent="0.25">
      <c r="A24" t="s">
        <v>638</v>
      </c>
      <c r="B24" t="s">
        <v>242</v>
      </c>
      <c r="C24">
        <v>1489</v>
      </c>
    </row>
    <row r="25" spans="1:3" outlineLevel="2" x14ac:dyDescent="0.25">
      <c r="A25" t="s">
        <v>638</v>
      </c>
      <c r="B25" t="s">
        <v>242</v>
      </c>
      <c r="C25">
        <v>54782</v>
      </c>
    </row>
    <row r="26" spans="1:3" outlineLevel="2" x14ac:dyDescent="0.25">
      <c r="A26" t="s">
        <v>638</v>
      </c>
      <c r="B26" t="s">
        <v>242</v>
      </c>
      <c r="C26">
        <v>14589</v>
      </c>
    </row>
    <row r="27" spans="1:3" outlineLevel="1" x14ac:dyDescent="0.25">
      <c r="B27" s="80" t="s">
        <v>640</v>
      </c>
      <c r="C27">
        <f>SUBTOTAL(9,C22:C26)</f>
        <v>94665</v>
      </c>
    </row>
    <row r="28" spans="1:3" outlineLevel="2" x14ac:dyDescent="0.25">
      <c r="A28" t="s">
        <v>638</v>
      </c>
      <c r="B28" t="s">
        <v>639</v>
      </c>
      <c r="C28">
        <v>25456</v>
      </c>
    </row>
    <row r="29" spans="1:3" outlineLevel="2" x14ac:dyDescent="0.25">
      <c r="A29" t="s">
        <v>638</v>
      </c>
      <c r="B29" t="s">
        <v>639</v>
      </c>
      <c r="C29">
        <v>5789</v>
      </c>
    </row>
    <row r="30" spans="1:3" outlineLevel="2" x14ac:dyDescent="0.25">
      <c r="A30" t="s">
        <v>638</v>
      </c>
      <c r="B30" t="s">
        <v>639</v>
      </c>
      <c r="C30">
        <v>3258</v>
      </c>
    </row>
    <row r="31" spans="1:3" outlineLevel="2" x14ac:dyDescent="0.25">
      <c r="A31" t="s">
        <v>638</v>
      </c>
      <c r="B31" t="s">
        <v>639</v>
      </c>
      <c r="C31">
        <v>6985</v>
      </c>
    </row>
    <row r="32" spans="1:3" outlineLevel="2" x14ac:dyDescent="0.25">
      <c r="A32" t="s">
        <v>638</v>
      </c>
      <c r="B32" t="s">
        <v>639</v>
      </c>
      <c r="C32">
        <v>4589</v>
      </c>
    </row>
    <row r="33" spans="1:3" outlineLevel="2" x14ac:dyDescent="0.25">
      <c r="A33" t="s">
        <v>638</v>
      </c>
      <c r="B33" t="s">
        <v>639</v>
      </c>
      <c r="C33">
        <v>7895</v>
      </c>
    </row>
    <row r="34" spans="1:3" outlineLevel="2" x14ac:dyDescent="0.25">
      <c r="A34" t="s">
        <v>638</v>
      </c>
      <c r="B34" t="s">
        <v>639</v>
      </c>
      <c r="C34">
        <v>6489</v>
      </c>
    </row>
    <row r="35" spans="1:3" outlineLevel="2" x14ac:dyDescent="0.25">
      <c r="A35" t="s">
        <v>638</v>
      </c>
      <c r="B35" t="s">
        <v>639</v>
      </c>
      <c r="C35">
        <v>6478</v>
      </c>
    </row>
    <row r="36" spans="1:3" outlineLevel="1" x14ac:dyDescent="0.25">
      <c r="B36" s="80" t="s">
        <v>641</v>
      </c>
      <c r="C36">
        <f>SUBTOTAL(9,C28:C35)</f>
        <v>66939</v>
      </c>
    </row>
    <row r="37" spans="1:3" x14ac:dyDescent="0.25">
      <c r="B37" s="80" t="s">
        <v>642</v>
      </c>
      <c r="C37">
        <f>SUBTOTAL(9,C2:C35)</f>
        <v>433297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C6F5-499F-4280-ACD4-055436AEB092}">
  <dimension ref="A1:J36"/>
  <sheetViews>
    <sheetView zoomScale="68" workbookViewId="0">
      <selection sqref="A1:J36"/>
    </sheetView>
  </sheetViews>
  <sheetFormatPr baseColWidth="10" defaultRowHeight="15" x14ac:dyDescent="0.25"/>
  <cols>
    <col min="1" max="1" width="25.7109375" bestFit="1" customWidth="1"/>
    <col min="2" max="2" width="14.5703125" customWidth="1"/>
    <col min="3" max="3" width="12.28515625" customWidth="1"/>
    <col min="4" max="4" width="20.7109375" customWidth="1"/>
    <col min="5" max="5" width="32.85546875" bestFit="1" customWidth="1"/>
    <col min="6" max="6" width="14.28515625" bestFit="1" customWidth="1"/>
    <col min="7" max="7" width="15.28515625" bestFit="1" customWidth="1"/>
    <col min="8" max="8" width="17.5703125" bestFit="1" customWidth="1"/>
    <col min="10" max="10" width="12.7109375" bestFit="1" customWidth="1"/>
  </cols>
  <sheetData>
    <row r="1" spans="1:10" ht="15.75" x14ac:dyDescent="0.25">
      <c r="A1" s="273" t="s">
        <v>643</v>
      </c>
      <c r="B1" s="273" t="s">
        <v>644</v>
      </c>
      <c r="C1" s="273" t="s">
        <v>645</v>
      </c>
      <c r="D1" s="273" t="s">
        <v>646</v>
      </c>
      <c r="E1" s="273" t="s">
        <v>326</v>
      </c>
      <c r="F1" s="273" t="s">
        <v>647</v>
      </c>
      <c r="G1" s="273" t="s">
        <v>648</v>
      </c>
      <c r="H1" s="273" t="s">
        <v>649</v>
      </c>
      <c r="I1" s="273" t="s">
        <v>650</v>
      </c>
      <c r="J1" s="273" t="s">
        <v>651</v>
      </c>
    </row>
    <row r="2" spans="1:10" x14ac:dyDescent="0.25">
      <c r="A2" t="s">
        <v>652</v>
      </c>
      <c r="B2" t="s">
        <v>657</v>
      </c>
      <c r="C2">
        <v>10002</v>
      </c>
      <c r="D2" t="s">
        <v>659</v>
      </c>
      <c r="E2" t="s">
        <v>662</v>
      </c>
      <c r="F2" t="s">
        <v>675</v>
      </c>
      <c r="G2">
        <v>100</v>
      </c>
      <c r="H2">
        <v>7</v>
      </c>
      <c r="I2">
        <v>144</v>
      </c>
      <c r="J2">
        <v>512</v>
      </c>
    </row>
    <row r="3" spans="1:10" x14ac:dyDescent="0.25">
      <c r="A3" t="s">
        <v>652</v>
      </c>
      <c r="B3" t="s">
        <v>658</v>
      </c>
      <c r="C3">
        <v>10012</v>
      </c>
      <c r="D3" t="s">
        <v>659</v>
      </c>
      <c r="E3" t="s">
        <v>663</v>
      </c>
      <c r="F3" t="s">
        <v>676</v>
      </c>
      <c r="G3">
        <v>5</v>
      </c>
      <c r="H3">
        <v>11</v>
      </c>
      <c r="I3">
        <v>75</v>
      </c>
      <c r="J3">
        <v>276</v>
      </c>
    </row>
    <row r="4" spans="1:10" x14ac:dyDescent="0.25">
      <c r="A4" t="s">
        <v>652</v>
      </c>
      <c r="B4" t="s">
        <v>657</v>
      </c>
      <c r="C4">
        <v>10001</v>
      </c>
      <c r="D4" t="s">
        <v>660</v>
      </c>
      <c r="E4" t="s">
        <v>664</v>
      </c>
      <c r="F4" t="s">
        <v>675</v>
      </c>
      <c r="G4">
        <v>6</v>
      </c>
      <c r="H4">
        <v>9</v>
      </c>
      <c r="I4">
        <v>96</v>
      </c>
      <c r="J4">
        <v>164</v>
      </c>
    </row>
    <row r="5" spans="1:10" x14ac:dyDescent="0.25">
      <c r="A5" t="s">
        <v>652</v>
      </c>
      <c r="B5" t="s">
        <v>658</v>
      </c>
      <c r="C5">
        <v>10009</v>
      </c>
      <c r="D5" t="s">
        <v>659</v>
      </c>
      <c r="E5" t="s">
        <v>665</v>
      </c>
      <c r="F5" t="s">
        <v>677</v>
      </c>
      <c r="G5">
        <v>10</v>
      </c>
      <c r="H5">
        <v>5</v>
      </c>
      <c r="I5">
        <v>100</v>
      </c>
      <c r="J5">
        <v>80</v>
      </c>
    </row>
    <row r="6" spans="1:10" x14ac:dyDescent="0.25">
      <c r="A6" t="s">
        <v>652</v>
      </c>
      <c r="B6" t="s">
        <v>658</v>
      </c>
      <c r="C6">
        <v>10011</v>
      </c>
      <c r="D6" t="s">
        <v>660</v>
      </c>
      <c r="E6" t="s">
        <v>669</v>
      </c>
      <c r="F6" t="s">
        <v>678</v>
      </c>
      <c r="G6">
        <v>6</v>
      </c>
      <c r="H6">
        <v>10</v>
      </c>
      <c r="I6">
        <v>96</v>
      </c>
      <c r="J6">
        <v>250</v>
      </c>
    </row>
    <row r="7" spans="1:10" x14ac:dyDescent="0.25">
      <c r="A7" t="s">
        <v>653</v>
      </c>
      <c r="B7" t="s">
        <v>658</v>
      </c>
      <c r="C7">
        <v>10013</v>
      </c>
      <c r="D7" t="s">
        <v>660</v>
      </c>
      <c r="E7" t="s">
        <v>666</v>
      </c>
      <c r="F7" t="s">
        <v>676</v>
      </c>
      <c r="G7">
        <v>7</v>
      </c>
      <c r="H7">
        <v>12</v>
      </c>
      <c r="I7">
        <v>119</v>
      </c>
      <c r="J7">
        <v>216</v>
      </c>
    </row>
    <row r="8" spans="1:10" x14ac:dyDescent="0.25">
      <c r="A8" t="s">
        <v>652</v>
      </c>
      <c r="B8" t="s">
        <v>657</v>
      </c>
      <c r="C8">
        <v>10005</v>
      </c>
      <c r="D8" t="s">
        <v>660</v>
      </c>
      <c r="E8" t="s">
        <v>667</v>
      </c>
      <c r="F8" t="s">
        <v>679</v>
      </c>
      <c r="G8">
        <v>9</v>
      </c>
      <c r="H8">
        <v>7</v>
      </c>
      <c r="I8">
        <v>125</v>
      </c>
      <c r="J8">
        <v>105</v>
      </c>
    </row>
    <row r="9" spans="1:10" x14ac:dyDescent="0.25">
      <c r="A9" t="s">
        <v>653</v>
      </c>
      <c r="B9" t="s">
        <v>599</v>
      </c>
      <c r="C9">
        <v>10008</v>
      </c>
      <c r="D9" t="s">
        <v>660</v>
      </c>
      <c r="E9" t="s">
        <v>668</v>
      </c>
      <c r="F9" t="s">
        <v>680</v>
      </c>
      <c r="G9">
        <v>8</v>
      </c>
      <c r="H9">
        <v>13</v>
      </c>
      <c r="I9">
        <v>100</v>
      </c>
      <c r="J9">
        <v>254</v>
      </c>
    </row>
    <row r="10" spans="1:10" x14ac:dyDescent="0.25">
      <c r="A10" t="s">
        <v>652</v>
      </c>
      <c r="B10" t="s">
        <v>658</v>
      </c>
      <c r="C10">
        <v>10013</v>
      </c>
      <c r="D10" t="s">
        <v>660</v>
      </c>
      <c r="E10" t="s">
        <v>666</v>
      </c>
      <c r="F10" t="s">
        <v>676</v>
      </c>
      <c r="G10">
        <v>12</v>
      </c>
      <c r="H10">
        <v>8</v>
      </c>
      <c r="I10">
        <v>192</v>
      </c>
      <c r="J10">
        <v>520</v>
      </c>
    </row>
    <row r="11" spans="1:10" x14ac:dyDescent="0.25">
      <c r="A11" t="s">
        <v>654</v>
      </c>
      <c r="B11" t="s">
        <v>658</v>
      </c>
      <c r="C11">
        <v>10011</v>
      </c>
      <c r="D11" t="s">
        <v>660</v>
      </c>
      <c r="E11" t="s">
        <v>669</v>
      </c>
      <c r="F11" t="s">
        <v>678</v>
      </c>
      <c r="G11">
        <v>14</v>
      </c>
      <c r="H11">
        <v>9</v>
      </c>
      <c r="I11">
        <v>168</v>
      </c>
      <c r="J11">
        <v>99</v>
      </c>
    </row>
    <row r="12" spans="1:10" x14ac:dyDescent="0.25">
      <c r="A12" t="s">
        <v>652</v>
      </c>
      <c r="B12" t="s">
        <v>657</v>
      </c>
      <c r="C12">
        <v>10004</v>
      </c>
      <c r="D12" t="s">
        <v>661</v>
      </c>
      <c r="E12" t="s">
        <v>670</v>
      </c>
      <c r="F12" t="s">
        <v>679</v>
      </c>
      <c r="G12">
        <v>11</v>
      </c>
      <c r="H12">
        <v>8</v>
      </c>
      <c r="I12">
        <v>165</v>
      </c>
      <c r="J12">
        <v>135</v>
      </c>
    </row>
    <row r="13" spans="1:10" x14ac:dyDescent="0.25">
      <c r="A13" t="s">
        <v>652</v>
      </c>
      <c r="B13" t="s">
        <v>599</v>
      </c>
      <c r="C13">
        <v>10006</v>
      </c>
      <c r="D13" t="s">
        <v>661</v>
      </c>
      <c r="E13" t="s">
        <v>671</v>
      </c>
      <c r="F13" t="s">
        <v>680</v>
      </c>
      <c r="G13">
        <v>12</v>
      </c>
      <c r="H13">
        <v>11</v>
      </c>
      <c r="I13">
        <v>192</v>
      </c>
      <c r="J13">
        <v>175</v>
      </c>
    </row>
    <row r="14" spans="1:10" x14ac:dyDescent="0.25">
      <c r="A14" t="s">
        <v>654</v>
      </c>
      <c r="B14" t="s">
        <v>599</v>
      </c>
      <c r="C14">
        <v>10007</v>
      </c>
      <c r="D14" t="s">
        <v>659</v>
      </c>
      <c r="E14" t="s">
        <v>672</v>
      </c>
      <c r="F14" t="s">
        <v>680</v>
      </c>
      <c r="G14">
        <v>14</v>
      </c>
      <c r="H14">
        <v>12</v>
      </c>
      <c r="I14">
        <v>120</v>
      </c>
      <c r="J14">
        <v>132</v>
      </c>
    </row>
    <row r="15" spans="1:10" x14ac:dyDescent="0.25">
      <c r="A15" t="s">
        <v>655</v>
      </c>
      <c r="B15" t="s">
        <v>658</v>
      </c>
      <c r="C15">
        <v>10009</v>
      </c>
      <c r="D15" t="s">
        <v>659</v>
      </c>
      <c r="E15" t="s">
        <v>665</v>
      </c>
      <c r="F15" t="s">
        <v>677</v>
      </c>
      <c r="G15">
        <v>10</v>
      </c>
      <c r="H15">
        <v>6</v>
      </c>
      <c r="I15">
        <v>138</v>
      </c>
      <c r="J15">
        <v>144</v>
      </c>
    </row>
    <row r="16" spans="1:10" x14ac:dyDescent="0.25">
      <c r="A16" t="s">
        <v>655</v>
      </c>
      <c r="B16" t="s">
        <v>658</v>
      </c>
      <c r="C16">
        <v>10013</v>
      </c>
      <c r="D16" t="s">
        <v>660</v>
      </c>
      <c r="E16" t="s">
        <v>666</v>
      </c>
      <c r="F16" t="s">
        <v>676</v>
      </c>
      <c r="G16">
        <v>12</v>
      </c>
      <c r="H16">
        <v>12</v>
      </c>
      <c r="I16">
        <v>130</v>
      </c>
      <c r="J16">
        <v>105</v>
      </c>
    </row>
    <row r="17" spans="1:10" x14ac:dyDescent="0.25">
      <c r="A17" t="s">
        <v>652</v>
      </c>
      <c r="B17" t="s">
        <v>658</v>
      </c>
      <c r="C17">
        <v>10010</v>
      </c>
      <c r="D17" t="s">
        <v>661</v>
      </c>
      <c r="E17" t="s">
        <v>673</v>
      </c>
      <c r="F17" t="s">
        <v>677</v>
      </c>
      <c r="G17">
        <v>20</v>
      </c>
      <c r="H17">
        <v>6</v>
      </c>
      <c r="I17">
        <v>200</v>
      </c>
      <c r="J17">
        <v>156</v>
      </c>
    </row>
    <row r="18" spans="1:10" x14ac:dyDescent="0.25">
      <c r="A18" t="s">
        <v>652</v>
      </c>
      <c r="B18" t="s">
        <v>657</v>
      </c>
      <c r="C18">
        <v>10003</v>
      </c>
      <c r="D18" t="s">
        <v>661</v>
      </c>
      <c r="E18" t="s">
        <v>674</v>
      </c>
      <c r="F18" t="s">
        <v>675</v>
      </c>
      <c r="G18">
        <v>7</v>
      </c>
      <c r="H18">
        <v>7</v>
      </c>
      <c r="I18">
        <v>105</v>
      </c>
      <c r="J18">
        <v>156</v>
      </c>
    </row>
    <row r="19" spans="1:10" x14ac:dyDescent="0.25">
      <c r="A19" t="s">
        <v>654</v>
      </c>
      <c r="B19" t="s">
        <v>657</v>
      </c>
      <c r="C19">
        <v>10004</v>
      </c>
      <c r="D19" t="s">
        <v>661</v>
      </c>
      <c r="E19" t="s">
        <v>670</v>
      </c>
      <c r="F19" t="s">
        <v>679</v>
      </c>
      <c r="G19">
        <v>7</v>
      </c>
      <c r="H19">
        <v>18</v>
      </c>
      <c r="I19">
        <v>105</v>
      </c>
      <c r="J19">
        <v>162</v>
      </c>
    </row>
    <row r="20" spans="1:10" x14ac:dyDescent="0.25">
      <c r="A20" t="s">
        <v>654</v>
      </c>
      <c r="B20" t="s">
        <v>658</v>
      </c>
      <c r="C20">
        <v>10006</v>
      </c>
      <c r="D20" t="s">
        <v>660</v>
      </c>
      <c r="E20" t="s">
        <v>666</v>
      </c>
      <c r="F20" t="s">
        <v>676</v>
      </c>
      <c r="G20">
        <v>14</v>
      </c>
      <c r="H20">
        <v>27</v>
      </c>
      <c r="I20">
        <v>140</v>
      </c>
      <c r="J20">
        <v>459</v>
      </c>
    </row>
    <row r="21" spans="1:10" x14ac:dyDescent="0.25">
      <c r="A21" t="s">
        <v>655</v>
      </c>
      <c r="B21" t="s">
        <v>599</v>
      </c>
      <c r="C21">
        <v>10007</v>
      </c>
      <c r="D21" t="s">
        <v>660</v>
      </c>
      <c r="E21" t="s">
        <v>668</v>
      </c>
      <c r="F21" t="s">
        <v>680</v>
      </c>
      <c r="G21">
        <v>15</v>
      </c>
      <c r="H21">
        <v>50</v>
      </c>
      <c r="I21">
        <v>150</v>
      </c>
      <c r="J21">
        <v>180</v>
      </c>
    </row>
    <row r="22" spans="1:10" x14ac:dyDescent="0.25">
      <c r="A22" t="s">
        <v>653</v>
      </c>
      <c r="B22" t="s">
        <v>658</v>
      </c>
      <c r="C22">
        <v>10009</v>
      </c>
      <c r="D22" t="s">
        <v>661</v>
      </c>
      <c r="E22" t="s">
        <v>673</v>
      </c>
      <c r="F22" t="s">
        <v>677</v>
      </c>
      <c r="G22">
        <v>10</v>
      </c>
      <c r="H22">
        <v>54</v>
      </c>
      <c r="I22">
        <v>100</v>
      </c>
      <c r="J22">
        <v>80</v>
      </c>
    </row>
    <row r="23" spans="1:10" x14ac:dyDescent="0.25">
      <c r="A23" t="s">
        <v>652</v>
      </c>
      <c r="B23" t="s">
        <v>599</v>
      </c>
      <c r="C23">
        <v>10013</v>
      </c>
      <c r="D23" t="s">
        <v>659</v>
      </c>
      <c r="E23" t="s">
        <v>672</v>
      </c>
      <c r="F23" t="s">
        <v>680</v>
      </c>
      <c r="G23">
        <v>11</v>
      </c>
      <c r="H23">
        <v>21</v>
      </c>
      <c r="I23">
        <v>3320</v>
      </c>
      <c r="J23">
        <v>168</v>
      </c>
    </row>
    <row r="24" spans="1:10" x14ac:dyDescent="0.25">
      <c r="A24" t="s">
        <v>652</v>
      </c>
      <c r="B24" t="s">
        <v>599</v>
      </c>
      <c r="C24">
        <v>10010</v>
      </c>
      <c r="D24" t="s">
        <v>660</v>
      </c>
      <c r="E24" t="s">
        <v>668</v>
      </c>
      <c r="F24" t="s">
        <v>680</v>
      </c>
      <c r="G24">
        <v>12</v>
      </c>
      <c r="H24">
        <v>10</v>
      </c>
      <c r="I24">
        <v>100</v>
      </c>
      <c r="J24">
        <v>162</v>
      </c>
    </row>
    <row r="25" spans="1:10" x14ac:dyDescent="0.25">
      <c r="A25" t="s">
        <v>654</v>
      </c>
      <c r="B25" t="s">
        <v>657</v>
      </c>
      <c r="C25">
        <v>10003</v>
      </c>
      <c r="D25" t="s">
        <v>660</v>
      </c>
      <c r="E25" t="s">
        <v>667</v>
      </c>
      <c r="F25" t="s">
        <v>679</v>
      </c>
      <c r="G25">
        <v>6</v>
      </c>
      <c r="H25">
        <v>57</v>
      </c>
      <c r="I25">
        <v>90</v>
      </c>
      <c r="J25">
        <v>200</v>
      </c>
    </row>
    <row r="26" spans="1:10" x14ac:dyDescent="0.25">
      <c r="A26" t="s">
        <v>655</v>
      </c>
      <c r="B26" t="s">
        <v>658</v>
      </c>
      <c r="C26">
        <v>10004</v>
      </c>
      <c r="D26" t="s">
        <v>659</v>
      </c>
      <c r="E26" t="s">
        <v>663</v>
      </c>
      <c r="F26" t="s">
        <v>676</v>
      </c>
      <c r="G26">
        <v>11</v>
      </c>
      <c r="H26">
        <v>28</v>
      </c>
      <c r="I26">
        <v>122</v>
      </c>
      <c r="J26">
        <v>121</v>
      </c>
    </row>
    <row r="27" spans="1:10" x14ac:dyDescent="0.25">
      <c r="A27" t="s">
        <v>656</v>
      </c>
      <c r="B27" t="s">
        <v>658</v>
      </c>
      <c r="C27">
        <v>10013</v>
      </c>
      <c r="D27" t="s">
        <v>660</v>
      </c>
      <c r="E27" t="s">
        <v>669</v>
      </c>
      <c r="F27" t="s">
        <v>678</v>
      </c>
      <c r="G27">
        <v>13</v>
      </c>
      <c r="H27">
        <v>31</v>
      </c>
      <c r="I27">
        <v>130</v>
      </c>
      <c r="J27">
        <v>162</v>
      </c>
    </row>
    <row r="28" spans="1:10" x14ac:dyDescent="0.25">
      <c r="A28" t="s">
        <v>654</v>
      </c>
      <c r="B28" t="s">
        <v>657</v>
      </c>
      <c r="C28">
        <v>10010</v>
      </c>
      <c r="D28" t="s">
        <v>659</v>
      </c>
      <c r="E28" t="s">
        <v>662</v>
      </c>
      <c r="F28" t="s">
        <v>675</v>
      </c>
      <c r="G28">
        <v>12</v>
      </c>
      <c r="H28">
        <v>27</v>
      </c>
      <c r="I28">
        <v>144</v>
      </c>
      <c r="J28">
        <v>200</v>
      </c>
    </row>
    <row r="29" spans="1:10" x14ac:dyDescent="0.25">
      <c r="A29" t="s">
        <v>654</v>
      </c>
      <c r="B29" t="s">
        <v>599</v>
      </c>
      <c r="C29">
        <v>10003</v>
      </c>
      <c r="D29" t="s">
        <v>661</v>
      </c>
      <c r="E29" t="s">
        <v>671</v>
      </c>
      <c r="F29" t="s">
        <v>680</v>
      </c>
      <c r="G29">
        <v>14</v>
      </c>
      <c r="H29">
        <v>51</v>
      </c>
      <c r="I29">
        <v>140</v>
      </c>
      <c r="J29">
        <v>321</v>
      </c>
    </row>
    <row r="30" spans="1:10" x14ac:dyDescent="0.25">
      <c r="A30" t="s">
        <v>654</v>
      </c>
      <c r="B30" t="s">
        <v>599</v>
      </c>
      <c r="C30">
        <v>10004</v>
      </c>
      <c r="D30" t="s">
        <v>660</v>
      </c>
      <c r="E30" t="s">
        <v>668</v>
      </c>
      <c r="F30" t="s">
        <v>680</v>
      </c>
      <c r="G30">
        <v>15</v>
      </c>
      <c r="H30">
        <v>27</v>
      </c>
      <c r="I30">
        <v>150</v>
      </c>
      <c r="J30">
        <v>100</v>
      </c>
    </row>
    <row r="31" spans="1:10" x14ac:dyDescent="0.25">
      <c r="A31" t="s">
        <v>656</v>
      </c>
      <c r="B31" t="s">
        <v>658</v>
      </c>
      <c r="C31">
        <v>10013</v>
      </c>
      <c r="D31" t="s">
        <v>661</v>
      </c>
      <c r="E31" t="s">
        <v>673</v>
      </c>
      <c r="F31" t="s">
        <v>680</v>
      </c>
      <c r="G31">
        <v>14</v>
      </c>
      <c r="H31">
        <v>80</v>
      </c>
      <c r="I31">
        <v>120</v>
      </c>
      <c r="J31">
        <v>132</v>
      </c>
    </row>
    <row r="32" spans="1:10" x14ac:dyDescent="0.25">
      <c r="A32" t="s">
        <v>654</v>
      </c>
      <c r="B32" t="s">
        <v>658</v>
      </c>
      <c r="C32">
        <v>10008</v>
      </c>
      <c r="D32" t="s">
        <v>661</v>
      </c>
      <c r="E32" t="s">
        <v>673</v>
      </c>
      <c r="F32" t="s">
        <v>677</v>
      </c>
      <c r="G32">
        <v>11</v>
      </c>
      <c r="H32">
        <v>14</v>
      </c>
      <c r="I32">
        <v>98</v>
      </c>
      <c r="J32">
        <v>310</v>
      </c>
    </row>
    <row r="33" spans="1:10" x14ac:dyDescent="0.25">
      <c r="A33" t="s">
        <v>655</v>
      </c>
      <c r="B33" t="s">
        <v>599</v>
      </c>
      <c r="C33">
        <v>10010</v>
      </c>
      <c r="D33" t="s">
        <v>661</v>
      </c>
      <c r="E33" t="s">
        <v>671</v>
      </c>
      <c r="F33" t="s">
        <v>677</v>
      </c>
      <c r="G33">
        <v>9</v>
      </c>
      <c r="H33">
        <v>25</v>
      </c>
      <c r="I33">
        <v>120</v>
      </c>
      <c r="J33">
        <v>165</v>
      </c>
    </row>
    <row r="34" spans="1:10" x14ac:dyDescent="0.25">
      <c r="A34" t="s">
        <v>656</v>
      </c>
      <c r="B34" t="s">
        <v>599</v>
      </c>
      <c r="C34">
        <v>10007</v>
      </c>
      <c r="D34" t="s">
        <v>661</v>
      </c>
      <c r="E34" t="s">
        <v>671</v>
      </c>
      <c r="F34" t="s">
        <v>680</v>
      </c>
      <c r="G34">
        <v>12</v>
      </c>
      <c r="H34">
        <v>13</v>
      </c>
      <c r="I34">
        <v>154</v>
      </c>
      <c r="J34">
        <v>130</v>
      </c>
    </row>
    <row r="35" spans="1:10" x14ac:dyDescent="0.25">
      <c r="A35" t="s">
        <v>653</v>
      </c>
      <c r="B35" t="s">
        <v>658</v>
      </c>
      <c r="C35">
        <v>10008</v>
      </c>
      <c r="D35" t="s">
        <v>659</v>
      </c>
      <c r="E35" t="s">
        <v>665</v>
      </c>
      <c r="F35" t="s">
        <v>680</v>
      </c>
      <c r="G35">
        <v>11</v>
      </c>
      <c r="H35">
        <v>5</v>
      </c>
      <c r="I35">
        <v>247</v>
      </c>
      <c r="J35">
        <v>132</v>
      </c>
    </row>
    <row r="36" spans="1:10" x14ac:dyDescent="0.25">
      <c r="A36" t="s">
        <v>653</v>
      </c>
      <c r="B36" t="s">
        <v>657</v>
      </c>
      <c r="C36">
        <v>10005</v>
      </c>
      <c r="D36" t="s">
        <v>660</v>
      </c>
      <c r="E36" t="s">
        <v>667</v>
      </c>
      <c r="F36" t="s">
        <v>677</v>
      </c>
      <c r="G36">
        <v>15</v>
      </c>
      <c r="H36">
        <v>11</v>
      </c>
      <c r="I36">
        <v>214</v>
      </c>
      <c r="J36">
        <v>513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3582-796C-4EEF-8513-F5C05ACE9092}">
  <dimension ref="A2:J24"/>
  <sheetViews>
    <sheetView tabSelected="1" zoomScale="70" zoomScaleNormal="70" workbookViewId="0">
      <selection activeCell="G37" sqref="G37"/>
    </sheetView>
  </sheetViews>
  <sheetFormatPr baseColWidth="10" defaultRowHeight="15" x14ac:dyDescent="0.25"/>
  <cols>
    <col min="1" max="1" width="27.28515625" bestFit="1" customWidth="1"/>
    <col min="2" max="2" width="26" bestFit="1" customWidth="1"/>
    <col min="3" max="3" width="27.85546875" bestFit="1" customWidth="1"/>
  </cols>
  <sheetData>
    <row r="2" spans="1:3" x14ac:dyDescent="0.25">
      <c r="A2" s="274" t="s">
        <v>647</v>
      </c>
      <c r="B2" t="s">
        <v>684</v>
      </c>
    </row>
    <row r="4" spans="1:3" x14ac:dyDescent="0.25">
      <c r="A4" s="274" t="s">
        <v>683</v>
      </c>
      <c r="B4" t="s">
        <v>682</v>
      </c>
      <c r="C4" t="s">
        <v>681</v>
      </c>
    </row>
    <row r="5" spans="1:3" x14ac:dyDescent="0.25">
      <c r="A5" s="275" t="s">
        <v>599</v>
      </c>
    </row>
    <row r="6" spans="1:3" x14ac:dyDescent="0.25">
      <c r="A6" s="276" t="s">
        <v>659</v>
      </c>
      <c r="B6">
        <v>3440</v>
      </c>
      <c r="C6">
        <v>300</v>
      </c>
    </row>
    <row r="7" spans="1:3" x14ac:dyDescent="0.25">
      <c r="A7" s="276" t="s">
        <v>661</v>
      </c>
      <c r="B7">
        <v>606</v>
      </c>
      <c r="C7">
        <v>791</v>
      </c>
    </row>
    <row r="8" spans="1:3" x14ac:dyDescent="0.25">
      <c r="A8" s="276" t="s">
        <v>660</v>
      </c>
      <c r="B8">
        <v>500</v>
      </c>
      <c r="C8">
        <v>696</v>
      </c>
    </row>
    <row r="9" spans="1:3" x14ac:dyDescent="0.25">
      <c r="A9" s="275" t="s">
        <v>657</v>
      </c>
    </row>
    <row r="10" spans="1:3" x14ac:dyDescent="0.25">
      <c r="A10" s="276" t="s">
        <v>659</v>
      </c>
      <c r="B10">
        <v>288</v>
      </c>
      <c r="C10">
        <v>712</v>
      </c>
    </row>
    <row r="11" spans="1:3" x14ac:dyDescent="0.25">
      <c r="A11" s="276" t="s">
        <v>661</v>
      </c>
      <c r="B11">
        <v>375</v>
      </c>
      <c r="C11">
        <v>453</v>
      </c>
    </row>
    <row r="12" spans="1:3" x14ac:dyDescent="0.25">
      <c r="A12" s="276" t="s">
        <v>660</v>
      </c>
      <c r="B12">
        <v>525</v>
      </c>
      <c r="C12">
        <v>982</v>
      </c>
    </row>
    <row r="13" spans="1:3" x14ac:dyDescent="0.25">
      <c r="A13" s="275" t="s">
        <v>658</v>
      </c>
    </row>
    <row r="14" spans="1:3" x14ac:dyDescent="0.25">
      <c r="A14" s="276" t="s">
        <v>659</v>
      </c>
      <c r="B14">
        <v>682</v>
      </c>
      <c r="C14">
        <v>753</v>
      </c>
    </row>
    <row r="15" spans="1:3" x14ac:dyDescent="0.25">
      <c r="A15" s="276" t="s">
        <v>661</v>
      </c>
      <c r="B15">
        <v>518</v>
      </c>
      <c r="C15">
        <v>678</v>
      </c>
    </row>
    <row r="16" spans="1:3" x14ac:dyDescent="0.25">
      <c r="A16" s="276" t="s">
        <v>660</v>
      </c>
      <c r="B16">
        <v>975</v>
      </c>
      <c r="C16">
        <v>1811</v>
      </c>
    </row>
    <row r="17" spans="1:10" x14ac:dyDescent="0.25">
      <c r="A17" s="275" t="s">
        <v>642</v>
      </c>
      <c r="B17">
        <v>7909</v>
      </c>
      <c r="C17">
        <v>7176</v>
      </c>
      <c r="F17">
        <v>7</v>
      </c>
      <c r="G17">
        <v>7</v>
      </c>
      <c r="H17">
        <v>7</v>
      </c>
      <c r="I17">
        <v>7</v>
      </c>
      <c r="J17">
        <v>7</v>
      </c>
    </row>
    <row r="18" spans="1:10" x14ac:dyDescent="0.25">
      <c r="F18">
        <v>7</v>
      </c>
      <c r="G18">
        <v>7</v>
      </c>
      <c r="H18">
        <v>7</v>
      </c>
      <c r="I18">
        <v>7</v>
      </c>
      <c r="J18">
        <v>7</v>
      </c>
    </row>
    <row r="19" spans="1:10" x14ac:dyDescent="0.25">
      <c r="F19">
        <v>7</v>
      </c>
      <c r="G19">
        <v>7</v>
      </c>
      <c r="H19">
        <v>7</v>
      </c>
      <c r="I19">
        <v>7</v>
      </c>
      <c r="J19">
        <v>7</v>
      </c>
    </row>
    <row r="20" spans="1:10" x14ac:dyDescent="0.25">
      <c r="F20">
        <v>7</v>
      </c>
      <c r="G20">
        <v>7</v>
      </c>
      <c r="H20">
        <v>7</v>
      </c>
      <c r="I20">
        <v>7</v>
      </c>
      <c r="J20">
        <v>7</v>
      </c>
    </row>
    <row r="21" spans="1:10" x14ac:dyDescent="0.25">
      <c r="F21">
        <v>7</v>
      </c>
      <c r="G21">
        <v>7</v>
      </c>
      <c r="H21">
        <v>7</v>
      </c>
      <c r="I21">
        <v>7</v>
      </c>
      <c r="J21">
        <v>7</v>
      </c>
    </row>
    <row r="22" spans="1:10" x14ac:dyDescent="0.25">
      <c r="F22">
        <v>7</v>
      </c>
      <c r="G22">
        <v>7</v>
      </c>
      <c r="H22">
        <v>7</v>
      </c>
      <c r="I22">
        <v>7</v>
      </c>
      <c r="J22">
        <v>7</v>
      </c>
    </row>
    <row r="23" spans="1:10" x14ac:dyDescent="0.25">
      <c r="F23">
        <v>7</v>
      </c>
      <c r="G23">
        <v>7</v>
      </c>
      <c r="H23">
        <v>7</v>
      </c>
      <c r="I23">
        <v>7</v>
      </c>
      <c r="J23">
        <v>7</v>
      </c>
    </row>
    <row r="24" spans="1:10" x14ac:dyDescent="0.25">
      <c r="F24">
        <v>7</v>
      </c>
      <c r="G24">
        <v>7</v>
      </c>
      <c r="H24">
        <v>7</v>
      </c>
      <c r="I24">
        <v>7</v>
      </c>
      <c r="J24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7EEF-0FC8-428B-AE35-1271D9114AEC}">
  <dimension ref="A1:J11"/>
  <sheetViews>
    <sheetView workbookViewId="0">
      <selection activeCell="F20" sqref="F20"/>
    </sheetView>
  </sheetViews>
  <sheetFormatPr baseColWidth="10" defaultRowHeight="15" x14ac:dyDescent="0.25"/>
  <cols>
    <col min="2" max="2" width="15.140625" customWidth="1"/>
    <col min="3" max="3" width="13.140625" customWidth="1"/>
    <col min="4" max="4" width="20.7109375" customWidth="1"/>
    <col min="7" max="7" width="15.7109375" customWidth="1"/>
    <col min="8" max="8" width="17.85546875" customWidth="1"/>
    <col min="9" max="9" width="12.28515625" customWidth="1"/>
    <col min="10" max="10" width="13.5703125" customWidth="1"/>
  </cols>
  <sheetData>
    <row r="1" spans="1:10" x14ac:dyDescent="0.25">
      <c r="A1" t="s">
        <v>643</v>
      </c>
      <c r="B1" t="s">
        <v>644</v>
      </c>
      <c r="C1" t="s">
        <v>645</v>
      </c>
      <c r="D1" t="s">
        <v>646</v>
      </c>
      <c r="E1" t="s">
        <v>326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</row>
    <row r="2" spans="1:10" x14ac:dyDescent="0.25">
      <c r="A2" t="s">
        <v>652</v>
      </c>
      <c r="B2" t="s">
        <v>599</v>
      </c>
      <c r="C2">
        <v>10013</v>
      </c>
      <c r="D2" t="s">
        <v>659</v>
      </c>
      <c r="E2" t="s">
        <v>672</v>
      </c>
      <c r="F2" t="s">
        <v>680</v>
      </c>
      <c r="G2">
        <v>11</v>
      </c>
      <c r="H2">
        <v>21</v>
      </c>
      <c r="I2">
        <v>3320</v>
      </c>
      <c r="J2">
        <v>168</v>
      </c>
    </row>
    <row r="3" spans="1:10" x14ac:dyDescent="0.25">
      <c r="A3" t="s">
        <v>654</v>
      </c>
      <c r="B3" t="s">
        <v>599</v>
      </c>
      <c r="C3">
        <v>10007</v>
      </c>
      <c r="D3" t="s">
        <v>659</v>
      </c>
      <c r="E3" t="s">
        <v>672</v>
      </c>
      <c r="F3" t="s">
        <v>680</v>
      </c>
      <c r="G3">
        <v>14</v>
      </c>
      <c r="H3">
        <v>12</v>
      </c>
      <c r="I3">
        <v>120</v>
      </c>
      <c r="J3">
        <v>132</v>
      </c>
    </row>
    <row r="4" spans="1:10" x14ac:dyDescent="0.25">
      <c r="A4" t="s">
        <v>656</v>
      </c>
      <c r="B4" t="s">
        <v>599</v>
      </c>
      <c r="C4">
        <v>10007</v>
      </c>
      <c r="D4" t="s">
        <v>661</v>
      </c>
      <c r="E4" t="s">
        <v>671</v>
      </c>
      <c r="F4" t="s">
        <v>680</v>
      </c>
      <c r="G4">
        <v>12</v>
      </c>
      <c r="H4">
        <v>13</v>
      </c>
      <c r="I4">
        <v>154</v>
      </c>
      <c r="J4">
        <v>130</v>
      </c>
    </row>
    <row r="5" spans="1:10" x14ac:dyDescent="0.25">
      <c r="A5" t="s">
        <v>655</v>
      </c>
      <c r="B5" t="s">
        <v>599</v>
      </c>
      <c r="C5">
        <v>10010</v>
      </c>
      <c r="D5" t="s">
        <v>661</v>
      </c>
      <c r="E5" t="s">
        <v>671</v>
      </c>
      <c r="F5" t="s">
        <v>677</v>
      </c>
      <c r="G5">
        <v>9</v>
      </c>
      <c r="H5">
        <v>25</v>
      </c>
      <c r="I5">
        <v>120</v>
      </c>
      <c r="J5">
        <v>165</v>
      </c>
    </row>
    <row r="6" spans="1:10" x14ac:dyDescent="0.25">
      <c r="A6" t="s">
        <v>654</v>
      </c>
      <c r="B6" t="s">
        <v>599</v>
      </c>
      <c r="C6">
        <v>10003</v>
      </c>
      <c r="D6" t="s">
        <v>661</v>
      </c>
      <c r="E6" t="s">
        <v>671</v>
      </c>
      <c r="F6" t="s">
        <v>680</v>
      </c>
      <c r="G6">
        <v>14</v>
      </c>
      <c r="H6">
        <v>51</v>
      </c>
      <c r="I6">
        <v>140</v>
      </c>
      <c r="J6">
        <v>321</v>
      </c>
    </row>
    <row r="7" spans="1:10" x14ac:dyDescent="0.25">
      <c r="A7" t="s">
        <v>652</v>
      </c>
      <c r="B7" t="s">
        <v>599</v>
      </c>
      <c r="C7">
        <v>10006</v>
      </c>
      <c r="D7" t="s">
        <v>661</v>
      </c>
      <c r="E7" t="s">
        <v>671</v>
      </c>
      <c r="F7" t="s">
        <v>680</v>
      </c>
      <c r="G7">
        <v>12</v>
      </c>
      <c r="H7">
        <v>11</v>
      </c>
      <c r="I7">
        <v>192</v>
      </c>
      <c r="J7">
        <v>175</v>
      </c>
    </row>
    <row r="8" spans="1:10" x14ac:dyDescent="0.25">
      <c r="A8" t="s">
        <v>654</v>
      </c>
      <c r="B8" t="s">
        <v>599</v>
      </c>
      <c r="C8">
        <v>10004</v>
      </c>
      <c r="D8" t="s">
        <v>660</v>
      </c>
      <c r="E8" t="s">
        <v>668</v>
      </c>
      <c r="F8" t="s">
        <v>680</v>
      </c>
      <c r="G8">
        <v>15</v>
      </c>
      <c r="H8">
        <v>27</v>
      </c>
      <c r="I8">
        <v>150</v>
      </c>
      <c r="J8">
        <v>100</v>
      </c>
    </row>
    <row r="9" spans="1:10" x14ac:dyDescent="0.25">
      <c r="A9" t="s">
        <v>652</v>
      </c>
      <c r="B9" t="s">
        <v>599</v>
      </c>
      <c r="C9">
        <v>10010</v>
      </c>
      <c r="D9" t="s">
        <v>660</v>
      </c>
      <c r="E9" t="s">
        <v>668</v>
      </c>
      <c r="F9" t="s">
        <v>680</v>
      </c>
      <c r="G9">
        <v>12</v>
      </c>
      <c r="H9">
        <v>10</v>
      </c>
      <c r="I9">
        <v>100</v>
      </c>
      <c r="J9">
        <v>162</v>
      </c>
    </row>
    <row r="10" spans="1:10" x14ac:dyDescent="0.25">
      <c r="A10" t="s">
        <v>655</v>
      </c>
      <c r="B10" t="s">
        <v>599</v>
      </c>
      <c r="C10">
        <v>10007</v>
      </c>
      <c r="D10" t="s">
        <v>660</v>
      </c>
      <c r="E10" t="s">
        <v>668</v>
      </c>
      <c r="F10" t="s">
        <v>680</v>
      </c>
      <c r="G10">
        <v>15</v>
      </c>
      <c r="H10">
        <v>50</v>
      </c>
      <c r="I10">
        <v>150</v>
      </c>
      <c r="J10">
        <v>180</v>
      </c>
    </row>
    <row r="11" spans="1:10" x14ac:dyDescent="0.25">
      <c r="A11" t="s">
        <v>653</v>
      </c>
      <c r="B11" t="s">
        <v>599</v>
      </c>
      <c r="C11">
        <v>10008</v>
      </c>
      <c r="D11" t="s">
        <v>660</v>
      </c>
      <c r="E11" t="s">
        <v>668</v>
      </c>
      <c r="F11" t="s">
        <v>680</v>
      </c>
      <c r="G11">
        <v>8</v>
      </c>
      <c r="H11">
        <v>13</v>
      </c>
      <c r="I11">
        <v>100</v>
      </c>
      <c r="J11">
        <v>254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EDFB-EA74-40F2-B49E-918B47F1A173}">
  <dimension ref="A3:C27"/>
  <sheetViews>
    <sheetView topLeftCell="C1" zoomScale="65" workbookViewId="0">
      <selection activeCell="B12" sqref="B12"/>
    </sheetView>
  </sheetViews>
  <sheetFormatPr baseColWidth="10" defaultRowHeight="15" x14ac:dyDescent="0.25"/>
  <cols>
    <col min="1" max="1" width="29.42578125" bestFit="1" customWidth="1"/>
    <col min="2" max="2" width="20.85546875" bestFit="1" customWidth="1"/>
    <col min="3" max="3" width="32.7109375" bestFit="1" customWidth="1"/>
  </cols>
  <sheetData>
    <row r="3" spans="1:3" x14ac:dyDescent="0.25">
      <c r="A3" s="274" t="s">
        <v>683</v>
      </c>
      <c r="B3" t="s">
        <v>685</v>
      </c>
      <c r="C3" t="s">
        <v>686</v>
      </c>
    </row>
    <row r="4" spans="1:3" x14ac:dyDescent="0.25">
      <c r="A4" s="275">
        <v>75</v>
      </c>
      <c r="B4">
        <v>1</v>
      </c>
      <c r="C4">
        <v>5</v>
      </c>
    </row>
    <row r="5" spans="1:3" x14ac:dyDescent="0.25">
      <c r="A5" s="275">
        <v>90</v>
      </c>
      <c r="B5">
        <v>1</v>
      </c>
      <c r="C5">
        <v>6</v>
      </c>
    </row>
    <row r="6" spans="1:3" x14ac:dyDescent="0.25">
      <c r="A6" s="275">
        <v>96</v>
      </c>
      <c r="B6">
        <v>2</v>
      </c>
      <c r="C6">
        <v>12</v>
      </c>
    </row>
    <row r="7" spans="1:3" x14ac:dyDescent="0.25">
      <c r="A7" s="275">
        <v>98</v>
      </c>
      <c r="B7">
        <v>1</v>
      </c>
      <c r="C7">
        <v>11</v>
      </c>
    </row>
    <row r="8" spans="1:3" x14ac:dyDescent="0.25">
      <c r="A8" s="275">
        <v>100</v>
      </c>
      <c r="B8">
        <v>4</v>
      </c>
      <c r="C8">
        <v>40</v>
      </c>
    </row>
    <row r="9" spans="1:3" x14ac:dyDescent="0.25">
      <c r="A9" s="275">
        <v>105</v>
      </c>
      <c r="B9">
        <v>2</v>
      </c>
      <c r="C9">
        <v>14</v>
      </c>
    </row>
    <row r="10" spans="1:3" x14ac:dyDescent="0.25">
      <c r="A10" s="275">
        <v>119</v>
      </c>
      <c r="B10">
        <v>1</v>
      </c>
      <c r="C10">
        <v>7</v>
      </c>
    </row>
    <row r="11" spans="1:3" x14ac:dyDescent="0.25">
      <c r="A11" s="275">
        <v>120</v>
      </c>
      <c r="B11">
        <v>3</v>
      </c>
      <c r="C11">
        <v>37</v>
      </c>
    </row>
    <row r="12" spans="1:3" x14ac:dyDescent="0.25">
      <c r="A12" s="275">
        <v>122</v>
      </c>
      <c r="B12">
        <v>1</v>
      </c>
      <c r="C12">
        <v>11</v>
      </c>
    </row>
    <row r="13" spans="1:3" x14ac:dyDescent="0.25">
      <c r="A13" s="275">
        <v>125</v>
      </c>
      <c r="B13">
        <v>1</v>
      </c>
      <c r="C13">
        <v>9</v>
      </c>
    </row>
    <row r="14" spans="1:3" x14ac:dyDescent="0.25">
      <c r="A14" s="275">
        <v>130</v>
      </c>
      <c r="B14">
        <v>2</v>
      </c>
      <c r="C14">
        <v>25</v>
      </c>
    </row>
    <row r="15" spans="1:3" x14ac:dyDescent="0.25">
      <c r="A15" s="275">
        <v>138</v>
      </c>
      <c r="B15">
        <v>1</v>
      </c>
      <c r="C15">
        <v>10</v>
      </c>
    </row>
    <row r="16" spans="1:3" x14ac:dyDescent="0.25">
      <c r="A16" s="275">
        <v>140</v>
      </c>
      <c r="B16">
        <v>2</v>
      </c>
      <c r="C16">
        <v>28</v>
      </c>
    </row>
    <row r="17" spans="1:3" x14ac:dyDescent="0.25">
      <c r="A17" s="275">
        <v>144</v>
      </c>
      <c r="B17">
        <v>2</v>
      </c>
      <c r="C17">
        <v>112</v>
      </c>
    </row>
    <row r="18" spans="1:3" x14ac:dyDescent="0.25">
      <c r="A18" s="275">
        <v>150</v>
      </c>
      <c r="B18">
        <v>2</v>
      </c>
      <c r="C18">
        <v>30</v>
      </c>
    </row>
    <row r="19" spans="1:3" x14ac:dyDescent="0.25">
      <c r="A19" s="275">
        <v>154</v>
      </c>
      <c r="B19">
        <v>1</v>
      </c>
      <c r="C19">
        <v>12</v>
      </c>
    </row>
    <row r="20" spans="1:3" x14ac:dyDescent="0.25">
      <c r="A20" s="275">
        <v>165</v>
      </c>
      <c r="B20">
        <v>1</v>
      </c>
      <c r="C20">
        <v>11</v>
      </c>
    </row>
    <row r="21" spans="1:3" x14ac:dyDescent="0.25">
      <c r="A21" s="275">
        <v>168</v>
      </c>
      <c r="B21">
        <v>1</v>
      </c>
      <c r="C21">
        <v>14</v>
      </c>
    </row>
    <row r="22" spans="1:3" x14ac:dyDescent="0.25">
      <c r="A22" s="275">
        <v>192</v>
      </c>
      <c r="B22">
        <v>2</v>
      </c>
      <c r="C22">
        <v>24</v>
      </c>
    </row>
    <row r="23" spans="1:3" x14ac:dyDescent="0.25">
      <c r="A23" s="275">
        <v>200</v>
      </c>
      <c r="B23">
        <v>1</v>
      </c>
      <c r="C23">
        <v>20</v>
      </c>
    </row>
    <row r="24" spans="1:3" x14ac:dyDescent="0.25">
      <c r="A24" s="275">
        <v>214</v>
      </c>
      <c r="B24">
        <v>1</v>
      </c>
      <c r="C24">
        <v>15</v>
      </c>
    </row>
    <row r="25" spans="1:3" x14ac:dyDescent="0.25">
      <c r="A25" s="275">
        <v>247</v>
      </c>
      <c r="B25">
        <v>1</v>
      </c>
      <c r="C25">
        <v>11</v>
      </c>
    </row>
    <row r="26" spans="1:3" x14ac:dyDescent="0.25">
      <c r="A26" s="275">
        <v>3320</v>
      </c>
      <c r="B26">
        <v>1</v>
      </c>
      <c r="C26">
        <v>11</v>
      </c>
    </row>
    <row r="27" spans="1:3" x14ac:dyDescent="0.25">
      <c r="A27" s="275" t="s">
        <v>642</v>
      </c>
      <c r="B27">
        <v>35</v>
      </c>
      <c r="C2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1970-1E96-4B4C-8781-99118BCE7958}">
  <dimension ref="A3:D9"/>
  <sheetViews>
    <sheetView topLeftCell="B1" workbookViewId="0">
      <selection activeCell="D13" sqref="D13"/>
    </sheetView>
  </sheetViews>
  <sheetFormatPr baseColWidth="10" defaultRowHeight="15" x14ac:dyDescent="0.25"/>
  <cols>
    <col min="1" max="1" width="25.7109375" bestFit="1" customWidth="1"/>
    <col min="2" max="2" width="15.7109375" bestFit="1" customWidth="1"/>
    <col min="3" max="3" width="20.140625" bestFit="1" customWidth="1"/>
    <col min="4" max="4" width="15.42578125" bestFit="1" customWidth="1"/>
  </cols>
  <sheetData>
    <row r="3" spans="1:4" x14ac:dyDescent="0.25">
      <c r="A3" s="274" t="s">
        <v>683</v>
      </c>
      <c r="B3" t="s">
        <v>685</v>
      </c>
      <c r="C3" t="s">
        <v>682</v>
      </c>
      <c r="D3" t="s">
        <v>687</v>
      </c>
    </row>
    <row r="4" spans="1:4" x14ac:dyDescent="0.25">
      <c r="A4" s="275" t="s">
        <v>652</v>
      </c>
      <c r="B4">
        <v>13</v>
      </c>
      <c r="C4">
        <v>4910</v>
      </c>
      <c r="D4" s="277">
        <v>0.62081173346820073</v>
      </c>
    </row>
    <row r="5" spans="1:4" x14ac:dyDescent="0.25">
      <c r="A5" s="275" t="s">
        <v>654</v>
      </c>
      <c r="B5">
        <v>9</v>
      </c>
      <c r="C5">
        <v>1155</v>
      </c>
      <c r="D5" s="277">
        <v>0.14603616133518776</v>
      </c>
    </row>
    <row r="6" spans="1:4" x14ac:dyDescent="0.25">
      <c r="A6" s="275" t="s">
        <v>653</v>
      </c>
      <c r="B6">
        <v>5</v>
      </c>
      <c r="C6">
        <v>780</v>
      </c>
      <c r="D6" s="277">
        <v>9.8621823239347581E-2</v>
      </c>
    </row>
    <row r="7" spans="1:4" x14ac:dyDescent="0.25">
      <c r="A7" s="275" t="s">
        <v>655</v>
      </c>
      <c r="B7">
        <v>5</v>
      </c>
      <c r="C7">
        <v>660</v>
      </c>
      <c r="D7" s="277">
        <v>8.3449235048678724E-2</v>
      </c>
    </row>
    <row r="8" spans="1:4" x14ac:dyDescent="0.25">
      <c r="A8" s="275" t="s">
        <v>656</v>
      </c>
      <c r="B8">
        <v>3</v>
      </c>
      <c r="C8">
        <v>404</v>
      </c>
      <c r="D8" s="277">
        <v>5.1081046908585157E-2</v>
      </c>
    </row>
    <row r="9" spans="1:4" x14ac:dyDescent="0.25">
      <c r="A9" s="275" t="s">
        <v>642</v>
      </c>
      <c r="B9">
        <v>35</v>
      </c>
      <c r="C9">
        <v>7909</v>
      </c>
      <c r="D9" s="27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7817-00A0-4E5D-96FA-34A6A8FDC9D6}">
  <dimension ref="A3:D16"/>
  <sheetViews>
    <sheetView zoomScaleNormal="100" workbookViewId="0">
      <selection activeCell="B20" sqref="B20"/>
    </sheetView>
  </sheetViews>
  <sheetFormatPr baseColWidth="10" defaultRowHeight="15" x14ac:dyDescent="0.25"/>
  <cols>
    <col min="1" max="1" width="21" bestFit="1" customWidth="1"/>
    <col min="2" max="2" width="20.140625" bestFit="1" customWidth="1"/>
    <col min="3" max="3" width="21.5703125" bestFit="1" customWidth="1"/>
    <col min="4" max="4" width="19.42578125" bestFit="1" customWidth="1"/>
    <col min="5" max="5" width="12.5703125" bestFit="1" customWidth="1"/>
    <col min="6" max="6" width="21.5703125" bestFit="1" customWidth="1"/>
    <col min="7" max="7" width="25.85546875" bestFit="1" customWidth="1"/>
    <col min="8" max="8" width="26.5703125" bestFit="1" customWidth="1"/>
    <col min="9" max="9" width="30.85546875" bestFit="1" customWidth="1"/>
  </cols>
  <sheetData>
    <row r="3" spans="1:4" x14ac:dyDescent="0.25">
      <c r="A3" s="274" t="s">
        <v>683</v>
      </c>
      <c r="B3" t="s">
        <v>682</v>
      </c>
      <c r="C3" t="s">
        <v>681</v>
      </c>
      <c r="D3" s="277" t="s">
        <v>688</v>
      </c>
    </row>
    <row r="4" spans="1:4" x14ac:dyDescent="0.25">
      <c r="A4" s="275" t="s">
        <v>599</v>
      </c>
      <c r="B4">
        <v>4546</v>
      </c>
      <c r="C4">
        <v>1787</v>
      </c>
      <c r="D4" s="277">
        <v>1.5439283715724679</v>
      </c>
    </row>
    <row r="5" spans="1:4" x14ac:dyDescent="0.25">
      <c r="A5" s="276" t="s">
        <v>659</v>
      </c>
      <c r="B5">
        <v>3440</v>
      </c>
      <c r="C5">
        <v>300</v>
      </c>
      <c r="D5" s="277">
        <v>10.466666666666667</v>
      </c>
    </row>
    <row r="6" spans="1:4" x14ac:dyDescent="0.25">
      <c r="A6" s="276" t="s">
        <v>661</v>
      </c>
      <c r="B6">
        <v>606</v>
      </c>
      <c r="C6">
        <v>791</v>
      </c>
      <c r="D6" s="277">
        <v>-0.23388116308470291</v>
      </c>
    </row>
    <row r="7" spans="1:4" x14ac:dyDescent="0.25">
      <c r="A7" s="276" t="s">
        <v>660</v>
      </c>
      <c r="B7">
        <v>500</v>
      </c>
      <c r="C7">
        <v>696</v>
      </c>
      <c r="D7" s="277">
        <v>-0.28160919540229884</v>
      </c>
    </row>
    <row r="8" spans="1:4" x14ac:dyDescent="0.25">
      <c r="A8" s="275" t="s">
        <v>657</v>
      </c>
      <c r="B8">
        <v>1188</v>
      </c>
      <c r="C8">
        <v>2147</v>
      </c>
      <c r="D8" s="277">
        <v>-0.44666977177456918</v>
      </c>
    </row>
    <row r="9" spans="1:4" x14ac:dyDescent="0.25">
      <c r="A9" s="276" t="s">
        <v>659</v>
      </c>
      <c r="B9">
        <v>288</v>
      </c>
      <c r="C9">
        <v>712</v>
      </c>
      <c r="D9" s="277">
        <v>-0.5955056179775281</v>
      </c>
    </row>
    <row r="10" spans="1:4" x14ac:dyDescent="0.25">
      <c r="A10" s="276" t="s">
        <v>661</v>
      </c>
      <c r="B10">
        <v>375</v>
      </c>
      <c r="C10">
        <v>453</v>
      </c>
      <c r="D10" s="277">
        <v>-0.17218543046357615</v>
      </c>
    </row>
    <row r="11" spans="1:4" x14ac:dyDescent="0.25">
      <c r="A11" s="276" t="s">
        <v>660</v>
      </c>
      <c r="B11">
        <v>525</v>
      </c>
      <c r="C11">
        <v>982</v>
      </c>
      <c r="D11" s="277">
        <v>-0.46537678207739308</v>
      </c>
    </row>
    <row r="12" spans="1:4" x14ac:dyDescent="0.25">
      <c r="A12" s="275" t="s">
        <v>658</v>
      </c>
      <c r="B12">
        <v>2175</v>
      </c>
      <c r="C12">
        <v>3242</v>
      </c>
      <c r="D12" s="277">
        <v>-0.32911782850092536</v>
      </c>
    </row>
    <row r="13" spans="1:4" x14ac:dyDescent="0.25">
      <c r="A13" s="276" t="s">
        <v>659</v>
      </c>
      <c r="B13">
        <v>682</v>
      </c>
      <c r="C13">
        <v>753</v>
      </c>
      <c r="D13" s="277">
        <v>-9.4289508632138114E-2</v>
      </c>
    </row>
    <row r="14" spans="1:4" x14ac:dyDescent="0.25">
      <c r="A14" s="276" t="s">
        <v>661</v>
      </c>
      <c r="B14">
        <v>518</v>
      </c>
      <c r="C14">
        <v>678</v>
      </c>
      <c r="D14" s="277">
        <v>-0.2359882005899705</v>
      </c>
    </row>
    <row r="15" spans="1:4" x14ac:dyDescent="0.25">
      <c r="A15" s="276" t="s">
        <v>660</v>
      </c>
      <c r="B15">
        <v>975</v>
      </c>
      <c r="C15">
        <v>1811</v>
      </c>
      <c r="D15" s="277">
        <v>-0.46162341247929323</v>
      </c>
    </row>
    <row r="16" spans="1:4" x14ac:dyDescent="0.25">
      <c r="A16" s="275" t="s">
        <v>642</v>
      </c>
      <c r="B16">
        <v>7909</v>
      </c>
      <c r="C16">
        <v>7176</v>
      </c>
      <c r="D16" s="277">
        <v>0.10214604236343366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19</vt:i4>
      </vt:variant>
      <vt:variant>
        <vt:lpstr>Plages nommées</vt:lpstr>
      </vt:variant>
      <vt:variant>
        <vt:i4>16</vt:i4>
      </vt:variant>
    </vt:vector>
  </HeadingPairs>
  <TitlesOfParts>
    <vt:vector size="35" baseType="lpstr">
      <vt:lpstr>Feuil1</vt:lpstr>
      <vt:lpstr>Feuil2</vt:lpstr>
      <vt:lpstr>Feuil3</vt:lpstr>
      <vt:lpstr>Feuil4</vt:lpstr>
      <vt:lpstr>Mise en forme 1</vt:lpstr>
      <vt:lpstr>Mise en forme 2</vt:lpstr>
      <vt:lpstr>liaison</vt:lpstr>
      <vt:lpstr>gaphiques</vt:lpstr>
      <vt:lpstr>graphique</vt:lpstr>
      <vt:lpstr>Gestion de base de donnees</vt:lpstr>
      <vt:lpstr>Figer les data</vt:lpstr>
      <vt:lpstr>Filtrer les data</vt:lpstr>
      <vt:lpstr>soux-totaux</vt:lpstr>
      <vt:lpstr>Tableau croise dynamique</vt:lpstr>
      <vt:lpstr>TCD1</vt:lpstr>
      <vt:lpstr>TCD2</vt:lpstr>
      <vt:lpstr>TCD3</vt:lpstr>
      <vt:lpstr>TCD4</vt:lpstr>
      <vt:lpstr>TCD5</vt:lpstr>
      <vt:lpstr>colA</vt:lpstr>
      <vt:lpstr>Mois</vt:lpstr>
      <vt:lpstr>Obj_Delettre</vt:lpstr>
      <vt:lpstr>Obj_Diéval</vt:lpstr>
      <vt:lpstr>Obj_Montagne</vt:lpstr>
      <vt:lpstr>PU_HT</vt:lpstr>
      <vt:lpstr>PU_net_HT</vt:lpstr>
      <vt:lpstr>PU_TTC</vt:lpstr>
      <vt:lpstr>Remise</vt:lpstr>
      <vt:lpstr>TAB_ARTICLE</vt:lpstr>
      <vt:lpstr>TAB_ARTICLES</vt:lpstr>
      <vt:lpstr>TAB_CLIENT</vt:lpstr>
      <vt:lpstr>Taux_A</vt:lpstr>
      <vt:lpstr>Taux_NA</vt:lpstr>
      <vt:lpstr>TauxTVA</vt:lpstr>
      <vt:lpstr>TVA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Gnago</dc:creator>
  <cp:lastModifiedBy>Yannick Gnago</cp:lastModifiedBy>
  <dcterms:created xsi:type="dcterms:W3CDTF">2023-05-27T06:53:36Z</dcterms:created>
  <dcterms:modified xsi:type="dcterms:W3CDTF">2023-07-15T07:16:26Z</dcterms:modified>
</cp:coreProperties>
</file>