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chr</t>
        </is>
      </c>
      <c r="B1" s="1" t="inlineStr">
        <is>
          <t>pos</t>
        </is>
      </c>
      <c r="C1" s="1" t="inlineStr">
        <is>
          <t>ref</t>
        </is>
      </c>
      <c r="D1" s="1" t="inlineStr">
        <is>
          <t>alt</t>
        </is>
      </c>
      <c r="E1" s="1" t="inlineStr">
        <is>
          <t>id</t>
        </is>
      </c>
      <c r="F1" s="1" t="inlineStr">
        <is>
          <t>clinvar link</t>
        </is>
      </c>
      <c r="G1" s="1" t="inlineStr">
        <is>
          <t>rev. status</t>
        </is>
      </c>
      <c r="H1" s="1" t="inlineStr">
        <is>
          <t>clinical condition</t>
        </is>
      </c>
      <c r="I1" s="1" t="inlineStr">
        <is>
          <t>Interpretation</t>
        </is>
      </c>
      <c r="J1" s="1" t="inlineStr">
        <is>
          <t>gene</t>
        </is>
      </c>
      <c r="K1" s="1" t="inlineStr">
        <is>
          <t>effect</t>
        </is>
      </c>
      <c r="L1" s="1" t="inlineStr">
        <is>
          <t>hgvsp</t>
        </is>
      </c>
      <c r="M1" s="1" t="inlineStr">
        <is>
          <t>hgvsc</t>
        </is>
      </c>
      <c r="N1" s="1" t="inlineStr">
        <is>
          <t>AF exome</t>
        </is>
      </c>
      <c r="O1" s="1" t="inlineStr">
        <is>
          <t>het. Individuals exome</t>
        </is>
      </c>
      <c r="P1" s="1" t="inlineStr">
        <is>
          <t>hom. Individuals exome</t>
        </is>
      </c>
      <c r="Q1" s="1" t="inlineStr">
        <is>
          <t>AF genome</t>
        </is>
      </c>
      <c r="R1" s="1" t="inlineStr">
        <is>
          <t>het. Individuals genome</t>
        </is>
      </c>
      <c r="S1" s="1" t="inlineStr">
        <is>
          <t>hom. Individuals genome</t>
        </is>
      </c>
    </row>
    <row r="2">
      <c r="A2" t="inlineStr">
        <is>
          <t>10</t>
        </is>
      </c>
      <c r="B2" t="n">
        <v>89712021</v>
      </c>
      <c r="C2" t="inlineStr">
        <is>
          <t>G</t>
        </is>
      </c>
      <c r="D2" t="inlineStr">
        <is>
          <t>C</t>
        </is>
      </c>
      <c r="E2" t="inlineStr">
        <is>
          <t>427623</t>
        </is>
      </c>
      <c r="F2">
        <f>HYPERLINK("https://www.ncbi.nlm.nih.gov/clinvar/variation/427623/","ClinVarDB")</f>
        <v/>
      </c>
      <c r="G2" t="inlineStr">
        <is>
          <t>reviewed_by_expert_panel</t>
        </is>
      </c>
      <c r="H2" t="inlineStr">
        <is>
          <t>Cowden_syndrome_1|PTEN_hamartoma_tumor_syndrome|not_specified</t>
        </is>
      </c>
      <c r="I2" t="inlineStr">
        <is>
          <t>Likely_pathogenic</t>
        </is>
      </c>
      <c r="J2" t="inlineStr">
        <is>
          <t>PTEN</t>
        </is>
      </c>
      <c r="K2" t="inlineStr">
        <is>
          <t>splice_region_variant&amp;intron_variant|splice_region_variant&amp;intron_variant&amp;non_coding_transcript_variant</t>
        </is>
      </c>
      <c r="L2" t="inlineStr"/>
      <c r="M2" t="inlineStr">
        <is>
          <t>ENST00000371953.3:c.634+5G&gt;C|ENST00000472832.1:n.61+5G&gt;C|NM_001304717.5:c.1153+5G&gt;C|NM_000314.8:c.634+5G&gt;C|NM_001304718.2:c.44+5G&gt;C</t>
        </is>
      </c>
      <c r="N2" t="inlineStr"/>
      <c r="O2" t="inlineStr"/>
      <c r="P2" t="inlineStr"/>
      <c r="Q2" t="inlineStr"/>
      <c r="R2" t="inlineStr"/>
      <c r="S2" t="inlineStr"/>
    </row>
    <row r="3">
      <c r="A3" t="inlineStr">
        <is>
          <t>10</t>
        </is>
      </c>
      <c r="B3" t="n">
        <v>89717607</v>
      </c>
      <c r="C3" t="inlineStr">
        <is>
          <t>C</t>
        </is>
      </c>
      <c r="D3" t="inlineStr">
        <is>
          <t>G</t>
        </is>
      </c>
      <c r="E3" t="inlineStr">
        <is>
          <t>427599</t>
        </is>
      </c>
      <c r="F3">
        <f>HYPERLINK("https://www.ncbi.nlm.nih.gov/clinvar/variation/427599/","ClinVarDB")</f>
        <v/>
      </c>
      <c r="G3" t="inlineStr">
        <is>
          <t>reviewed_by_expert_panel</t>
        </is>
      </c>
      <c r="H3" t="inlineStr">
        <is>
          <t>Hereditary_cancer-predisposing_syndrome|PTEN_hamartoma_tumor_syndrome|not_provided</t>
        </is>
      </c>
      <c r="I3" t="inlineStr">
        <is>
          <t>Likely_pathogenic</t>
        </is>
      </c>
      <c r="J3" t="inlineStr">
        <is>
          <t>PTEN</t>
        </is>
      </c>
      <c r="K3" t="inlineStr">
        <is>
          <t>splice_region_variant&amp;intron_variant|splice_region_variant&amp;intron_variant&amp;non_coding_transcript_variant</t>
        </is>
      </c>
      <c r="L3" t="inlineStr"/>
      <c r="M3" t="inlineStr">
        <is>
          <t>ENST00000472832.1:n.62-3C&gt;G|NM_001304717.5:c.1154-3C&gt;G|NM_001304718.2:c.45-3C&gt;G|NM_000314.8:c.635-3C&gt;G|ENST00000371953.3:c.635-3C&gt;G</t>
        </is>
      </c>
      <c r="N3" t="inlineStr"/>
      <c r="O3" t="inlineStr"/>
      <c r="P3" t="inlineStr"/>
      <c r="Q3" t="inlineStr"/>
      <c r="R3" t="inlineStr"/>
      <c r="S3" t="inlineStr"/>
    </row>
    <row r="4">
      <c r="A4" t="inlineStr">
        <is>
          <t>2</t>
        </is>
      </c>
      <c r="B4" t="n">
        <v>48033887</v>
      </c>
      <c r="C4" t="inlineStr">
        <is>
          <t>AAACTTTTTTTTTTTTTTTTTTAA</t>
        </is>
      </c>
      <c r="D4" t="inlineStr">
        <is>
          <t>TTAAAAAAAAAAAAAAAAAAGTTT</t>
        </is>
      </c>
      <c r="E4" t="inlineStr">
        <is>
          <t>89514</t>
        </is>
      </c>
      <c r="F4">
        <f>HYPERLINK("https://www.ncbi.nlm.nih.gov/clinvar/variation/89514/","ClinVarDB")</f>
        <v/>
      </c>
      <c r="G4" t="inlineStr">
        <is>
          <t>reviewed_by_expert_panel</t>
        </is>
      </c>
      <c r="H4" t="inlineStr">
        <is>
          <t>Lynch_syndrome</t>
        </is>
      </c>
      <c r="I4" t="inlineStr">
        <is>
          <t>Pathogenic</t>
        </is>
      </c>
      <c r="J4" t="inlineStr">
        <is>
          <t>MSH6</t>
        </is>
      </c>
      <c r="K4" t="inlineStr">
        <is>
          <t>intron_variant|splice_region_variant&amp;intron_variant|splice_region_variant&amp;intron_variant&amp;NMD_transcript_variant|non_coding_transcript_exon_variant|intron_variant&amp;NMD_transcript_variant</t>
        </is>
      </c>
      <c r="L4" t="inlineStr"/>
      <c r="M4" t="inlineStr">
        <is>
          <t>|ENST00000540021.1:c.3612-31_3612-8inv|NM_000179.2:c.4002-31_4002-8inv|ENST00000234420.5:c.4002-31_4002-8inv|ENST00000405808.1:c.169+1424_169+1447inv|NM_001281492.1:c.3612-31_3612-8inv|ENST00000434234.1:c.*124+1223_*124+1246inv|ENST00000538136.1:c.3096-31_3096-8inv|NM_001281494.1:c.3096-31_3096-8inv|ENST00000445503.1:c.*3349-31_*3349-8inv|NM_001281493.1:c.3096-31_3096-8inv</t>
        </is>
      </c>
      <c r="N4" t="inlineStr"/>
      <c r="O4" t="inlineStr"/>
      <c r="P4" t="inlineStr"/>
      <c r="Q4" t="inlineStr"/>
      <c r="R4" t="inlineStr"/>
      <c r="S4" t="inlineStr"/>
    </row>
    <row r="5">
      <c r="A5" t="inlineStr">
        <is>
          <t>2</t>
        </is>
      </c>
      <c r="B5" t="n">
        <v>47708010</v>
      </c>
      <c r="C5" t="inlineStr">
        <is>
          <t>G</t>
        </is>
      </c>
      <c r="D5" t="inlineStr">
        <is>
          <t>A</t>
        </is>
      </c>
      <c r="E5" t="inlineStr">
        <is>
          <t>91021</t>
        </is>
      </c>
      <c r="F5">
        <f>HYPERLINK("https://www.ncbi.nlm.nih.gov/clinvar/variation/91021/","ClinVarDB")</f>
        <v/>
      </c>
      <c r="G5" t="inlineStr">
        <is>
          <t>reviewed_by_expert_panel</t>
        </is>
      </c>
      <c r="H5" t="inlineStr">
        <is>
          <t>Lynch_syndrome|Hereditary_cancer-predisposing_syndrome|Hereditary_nonpolyposis_colon_cancer|Hereditary_nonpolyposis_colorectal_neoplasms|not_provided</t>
        </is>
      </c>
      <c r="I5" t="inlineStr">
        <is>
          <t>Pathogenic</t>
        </is>
      </c>
      <c r="J5" t="inlineStr">
        <is>
          <t>MSH2</t>
        </is>
      </c>
      <c r="K5" t="inlineStr">
        <is>
          <t>splice_region_variant&amp;synonymous_variant|splice_region_variant&amp;non_coding_transcript_exon_variant</t>
        </is>
      </c>
      <c r="L5" t="inlineStr">
        <is>
          <t>|ENSP00000442697.1:p.Glu812=|NP_000242.1:p.Glu878=|NP_001245210.1:p.Glu812=|ENSP00000233146.2:p.Glu878=|ENSP00000384199.1:p.Glu878=</t>
        </is>
      </c>
      <c r="M5" t="inlineStr">
        <is>
          <t>ENST00000461394.1:n.75G&gt;A|NM_001258281.1:c.2436G&gt;A|NM_000251.3:c.2634G&gt;A|ENST00000543555.1:c.2436G&gt;A|ENST00000233146.2:c.2634G&gt;A|ENST00000406134.1:c.2634G&gt;A</t>
        </is>
      </c>
      <c r="N5" t="inlineStr"/>
      <c r="O5" t="inlineStr"/>
      <c r="P5" t="inlineStr"/>
      <c r="Q5" t="inlineStr"/>
      <c r="R5" t="inlineStr"/>
      <c r="S5" t="inlineStr"/>
    </row>
    <row r="6">
      <c r="A6" t="inlineStr">
        <is>
          <t>2</t>
        </is>
      </c>
      <c r="B6" t="n">
        <v>47641557</v>
      </c>
      <c r="C6" t="inlineStr">
        <is>
          <t>G</t>
        </is>
      </c>
      <c r="D6" t="inlineStr">
        <is>
          <t>A</t>
        </is>
      </c>
      <c r="E6" t="inlineStr">
        <is>
          <t>91251</t>
        </is>
      </c>
      <c r="F6">
        <f>HYPERLINK("https://www.ncbi.nlm.nih.gov/clinvar/variation/91251/","ClinVarDB")</f>
        <v/>
      </c>
      <c r="G6" t="inlineStr">
        <is>
          <t>reviewed_by_expert_panel</t>
        </is>
      </c>
      <c r="H6" t="inlineStr">
        <is>
          <t>Lynch_syndrome</t>
        </is>
      </c>
      <c r="I6" t="inlineStr">
        <is>
          <t>Pathogenic</t>
        </is>
      </c>
      <c r="J6" t="inlineStr">
        <is>
          <t>MSH2</t>
        </is>
      </c>
      <c r="K6" t="inlineStr">
        <is>
          <t>splice_region_variant&amp;synonymous_variant</t>
        </is>
      </c>
      <c r="L6" t="inlineStr">
        <is>
          <t>ENSP00000442697.1:p.Gln248=|NP_000242.1:p.Gln314=|ENSP00000233146.2:p.Gln314=|NP_001245210.1:p.Gln248=|ENSP00000384199.1:p.Gln314=</t>
        </is>
      </c>
      <c r="M6" t="inlineStr">
        <is>
          <t>NM_001258281.1:c.744G&gt;A|ENST00000543555.1:c.744G&gt;A|ENST00000233146.2:c.942G&gt;A|ENST00000406134.1:c.942G&gt;A|NM_000251.3:c.942G&gt;A</t>
        </is>
      </c>
      <c r="N6" t="inlineStr"/>
      <c r="O6" t="inlineStr"/>
      <c r="P6" t="inlineStr"/>
      <c r="Q6" t="inlineStr"/>
      <c r="R6" t="inlineStr"/>
      <c r="S6" t="inlineStr"/>
    </row>
    <row r="7">
      <c r="A7" t="inlineStr">
        <is>
          <t>2</t>
        </is>
      </c>
      <c r="B7" t="n">
        <v>47708015</v>
      </c>
      <c r="C7" t="inlineStr">
        <is>
          <t>G</t>
        </is>
      </c>
      <c r="D7" t="inlineStr">
        <is>
          <t>C</t>
        </is>
      </c>
      <c r="E7" t="inlineStr">
        <is>
          <t>91019</t>
        </is>
      </c>
      <c r="F7">
        <f>HYPERLINK("https://www.ncbi.nlm.nih.gov/clinvar/variation/91019/","ClinVarDB")</f>
        <v/>
      </c>
      <c r="G7" t="inlineStr">
        <is>
          <t>reviewed_by_expert_panel</t>
        </is>
      </c>
      <c r="H7" t="inlineStr">
        <is>
          <t>Lynch_syndrome|Hereditary_cancer-predisposing_syndrome|Hereditary_nonpolyposis_colorectal_neoplasms</t>
        </is>
      </c>
      <c r="I7" t="inlineStr">
        <is>
          <t>Pathogenic</t>
        </is>
      </c>
      <c r="J7" t="inlineStr">
        <is>
          <t>MSH2</t>
        </is>
      </c>
      <c r="K7" t="inlineStr">
        <is>
          <t>splice_region_variant&amp;intron_variant|splice_region_variant&amp;intron_variant&amp;non_coding_transcript_variant</t>
        </is>
      </c>
      <c r="L7" t="inlineStr"/>
      <c r="M7" t="inlineStr">
        <is>
          <t>NM_000251.3:c.2634+5G&gt;C|ENST00000543555.1:c.2436+5G&gt;C|ENST00000406134.1:c.2634+5G&gt;C|ENST00000461394.1:n.75+5G&gt;C|ENST00000233146.2:c.2634+5G&gt;C|NM_001258281.1:c.2436+5G&gt;C</t>
        </is>
      </c>
      <c r="N7" t="inlineStr"/>
      <c r="O7" t="inlineStr"/>
      <c r="P7" t="inlineStr"/>
      <c r="Q7" t="inlineStr"/>
      <c r="R7" t="inlineStr"/>
      <c r="S7" t="inlineStr"/>
    </row>
    <row r="8">
      <c r="A8" t="inlineStr">
        <is>
          <t>2</t>
        </is>
      </c>
      <c r="B8" t="n">
        <v>47639550</v>
      </c>
      <c r="C8" t="inlineStr">
        <is>
          <t>T</t>
        </is>
      </c>
      <c r="D8" t="inlineStr">
        <is>
          <t>G</t>
        </is>
      </c>
      <c r="E8" t="inlineStr">
        <is>
          <t>91162</t>
        </is>
      </c>
      <c r="F8">
        <f>HYPERLINK("https://www.ncbi.nlm.nih.gov/clinvar/variation/91162/","ClinVarDB")</f>
        <v/>
      </c>
      <c r="G8" t="inlineStr">
        <is>
          <t>reviewed_by_expert_panel</t>
        </is>
      </c>
      <c r="H8" t="inlineStr">
        <is>
          <t>Lynch_syndrome|Hereditary_cancer-predisposing_syndrome</t>
        </is>
      </c>
      <c r="I8" t="inlineStr">
        <is>
          <t>Pathogenic</t>
        </is>
      </c>
      <c r="J8" t="inlineStr">
        <is>
          <t>MSH2</t>
        </is>
      </c>
      <c r="K8" t="inlineStr">
        <is>
          <t>splice_region_variant&amp;intron_variant</t>
        </is>
      </c>
      <c r="L8" t="inlineStr"/>
      <c r="M8" t="inlineStr">
        <is>
          <t>ENST00000543555.1:c.448-3T&gt;G|NM_001258281.1:c.448-3T&gt;G|NM_000251.3:c.646-3T&gt;G|ENST00000406134.1:c.646-3T&gt;G|ENST00000233146.2:c.646-3T&gt;G</t>
        </is>
      </c>
      <c r="N8" t="inlineStr"/>
      <c r="O8" t="inlineStr"/>
      <c r="P8" t="inlineStr"/>
      <c r="Q8" t="inlineStr"/>
      <c r="R8" t="inlineStr"/>
      <c r="S8" t="inlineStr"/>
    </row>
    <row r="9">
      <c r="A9" t="inlineStr">
        <is>
          <t>2</t>
        </is>
      </c>
      <c r="B9" t="n">
        <v>47641560</v>
      </c>
      <c r="C9" t="inlineStr">
        <is>
          <t>A</t>
        </is>
      </c>
      <c r="D9" t="inlineStr">
        <is>
          <t>T</t>
        </is>
      </c>
      <c r="E9" t="inlineStr">
        <is>
          <t>36580</t>
        </is>
      </c>
      <c r="F9">
        <f>HYPERLINK("https://www.ncbi.nlm.nih.gov/clinvar/variation/36580/","ClinVarDB")</f>
        <v/>
      </c>
      <c r="G9" t="inlineStr">
        <is>
          <t>reviewed_by_expert_panel</t>
        </is>
      </c>
      <c r="H9" t="inlineStr">
        <is>
          <t>Lynch-like_syndrome|Breast_carcinoma|Carcinoma_of_colon|Lynch_syndrome|Lynch_syndrome_I|Hereditary_cancer-predisposing_syndrome|Hereditary_nonpolyposis_colon_cancer|Hereditary_nonpolyposis_colorectal_neoplasms|not_provided</t>
        </is>
      </c>
      <c r="I9" t="inlineStr">
        <is>
          <t>Pathogenic</t>
        </is>
      </c>
      <c r="J9" t="inlineStr">
        <is>
          <t>MSH2</t>
        </is>
      </c>
      <c r="K9" t="inlineStr">
        <is>
          <t>splice_region_variant&amp;intron_variant</t>
        </is>
      </c>
      <c r="L9" t="inlineStr"/>
      <c r="M9" t="inlineStr">
        <is>
          <t>ENST00000406134.1:c.942+3A&gt;T|ENST00000543555.1:c.744+3A&gt;T|ENST00000233146.2:c.942+3A&gt;T|NM_001258281.1:c.744+3A&gt;T|NM_000251.3:c.942+3A&gt;T</t>
        </is>
      </c>
      <c r="N9" t="inlineStr">
        <is>
          <t>3.269900116720237e-05</t>
        </is>
      </c>
      <c r="O9" t="n">
        <v>0</v>
      </c>
      <c r="P9" t="inlineStr">
        <is>
          <t>0</t>
        </is>
      </c>
      <c r="Q9" t="inlineStr"/>
      <c r="R9" t="inlineStr"/>
      <c r="S9" t="inlineStr"/>
    </row>
    <row r="10">
      <c r="A10" t="inlineStr">
        <is>
          <t>2</t>
        </is>
      </c>
      <c r="B10" t="n">
        <v>47630251</v>
      </c>
      <c r="C10" t="inlineStr">
        <is>
          <t>CGT</t>
        </is>
      </c>
      <c r="D10" t="inlineStr">
        <is>
          <t>C</t>
        </is>
      </c>
      <c r="E10" t="inlineStr">
        <is>
          <t>90494</t>
        </is>
      </c>
      <c r="F10">
        <f>HYPERLINK("https://www.ncbi.nlm.nih.gov/clinvar/variation/90494/","ClinVarDB")</f>
        <v/>
      </c>
      <c r="G10" t="inlineStr">
        <is>
          <t>reviewed_by_expert_panel</t>
        </is>
      </c>
      <c r="H10" t="inlineStr">
        <is>
          <t>Lynch_syndrome</t>
        </is>
      </c>
      <c r="I10" t="inlineStr">
        <is>
          <t>Likely_pathogenic</t>
        </is>
      </c>
      <c r="J10" t="inlineStr">
        <is>
          <t>MSH2</t>
        </is>
      </c>
      <c r="K10" t="inlineStr">
        <is>
          <t>regulatory_region_variant|5_prime_UTR_variant|TF_binding_site_variant</t>
        </is>
      </c>
      <c r="L10" t="inlineStr"/>
      <c r="M10" t="inlineStr">
        <is>
          <t>|ENST00000543555.1:c.-92_-91del|NM_001258281.1:c.-92_-91del|ENST00000233146.2:c.-78_-77del|ENST00000454849.1:c.-92_-91del</t>
        </is>
      </c>
      <c r="N10" t="inlineStr"/>
      <c r="O10" t="inlineStr"/>
      <c r="P10" t="inlineStr"/>
      <c r="Q10" t="inlineStr"/>
      <c r="R10" t="inlineStr"/>
      <c r="S10" t="inlineStr"/>
    </row>
    <row r="11">
      <c r="A11" t="inlineStr">
        <is>
          <t>2</t>
        </is>
      </c>
      <c r="B11" t="n">
        <v>47635062</v>
      </c>
      <c r="C11" t="inlineStr">
        <is>
          <t>T</t>
        </is>
      </c>
      <c r="D11" t="inlineStr">
        <is>
          <t>G</t>
        </is>
      </c>
      <c r="E11" t="inlineStr">
        <is>
          <t>90894</t>
        </is>
      </c>
      <c r="F11">
        <f>HYPERLINK("https://www.ncbi.nlm.nih.gov/clinvar/variation/90894/","ClinVarDB")</f>
        <v/>
      </c>
      <c r="G11" t="inlineStr">
        <is>
          <t>reviewed_by_expert_panel</t>
        </is>
      </c>
      <c r="H11" t="inlineStr">
        <is>
          <t>Lynch_syndrome</t>
        </is>
      </c>
      <c r="I11" t="inlineStr">
        <is>
          <t>Pathogenic</t>
        </is>
      </c>
      <c r="J11" t="inlineStr">
        <is>
          <t>MSH2</t>
        </is>
      </c>
      <c r="K11" t="inlineStr">
        <is>
          <t>intron_variant</t>
        </is>
      </c>
      <c r="L11" t="inlineStr"/>
      <c r="M11" t="inlineStr">
        <is>
          <t>ENST00000454849.1:c.14-478T&gt;G|NM_000251.3:c.212-478T&gt;G|ENST00000543555.1:c.14-478T&gt;G|ENST00000233146.2:c.212-478T&gt;G|NM_001258281.1:c.14-478T&gt;G|ENST00000406134.1:c.212-478T&gt;G</t>
        </is>
      </c>
      <c r="N11" t="inlineStr"/>
      <c r="O11" t="inlineStr"/>
      <c r="P11" t="inlineStr"/>
      <c r="Q11" t="inlineStr"/>
      <c r="R11" t="inlineStr"/>
      <c r="S11" t="inlineStr"/>
    </row>
    <row r="12">
      <c r="A12" t="inlineStr">
        <is>
          <t>2</t>
        </is>
      </c>
      <c r="B12" t="n">
        <v>47656744</v>
      </c>
      <c r="C12" t="inlineStr">
        <is>
          <t>G</t>
        </is>
      </c>
      <c r="D12" t="inlineStr">
        <is>
          <t>GTGAGCCACTGCGCCCAGCAGATTCAAGCTTTTTAAATGGAATTTTGAGCTGATTTAGTTGAGACTTACGTGCTTAGTTGATAAATTTTAATTTTATACTAAAATATTTTACATTAATTCAAGTTAATTTATTTCAGATTGAATTTAGTGGAAGCTTTTGTAGAAGATGCAGAATTGAGGCAGACTTTACAAGAAGATTTACTTCGTCGATTCCCAGATCTTAACCGACTTGCCAAGAAGTTTCAAAGACAAGCAGCAAACTTACAAGATTGTTACCGACTCTATCAGGGTATAAATCAACTACCTAATGTTATACAGGCTCTGGAAAAACATGAAGGTAACAAGTGATTTTGTTTTTTTGTTTTCCTTCAACTCATACAATATATACTTGGCAATGTGCTGTCCTCATAAAGTTGGTGGTGGTGACTCACTCTTAGGACACATTCAGATTTCTT</t>
        </is>
      </c>
      <c r="E12" t="inlineStr">
        <is>
          <t>90523</t>
        </is>
      </c>
      <c r="F12">
        <f>HYPERLINK("https://www.ncbi.nlm.nih.gov/clinvar/variation/90523/","ClinVarDB")</f>
        <v/>
      </c>
      <c r="G12" t="inlineStr">
        <is>
          <t>reviewed_by_expert_panel</t>
        </is>
      </c>
      <c r="H12" t="inlineStr">
        <is>
          <t>Lynch_syndrome</t>
        </is>
      </c>
      <c r="I12" t="inlineStr">
        <is>
          <t>Pathogenic</t>
        </is>
      </c>
      <c r="J12" t="inlineStr">
        <is>
          <t>MSH2</t>
        </is>
      </c>
      <c r="K12" t="inlineStr">
        <is>
          <t>intron_variant</t>
        </is>
      </c>
      <c r="L12" t="inlineStr"/>
      <c r="M12" t="inlineStr">
        <is>
          <t>NM_001258281.1:c.879-135_1078+119dup|ENST00000406134.1:c.1077-135_1276+119dup|ENST00000543555.1:c.879-135_1078+119dup|ENST00000233146.2:c.1077-135_1276+119dup|NM_000251.3:c.1077-135_1276+119dup</t>
        </is>
      </c>
      <c r="N12" t="inlineStr"/>
      <c r="O12" t="inlineStr"/>
      <c r="P12" t="inlineStr"/>
      <c r="Q12" t="inlineStr"/>
      <c r="R12" t="inlineStr"/>
      <c r="S12" t="inlineStr"/>
    </row>
    <row r="13">
      <c r="A13" t="inlineStr">
        <is>
          <t>2</t>
        </is>
      </c>
      <c r="B13" t="n">
        <v>47690161</v>
      </c>
      <c r="C13" t="inlineStr">
        <is>
          <t>T</t>
        </is>
      </c>
      <c r="D13" t="inlineStr">
        <is>
          <t>A</t>
        </is>
      </c>
      <c r="E13" t="inlineStr">
        <is>
          <t>90648</t>
        </is>
      </c>
      <c r="F13">
        <f>HYPERLINK("https://www.ncbi.nlm.nih.gov/clinvar/variation/90648/","ClinVarDB")</f>
        <v/>
      </c>
      <c r="G13" t="inlineStr">
        <is>
          <t>reviewed_by_expert_panel</t>
        </is>
      </c>
      <c r="H13" t="inlineStr">
        <is>
          <t>Lynch_syndrome_I|Hereditary_nonpolyposis_colorectal_neoplasms|not_provided</t>
        </is>
      </c>
      <c r="I13" t="inlineStr">
        <is>
          <t>Pathogenic</t>
        </is>
      </c>
      <c r="J13" t="inlineStr">
        <is>
          <t>MSH2</t>
        </is>
      </c>
      <c r="K13" t="inlineStr">
        <is>
          <t>intron_variant</t>
        </is>
      </c>
      <c r="L13" t="inlineStr"/>
      <c r="M13" t="inlineStr">
        <is>
          <t>ENST00000543555.1:c.1189-9T&gt;A|NM_001258281.1:c.1189-9T&gt;A|ENST00000233146.2:c.1387-9T&gt;A|NM_000251.3:c.1387-9T&gt;A|ENST00000406134.1:c.1387-9T&gt;A</t>
        </is>
      </c>
      <c r="N13" t="inlineStr"/>
      <c r="O13" t="inlineStr"/>
      <c r="P13" t="inlineStr"/>
      <c r="Q13" t="inlineStr"/>
      <c r="R13" t="inlineStr"/>
      <c r="S13" t="inlineStr"/>
    </row>
    <row r="14">
      <c r="A14" t="inlineStr">
        <is>
          <t>3</t>
        </is>
      </c>
      <c r="B14" t="n">
        <v>37059088</v>
      </c>
      <c r="C14" t="inlineStr">
        <is>
          <t>C</t>
        </is>
      </c>
      <c r="D14" t="inlineStr">
        <is>
          <t>T</t>
        </is>
      </c>
      <c r="E14" t="inlineStr">
        <is>
          <t>90407</t>
        </is>
      </c>
      <c r="F14">
        <f>HYPERLINK("https://www.ncbi.nlm.nih.gov/clinvar/variation/90407/","ClinVarDB")</f>
        <v/>
      </c>
      <c r="G14" t="inlineStr">
        <is>
          <t>reviewed_by_expert_panel</t>
        </is>
      </c>
      <c r="H14" t="inlineStr">
        <is>
          <t>Lynch_syndrome|Hereditary_cancer-predisposing_syndrome|Hereditary_nonpolyposis_colorectal_neoplasms|not_provided</t>
        </is>
      </c>
      <c r="I14" t="inlineStr">
        <is>
          <t>Pathogenic</t>
        </is>
      </c>
      <c r="J14" t="inlineStr">
        <is>
          <t>MLH1</t>
        </is>
      </c>
      <c r="K14" t="inlineStr">
        <is>
          <t>splice_region_variant&amp;synonymous_variant|intron_variant|splice_region_variant&amp;synonymous_variant&amp;NMD_transcript_variant|intron_variant&amp;NMD_transcript_variant</t>
        </is>
      </c>
      <c r="L14" t="inlineStr">
        <is>
          <t>|NP_001341546.1:p.Leu53=|NP_001341558.1:p.Leu261=|NP_001341559.1:p.Leu294=|ENSP00000402564.1:p.Leu196=|ENSP00000443665.1:p.Leu53=|NP_000240.1:p.Leu294=|ENSP00000416687.2:p.Leu286=|NP_001245202.1:p.Leu53=|NP_001341549.1:p.Leu196=|NP_001161090.1:p.Leu53=|NP_001341548.1:p.Leu53=|ENSP00000231790.2:p.Leu294=|NP_001161091.1:p.Leu53=|NP_001245203.1:p.Leu53=|ENSP00000398392.1:p.Leu53=|ENSP00000444286.1:p.Leu53=|NP_001341544.1:p.Leu53=|NP_001245200.1:p.Leu294=|ENSP00000398272.2:p.Leu53=|NP_001341545.1:p.Leu53=|NP_001341557.1:p.Leu294=|ENSP00000402667.2:p.Leu53=|ENSP00000411066.1:p.Leu75=|NP_001341547.1:p.Leu53=|NP_001161089.1:p.Leu196=</t>
        </is>
      </c>
      <c r="M14" t="inlineStr">
        <is>
          <t>NM_001354624.1:c.-37+3053C&gt;T|NM_001258274.2:c.159C&gt;T|ENST00000435176.1:c.588C&gt;T|NM_001354617.1:c.159C&gt;T|ENST00000447829.1:c.172-2713C&gt;T|ENST00000413212.1:c.113+3053C&gt;T|ENST00000539477.1:c.159C&gt;T|NM_001354618.1:c.159C&gt;T|NM_001354630.1:c.882C&gt;T|NM_001258271.1:c.882C&gt;T|NM_001354619.1:c.159C&gt;T|NM_001354616.1:c.159C&gt;T|ENST00000456676.2:c.858C&gt;T|ENST00000536378.1:c.159C&gt;T|NM_001354622.1:c.-139-2713C&gt;T|NM_001167617.2:c.588C&gt;T|ENST00000458205.2:c.159C&gt;T|NM_001258273.1:c.159C&gt;T|ENST00000441265.1:c.159C&gt;T|NM_001354620.1:c.588C&gt;T|NM_001354626.1:c.-37+3053C&gt;T|ENST00000458009.1:c.225C&gt;T|NM_001354625.1:c.-37+3053C&gt;T|NM_001354615.1:c.159C&gt;T|NM_001354621.1:c.-139-2713C&gt;T|NM_001354629.1:c.783C&gt;T|NM_001167618.2:c.159C&gt;T|NM_001167619.2:c.159C&gt;T|NM_001354627.1:c.-37+3053C&gt;T|NM_001354628.1:c.882C&gt;T|NM_000249.3:c.882C&gt;T|ENST00000231790.2:c.882C&gt;T|ENST00000455445.2:c.159C&gt;T|NM_001354623.1:c.-139-2713C&gt;T</t>
        </is>
      </c>
      <c r="N14" t="inlineStr"/>
      <c r="O14" t="inlineStr"/>
      <c r="P14" t="inlineStr"/>
      <c r="Q14" t="inlineStr"/>
      <c r="R14" t="inlineStr"/>
      <c r="S14" t="inlineStr"/>
    </row>
    <row r="15">
      <c r="A15" t="inlineStr">
        <is>
          <t>3</t>
        </is>
      </c>
      <c r="B15" t="n">
        <v>37083822</v>
      </c>
      <c r="C15" t="inlineStr">
        <is>
          <t>G</t>
        </is>
      </c>
      <c r="D15" t="inlineStr">
        <is>
          <t>A</t>
        </is>
      </c>
      <c r="E15" t="inlineStr">
        <is>
          <t>89857</t>
        </is>
      </c>
      <c r="F15">
        <f>HYPERLINK("https://www.ncbi.nlm.nih.gov/clinvar/variation/89857/","ClinVarDB")</f>
        <v/>
      </c>
      <c r="G15" t="inlineStr">
        <is>
          <t>reviewed_by_expert_panel</t>
        </is>
      </c>
      <c r="H15" t="inlineStr">
        <is>
          <t>Colon_cancer|Lynch_syndrome|Lynch_syndrome_II|Hereditary_cancer-predisposing_syndrome|Hereditary_nonpolyposis_colon_cancer|Hereditary_nonpolyposis_colorectal_neoplasms|not_provided</t>
        </is>
      </c>
      <c r="I15" t="inlineStr">
        <is>
          <t>Pathogenic</t>
        </is>
      </c>
      <c r="J15" t="inlineStr">
        <is>
          <t>MLH1</t>
        </is>
      </c>
      <c r="K15" t="inlineStr">
        <is>
          <t>splice_region_variant&amp;synonymous_variant|intron_variant</t>
        </is>
      </c>
      <c r="L15" t="inlineStr">
        <is>
          <t>|NP_001341548.1:p.Ser336=|ENSP00000443665.1:p.Ser336=|ENSP00000402564.1:p.Ser479=|NP_000240.1:p.Ser577=|NP_001341555.1:p.Ser219=|NP_001341559.1:p.Ser577=|NP_001341544.1:p.Ser336=|NP_001341550.1:p.Ser236=|NP_001341549.1:p.Ser479=|NP_001341557.1:p.Ser577=|NP_001341554.1:p.Ser219=|ENSP00000444286.1:p.Ser336=|NP_001245203.1:p.Ser336=|NP_001341556.1:p.Ser219=|NP_001341551.1:p.Ser236=|NP_001161091.1:p.Ser336=|NP_001161090.1:p.Ser336=|ENSP00000231790.2:p.Ser577=|NP_001341558.1:p.Ser544=|NP_001245202.1:p.Ser336=|ENSP00000402667.2:p.Ser336=|NP_001341547.1:p.Ser336=|NP_001341545.1:p.Ser336=|NP_001245200.1:p.Ser577=|NP_001341553.1:p.Ser219=|NP_001161089.1:p.Ser479=|ENSP00000416687.2:p.Ser569=|NP_001341546.1:p.Ser336=|NP_001341552.1:p.Ser236=|ENSP00000398272.2:p.Ser336=</t>
        </is>
      </c>
      <c r="M15" t="inlineStr">
        <is>
          <t>ENST00000455445.2:c.1008G&gt;A|NM_001258274.2:c.1008G&gt;A|NM_001354624.1:c.657G&gt;A|NM_001354627.1:c.657G&gt;A|NM_001354629.1:c.1632G&gt;A|NM_001354630.1:c.1731G&gt;A|ENST00000458205.2:c.1008G&gt;A|NM_001354616.1:c.1008G&gt;A|NM_001167617.2:c.1437G&gt;A|NM_001354620.1:c.1437G&gt;A|NM_001354621.1:c.708G&gt;A|NM_001167618.2:c.1008G&gt;A|NM_001354617.1:c.1008G&gt;A|ENST00000539477.1:c.1008G&gt;A|NM_001354628.1:c.1731G&gt;A|ENST00000435176.1:c.1437G&gt;A|NM_001354618.1:c.1008G&gt;A|NM_001354619.1:c.1008G&gt;A|NM_001354625.1:c.657G&gt;A|ENST00000413740.1:c.290+2037G&gt;A|NM_001354623.1:c.708G&gt;A|NM_001258273.1:c.1008G&gt;A|NM_001258271.1:c.1731G&gt;A|NM_001354622.1:c.708G&gt;A|NM_001167619.2:c.1008G&gt;A|ENST00000231790.2:c.1731G&gt;A|NM_001354626.1:c.657G&gt;A|ENST00000450420.1:c.182-8155G&gt;A|ENST00000536378.1:c.1008G&gt;A|ENST00000456676.2:c.1707G&gt;A|NM_001354615.1:c.1008G&gt;A|NM_000249.3:c.1731G&gt;A</t>
        </is>
      </c>
      <c r="N15" t="inlineStr"/>
      <c r="O15" t="inlineStr"/>
      <c r="P15" t="inlineStr"/>
      <c r="Q15" t="inlineStr"/>
      <c r="R15" t="inlineStr"/>
      <c r="S15" t="inlineStr"/>
    </row>
    <row r="16">
      <c r="A16" t="inlineStr">
        <is>
          <t>3</t>
        </is>
      </c>
      <c r="B16" t="n">
        <v>37089174</v>
      </c>
      <c r="C16" t="inlineStr">
        <is>
          <t>G</t>
        </is>
      </c>
      <c r="D16" t="inlineStr">
        <is>
          <t>A</t>
        </is>
      </c>
      <c r="E16" t="inlineStr">
        <is>
          <t>89930</t>
        </is>
      </c>
      <c r="F16">
        <f>HYPERLINK("https://www.ncbi.nlm.nih.gov/clinvar/variation/89930/","ClinVarDB")</f>
        <v/>
      </c>
      <c r="G16" t="inlineStr">
        <is>
          <t>reviewed_by_expert_panel</t>
        </is>
      </c>
      <c r="H16" t="inlineStr">
        <is>
          <t>Lynch_syndrome|Lynch_syndrome_II|Hereditary_cancer-predisposing_syndrome|Hereditary_nonpolyposis_colon_cancer|Hereditary_nonpolyposis_colorectal_neoplasms|not_provided</t>
        </is>
      </c>
      <c r="I16" t="inlineStr">
        <is>
          <t>Pathogenic</t>
        </is>
      </c>
      <c r="J16" t="inlineStr">
        <is>
          <t>MLH1</t>
        </is>
      </c>
      <c r="K16" t="inlineStr">
        <is>
          <t>splice_region_variant&amp;synonymous_variant|intron_variant</t>
        </is>
      </c>
      <c r="L16" t="inlineStr">
        <is>
          <t>|NP_001245200.1:p.Glu632=|NP_001341549.1:p.Glu534=|ENSP00000402564.1:p.Glu534=|NP_001161089.1:p.Glu534=|ENSP00000443665.1:p.Glu391=|NP_001161091.1:p.Glu391=|NP_001341551.1:p.Glu291=|NP_001341555.1:p.Glu274=|NP_001341545.1:p.Glu391=|NP_001341552.1:p.Glu291=|ENSP00000416687.2:p.Glu624=|NP_001341548.1:p.Glu391=|NP_001341553.1:p.Glu274=|NP_001341556.1:p.Glu274=|NP_001341546.1:p.Glu391=|NP_001341558.1:p.Glu599=|ENSP00000398272.2:p.Glu391=|ENSP00000231790.2:p.Glu632=|NP_000240.1:p.Glu632=|NP_001341557.1:p.Glu632=|NP_001341544.1:p.Glu391=|ENSP00000444286.1:p.Glu391=|NP_001341554.1:p.Glu274=|NP_001245202.1:p.Glu391=|NP_001161090.1:p.Glu391=|ENSP00000402667.2:p.Glu391=|NP_001245203.1:p.Glu391=|NP_001341550.1:p.Glu291=|NP_001341547.1:p.Glu391=</t>
        </is>
      </c>
      <c r="M16" t="inlineStr">
        <is>
          <t>ENST00000455445.2:c.1173G&gt;A|NM_001354616.1:c.1173G&gt;A|NM_000249.3:c.1896G&gt;A|NM_001354623.1:c.873G&gt;A|ENST00000456676.2:c.1872G&gt;A|NM_001167617.2:c.1602G&gt;A|ENST00000536378.1:c.1173G&gt;A|NM_001258271.1:c.1896G&gt;A|NM_001354619.1:c.1173G&gt;A|NM_001354626.1:c.822G&gt;A|NM_001167618.2:c.1173G&gt;A|NM_001354628.1:c.1896G&gt;A|NM_001354629.1:c.1797G&gt;A|NM_001354615.1:c.1173G&gt;A|ENST00000450420.1:c.182-2803G&gt;A|ENST00000539477.1:c.1173G&gt;A|NM_001354620.1:c.1602G&gt;A|ENST00000435176.1:c.1602G&gt;A|ENST00000458205.2:c.1173G&gt;A|NM_001354622.1:c.873G&gt;A|NM_001354617.1:c.1173G&gt;A|ENST00000413740.1:c.291-2803G&gt;A|NM_001258274.2:c.1173G&gt;A|ENST00000231790.2:c.1896G&gt;A|NM_001354621.1:c.873G&gt;A|NM_001258273.1:c.1173G&gt;A|NM_001354618.1:c.1173G&gt;A|NM_001354625.1:c.822G&gt;A|NM_001354627.1:c.822G&gt;A|NM_001354624.1:c.822G&gt;A|NM_001354630.1:c.1732-834G&gt;A|NM_001167619.2:c.1173G&gt;A</t>
        </is>
      </c>
      <c r="N16" t="inlineStr"/>
      <c r="O16" t="inlineStr"/>
      <c r="P16" t="inlineStr"/>
      <c r="Q16" t="inlineStr"/>
      <c r="R16" t="inlineStr"/>
      <c r="S16" t="inlineStr"/>
    </row>
    <row r="17">
      <c r="A17" t="inlineStr">
        <is>
          <t>3</t>
        </is>
      </c>
      <c r="B17" t="n">
        <v>37090100</v>
      </c>
      <c r="C17" t="inlineStr">
        <is>
          <t>G</t>
        </is>
      </c>
      <c r="D17" t="inlineStr">
        <is>
          <t>A</t>
        </is>
      </c>
      <c r="E17" t="inlineStr">
        <is>
          <t>89979</t>
        </is>
      </c>
      <c r="F17">
        <f>HYPERLINK("https://www.ncbi.nlm.nih.gov/clinvar/variation/89979/","ClinVarDB")</f>
        <v/>
      </c>
      <c r="G17" t="inlineStr">
        <is>
          <t>reviewed_by_expert_panel</t>
        </is>
      </c>
      <c r="H17" t="inlineStr">
        <is>
          <t>Lynch_syndrome_I|Hereditary_cancer-predisposing_syndrome|Hereditary_nonpolyposis_colorectal_neoplasms|not_provided</t>
        </is>
      </c>
      <c r="I17" t="inlineStr">
        <is>
          <t>Pathogenic</t>
        </is>
      </c>
      <c r="J17" t="inlineStr">
        <is>
          <t>MLH1</t>
        </is>
      </c>
      <c r="K17" t="inlineStr">
        <is>
          <t>splice_region_variant&amp;synonymous_variant|intron_variant</t>
        </is>
      </c>
      <c r="L17" t="inlineStr">
        <is>
          <t>|NP_001341548.1:p.Glu422=|ENSP00000398272.2:p.Glu422=|NP_000240.1:p.Glu663=|NP_001341556.1:p.Glu305=|NP_001341550.1:p.Glu322=|NP_001341545.1:p.Glu422=|NP_001161090.1:p.Glu422=|NP_001341551.1:p.Glu322=|NP_001161091.1:p.Glu422=|NP_001341547.1:p.Glu422=|NP_001341553.1:p.Glu305=|NP_001245202.1:p.Glu422=|NP_001341544.1:p.Glu422=|NP_001341555.1:p.Glu305=|ENSP00000402667.2:p.Glu422=|NP_001161089.1:p.Glu565=|NP_001341559.1:p.Glu608=|NP_001341552.1:p.Glu322=|NP_001341554.1:p.Glu305=|ENSP00000402564.1:p.Glu565=|ENSP00000444286.1:p.Glu422=|NP_001341549.1:p.Glu565=|NP_001341546.1:p.Glu422=|ENSP00000443665.1:p.Glu422=|ENSP00000231790.2:p.Glu663=|NP_001245203.1:p.Glu422=|NP_001341558.1:p.Glu630=</t>
        </is>
      </c>
      <c r="M17" t="inlineStr">
        <is>
          <t>NM_001354619.1:c.1266G&gt;A|ENST00000231790.2:c.1989G&gt;A|NM_001258274.2:c.1266G&gt;A|ENST00000413740.1:c.291-1877G&gt;A|NM_000249.3:c.1989G&gt;A|NM_001354622.1:c.966G&gt;A|ENST00000450420.1:c.182-1877G&gt;A|NM_001167617.2:c.1695G&gt;A|NM_001354618.1:c.1266G&gt;A|NM_001354620.1:c.1695G&gt;A|NM_001167619.2:c.1266G&gt;A|NM_001354621.1:c.966G&gt;A|NM_001354623.1:c.966G&gt;A|NM_001167618.2:c.1266G&gt;A|NM_001354624.1:c.915G&gt;A|ENST00000458205.2:c.1266G&gt;A|NM_001354617.1:c.1266G&gt;A|NM_001258271.1:c.1896+926G&gt;A|NM_001258273.1:c.1266G&gt;A|NM_001354630.1:c.1824G&gt;A|NM_001354616.1:c.1266G&gt;A|NM_001354629.1:c.1890G&gt;A|ENST00000536378.1:c.1266G&gt;A|ENST00000455445.2:c.1266G&gt;A|ENST00000435176.1:c.1695G&gt;A|NM_001354628.1:c.1897-295G&gt;A|NM_001354615.1:c.1266G&gt;A|ENST00000539477.1:c.1266G&gt;A|NM_001354625.1:c.915G&gt;A|NM_001354627.1:c.915G&gt;A|ENST00000456676.2:c.1871+926G&gt;A|NM_001354626.1:c.915G&gt;A</t>
        </is>
      </c>
      <c r="N17" t="inlineStr"/>
      <c r="O17" t="inlineStr"/>
      <c r="P17" t="inlineStr"/>
      <c r="Q17" t="inlineStr"/>
      <c r="R17" t="inlineStr"/>
      <c r="S17" t="inlineStr"/>
    </row>
    <row r="18">
      <c r="A18" t="inlineStr">
        <is>
          <t>3</t>
        </is>
      </c>
      <c r="B18" t="n">
        <v>37050399</v>
      </c>
      <c r="C18" t="inlineStr">
        <is>
          <t>A</t>
        </is>
      </c>
      <c r="D18" t="inlineStr">
        <is>
          <t>G</t>
        </is>
      </c>
      <c r="E18" t="inlineStr">
        <is>
          <t>90260</t>
        </is>
      </c>
      <c r="F18">
        <f>HYPERLINK("https://www.ncbi.nlm.nih.gov/clinvar/variation/90260/","ClinVarDB")</f>
        <v/>
      </c>
      <c r="G18" t="inlineStr">
        <is>
          <t>reviewed_by_expert_panel</t>
        </is>
      </c>
      <c r="H18" t="inlineStr">
        <is>
          <t>Lynch-like_syndrome|Lynch_syndrome|Lynch_syndrome_II|Hereditary_cancer-predisposing_syndrome|Hereditary_nonpolyposis_colorectal_neoplasms|not_provided</t>
        </is>
      </c>
      <c r="I18" t="inlineStr">
        <is>
          <t>Pathogenic</t>
        </is>
      </c>
      <c r="J18" t="inlineStr">
        <is>
          <t>MLH1</t>
        </is>
      </c>
      <c r="K18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18" t="inlineStr"/>
      <c r="M18" t="inlineStr">
        <is>
          <t>NM_001354627.1:c.-282+3A&gt;G|ENST00000435176.1:c.251+3A&gt;G|NM_001258271.1:c.545+3A&gt;G|NM_001258273.1:c.-179+3A&gt;G|NM_001354630.1:c.545+3A&gt;G|ENST00000432299.1:c.*625+3A&gt;G|ENST00000442249.1:c.*337+3A&gt;G|NM_001258274.2:c.-179+3A&gt;G|NM_001354615.1:c.-179+1845A&gt;G|NM_001354619.1:c.-179+3A&gt;G|NM_001354624.1:c.-282+3A&gt;G|NM_001167618.2:c.-179+3A&gt;G|NM_001354623.1:c.-385+3A&gt;G|NM_001167617.2:c.251+3A&gt;G|ENST00000458205.2:c.-179+3A&gt;G|NM_001354628.1:c.545+3A&gt;G|NM_000249.3:c.545+3A&gt;G|NM_001354629.1:c.446+3A&gt;G|NM_001354618.1:c.-179+3A&gt;G|ENST00000457004.1:c.*324+3A&gt;G|ENST00000536378.1:c.-179+3A&gt;G|NM_001354626.1:c.-282+3A&gt;G|NM_001167619.2:c.-179+1845A&gt;G|NM_001354621.1:c.-272+3A&gt;G|NM_001354620.1:c.251+3A&gt;G|NM_001354617.1:c.-179+3A&gt;G|ENST00000231790.2:c.545+3A&gt;G|ENST00000539477.1:c.-179+1845A&gt;G|ENST00000455445.2:c.-179+3A&gt;G|ENST00000441265.1:c.-179+1845A&gt;G|NM_001354625.1:c.-282+1845A&gt;G|NM_001354616.1:c.-179+1845A&gt;G|ENST00000492474.1:n.568+3A&gt;G|NM_001354622.1:c.-385+3A&gt;G|ENST00000454028.1:c.*418+3A&gt;G|ENST00000456676.2:c.520+3A&gt;G|ENST00000485889.1:n.549+3A&gt;G</t>
        </is>
      </c>
      <c r="N18" t="inlineStr"/>
      <c r="O18" t="inlineStr"/>
      <c r="P18" t="inlineStr"/>
      <c r="Q18" t="inlineStr"/>
      <c r="R18" t="inlineStr"/>
      <c r="S18" t="inlineStr"/>
    </row>
    <row r="19">
      <c r="A19" t="inlineStr">
        <is>
          <t>3</t>
        </is>
      </c>
      <c r="B19" t="n">
        <v>37058990</v>
      </c>
      <c r="C19" t="inlineStr">
        <is>
          <t>T</t>
        </is>
      </c>
      <c r="D19" t="inlineStr">
        <is>
          <t>A</t>
        </is>
      </c>
      <c r="E19" t="inlineStr">
        <is>
          <t>90375</t>
        </is>
      </c>
      <c r="F19">
        <f>HYPERLINK("https://www.ncbi.nlm.nih.gov/clinvar/variation/90375/","ClinVarDB")</f>
        <v/>
      </c>
      <c r="G19" t="inlineStr">
        <is>
          <t>reviewed_by_expert_panel</t>
        </is>
      </c>
      <c r="H19" t="inlineStr">
        <is>
          <t>Lynch_syndrome</t>
        </is>
      </c>
      <c r="I19" t="inlineStr">
        <is>
          <t>Likely_pathogenic</t>
        </is>
      </c>
      <c r="J19" t="inlineStr">
        <is>
          <t>MLH1</t>
        </is>
      </c>
      <c r="K19" t="inlineStr">
        <is>
          <t>splice_region_variant&amp;intron_variant|splice_region_variant&amp;intron_variant&amp;NMD_transcript_variant|intron_variant|intron_variant&amp;NMD_transcript_variant</t>
        </is>
      </c>
      <c r="L19" t="inlineStr"/>
      <c r="M19" t="inlineStr">
        <is>
          <t>ENST00000458009.1:c.132-7T&gt;A|NM_001354617.1:c.68-7T&gt;A|ENST00000435176.1:c.497-7T&gt;A|NM_001354627.1:c.-37+2955T&gt;A|NM_001258271.1:c.791-7T&gt;A|NM_001354624.1:c.-37+2955T&gt;A|ENST00000536378.1:c.68-7T&gt;A|NM_001354630.1:c.791-7T&gt;A|NM_001354616.1:c.68-7T&gt;A|NM_001354618.1:c.68-7T&gt;A|ENST00000456676.2:c.766-7T&gt;A|NM_001354623.1:c.-139-2811T&gt;A|ENST00000413212.1:c.113+2955T&gt;A|NM_001258274.2:c.68-7T&gt;A|ENST00000441265.1:c.68-7T&gt;A|NM_001258273.1:c.68-7T&gt;A|NM_001354619.1:c.68-7T&gt;A|ENST00000231790.2:c.791-7T&gt;A|ENST00000447829.1:c.172-2811T&gt;A|ENST00000539477.1:c.68-7T&gt;A|NM_001354626.1:c.-37+2955T&gt;A|NM_001354620.1:c.497-7T&gt;A|NM_001354622.1:c.-139-2811T&gt;A|NM_001354621.1:c.-139-2811T&gt;A|NM_001354625.1:c.-37+2955T&gt;A|NM_000249.3:c.791-7T&gt;A|NM_001354628.1:c.791-7T&gt;A|NM_001167618.2:c.68-7T&gt;A|ENST00000458205.2:c.68-7T&gt;A|NM_001167619.2:c.68-7T&gt;A|NM_001354629.1:c.692-7T&gt;A|NM_001354615.1:c.68-7T&gt;A|NM_001167617.2:c.497-7T&gt;A|ENST00000455445.2:c.68-7T&gt;A</t>
        </is>
      </c>
      <c r="N19" t="inlineStr"/>
      <c r="O19" t="inlineStr"/>
      <c r="P19" t="inlineStr"/>
      <c r="Q19" t="inlineStr"/>
      <c r="R19" t="inlineStr"/>
      <c r="S19" t="inlineStr"/>
    </row>
    <row r="20">
      <c r="A20" t="inlineStr">
        <is>
          <t>3</t>
        </is>
      </c>
      <c r="B20" t="n">
        <v>37058992</v>
      </c>
      <c r="C20" t="inlineStr">
        <is>
          <t>T</t>
        </is>
      </c>
      <c r="D20" t="inlineStr">
        <is>
          <t>G</t>
        </is>
      </c>
      <c r="E20" t="inlineStr">
        <is>
          <t>90374</t>
        </is>
      </c>
      <c r="F20">
        <f>HYPERLINK("https://www.ncbi.nlm.nih.gov/clinvar/variation/90374/","ClinVarDB")</f>
        <v/>
      </c>
      <c r="G20" t="inlineStr">
        <is>
          <t>reviewed_by_expert_panel</t>
        </is>
      </c>
      <c r="H20" t="inlineStr">
        <is>
          <t>Lynch_syndrome|Lynch_syndrome_II|Hereditary_cancer-predisposing_syndrome|Hereditary_nonpolyposis_colorectal_neoplasms</t>
        </is>
      </c>
      <c r="I20" t="inlineStr">
        <is>
          <t>Pathogenic</t>
        </is>
      </c>
      <c r="J20" t="inlineStr">
        <is>
          <t>MLH1</t>
        </is>
      </c>
      <c r="K20" t="inlineStr">
        <is>
          <t>splice_region_variant&amp;intron_variant|splice_region_variant&amp;intron_variant&amp;NMD_transcript_variant|intron_variant|intron_variant&amp;NMD_transcript_variant</t>
        </is>
      </c>
      <c r="L20" t="inlineStr"/>
      <c r="M20" t="inlineStr">
        <is>
          <t>ENST00000435176.1:c.497-5T&gt;G|NM_001354623.1:c.-139-2809T&gt;G|NM_001354621.1:c.-139-2809T&gt;G|NM_001354628.1:c.791-5T&gt;G|ENST00000456676.2:c.766-5T&gt;G|NM_001354624.1:c.-37+2957T&gt;G|NM_001167617.2:c.497-5T&gt;G|ENST00000447829.1:c.172-2809T&gt;G|NM_000249.3:c.791-5T&gt;G|NM_001354620.1:c.497-5T&gt;G|NM_001258271.1:c.791-5T&gt;G|NM_001354619.1:c.68-5T&gt;G|NM_001354629.1:c.692-5T&gt;G|NM_001354615.1:c.68-5T&gt;G|ENST00000455445.2:c.68-5T&gt;G|NM_001167619.2:c.68-5T&gt;G|ENST00000441265.1:c.68-5T&gt;G|NM_001167618.2:c.68-5T&gt;G|NM_001354626.1:c.-37+2957T&gt;G|ENST00000536378.1:c.68-5T&gt;G|NM_001354616.1:c.68-5T&gt;G|NM_001258273.1:c.68-5T&gt;G|NM_001354622.1:c.-139-2809T&gt;G|NM_001354630.1:c.791-5T&gt;G|ENST00000413212.1:c.113+2957T&gt;G|ENST00000458205.2:c.68-5T&gt;G|NM_001258274.2:c.68-5T&gt;G|NM_001354617.1:c.68-5T&gt;G|NM_001354627.1:c.-37+2957T&gt;G|ENST00000231790.2:c.791-5T&gt;G|NM_001354625.1:c.-37+2957T&gt;G|ENST00000458009.1:c.132-5T&gt;G|ENST00000539477.1:c.68-5T&gt;G|NM_001354618.1:c.68-5T&gt;G</t>
        </is>
      </c>
      <c r="N20" t="inlineStr"/>
      <c r="O20" t="inlineStr"/>
      <c r="P20" t="inlineStr"/>
      <c r="Q20" t="inlineStr"/>
      <c r="R20" t="inlineStr"/>
      <c r="S20" t="inlineStr"/>
    </row>
    <row r="21">
      <c r="A21" t="inlineStr">
        <is>
          <t>3</t>
        </is>
      </c>
      <c r="B21" t="n">
        <v>37059094</v>
      </c>
      <c r="C21" t="inlineStr">
        <is>
          <t>A</t>
        </is>
      </c>
      <c r="D21" t="inlineStr">
        <is>
          <t>G</t>
        </is>
      </c>
      <c r="E21" t="inlineStr">
        <is>
          <t>90414</t>
        </is>
      </c>
      <c r="F21">
        <f>HYPERLINK("https://www.ncbi.nlm.nih.gov/clinvar/variation/90414/","ClinVarDB")</f>
        <v/>
      </c>
      <c r="G21" t="inlineStr">
        <is>
          <t>reviewed_by_expert_panel</t>
        </is>
      </c>
      <c r="H21" t="inlineStr">
        <is>
          <t>Lynch_syndrome|Hereditary_cancer-predisposing_syndrome|Hereditary_nonpolyposis_colorectal_neoplasms|not_provided</t>
        </is>
      </c>
      <c r="I21" t="inlineStr">
        <is>
          <t>Pathogenic</t>
        </is>
      </c>
      <c r="J21" t="inlineStr">
        <is>
          <t>MLH1</t>
        </is>
      </c>
      <c r="K21" t="inlineStr">
        <is>
          <t>splice_region_variant&amp;intron_variant|splice_region_variant&amp;intron_variant&amp;NMD_transcript_variant|intron_variant|intron_variant&amp;NMD_transcript_variant</t>
        </is>
      </c>
      <c r="L21" t="inlineStr"/>
      <c r="M21" t="inlineStr">
        <is>
          <t>ENST00000539477.1:c.161+4A&gt;G|NM_001258274.2:c.161+4A&gt;G|NM_001354628.1:c.884+4A&gt;G|NM_001354616.1:c.161+4A&gt;G|NM_001354618.1:c.161+4A&gt;G|ENST00000435176.1:c.590+4A&gt;G|NM_001258273.1:c.161+4A&gt;G|NM_001354630.1:c.884+4A&gt;G|NM_001354627.1:c.-37+3059A&gt;G|NM_001354621.1:c.-139-2707A&gt;G|ENST00000458009.1:c.225+4A&gt;G|ENST00000231790.2:c.884+4A&gt;G|ENST00000458205.2:c.161+4A&gt;G|NM_001354625.1:c.-37+3059A&gt;G|NM_001354622.1:c.-139-2707A&gt;G|NM_001167617.2:c.590+4A&gt;G|NM_001354620.1:c.590+4A&gt;G|NM_001258271.1:c.884+4A&gt;G|ENST00000536378.1:c.161+4A&gt;G|NM_001354619.1:c.161+4A&gt;G|NM_001354623.1:c.-139-2707A&gt;G|NM_001354624.1:c.-37+3059A&gt;G|ENST00000447829.1:c.172-2707A&gt;G|NM_001354629.1:c.785+4A&gt;G|NM_001167619.2:c.161+4A&gt;G|NM_001354615.1:c.161+4A&gt;G|ENST00000455445.2:c.161+4A&gt;G|ENST00000441265.1:c.161+4A&gt;G|ENST00000413212.1:c.113+3059A&gt;G|ENST00000456676.2:c.859+4A&gt;G|NM_000249.3:c.884+4A&gt;G|NM_001354626.1:c.-37+3059A&gt;G|NM_001354617.1:c.161+4A&gt;G|NM_001167618.2:c.161+4A&gt;G</t>
        </is>
      </c>
      <c r="N21" t="inlineStr"/>
      <c r="O21" t="inlineStr"/>
      <c r="P21" t="inlineStr"/>
      <c r="Q21" t="inlineStr"/>
      <c r="R21" t="inlineStr"/>
      <c r="S21" t="inlineStr"/>
    </row>
    <row r="22">
      <c r="A22" t="inlineStr">
        <is>
          <t>3</t>
        </is>
      </c>
      <c r="B22" t="n">
        <v>37055918</v>
      </c>
      <c r="C22" t="inlineStr">
        <is>
          <t>AAT</t>
        </is>
      </c>
      <c r="D22" t="inlineStr">
        <is>
          <t>A</t>
        </is>
      </c>
      <c r="E22" t="inlineStr">
        <is>
          <t>90326</t>
        </is>
      </c>
      <c r="F22">
        <f>HYPERLINK("https://www.ncbi.nlm.nih.gov/clinvar/variation/90326/","ClinVarDB")</f>
        <v/>
      </c>
      <c r="G22" t="inlineStr">
        <is>
          <t>reviewed_by_expert_panel</t>
        </is>
      </c>
      <c r="H22" t="inlineStr">
        <is>
          <t>Lynch_syndrome</t>
        </is>
      </c>
      <c r="I22" t="inlineStr">
        <is>
          <t>Pathogenic</t>
        </is>
      </c>
      <c r="J22" t="inlineStr">
        <is>
          <t>MLH1</t>
        </is>
      </c>
      <c r="K22" t="inlineStr">
        <is>
          <t>splice_region_variant&amp;intron_variant|splice_region_variant&amp;intron_variant&amp;NMD_transcript_variant|intron_variant</t>
        </is>
      </c>
      <c r="L22" t="inlineStr"/>
      <c r="M22" t="inlineStr">
        <is>
          <t>ENST00000447829.1:c.59-3_59-2del|NM_001354620.1:c.384-3_384-2del|NM_001354626.1:c.-149-3_-149-2del|ENST00000441265.1:c.-46-3_-46-2del|NM_001167617.2:c.384-3_384-2del|NM_001354622.1:c.-252-3_-252-2del|NM_000249.3:c.678-3_678-2del|NM_001258273.1:c.-46-3_-46-2del|ENST00000456676.2:c.653-3_653-2del|NM_001354628.1:c.678-3_678-2del|NM_001258271.1:c.678-3_678-2del|NM_001354629.1:c.579-3_579-2del|ENST00000536378.1:c.-46-3_-46-2del|NM_001354621.1:c.-140+2330_-140+2331del|NM_001354625.1:c.-149-3_-149-2del|ENST00000457004.1:c.*457-3_*457-2del|ENST00000458205.2:c.-46-3_-46-2del|NM_001354616.1:c.-46-3_-46-2del|NM_001354617.1:c.-46-3_-46-2del|NM_001354618.1:c.-46-3_-46-2del|NM_001167618.2:c.-46-3_-46-2del|NM_001354630.1:c.678-3_678-2del|NM_001258274.2:c.-46-3_-46-2del|ENST00000458009.1:c.19-3_19-2del|ENST00000455445.2:c.-46-3_-46-2del|NM_001354615.1:c.-46-3_-46-2del|ENST00000435176.1:c.384-3_384-2del|NM_001167619.2:c.-46-3_-46-2del|ENST00000539477.1:c.-46-3_-46-2del|NM_001354623.1:c.-252-3_-252-2del|NM_001354619.1:c.-46-3_-46-2del|NM_001354624.1:c.-149-3_-149-2del|ENST00000231790.2:c.678-3_678-2del|NM_001354627.1:c.-149-3_-149-2del</t>
        </is>
      </c>
      <c r="N22" t="inlineStr"/>
      <c r="O22" t="inlineStr"/>
      <c r="P22" t="inlineStr"/>
      <c r="Q22" t="inlineStr"/>
      <c r="R22" t="inlineStr"/>
      <c r="S22" t="inlineStr"/>
    </row>
    <row r="23">
      <c r="A23" t="inlineStr">
        <is>
          <t>3</t>
        </is>
      </c>
      <c r="B23" t="n">
        <v>37056040</v>
      </c>
      <c r="C23" t="inlineStr">
        <is>
          <t>G</t>
        </is>
      </c>
      <c r="D23" t="inlineStr">
        <is>
          <t>T</t>
        </is>
      </c>
      <c r="E23" t="inlineStr">
        <is>
          <t>90364</t>
        </is>
      </c>
      <c r="F23">
        <f>HYPERLINK("https://www.ncbi.nlm.nih.gov/clinvar/variation/90364/","ClinVarDB")</f>
        <v/>
      </c>
      <c r="G23" t="inlineStr">
        <is>
          <t>reviewed_by_expert_panel</t>
        </is>
      </c>
      <c r="H23" t="inlineStr">
        <is>
          <t>Lynch_syndrome_I</t>
        </is>
      </c>
      <c r="I23" t="inlineStr">
        <is>
          <t>Pathogenic</t>
        </is>
      </c>
      <c r="J23" t="inlineStr">
        <is>
          <t>MLH1</t>
        </is>
      </c>
      <c r="K23" t="inlineStr">
        <is>
          <t>splice_region_variant&amp;intron_variant|splice_region_variant&amp;intron_variant&amp;NMD_transcript_variant|intron_variant</t>
        </is>
      </c>
      <c r="L23" t="inlineStr"/>
      <c r="M23" t="inlineStr">
        <is>
          <t>ENST00000455445.2:c.67+5G&gt;T|NM_001258271.1:c.790+5G&gt;T|NM_001354628.1:c.790+5G&gt;T|NM_001354620.1:c.496+5G&gt;T|NM_001167619.2:c.67+5G&gt;T|ENST00000413212.1:c.113+5G&gt;T|NM_001354624.1:c.-37+5G&gt;T|ENST00000231790.2:c.790+5G&gt;T|ENST00000458009.1:c.131+5G&gt;T|NM_001354617.1:c.67+5G&gt;T|NM_001167617.2:c.496+5G&gt;T|ENST00000441265.1:c.67+5G&gt;T|NM_000249.3:c.790+5G&gt;T|NM_001354616.1:c.67+5G&gt;T|ENST00000458205.2:c.67+5G&gt;T|NM_001354629.1:c.691+5G&gt;T|ENST00000435176.1:c.496+5G&gt;T|NM_001354622.1:c.-140+5G&gt;T|NM_001167618.2:c.67+5G&gt;T|NM_001354615.1:c.67+5G&gt;T|NM_001354630.1:c.790+5G&gt;T|ENST00000456676.2:c.765+5G&gt;T|NM_001354625.1:c.-37+5G&gt;T|NM_001354618.1:c.67+5G&gt;T|NM_001354627.1:c.-37+5G&gt;T|ENST00000536378.1:c.67+5G&gt;T|NM_001354626.1:c.-37+5G&gt;T|NM_001258273.1:c.67+5G&gt;T|ENST00000447829.1:c.171+5G&gt;T|ENST00000539477.1:c.67+5G&gt;T|NM_001354619.1:c.67+5G&gt;T|NM_001354621.1:c.-140+2450G&gt;T|NM_001354623.1:c.-140+5G&gt;T|NM_001258274.2:c.67+5G&gt;T</t>
        </is>
      </c>
      <c r="N23" t="inlineStr"/>
      <c r="O23" t="inlineStr"/>
      <c r="P23" t="inlineStr"/>
      <c r="Q23" t="inlineStr"/>
      <c r="R23" t="inlineStr"/>
      <c r="S23" t="inlineStr"/>
    </row>
    <row r="24">
      <c r="A24" t="inlineStr">
        <is>
          <t>3</t>
        </is>
      </c>
      <c r="B24" t="n">
        <v>37053358</v>
      </c>
      <c r="C24" t="inlineStr">
        <is>
          <t>G</t>
        </is>
      </c>
      <c r="D24" t="inlineStr">
        <is>
          <t>A</t>
        </is>
      </c>
      <c r="E24" t="inlineStr">
        <is>
          <t>90285</t>
        </is>
      </c>
      <c r="F24">
        <f>HYPERLINK("https://www.ncbi.nlm.nih.gov/clinvar/variation/90285/","ClinVarDB")</f>
        <v/>
      </c>
      <c r="G24" t="inlineStr">
        <is>
          <t>reviewed_by_expert_panel</t>
        </is>
      </c>
      <c r="H24" t="inlineStr">
        <is>
          <t>Lynch_syndrome|Muir-Torré_syndrome|Turcot_syndrome|Lynch_syndrome_II|Hereditary_cancer-predisposing_syndrome|Hereditary_nonpolyposis_colon_cancer|Hereditary_nonpolyposis_colorectal_neoplasms|not_provided</t>
        </is>
      </c>
      <c r="I24" t="inlineStr">
        <is>
          <t>Pathogenic</t>
        </is>
      </c>
      <c r="J24" t="inlineStr">
        <is>
          <t>MLH1</t>
        </is>
      </c>
      <c r="K24" t="inlineStr">
        <is>
          <t>splice_region_variant&amp;intron_variant|splice_region_variant&amp;intron_variant&amp;NMD_transcript_variant</t>
        </is>
      </c>
      <c r="L24" t="inlineStr"/>
      <c r="M24" t="inlineStr">
        <is>
          <t>ENST00000442249.1:c.*380+5G&gt;A|ENST00000458205.2:c.-136+5G&gt;A|NM_001354625.1:c.-239+5G&gt;A|NM_001354629.1:c.489+5G&gt;A|NM_001258274.2:c.-136+5G&gt;A|NM_001354621.1:c.-229+5G&gt;A|ENST00000456676.2:c.563+5G&gt;A|ENST00000432299.1:c.*668+5G&gt;A|ENST00000536378.1:c.-136+5G&gt;A|NM_001354617.1:c.-136+5G&gt;A|NM_001354620.1:c.294+5G&gt;A|NM_001354626.1:c.-239+5G&gt;A|NM_001167618.2:c.-136+5G&gt;A|ENST00000457004.1:c.*367+5G&gt;A|NM_001167617.2:c.294+5G&gt;A|NM_001354615.1:c.-136+5G&gt;A|ENST00000539477.1:c.-136+5G&gt;A|NM_001354627.1:c.-239+5G&gt;A|NM_001354630.1:c.588+5G&gt;A|NM_000249.3:c.588+5G&gt;A|ENST00000435176.1:c.294+5G&gt;A|ENST00000441265.1:c.-136+5G&gt;A|ENST00000455445.2:c.-136+5G&gt;A|NM_001354616.1:c.-136+5G&gt;A|NM_001258273.1:c.-136+5G&gt;A|NM_001354623.1:c.-342+5G&gt;A|NM_001167619.2:c.-136+5G&gt;A|NM_001258271.1:c.588+5G&gt;A|NM_001354618.1:c.-136+5G&gt;A|NM_001354622.1:c.-342+5G&gt;A|NM_001354624.1:c.-239+5G&gt;A|NM_001354619.1:c.-136+5G&gt;A|ENST00000231790.2:c.588+5G&gt;A|NM_001354628.1:c.588+5G&gt;A</t>
        </is>
      </c>
      <c r="N24" t="inlineStr"/>
      <c r="O24" t="inlineStr"/>
      <c r="P24" t="inlineStr"/>
      <c r="Q24" t="inlineStr"/>
      <c r="R24" t="inlineStr"/>
      <c r="S24" t="inlineStr"/>
    </row>
    <row r="25">
      <c r="A25" t="inlineStr">
        <is>
          <t>3</t>
        </is>
      </c>
      <c r="B25" t="n">
        <v>37053593</v>
      </c>
      <c r="C25" t="inlineStr">
        <is>
          <t>A</t>
        </is>
      </c>
      <c r="D25" t="inlineStr">
        <is>
          <t>G</t>
        </is>
      </c>
      <c r="E25" t="inlineStr">
        <is>
          <t>90315</t>
        </is>
      </c>
      <c r="F25">
        <f>HYPERLINK("https://www.ncbi.nlm.nih.gov/clinvar/variation/90315/","ClinVarDB")</f>
        <v/>
      </c>
      <c r="G25" t="inlineStr">
        <is>
          <t>reviewed_by_expert_panel</t>
        </is>
      </c>
      <c r="H25" t="inlineStr">
        <is>
          <t>Carcinoma_of_colon|Lynch_syndrome|Hereditary_cancer-predisposing_syndrome|Hereditary_nonpolyposis_colorectal_neoplasms|not_provided</t>
        </is>
      </c>
      <c r="I25" t="inlineStr">
        <is>
          <t>Pathogenic</t>
        </is>
      </c>
      <c r="J25" t="inlineStr">
        <is>
          <t>MLH1</t>
        </is>
      </c>
      <c r="K25" t="inlineStr">
        <is>
          <t>splice_region_variant&amp;intron_variant|splice_region_variant&amp;intron_variant&amp;NMD_transcript_variant</t>
        </is>
      </c>
      <c r="L25" t="inlineStr"/>
      <c r="M25" t="inlineStr">
        <is>
          <t>NM_001354624.1:c.-150+3A&gt;G|NM_001354618.1:c.-47+3A&gt;G|ENST00000455445.2:c.-47+3A&gt;G|NM_000249.3:c.677+3A&gt;G|ENST00000458009.1:c.18+3A&gt;G|ENST00000457004.1:c.*456+3A&gt;G|ENST00000536378.1:c.-47+3A&gt;G|NM_001354628.1:c.677+3A&gt;G|NM_001354617.1:c.-47+3A&gt;G|ENST00000435176.1:c.383+3A&gt;G|ENST00000539477.1:c.-47+3A&gt;G|ENST00000447829.1:c.58+3A&gt;G|NM_001354626.1:c.-150+3A&gt;G|NM_001354625.1:c.-150+3A&gt;G|ENST00000231790.2:c.677+3A&gt;G|ENST00000441265.1:c.-47+3A&gt;G|NM_001354627.1:c.-150+3A&gt;G|NM_001167619.2:c.-47+3A&gt;G|NM_001354615.1:c.-47+3A&gt;G|NM_001354623.1:c.-253+3A&gt;G|NM_001258273.1:c.-47+3A&gt;G|ENST00000456676.2:c.652+3A&gt;G|NM_001354630.1:c.677+3A&gt;G|NM_001354622.1:c.-253+3A&gt;G|NM_001354616.1:c.-47+3A&gt;G|NM_001167618.2:c.-47+3A&gt;G|NM_001354621.1:c.-140+3A&gt;G|NM_001354629.1:c.578+3A&gt;G|NM_001258274.2:c.-47+3A&gt;G|NM_001258271.1:c.677+3A&gt;G|ENST00000458205.2:c.-47+3A&gt;G|NM_001354619.1:c.-47+3A&gt;G|NM_001354620.1:c.383+3A&gt;G|NM_001167617.2:c.383+3A&gt;G</t>
        </is>
      </c>
      <c r="N25" t="inlineStr"/>
      <c r="O25" t="inlineStr"/>
      <c r="P25" t="inlineStr"/>
      <c r="Q25" t="inlineStr"/>
      <c r="R25" t="inlineStr"/>
      <c r="S25" t="inlineStr"/>
    </row>
    <row r="26">
      <c r="A26" t="inlineStr">
        <is>
          <t>3</t>
        </is>
      </c>
      <c r="B26" t="n">
        <v>37083756</v>
      </c>
      <c r="C26" t="inlineStr">
        <is>
          <t>C</t>
        </is>
      </c>
      <c r="D26" t="inlineStr">
        <is>
          <t>A</t>
        </is>
      </c>
      <c r="E26" t="inlineStr">
        <is>
          <t>89829</t>
        </is>
      </c>
      <c r="F26">
        <f>HYPERLINK("https://www.ncbi.nlm.nih.gov/clinvar/variation/89829/","ClinVarDB")</f>
        <v/>
      </c>
      <c r="G26" t="inlineStr">
        <is>
          <t>reviewed_by_expert_panel</t>
        </is>
      </c>
      <c r="H26" t="inlineStr">
        <is>
          <t>Carcinoma_of_colon|Lynch_syndrome</t>
        </is>
      </c>
      <c r="I26" t="inlineStr">
        <is>
          <t>Likely_pathogenic</t>
        </is>
      </c>
      <c r="J26" t="inlineStr">
        <is>
          <t>MLH1</t>
        </is>
      </c>
      <c r="K26" t="inlineStr">
        <is>
          <t>splice_region_variant&amp;intron_variant|intron_variant</t>
        </is>
      </c>
      <c r="L26" t="inlineStr"/>
      <c r="M26" t="inlineStr">
        <is>
          <t>NM_000249.3:c.1668-3C&gt;A|NM_001354627.1:c.594-3C&gt;A|NM_001354625.1:c.594-3C&gt;A|NM_001354616.1:c.945-3C&gt;A|NM_001354620.1:c.1374-3C&gt;A|ENST00000536378.1:c.945-3C&gt;A|ENST00000539477.1:c.945-3C&gt;A|ENST00000435176.1:c.1374-3C&gt;A|NM_001354619.1:c.945-3C&gt;A|NM_001354630.1:c.1668-3C&gt;A|NM_001354615.1:c.945-3C&gt;A|NM_001167619.2:c.945-3C&gt;A|NM_001354628.1:c.1668-3C&gt;A|ENST00000456676.2:c.1643-3C&gt;A|NM_001354623.1:c.645-3C&gt;A|NM_001354629.1:c.1569-3C&gt;A|NM_001258273.1:c.945-3C&gt;A|NM_001167617.2:c.1374-3C&gt;A|NM_001258271.1:c.1668-3C&gt;A|NM_001354618.1:c.945-3C&gt;A|ENST00000413740.1:c.290+1971C&gt;A|ENST00000450420.1:c.182-8221C&gt;A|ENST00000458205.2:c.945-3C&gt;A|ENST00000231790.2:c.1668-3C&gt;A|NM_001354617.1:c.945-3C&gt;A|NM_001354621.1:c.645-3C&gt;A|ENST00000455445.2:c.945-3C&gt;A|NM_001354624.1:c.594-3C&gt;A|NM_001354622.1:c.645-3C&gt;A|NM_001167618.2:c.945-3C&gt;A|NM_001258274.2:c.945-3C&gt;A|NM_001354626.1:c.594-3C&gt;A</t>
        </is>
      </c>
      <c r="N26" t="inlineStr"/>
      <c r="O26" t="inlineStr"/>
      <c r="P26" t="inlineStr"/>
      <c r="Q26" t="inlineStr"/>
      <c r="R26" t="inlineStr"/>
      <c r="S26" t="inlineStr"/>
    </row>
    <row r="27">
      <c r="A27" t="inlineStr">
        <is>
          <t>3</t>
        </is>
      </c>
      <c r="B27" t="n">
        <v>37083825</v>
      </c>
      <c r="C27" t="inlineStr">
        <is>
          <t>A</t>
        </is>
      </c>
      <c r="D27" t="inlineStr">
        <is>
          <t>T</t>
        </is>
      </c>
      <c r="E27" t="inlineStr">
        <is>
          <t>89853</t>
        </is>
      </c>
      <c r="F27">
        <f>HYPERLINK("https://www.ncbi.nlm.nih.gov/clinvar/variation/89853/","ClinVarDB")</f>
        <v/>
      </c>
      <c r="G27" t="inlineStr">
        <is>
          <t>reviewed_by_expert_panel</t>
        </is>
      </c>
      <c r="H27" t="inlineStr">
        <is>
          <t>Lynch_syndrome</t>
        </is>
      </c>
      <c r="I27" t="inlineStr">
        <is>
          <t>Likely_pathogenic</t>
        </is>
      </c>
      <c r="J27" t="inlineStr">
        <is>
          <t>MLH1</t>
        </is>
      </c>
      <c r="K27" t="inlineStr">
        <is>
          <t>splice_region_variant&amp;intron_variant|intron_variant</t>
        </is>
      </c>
      <c r="L27" t="inlineStr"/>
      <c r="M27" t="inlineStr">
        <is>
          <t>NM_001354615.1:c.1008+3A&gt;T|ENST00000458205.2:c.1008+3A&gt;T|ENST00000413740.1:c.290+2040A&gt;T|NM_001354624.1:c.657+3A&gt;T|NM_001354623.1:c.708+3A&gt;T|NM_001354626.1:c.657+3A&gt;T|NM_001354630.1:c.1731+3A&gt;T|NM_001354617.1:c.1008+3A&gt;T|NM_001354627.1:c.657+3A&gt;T|NM_001167619.2:c.1008+3A&gt;T|NM_001258274.2:c.1008+3A&gt;T|NM_001354618.1:c.1008+3A&gt;T|ENST00000536378.1:c.1008+3A&gt;T|NM_001258273.1:c.1008+3A&gt;T|NM_001354622.1:c.708+3A&gt;T|NM_001354628.1:c.1731+3A&gt;T|NM_001167617.2:c.1437+3A&gt;T|NM_001354619.1:c.1008+3A&gt;T|NM_001354625.1:c.657+3A&gt;T|ENST00000435176.1:c.1437+3A&gt;T|NM_001354629.1:c.1632+3A&gt;T|ENST00000539477.1:c.1008+3A&gt;T|ENST00000456676.2:c.1706+3A&gt;T|NM_001167618.2:c.1008+3A&gt;T|ENST00000231790.2:c.1731+3A&gt;T|ENST00000450420.1:c.182-8152A&gt;T|NM_000249.3:c.1731+3A&gt;T|NM_001354620.1:c.1437+3A&gt;T|NM_001258271.1:c.1731+3A&gt;T|NM_001354621.1:c.708+3A&gt;T|NM_001354616.1:c.1008+3A&gt;T|ENST00000455445.2:c.1008+3A&gt;T</t>
        </is>
      </c>
      <c r="N27" t="inlineStr"/>
      <c r="O27" t="inlineStr"/>
      <c r="P27" t="inlineStr"/>
      <c r="Q27" t="inlineStr"/>
      <c r="R27" t="inlineStr"/>
      <c r="S27" t="inlineStr"/>
    </row>
    <row r="28">
      <c r="A28" t="inlineStr">
        <is>
          <t>3</t>
        </is>
      </c>
      <c r="B28" t="n">
        <v>37083827</v>
      </c>
      <c r="C28" t="inlineStr">
        <is>
          <t>G</t>
        </is>
      </c>
      <c r="D28" t="inlineStr">
        <is>
          <t>A</t>
        </is>
      </c>
      <c r="E28" t="inlineStr">
        <is>
          <t>89854</t>
        </is>
      </c>
      <c r="F28">
        <f>HYPERLINK("https://www.ncbi.nlm.nih.gov/clinvar/variation/89854/","ClinVarDB")</f>
        <v/>
      </c>
      <c r="G28" t="inlineStr">
        <is>
          <t>reviewed_by_expert_panel</t>
        </is>
      </c>
      <c r="H28" t="inlineStr">
        <is>
          <t>Lynch_syndrome|Hereditary_cancer-predisposing_syndrome|Hereditary_nonpolyposis_colorectal_neoplasms</t>
        </is>
      </c>
      <c r="I28" t="inlineStr">
        <is>
          <t>Pathogenic</t>
        </is>
      </c>
      <c r="J28" t="inlineStr">
        <is>
          <t>MLH1</t>
        </is>
      </c>
      <c r="K28" t="inlineStr">
        <is>
          <t>splice_region_variant&amp;intron_variant|intron_variant</t>
        </is>
      </c>
      <c r="L28" t="inlineStr"/>
      <c r="M28" t="inlineStr">
        <is>
          <t>NM_001354624.1:c.657+5G&gt;A|ENST00000413740.1:c.290+2042G&gt;A|ENST00000455445.2:c.1008+5G&gt;A|NM_001167618.2:c.1008+5G&gt;A|NM_001354617.1:c.1008+5G&gt;A|NM_001258271.1:c.1731+5G&gt;A|NM_001167617.2:c.1437+5G&gt;A|NM_001354618.1:c.1008+5G&gt;A|ENST00000536378.1:c.1008+5G&gt;A|NM_001354630.1:c.1731+5G&gt;A|NM_001354616.1:c.1008+5G&gt;A|NM_001354615.1:c.1008+5G&gt;A|NM_001354623.1:c.708+5G&gt;A|NM_001354627.1:c.657+5G&gt;A|NM_001258273.1:c.1008+5G&gt;A|ENST00000435176.1:c.1437+5G&gt;A|NM_000249.3:c.1731+5G&gt;A|NM_001354628.1:c.1731+5G&gt;A|ENST00000450420.1:c.182-8150G&gt;A|NM_001354621.1:c.708+5G&gt;A|NM_001354622.1:c.708+5G&gt;A|ENST00000456676.2:c.1706+5G&gt;A|NM_001354629.1:c.1632+5G&gt;A|NM_001258274.2:c.1008+5G&gt;A|NM_001354619.1:c.1008+5G&gt;A|ENST00000231790.2:c.1731+5G&gt;A|ENST00000458205.2:c.1008+5G&gt;A|NM_001354620.1:c.1437+5G&gt;A|NM_001354626.1:c.657+5G&gt;A|NM_001354625.1:c.657+5G&gt;A|NM_001167619.2:c.1008+5G&gt;A|ENST00000539477.1:c.1008+5G&gt;A</t>
        </is>
      </c>
      <c r="N28" t="inlineStr"/>
      <c r="O28" t="inlineStr"/>
      <c r="P28" t="inlineStr"/>
      <c r="Q28" t="inlineStr"/>
      <c r="R28" t="inlineStr"/>
      <c r="S28" t="inlineStr"/>
    </row>
    <row r="29">
      <c r="A29" t="inlineStr">
        <is>
          <t>3</t>
        </is>
      </c>
      <c r="B29" t="n">
        <v>37061954</v>
      </c>
      <c r="C29" t="inlineStr">
        <is>
          <t>G</t>
        </is>
      </c>
      <c r="D29" t="inlineStr">
        <is>
          <t>A</t>
        </is>
      </c>
      <c r="E29" t="inlineStr">
        <is>
          <t>89616</t>
        </is>
      </c>
      <c r="F29">
        <f>HYPERLINK("https://www.ncbi.nlm.nih.gov/clinvar/variation/89616/","ClinVarDB")</f>
        <v/>
      </c>
      <c r="G29" t="inlineStr">
        <is>
          <t>reviewed_by_expert_panel</t>
        </is>
      </c>
      <c r="H29" t="inlineStr">
        <is>
          <t>Lynch_syndrome|Hereditary_cancer-predisposing_syndrome|Hereditary_nonpolyposis_colorectal_neoplasms|not_provided</t>
        </is>
      </c>
      <c r="I29" t="inlineStr">
        <is>
          <t>Pathogenic</t>
        </is>
      </c>
      <c r="J29" t="inlineStr">
        <is>
          <t>MLH1</t>
        </is>
      </c>
      <c r="K29" t="inlineStr">
        <is>
          <t>intron_variant|synonymous_variant|splice_region_variant&amp;synonymous_variant|splice_region_variant&amp;3_prime_UTR_variant&amp;NMD_transcript_variant|intron_variant&amp;NMD_transcript_variant</t>
        </is>
      </c>
      <c r="L29" t="inlineStr">
        <is>
          <t>|NP_001341550.1:p.Gln5=|ENSP00000231790.2:p.Gln346=|ENSP00000398272.2:p.Gln105=|NP_001341552.1:p.Gln5=|NP_001341549.1:p.Gln248=|NP_001245202.1:p.Gln105=|NP_001341544.1:p.Gln105=|NP_001161091.1:p.Gln105=|NP_000240.1:p.Gln346=|NP_001341559.1:p.Gln346=|NP_001341546.1:p.Gln105=|NP_001341545.1:p.Gln105=|NP_001341547.1:p.Gln105=|ENSP00000398392.1:p.Gln105=|ENSP00000402667.2:p.Gln105=|NP_001341557.1:p.Gln346=|NP_001341551.1:p.Gln5=|ENSP00000416687.2:p.Gln338=|NP_001245203.1:p.Gln105=|NP_001341548.1:p.Gln105=|ENSP00000402564.1:p.Gln248=|NP_001341558.1:p.Gln313=|NP_001161090.1:p.Gln105=|ENSP00000443665.1:p.Gln105=|NP_001245200.1:p.Gln346=|ENSP00000444286.1:p.Gln105=|NP_001161089.1:p.Gln248=</t>
        </is>
      </c>
      <c r="M29" t="inlineStr">
        <is>
          <t>NM_001167618.2:c.315G&gt;A|NM_001354626.1:c.-36-5174G&gt;A|ENST00000447829.1:c.*149G&gt;A|NM_001354629.1:c.939G&gt;A|NM_001354625.1:c.-36-5174G&gt;A|ENST00000231790.2:c.1038G&gt;A|NM_001354628.1:c.1038G&gt;A|NM_001354623.1:c.15G&gt;A|NM_001167619.2:c.315G&gt;A|ENST00000455445.2:c.315G&gt;A|NM_001354630.1:c.1038G&gt;A|NM_001354615.1:c.315G&gt;A|NM_001354619.1:c.315G&gt;A|NM_001354617.1:c.315G&gt;A|NM_001354622.1:c.15G&gt;A|NM_001354616.1:c.315G&gt;A|NM_001354627.1:c.-36-5174G&gt;A|NM_001354621.1:c.15G&gt;A|ENST00000536378.1:c.315G&gt;A|NM_001354624.1:c.-36-5174G&gt;A|NM_001258274.2:c.315G&gt;A|ENST00000441265.1:c.315G&gt;A|ENST00000456676.2:c.1014G&gt;A|ENST00000435176.1:c.744G&gt;A|ENST00000458009.1:c.225+2864G&gt;A|NM_001354620.1:c.744G&gt;A|NM_000249.3:c.1038G&gt;A|NM_001354618.1:c.315G&gt;A|ENST00000413212.1:c.114-5174G&gt;A|NM_001167617.2:c.744G&gt;A|ENST00000458205.2:c.315G&gt;A|ENST00000539477.1:c.315G&gt;A|NM_001258271.1:c.1038G&gt;A|NM_001258273.1:c.315G&gt;A</t>
        </is>
      </c>
      <c r="N29" t="inlineStr"/>
      <c r="O29" t="inlineStr"/>
      <c r="P29" t="inlineStr"/>
      <c r="Q29" t="inlineStr"/>
      <c r="R29" t="inlineStr"/>
      <c r="S29" t="inlineStr"/>
    </row>
    <row r="30">
      <c r="A30" t="inlineStr">
        <is>
          <t>3</t>
        </is>
      </c>
      <c r="B30" t="n">
        <v>37050394</v>
      </c>
      <c r="C30" t="inlineStr">
        <is>
          <t>C</t>
        </is>
      </c>
      <c r="D30" t="inlineStr">
        <is>
          <t>G</t>
        </is>
      </c>
      <c r="E30" t="inlineStr">
        <is>
          <t>633498</t>
        </is>
      </c>
      <c r="F30">
        <f>HYPERLINK("https://www.ncbi.nlm.nih.gov/clinvar/variation/633498/","ClinVarDB")</f>
        <v/>
      </c>
      <c r="G30" t="inlineStr">
        <is>
          <t>reviewed_by_expert_panel</t>
        </is>
      </c>
      <c r="H30" t="inlineStr">
        <is>
          <t>Lynch_syndrome</t>
        </is>
      </c>
      <c r="I30" t="inlineStr">
        <is>
          <t>Likely_pathogenic</t>
        </is>
      </c>
      <c r="J30" t="inlineStr">
        <is>
          <t>MLH1</t>
        </is>
      </c>
      <c r="K30" t="inlineStr">
        <is>
          <t>intron_variant|synonymous_variant|splice_region_variant&amp;non_coding_transcript_exon_variant|splice_region_variant&amp;synonymous_variant|splice_region_variant&amp;5_prime_UTR_variant|splice_region_variant&amp;3_prime_UTR_variant&amp;NMD_transcript_variant</t>
        </is>
      </c>
      <c r="L30" t="inlineStr">
        <is>
          <t>|NP_001341558.1:p.Gly148=|NP_001161089.1:p.Gly83=|ENSP00000231790.2:p.Gly181=|NP_001341557.1:p.Gly181=|NP_001341549.1:p.Gly83=|ENSP00000407019.1:p.Gly83=|ENSP00000402564.1:p.Gly83=|ENSP00000416687.2:p.Gly173=|NP_001245200.1:p.Gly181=|NP_000240.1:p.Gly181=|NP_001341559.1:p.Gly181=</t>
        </is>
      </c>
      <c r="M30" t="inlineStr">
        <is>
          <t>NM_001354624.1:c.-284C&gt;G|NM_001354618.1:c.-181C&gt;G|ENST00000442249.1:c.*335C&gt;G|ENST00000539477.1:c.-179+1840C&gt;G|ENST00000435176.1:c.249C&gt;G|NM_001167618.2:c.-181C&gt;G|ENST00000536378.1:c.-181C&gt;G|NM_000249.3:c.543C&gt;G|ENST00000441265.1:c.-179+1840C&gt;G|NM_001354621.1:c.-274C&gt;G|NM_001354625.1:c.-282+1840C&gt;G|ENST00000454028.1:c.*416C&gt;G|NM_001354628.1:c.543C&gt;G|NM_001354629.1:c.444C&gt;G|ENST00000429117.1:c.249C&gt;G|NM_001354620.1:c.249C&gt;G|ENST00000231790.2:c.543C&gt;G|NM_001258271.1:c.543C&gt;G|NM_001354617.1:c.-181C&gt;G|NM_001354627.1:c.-284C&gt;G|NM_001354630.1:c.543C&gt;G|ENST00000456676.2:c.519C&gt;G|ENST00000457004.1:c.*322C&gt;G|NM_001167617.2:c.249C&gt;G|NM_001354616.1:c.-179+1840C&gt;G|ENST00000432299.1:c.*623C&gt;G|NM_001258274.2:c.-181C&gt;G|NM_001354626.1:c.-284C&gt;G|NM_001354615.1:c.-179+1840C&gt;G|ENST00000492474.1:n.566C&gt;G|ENST00000455445.2:c.-181C&gt;G|NM_001354622.1:c.-387C&gt;G|NM_001354619.1:c.-181C&gt;G|NM_001354623.1:c.-387C&gt;G|NM_001258273.1:c.-181C&gt;G|NM_001167619.2:c.-179+1840C&gt;G|ENST00000458205.2:c.-181C&gt;G|ENST00000485889.1:n.547C&gt;G</t>
        </is>
      </c>
      <c r="N30" t="inlineStr">
        <is>
          <t>3.977279902755981e-06</t>
        </is>
      </c>
      <c r="O30" t="n">
        <v>1</v>
      </c>
      <c r="P30" t="inlineStr">
        <is>
          <t>0</t>
        </is>
      </c>
      <c r="Q30" t="inlineStr"/>
      <c r="R30" t="inlineStr"/>
      <c r="S30" t="inlineStr"/>
    </row>
    <row r="31">
      <c r="A31" t="inlineStr">
        <is>
          <t>3</t>
        </is>
      </c>
      <c r="B31" t="n">
        <v>37050394</v>
      </c>
      <c r="C31" t="inlineStr">
        <is>
          <t>C</t>
        </is>
      </c>
      <c r="D31" t="inlineStr">
        <is>
          <t>T</t>
        </is>
      </c>
      <c r="E31" t="inlineStr">
        <is>
          <t>633499</t>
        </is>
      </c>
      <c r="F31">
        <f>HYPERLINK("https://www.ncbi.nlm.nih.gov/clinvar/variation/633499/","ClinVarDB")</f>
        <v/>
      </c>
      <c r="G31" t="inlineStr">
        <is>
          <t>reviewed_by_expert_panel</t>
        </is>
      </c>
      <c r="H31" t="inlineStr">
        <is>
          <t>Lynch_syndrome|Hereditary_cancer-predisposing_syndrome</t>
        </is>
      </c>
      <c r="I31" t="inlineStr">
        <is>
          <t>Pathogenic</t>
        </is>
      </c>
      <c r="J31" t="inlineStr">
        <is>
          <t>MLH1</t>
        </is>
      </c>
      <c r="K31" t="inlineStr">
        <is>
          <t>intron_variant|synonymous_variant|splice_region_variant&amp;non_coding_transcript_exon_variant|splice_region_variant&amp;synonymous_variant|splice_region_variant&amp;5_prime_UTR_variant|splice_region_variant&amp;3_prime_UTR_variant&amp;NMD_transcript_variant</t>
        </is>
      </c>
      <c r="L31" t="inlineStr">
        <is>
          <t>|NP_001341558.1:p.Gly148=|NP_001161089.1:p.Gly83=|ENSP00000231790.2:p.Gly181=|NP_001341557.1:p.Gly181=|NP_001341549.1:p.Gly83=|ENSP00000407019.1:p.Gly83=|ENSP00000402564.1:p.Gly83=|ENSP00000416687.2:p.Gly173=|NP_001245200.1:p.Gly181=|NP_000240.1:p.Gly181=|NP_001341559.1:p.Gly181=</t>
        </is>
      </c>
      <c r="M31" t="inlineStr">
        <is>
          <t>ENST00000441265.1:c.-179+1840C&gt;T|ENST00000485889.1:n.547C&gt;T|ENST00000492474.1:n.566C&gt;T|ENST00000432299.1:c.*623C&gt;T|ENST00000455445.2:c.-181C&gt;T|NM_001354622.1:c.-387C&gt;T|NM_001258274.2:c.-181C&gt;T|ENST00000536378.1:c.-181C&gt;T|NM_001354630.1:c.543C&gt;T|NM_001258271.1:c.543C&gt;T|ENST00000457004.1:c.*322C&gt;T|NM_001167617.2:c.249C&gt;T|ENST00000454028.1:c.*416C&gt;T|ENST00000458205.2:c.-181C&gt;T|NM_001354628.1:c.543C&gt;T|ENST00000429117.1:c.249C&gt;T|ENST00000539477.1:c.-179+1840C&gt;T|NM_001354619.1:c.-181C&gt;T|NM_001354629.1:c.444C&gt;T|NM_001354618.1:c.-181C&gt;T|NM_001354616.1:c.-179+1840C&gt;T|NM_001354625.1:c.-282+1840C&gt;T|NM_001258273.1:c.-181C&gt;T|NM_000249.3:c.543C&gt;T|NM_001354615.1:c.-179+1840C&gt;T|ENST00000442249.1:c.*335C&gt;T|NM_001354626.1:c.-284C&gt;T|NM_001354623.1:c.-387C&gt;T|NM_001167618.2:c.-181C&gt;T|NM_001167619.2:c.-179+1840C&gt;T|ENST00000435176.1:c.249C&gt;T|NM_001354621.1:c.-274C&gt;T|ENST00000456676.2:c.519C&gt;T|NM_001354620.1:c.249C&gt;T|ENST00000231790.2:c.543C&gt;T|NM_001354617.1:c.-181C&gt;T|NM_001354624.1:c.-284C&gt;T|NM_001354627.1:c.-284C&gt;T</t>
        </is>
      </c>
      <c r="N31" t="inlineStr"/>
      <c r="O31" t="inlineStr"/>
      <c r="P31" t="inlineStr"/>
      <c r="Q31" t="inlineStr"/>
      <c r="R31" t="inlineStr"/>
      <c r="S31" t="inlineStr"/>
    </row>
    <row r="32">
      <c r="A32" t="inlineStr">
        <is>
          <t>3</t>
        </is>
      </c>
      <c r="B32" t="n">
        <v>37042443</v>
      </c>
      <c r="C32" t="inlineStr">
        <is>
          <t>C</t>
        </is>
      </c>
      <c r="D32" t="inlineStr">
        <is>
          <t>G</t>
        </is>
      </c>
      <c r="E32" t="inlineStr">
        <is>
          <t>90032</t>
        </is>
      </c>
      <c r="F32">
        <f>HYPERLINK("https://www.ncbi.nlm.nih.gov/clinvar/variation/90032/","ClinVarDB")</f>
        <v/>
      </c>
      <c r="G32" t="inlineStr">
        <is>
          <t>reviewed_by_expert_panel</t>
        </is>
      </c>
      <c r="H32" t="inlineStr">
        <is>
          <t>Lynch_syndrome|Muir-Torré_syndrome|Turcot_syndrome|Lynch_syndrome_II|Hereditary_cancer-predisposing_syndrome|Hereditary_nonpolyposis_colorectal_neoplasms|not_provided</t>
        </is>
      </c>
      <c r="I32" t="inlineStr">
        <is>
          <t>Likely_pathogenic</t>
        </is>
      </c>
      <c r="J32" t="inlineStr">
        <is>
          <t>MLH1</t>
        </is>
      </c>
      <c r="K32" t="inlineStr">
        <is>
          <t>intron_variant|splice_region_variant&amp;intron_variant|splice_region_variant&amp;intron_variant&amp;non_coding_transcript_variant|splice_region_variant&amp;intron_variant&amp;NMD_transcript_variant|intron_variant&amp;NMD_transcript_variant</t>
        </is>
      </c>
      <c r="L32" t="inlineStr"/>
      <c r="M32" t="inlineStr">
        <is>
          <t>ENST00000457004.1:c.*86-3449C&gt;G|NM_001354615.1:c.-419-3C&gt;G|NM_001354620.1:c.-82-3C&gt;G|NM_001354627.1:c.-619-3C&gt;G|ENST00000455445.2:c.-516-3C&gt;G|ENST00000231790.2:c.208-3C&gt;G|NM_001354623.1:c.-722-3C&gt;G|ENST00000539477.1:c.-424-3C&gt;G|NM_001354622.1:c.-722-3C&gt;G|NM_001354628.1:c.208-3C&gt;G|NM_001354630.1:c.208-3C&gt;G|NM_001167618.2:c.-516-3C&gt;G|NM_001354626.1:c.-619-3C&gt;G|NM_000249.3:c.208-3C&gt;G|NM_001258273.1:c.-516-3C&gt;G|ENST00000432299.1:c.*288-3C&gt;G|NM_001354625.1:c.-522-3C&gt;G|ENST00000441265.1:c.-424-3C&gt;G|ENST00000454028.1:c.*86-3C&gt;G|ENST00000435176.1:c.-82-3C&gt;G|ENST00000442249.1:c.*-3C&gt;G|ENST00000456676.2:c.183-3C&gt;G|NM_001167619.2:c.-424-3C&gt;G|ENST00000458205.2:c.-516-3C&gt;G|NM_001354617.1:c.-516-3C&gt;G|ENST00000476172.1:n.330-3C&gt;G|NM_001258271.1:c.208-3C&gt;G|NM_001354616.1:c.-424-3C&gt;G|NM_001354621.1:c.-609-3C&gt;G|NM_001167617.2:c.-82-3C&gt;G|ENST00000466900.1:n.135-3C&gt;G|NM_001258274.2:c.-516-3C&gt;G|NM_001354624.1:c.-619-3C&gt;G|ENST00000485889.1:n.212-3C&gt;G|ENST00000492474.1:n.231-3C&gt;G|ENST00000536378.1:c.-516-3C&gt;G|NM_001354618.1:c.-516-3C&gt;G|NM_001354629.1:c.208-3449C&gt;G|NM_001354619.1:c.-516-3C&gt;G|ENST00000429117.1:c.-82-3C&gt;G</t>
        </is>
      </c>
      <c r="N32" t="inlineStr"/>
      <c r="O32" t="inlineStr"/>
      <c r="P32" t="inlineStr"/>
      <c r="Q32" t="inlineStr"/>
      <c r="R32" t="inlineStr"/>
      <c r="S32" t="inlineStr"/>
    </row>
    <row r="33">
      <c r="A33" t="inlineStr">
        <is>
          <t>3</t>
        </is>
      </c>
      <c r="B33" t="n">
        <v>37042549</v>
      </c>
      <c r="C33" t="inlineStr">
        <is>
          <t>G</t>
        </is>
      </c>
      <c r="D33" t="inlineStr">
        <is>
          <t>A</t>
        </is>
      </c>
      <c r="E33" t="inlineStr">
        <is>
          <t>90148</t>
        </is>
      </c>
      <c r="F33">
        <f>HYPERLINK("https://www.ncbi.nlm.nih.gov/clinvar/variation/90148/","ClinVarDB")</f>
        <v/>
      </c>
      <c r="G33" t="inlineStr">
        <is>
          <t>reviewed_by_expert_panel</t>
        </is>
      </c>
      <c r="H33" t="inlineStr">
        <is>
          <t>Lynch_syndrome|Muir-Torré_syndrome|Turcot_syndrome|Lynch_syndrome_II|Hereditary_cancer-predisposing_syndrome|Hereditary_nonpolyposis_colorectal_neoplasms|not_provided</t>
        </is>
      </c>
      <c r="I33" t="inlineStr">
        <is>
          <t>Pathogenic</t>
        </is>
      </c>
      <c r="J33" t="inlineStr">
        <is>
          <t>MLH1</t>
        </is>
      </c>
      <c r="K33" t="inlineStr">
        <is>
          <t>intron_variant|splice_region_variant&amp;intron_variant|splice_region_variant&amp;intron_variant&amp;non_coding_transcript_variant|splice_region_variant&amp;intron_variant&amp;NMD_transcript_variant|intron_variant&amp;NMD_transcript_variant</t>
        </is>
      </c>
      <c r="L33" t="inlineStr"/>
      <c r="M33" t="inlineStr">
        <is>
          <t>ENST00000435176.1:c.12+10G&gt;A|NM_001354617.1:c.-418+5G&gt;A|NM_001354627.1:c.-521+5G&gt;A|NM_001258273.1:c.-418+5G&gt;A|ENST00000454028.1:c.*179+10G&gt;A|ENST00000457004.1:c.*86-3343G&gt;A|NM_001354618.1:c.-418+5G&gt;A|ENST00000231790.2:c.306+5G&gt;A|ENST00000432299.1:c.*386+5G&gt;A|ENST00000458205.2:c.-418+5G&gt;A|NM_001167617.2:c.12+10G&gt;A|NM_001354628.1:c.306+5G&gt;A|ENST00000539477.1:c.-326+5G&gt;A|NM_001354625.1:c.-429+10G&gt;A|NM_001354624.1:c.-521+5G&gt;A|NM_001354626.1:c.-521+5G&gt;A|ENST00000455445.2:c.-418+5G&gt;A|ENST00000492474.1:n.329+5G&gt;A|NM_001354619.1:c.-418+5G&gt;A|NM_001167619.2:c.-326+5G&gt;A|NM_001354621.1:c.-511+5G&gt;A|NM_000249.3:c.306+5G&gt;A|ENST00000456676.2:c.281+5G&gt;A|ENST00000429117.1:c.12+10G&gt;A|ENST00000536378.1:c.-418+5G&gt;A|ENST00000442249.1:c.*98+5G&gt;A|NM_001354615.1:c.-326+10G&gt;A|NM_001354620.1:c.12+10G&gt;A|NM_001354629.1:c.208-3343G&gt;A|NM_001354630.1:c.306+5G&gt;A|NM_001354616.1:c.-326+5G&gt;A|ENST00000485889.1:n.310+5G&gt;A|ENST00000441265.1:c.-326+5G&gt;A|NM_001354623.1:c.-624+5G&gt;A|NM_001258271.1:c.306+5G&gt;A|NM_001167618.2:c.-418+5G&gt;A|NM_001258274.2:c.-418+5G&gt;A|NM_001354622.1:c.-624+5G&gt;A|ENST00000466900.1:n.233+5G&gt;A</t>
        </is>
      </c>
      <c r="N33" t="inlineStr"/>
      <c r="O33" t="inlineStr"/>
      <c r="P33" t="inlineStr"/>
      <c r="Q33" t="inlineStr"/>
      <c r="R33" t="inlineStr"/>
      <c r="S33" t="inlineStr"/>
    </row>
    <row r="34">
      <c r="A34" t="inlineStr">
        <is>
          <t>3</t>
        </is>
      </c>
      <c r="B34" t="n">
        <v>37050292</v>
      </c>
      <c r="C34" t="inlineStr">
        <is>
          <t>A</t>
        </is>
      </c>
      <c r="D34" t="inlineStr">
        <is>
          <t>G</t>
        </is>
      </c>
      <c r="E34" t="inlineStr">
        <is>
          <t>90230</t>
        </is>
      </c>
      <c r="F34">
        <f>HYPERLINK("https://www.ncbi.nlm.nih.gov/clinvar/variation/90230/","ClinVarDB")</f>
        <v/>
      </c>
      <c r="G34" t="inlineStr">
        <is>
          <t>reviewed_by_expert_panel</t>
        </is>
      </c>
      <c r="H34" t="inlineStr">
        <is>
          <t>Carcinoma_of_colon|Lynch_syndrome|Hereditary_cancer-predisposing_syndrome|Hereditary_nonpolyposis_colorectal_neoplasms|not_provided</t>
        </is>
      </c>
      <c r="I34" t="inlineStr">
        <is>
          <t>Likely_pathogenic</t>
        </is>
      </c>
      <c r="J34" t="inlineStr">
        <is>
          <t>MLH1</t>
        </is>
      </c>
      <c r="K34" t="inlineStr">
        <is>
          <t>intron_variant&amp;non_coding_transcript_variant|intron_variant|intron_variant&amp;NMD_transcript_variant</t>
        </is>
      </c>
      <c r="L34" t="inlineStr"/>
      <c r="M34" t="inlineStr">
        <is>
          <t>NM_001167618.2:c.-270-13A&gt;G|ENST00000454028.1:c.*327-13A&gt;G|NM_001258273.1:c.-270-13A&gt;G|ENST00000456676.2:c.429-13A&gt;G|ENST00000536378.1:c.-270-13A&gt;G|ENST00000231790.2:c.454-13A&gt;G|NM_001354615.1:c.-179+1738A&gt;G|ENST00000442249.1:c.*246-13A&gt;G|NM_001354620.1:c.160-13A&gt;G|NM_001354616.1:c.-179+1738A&gt;G|ENST00000455445.2:c.-270-13A&gt;G|NM_001354622.1:c.-476-13A&gt;G|NM_001354618.1:c.-270-13A&gt;G|ENST00000485889.1:n.458-13A&gt;G|ENST00000458205.2:c.-270-13A&gt;G|ENST00000429117.1:c.160-13A&gt;G|NM_001354629.1:c.355-13A&gt;G|NM_001354628.1:c.454-13A&gt;G|NM_001167619.2:c.-179+1738A&gt;G|NM_001354617.1:c.-270-13A&gt;G|NM_001354626.1:c.-373-13A&gt;G|NM_001354621.1:c.-363-13A&gt;G|ENST00000492474.1:n.477-13A&gt;G|ENST00000435176.1:c.160-13A&gt;G|NM_001354623.1:c.-476-13A&gt;G|NM_001354619.1:c.-270-13A&gt;G|ENST00000441265.1:c.-179+1738A&gt;G|NM_001354624.1:c.-373-13A&gt;G|ENST00000466900.1:n.487-13A&gt;G|NM_001167617.2:c.160-13A&gt;G|NM_001354625.1:c.-282+1738A&gt;G|NM_001258274.2:c.-270-13A&gt;G|NM_001258271.1:c.454-13A&gt;G|ENST00000457004.1:c.*233-13A&gt;G|NM_000249.3:c.454-13A&gt;G|ENST00000539477.1:c.-179+1738A&gt;G|ENST00000432299.1:c.*534-13A&gt;G|NM_001354627.1:c.-373-13A&gt;G|NM_001354630.1:c.454-13A&gt;G</t>
        </is>
      </c>
      <c r="N34" t="inlineStr"/>
      <c r="O34" t="inlineStr"/>
      <c r="P34" t="inlineStr"/>
      <c r="Q34" t="inlineStr"/>
      <c r="R34" t="inlineStr"/>
      <c r="S34" t="inlineStr"/>
    </row>
    <row r="35">
      <c r="A35" t="inlineStr">
        <is>
          <t>16</t>
        </is>
      </c>
      <c r="B35" t="n">
        <v>68846166</v>
      </c>
      <c r="C35" t="inlineStr">
        <is>
          <t>G</t>
        </is>
      </c>
      <c r="D35" t="inlineStr">
        <is>
          <t>A</t>
        </is>
      </c>
      <c r="E35" t="inlineStr">
        <is>
          <t>156499</t>
        </is>
      </c>
      <c r="F35">
        <f>HYPERLINK("https://www.ncbi.nlm.nih.gov/clinvar/variation/156499/","ClinVarDB")</f>
        <v/>
      </c>
      <c r="G35" t="inlineStr">
        <is>
          <t>reviewed_by_expert_panel</t>
        </is>
      </c>
      <c r="H35" t="inlineStr">
        <is>
          <t>Hereditary_diffuse_gastric_cancer|Hereditary_cancer-predisposing_syndrome|Gastric_cancer|_familial_diffuse|_and_cleft_lip_with_or_without_cleft_palate|not_provided</t>
        </is>
      </c>
      <c r="I35" t="inlineStr">
        <is>
          <t>Pathogenic</t>
        </is>
      </c>
      <c r="J35" t="inlineStr">
        <is>
          <t>CDH1</t>
        </is>
      </c>
      <c r="K35" t="inlineStr">
        <is>
          <t>splice_region_variant&amp;synonymous_variant|splice_region_variant&amp;5_prime_UTR_variant|splice_region_variant&amp;non_coding_transcript_exon_variant|splice_region_variant&amp;synonymous_variant&amp;NMD_transcript_variant</t>
        </is>
      </c>
      <c r="L35" t="inlineStr">
        <is>
          <t>|ENSP00000458139.1:p.Thr327=|ENSP00000414946.2:p.Thr379=|ENSP00000261769.4:p.Thr379=|NP_004351.1:p.Thr379=|ENSP00000454782.1:p.Thr379=|NP_001304113.1:p.Thr379=</t>
        </is>
      </c>
      <c r="M35" t="inlineStr">
        <is>
          <t>ENST00000566510.1:c.981G&gt;A|ENST00000261769.5:c.1137G&gt;A|ENST00000562836.1:n.1208G&gt;A|ENST00000565810.1:n.181G&gt;A|NM_004360.5:c.1137G&gt;A|ENST00000566612.1:c.1137G&gt;A|ENST00000422392.2:c.1137G&gt;A|NM_001317184.2:c.1137G&gt;A|NM_001317186.2:c.-683G&gt;A|NM_001317185.2:c.-479G&gt;A</t>
        </is>
      </c>
      <c r="N35" t="inlineStr"/>
      <c r="O35" t="inlineStr"/>
      <c r="P35" t="inlineStr"/>
      <c r="Q35" t="inlineStr"/>
      <c r="R35" t="inlineStr"/>
      <c r="S35" t="inlineStr"/>
    </row>
    <row r="36">
      <c r="A36" t="inlineStr">
        <is>
          <t>16</t>
        </is>
      </c>
      <c r="B36" t="n">
        <v>68846166</v>
      </c>
      <c r="C36" t="inlineStr">
        <is>
          <t>G</t>
        </is>
      </c>
      <c r="D36" t="inlineStr">
        <is>
          <t>T</t>
        </is>
      </c>
      <c r="E36" t="inlineStr">
        <is>
          <t>599655</t>
        </is>
      </c>
      <c r="F36">
        <f>HYPERLINK("https://www.ncbi.nlm.nih.gov/clinvar/variation/599655/","ClinVarDB")</f>
        <v/>
      </c>
      <c r="G36" t="inlineStr">
        <is>
          <t>reviewed_by_expert_panel</t>
        </is>
      </c>
      <c r="H36" t="inlineStr">
        <is>
          <t>Hereditary_diffuse_gastric_cancer</t>
        </is>
      </c>
      <c r="I36" t="inlineStr">
        <is>
          <t>Likely_pathogenic</t>
        </is>
      </c>
      <c r="J36" t="inlineStr">
        <is>
          <t>CDH1</t>
        </is>
      </c>
      <c r="K36" t="inlineStr">
        <is>
          <t>splice_region_variant&amp;synonymous_variant|splice_region_variant&amp;5_prime_UTR_variant|splice_region_variant&amp;non_coding_transcript_exon_variant|splice_region_variant&amp;synonymous_variant&amp;NMD_transcript_variant</t>
        </is>
      </c>
      <c r="L36" t="inlineStr">
        <is>
          <t>|ENSP00000458139.1:p.Thr327=|ENSP00000414946.2:p.Thr379=|ENSP00000261769.4:p.Thr379=|NP_004351.1:p.Thr379=|ENSP00000454782.1:p.Thr379=|NP_001304113.1:p.Thr379=</t>
        </is>
      </c>
      <c r="M36" t="inlineStr">
        <is>
          <t>NM_001317184.2:c.1137G&gt;T|ENST00000565810.1:n.181G&gt;T|NM_001317186.2:c.-683G&gt;T|ENST00000422392.2:c.1137G&gt;T|ENST00000566510.1:c.981G&gt;T|ENST00000562836.1:n.1208G&gt;T|NM_001317185.2:c.-479G&gt;T|NM_004360.5:c.1137G&gt;T|ENST00000261769.5:c.1137G&gt;T|ENST00000566612.1:c.1137G&gt;T</t>
        </is>
      </c>
      <c r="N36" t="inlineStr"/>
      <c r="O36" t="inlineStr"/>
      <c r="P36" t="inlineStr"/>
      <c r="Q36" t="inlineStr"/>
      <c r="R36" t="inlineStr"/>
      <c r="S36" t="inlineStr"/>
    </row>
    <row r="37">
      <c r="A37" t="inlineStr">
        <is>
          <t>16</t>
        </is>
      </c>
      <c r="B37" t="n">
        <v>68845762</v>
      </c>
      <c r="C37" t="inlineStr">
        <is>
          <t>G</t>
        </is>
      </c>
      <c r="D37" t="inlineStr">
        <is>
          <t>A</t>
        </is>
      </c>
      <c r="E37" t="inlineStr">
        <is>
          <t>231647</t>
        </is>
      </c>
      <c r="F37">
        <f>HYPERLINK("https://www.ncbi.nlm.nih.gov/clinvar/variation/231647/","ClinVarDB")</f>
        <v/>
      </c>
      <c r="G37" t="inlineStr">
        <is>
          <t>reviewed_by_expert_panel</t>
        </is>
      </c>
      <c r="H37" t="inlineStr">
        <is>
          <t>Hereditary_diffuse_gastric_cancer|Hereditary_cancer-predisposing_syndrome</t>
        </is>
      </c>
      <c r="I37" t="inlineStr">
        <is>
          <t>Likely_pathogenic</t>
        </is>
      </c>
      <c r="J37" t="inlineStr">
        <is>
          <t>CDH1</t>
        </is>
      </c>
      <c r="K37" t="inlineStr">
        <is>
          <t>splice_region_variant&amp;synonymous_variant&amp;NMD_transcript_variant|regulatory_region_variant|splice_region_variant&amp;non_coding_transcript_exon_variant|splice_region_variant&amp;synonymous_variant|splice_region_variant&amp;5_prime_UTR_variant|splice_region_variant&amp;3_prime_UTR_variant&amp;NMD_transcript_variant</t>
        </is>
      </c>
      <c r="L37" t="inlineStr">
        <is>
          <t>|ENSP00000454782.1:p.Glu336=|NP_001304113.1:p.Glu336=|ENSP00000414946.2:p.Glu336=|ENSP00000261769.4:p.Glu336=|NP_004351.1:p.Glu336=|ENSP00000458139.1:p.Glu284=</t>
        </is>
      </c>
      <c r="M37" t="inlineStr">
        <is>
          <t>|ENST00000566510.1:c.852G&gt;A|ENST00000566612.1:c.1008G&gt;A|NM_001317186.2:c.-812G&gt;A|ENST00000422392.2:c.1008G&gt;A|ENST00000261769.5:c.1008G&gt;A|ENST00000562836.1:n.1079G&gt;A|NM_001317185.2:c.-608G&gt;A|NM_004360.5:c.1008G&gt;A|ENST00000561751.1:c.*164G&gt;A|NM_001317184.2:c.1008G&gt;A</t>
        </is>
      </c>
      <c r="N37" t="inlineStr"/>
      <c r="O37" t="inlineStr"/>
      <c r="P37" t="inlineStr"/>
      <c r="Q37" t="inlineStr"/>
      <c r="R37" t="inlineStr"/>
      <c r="S37" t="inlineStr"/>
    </row>
    <row r="38">
      <c r="A38" t="inlineStr">
        <is>
          <t>13</t>
        </is>
      </c>
      <c r="B38" t="n">
        <v>32950932</v>
      </c>
      <c r="C38" t="inlineStr">
        <is>
          <t>A</t>
        </is>
      </c>
      <c r="D38" t="inlineStr">
        <is>
          <t>G</t>
        </is>
      </c>
      <c r="E38" t="inlineStr">
        <is>
          <t>52669</t>
        </is>
      </c>
      <c r="F38">
        <f>HYPERLINK("https://www.ncbi.nlm.nih.gov/clinvar/variation/52669/","ClinVarDB")</f>
        <v/>
      </c>
      <c r="G38" t="inlineStr">
        <is>
          <t>reviewed_by_expert_panel</t>
        </is>
      </c>
      <c r="H38" t="inlineStr">
        <is>
          <t>Hereditary_breast_and_ovarian_cancer_syndrome|Malignant_tumor_of_breast|Breast-ovarian_cancer|_familial_2|Hereditary_cancer-predisposing_syndrome</t>
        </is>
      </c>
      <c r="I38" t="inlineStr">
        <is>
          <t>Pathogenic</t>
        </is>
      </c>
      <c r="J38" t="inlineStr">
        <is>
          <t>BRCA2</t>
        </is>
      </c>
      <c r="K38" t="inlineStr">
        <is>
          <t>splice_region_variant&amp;intron_variant|splice_region_variant&amp;intron_variant&amp;NMD_transcript_variant</t>
        </is>
      </c>
      <c r="L38" t="inlineStr"/>
      <c r="M38" t="inlineStr">
        <is>
          <t>NM_000059.3:c.8754+4A&gt;G|ENST00000528762.1:c.*121+4A&gt;G|ENST00000544455.1:c.8754+4A&gt;G|ENST00000380152.3:c.8754+4A&gt;G</t>
        </is>
      </c>
      <c r="N38" t="inlineStr"/>
      <c r="O38" t="inlineStr"/>
      <c r="P38" t="inlineStr"/>
      <c r="Q38" t="inlineStr"/>
      <c r="R38" t="inlineStr"/>
      <c r="S38" t="inlineStr"/>
    </row>
    <row r="39">
      <c r="A39" t="inlineStr">
        <is>
          <t>13</t>
        </is>
      </c>
      <c r="B39" t="n">
        <v>32936657</v>
      </c>
      <c r="C39" t="inlineStr">
        <is>
          <t>C</t>
        </is>
      </c>
      <c r="D39" t="inlineStr">
        <is>
          <t>CAG</t>
        </is>
      </c>
      <c r="E39" t="inlineStr">
        <is>
          <t>812555</t>
        </is>
      </c>
      <c r="F39">
        <f>HYPERLINK("https://www.ncbi.nlm.nih.gov/clinvar/variation/812555/","ClinVarDB")</f>
        <v/>
      </c>
      <c r="G39" t="inlineStr">
        <is>
          <t>reviewed_by_expert_panel</t>
        </is>
      </c>
      <c r="H39" t="inlineStr">
        <is>
          <t>Breast-ovarian_cancer|_familial_2</t>
        </is>
      </c>
      <c r="I39" t="inlineStr">
        <is>
          <t>Pathogenic</t>
        </is>
      </c>
      <c r="J39" t="inlineStr">
        <is>
          <t>BRCA2</t>
        </is>
      </c>
      <c r="K39" t="inlineStr">
        <is>
          <t>splice_region_variant&amp;intron_variant|regulatory_region_variant</t>
        </is>
      </c>
      <c r="L39" t="inlineStr"/>
      <c r="M39" t="inlineStr">
        <is>
          <t>NM_000059.3:c.7806-2_7806-1dup||ENST00000380152.3:c.7806-2_7806-1dup|ENST00000544455.1:c.7806-2_7806-1dup</t>
        </is>
      </c>
      <c r="N39" t="inlineStr"/>
      <c r="O39" t="inlineStr"/>
      <c r="P39" t="inlineStr"/>
      <c r="Q39" t="inlineStr"/>
      <c r="R39" t="inlineStr"/>
      <c r="S39" t="inlineStr"/>
    </row>
    <row r="40">
      <c r="A40" t="inlineStr">
        <is>
          <t>13</t>
        </is>
      </c>
      <c r="B40" t="n">
        <v>32893464</v>
      </c>
      <c r="C40" t="inlineStr">
        <is>
          <t>TA</t>
        </is>
      </c>
      <c r="D40" t="inlineStr">
        <is>
          <t>T</t>
        </is>
      </c>
      <c r="E40" t="inlineStr">
        <is>
          <t>51408</t>
        </is>
      </c>
      <c r="F40">
        <f>HYPERLINK("https://www.ncbi.nlm.nih.gov/clinvar/variation/51408/","ClinVarDB")</f>
        <v/>
      </c>
      <c r="G40" t="inlineStr">
        <is>
          <t>reviewed_by_expert_panel</t>
        </is>
      </c>
      <c r="H40" t="inlineStr">
        <is>
          <t>Breast-ovarian_cancer|_familial_2|Familial_cancer_of_breast</t>
        </is>
      </c>
      <c r="I40" t="inlineStr">
        <is>
          <t>Pathogenic</t>
        </is>
      </c>
      <c r="J40" t="inlineStr">
        <is>
          <t>BRCA2</t>
        </is>
      </c>
      <c r="K40" t="inlineStr">
        <is>
          <t>splice_region_variant&amp;intron_variant</t>
        </is>
      </c>
      <c r="L40" t="inlineStr"/>
      <c r="M40" t="inlineStr">
        <is>
          <t>ENST00000380152.3:c.316+4del|ENST00000530893.2:c.-54+4del|NM_000059.3:c.316+4del|ENST00000544455.1:c.316+4del</t>
        </is>
      </c>
      <c r="N40" t="inlineStr"/>
      <c r="O40" t="inlineStr"/>
      <c r="P40" t="inlineStr"/>
      <c r="Q40" t="inlineStr"/>
      <c r="R40" t="inlineStr"/>
      <c r="S40" t="inlineStr"/>
    </row>
    <row r="41">
      <c r="A41" t="inlineStr">
        <is>
          <t>13</t>
        </is>
      </c>
      <c r="B41" t="n">
        <v>32893467</v>
      </c>
      <c r="C41" t="inlineStr">
        <is>
          <t>G</t>
        </is>
      </c>
      <c r="D41" t="inlineStr">
        <is>
          <t>A</t>
        </is>
      </c>
      <c r="E41" t="inlineStr">
        <is>
          <t>51409</t>
        </is>
      </c>
      <c r="F41">
        <f>HYPERLINK("https://www.ncbi.nlm.nih.gov/clinvar/variation/51409/","ClinVarDB")</f>
        <v/>
      </c>
      <c r="G41" t="inlineStr">
        <is>
          <t>reviewed_by_expert_panel</t>
        </is>
      </c>
      <c r="H41" t="inlineStr">
        <is>
          <t>Hereditary_breast_and_ovarian_cancer_syndrome|Breast-ovarian_cancer|_familial_2|Hereditary_cancer-predisposing_syndrome|Breast_and/or_ovarian_cancer|not_provided</t>
        </is>
      </c>
      <c r="I41" t="inlineStr">
        <is>
          <t>Pathogenic</t>
        </is>
      </c>
      <c r="J41" t="inlineStr">
        <is>
          <t>BRCA2</t>
        </is>
      </c>
      <c r="K41" t="inlineStr">
        <is>
          <t>splice_region_variant&amp;intron_variant</t>
        </is>
      </c>
      <c r="L41" t="inlineStr"/>
      <c r="M41" t="inlineStr">
        <is>
          <t>ENST00000544455.1:c.316+5G&gt;A|ENST00000530893.2:c.-54+5G&gt;A|NM_000059.3:c.316+5G&gt;A|ENST00000380152.3:c.316+5G&gt;A</t>
        </is>
      </c>
      <c r="N41" t="inlineStr"/>
      <c r="O41" t="inlineStr"/>
      <c r="P41" t="inlineStr"/>
      <c r="Q41" t="inlineStr"/>
      <c r="R41" t="inlineStr"/>
      <c r="S41" t="inlineStr"/>
    </row>
    <row r="42">
      <c r="A42" t="inlineStr">
        <is>
          <t>13</t>
        </is>
      </c>
      <c r="B42" t="n">
        <v>32893467</v>
      </c>
      <c r="C42" t="inlineStr">
        <is>
          <t>G</t>
        </is>
      </c>
      <c r="D42" t="inlineStr">
        <is>
          <t>C</t>
        </is>
      </c>
      <c r="E42" t="inlineStr">
        <is>
          <t>51410</t>
        </is>
      </c>
      <c r="F42">
        <f>HYPERLINK("https://www.ncbi.nlm.nih.gov/clinvar/variation/51410/","ClinVarDB")</f>
        <v/>
      </c>
      <c r="G42" t="inlineStr">
        <is>
          <t>reviewed_by_expert_panel</t>
        </is>
      </c>
      <c r="H42" t="inlineStr">
        <is>
          <t>Hereditary_breast_and_ovarian_cancer_syndrome|Breast-ovarian_cancer|_familial_2|Hereditary_cancer-predisposing_syndrome|Familial_cancer_of_breast|not_provided</t>
        </is>
      </c>
      <c r="I42" t="inlineStr">
        <is>
          <t>Pathogenic</t>
        </is>
      </c>
      <c r="J42" t="inlineStr">
        <is>
          <t>BRCA2</t>
        </is>
      </c>
      <c r="K42" t="inlineStr">
        <is>
          <t>splice_region_variant&amp;intron_variant</t>
        </is>
      </c>
      <c r="L42" t="inlineStr"/>
      <c r="M42" t="inlineStr">
        <is>
          <t>NM_000059.3:c.316+5G&gt;C|ENST00000544455.1:c.316+5G&gt;C|ENST00000530893.2:c.-54+5G&gt;C|ENST00000380152.3:c.316+5G&gt;C</t>
        </is>
      </c>
      <c r="N42" t="inlineStr"/>
      <c r="O42" t="inlineStr"/>
      <c r="P42" t="inlineStr"/>
      <c r="Q42" t="inlineStr"/>
      <c r="R42" t="inlineStr"/>
      <c r="S42" t="inlineStr"/>
    </row>
    <row r="43">
      <c r="A43" t="inlineStr">
        <is>
          <t>13</t>
        </is>
      </c>
      <c r="B43" t="n">
        <v>32903577</v>
      </c>
      <c r="C43" t="inlineStr">
        <is>
          <t>C</t>
        </is>
      </c>
      <c r="D43" t="inlineStr">
        <is>
          <t>G</t>
        </is>
      </c>
      <c r="E43" t="inlineStr">
        <is>
          <t>219896</t>
        </is>
      </c>
      <c r="F43">
        <f>HYPERLINK("https://www.ncbi.nlm.nih.gov/clinvar/variation/219896/","ClinVarDB")</f>
        <v/>
      </c>
      <c r="G43" t="inlineStr">
        <is>
          <t>reviewed_by_expert_panel</t>
        </is>
      </c>
      <c r="H43" t="inlineStr">
        <is>
          <t>Hereditary_breast_and_ovarian_cancer_syndrome|Breast-ovarian_cancer|_familial_2|Hereditary_cancer-predisposing_syndrome|not_specified|not_provided</t>
        </is>
      </c>
      <c r="I43" t="inlineStr">
        <is>
          <t>Pathogenic</t>
        </is>
      </c>
      <c r="J43" t="inlineStr">
        <is>
          <t>BRCA2</t>
        </is>
      </c>
      <c r="K43" t="inlineStr">
        <is>
          <t>splice_region_variant&amp;intron_variant</t>
        </is>
      </c>
      <c r="L43" t="inlineStr"/>
      <c r="M43" t="inlineStr">
        <is>
          <t>ENST00000544455.1:c.632-3C&gt;G|ENST00000380152.3:c.632-3C&gt;G|ENST00000530893.2:c.263-3C&gt;G|NM_000059.3:c.632-3C&gt;G</t>
        </is>
      </c>
      <c r="N43" t="inlineStr">
        <is>
          <t>4.112820079171797e-06</t>
        </is>
      </c>
      <c r="O43" t="n">
        <v>1</v>
      </c>
      <c r="P43" t="inlineStr">
        <is>
          <t>0</t>
        </is>
      </c>
      <c r="Q43" t="inlineStr"/>
      <c r="R43" t="inlineStr"/>
      <c r="S43" t="inlineStr"/>
    </row>
    <row r="44">
      <c r="A44" t="inlineStr">
        <is>
          <t>17</t>
        </is>
      </c>
      <c r="B44" t="n">
        <v>41242961</v>
      </c>
      <c r="C44" t="inlineStr">
        <is>
          <t>C</t>
        </is>
      </c>
      <c r="D44" t="inlineStr">
        <is>
          <t>T</t>
        </is>
      </c>
      <c r="E44" t="inlineStr">
        <is>
          <t>55131</t>
        </is>
      </c>
      <c r="F44">
        <f>HYPERLINK("https://www.ncbi.nlm.nih.gov/clinvar/variation/55131/","ClinVarDB")</f>
        <v/>
      </c>
      <c r="G44" t="inlineStr">
        <is>
          <t>reviewed_by_expert_panel</t>
        </is>
      </c>
      <c r="H44" t="inlineStr">
        <is>
          <t>Hereditary_breast_and_ovarian_cancer_syndrome|Breast-ovarian_cancer|_familial_1|Hereditary_cancer-predisposing_syndrome|not_provided</t>
        </is>
      </c>
      <c r="I44" t="inlineStr">
        <is>
          <t>Pathogenic</t>
        </is>
      </c>
      <c r="J44" t="inlineStr">
        <is>
          <t>BRCA1</t>
        </is>
      </c>
      <c r="K44" t="inlineStr">
        <is>
          <t>splice_region_variant&amp;synonymous_variant|splice_region_variant&amp;3_prime_UTR_variant&amp;NMD_transcript_variant|intron_variant|splice_region_variant&amp;non_coding_transcript_exon_variant</t>
        </is>
      </c>
      <c r="L44" t="inlineStr">
        <is>
          <t>|ENSP00000419481.1:p.Gln166=|NP_009231.2:p.Gln1395=|ENSP00000420705.2:p.Gln292=|ENSP00000418819.1:p.Gln245=|NP_009225.1:p.Gln1395=|ENSP00000326002.6:p.Gln1395=|ENSP00000246907.4:p.Gln1395=|ENSP00000417241.1:p.Gln160=|ENSP00000420412.1:p.Gln291=|ENSP00000310938.4:p.Gln1099=|NP_009229.2:p.Gln292=|ENSP00000338007.3:p.Gln212=|ENSP00000350283.3:p.Gln1395=|NP_009230.2:p.Gln292=|ENSP00000418960.2:p.Gln1395=|ENSP00000417148.1:p.Gln292=|ENSP00000418212.1:p.Gln167=|ENSP00000418775.1:p.Gln1348=|ENSP00000312236.5:p.Gln253=|NP_009228.2:p.Gln1348=</t>
        </is>
      </c>
      <c r="M44" t="inlineStr">
        <is>
          <t>ENST00000461221.1:c.*3968G&gt;A|ENST00000586385.1:c.5-26993G&gt;A|NM_007294.4:c.4185G&gt;A|NM_007299.4:c.876G&gt;A|ENST00000346315.3:c.4185G&gt;A|NR_027676.2:n.4362G&gt;A|ENST00000461574.1:c.480G&gt;A|ENST00000591849.1:c.-99+34327G&gt;A|ENST00000591534.1:c.-43-16423G&gt;A|ENST00000493919.1:c.735G&gt;A|ENST00000471181.2:c.4185G&gt;A|NM_007297.4:c.4044G&gt;A|NM_007298.3:c.876G&gt;A|NM_007300.4:c.4185G&gt;A|ENST00000484087.1:c.498G&gt;A|ENST00000487825.1:c.501G&gt;A|ENST00000351666.3:c.636G&gt;A|ENST00000357654.3:c.4185G&gt;A|ENST00000352993.3:c.759G&gt;A|ENST00000354071.3:c.4185G&gt;A|ENST00000478531.1:c.873G&gt;A|ENST00000468300.1:c.876G&gt;A|ENST00000491747.2:c.876G&gt;A|ENST00000309486.4:c.3297G&gt;A|ENST00000493795.1:c.4044G&gt;A</t>
        </is>
      </c>
      <c r="N44" t="inlineStr"/>
      <c r="O44" t="inlineStr"/>
      <c r="P44" t="inlineStr"/>
      <c r="Q44" t="inlineStr"/>
      <c r="R44" t="inlineStr"/>
      <c r="S44" t="inlineStr"/>
    </row>
    <row r="45">
      <c r="A45" t="inlineStr">
        <is>
          <t>17</t>
        </is>
      </c>
      <c r="B45" t="n">
        <v>41222939</v>
      </c>
      <c r="C45" t="inlineStr">
        <is>
          <t>A</t>
        </is>
      </c>
      <c r="D45" t="inlineStr">
        <is>
          <t>C</t>
        </is>
      </c>
      <c r="E45" t="inlineStr">
        <is>
          <t>55344</t>
        </is>
      </c>
      <c r="F45">
        <f>HYPERLINK("https://www.ncbi.nlm.nih.gov/clinvar/variation/55344/","ClinVarDB")</f>
        <v/>
      </c>
      <c r="G45" t="inlineStr">
        <is>
          <t>reviewed_by_expert_panel</t>
        </is>
      </c>
      <c r="H45" t="inlineStr">
        <is>
          <t>Breast_carcinoma|Hereditary_breast_and_ovarian_cancer_syndrome|Malignant_tumor_of_breast|Breast-ovarian_cancer|_familial_1|Hereditary_cancer-predisposing_syndrome|Breast_and/or_ovarian_cancer|not_provided</t>
        </is>
      </c>
      <c r="I45" t="inlineStr">
        <is>
          <t>Pathogenic</t>
        </is>
      </c>
      <c r="J45" t="inlineStr">
        <is>
          <t>BRCA1</t>
        </is>
      </c>
      <c r="K45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45" t="inlineStr"/>
      <c r="M45" t="inlineStr">
        <is>
          <t>ENST00000591534.1:c.459+6T&gt;G|ENST00000484087.1:c.1299+6T&gt;G|ENST00000493795.1:c.4845+6T&gt;G|ENST00000591849.1:c.-98-20732T&gt;G|NM_007299.4:c.1674+6T&gt;G|ENST00000354071.3:c.4358-7549T&gt;G|ENST00000468300.1:c.1674+6T&gt;G|ENST00000586385.1:c.5-6971T&gt;G|ENST00000478531.1:c.1674+6T&gt;G|ENST00000493919.1:c.1536+6T&gt;G|ENST00000352993.3:c.1560+6T&gt;G|NR_027676.2:n.5163+6T&gt;G|ENST00000357654.3:c.4986+6T&gt;G|ENST00000461221.1:c.*4769+6T&gt;G|ENST00000346315.3:c.4358-6971T&gt;G|NM_007294.4:c.4986+6T&gt;G|ENST00000351666.3:c.1437+6T&gt;G|ENST00000491747.2:c.1674+6T&gt;G|ENST00000471181.2:c.5049+6T&gt;G|ENST00000309486.4:c.4098+6T&gt;G|NM_007297.4:c.4845+6T&gt;G|NM_007300.4:c.5049+6T&gt;G|NM_007298.3:c.1674+6T&gt;G|ENST00000472490.1:n.139+6T&gt;G</t>
        </is>
      </c>
      <c r="N45" t="inlineStr">
        <is>
          <t>4.0035902202362195e-06</t>
        </is>
      </c>
      <c r="O45" t="n">
        <v>0</v>
      </c>
      <c r="P45" t="inlineStr">
        <is>
          <t>0</t>
        </is>
      </c>
      <c r="Q45" t="inlineStr"/>
      <c r="R45" t="inlineStr"/>
      <c r="S45" t="inlineStr"/>
    </row>
    <row r="46">
      <c r="A46" t="inlineStr">
        <is>
          <t>17</t>
        </is>
      </c>
      <c r="B46" t="n">
        <v>41226345</v>
      </c>
      <c r="C46" t="inlineStr">
        <is>
          <t>T</t>
        </is>
      </c>
      <c r="D46" t="inlineStr">
        <is>
          <t>A</t>
        </is>
      </c>
      <c r="E46" t="inlineStr">
        <is>
          <t>125722</t>
        </is>
      </c>
      <c r="F46">
        <f>HYPERLINK("https://www.ncbi.nlm.nih.gov/clinvar/variation/125722/","ClinVarDB")</f>
        <v/>
      </c>
      <c r="G46" t="inlineStr">
        <is>
          <t>reviewed_by_expert_panel</t>
        </is>
      </c>
      <c r="H46" t="inlineStr">
        <is>
          <t>Hereditary_breast_and_ovarian_cancer_syndrome|Breast-ovarian_cancer|_familial_1|Hereditary_cancer-predisposing_syndrome</t>
        </is>
      </c>
      <c r="I46" t="inlineStr">
        <is>
          <t>Pathogenic</t>
        </is>
      </c>
      <c r="J46" t="inlineStr">
        <is>
          <t>BRCA1</t>
        </is>
      </c>
      <c r="K46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46" t="inlineStr"/>
      <c r="M46" t="inlineStr">
        <is>
          <t>NR_027676.2:n.4852+3A&gt;T|ENST00000478531.1:c.1363+3A&gt;T|ENST00000591849.1:c.-98-24138A&gt;T|ENST00000354071.3:c.4357+8076A&gt;T|ENST00000491747.2:c.1363+3A&gt;T|NM_007298.3:c.1363+3A&gt;T|ENST00000309486.4:c.3787+3A&gt;T|ENST00000591534.1:c.148+3A&gt;T|ENST00000357654.3:c.4675+3A&gt;T|ENST00000468300.1:c.1363+3A&gt;T|ENST00000586385.1:c.5-10377A&gt;T|ENST00000493795.1:c.4534+3A&gt;T|ENST00000352993.3:c.1249+3A&gt;T|ENST00000484087.1:c.988+3A&gt;T|ENST00000351666.3:c.1126+3A&gt;T|ENST00000493919.1:c.1225+3A&gt;T|NM_007299.4:c.1363+3A&gt;T|ENST00000471181.2:c.4738+3A&gt;T|ENST00000461221.1:c.*4458+3A&gt;T|NM_007297.4:c.4534+3A&gt;T|ENST00000346315.3:c.4357+8076A&gt;T|NM_007294.4:c.4675+3A&gt;T|NM_007300.4:c.4738+3A&gt;T</t>
        </is>
      </c>
      <c r="N46" t="inlineStr"/>
      <c r="O46" t="inlineStr"/>
      <c r="P46" t="inlineStr"/>
      <c r="Q46" t="inlineStr"/>
      <c r="R46" t="inlineStr"/>
      <c r="S46" t="inlineStr"/>
    </row>
    <row r="47">
      <c r="A47" t="inlineStr">
        <is>
          <t>17</t>
        </is>
      </c>
      <c r="B47" t="n">
        <v>41258470</v>
      </c>
      <c r="C47" t="inlineStr">
        <is>
          <t>T</t>
        </is>
      </c>
      <c r="D47" t="inlineStr">
        <is>
          <t>C</t>
        </is>
      </c>
      <c r="E47" t="inlineStr">
        <is>
          <t>54467</t>
        </is>
      </c>
      <c r="F47">
        <f>HYPERLINK("https://www.ncbi.nlm.nih.gov/clinvar/variation/54467/","ClinVarDB")</f>
        <v/>
      </c>
      <c r="G47" t="inlineStr">
        <is>
          <t>reviewed_by_expert_panel</t>
        </is>
      </c>
      <c r="H47" t="inlineStr">
        <is>
          <t>Hereditary_breast_and_ovarian_cancer_syndrome|Malignant_tumor_of_breast|Breast-ovarian_cancer|_familial_1|Hereditary_cancer-predisposing_syndrome|not_specified|Breast_and/or_ovarian_cancer|not_provided</t>
        </is>
      </c>
      <c r="I47" t="inlineStr">
        <is>
          <t>Pathogenic</t>
        </is>
      </c>
      <c r="J47" t="inlineStr">
        <is>
          <t>BRCA1</t>
        </is>
      </c>
      <c r="K47" t="inlineStr">
        <is>
          <t>intron_variant|intron_variant&amp;non_coding_transcript_variant|splice_region_variant&amp;intron_variant|splice_region_variant&amp;intron_variant&amp;non_coding_transcript_variant|splice_region_variant&amp;intron_variant&amp;NMD_transcript_variant|intron_variant&amp;NMD_transcript_variant</t>
        </is>
      </c>
      <c r="L47" t="inlineStr"/>
      <c r="M47" t="inlineStr">
        <is>
          <t>ENST00000591849.1:c.-99+18818A&gt;G|ENST00000461798.1:c.190+25A&gt;G|ENST00000346315.3:c.212+3A&gt;G|ENST00000493795.1:c.71+3A&gt;G|ENST00000468300.1:c.212+3A&gt;G|ENST00000476777.1:c.212+3A&gt;G|ENST00000309486.4:c.-677+3A&gt;G|NM_007300.4:c.212+3A&gt;G|ENST00000351666.3:c.212+3A&gt;G|NM_007297.4:c.71+3A&gt;G|NM_007299.4:c.212+3A&gt;G|ENST00000354071.3:c.212+3A&gt;G|ENST00000478531.1:c.212+3A&gt;G|ENST00000494123.1:c.212+3A&gt;G|NR_027676.2:n.392+25A&gt;G|ENST00000357654.3:c.212+3A&gt;G|ENST00000470026.1:c.212+3A&gt;G|ENST00000492859.1:c.*148+3A&gt;G|NM_007294.4:c.212+3A&gt;G|ENST00000467274.1:n.276+3A&gt;G|ENST00000461221.1:c.190+25A&gt;G|ENST00000586385.1:c.4+18729A&gt;G|NM_007298.3:c.212+3A&gt;G|ENST00000497488.1:c.-218-11593A&gt;G|ENST00000471181.2:c.212+3A&gt;G|ENST00000591534.1:c.-44+18818A&gt;G|ENST00000491747.2:c.212+3A&gt;G|ENST00000489037.1:c.135-1497A&gt;G|ENST00000493919.1:c.71+3A&gt;G|ENST00000352993.3:c.212+3A&gt;G|ENST00000477152.1:c.135-1497A&gt;G</t>
        </is>
      </c>
      <c r="N47" t="inlineStr"/>
      <c r="O47" t="inlineStr"/>
      <c r="P47" t="inlineStr"/>
      <c r="Q47" t="inlineStr">
        <is>
          <t>3.184709930792451e-05</t>
        </is>
      </c>
      <c r="R47" t="n">
        <v>0</v>
      </c>
      <c r="S47" t="inlineStr">
        <is>
          <t>0</t>
        </is>
      </c>
    </row>
    <row r="48">
      <c r="A48" t="inlineStr">
        <is>
          <t>17</t>
        </is>
      </c>
      <c r="B48" t="n">
        <v>41209164</v>
      </c>
      <c r="C48" t="inlineStr">
        <is>
          <t>C</t>
        </is>
      </c>
      <c r="D48" t="inlineStr">
        <is>
          <t>T</t>
        </is>
      </c>
      <c r="E48" t="inlineStr">
        <is>
          <t>55451</t>
        </is>
      </c>
      <c r="F48">
        <f>HYPERLINK("https://www.ncbi.nlm.nih.gov/clinvar/variation/55451/","ClinVarDB")</f>
        <v/>
      </c>
      <c r="G48" t="inlineStr">
        <is>
          <t>reviewed_by_expert_panel</t>
        </is>
      </c>
      <c r="H48" t="inlineStr">
        <is>
          <t>Hereditary_breast_and_ovarian_cancer_syndrome|Breast-ovarian_cancer|_familial_1|Pancreatic_cancer_4|Hereditary_cancer-predisposing_syndrome|Familial_cancer_of_breast|Fanconi_anemia|_complementation_group_S</t>
        </is>
      </c>
      <c r="I48" t="inlineStr">
        <is>
          <t>Pathogenic</t>
        </is>
      </c>
      <c r="J48" t="inlineStr">
        <is>
          <t>BRCA1</t>
        </is>
      </c>
      <c r="K48" t="inlineStr">
        <is>
          <t>intron_variant&amp;non_coding_transcript_variant|intron_variant|intron_variant&amp;NMD_transcript_variant</t>
        </is>
      </c>
      <c r="L48" t="inlineStr"/>
      <c r="M48" t="inlineStr">
        <is>
          <t>NM_007299.4:c.1882-12G&gt;A|ENST00000471181.2:c.5257-12G&gt;A|ENST00000309486.4:c.4306-12G&gt;A|ENST00000346315.3:c.4477-12G&gt;A|NM_007298.3:c.1882-12G&gt;A|NM_007297.4:c.5053-12G&gt;A|ENST00000591849.1:c.-98-6957G&gt;A|ENST00000351666.3:c.1645-12G&gt;A|ENST00000357654.3:c.5194-12G&gt;A|ENST00000461221.1:c.*4977-12G&gt;A|NM_007294.4:c.5194-12G&gt;A|ENST00000354071.3:c.4399-12G&gt;A|ENST00000586385.1:c.124-12G&gt;A|ENST00000491747.2:c.1882-12G&gt;A|NR_027676.2:n.5371-12G&gt;A|ENST00000591534.1:c.667-12G&gt;A|NM_007300.4:c.5257-12G&gt;A|ENST00000468300.1:c.1882-12G&gt;A|ENST00000352993.3:c.1768-12G&gt;A|ENST00000493795.1:c.5053-12G&gt;A</t>
        </is>
      </c>
      <c r="N48" t="inlineStr"/>
      <c r="O48" t="inlineStr"/>
      <c r="P48" t="inlineStr"/>
      <c r="Q48" t="inlineStr"/>
      <c r="R48" t="inlineStr"/>
      <c r="S48" t="inlineStr"/>
    </row>
    <row r="49">
      <c r="A49" t="inlineStr">
        <is>
          <t>17</t>
        </is>
      </c>
      <c r="B49" t="n">
        <v>41256985</v>
      </c>
      <c r="C49" t="inlineStr">
        <is>
          <t>T</t>
        </is>
      </c>
      <c r="D49" t="inlineStr">
        <is>
          <t>C</t>
        </is>
      </c>
      <c r="E49" t="inlineStr">
        <is>
          <t>37450</t>
        </is>
      </c>
      <c r="F49">
        <f>HYPERLINK("https://www.ncbi.nlm.nih.gov/clinvar/variation/37450/","ClinVarDB")</f>
        <v/>
      </c>
      <c r="G49" t="inlineStr">
        <is>
          <t>reviewed_by_expert_panel</t>
        </is>
      </c>
      <c r="H49" t="inlineStr">
        <is>
          <t>Neoplasm_of_ovary|Hereditary_breast_and_ovarian_cancer_syndrome|Breast-ovarian_cancer|_familial_1|Hereditary_cancer-predisposing_syndrome|not_specified|Breast_and/or_ovarian_cancer|not_provided</t>
        </is>
      </c>
      <c r="I49" t="inlineStr">
        <is>
          <t>Pathogenic</t>
        </is>
      </c>
      <c r="J49" t="inlineStr">
        <is>
          <t>BRCA1</t>
        </is>
      </c>
      <c r="K49" t="inlineStr">
        <is>
          <t>intron_variant&amp;non_coding_transcript_variant|intron_variant|intron_variant&amp;NMD_transcript_variant</t>
        </is>
      </c>
      <c r="L49" t="inlineStr"/>
      <c r="M49" t="inlineStr">
        <is>
          <t>ENST00000470026.1:c.213-12A&gt;G|ENST00000477152.1:c.135-12A&gt;G|ENST00000497488.1:c.-218-10108A&gt;G|ENST00000467274.1:n.277-12A&gt;G|ENST00000491747.2:c.213-12A&gt;G|ENST00000493919.1:c.72-12A&gt;G|ENST00000489037.1:c.135-12A&gt;G|ENST00000346315.3:c.213-12A&gt;G|ENST00000461221.1:c.191-12A&gt;G|ENST00000591534.1:c.-44+20303A&gt;G|NR_027676.2:n.393-12A&gt;G|ENST00000354071.3:c.213-12A&gt;G|ENST00000309486.4:c.-676-12A&gt;G|ENST00000461798.1:c.191-12A&gt;G|ENST00000493795.1:c.72-12A&gt;G|ENST00000476777.1:c.213-12A&gt;G|ENST00000591849.1:c.-99+20303A&gt;G|ENST00000478531.1:c.213-12A&gt;G|ENST00000471181.2:c.213-12A&gt;G|ENST00000494123.1:c.213-12A&gt;G|ENST00000357654.3:c.213-12A&gt;G|NM_007294.4:c.213-12A&gt;G|ENST00000468300.1:c.213-12A&gt;G|NM_007298.3:c.213-12A&gt;G|ENST00000586385.1:c.4+20214A&gt;G|NM_007297.4:c.72-12A&gt;G|ENST00000351666.3:c.213-12A&gt;G|ENST00000492859.1:c.*149-12A&gt;G|NM_007299.4:c.213-12A&gt;G|ENST00000352993.3:c.213-12A&gt;G|NM_007300.4:c.213-12A&gt;G</t>
        </is>
      </c>
      <c r="N49" t="inlineStr"/>
      <c r="O49" t="inlineStr"/>
      <c r="P49" t="inlineStr"/>
      <c r="Q49" t="inlineStr"/>
      <c r="R49" t="inlineStr"/>
      <c r="S49" t="inlineStr"/>
    </row>
    <row r="50">
      <c r="A50" t="inlineStr">
        <is>
          <t>17</t>
        </is>
      </c>
      <c r="B50" t="n">
        <v>41267805</v>
      </c>
      <c r="C50" t="inlineStr">
        <is>
          <t>G</t>
        </is>
      </c>
      <c r="D50" t="inlineStr">
        <is>
          <t>C</t>
        </is>
      </c>
      <c r="E50" t="inlineStr">
        <is>
          <t>55719</t>
        </is>
      </c>
      <c r="F50">
        <f>HYPERLINK("https://www.ncbi.nlm.nih.gov/clinvar/variation/55719/","ClinVarDB")</f>
        <v/>
      </c>
      <c r="G50" t="inlineStr">
        <is>
          <t>reviewed_by_expert_panel</t>
        </is>
      </c>
      <c r="H50" t="inlineStr">
        <is>
          <t>Hereditary_breast_and_ovarian_cancer_syndrome|Breast-ovarian_cancer|_familial_1|Hereditary_cancer-predisposing_syndrome|not_provided</t>
        </is>
      </c>
      <c r="I50" t="inlineStr">
        <is>
          <t>Pathogenic</t>
        </is>
      </c>
      <c r="J50" t="inlineStr">
        <is>
          <t>BRCA1</t>
        </is>
      </c>
      <c r="K50" t="inlineStr">
        <is>
          <t>intron_variant&amp;non_coding_transcript_variant|intron_variant|intron_variant&amp;NMD_transcript_variant</t>
        </is>
      </c>
      <c r="L50" t="inlineStr"/>
      <c r="M50" t="inlineStr">
        <is>
          <t>ENST00000497488.1:c.-219+9483C&gt;G|ENST00000493919.1:c.-8+8229C&gt;G|ENST00000489037.1:c.81-9C&gt;G|ENST00000357654.3:c.81-9C&gt;G|ENST00000467274.1:n.145-9C&gt;G|ENST00000477152.1:c.81-9C&gt;G|ENST00000491747.2:c.81-9C&gt;G|ENST00000351666.3:c.81-9C&gt;G|ENST00000591849.1:c.-99+9483C&gt;G|ENST00000461798.1:c.81-9C&gt;G|ENST00000461221.1:c.81-9C&gt;G|NM_007294.4:c.81-9C&gt;G|ENST00000591534.1:c.-44+9483C&gt;G|ENST00000352993.3:c.81-9C&gt;G|ENST00000354071.3:c.81-9C&gt;G|ENST00000468300.1:c.81-9C&gt;G|ENST00000492859.1:c.81-9C&gt;G|ENST00000346315.3:c.81-9C&gt;G|ENST00000471181.2:c.81-9C&gt;G|ENST00000494123.1:c.81-9C&gt;G|NM_007298.3:c.81-9C&gt;G|NR_027676.2:n.283-9C&gt;G|ENST00000309486.4:c.-755+8229C&gt;G|ENST00000493795.1:c.-8+8229C&gt;G|ENST00000470026.1:c.81-9C&gt;G|ENST00000476777.1:c.81-9C&gt;G|ENST00000586385.1:c.4+9394C&gt;G|ENST00000478531.1:c.81-9C&gt;G|NM_007297.4:c.-8+8229C&gt;G|NM_007299.4:c.81-9C&gt;G|NM_007300.4:c.81-9C&gt;G</t>
        </is>
      </c>
      <c r="N50" t="inlineStr">
        <is>
          <t>4.023980181955267e-06</t>
        </is>
      </c>
      <c r="O50" t="n">
        <v>1</v>
      </c>
      <c r="P50" t="inlineStr">
        <is>
          <t>0</t>
        </is>
      </c>
      <c r="Q50" t="inlineStr"/>
      <c r="R50" t="inlineStr"/>
      <c r="S50" t="inlineStr"/>
    </row>
    <row r="51">
      <c r="A51" t="inlineStr">
        <is>
          <t>11</t>
        </is>
      </c>
      <c r="B51" t="n">
        <v>32413513</v>
      </c>
      <c r="C51" t="inlineStr">
        <is>
          <t>C</t>
        </is>
      </c>
      <c r="D51" t="inlineStr">
        <is>
          <t>T</t>
        </is>
      </c>
      <c r="E51" t="inlineStr">
        <is>
          <t>3493</t>
        </is>
      </c>
      <c r="F51">
        <f>HYPERLINK("https://www.ncbi.nlm.nih.gov/clinvar/variation/3493/","ClinVarDB")</f>
        <v/>
      </c>
      <c r="G51" t="inlineStr">
        <is>
          <t>criteria_provided|_multiple_submitters|_no_conflicts</t>
        </is>
      </c>
      <c r="H51" t="inlineStr">
        <is>
          <t>Frasier_syndrome|Wilms_tumor_1|Wilms_tumor|_aniridia|_genitourinary_anomalies|_and_mental_retardation_syndrome|Drash_syndrome|Nephrotic_syndrome|_type_4|Familial_idiopathic_steroid-resistant_nephrotic_syndrome|not_provided</t>
        </is>
      </c>
      <c r="I51" t="inlineStr">
        <is>
          <t>Pathogenic</t>
        </is>
      </c>
      <c r="J51" t="inlineStr">
        <is>
          <t>WT1</t>
        </is>
      </c>
      <c r="K51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51" t="inlineStr"/>
      <c r="M51" t="inlineStr">
        <is>
          <t>NM_024426.6:c.1447+5G&gt;A|ENST00000448076.3:c.1423+14G&gt;A|NR_160306.1:n.1779+5G&gt;A|NM_000378.6:c.1387+14G&gt;A|ENST00000527882.1:c.413+5G&gt;A|NM_001198551.1:c.787+14G&gt;A|ENST00000452863.3:c.1372+14G&gt;A|NM_001367854.1:c.259+5G&gt;A|ENST00000332351.3:c.1432+5G&gt;A|ENST00000530998.1:c.745+5G&gt;A|ENST00000379079.2:c.787+14G&gt;A|NM_024424.5:c.1438+14G&gt;A|ENST00000379077.3:c.*631+5G&gt;A|NM_001198552.2:c.745+5G&gt;A</t>
        </is>
      </c>
      <c r="N51" t="inlineStr"/>
      <c r="O51" t="inlineStr"/>
      <c r="P51" t="inlineStr"/>
      <c r="Q51" t="inlineStr"/>
      <c r="R51" t="inlineStr"/>
      <c r="S51" t="inlineStr"/>
    </row>
    <row r="52">
      <c r="A52" t="inlineStr">
        <is>
          <t>11</t>
        </is>
      </c>
      <c r="B52" t="n">
        <v>32413514</v>
      </c>
      <c r="C52" t="inlineStr">
        <is>
          <t>G</t>
        </is>
      </c>
      <c r="D52" t="inlineStr">
        <is>
          <t>A</t>
        </is>
      </c>
      <c r="E52" t="inlineStr">
        <is>
          <t>3500</t>
        </is>
      </c>
      <c r="F52">
        <f>HYPERLINK("https://www.ncbi.nlm.nih.gov/clinvar/variation/3500/","ClinVarDB")</f>
        <v/>
      </c>
      <c r="G52" t="inlineStr">
        <is>
          <t>criteria_provided|_multiple_submitters|_no_conflicts</t>
        </is>
      </c>
      <c r="H52" t="inlineStr">
        <is>
          <t>Nephrotic_range_proteinuria|Frasier_syndrome|Wilms_tumor_1|Wilms_tumor|_aniridia|_genitourinary_anomalies|_and_mental_retardation_syndrome|Drash_syndrome|Nephrotic_syndrome|_type_4|Familial_idiopathic_steroid-resistant_nephrotic_syndrome|not_provided</t>
        </is>
      </c>
      <c r="I52" t="inlineStr">
        <is>
          <t>Pathogenic</t>
        </is>
      </c>
      <c r="J52" t="inlineStr">
        <is>
          <t>WT1</t>
        </is>
      </c>
      <c r="K52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52" t="inlineStr"/>
      <c r="M52" t="inlineStr">
        <is>
          <t>ENST00000448076.3:c.1423+13C&gt;T|ENST00000379079.2:c.787+13C&gt;T|NM_024424.5:c.1438+13C&gt;T|ENST00000527882.1:c.413+4C&gt;T|NM_024426.6:c.1447+4C&gt;T|ENST00000530998.1:c.745+4C&gt;T|NM_001198552.2:c.745+4C&gt;T|NM_001367854.1:c.259+4C&gt;T|NR_160306.1:n.1779+4C&gt;T|NM_000378.6:c.1387+13C&gt;T|NM_001198551.1:c.787+13C&gt;T|ENST00000379077.3:c.*631+4C&gt;T|ENST00000452863.3:c.1372+13C&gt;T|ENST00000332351.3:c.1432+4C&gt;T</t>
        </is>
      </c>
      <c r="N52" t="inlineStr"/>
      <c r="O52" t="inlineStr"/>
      <c r="P52" t="inlineStr"/>
      <c r="Q52" t="inlineStr"/>
      <c r="R52" t="inlineStr"/>
      <c r="S52" t="inlineStr"/>
    </row>
    <row r="53">
      <c r="A53" t="inlineStr">
        <is>
          <t>3</t>
        </is>
      </c>
      <c r="B53" t="n">
        <v>10188271</v>
      </c>
      <c r="C53" t="inlineStr">
        <is>
          <t>A</t>
        </is>
      </c>
      <c r="D53" t="inlineStr">
        <is>
          <t>G</t>
        </is>
      </c>
      <c r="E53" t="inlineStr">
        <is>
          <t>223206</t>
        </is>
      </c>
      <c r="F53">
        <f>HYPERLINK("https://www.ncbi.nlm.nih.gov/clinvar/variation/223206/","ClinVarDB")</f>
        <v/>
      </c>
      <c r="G53" t="inlineStr">
        <is>
          <t>criteria_provided|_multiple_submitters|_no_conflicts</t>
        </is>
      </c>
      <c r="H53" t="inlineStr">
        <is>
          <t>Von_Hippel-Lindau_syndrome|Erythrocytosis|_familial|_2|Hereditary_cancer-predisposing_syndrome|not_provided</t>
        </is>
      </c>
      <c r="I53" t="inlineStr">
        <is>
          <t>Pathogenic</t>
        </is>
      </c>
      <c r="J53" t="inlineStr">
        <is>
          <t>VHL</t>
        </is>
      </c>
      <c r="K53" t="inlineStr">
        <is>
          <t>intron_variant|synonymous_variant|non_coding_transcript_exon_variant</t>
        </is>
      </c>
      <c r="L53" t="inlineStr">
        <is>
          <t>|ENSP00000256474.2:p.Pro138=|NP_000542.1:p.Pro138=</t>
        </is>
      </c>
      <c r="M53" t="inlineStr">
        <is>
          <t>ENST00000256474.2:c.414A&gt;G|NM_000551.3:c.414A&gt;G|ENST00000345392.2:c.341-3200A&gt;G|NM_001354723.2:c.*18-3200A&gt;G|ENST00000477538.1:n.550A&gt;G|NM_198156.3:c.341-3200A&gt;G</t>
        </is>
      </c>
      <c r="N53" t="inlineStr"/>
      <c r="O53" t="inlineStr"/>
      <c r="P53" t="inlineStr"/>
      <c r="Q53" t="inlineStr"/>
      <c r="R53" t="inlineStr"/>
      <c r="S53" t="inlineStr"/>
    </row>
    <row r="54">
      <c r="A54" t="inlineStr">
        <is>
          <t>16</t>
        </is>
      </c>
      <c r="B54" t="n">
        <v>2113059</v>
      </c>
      <c r="C54" t="inlineStr">
        <is>
          <t>G</t>
        </is>
      </c>
      <c r="D54" t="inlineStr">
        <is>
          <t>C</t>
        </is>
      </c>
      <c r="E54" t="inlineStr">
        <is>
          <t>489133</t>
        </is>
      </c>
      <c r="F54">
        <f>HYPERLINK("https://www.ncbi.nlm.nih.gov/clinvar/variation/489133/","ClinVarDB")</f>
        <v/>
      </c>
      <c r="G54" t="inlineStr">
        <is>
          <t>criteria_provided|_multiple_submitters|_no_conflicts</t>
        </is>
      </c>
      <c r="H54" t="inlineStr">
        <is>
          <t>Tuberous_sclerosis_2|not_provided</t>
        </is>
      </c>
      <c r="I54" t="inlineStr">
        <is>
          <t>Likely_pathogenic</t>
        </is>
      </c>
      <c r="J54" t="inlineStr">
        <is>
          <t>TSC2</t>
        </is>
      </c>
      <c r="K54" t="inlineStr">
        <is>
          <t>splice_region_variant&amp;intron_variant|splice_region_variant&amp;intron_variant&amp;NMD_transcript_variant|splice_region_variant&amp;intron_variant&amp;non_coding_transcript_variant|intron_variant&amp;NMD_transcript_variant</t>
        </is>
      </c>
      <c r="L54" t="inlineStr"/>
      <c r="M54" t="inlineStr">
        <is>
          <t>NM_001114382.2:c.1443+5G&gt;C|ENST00000382538.6:c.1296+5G&gt;C|NM_001363528.1:c.1443+5G&gt;C|ENST00000439673.2:c.1332+5G&gt;C|ENST00000439117.2:c.*742+5G&gt;C|ENST00000350773.4:c.1443+5G&gt;C|ENST00000353929.4:c.1443+5G&gt;C|NM_001077183.2:c.1443+5G&gt;C|NM_001370404.1:c.1443+5G&gt;C|NM_001318831.1:c.843+5G&gt;C|ENST00000568566.1:c.83+458G&gt;C|ENST00000401874.2:c.1443+5G&gt;C|NM_001318827.1:c.1332+5G&gt;C|ENST00000568454.1:c.1476+5G&gt;C|NM_001318832.1:c.1476+5G&gt;C|ENST00000490108.1:n.216+5G&gt;C|NM_000548.5:c.1443+5G&gt;C|NM_001318829.1:c.1296+5G&gt;C|NM_001370405.1:c.1443+5G&gt;C|ENST00000219476.3:c.1443+5G&gt;C|NM_021055.2:c.1443+5G&gt;C</t>
        </is>
      </c>
      <c r="N54" t="inlineStr"/>
      <c r="O54" t="inlineStr"/>
      <c r="P54" t="inlineStr"/>
      <c r="Q54" t="inlineStr"/>
      <c r="R54" t="inlineStr"/>
      <c r="S54" t="inlineStr"/>
    </row>
    <row r="55">
      <c r="A55" t="inlineStr">
        <is>
          <t>16</t>
        </is>
      </c>
      <c r="B55" t="n">
        <v>2124395</v>
      </c>
      <c r="C55" t="inlineStr">
        <is>
          <t>G</t>
        </is>
      </c>
      <c r="D55" t="inlineStr">
        <is>
          <t>C</t>
        </is>
      </c>
      <c r="E55" t="inlineStr">
        <is>
          <t>430442</t>
        </is>
      </c>
      <c r="F55">
        <f>HYPERLINK("https://www.ncbi.nlm.nih.gov/clinvar/variation/430442/","ClinVarDB")</f>
        <v/>
      </c>
      <c r="G55" t="inlineStr">
        <is>
          <t>criteria_provided|_multiple_submitters|_no_conflicts</t>
        </is>
      </c>
      <c r="H55" t="inlineStr">
        <is>
          <t>Focal_cortical_dysplasia_type_II|Lymphangiomyomatosis|Tuberous_sclerosis_2|not_provided</t>
        </is>
      </c>
      <c r="I55" t="inlineStr">
        <is>
          <t>Likely_pathogenic</t>
        </is>
      </c>
      <c r="J55" t="inlineStr">
        <is>
          <t>TSC2</t>
        </is>
      </c>
      <c r="K55" t="inlineStr">
        <is>
          <t>splice_region_variant&amp;intron_variant|splice_region_variant&amp;intron_variant&amp;NMD_transcript_variant|non_coding_transcript_exon_variant</t>
        </is>
      </c>
      <c r="L55" t="inlineStr"/>
      <c r="M55" t="inlineStr">
        <is>
          <t>NM_001318827.1:c.2434+5G&gt;C|NM_001318832.1:c.2578+5G&gt;C|ENST00000463808.1:n.584G&gt;C|NM_001370405.1:c.2545+5G&gt;C|NM_001363528.1:c.2545+5G&gt;C|ENST00000401874.2:c.2545+5G&gt;C|NM_001318829.1:c.2398+5G&gt;C|ENST00000439117.2:c.*1844+5G&gt;C|ENST00000353929.4:c.2545+5G&gt;C|ENST00000439673.2:c.2434+5G&gt;C|ENST00000219476.3:c.2545+5G&gt;C|NM_001114382.2:c.2545+5G&gt;C|NM_001318831.1:c.1945+5G&gt;C|ENST00000568454.1:c.2578+5G&gt;C|NM_001370404.1:c.2545+5G&gt;C|NM_000548.5:c.2545+5G&gt;C|NM_001077183.2:c.2545+5G&gt;C|ENST00000382538.6:c.2398+5G&gt;C|ENST00000350773.4:c.2545+5G&gt;C|NM_021055.2:c.2545+5G&gt;C</t>
        </is>
      </c>
      <c r="N55" t="inlineStr"/>
      <c r="O55" t="inlineStr"/>
      <c r="P55" t="inlineStr"/>
      <c r="Q55" t="inlineStr"/>
      <c r="R55" t="inlineStr"/>
      <c r="S55" t="inlineStr"/>
    </row>
    <row r="56">
      <c r="A56" t="inlineStr">
        <is>
          <t>16</t>
        </is>
      </c>
      <c r="B56" t="n">
        <v>2107460</v>
      </c>
      <c r="C56" t="inlineStr">
        <is>
          <t>C</t>
        </is>
      </c>
      <c r="D56" t="inlineStr">
        <is>
          <t>T</t>
        </is>
      </c>
      <c r="E56" t="inlineStr">
        <is>
          <t>49923</t>
        </is>
      </c>
      <c r="F56">
        <f>HYPERLINK("https://www.ncbi.nlm.nih.gov/clinvar/variation/49923/","ClinVarDB")</f>
        <v/>
      </c>
      <c r="G56" t="inlineStr">
        <is>
          <t>criteria_provided|_multiple_submitters|_no_conflicts</t>
        </is>
      </c>
      <c r="H56" t="inlineStr">
        <is>
          <t>Lymphangiomyomatosis|Tuberous_sclerosis_2|Tuberous_sclerosis_syndrome</t>
        </is>
      </c>
      <c r="I56" t="inlineStr">
        <is>
          <t>Pathogenic</t>
        </is>
      </c>
      <c r="J56" t="inlineStr">
        <is>
          <t>TSC2</t>
        </is>
      </c>
      <c r="K56" t="inlineStr">
        <is>
          <t>regulatory_region_variant|intron_variant|intron_variant&amp;NMD_transcript_variant</t>
        </is>
      </c>
      <c r="L56" t="inlineStr"/>
      <c r="M56" t="inlineStr">
        <is>
          <t>|ENST00000353929.4:c.848+281C&gt;T|ENST00000439117.2:c.*147+281C&gt;T|NM_001370405.1:c.848+281C&gt;T|NM_001114382.2:c.848+281C&gt;T|ENST00000382538.6:c.701+281C&gt;T|NM_000548.5:c.848+281C&gt;T|ENST00000467949.1:c.284+281C&gt;T|ENST00000219476.3:c.848+281C&gt;T|NM_001318829.1:c.701+281C&gt;T|NM_001318831.1:c.248+281C&gt;T|NM_001370404.1:c.848+281C&gt;T|NM_001077183.2:c.848+281C&gt;T|NM_001318827.1:c.737+281C&gt;T|ENST00000401874.2:c.848+281C&gt;T|ENST00000439673.2:c.737+281C&gt;T|ENST00000568454.1:c.881+281C&gt;T|ENST00000350773.4:c.848+281C&gt;T|NM_001318832.1:c.881+281C&gt;T|NM_021055.2:c.848+281C&gt;T|NM_001363528.1:c.848+281C&gt;T</t>
        </is>
      </c>
      <c r="N56" t="inlineStr"/>
      <c r="O56" t="inlineStr"/>
      <c r="P56" t="inlineStr"/>
      <c r="Q56" t="inlineStr"/>
      <c r="R56" t="inlineStr"/>
      <c r="S56" t="inlineStr"/>
    </row>
    <row r="57">
      <c r="A57" t="inlineStr">
        <is>
          <t>16</t>
        </is>
      </c>
      <c r="B57" t="n">
        <v>2127477</v>
      </c>
      <c r="C57" t="inlineStr">
        <is>
          <t>G</t>
        </is>
      </c>
      <c r="D57" t="inlineStr">
        <is>
          <t>A</t>
        </is>
      </c>
      <c r="E57" t="inlineStr">
        <is>
          <t>570837</t>
        </is>
      </c>
      <c r="F57">
        <f>HYPERLINK("https://www.ncbi.nlm.nih.gov/clinvar/variation/570837/","ClinVarDB")</f>
        <v/>
      </c>
      <c r="G57" t="inlineStr">
        <is>
          <t>criteria_provided|_multiple_submitters|_no_conflicts</t>
        </is>
      </c>
      <c r="H57" t="inlineStr">
        <is>
          <t>Neoplasm|Cortical_tubers|Tuberous_sclerosis_2|not_provided</t>
        </is>
      </c>
      <c r="I57" t="inlineStr">
        <is>
          <t>Pathogenic</t>
        </is>
      </c>
      <c r="J57" t="inlineStr">
        <is>
          <t>TSC2</t>
        </is>
      </c>
      <c r="K57" t="inlineStr">
        <is>
          <t>intron_variant|non_coding_transcript_exon_variant|intron_variant&amp;NMD_transcript_variant</t>
        </is>
      </c>
      <c r="L57" t="inlineStr"/>
      <c r="M57" t="inlineStr">
        <is>
          <t>ENST00000471143.1:c.*98+891G&gt;A|ENST00000439117.2:c.*2136+891G&gt;A|NM_001318832.1:c.2870+891G&gt;A|NM_001318829.1:c.2690+891G&gt;A|NM_001114382.2:c.2838-122G&gt;A|NM_001370405.1:c.2837+891G&gt;A|ENST00000568454.1:c.2870+891G&gt;A|ENST00000439673.2:c.2726+891G&gt;A|ENST00000219476.3:c.2838-122G&gt;A|ENST00000353929.4:c.2837+891G&gt;A|NM_000548.5:c.2838-122G&gt;A|NM_001370404.1:c.2837+891G&gt;A|ENST00000382538.6:c.2690+891G&gt;A|NM_001077183.2:c.2837+891G&gt;A|NM_021055.2:c.2837+891G&gt;A|ENST00000401874.2:c.2837+891G&gt;A|NM_001363528.1:c.2837+891G&gt;A|ENST00000483020.1:c.*98+891G&gt;A|NM_001318831.1:c.2237+891G&gt;A|ENST00000350773.4:c.2838-122G&gt;A|NM_001318827.1:c.2726+891G&gt;A|ENST00000568366.1:n.73G&gt;A</t>
        </is>
      </c>
      <c r="N57" t="inlineStr"/>
      <c r="O57" t="inlineStr"/>
      <c r="P57" t="inlineStr"/>
      <c r="Q57" t="inlineStr"/>
      <c r="R57" t="inlineStr"/>
      <c r="S57" t="inlineStr"/>
    </row>
    <row r="58">
      <c r="A58" t="inlineStr">
        <is>
          <t>16</t>
        </is>
      </c>
      <c r="B58" t="n">
        <v>2110656</v>
      </c>
      <c r="C58" t="inlineStr">
        <is>
          <t>G</t>
        </is>
      </c>
      <c r="D58" t="inlineStr">
        <is>
          <t>A</t>
        </is>
      </c>
      <c r="E58" t="inlineStr">
        <is>
          <t>49396</t>
        </is>
      </c>
      <c r="F58">
        <f>HYPERLINK("https://www.ncbi.nlm.nih.gov/clinvar/variation/49396/","ClinVarDB")</f>
        <v/>
      </c>
      <c r="G58" t="inlineStr">
        <is>
          <t>criteria_provided|_multiple_submitters|_no_conflicts</t>
        </is>
      </c>
      <c r="H58" t="inlineStr">
        <is>
          <t>Tuberous_sclerosis_2|Tuberous_sclerosis_syndrome|not_provided</t>
        </is>
      </c>
      <c r="I58" t="inlineStr">
        <is>
          <t>Pathogenic</t>
        </is>
      </c>
      <c r="J58" t="inlineStr">
        <is>
          <t>TSC2</t>
        </is>
      </c>
      <c r="K58" t="inlineStr">
        <is>
          <t>intron_variant|intron_variant&amp;NMD_transcript_variant</t>
        </is>
      </c>
      <c r="L58" t="inlineStr"/>
      <c r="M58" t="inlineStr">
        <is>
          <t>ENST00000219476.3:c.976-15G&gt;A|ENST00000350773.4:c.976-15G&gt;A|NM_001114382.2:c.976-15G&gt;A|ENST00000353929.4:c.976-15G&gt;A|NM_001363528.1:c.976-15G&gt;A|NM_001370405.1:c.976-15G&gt;A|NM_021055.2:c.976-15G&gt;A|NM_001318829.1:c.829-15G&gt;A|ENST00000467949.1:c.411+1782G&gt;A|NM_001077183.2:c.976-15G&gt;A|NM_001318831.1:c.376-15G&gt;A|ENST00000401874.2:c.976-15G&gt;A|ENST00000568454.1:c.1009-15G&gt;A|ENST00000439117.2:c.*275-15G&gt;A|NM_001370404.1:c.976-15G&gt;A|ENST00000382538.6:c.829-15G&gt;A|NM_000548.5:c.976-15G&gt;A|NM_001318827.1:c.865-15G&gt;A|ENST00000439673.2:c.865-15G&gt;A|NM_001318832.1:c.1009-15G&gt;A</t>
        </is>
      </c>
      <c r="N58" t="inlineStr"/>
      <c r="O58" t="inlineStr"/>
      <c r="P58" t="inlineStr"/>
      <c r="Q58" t="inlineStr"/>
      <c r="R58" t="inlineStr"/>
      <c r="S58" t="inlineStr"/>
    </row>
    <row r="59">
      <c r="A59" t="inlineStr">
        <is>
          <t>16</t>
        </is>
      </c>
      <c r="B59" t="n">
        <v>2126483</v>
      </c>
      <c r="C59" t="inlineStr">
        <is>
          <t>C</t>
        </is>
      </c>
      <c r="D59" t="inlineStr">
        <is>
          <t>G</t>
        </is>
      </c>
      <c r="E59" t="inlineStr">
        <is>
          <t>65300</t>
        </is>
      </c>
      <c r="F59">
        <f>HYPERLINK("https://www.ncbi.nlm.nih.gov/clinvar/variation/65300/","ClinVarDB")</f>
        <v/>
      </c>
      <c r="G59" t="inlineStr">
        <is>
          <t>criteria_provided|_multiple_submitters|_no_conflicts</t>
        </is>
      </c>
      <c r="H59" t="inlineStr">
        <is>
          <t>Tuberous_sclerosis_2|Tuberous_sclerosis_syndrome|not_provided</t>
        </is>
      </c>
      <c r="I59" t="inlineStr">
        <is>
          <t>Likely_pathogenic</t>
        </is>
      </c>
      <c r="J59" t="inlineStr">
        <is>
          <t>TSC2</t>
        </is>
      </c>
      <c r="K59" t="inlineStr">
        <is>
          <t>intron_variant|intron_variant&amp;NMD_transcript_variant</t>
        </is>
      </c>
      <c r="L59" t="inlineStr"/>
      <c r="M59" t="inlineStr">
        <is>
          <t>NM_000548.5:c.2743-9C&gt;G|ENST00000219476.3:c.2743-9C&gt;G|ENST00000353929.4:c.2743-9C&gt;G|NM_001363528.1:c.2743-9C&gt;G|NM_001077183.2:c.2743-9C&gt;G|ENST00000471143.1:c.*4-9C&gt;G|NM_001318831.1:c.2143-9C&gt;G|ENST00000483020.1:c.*4-9C&gt;G|ENST00000439673.2:c.2632-9C&gt;G|NM_001114382.2:c.2743-9C&gt;G|NM_001318829.1:c.2596-9C&gt;G|ENST00000350773.4:c.2743-9C&gt;G|NM_001318827.1:c.2632-9C&gt;G|ENST00000439117.2:c.*2042-9C&gt;G|NM_021055.2:c.2743-9C&gt;G|ENST00000568454.1:c.2776-9C&gt;G|NM_001370404.1:c.2743-9C&gt;G|NM_001318832.1:c.2776-9C&gt;G|ENST00000382538.6:c.2596-9C&gt;G|NM_001370405.1:c.2743-9C&gt;G|ENST00000401874.2:c.2743-9C&gt;G</t>
        </is>
      </c>
      <c r="N59" t="inlineStr"/>
      <c r="O59" t="inlineStr"/>
      <c r="P59" t="inlineStr"/>
      <c r="Q59" t="inlineStr"/>
      <c r="R59" t="inlineStr"/>
      <c r="S59" t="inlineStr"/>
    </row>
    <row r="60">
      <c r="A60" t="inlineStr">
        <is>
          <t>9</t>
        </is>
      </c>
      <c r="B60" t="n">
        <v>135796838</v>
      </c>
      <c r="C60" t="inlineStr">
        <is>
          <t>T</t>
        </is>
      </c>
      <c r="D60" t="inlineStr">
        <is>
          <t>C</t>
        </is>
      </c>
      <c r="E60" t="inlineStr">
        <is>
          <t>49079</t>
        </is>
      </c>
      <c r="F60">
        <f>HYPERLINK("https://www.ncbi.nlm.nih.gov/clinvar/variation/49079/","ClinVarDB")</f>
        <v/>
      </c>
      <c r="G60" t="inlineStr">
        <is>
          <t>criteria_provided|_multiple_submitters|_no_conflicts</t>
        </is>
      </c>
      <c r="H60" t="inlineStr">
        <is>
          <t>Tuberous_sclerosis_1|Tuberous_sclerosis_syndrome|not_provided</t>
        </is>
      </c>
      <c r="I60" t="inlineStr">
        <is>
          <t>Pathogenic/Likely_pathogenic</t>
        </is>
      </c>
      <c r="J60" t="inlineStr">
        <is>
          <t>TSC1</t>
        </is>
      </c>
      <c r="K60" t="inlineStr">
        <is>
          <t>intron_variant&amp;non_coding_transcript_variant|intron_variant</t>
        </is>
      </c>
      <c r="L60" t="inlineStr"/>
      <c r="M60" t="inlineStr">
        <is>
          <t>ENST00000298552.3:c.664-15A&gt;G|ENST00000493467.1:n.860-15A&gt;G|ENST00000403810.1:c.664-15A&gt;G|ENST00000545250.1:c.511-15A&gt;G|NM_001362177.2:c.301-15A&gt;G|ENST00000440111.2:c.664-15A&gt;G|NM_001162426.2:c.664-15A&gt;G|NM_000368.5:c.664-15A&gt;G|NM_001162427.2:c.511-15A&gt;G</t>
        </is>
      </c>
      <c r="N60" t="inlineStr"/>
      <c r="O60" t="inlineStr"/>
      <c r="P60" t="inlineStr"/>
      <c r="Q60" t="inlineStr"/>
      <c r="R60" t="inlineStr"/>
      <c r="S60" t="inlineStr"/>
    </row>
    <row r="61">
      <c r="A61" t="inlineStr">
        <is>
          <t>9</t>
        </is>
      </c>
      <c r="B61" t="n">
        <v>135775735</v>
      </c>
      <c r="C61" t="inlineStr">
        <is>
          <t>T</t>
        </is>
      </c>
      <c r="D61" t="inlineStr">
        <is>
          <t>C</t>
        </is>
      </c>
      <c r="E61" t="inlineStr">
        <is>
          <t>581656</t>
        </is>
      </c>
      <c r="F61">
        <f>HYPERLINK("https://www.ncbi.nlm.nih.gov/clinvar/variation/581656/","ClinVarDB")</f>
        <v/>
      </c>
      <c r="G61" t="inlineStr">
        <is>
          <t>criteria_provided|_multiple_submitters|_no_conflicts</t>
        </is>
      </c>
      <c r="H61" t="inlineStr">
        <is>
          <t>Tuberous_sclerosis_1|not_provided</t>
        </is>
      </c>
      <c r="I61" t="inlineStr">
        <is>
          <t>Pathogenic/Likely_pathogenic</t>
        </is>
      </c>
      <c r="J61" t="inlineStr">
        <is>
          <t>TSC1</t>
        </is>
      </c>
      <c r="K61" t="inlineStr">
        <is>
          <t>intron_variant</t>
        </is>
      </c>
      <c r="L61" t="inlineStr"/>
      <c r="M61" t="inlineStr">
        <is>
          <t>ENST00000298552.3:c.2625+367A&gt;G|NM_000368.5:c.2625+367A&gt;G|NM_001362177.2:c.2262+367A&gt;G|NM_001162426.2:c.2622+367A&gt;G|ENST00000440111.2:c.2625+367A&gt;G|NM_001162427.2:c.2472+367A&gt;G|ENST00000545250.1:c.2472+367A&gt;G</t>
        </is>
      </c>
      <c r="N61" t="inlineStr"/>
      <c r="O61" t="inlineStr"/>
      <c r="P61" t="inlineStr"/>
      <c r="Q61" t="inlineStr"/>
      <c r="R61" t="inlineStr"/>
      <c r="S61" t="inlineStr"/>
    </row>
    <row r="62">
      <c r="A62" t="inlineStr">
        <is>
          <t>17</t>
        </is>
      </c>
      <c r="B62" t="n">
        <v>7579312</v>
      </c>
      <c r="C62" t="inlineStr">
        <is>
          <t>C</t>
        </is>
      </c>
      <c r="D62" t="inlineStr">
        <is>
          <t>T</t>
        </is>
      </c>
      <c r="E62" t="inlineStr">
        <is>
          <t>177825</t>
        </is>
      </c>
      <c r="F62">
        <f>HYPERLINK("https://www.ncbi.nlm.nih.gov/clinvar/variation/177825/","ClinVarDB")</f>
        <v/>
      </c>
      <c r="G62" t="inlineStr">
        <is>
          <t>criteria_provided|_multiple_submitters|_no_conflicts</t>
        </is>
      </c>
      <c r="H62" t="inlineStr">
        <is>
          <t>Rhabdomyosarcoma|Malignant_tumor_of_prostate|Hereditary_cancer-predisposing_syndrome|Li-Fraumeni_syndrome|Glioma_susceptibility_1|Breast_and/or_ovarian_cancer|not_provided</t>
        </is>
      </c>
      <c r="I62" t="inlineStr">
        <is>
          <t>Pathogenic</t>
        </is>
      </c>
      <c r="J62" t="inlineStr">
        <is>
          <t>TP53</t>
        </is>
      </c>
      <c r="K62" t="inlineStr">
        <is>
          <t>splice_region_variant&amp;synonymous_variant|intron_variant|splice_region_variant&amp;non_coding_transcript_exon_variant</t>
        </is>
      </c>
      <c r="L62" t="inlineStr">
        <is>
          <t>|ENSP00000410739.2:p.Thr125=|ENSP00000424104.1:p.Thr125=|ENSP00000391478.2:p.Thr125=|NP_001119590.1:p.Thr86=|NP_001263690.1:p.Thr86=|NP_001119585.1:p.Thr125=|NP_001263624.1:p.Thr86=|ENSP00000391127.2:p.Thr125=|ENSP00000473895.1:p.Thr125=|NP_001263689.1:p.Thr86=|ENSP00000352610.4:p.Thr125=|NP_001119586.1:p.Thr125=|ENSP00000398846.2:p.Thr125=|NP_000537.3:p.Thr125=|NP_001119584.1:p.Thr125=|ENSP00000426252.1:p.Thr125=|NP_001263625.1:p.Thr86=|ENSP00000269305.4:p.Thr125=</t>
        </is>
      </c>
      <c r="M62" t="inlineStr">
        <is>
          <t>ENST00000455263.2:c.375G&gt;A|ENST00000505014.1:n.631G&gt;A|ENST00000509690.1:c.-21-758G&gt;A|ENST00000420246.2:c.375G&gt;A|NM_001126118.1:c.258G&gt;A|ENST00000604348.1:c.375G&gt;A|NM_001276761.2:c.258G&gt;A|NM_000546.5:c.375G&gt;A|NM_001276696.2:c.258G&gt;A|NM_001126113.2:c.375G&gt;A|NM_001126112.2:c.375G&gt;A|ENST00000413465.2:c.375G&gt;A|NM_001276760.2:c.258G&gt;A|ENST00000514944.1:c.96+388G&gt;A|ENST00000269305.4:c.375G&gt;A|NM_001276695.2:c.258G&gt;A|ENST00000508793.1:c.375G&gt;A|ENST00000503591.1:c.375G&gt;A|ENST00000359597.4:c.375G&gt;A|NM_001126114.2:c.375G&gt;A|ENST00000445888.2:c.375G&gt;A</t>
        </is>
      </c>
      <c r="N62" t="inlineStr"/>
      <c r="O62" t="inlineStr"/>
      <c r="P62" t="inlineStr"/>
      <c r="Q62" t="inlineStr"/>
      <c r="R62" t="inlineStr"/>
      <c r="S62" t="inlineStr"/>
    </row>
    <row r="63">
      <c r="A63" t="inlineStr">
        <is>
          <t>17</t>
        </is>
      </c>
      <c r="B63" t="n">
        <v>7576853</v>
      </c>
      <c r="C63" t="inlineStr">
        <is>
          <t>C</t>
        </is>
      </c>
      <c r="D63" t="inlineStr">
        <is>
          <t>T</t>
        </is>
      </c>
      <c r="E63" t="inlineStr">
        <is>
          <t>428868</t>
        </is>
      </c>
      <c r="F63">
        <f>HYPERLINK("https://www.ncbi.nlm.nih.gov/clinvar/variation/428868/","ClinVarDB")</f>
        <v/>
      </c>
      <c r="G63" t="inlineStr">
        <is>
          <t>criteria_provided|_multiple_submitters|_no_conflicts</t>
        </is>
      </c>
      <c r="H63" t="inlineStr">
        <is>
          <t>Hereditary_cancer-predisposing_syndrome|Li-Fraumeni_syndrome|not_provided</t>
        </is>
      </c>
      <c r="I63" t="inlineStr">
        <is>
          <t>Likely_pathogenic</t>
        </is>
      </c>
      <c r="J63" t="inlineStr">
        <is>
          <t>TP53</t>
        </is>
      </c>
      <c r="K63" t="inlineStr">
        <is>
          <t>regulatory_region_variant|intron_variant|synonymous_variant|splice_region_variant&amp;non_coding_transcript_exon_variant|splice_region_variant&amp;synonymous_variant</t>
        </is>
      </c>
      <c r="L63" t="inlineStr">
        <is>
          <t>|NP_001119586.1:p.Gln331=|NP_001119590.1:p.Gln292=|NP_001263625.1:p.Gln292=|NP_001119584.1:p.Gln331=|NP_001263626.1:p.Gln172=|NP_001263628.1:p.Gln172=|ENSP00000391478.2:p.Gln331=|ENSP00000425104.1:p.Gln199=|ENSP00000458393.1:p.Gln18=|NP_001119588.1:p.Gln199=|NP_001119589.1:p.Gln199=|ENSP00000391127.2:p.Gln331=|NP_001263624.1:p.Gln292=|NP_001119585.1:p.Gln331=|ENSP00000269305.4:p.Gln331=|NP_001263627.1:p.Gln172=|ENSP00000398846.2:p.Gln331=|NP_001263689.1:p.Gln292=|ENSP00000352610.4:p.Gln331=|NP_001119587.1:p.Gln199=|NP_000537.3:p.Gln331=|NP_001263690.1:p.Gln292=</t>
        </is>
      </c>
      <c r="M63" t="inlineStr">
        <is>
          <t>|ENST00000413465.2:c.782+646G&gt;A|NM_001126113.2:c.993G&gt;A|ENST00000269305.4:c.993G&gt;A|NM_001276698.2:c.516G&gt;A|ENST00000359597.4:c.993G&gt;A|NM_001276699.2:c.516G&gt;A|NM_001276697.2:c.516G&gt;A|NM_001276695.2:c.876G&gt;A|NM_001126112.2:c.993G&gt;A|NM_001276696.2:c.876G&gt;A|ENST00000455263.2:c.993G&gt;A|NM_001126114.2:c.993G&gt;A|NM_000546.5:c.993G&gt;A|NM_001126116.1:c.597G&gt;A|NM_001126115.1:c.597G&gt;A|NM_001126118.1:c.876G&gt;A|NM_001126117.1:c.597G&gt;A|NM_001276761.2:c.876G&gt;A|ENST00000504937.1:n.875G&gt;A|ENST00000420246.2:c.993G&gt;A|ENST00000576024.1:c.54G&gt;A|ENST00000445888.2:c.993G&gt;A|ENST00000504290.1:n.875G&gt;A|NM_001276760.2:c.876G&gt;A|ENST00000510385.1:n.875G&gt;A|ENST00000509690.1:c.597G&gt;A</t>
        </is>
      </c>
      <c r="N63" t="inlineStr"/>
      <c r="O63" t="inlineStr"/>
      <c r="P63" t="inlineStr"/>
      <c r="Q63" t="inlineStr"/>
      <c r="R63" t="inlineStr"/>
      <c r="S63" t="inlineStr"/>
    </row>
    <row r="64">
      <c r="A64" t="inlineStr">
        <is>
          <t>17</t>
        </is>
      </c>
      <c r="B64" t="n">
        <v>7578177</v>
      </c>
      <c r="C64" t="inlineStr">
        <is>
          <t>C</t>
        </is>
      </c>
      <c r="D64" t="inlineStr">
        <is>
          <t>T</t>
        </is>
      </c>
      <c r="E64" t="inlineStr">
        <is>
          <t>80709</t>
        </is>
      </c>
      <c r="F64">
        <f>HYPERLINK("https://www.ncbi.nlm.nih.gov/clinvar/variation/80709/","ClinVarDB")</f>
        <v/>
      </c>
      <c r="G64" t="inlineStr">
        <is>
          <t>criteria_provided|_multiple_submitters|_no_conflicts</t>
        </is>
      </c>
      <c r="H64" t="inlineStr">
        <is>
          <t>Hereditary_cancer-predisposing_syndrome|Li-Fraumeni_syndrome|not_provided</t>
        </is>
      </c>
      <c r="I64" t="inlineStr">
        <is>
          <t>Pathogenic/Likely_pathogenic</t>
        </is>
      </c>
      <c r="J64" t="inlineStr">
        <is>
          <t>TP53</t>
        </is>
      </c>
      <c r="K64" t="inlineStr">
        <is>
          <t>intron_variant&amp;non_coding_transcript_variant|splice_region_variant&amp;synonymous_variant|splice_region_variant&amp;non_coding_transcript_exon_variant|non_coding_transcript_exon_variant</t>
        </is>
      </c>
      <c r="L64" t="inlineStr">
        <is>
          <t>|ENSP00000352610.4:p.Glu224=|ENSP00000391127.2:p.Glu224=|NP_001263690.1:p.Glu185=|ENSP00000410739.2:p.Glu224=|NP_001119584.1:p.Glu224=|NP_001119590.1:p.Glu185=|NP_001263626.1:p.Glu65=|ENSP00000425104.1:p.Glu92=|NP_001119585.1:p.Glu224=|NP_001263624.1:p.Glu185=|NP_001263625.1:p.Glu185=|NP_001119587.1:p.Glu92=|ENSP00000269305.4:p.Glu224=|ENSP00000423862.1:p.Glu131=|NP_001119589.1:p.Glu92=|NP_001263689.1:p.Glu185=|NP_001119588.1:p.Glu92=|NP_001263627.1:p.Glu65=|NP_001119586.1:p.Glu224=|ENSP00000391478.2:p.Glu224=|NP_001263628.1:p.Glu65=|NP_000537.3:p.Glu224=|ENSP00000398846.2:p.Glu224=</t>
        </is>
      </c>
      <c r="M64" t="inlineStr">
        <is>
          <t>ENST00000509690.1:c.276G&gt;A|NM_001126114.2:c.672G&gt;A|ENST00000510385.1:n.554G&gt;A|NM_000546.5:c.672G&gt;A|NM_001126115.1:c.276G&gt;A|NM_001126112.2:c.672G&gt;A|ENST00000420246.2:c.672G&gt;A|ENST00000269305.4:c.672G&gt;A|NM_001276698.2:c.195G&gt;A|NM_001276695.2:c.555G&gt;A|NM_001276699.2:c.195G&gt;A|NM_001276761.2:c.555G&gt;A|NM_001276760.2:c.555G&gt;A|ENST00000359597.4:c.672G&gt;A|ENST00000505014.1:n.928G&gt;A|ENST00000413465.2:c.672G&gt;A|ENST00000445888.2:c.672G&gt;A|NM_001276697.2:c.195G&gt;A|ENST00000574684.1:n.67+194G&gt;A|ENST00000514944.1:c.393G&gt;A|ENST00000504290.1:n.554G&gt;A|NM_001276696.2:c.555G&gt;A|ENST00000455263.2:c.672G&gt;A|NM_001126116.1:c.276G&gt;A|NM_001126117.1:c.276G&gt;A|ENST00000504937.1:n.554G&gt;A|NM_001126113.2:c.672G&gt;A|NM_001126118.1:c.555G&gt;A</t>
        </is>
      </c>
      <c r="N64" t="inlineStr"/>
      <c r="O64" t="inlineStr"/>
      <c r="P64" t="inlineStr"/>
      <c r="Q64" t="inlineStr"/>
      <c r="R64" t="inlineStr"/>
      <c r="S64" t="inlineStr"/>
    </row>
    <row r="65">
      <c r="A65" t="inlineStr">
        <is>
          <t>22</t>
        </is>
      </c>
      <c r="B65" t="n">
        <v>24176449</v>
      </c>
      <c r="C65" t="inlineStr">
        <is>
          <t>C</t>
        </is>
      </c>
      <c r="D65" t="inlineStr">
        <is>
          <t>T</t>
        </is>
      </c>
      <c r="E65" t="inlineStr">
        <is>
          <t>239481</t>
        </is>
      </c>
      <c r="F65">
        <f>HYPERLINK("https://www.ncbi.nlm.nih.gov/clinvar/variation/239481/","ClinVarDB")</f>
        <v/>
      </c>
      <c r="G65" t="inlineStr">
        <is>
          <t>criteria_provided|_multiple_submitters|_no_conflicts</t>
        </is>
      </c>
      <c r="H65" t="inlineStr">
        <is>
          <t>Peripheral_Schwannoma|Schwannoma|Schwannomatosis_1|not_provided</t>
        </is>
      </c>
      <c r="I65" t="inlineStr">
        <is>
          <t>Pathogenic/Likely_pathogenic</t>
        </is>
      </c>
      <c r="J65" t="inlineStr">
        <is>
          <t>SMARCB1</t>
        </is>
      </c>
      <c r="K65" t="inlineStr">
        <is>
          <t>3_prime_UTR_variant</t>
        </is>
      </c>
      <c r="L65" t="inlineStr"/>
      <c r="M65" t="inlineStr">
        <is>
          <t>ENST00000407422.3:c.*82C&gt;T|NM_003073.5:c.*82C&gt;T|NM_001362877.2:c.*82C&gt;T|ENST00000263121.7:c.*82C&gt;T|ENST00000344921.6:c.*82C&gt;T|NM_001317946.2:c.*82C&gt;T|NM_001007468.3:c.*82C&gt;T</t>
        </is>
      </c>
      <c r="N65" t="inlineStr"/>
      <c r="O65" t="inlineStr"/>
      <c r="P65" t="inlineStr"/>
      <c r="Q65" t="inlineStr"/>
      <c r="R65" t="inlineStr"/>
      <c r="S65" t="inlineStr"/>
    </row>
    <row r="66">
      <c r="A66" t="inlineStr">
        <is>
          <t>10</t>
        </is>
      </c>
      <c r="B66" t="n">
        <v>43609995</v>
      </c>
      <c r="C66" t="inlineStr">
        <is>
          <t>G</t>
        </is>
      </c>
      <c r="D66" t="inlineStr">
        <is>
          <t>A</t>
        </is>
      </c>
      <c r="E66" t="inlineStr">
        <is>
          <t>24929</t>
        </is>
      </c>
      <c r="F66">
        <f>HYPERLINK("https://www.ncbi.nlm.nih.gov/clinvar/variation/24929/","ClinVarDB")</f>
        <v/>
      </c>
      <c r="G66" t="inlineStr">
        <is>
          <t>criteria_provided|_multiple_submitters|_no_conflicts</t>
        </is>
      </c>
      <c r="H66" t="inlineStr">
        <is>
          <t>Pheochromocytoma|Hirschsprung_disease_1|Familial_medullary_thyroid_carcinoma|Multiple_endocrine_neoplasia|_type_2b|Multiple_endocrine_neoplasia|_type_2a|Congenital_central_hypoventilation|Multiple_endocrine_neoplasia|_type_2|not_provided</t>
        </is>
      </c>
      <c r="I66" t="inlineStr">
        <is>
          <t>Pathogenic/Likely_pathogenic</t>
        </is>
      </c>
      <c r="J66" t="inlineStr">
        <is>
          <t>RET</t>
        </is>
      </c>
      <c r="K66" t="inlineStr">
        <is>
          <t>synonymous_variant</t>
        </is>
      </c>
      <c r="L66" t="inlineStr">
        <is>
          <t>ENSP00000344798.4:p.Ser649=|NP_001342145.1:p.Ser395=|ENSP00000419080.1:p.Ser166=|NP_066124.1:p.Ser649=|NP_065681.1:p.Ser649=|ENSP00000347942.3:p.Ser649=</t>
        </is>
      </c>
      <c r="M66" t="inlineStr">
        <is>
          <t>ENST00000340058.5:c.1947G&gt;A|ENST00000355710.3:c.1947G&gt;A|NM_020630.5:c.1947G&gt;A|NM_001355216.1:c.1185G&gt;A|ENST00000498820.1:c.498G&gt;A|NM_020975.6:c.1947G&gt;A</t>
        </is>
      </c>
      <c r="N66" t="inlineStr">
        <is>
          <t>0.0</t>
        </is>
      </c>
      <c r="O66" t="n">
        <v>0</v>
      </c>
      <c r="P66" t="inlineStr">
        <is>
          <t>0</t>
        </is>
      </c>
      <c r="Q66" t="inlineStr"/>
      <c r="R66" t="inlineStr"/>
      <c r="S66" t="inlineStr"/>
    </row>
    <row r="67">
      <c r="A67" t="inlineStr">
        <is>
          <t>13</t>
        </is>
      </c>
      <c r="B67" t="n">
        <v>49047531</v>
      </c>
      <c r="C67" t="inlineStr">
        <is>
          <t>G</t>
        </is>
      </c>
      <c r="D67" t="inlineStr">
        <is>
          <t>A</t>
        </is>
      </c>
      <c r="E67" t="inlineStr">
        <is>
          <t>428703</t>
        </is>
      </c>
      <c r="F67">
        <f>HYPERLINK("https://www.ncbi.nlm.nih.gov/clinvar/variation/428703/","ClinVarDB")</f>
        <v/>
      </c>
      <c r="G67" t="inlineStr">
        <is>
          <t>criteria_provided|_multiple_submitters|_no_conflicts</t>
        </is>
      </c>
      <c r="H67" t="inlineStr">
        <is>
          <t>Retinoblastoma|Hereditary_cancer-predisposing_syndrome</t>
        </is>
      </c>
      <c r="I67" t="inlineStr">
        <is>
          <t>Pathogenic/Likely_pathogenic</t>
        </is>
      </c>
      <c r="J67" t="inlineStr">
        <is>
          <t>RB1</t>
        </is>
      </c>
      <c r="K67" t="inlineStr">
        <is>
          <t>splice_region_variant&amp;intron_variant</t>
        </is>
      </c>
      <c r="L67" t="inlineStr"/>
      <c r="M67" t="inlineStr">
        <is>
          <t>ENST00000267163.4:c.2520+5G&gt;A|NM_000321.2:c.2520+5G&gt;A</t>
        </is>
      </c>
      <c r="N67" t="inlineStr"/>
      <c r="O67" t="inlineStr"/>
      <c r="P67" t="inlineStr"/>
      <c r="Q67" t="inlineStr"/>
      <c r="R67" t="inlineStr"/>
      <c r="S67" t="inlineStr"/>
    </row>
    <row r="68">
      <c r="A68" t="inlineStr">
        <is>
          <t>13</t>
        </is>
      </c>
      <c r="B68" t="n">
        <v>48877851</v>
      </c>
      <c r="C68" t="inlineStr">
        <is>
          <t>G</t>
        </is>
      </c>
      <c r="D68" t="inlineStr">
        <is>
          <t>A</t>
        </is>
      </c>
      <c r="E68" t="inlineStr">
        <is>
          <t>13086</t>
        </is>
      </c>
      <c r="F68">
        <f>HYPERLINK("https://www.ncbi.nlm.nih.gov/clinvar/variation/13086/","ClinVarDB")</f>
        <v/>
      </c>
      <c r="G68" t="inlineStr">
        <is>
          <t>criteria_provided|_multiple_submitters|_no_conflicts</t>
        </is>
      </c>
      <c r="H68" t="inlineStr">
        <is>
          <t>Retinoblastoma|Hereditary_cancer-predisposing_syndrome</t>
        </is>
      </c>
      <c r="I68" t="inlineStr">
        <is>
          <t>Pathogenic</t>
        </is>
      </c>
      <c r="J68" t="inlineStr">
        <is>
          <t>RB1</t>
        </is>
      </c>
      <c r="K68" t="inlineStr">
        <is>
          <t>regulatory_region_variant|TF_binding_site_variant</t>
        </is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</row>
    <row r="69">
      <c r="A69" t="inlineStr">
        <is>
          <t>17</t>
        </is>
      </c>
      <c r="B69" t="n">
        <v>56798178</v>
      </c>
      <c r="C69" t="inlineStr">
        <is>
          <t>G</t>
        </is>
      </c>
      <c r="D69" t="inlineStr">
        <is>
          <t>T</t>
        </is>
      </c>
      <c r="E69" t="inlineStr">
        <is>
          <t>142762</t>
        </is>
      </c>
      <c r="F69">
        <f>HYPERLINK("https://www.ncbi.nlm.nih.gov/clinvar/variation/142762/","ClinVarDB")</f>
        <v/>
      </c>
      <c r="G69" t="inlineStr">
        <is>
          <t>criteria_provided|_multiple_submitters|_no_conflicts</t>
        </is>
      </c>
      <c r="H69" t="inlineStr">
        <is>
          <t>Fanconi_anemia|_complementation_group_O|Breast-ovarian_cancer|_familial_3|Hereditary_cancer-predisposing_syndrome|Hereditary_site-specific_ovarian_cancer_syndrome|not_provided</t>
        </is>
      </c>
      <c r="I69" t="inlineStr">
        <is>
          <t>Likely_pathogenic</t>
        </is>
      </c>
      <c r="J69" t="inlineStr">
        <is>
          <t>RAD51C</t>
        </is>
      </c>
      <c r="K69" t="inlineStr">
        <is>
          <t>splice_region_variant&amp;intron_variant|splice_region_variant&amp;intron_variant&amp;NMD_transcript_variant|splice_region_variant&amp;intron_variant&amp;non_coding_transcript_variant|intron_variant&amp;NMD_transcript_variant</t>
        </is>
      </c>
      <c r="L69" t="inlineStr"/>
      <c r="M69" t="inlineStr">
        <is>
          <t>ENST00000581221.1:n.419+5G&gt;T|ENST00000475762.1:c.*1541-3223G&gt;T|ENST00000584617.1:c.*483+5G&gt;T|NR_103872.2:n.779+5G&gt;T|ENST00000413590.1:c.542+5G&gt;T|ENST00000482007.1:c.*332+5G&gt;T|ENST00000584804.1:c.199+5G&gt;T|ENST00000578151.1:n.239+5G&gt;T|ENST00000487525.1:c.*477+5G&gt;T|NM_058216.3:c.904+5G&gt;T|ENST00000583539.1:c.904+5G&gt;T|ENST00000337432.4:c.904+5G&gt;T</t>
        </is>
      </c>
      <c r="N69" t="inlineStr">
        <is>
          <t>1.5965799320838414e-05</t>
        </is>
      </c>
      <c r="O69" t="n">
        <v>3</v>
      </c>
      <c r="P69" t="inlineStr">
        <is>
          <t>0</t>
        </is>
      </c>
      <c r="Q69" t="inlineStr"/>
      <c r="R69" t="inlineStr"/>
      <c r="S69" t="inlineStr"/>
    </row>
    <row r="70">
      <c r="A70" t="inlineStr">
        <is>
          <t>10</t>
        </is>
      </c>
      <c r="B70" t="n">
        <v>89690851</v>
      </c>
      <c r="C70" t="inlineStr">
        <is>
          <t>G</t>
        </is>
      </c>
      <c r="D70" t="inlineStr">
        <is>
          <t>A</t>
        </is>
      </c>
      <c r="E70" t="inlineStr">
        <is>
          <t>427618</t>
        </is>
      </c>
      <c r="F70">
        <f>HYPERLINK("https://www.ncbi.nlm.nih.gov/clinvar/variation/427618/","ClinVarDB")</f>
        <v/>
      </c>
      <c r="G70" t="inlineStr">
        <is>
          <t>criteria_provided|_multiple_submitters|_no_conflicts</t>
        </is>
      </c>
      <c r="H70" t="inlineStr">
        <is>
          <t>Cowden_syndrome_1|PTEN_hamartoma_tumor_syndrome</t>
        </is>
      </c>
      <c r="I70" t="inlineStr">
        <is>
          <t>Likely_pathogenic</t>
        </is>
      </c>
      <c r="J70" t="inlineStr">
        <is>
          <t>PTEN</t>
        </is>
      </c>
      <c r="K70" t="inlineStr">
        <is>
          <t>splice_region_variant&amp;intron_variant|splice_region_variant&amp;intron_variant&amp;non_coding_transcript_variant|regulatory_region_variant</t>
        </is>
      </c>
      <c r="L70" t="inlineStr"/>
      <c r="M70" t="inlineStr">
        <is>
          <t>|NM_001304718.2:c.-497+5G&gt;A|ENST00000498703.1:n.79+5G&gt;A|ENST00000371953.3:c.253+5G&gt;A|NM_001304717.5:c.772+5G&gt;A|NM_000314.8:c.253+5G&gt;A</t>
        </is>
      </c>
      <c r="N70" t="inlineStr"/>
      <c r="O70" t="inlineStr"/>
      <c r="P70" t="inlineStr"/>
      <c r="Q70" t="inlineStr"/>
      <c r="R70" t="inlineStr"/>
      <c r="S70" t="inlineStr"/>
    </row>
    <row r="71">
      <c r="A71" t="inlineStr">
        <is>
          <t>10</t>
        </is>
      </c>
      <c r="B71" t="n">
        <v>89712021</v>
      </c>
      <c r="C71" t="inlineStr">
        <is>
          <t>G</t>
        </is>
      </c>
      <c r="D71" t="inlineStr">
        <is>
          <t>A</t>
        </is>
      </c>
      <c r="E71" t="inlineStr">
        <is>
          <t>280031</t>
        </is>
      </c>
      <c r="F71">
        <f>HYPERLINK("https://www.ncbi.nlm.nih.gov/clinvar/variation/280031/","ClinVarDB")</f>
        <v/>
      </c>
      <c r="G71" t="inlineStr">
        <is>
          <t>criteria_provided|_multiple_submitters|_no_conflicts</t>
        </is>
      </c>
      <c r="H71" t="inlineStr">
        <is>
          <t>Intellectual_disability|Hereditary_cancer-predisposing_syndrome|PTEN_hamartoma_tumor_syndrome|not_provided</t>
        </is>
      </c>
      <c r="I71" t="inlineStr">
        <is>
          <t>Pathogenic</t>
        </is>
      </c>
      <c r="J71" t="inlineStr">
        <is>
          <t>PTEN</t>
        </is>
      </c>
      <c r="K71" t="inlineStr">
        <is>
          <t>splice_region_variant&amp;intron_variant|splice_region_variant&amp;intron_variant&amp;non_coding_transcript_variant</t>
        </is>
      </c>
      <c r="L71" t="inlineStr"/>
      <c r="M71" t="inlineStr">
        <is>
          <t>ENST00000371953.3:c.634+5G&gt;A|NM_001304717.5:c.1153+5G&gt;A|NM_000314.8:c.634+5G&gt;A|ENST00000472832.1:n.61+5G&gt;A|NM_001304718.2:c.44+5G&gt;A</t>
        </is>
      </c>
      <c r="N71" t="inlineStr">
        <is>
          <t>4.023660039820243e-06</t>
        </is>
      </c>
      <c r="O71" t="n">
        <v>1</v>
      </c>
      <c r="P71" t="inlineStr">
        <is>
          <t>0</t>
        </is>
      </c>
      <c r="Q71" t="inlineStr"/>
      <c r="R71" t="inlineStr"/>
      <c r="S71" t="inlineStr"/>
    </row>
    <row r="72">
      <c r="A72" t="inlineStr">
        <is>
          <t>10</t>
        </is>
      </c>
      <c r="B72" t="n">
        <v>89685319</v>
      </c>
      <c r="C72" t="inlineStr">
        <is>
          <t>G</t>
        </is>
      </c>
      <c r="D72" t="inlineStr">
        <is>
          <t>A</t>
        </is>
      </c>
      <c r="E72" t="inlineStr">
        <is>
          <t>427614</t>
        </is>
      </c>
      <c r="F72">
        <f>HYPERLINK("https://www.ncbi.nlm.nih.gov/clinvar/variation/427614/","ClinVarDB")</f>
        <v/>
      </c>
      <c r="G72" t="inlineStr">
        <is>
          <t>criteria_provided|_multiple_submitters|_no_conflicts</t>
        </is>
      </c>
      <c r="H72" t="inlineStr">
        <is>
          <t>Cowden_syndrome_1|Hereditary_cancer-predisposing_syndrome|PTEN_hamartoma_tumor_syndrome|not_provided</t>
        </is>
      </c>
      <c r="I72" t="inlineStr">
        <is>
          <t>Pathogenic</t>
        </is>
      </c>
      <c r="J72" t="inlineStr">
        <is>
          <t>PTEN</t>
        </is>
      </c>
      <c r="K72" t="inlineStr">
        <is>
          <t>splice_region_variant&amp;intron_variant|intron_variant|splice_region_variant&amp;intron_variant&amp;non_coding_transcript_variant|regulatory_region_variant</t>
        </is>
      </c>
      <c r="L72" t="inlineStr"/>
      <c r="M72" t="inlineStr">
        <is>
          <t>|NM_000314.8:c.209+5G&gt;A|NM_001304717.5:c.728+5G&gt;A|NM_001304718.2:c.-540-5484G&gt;A|ENST00000498703.1:n.35+5G&gt;A|ENST00000371953.3:c.209+5G&gt;A</t>
        </is>
      </c>
      <c r="N72" t="inlineStr"/>
      <c r="O72" t="inlineStr"/>
      <c r="P72" t="inlineStr"/>
      <c r="Q72" t="inlineStr"/>
      <c r="R72" t="inlineStr"/>
      <c r="S72" t="inlineStr"/>
    </row>
    <row r="73">
      <c r="A73" t="inlineStr">
        <is>
          <t>9</t>
        </is>
      </c>
      <c r="B73" t="n">
        <v>98229511</v>
      </c>
      <c r="C73" t="inlineStr">
        <is>
          <t>T</t>
        </is>
      </c>
      <c r="D73" t="inlineStr">
        <is>
          <t>TGGATATTCG</t>
        </is>
      </c>
      <c r="E73" t="inlineStr">
        <is>
          <t>821274</t>
        </is>
      </c>
      <c r="F73">
        <f>HYPERLINK("https://www.ncbi.nlm.nih.gov/clinvar/variation/821274/","ClinVarDB")</f>
        <v/>
      </c>
      <c r="G73" t="inlineStr">
        <is>
          <t>criteria_provided|_multiple_submitters|_no_conflicts</t>
        </is>
      </c>
      <c r="H73" t="inlineStr">
        <is>
          <t>Gorlin_syndrome|Hereditary_cancer-predisposing_syndrome</t>
        </is>
      </c>
      <c r="I73" t="inlineStr">
        <is>
          <t>Likely_pathogenic</t>
        </is>
      </c>
      <c r="J73" t="inlineStr">
        <is>
          <t>PTCH1</t>
        </is>
      </c>
      <c r="K73" t="inlineStr">
        <is>
          <t>intron_variant&amp;non_coding_transcript_variant|non_coding_transcript_exon_variant|3_prime_UTR_variant&amp;NMD_transcript_variant|inframe_insertion</t>
        </is>
      </c>
      <c r="L73" t="inlineStr">
        <is>
          <t>|ENSP00000399981.1:p.Pro662_Ile664dup|NP_001077072.1:p.Pro812_Ile814dup|ENSP00000410287.2:p.Pro747_Ile749dup|NP_000255.2:p.Pro813_Ile815dup|NP_001077075.1:p.Pro662_Ile664dup|ENSP00000332353.6:p.Pro813_Ile815dup|ENSP00000364423.2:p.Pro812_Ile814dup|NP_001341847.1:p.Pro761_Ile763dup|ENSP00000414823.2:p.Pro662_Ile664dup|ENSP00000396135.1:p.Pro662_Ile664dup|NP_001077074.1:p.Pro662_Ile664dup|ENSP00000389744.1:p.Pro747_Ile749dup|NP_001077071.1:p.Pro747_Ile749dup|NP_001077076.1:p.Pro662_Ile664dup|NP_001077073.1:p.Pro662_Ile664dup</t>
        </is>
      </c>
      <c r="M73" t="inlineStr">
        <is>
          <t>NM_001083604.2:c.1985_1993dup|ENST00000430669.2:c.2240_2248dup|ENST00000375274.2:c.2435_2443dup|NM_001083605.2:c.1985_1993dup|NR_038982.1:n.481+12_481+20dup|ENST00000418258.1:c.1985_1993dup|NM_000264.5:c.2438_2446dup|NM_001083602.2:c.2240_2248dup|NM_001083607.2:c.1985_1993dup|ENST00000375290.2:c.*746_*754dup|ENST00000429896.2:c.1985_1993dup|NM_001083603.2:c.2435_2443dup|NR_149061.2:n.3177_3185dup|ENST00000437951.1:c.2240_2248dup|ENST00000331920.6:c.2438_2446dup|NM_001354918.2:c.2282_2290dup|NM_001083606.3:c.1985_1993dup|ENST00000421141.1:c.1985_1993dup</t>
        </is>
      </c>
      <c r="N73" t="inlineStr"/>
      <c r="O73" t="inlineStr"/>
      <c r="P73" t="inlineStr"/>
      <c r="Q73" t="inlineStr"/>
      <c r="R73" t="inlineStr"/>
      <c r="S73" t="inlineStr"/>
    </row>
    <row r="74">
      <c r="A74" t="inlineStr">
        <is>
          <t>7</t>
        </is>
      </c>
      <c r="B74" t="n">
        <v>6035243</v>
      </c>
      <c r="C74" t="inlineStr">
        <is>
          <t>T</t>
        </is>
      </c>
      <c r="D74" t="inlineStr">
        <is>
          <t>C</t>
        </is>
      </c>
      <c r="E74" t="inlineStr">
        <is>
          <t>232390</t>
        </is>
      </c>
      <c r="F74">
        <f>HYPERLINK("https://www.ncbi.nlm.nih.gov/clinvar/variation/232390/","ClinVarDB")</f>
        <v/>
      </c>
      <c r="G74" t="inlineStr">
        <is>
          <t>criteria_provided|_multiple_submitters|_no_conflicts</t>
        </is>
      </c>
      <c r="H74" t="inlineStr">
        <is>
          <t>Turcot_syndrome|Hereditary_nonpolyposis_colorectal_cancer_type_4|Hereditary_cancer-predisposing_syndrome|Hereditary_nonpolyposis_colorectal_neoplasms|not_provided</t>
        </is>
      </c>
      <c r="I74" t="inlineStr">
        <is>
          <t>Likely_pathogenic</t>
        </is>
      </c>
      <c r="J74" t="inlineStr">
        <is>
          <t>PMS2</t>
        </is>
      </c>
      <c r="K74" t="inlineStr">
        <is>
          <t>regulatory_region_variant|intron_variant|intron_variant&amp;non_coding_transcript_variant|synonymous_variant|TF_binding_site_variant|5_prime_UTR_variant|non_coding_transcript_exon_variant</t>
        </is>
      </c>
      <c r="L74" t="inlineStr">
        <is>
          <t>|NP_001308936.1:p.Gln169=|NP_001308933.1:p.Gln140=|NP_001308937.1:p.Gln169=|ENSP00000392843.2:p.Gln169=|NP_001308934.1:p.Gln140=|NP_001308943.1:p.Gln275=|NP_001308939.1:p.Gln140=|NP_001308938.1:p.Gln140=|NP_000526.2:p.Gln275=|NP_001308942.1:p.Gln84=|ENSP00000265849.7:p.Gln275=|NP_001308944.1:p.Gln172=|NP_001308935.1:p.Gln275=|ENSP00000384308.3:p.Gln275=|NP_001308932.1:p.Gln140=</t>
        </is>
      </c>
      <c r="M74" t="inlineStr">
        <is>
          <t>|NM_001322005.2:c.420A&gt;G|NM_001322008.2:c.507A&gt;G|NM_001322004.2:c.420A&gt;G|NM_001322013.2:c.252A&gt;G|NM_001322006.2:c.825A&gt;G|NM_001322007.1:c.507A&gt;G|ENST00000469652.1:n.62+10381A&gt;G|NM_001322015.2:c.516A&gt;G|NM_001322014.2:c.825A&gt;G|NR_136154.1:n.912A&gt;G|ENST00000406569.3:c.825A&gt;G|ENST00000382321.4:c.803+1714A&gt;G|NM_001322011.2:c.-109A&gt;G|ENST00000441476.2:c.507A&gt;G|NM_001322009.2:c.420A&gt;G|NM_000535.7:c.825A&gt;G|ENST00000265849.7:c.825A&gt;G|NM_001322003.2:c.420A&gt;G|NM_001322012.2:c.-109A&gt;G|NM_001322010.2:c.420A&gt;G</t>
        </is>
      </c>
      <c r="N74" t="inlineStr">
        <is>
          <t>7.954749889904633e-06</t>
        </is>
      </c>
      <c r="O74" t="n">
        <v>2</v>
      </c>
      <c r="P74" t="inlineStr">
        <is>
          <t>0</t>
        </is>
      </c>
      <c r="Q74" t="inlineStr"/>
      <c r="R74" t="inlineStr"/>
      <c r="S74" t="inlineStr"/>
    </row>
    <row r="75">
      <c r="A75" t="inlineStr">
        <is>
          <t>7</t>
        </is>
      </c>
      <c r="B75" t="n">
        <v>6035165</v>
      </c>
      <c r="C75" t="inlineStr">
        <is>
          <t>C</t>
        </is>
      </c>
      <c r="D75" t="inlineStr">
        <is>
          <t>T</t>
        </is>
      </c>
      <c r="E75" t="inlineStr">
        <is>
          <t>237932</t>
        </is>
      </c>
      <c r="F75">
        <f>HYPERLINK("https://www.ncbi.nlm.nih.gov/clinvar/variation/237932/","ClinVarDB")</f>
        <v/>
      </c>
      <c r="G75" t="inlineStr">
        <is>
          <t>criteria_provided|_multiple_submitters|_no_conflicts</t>
        </is>
      </c>
      <c r="H75" t="inlineStr">
        <is>
          <t>Lynch_syndrome|Hereditary_cancer-predisposing_syndrome|Hereditary_nonpolyposis_colorectal_neoplasms|not_provided</t>
        </is>
      </c>
      <c r="I75" t="inlineStr">
        <is>
          <t>Likely_pathogenic</t>
        </is>
      </c>
      <c r="J75" t="inlineStr">
        <is>
          <t>PMS2</t>
        </is>
      </c>
      <c r="K75" t="inlineStr">
        <is>
          <t>regulatory_region_variant|intron_variant|intron_variant&amp;non_coding_transcript_variant|splice_region_variant&amp;non_coding_transcript_exon_variant|splice_region_variant&amp;synonymous_variant|splice_region_variant&amp;5_prime_UTR_variant|TF_binding_site_variant</t>
        </is>
      </c>
      <c r="L75" t="inlineStr">
        <is>
          <t>|NP_000526.2:p.Lys301=|NP_001308935.1:p.Lys301=|NP_001308936.1:p.Lys195=|NP_001308938.1:p.Lys166=|ENSP00000384308.3:p.Lys301=|ENSP00000265849.7:p.Lys301=|NP_001308933.1:p.Lys166=|NP_001308937.1:p.Lys195=|ENSP00000392843.2:p.Lys195=|NP_001308944.1:p.Lys198=|NP_001308943.1:p.Lys301=|NP_001308942.1:p.Lys110=|NP_001308939.1:p.Lys166=|NP_001308932.1:p.Lys166=|NP_001308934.1:p.Lys166=</t>
        </is>
      </c>
      <c r="M75" t="inlineStr">
        <is>
          <t>NM_001322003.2:c.498G&gt;A||NM_001322009.2:c.498G&gt;A|NM_001322006.2:c.903G&gt;A|ENST00000406569.3:c.903G&gt;A|ENST00000469652.1:n.62+10459G&gt;A|NM_001322012.2:c.-31G&gt;A|NM_001322008.2:c.585G&gt;A|NM_001322015.2:c.594G&gt;A|NM_001322004.2:c.498G&gt;A|NM_001322010.2:c.498G&gt;A|NM_001322005.2:c.498G&gt;A|ENST00000441476.2:c.585G&gt;A|NM_001322013.2:c.330G&gt;A|ENST00000382321.4:c.803+1792G&gt;A|NM_000535.7:c.903G&gt;A|ENST00000265849.7:c.903G&gt;A|NM_001322014.2:c.903G&gt;A|NM_001322007.1:c.585G&gt;A|NM_001322011.2:c.-31G&gt;A|NR_136154.1:n.990G&gt;A</t>
        </is>
      </c>
      <c r="N75" t="inlineStr">
        <is>
          <t>1.1940899639739655e-05</t>
        </is>
      </c>
      <c r="O75" t="n">
        <v>3</v>
      </c>
      <c r="P75" t="inlineStr">
        <is>
          <t>0</t>
        </is>
      </c>
      <c r="Q75" t="inlineStr"/>
      <c r="R75" t="inlineStr"/>
      <c r="S75" t="inlineStr"/>
    </row>
    <row r="76">
      <c r="A76" t="inlineStr">
        <is>
          <t>16</t>
        </is>
      </c>
      <c r="B76" t="n">
        <v>23632678</v>
      </c>
      <c r="C76" t="inlineStr">
        <is>
          <t>C</t>
        </is>
      </c>
      <c r="D76" t="inlineStr">
        <is>
          <t>G</t>
        </is>
      </c>
      <c r="E76" t="inlineStr">
        <is>
          <t>231961</t>
        </is>
      </c>
      <c r="F76">
        <f>HYPERLINK("https://www.ncbi.nlm.nih.gov/clinvar/variation/231961/","ClinVarDB")</f>
        <v/>
      </c>
      <c r="G76" t="inlineStr">
        <is>
          <t>criteria_provided|_multiple_submitters|_no_conflicts</t>
        </is>
      </c>
      <c r="H76" t="inlineStr">
        <is>
          <t>Hereditary_cancer-predisposing_syndrome|Familial_cancer_of_breast|not_provided</t>
        </is>
      </c>
      <c r="I76" t="inlineStr">
        <is>
          <t>Likely_pathogenic</t>
        </is>
      </c>
      <c r="J76" t="inlineStr">
        <is>
          <t>PALB2</t>
        </is>
      </c>
      <c r="K76" t="inlineStr">
        <is>
          <t>intron_variant&amp;non_coding_transcript_variant|splice_region_variant&amp;intron_variant|splice_region_variant&amp;intron_variant&amp;NMD_transcript_variant</t>
        </is>
      </c>
      <c r="L76" t="inlineStr"/>
      <c r="M76" t="inlineStr">
        <is>
          <t>ENST00000261584.4:c.3113+5G&gt;C|ENST00000566069.1:c.28+5G&gt;C|NM_024675.4:c.3113+5G&gt;C|ENST00000568219.1:c.*2988+5G&gt;C|ENST00000561764.1:n.420-2543C&gt;G</t>
        </is>
      </c>
      <c r="N76" t="inlineStr"/>
      <c r="O76" t="inlineStr"/>
      <c r="P76" t="inlineStr"/>
      <c r="Q76" t="inlineStr"/>
      <c r="R76" t="inlineStr"/>
      <c r="S76" t="inlineStr"/>
    </row>
    <row r="77">
      <c r="A77" t="inlineStr">
        <is>
          <t>16</t>
        </is>
      </c>
      <c r="B77" t="n">
        <v>23619181</v>
      </c>
      <c r="C77" t="inlineStr">
        <is>
          <t>T</t>
        </is>
      </c>
      <c r="D77" t="inlineStr">
        <is>
          <t>C</t>
        </is>
      </c>
      <c r="E77" t="inlineStr">
        <is>
          <t>126737</t>
        </is>
      </c>
      <c r="F77">
        <f>HYPERLINK("https://www.ncbi.nlm.nih.gov/clinvar/variation/126737/","ClinVarDB")</f>
        <v/>
      </c>
      <c r="G77" t="inlineStr">
        <is>
          <t>criteria_provided|_multiple_submitters|_no_conflicts</t>
        </is>
      </c>
      <c r="H77" t="inlineStr">
        <is>
          <t>Hereditary_cancer-predisposing_syndrome|Familial_cancer_of_breast|not_provided</t>
        </is>
      </c>
      <c r="I77" t="inlineStr">
        <is>
          <t>Pathogenic/Likely_pathogenic</t>
        </is>
      </c>
      <c r="J77" t="inlineStr">
        <is>
          <t>PALB2</t>
        </is>
      </c>
      <c r="K77" t="inlineStr">
        <is>
          <t>intron_variant&amp;non_coding_transcript_variant|splice_region_variant&amp;intron_variant|intron_variant|splice_region_variant&amp;intron_variant&amp;NMD_transcript_variant</t>
        </is>
      </c>
      <c r="L77" t="inlineStr"/>
      <c r="M77" t="inlineStr">
        <is>
          <t>ENST00000568219.1:c.*3225+4A&gt;G|ENST00000261584.4:c.3350+4A&gt;G|ENST00000566069.1:c.117-4191A&gt;G|NM_024675.4:c.3350+4A&gt;G|ENST00000561764.1:n.185+477T&gt;C</t>
        </is>
      </c>
      <c r="N77" t="inlineStr">
        <is>
          <t>3.977439973823493e-06</t>
        </is>
      </c>
      <c r="O77" t="n">
        <v>0</v>
      </c>
      <c r="P77" t="inlineStr">
        <is>
          <t>0</t>
        </is>
      </c>
      <c r="Q77" t="inlineStr"/>
      <c r="R77" t="inlineStr"/>
      <c r="S77" t="inlineStr"/>
    </row>
    <row r="78">
      <c r="A78" t="inlineStr">
        <is>
          <t>16</t>
        </is>
      </c>
      <c r="B78" t="n">
        <v>23619181</v>
      </c>
      <c r="C78" t="inlineStr">
        <is>
          <t>T</t>
        </is>
      </c>
      <c r="D78" t="inlineStr">
        <is>
          <t>G</t>
        </is>
      </c>
      <c r="E78" t="inlineStr">
        <is>
          <t>482036</t>
        </is>
      </c>
      <c r="F78">
        <f>HYPERLINK("https://www.ncbi.nlm.nih.gov/clinvar/variation/482036/","ClinVarDB")</f>
        <v/>
      </c>
      <c r="G78" t="inlineStr">
        <is>
          <t>criteria_provided|_multiple_submitters|_no_conflicts</t>
        </is>
      </c>
      <c r="H78" t="inlineStr">
        <is>
          <t>Hereditary_cancer-predisposing_syndrome|Familial_cancer_of_breast</t>
        </is>
      </c>
      <c r="I78" t="inlineStr">
        <is>
          <t>Likely_pathogenic</t>
        </is>
      </c>
      <c r="J78" t="inlineStr">
        <is>
          <t>PALB2</t>
        </is>
      </c>
      <c r="K78" t="inlineStr">
        <is>
          <t>intron_variant&amp;non_coding_transcript_variant|splice_region_variant&amp;intron_variant|intron_variant|splice_region_variant&amp;intron_variant&amp;NMD_transcript_variant</t>
        </is>
      </c>
      <c r="L78" t="inlineStr"/>
      <c r="M78" t="inlineStr">
        <is>
          <t>ENST00000566069.1:c.117-4191A&gt;C|ENST00000561764.1:n.185+477T&gt;G|ENST00000568219.1:c.*3225+4A&gt;C|ENST00000261584.4:c.3350+4A&gt;C|NM_024675.4:c.3350+4A&gt;C</t>
        </is>
      </c>
      <c r="N78" t="inlineStr"/>
      <c r="O78" t="inlineStr"/>
      <c r="P78" t="inlineStr"/>
      <c r="Q78" t="inlineStr"/>
      <c r="R78" t="inlineStr"/>
      <c r="S78" t="inlineStr"/>
    </row>
    <row r="79">
      <c r="A79" t="inlineStr">
        <is>
          <t>17</t>
        </is>
      </c>
      <c r="B79" t="n">
        <v>29556342</v>
      </c>
      <c r="C79" t="inlineStr">
        <is>
          <t>G</t>
        </is>
      </c>
      <c r="D79" t="inlineStr">
        <is>
          <t>A</t>
        </is>
      </c>
      <c r="E79" t="inlineStr">
        <is>
          <t>373958</t>
        </is>
      </c>
      <c r="F79">
        <f>HYPERLINK("https://www.ncbi.nlm.nih.gov/clinvar/variation/373958/","ClinVarDB")</f>
        <v/>
      </c>
      <c r="G79" t="inlineStr">
        <is>
          <t>criteria_provided|_multiple_submitters|_no_conflicts</t>
        </is>
      </c>
      <c r="H79" t="inlineStr">
        <is>
          <t>Hereditary_cancer-predisposing_syndrome|Neurofibromatosis|_type_1|not_provided</t>
        </is>
      </c>
      <c r="I79" t="inlineStr">
        <is>
          <t>Pathogenic</t>
        </is>
      </c>
      <c r="J79" t="inlineStr">
        <is>
          <t>NF1</t>
        </is>
      </c>
      <c r="K79" t="inlineStr">
        <is>
          <t>synonymous_variant&amp;NMD_transcript_variant|synonymous_variant|non_coding_transcript_exon_variant|3_prime_UTR_variant&amp;NMD_transcript_variant</t>
        </is>
      </c>
      <c r="L79" t="inlineStr">
        <is>
          <t>|NP_000258.1:p.Val903=|ENSP00000348498.3:p.Val903=|ENSP00000351015.4:p.Val903=|ENSP00000389907.2:p.Val569=|NP_001035957.1:p.Val903=|ENSP00000462408.1:p.Val937=</t>
        </is>
      </c>
      <c r="M79" t="inlineStr">
        <is>
          <t>ENST00000358273.4:c.2709G&gt;A|ENST00000456735.2:c.1707G&gt;A|ENST00000579081.1:c.2811G&gt;A|NM_000267.3:c.2709G&gt;A|ENST00000493220.1:n.876G&gt;A|ENST00000495910.2:c.*2110G&gt;A|NM_001042492.3:c.2709G&gt;A|ENST00000356175.3:c.2709G&gt;A</t>
        </is>
      </c>
      <c r="N79" t="inlineStr"/>
      <c r="O79" t="inlineStr"/>
      <c r="P79" t="inlineStr"/>
      <c r="Q79" t="inlineStr"/>
      <c r="R79" t="inlineStr"/>
      <c r="S79" t="inlineStr"/>
    </row>
    <row r="80">
      <c r="A80" t="inlineStr">
        <is>
          <t>17</t>
        </is>
      </c>
      <c r="B80" t="n">
        <v>29556483</v>
      </c>
      <c r="C80" t="inlineStr">
        <is>
          <t>G</t>
        </is>
      </c>
      <c r="D80" t="inlineStr">
        <is>
          <t>A</t>
        </is>
      </c>
      <c r="E80" t="inlineStr">
        <is>
          <t>561684</t>
        </is>
      </c>
      <c r="F80">
        <f>HYPERLINK("https://www.ncbi.nlm.nih.gov/clinvar/variation/561684/","ClinVarDB")</f>
        <v/>
      </c>
      <c r="G80" t="inlineStr">
        <is>
          <t>criteria_provided|_multiple_submitters|_no_conflicts</t>
        </is>
      </c>
      <c r="H80" t="inlineStr">
        <is>
          <t>Hereditary_cancer-predisposing_syndrome|Neurofibromatosis|_type_1|not_provided</t>
        </is>
      </c>
      <c r="I80" t="inlineStr">
        <is>
          <t>Pathogenic</t>
        </is>
      </c>
      <c r="J80" t="inlineStr">
        <is>
          <t>NF1</t>
        </is>
      </c>
      <c r="K80" t="inlineStr">
        <is>
          <t>splice_region_variant&amp;synonymous_variant|splice_region_variant&amp;3_prime_UTR_variant&amp;NMD_transcript_variant|splice_region_variant&amp;synonymous_variant&amp;NMD_transcript_variant|non_coding_transcript_exon_variant</t>
        </is>
      </c>
      <c r="L80" t="inlineStr">
        <is>
          <t>|ENSP00000351015.4:p.Gln950=|ENSP00000462408.1:p.Gln984=|NP_001035957.1:p.Gln950=|ENSP00000348498.3:p.Gln950=|ENSP00000389907.2:p.Gln616=|NP_000258.1:p.Gln950=</t>
        </is>
      </c>
      <c r="M80" t="inlineStr">
        <is>
          <t>ENST00000356175.3:c.2850G&gt;A|ENST00000358273.4:c.2850G&gt;A|ENST00000579081.1:c.2952G&gt;A|ENST00000495910.2:c.*2251G&gt;A|ENST00000456735.2:c.1848G&gt;A|ENST00000493220.1:n.1017G&gt;A|NM_000267.3:c.2850G&gt;A|NM_001042492.3:c.2850G&gt;A</t>
        </is>
      </c>
      <c r="N80" t="inlineStr"/>
      <c r="O80" t="inlineStr"/>
      <c r="P80" t="inlineStr"/>
      <c r="Q80" t="inlineStr"/>
      <c r="R80" t="inlineStr"/>
      <c r="S80" t="inlineStr"/>
    </row>
    <row r="81">
      <c r="A81" t="inlineStr">
        <is>
          <t>17</t>
        </is>
      </c>
      <c r="B81" t="n">
        <v>29550585</v>
      </c>
      <c r="C81" t="inlineStr">
        <is>
          <t>G</t>
        </is>
      </c>
      <c r="D81" t="inlineStr">
        <is>
          <t>A</t>
        </is>
      </c>
      <c r="E81" t="inlineStr">
        <is>
          <t>578879</t>
        </is>
      </c>
      <c r="F81">
        <f>HYPERLINK("https://www.ncbi.nlm.nih.gov/clinvar/variation/578879/","ClinVarDB")</f>
        <v/>
      </c>
      <c r="G81" t="inlineStr">
        <is>
          <t>criteria_provided|_multiple_submitters|_no_conflicts</t>
        </is>
      </c>
      <c r="H81" t="inlineStr">
        <is>
          <t>Neurofibromatosis|_type_1|not_provided</t>
        </is>
      </c>
      <c r="I81" t="inlineStr">
        <is>
          <t>Pathogenic</t>
        </is>
      </c>
      <c r="J81" t="inlineStr">
        <is>
          <t>NF1</t>
        </is>
      </c>
      <c r="K81" t="inlineStr">
        <is>
          <t>splice_region_variant&amp;synonymous_variant|splice_region_variant&amp;3_prime_UTR_variant&amp;NMD_transcript_variant|splice_region_variant&amp;synonymous_variant&amp;NMD_transcript_variant</t>
        </is>
      </c>
      <c r="L81" t="inlineStr">
        <is>
          <t>|NP_000258.1:p.Lys615=|ENSP00000389907.2:p.Lys281=|ENSP00000351015.4:p.Lys615=|ENSP00000348498.3:p.Lys615=|NP_001035957.1:p.Lys615=|ENSP00000462408.1:p.Lys649=</t>
        </is>
      </c>
      <c r="M81" t="inlineStr">
        <is>
          <t>ENST00000495910.2:c.*1246G&gt;A|ENST00000356175.3:c.1845G&gt;A|ENST00000358273.4:c.1845G&gt;A|NM_001042492.3:c.1845G&gt;A|ENST00000579081.1:c.1947G&gt;A|NM_000267.3:c.1845G&gt;A|ENST00000456735.2:c.843G&gt;A</t>
        </is>
      </c>
      <c r="N81" t="inlineStr"/>
      <c r="O81" t="inlineStr"/>
      <c r="P81" t="inlineStr"/>
      <c r="Q81" t="inlineStr"/>
      <c r="R81" t="inlineStr"/>
      <c r="S81" t="inlineStr"/>
    </row>
    <row r="82">
      <c r="A82" t="inlineStr">
        <is>
          <t>17</t>
        </is>
      </c>
      <c r="B82" t="n">
        <v>29527613</v>
      </c>
      <c r="C82" t="inlineStr">
        <is>
          <t>G</t>
        </is>
      </c>
      <c r="D82" t="inlineStr">
        <is>
          <t>A</t>
        </is>
      </c>
      <c r="E82" t="inlineStr">
        <is>
          <t>428998</t>
        </is>
      </c>
      <c r="F82">
        <f>HYPERLINK("https://www.ncbi.nlm.nih.gov/clinvar/variation/428998/","ClinVarDB")</f>
        <v/>
      </c>
      <c r="G82" t="inlineStr">
        <is>
          <t>criteria_provided|_multiple_submitters|_no_conflicts</t>
        </is>
      </c>
      <c r="H82" t="inlineStr">
        <is>
          <t>Hereditary_cancer-predisposing_syndrome|Neurofibromatosis|_type_1</t>
        </is>
      </c>
      <c r="I82" t="inlineStr">
        <is>
          <t>Pathogenic/Likely_pathogenic</t>
        </is>
      </c>
      <c r="J82" t="inlineStr">
        <is>
          <t>NF1</t>
        </is>
      </c>
      <c r="K82" t="inlineStr">
        <is>
          <t>splice_region_variant&amp;synonymous_variant|splice_region_variant&amp;3_prime_UTR_variant&amp;NMD_transcript_variant|splice_region_variant&amp;non_coding_transcript_exon_variant|splice_region_variant&amp;synonymous_variant&amp;NMD_transcript_variant</t>
        </is>
      </c>
      <c r="L82" t="inlineStr">
        <is>
          <t>|ENSP00000462408.1:p.Lys388=|ENSP00000348498.3:p.Lys354=|NP_000258.1:p.Lys354=|NP_001121619.1:p.Lys354=|ENSP00000351015.4:p.Lys354=|ENSP00000389907.2:p.Lys20=|ENSP00000412921.4:p.Lys354=|NP_001035957.1:p.Lys354=</t>
        </is>
      </c>
      <c r="M82" t="inlineStr">
        <is>
          <t>ENST00000431387.4:c.1062G&gt;A|ENST00000487476.1:n.1445G&gt;A|ENST00000579081.1:c.1164G&gt;A|NM_001042492.3:c.1062G&gt;A|NM_001128147.3:c.1062G&gt;A|ENST00000456735.2:c.60G&gt;A|ENST00000495910.2:c.*463G&gt;A|ENST00000358273.4:c.1062G&gt;A|NM_000267.3:c.1062G&gt;A|ENST00000356175.3:c.1062G&gt;A</t>
        </is>
      </c>
      <c r="N82" t="inlineStr"/>
      <c r="O82" t="inlineStr"/>
      <c r="P82" t="inlineStr"/>
      <c r="Q82" t="inlineStr"/>
      <c r="R82" t="inlineStr"/>
      <c r="S82" t="inlineStr"/>
    </row>
    <row r="83">
      <c r="A83" t="inlineStr">
        <is>
          <t>17</t>
        </is>
      </c>
      <c r="B83" t="n">
        <v>29528177</v>
      </c>
      <c r="C83" t="inlineStr">
        <is>
          <t>G</t>
        </is>
      </c>
      <c r="D83" t="inlineStr">
        <is>
          <t>A</t>
        </is>
      </c>
      <c r="E83" t="inlineStr">
        <is>
          <t>581467</t>
        </is>
      </c>
      <c r="F83">
        <f>HYPERLINK("https://www.ncbi.nlm.nih.gov/clinvar/variation/581467/","ClinVarDB")</f>
        <v/>
      </c>
      <c r="G83" t="inlineStr">
        <is>
          <t>criteria_provided|_multiple_submitters|_no_conflicts</t>
        </is>
      </c>
      <c r="H83" t="inlineStr">
        <is>
          <t>Neurofibromatosis|_type_1</t>
        </is>
      </c>
      <c r="I83" t="inlineStr">
        <is>
          <t>Likely_pathogenic</t>
        </is>
      </c>
      <c r="J83" t="inlineStr">
        <is>
          <t>NF1</t>
        </is>
      </c>
      <c r="K83" t="inlineStr">
        <is>
          <t>splice_region_variant&amp;synonymous_variant|splice_region_variant&amp;3_prime_UTR_variant&amp;NMD_transcript_variant|splice_region_variant&amp;non_coding_transcript_exon_variant|splice_region_variant&amp;synonymous_variant&amp;NMD_transcript_variant</t>
        </is>
      </c>
      <c r="L83" t="inlineStr">
        <is>
          <t>|ENSP00000462408.1:p.Lys429=|ENSP00000412921.4:p.Lys395=|NP_001121619.1:p.Lys395=|ENSP00000389907.2:p.Lys61=|NP_001035957.1:p.Lys395=|ENSP00000351015.4:p.Lys395=|NP_000258.1:p.Lys395=|ENSP00000348498.3:p.Lys395=</t>
        </is>
      </c>
      <c r="M83" t="inlineStr">
        <is>
          <t>ENST00000431387.4:c.1185G&gt;A|NM_000267.3:c.1185G&gt;A|ENST00000358273.4:c.1185G&gt;A|ENST00000487476.1:n.1568G&gt;A|NM_001128147.3:c.1185G&gt;A|ENST00000579081.1:c.1287G&gt;A|ENST00000495910.2:c.*586G&gt;A|ENST00000356175.3:c.1185G&gt;A|NM_001042492.3:c.1185G&gt;A|ENST00000456735.2:c.183G&gt;A</t>
        </is>
      </c>
      <c r="N83" t="inlineStr"/>
      <c r="O83" t="inlineStr"/>
      <c r="P83" t="inlineStr"/>
      <c r="Q83" t="inlineStr"/>
      <c r="R83" t="inlineStr"/>
      <c r="S83" t="inlineStr"/>
    </row>
    <row r="84">
      <c r="A84" t="inlineStr">
        <is>
          <t>17</t>
        </is>
      </c>
      <c r="B84" t="n">
        <v>29486116</v>
      </c>
      <c r="C84" t="inlineStr">
        <is>
          <t>G</t>
        </is>
      </c>
      <c r="D84" t="inlineStr">
        <is>
          <t>A</t>
        </is>
      </c>
      <c r="E84" t="inlineStr">
        <is>
          <t>642764</t>
        </is>
      </c>
      <c r="F84">
        <f>HYPERLINK("https://www.ncbi.nlm.nih.gov/clinvar/variation/642764/","ClinVarDB")</f>
        <v/>
      </c>
      <c r="G84" t="inlineStr">
        <is>
          <t>criteria_provided|_multiple_submitters|_no_conflicts</t>
        </is>
      </c>
      <c r="H84" t="inlineStr">
        <is>
          <t>Neurofibromatosis|_type_1</t>
        </is>
      </c>
      <c r="I84" t="inlineStr">
        <is>
          <t>Pathogenic/Likely_pathogenic</t>
        </is>
      </c>
      <c r="J84" t="inlineStr">
        <is>
          <t>NF1</t>
        </is>
      </c>
      <c r="K84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84" t="inlineStr"/>
      <c r="M84" t="inlineStr">
        <is>
          <t>|ENST00000489712.2:c.87+5G&gt;A|ENST00000490416.1:n.29+5G&gt;A|ENST00000495910.2:c.170+5G&gt;A|NM_000267.3:c.288+5G&gt;A|ENST00000356175.3:c.288+5G&gt;A|ENST00000487476.1:n.671+5G&gt;A|NM_001042492.3:c.288+5G&gt;A|ENST00000579081.1:c.390+5G&gt;A|ENST00000358273.4:c.288+5G&gt;A|NM_001128147.3:c.288+5G&gt;A|ENST00000431387.4:c.288+5G&gt;A</t>
        </is>
      </c>
      <c r="N84" t="inlineStr"/>
      <c r="O84" t="inlineStr"/>
      <c r="P84" t="inlineStr"/>
      <c r="Q84" t="inlineStr"/>
      <c r="R84" t="inlineStr"/>
      <c r="S84" t="inlineStr"/>
    </row>
    <row r="85">
      <c r="A85" t="inlineStr">
        <is>
          <t>17</t>
        </is>
      </c>
      <c r="B85" t="n">
        <v>29554312</v>
      </c>
      <c r="C85" t="inlineStr">
        <is>
          <t>A</t>
        </is>
      </c>
      <c r="D85" t="inlineStr">
        <is>
          <t>G</t>
        </is>
      </c>
      <c r="E85" t="inlineStr">
        <is>
          <t>372550</t>
        </is>
      </c>
      <c r="F85">
        <f>HYPERLINK("https://www.ncbi.nlm.nih.gov/clinvar/variation/372550/","ClinVarDB")</f>
        <v/>
      </c>
      <c r="G85" t="inlineStr">
        <is>
          <t>criteria_provided|_multiple_submitters|_no_conflicts</t>
        </is>
      </c>
      <c r="H85" t="inlineStr">
        <is>
          <t>Neurofibromatosis|_type_1|not_provided</t>
        </is>
      </c>
      <c r="I85" t="inlineStr">
        <is>
          <t>Pathogenic</t>
        </is>
      </c>
      <c r="J85" t="inlineStr">
        <is>
          <t>NF1</t>
        </is>
      </c>
      <c r="K85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85" t="inlineStr"/>
      <c r="M85" t="inlineStr">
        <is>
          <t>|ENST00000356175.3:c.2325+3A&gt;G|ENST00000579081.1:c.2427+3A&gt;G|ENST00000495910.2:c.*1726+3A&gt;G|ENST00000493220.1:n.492+3A&gt;G|NM_000267.3:c.2325+3A&gt;G|NM_001042492.3:c.2325+3A&gt;G|ENST00000358273.4:c.2325+3A&gt;G|ENST00000456735.2:c.1323+3A&gt;G</t>
        </is>
      </c>
      <c r="N85" t="inlineStr"/>
      <c r="O85" t="inlineStr"/>
      <c r="P85" t="inlineStr"/>
      <c r="Q85" t="inlineStr"/>
      <c r="R85" t="inlineStr"/>
      <c r="S85" t="inlineStr"/>
    </row>
    <row r="86">
      <c r="A86" t="inlineStr">
        <is>
          <t>17</t>
        </is>
      </c>
      <c r="B86" t="n">
        <v>29554535</v>
      </c>
      <c r="C86" t="inlineStr">
        <is>
          <t>T</t>
        </is>
      </c>
      <c r="D86" t="inlineStr">
        <is>
          <t>G</t>
        </is>
      </c>
      <c r="E86" t="inlineStr">
        <is>
          <t>816728</t>
        </is>
      </c>
      <c r="F86">
        <f>HYPERLINK("https://www.ncbi.nlm.nih.gov/clinvar/variation/816728/","ClinVarDB")</f>
        <v/>
      </c>
      <c r="G86" t="inlineStr">
        <is>
          <t>criteria_provided|_multiple_submitters|_no_conflicts</t>
        </is>
      </c>
      <c r="H86" t="inlineStr">
        <is>
          <t>Neurofibromatosis|_type_1</t>
        </is>
      </c>
      <c r="I86" t="inlineStr">
        <is>
          <t>Pathogenic</t>
        </is>
      </c>
      <c r="J86" t="inlineStr">
        <is>
          <t>NF1</t>
        </is>
      </c>
      <c r="K86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86" t="inlineStr"/>
      <c r="M86" t="inlineStr">
        <is>
          <t>|ENST00000456735.2:c.1324-6T&gt;G|ENST00000358273.4:c.2326-6T&gt;G|ENST00000356175.3:c.2326-6T&gt;G|ENST00000493220.1:n.493-6T&gt;G|NM_000267.3:c.2326-6T&gt;G|ENST00000495910.2:c.*1727-6T&gt;G|ENST00000579081.1:c.2428-6T&gt;G|NM_001042492.3:c.2326-6T&gt;G</t>
        </is>
      </c>
      <c r="N86" t="inlineStr"/>
      <c r="O86" t="inlineStr"/>
      <c r="P86" t="inlineStr"/>
      <c r="Q86" t="inlineStr"/>
      <c r="R86" t="inlineStr"/>
      <c r="S86" t="inlineStr"/>
    </row>
    <row r="87">
      <c r="A87" t="inlineStr">
        <is>
          <t>17</t>
        </is>
      </c>
      <c r="B87" t="n">
        <v>29527616</v>
      </c>
      <c r="C87" t="inlineStr">
        <is>
          <t>A</t>
        </is>
      </c>
      <c r="D87" t="inlineStr">
        <is>
          <t>G</t>
        </is>
      </c>
      <c r="E87" t="inlineStr">
        <is>
          <t>381606</t>
        </is>
      </c>
      <c r="F87">
        <f>HYPERLINK("https://www.ncbi.nlm.nih.gov/clinvar/variation/381606/","ClinVarDB")</f>
        <v/>
      </c>
      <c r="G87" t="inlineStr">
        <is>
          <t>criteria_provided|_multiple_submitters|_no_conflicts</t>
        </is>
      </c>
      <c r="H87" t="inlineStr">
        <is>
          <t>Neurofibromatosis|_type_1|not_provided</t>
        </is>
      </c>
      <c r="I87" t="inlineStr">
        <is>
          <t>Pathogenic/Likely_pathogenic</t>
        </is>
      </c>
      <c r="J87" t="inlineStr">
        <is>
          <t>NF1</t>
        </is>
      </c>
      <c r="K87" t="inlineStr">
        <is>
          <t>splice_region_variant&amp;intron_variant|splice_region_variant&amp;intron_variant&amp;NMD_transcript_variant|splice_region_variant&amp;intron_variant&amp;non_coding_transcript_variant</t>
        </is>
      </c>
      <c r="L87" t="inlineStr"/>
      <c r="M87" t="inlineStr">
        <is>
          <t>NM_001128147.3:c.1062+3A&gt;G|ENST00000431387.4:c.1062+3A&gt;G|ENST00000495910.2:c.*463+3A&gt;G|ENST00000356175.3:c.1062+3A&gt;G|ENST00000456735.2:c.60+3A&gt;G|ENST00000487476.1:n.1445+3A&gt;G|NM_001042492.3:c.1062+3A&gt;G|ENST00000358273.4:c.1062+3A&gt;G|NM_000267.3:c.1062+3A&gt;G|ENST00000579081.1:c.1164+3A&gt;G</t>
        </is>
      </c>
      <c r="N87" t="inlineStr"/>
      <c r="O87" t="inlineStr"/>
      <c r="P87" t="inlineStr"/>
      <c r="Q87" t="inlineStr"/>
      <c r="R87" t="inlineStr"/>
      <c r="S87" t="inlineStr"/>
    </row>
    <row r="88">
      <c r="A88" t="inlineStr">
        <is>
          <t>17</t>
        </is>
      </c>
      <c r="B88" t="n">
        <v>29559715</v>
      </c>
      <c r="C88" t="inlineStr">
        <is>
          <t>C</t>
        </is>
      </c>
      <c r="D88" t="inlineStr">
        <is>
          <t>G</t>
        </is>
      </c>
      <c r="E88" t="inlineStr">
        <is>
          <t>816766</t>
        </is>
      </c>
      <c r="F88">
        <f>HYPERLINK("https://www.ncbi.nlm.nih.gov/clinvar/variation/816766/","ClinVarDB")</f>
        <v/>
      </c>
      <c r="G88" t="inlineStr">
        <is>
          <t>criteria_provided|_multiple_submitters|_no_conflicts</t>
        </is>
      </c>
      <c r="H88" t="inlineStr">
        <is>
          <t>Neurofibromatosis|_type_1</t>
        </is>
      </c>
      <c r="I88" t="inlineStr">
        <is>
          <t>Pathogenic</t>
        </is>
      </c>
      <c r="J88" t="inlineStr">
        <is>
          <t>NF1</t>
        </is>
      </c>
      <c r="K88" t="inlineStr">
        <is>
          <t>splice_region_variant&amp;intron_variant|splice_region_variant&amp;intron_variant&amp;NMD_transcript_variant|splice_region_variant&amp;intron_variant&amp;non_coding_transcript_variant</t>
        </is>
      </c>
      <c r="L88" t="inlineStr"/>
      <c r="M88" t="inlineStr">
        <is>
          <t>NM_000267.3:c.3315-3C&gt;G|ENST00000456735.2:c.2313-3C&gt;G|ENST00000579081.1:c.3417-3C&gt;G|ENST00000358273.4:c.3315-3C&gt;G|ENST00000493220.1:n.1851-3C&gt;G|ENST00000495910.2:c.*2716-3C&gt;G|NM_001042492.3:c.3315-3C&gt;G|ENST00000356175.3:c.3315-3C&gt;G</t>
        </is>
      </c>
      <c r="N88" t="inlineStr"/>
      <c r="O88" t="inlineStr"/>
      <c r="P88" t="inlineStr"/>
      <c r="Q88" t="inlineStr"/>
      <c r="R88" t="inlineStr"/>
      <c r="S88" t="inlineStr"/>
    </row>
    <row r="89">
      <c r="A89" t="inlineStr">
        <is>
          <t>17</t>
        </is>
      </c>
      <c r="B89" t="n">
        <v>29663346</v>
      </c>
      <c r="C89" t="inlineStr">
        <is>
          <t>A</t>
        </is>
      </c>
      <c r="D89" t="inlineStr">
        <is>
          <t>G</t>
        </is>
      </c>
      <c r="E89" t="inlineStr">
        <is>
          <t>359</t>
        </is>
      </c>
      <c r="F89">
        <f>HYPERLINK("https://www.ncbi.nlm.nih.gov/clinvar/variation/359/","ClinVarDB")</f>
        <v/>
      </c>
      <c r="G89" t="inlineStr">
        <is>
          <t>criteria_provided|_multiple_submitters|_no_conflicts</t>
        </is>
      </c>
      <c r="H89" t="inlineStr">
        <is>
          <t>Neurofibromatosis|_familial_spinal|Hereditary_cancer-predisposing_syndrome|Neurofibromatosis|_type_1|not_provided</t>
        </is>
      </c>
      <c r="I89" t="inlineStr">
        <is>
          <t>Pathogenic</t>
        </is>
      </c>
      <c r="J89" t="inlineStr">
        <is>
          <t>NF1</t>
        </is>
      </c>
      <c r="K89" t="inlineStr">
        <is>
          <t>splice_region_variant&amp;intron_variant|splice_region_variant&amp;intron_variant&amp;NMD_transcript_variant|splice_region_variant&amp;intron_variant&amp;non_coding_transcript_variant</t>
        </is>
      </c>
      <c r="L89" t="inlineStr"/>
      <c r="M89" t="inlineStr">
        <is>
          <t>NM_001042492.3:c.6007-5A&gt;G|ENST00000456735.2:c.4942-5A&gt;G|ENST00000356175.3:c.5944-5A&gt;G|ENST00000579081.1:c.*1172-5A&gt;G|ENST00000358273.4:c.6007-5A&gt;G|ENST00000581113.2:n.1324-5A&gt;G|ENST00000479536.2:c.*188-5A&gt;G|NM_000267.3:c.5944-5A&gt;G</t>
        </is>
      </c>
      <c r="N89" t="inlineStr"/>
      <c r="O89" t="inlineStr"/>
      <c r="P89" t="inlineStr"/>
      <c r="Q89" t="inlineStr"/>
      <c r="R89" t="inlineStr"/>
      <c r="S89" t="inlineStr"/>
    </row>
    <row r="90">
      <c r="A90" t="inlineStr">
        <is>
          <t>17</t>
        </is>
      </c>
      <c r="B90" t="n">
        <v>29684392</v>
      </c>
      <c r="C90" t="inlineStr">
        <is>
          <t>G</t>
        </is>
      </c>
      <c r="D90" t="inlineStr">
        <is>
          <t>T</t>
        </is>
      </c>
      <c r="E90" t="inlineStr">
        <is>
          <t>561510</t>
        </is>
      </c>
      <c r="F90">
        <f>HYPERLINK("https://www.ncbi.nlm.nih.gov/clinvar/variation/561510/","ClinVarDB")</f>
        <v/>
      </c>
      <c r="G90" t="inlineStr">
        <is>
          <t>criteria_provided|_multiple_submitters|_no_conflicts</t>
        </is>
      </c>
      <c r="H90" t="inlineStr">
        <is>
          <t>Neurofibromatosis|_type_1|not_provided</t>
        </is>
      </c>
      <c r="I90" t="inlineStr">
        <is>
          <t>Likely_pathogenic</t>
        </is>
      </c>
      <c r="J90" t="inlineStr">
        <is>
          <t>NF1</t>
        </is>
      </c>
      <c r="K90" t="inlineStr">
        <is>
          <t>splice_region_variant&amp;intron_variant|splice_region_variant&amp;intron_variant&amp;NMD_transcript_variant|non_coding_transcript_exon_variant</t>
        </is>
      </c>
      <c r="L90" t="inlineStr"/>
      <c r="M90" t="inlineStr">
        <is>
          <t>ENST00000581790.1:c.*336+5G&gt;T|NM_000267.3:c.7907+5G&gt;T|ENST00000577967.1:n.1571G&gt;T|ENST00000444181.2:c.1349+5G&gt;T|ENST00000579081.1:c.*3135+5G&gt;T|NM_001042492.3:c.7970+5G&gt;T|ENST00000358273.4:c.7970+5G&gt;T|ENST00000417592.2:c.*336+5G&gt;T|ENST00000356175.3:c.7907+5G&gt;T|ENST00000471572.2:c.1353+5G&gt;T|ENST00000456735.2:c.6905+5G&gt;T</t>
        </is>
      </c>
      <c r="N90" t="inlineStr"/>
      <c r="O90" t="inlineStr"/>
      <c r="P90" t="inlineStr"/>
      <c r="Q90" t="inlineStr"/>
      <c r="R90" t="inlineStr"/>
      <c r="S90" t="inlineStr"/>
    </row>
    <row r="91">
      <c r="A91" t="inlineStr">
        <is>
          <t>17</t>
        </is>
      </c>
      <c r="B91" t="n">
        <v>29664383</v>
      </c>
      <c r="C91" t="inlineStr">
        <is>
          <t>C</t>
        </is>
      </c>
      <c r="D91" t="inlineStr">
        <is>
          <t>G</t>
        </is>
      </c>
      <c r="E91" t="inlineStr">
        <is>
          <t>816775</t>
        </is>
      </c>
      <c r="F91">
        <f>HYPERLINK("https://www.ncbi.nlm.nih.gov/clinvar/variation/816775/","ClinVarDB")</f>
        <v/>
      </c>
      <c r="G91" t="inlineStr">
        <is>
          <t>criteria_provided|_multiple_submitters|_no_conflicts</t>
        </is>
      </c>
      <c r="H91" t="inlineStr">
        <is>
          <t>Neurofibromatosis|_type_1|not_provided</t>
        </is>
      </c>
      <c r="I91" t="inlineStr">
        <is>
          <t>Pathogenic/Likely_pathogenic</t>
        </is>
      </c>
      <c r="J91" t="inlineStr">
        <is>
          <t>NF1</t>
        </is>
      </c>
      <c r="K91" t="inlineStr">
        <is>
          <t>splice_region_variant&amp;intron_variant|splice_region_variant&amp;intron_variant&amp;NMD_transcript_variant</t>
        </is>
      </c>
      <c r="L91" t="inlineStr"/>
      <c r="M91" t="inlineStr">
        <is>
          <t>ENST00000456735.2:c.5363-3C&gt;G|ENST00000358273.4:c.6428-3C&gt;G|ENST00000356175.3:c.6365-3C&gt;G|NM_001042492.3:c.6428-3C&gt;G|NM_000267.3:c.6365-3C&gt;G|ENST00000579081.1:c.*1593-3C&gt;G</t>
        </is>
      </c>
      <c r="N91" t="inlineStr"/>
      <c r="O91" t="inlineStr"/>
      <c r="P91" t="inlineStr"/>
      <c r="Q91" t="inlineStr"/>
      <c r="R91" t="inlineStr"/>
      <c r="S91" t="inlineStr"/>
    </row>
    <row r="92">
      <c r="A92" t="inlineStr">
        <is>
          <t>17</t>
        </is>
      </c>
      <c r="B92" t="n">
        <v>29556840</v>
      </c>
      <c r="C92" t="inlineStr">
        <is>
          <t>GTTCT</t>
        </is>
      </c>
      <c r="D92" t="inlineStr">
        <is>
          <t>G</t>
        </is>
      </c>
      <c r="E92" t="inlineStr">
        <is>
          <t>647632</t>
        </is>
      </c>
      <c r="F92">
        <f>HYPERLINK("https://www.ncbi.nlm.nih.gov/clinvar/variation/647632/","ClinVarDB")</f>
        <v/>
      </c>
      <c r="G92" t="inlineStr">
        <is>
          <t>criteria_provided|_multiple_submitters|_no_conflicts</t>
        </is>
      </c>
      <c r="H92" t="inlineStr">
        <is>
          <t>Neurofibromatosis|_type_1</t>
        </is>
      </c>
      <c r="I92" t="inlineStr">
        <is>
          <t>Pathogenic</t>
        </is>
      </c>
      <c r="J92" t="inlineStr">
        <is>
          <t>NF1</t>
        </is>
      </c>
      <c r="K92" t="inlineStr">
        <is>
          <t>intron_variant|non_coding_transcript_exon_variant|intron_variant&amp;NMD_transcript_variant</t>
        </is>
      </c>
      <c r="L92" t="inlineStr"/>
      <c r="M92" t="inlineStr">
        <is>
          <t>ENST00000356175.3:c.2851-6_2851-3del|NM_001042492.3:c.2851-6_2851-3del|ENST00000456735.2:c.1849-6_1849-3del|NM_000267.3:c.2851-6_2851-3del|ENST00000579081.1:c.2953-6_2953-3del|ENST00000358273.4:c.2851-6_2851-3del|ENST00000495910.2:c.*2252-6_*2252-3del|ENST00000493220.1:n.1381_1384del</t>
        </is>
      </c>
      <c r="N92" t="inlineStr"/>
      <c r="O92" t="inlineStr"/>
      <c r="P92" t="inlineStr"/>
      <c r="Q92" t="inlineStr"/>
      <c r="R92" t="inlineStr"/>
      <c r="S92" t="inlineStr"/>
    </row>
    <row r="93">
      <c r="A93" t="inlineStr">
        <is>
          <t>17</t>
        </is>
      </c>
      <c r="B93" t="n">
        <v>29657848</v>
      </c>
      <c r="C93" t="inlineStr">
        <is>
          <t>A</t>
        </is>
      </c>
      <c r="D93" t="inlineStr">
        <is>
          <t>G</t>
        </is>
      </c>
      <c r="E93" t="inlineStr">
        <is>
          <t>216065</t>
        </is>
      </c>
      <c r="F93">
        <f>HYPERLINK("https://www.ncbi.nlm.nih.gov/clinvar/variation/216065/","ClinVarDB")</f>
        <v/>
      </c>
      <c r="G93" t="inlineStr">
        <is>
          <t>criteria_provided|_multiple_submitters|_no_conflicts</t>
        </is>
      </c>
      <c r="H93" t="inlineStr">
        <is>
          <t>Hereditary_cancer-predisposing_syndrome|Neurofibromatosis|_type_1|not_provided</t>
        </is>
      </c>
      <c r="I93" t="inlineStr">
        <is>
          <t>Pathogenic</t>
        </is>
      </c>
      <c r="J93" t="inlineStr">
        <is>
          <t>NF1</t>
        </is>
      </c>
      <c r="K93" t="inlineStr">
        <is>
          <t>intron_variant&amp;non_coding_transcript_variant|intron_variant|non_coding_transcript_exon_variant|intron_variant&amp;NMD_transcript_variant</t>
        </is>
      </c>
      <c r="L93" t="inlineStr"/>
      <c r="M93" t="inlineStr">
        <is>
          <t>ENST00000479536.2:c.170+332A&gt;G|ENST00000356175.3:c.5749+332A&gt;G|ENST00000581113.2:n.1129+332A&gt;G|ENST00000579081.1:c.*977+332A&gt;G|NM_000267.3:c.5749+332A&gt;G|NM_001042492.3:c.5812+332A&gt;G|ENST00000456735.2:c.4747+332A&gt;G|ENST00000493220.1:n.4617A&gt;G|ENST00000358273.4:c.5812+332A&gt;G</t>
        </is>
      </c>
      <c r="N93" t="inlineStr"/>
      <c r="O93" t="inlineStr"/>
      <c r="P93" t="inlineStr"/>
      <c r="Q93" t="inlineStr"/>
      <c r="R93" t="inlineStr"/>
      <c r="S93" t="inlineStr"/>
    </row>
    <row r="94">
      <c r="A94" t="inlineStr">
        <is>
          <t>17</t>
        </is>
      </c>
      <c r="B94" t="n">
        <v>29530107</v>
      </c>
      <c r="C94" t="inlineStr">
        <is>
          <t>A</t>
        </is>
      </c>
      <c r="D94" t="inlineStr">
        <is>
          <t>G</t>
        </is>
      </c>
      <c r="E94" t="inlineStr">
        <is>
          <t>428941</t>
        </is>
      </c>
      <c r="F94">
        <f>HYPERLINK("https://www.ncbi.nlm.nih.gov/clinvar/variation/428941/","ClinVarDB")</f>
        <v/>
      </c>
      <c r="G94" t="inlineStr">
        <is>
          <t>criteria_provided|_multiple_submitters|_no_conflicts</t>
        </is>
      </c>
      <c r="H94" t="inlineStr">
        <is>
          <t>Hereditary_cancer-predisposing_syndrome|Neurofibromatosis|_type_1|not_provided</t>
        </is>
      </c>
      <c r="I94" t="inlineStr">
        <is>
          <t>Pathogenic</t>
        </is>
      </c>
      <c r="J94" t="inlineStr">
        <is>
          <t>NF1</t>
        </is>
      </c>
      <c r="K94" t="inlineStr">
        <is>
          <t>intron_variant&amp;non_coding_transcript_variant|intron_variant|intron_variant&amp;NMD_transcript_variant</t>
        </is>
      </c>
      <c r="L94" t="inlineStr"/>
      <c r="M94" t="inlineStr">
        <is>
          <t>ENST00000456735.2:c.258+1604A&gt;G|ENST00000356175.3:c.1260+1604A&gt;G|ENST00000487476.1:n.1643+1604A&gt;G|NM_001128147.3:c.1260+1604A&gt;G|NM_000267.3:c.1260+1604A&gt;G|NM_001042492.3:c.1260+1604A&gt;G|ENST00000579081.1:c.1362+1604A&gt;G|ENST00000431387.4:c.1260+1604A&gt;G|ENST00000358273.4:c.1260+1604A&gt;G|ENST00000495910.2:c.*661+1604A&gt;G</t>
        </is>
      </c>
      <c r="N94" t="inlineStr"/>
      <c r="O94" t="inlineStr"/>
      <c r="P94" t="inlineStr"/>
      <c r="Q94" t="inlineStr"/>
      <c r="R94" t="inlineStr"/>
      <c r="S94" t="inlineStr"/>
    </row>
    <row r="95">
      <c r="A95" t="inlineStr">
        <is>
          <t>17</t>
        </is>
      </c>
      <c r="B95" t="n">
        <v>29533239</v>
      </c>
      <c r="C95" t="inlineStr">
        <is>
          <t>G</t>
        </is>
      </c>
      <c r="D95" t="inlineStr">
        <is>
          <t>A</t>
        </is>
      </c>
      <c r="E95" t="inlineStr">
        <is>
          <t>816753</t>
        </is>
      </c>
      <c r="F95">
        <f>HYPERLINK("https://www.ncbi.nlm.nih.gov/clinvar/variation/816753/","ClinVarDB")</f>
        <v/>
      </c>
      <c r="G95" t="inlineStr">
        <is>
          <t>criteria_provided|_multiple_submitters|_no_conflicts</t>
        </is>
      </c>
      <c r="H95" t="inlineStr">
        <is>
          <t>Hereditary_cancer-predisposing_syndrome|Neurofibromatosis|_type_1</t>
        </is>
      </c>
      <c r="I95" t="inlineStr">
        <is>
          <t>Pathogenic/Likely_pathogenic</t>
        </is>
      </c>
      <c r="J95" t="inlineStr">
        <is>
          <t>NF1</t>
        </is>
      </c>
      <c r="K95" t="inlineStr">
        <is>
          <t>intron_variant&amp;non_coding_transcript_variant|intron_variant|intron_variant&amp;NMD_transcript_variant</t>
        </is>
      </c>
      <c r="L95" t="inlineStr"/>
      <c r="M95" t="inlineStr">
        <is>
          <t>ENST00000358273.4:c.1261-19G&gt;A|ENST00000456735.2:c.259-19G&gt;A|ENST00000495910.2:c.*662-19G&gt;A|ENST00000356175.3:c.1261-19G&gt;A|NM_001042492.3:c.1261-19G&gt;A|NM_000267.3:c.1261-19G&gt;A|ENST00000487476.1:n.1644-19G&gt;A|ENST00000579081.1:c.1363-19G&gt;A|ENST00000431387.4:c.1261-19G&gt;A|NM_001128147.3:c.1261-19G&gt;A</t>
        </is>
      </c>
      <c r="N95" t="inlineStr"/>
      <c r="O95" t="inlineStr"/>
      <c r="P95" t="inlineStr"/>
      <c r="Q95" t="inlineStr"/>
      <c r="R95" t="inlineStr"/>
      <c r="S95" t="inlineStr"/>
    </row>
    <row r="96">
      <c r="A96" t="inlineStr">
        <is>
          <t>17</t>
        </is>
      </c>
      <c r="B96" t="n">
        <v>29556027</v>
      </c>
      <c r="C96" t="inlineStr">
        <is>
          <t>A</t>
        </is>
      </c>
      <c r="D96" t="inlineStr">
        <is>
          <t>G</t>
        </is>
      </c>
      <c r="E96" t="inlineStr">
        <is>
          <t>572474</t>
        </is>
      </c>
      <c r="F96">
        <f>HYPERLINK("https://www.ncbi.nlm.nih.gov/clinvar/variation/572474/","ClinVarDB")</f>
        <v/>
      </c>
      <c r="G96" t="inlineStr">
        <is>
          <t>criteria_provided|_multiple_submitters|_no_conflicts</t>
        </is>
      </c>
      <c r="H96" t="inlineStr">
        <is>
          <t>Neurofibromatosis|_type_1|not_provided</t>
        </is>
      </c>
      <c r="I96" t="inlineStr">
        <is>
          <t>Pathogenic/Likely_pathogenic</t>
        </is>
      </c>
      <c r="J96" t="inlineStr">
        <is>
          <t>NF1</t>
        </is>
      </c>
      <c r="K96" t="inlineStr">
        <is>
          <t>intron_variant&amp;non_coding_transcript_variant|intron_variant|intron_variant&amp;NMD_transcript_variant</t>
        </is>
      </c>
      <c r="L96" t="inlineStr"/>
      <c r="M96" t="inlineStr">
        <is>
          <t>NM_000267.3:c.2410-16A&gt;G|ENST00000358273.4:c.2410-16A&gt;G|ENST00000356175.3:c.2410-16A&gt;G|ENST00000493220.1:n.577-16A&gt;G|ENST00000579081.1:c.2512-16A&gt;G|ENST00000456735.2:c.1408-16A&gt;G|ENST00000495910.2:c.*1811-16A&gt;G|NM_001042492.3:c.2410-16A&gt;G</t>
        </is>
      </c>
      <c r="N96" t="inlineStr"/>
      <c r="O96" t="inlineStr"/>
      <c r="P96" t="inlineStr"/>
      <c r="Q96" t="inlineStr"/>
      <c r="R96" t="inlineStr"/>
      <c r="S96" t="inlineStr"/>
    </row>
    <row r="97">
      <c r="A97" t="inlineStr">
        <is>
          <t>1</t>
        </is>
      </c>
      <c r="B97" t="n">
        <v>45798772</v>
      </c>
      <c r="C97" t="inlineStr">
        <is>
          <t>C</t>
        </is>
      </c>
      <c r="D97" t="inlineStr">
        <is>
          <t>CATCCAT</t>
        </is>
      </c>
      <c r="E97" t="inlineStr">
        <is>
          <t>233094</t>
        </is>
      </c>
      <c r="F97">
        <f>HYPERLINK("https://www.ncbi.nlm.nih.gov/clinvar/variation/233094/","ClinVarDB")</f>
        <v/>
      </c>
      <c r="G97" t="inlineStr">
        <is>
          <t>criteria_provided|_multiple_submitters|_no_conflicts</t>
        </is>
      </c>
      <c r="H97" t="inlineStr">
        <is>
          <t>MYH-associated_polyposis|Hereditary_cancer-predisposing_syndrome|not_provided</t>
        </is>
      </c>
      <c r="I97" t="inlineStr">
        <is>
          <t>Pathogenic/Likely_pathogenic</t>
        </is>
      </c>
      <c r="J97" t="inlineStr">
        <is>
          <t>MUTYH</t>
        </is>
      </c>
      <c r="K97" t="inlineStr">
        <is>
          <t>intron_variant|inframe_insertion|intron_variant&amp;non_coding_transcript_variant|non_coding_transcript_exon_variant|3_prime_UTR_variant&amp;NMD_transcript_variant|intron_variant&amp;NMD_transcript_variant</t>
        </is>
      </c>
      <c r="L97" t="inlineStr">
        <is>
          <t>|NP_001280124.1:p.Trp124_Met125insIleTrp|ENSP00000409718.1:p.Trp135_Met136insIleTrp|ENSP00000433130.2:p.Trp138_Met139insIleTrp|NP_001280120.1:p.Trp135_Met136insIleTrp|ENSP00000407590.2:p.Trp124_Met125insIleTrp|NP_001041637.1:p.Trp125_Met126insIleTrp|ENSP00000408176.1:p.Trp152_Met153insIleTrp|ENSP00000361172.5:p.Trp135_Met136insIleTrp|ENSP00000361176.1:p.Trp124_Met125insIleTrp|ENSP00000347685.2:p.Trp124_Met125insIleTrp|ENSP00000346354.6:p.Trp125_Met126insIleTrp|NP_001280121.1:p.Trp32_Met33insIleTrp|NP_001280119.1:p.Trp139_Met140insIleTrp|ENSP00000361187.3:p.Trp138_Met139insIleTrp|NP_001041638.1:p.Trp124_Met125insIleTrp|NP_001041636.1:p.Trp138_Met139insIleTrp|ENSP00000361170.3:p.Trp149_Met150insIleTrp|NP_001041639.1:p.Trp124_Met125insIleTrp|NP_036354.1:p.Trp149_Met150insIleTrp|NP_001280125.1:p.Trp32_Met33insIleTrp|NP_001121897.1:p.Trp152_Met153insIleTrp|ENSP00000361182.3:p.Trp139_Met140insIleTrp|ENSP00000403655.1:p.Trp135_Met136insIleTrp</t>
        </is>
      </c>
      <c r="M97" t="inlineStr">
        <is>
          <t>NM_001048173.1:c.369_374dup|ENST00000372110.3:c.414_419dup|ENST00000372104.1:c.369_374dup|NM_001350651.1:c.34-147_34-142dup|ENST00000470256.1:c.307+179_307+184dup|ENST00000485484.1:n.533_538dup|ENST00000533178.1:c.122-419_122-414dup|ENST00000481571.1:c.*182_*187dup|NR_146882.1:n.627_632dup|ENST00000435155.1:c.402_407dup|NM_001048174.1:c.369_374dup|ENST00000528332.2:c.158-272_158-267dup|ENST00000355498.2:c.369_374dup|ENST00000412971.1:c.37-272_37-267dup|NM_001293191.1:c.402_407dup|ENST00000372100.5:c.402_407dup|ENST00000448481.1:c.402_407dup|ENST00000475516.1:c.*182_*187dup|ENST00000479746.2:n.432_437dup|ENST00000531105.1:c.115+1285_115+1290dup|ENST00000461495.1:c.*118-147_*118-142dup|NM_001293195.1:c.369_374dup|ENST00000525160.1:c.*30-147_*30-142dup|ENST00000474703.1:n.524_529dup|ENST00000481139.1:n.622_627dup|NM_001293192.1:c.93_98dup|NM_001350650.1:c.34-147_34-142dup|ENST00000528013.2:c.411_416dup|ENST00000372098.3:c.444_449dup|ENST00000478796.1:n.219_224dup|ENST00000492494.1:n.546_551dup|ENST00000462387.1:n.554_559dup|ENST00000456914.2:c.369_374dup|ENST00000476789.1:n.589_594dup|NR_146883.1:n.451-147_451-142dup|ENST00000529984.1:c.116-272_116-267dup|ENST00000450313.1:c.453_458dup|NM_001048172.1:c.372_377dup|ENST00000372115.3:c.411_416dup|ENST00000354383.6:c.372_377dup|ENST00000483642.1:n.664_669dup|NM_001048171.1:c.411_416dup|NM_001128425.1:c.453_458dup|NM_012222.2:c.444_449dup|NM_001293196.1:c.93_98dup|ENST00000467940.1:c.*292_*297dup|ENST00000488731.2:c.116-272_116-267dup|NM_001293190.1:c.414_419dup</t>
        </is>
      </c>
      <c r="N97" t="inlineStr">
        <is>
          <t>3.976399966632016e-06</t>
        </is>
      </c>
      <c r="O97" t="n">
        <v>1</v>
      </c>
      <c r="P97" t="inlineStr">
        <is>
          <t>0</t>
        </is>
      </c>
      <c r="Q97" t="inlineStr"/>
      <c r="R97" t="inlineStr"/>
      <c r="S97" t="inlineStr"/>
    </row>
    <row r="98">
      <c r="A98" t="inlineStr">
        <is>
          <t>1</t>
        </is>
      </c>
      <c r="B98" t="n">
        <v>45798558</v>
      </c>
      <c r="C98" t="inlineStr">
        <is>
          <t>TCCTATTTCCCCTA</t>
        </is>
      </c>
      <c r="D98" t="inlineStr">
        <is>
          <t>T</t>
        </is>
      </c>
      <c r="E98" t="inlineStr">
        <is>
          <t>406825</t>
        </is>
      </c>
      <c r="F98">
        <f>HYPERLINK("https://www.ncbi.nlm.nih.gov/clinvar/variation/406825/","ClinVarDB")</f>
        <v/>
      </c>
      <c r="G98" t="inlineStr">
        <is>
          <t>criteria_provided|_multiple_submitters|_no_conflicts</t>
        </is>
      </c>
      <c r="H98" t="inlineStr">
        <is>
          <t>Colonic_neoplasm|MYH-associated_polyposis|Hereditary_cancer-predisposing_syndrome|not_provided</t>
        </is>
      </c>
      <c r="I98" t="inlineStr">
        <is>
          <t>Pathogenic/Likely_pathogenic</t>
        </is>
      </c>
      <c r="J98" t="inlineStr">
        <is>
          <t>MUTYH</t>
        </is>
      </c>
      <c r="K98" t="inlineStr">
        <is>
          <t>intron_variant&amp;non_coding_transcript_variant|intron_variant|non_coding_transcript_exon_variant|intron_variant&amp;NMD_transcript_variant</t>
        </is>
      </c>
      <c r="L98" t="inlineStr"/>
      <c r="M98" t="inlineStr">
        <is>
          <t>ENST00000372104.1:c.420+19_420+31del|ENST00000478796.1:n.407+19_407+31del|ENST00000354383.6:c.423+19_423+31del|ENST00000372115.3:c.462+19_462+31del|ENST00000372110.3:c.465+19_465+31del|ENST00000481571.1:c.*233+19_*233+31del|ENST00000461495.1:c.*159+19_*159+31del|ENST00000467940.1:c.*343+19_*343+31del|ENST00000475516.1:c.*233+19_*233+31del|ENST00000355498.2:c.420+19_420+31del|ENST00000481139.1:n.829_841del|NM_001350650.1:c.75+19_75+31del|ENST00000372098.3:c.495+19_495+31del|ENST00000483642.1:n.871_883del|NM_001293190.1:c.465+19_465+31del|NM_001048174.1:c.420+19_420+31del|NM_012222.2:c.495+19_495+31del|ENST00000462388.1:n.47_59del|ENST00000485484.1:n.721+19_721+31del|NM_001048171.1:c.462+19_462+31del|NR_146882.1:n.678+19_678+31del|ENST00000435155.1:c.453+19_453+31del|ENST00000456914.2:c.420+19_420+31del|NM_001293195.1:c.420+19_420+31del|NM_001350651.1:c.75+19_75+31del|ENST00000529984.1:c.116-65_116-53del|NM_001293192.1:c.144+19_144+31del|ENST00000479746.2:n.639_651del|ENST00000450313.1:c.504+19_504+31del|NM_001048173.1:c.420+19_420+31del|ENST00000476789.1:n.796_808del|ENST00000488731.2:c.116-65_116-53del|ENST00000533178.1:c.122-212_122-200del|NM_001128425.1:c.504+19_504+31del|NM_001293191.1:c.453+19_453+31del|ENST00000372100.5:c.453+19_453+31del|ENST00000525160.1:c.*71+19_*71+31del|ENST00000448481.1:c.453+19_453+31del|ENST00000492494.1:n.753_765del|ENST00000470256.1:c.308-65_308-53del|ENST00000412971.1:c.37-65_37-53del|ENST00000528013.2:c.462+19_462+31del|NM_001048172.1:c.423+19_423+31del|NR_146883.1:n.492+19_492+31del|ENST00000531105.1:c.115+1492_115+1504del|ENST00000528332.2:c.158-65_158-53del|NM_001293196.1:c.144+19_144+31del|ENST00000462387.1:n.761_773del</t>
        </is>
      </c>
      <c r="N98" t="inlineStr">
        <is>
          <t>7.966599696374033e-06</t>
        </is>
      </c>
      <c r="O98" t="n">
        <v>1</v>
      </c>
      <c r="P98" t="inlineStr">
        <is>
          <t>0</t>
        </is>
      </c>
      <c r="Q98" t="inlineStr"/>
      <c r="R98" t="inlineStr"/>
      <c r="S98" t="inlineStr"/>
    </row>
    <row r="99">
      <c r="A99" t="inlineStr">
        <is>
          <t>3</t>
        </is>
      </c>
      <c r="B99" t="n">
        <v>37056039</v>
      </c>
      <c r="C99" t="inlineStr">
        <is>
          <t>A</t>
        </is>
      </c>
      <c r="D99" t="inlineStr">
        <is>
          <t>G</t>
        </is>
      </c>
      <c r="E99" t="inlineStr">
        <is>
          <t>90363</t>
        </is>
      </c>
      <c r="F99">
        <f>HYPERLINK("https://www.ncbi.nlm.nih.gov/clinvar/variation/90363/","ClinVarDB")</f>
        <v/>
      </c>
      <c r="G99" t="inlineStr">
        <is>
          <t>criteria_provided|_multiple_submitters|_no_conflicts</t>
        </is>
      </c>
      <c r="H99" t="inlineStr">
        <is>
          <t>Carcinoma_of_colon|Lynch_syndrome|Hereditary_cancer-predisposing_syndrome</t>
        </is>
      </c>
      <c r="I99" t="inlineStr">
        <is>
          <t>Likely_pathogenic</t>
        </is>
      </c>
      <c r="J99" t="inlineStr">
        <is>
          <t>MLH1</t>
        </is>
      </c>
      <c r="K99" t="inlineStr">
        <is>
          <t>splice_region_variant&amp;intron_variant|splice_region_variant&amp;intron_variant&amp;NMD_transcript_variant|intron_variant</t>
        </is>
      </c>
      <c r="L99" t="inlineStr"/>
      <c r="M99" t="inlineStr">
        <is>
          <t>NM_001354621.1:c.-140+2449A&gt;G|NM_001354626.1:c.-37+4A&gt;G|NM_001354629.1:c.691+4A&gt;G|NM_001167619.2:c.67+4A&gt;G|NM_001354620.1:c.496+4A&gt;G|NM_000249.3:c.790+4A&gt;G|ENST00000536378.1:c.67+4A&gt;G|NM_001354627.1:c.-37+4A&gt;G|NM_001354617.1:c.67+4A&gt;G|NM_001354615.1:c.67+4A&gt;G|ENST00000447829.1:c.171+4A&gt;G|ENST00000539477.1:c.67+4A&gt;G|ENST00000441265.1:c.67+4A&gt;G|NM_001167617.2:c.496+4A&gt;G|NM_001354618.1:c.67+4A&gt;G|ENST00000455445.2:c.67+4A&gt;G|NM_001167618.2:c.67+4A&gt;G|NM_001354616.1:c.67+4A&gt;G|ENST00000231790.2:c.790+4A&gt;G|NM_001354628.1:c.790+4A&gt;G|NM_001354624.1:c.-37+4A&gt;G|NM_001258273.1:c.67+4A&gt;G|ENST00000456676.2:c.765+4A&gt;G|ENST00000413212.1:c.113+4A&gt;G|NM_001258271.1:c.790+4A&gt;G|ENST00000458205.2:c.67+4A&gt;G|ENST00000458009.1:c.131+4A&gt;G|ENST00000435176.1:c.496+4A&gt;G|NM_001354630.1:c.790+4A&gt;G|NM_001258274.2:c.67+4A&gt;G|NM_001354623.1:c.-140+4A&gt;G|NM_001354625.1:c.-37+4A&gt;G|NM_001354622.1:c.-140+4A&gt;G|NM_001354619.1:c.67+4A&gt;G</t>
        </is>
      </c>
      <c r="N99" t="inlineStr"/>
      <c r="O99" t="inlineStr"/>
      <c r="P99" t="inlineStr"/>
      <c r="Q99" t="inlineStr"/>
      <c r="R99" t="inlineStr"/>
      <c r="S99" t="inlineStr"/>
    </row>
    <row r="100">
      <c r="A100" t="inlineStr">
        <is>
          <t>3</t>
        </is>
      </c>
      <c r="B100" t="n">
        <v>37090105</v>
      </c>
      <c r="C100" t="inlineStr">
        <is>
          <t>G</t>
        </is>
      </c>
      <c r="D100" t="inlineStr">
        <is>
          <t>C</t>
        </is>
      </c>
      <c r="E100" t="inlineStr">
        <is>
          <t>89977</t>
        </is>
      </c>
      <c r="F100">
        <f>HYPERLINK("https://www.ncbi.nlm.nih.gov/clinvar/variation/89977/","ClinVarDB")</f>
        <v/>
      </c>
      <c r="G100" t="inlineStr">
        <is>
          <t>criteria_provided|_multiple_submitters|_no_conflicts</t>
        </is>
      </c>
      <c r="H100" t="inlineStr">
        <is>
          <t>Lynch_syndrome|Hereditary_nonpolyposis_colorectal_neoplasms</t>
        </is>
      </c>
      <c r="I100" t="inlineStr">
        <is>
          <t>Pathogenic/Likely_pathogenic</t>
        </is>
      </c>
      <c r="J100" t="inlineStr">
        <is>
          <t>MLH1</t>
        </is>
      </c>
      <c r="K100" t="inlineStr">
        <is>
          <t>splice_region_variant&amp;intron_variant|intron_variant</t>
        </is>
      </c>
      <c r="L100" t="inlineStr"/>
      <c r="M100" t="inlineStr">
        <is>
          <t>NM_001258274.2:c.1266+5G&gt;C|NM_001258271.1:c.1896+931G&gt;C|NM_001258273.1:c.1266+5G&gt;C|NM_001354628.1:c.1897-290G&gt;C|ENST00000536378.1:c.1266+5G&gt;C|NM_001354621.1:c.966+5G&gt;C|ENST00000413740.1:c.291-1872G&gt;C|ENST00000458205.2:c.1266+5G&gt;C|NM_001167618.2:c.1266+5G&gt;C|NM_001354626.1:c.915+5G&gt;C|NM_001354616.1:c.1266+5G&gt;C|NM_001354620.1:c.1695+5G&gt;C|NM_001167619.2:c.1266+5G&gt;C|ENST00000456676.2:c.1871+931G&gt;C|NM_001354625.1:c.915+5G&gt;C|NM_001167617.2:c.1695+5G&gt;C|NM_001354624.1:c.915+5G&gt;C|NM_001354615.1:c.1266+5G&gt;C|ENST00000450420.1:c.182-1872G&gt;C|NM_000249.3:c.1989+5G&gt;C|NM_001354629.1:c.1890+5G&gt;C|NM_001354619.1:c.1266+5G&gt;C|NM_001354617.1:c.1266+5G&gt;C|NM_001354630.1:c.1824+5G&gt;C|ENST00000435176.1:c.1695+5G&gt;C|ENST00000231790.2:c.1989+5G&gt;C|NM_001354618.1:c.1266+5G&gt;C|NM_001354622.1:c.966+5G&gt;C|NM_001354627.1:c.915+5G&gt;C|ENST00000539477.1:c.1266+5G&gt;C|ENST00000455445.2:c.1266+5G&gt;C|NM_001354623.1:c.966+5G&gt;C</t>
        </is>
      </c>
      <c r="N100" t="inlineStr"/>
      <c r="O100" t="inlineStr"/>
      <c r="P100" t="inlineStr"/>
      <c r="Q100" t="inlineStr"/>
      <c r="R100" t="inlineStr"/>
      <c r="S100" t="inlineStr"/>
    </row>
    <row r="101">
      <c r="A101" t="inlineStr">
        <is>
          <t>3</t>
        </is>
      </c>
      <c r="B101" t="n">
        <v>37038205</v>
      </c>
      <c r="C101" t="inlineStr">
        <is>
          <t>G</t>
        </is>
      </c>
      <c r="D101" t="inlineStr">
        <is>
          <t>C</t>
        </is>
      </c>
      <c r="E101" t="inlineStr">
        <is>
          <t>141132</t>
        </is>
      </c>
      <c r="F101">
        <f>HYPERLINK("https://www.ncbi.nlm.nih.gov/clinvar/variation/141132/","ClinVarDB")</f>
        <v/>
      </c>
      <c r="G101" t="inlineStr">
        <is>
          <t>criteria_provided|_multiple_submitters|_no_conflicts</t>
        </is>
      </c>
      <c r="H101" t="inlineStr">
        <is>
          <t>Lynch_syndrome|Hereditary_cancer-predisposing_syndrome</t>
        </is>
      </c>
      <c r="I101" t="inlineStr">
        <is>
          <t>Pathogenic/Likely_pathogenic</t>
        </is>
      </c>
      <c r="J101" t="inlineStr">
        <is>
          <t>MLH1</t>
        </is>
      </c>
      <c r="K101" t="inlineStr">
        <is>
          <t>intron_variant|splice_region_variant&amp;intron_variant|splice_region_variant&amp;intron_variant&amp;non_coding_transcript_variant|splice_region_variant&amp;intron_variant&amp;NMD_transcript_variant|intron_variant&amp;NMD_transcript_variant</t>
        </is>
      </c>
      <c r="L101" t="inlineStr"/>
      <c r="M101" t="inlineStr">
        <is>
          <t>ENST00000476172.1:n.329+5G&gt;C|NM_001354630.1:c.207+5G&gt;C|NM_001354628.1:c.207+5G&gt;C|ENST00000435176.1:c.-83+5G&gt;C|ENST00000432299.1:c.*287+5G&gt;C|ENST00000457004.1:c.*85+5G&gt;C|NM_001258274.2:c.-662+5G&gt;C|ENST00000455445.2:c.-517+5G&gt;C|ENST00000539477.1:c.-425+5G&gt;C|ENST00000429117.1:c.-83+5G&gt;C|NM_001167619.2:c.-425+5G&gt;C|NM_001354618.1:c.-517+5G&gt;C|NM_001354629.1:c.207+5G&gt;C|NM_001258271.1:c.207+5G&gt;C|ENST00000441265.1:c.-425+5G&gt;C|ENST00000231790.2:c.207+5G&gt;C|NM_001354620.1:c.-83+5G&gt;C|NM_001167617.2:c.-83+5G&gt;C|NM_001354616.1:c.-425+5G&gt;C|ENST00000456676.2:c.182+5G&gt;C|NM_001354624.1:c.-620+5G&gt;C|NM_001354615.1:c.-420+5G&gt;C|NM_001354617.1:c.-517+5G&gt;C|NM_001354619.1:c.-517+5G&gt;C|NM_001354627.1:c.-620+5G&gt;C|ENST00000458205.2:c.-662+5G&gt;C|ENST00000466900.1:n.134+5G&gt;C|NM_001354623.1:c.-723+2824G&gt;C|NM_001354622.1:c.-723+5G&gt;C|NM_000249.3:c.207+5G&gt;C|NM_001354621.1:c.-610+5G&gt;C|NM_001354626.1:c.-620+5G&gt;C|ENST00000485889.1:n.211+5G&gt;C|NM_001354625.1:c.-523+5G&gt;C|ENST00000536378.1:c.-517+5G&gt;C|ENST00000492474.1:n.230+5G&gt;C|NM_001167618.2:c.-517+5G&gt;C|ENST00000442249.1:c.116+3051G&gt;C|NM_001258273.1:c.-517+3051G&gt;C|ENST00000454028.1:c.*85+5G&gt;C</t>
        </is>
      </c>
      <c r="N101" t="inlineStr"/>
      <c r="O101" t="inlineStr"/>
      <c r="P101" t="inlineStr"/>
      <c r="Q101" t="inlineStr"/>
      <c r="R101" t="inlineStr"/>
      <c r="S101" t="inlineStr"/>
    </row>
    <row r="102">
      <c r="A102" t="inlineStr">
        <is>
          <t>3</t>
        </is>
      </c>
      <c r="B102" t="n">
        <v>37035065</v>
      </c>
      <c r="C102" t="inlineStr">
        <is>
          <t>G</t>
        </is>
      </c>
      <c r="D102" t="inlineStr">
        <is>
          <t>A</t>
        </is>
      </c>
      <c r="E102" t="inlineStr">
        <is>
          <t>186982</t>
        </is>
      </c>
      <c r="F102">
        <f>HYPERLINK("https://www.ncbi.nlm.nih.gov/clinvar/variation/186982/","ClinVarDB")</f>
        <v/>
      </c>
      <c r="G102" t="inlineStr">
        <is>
          <t>criteria_provided|_multiple_submitters|_no_conflicts</t>
        </is>
      </c>
      <c r="H102" t="inlineStr">
        <is>
          <t>Hereditary_cancer-predisposing_syndrome|Hereditary_nonpolyposis_colorectal_neoplasms</t>
        </is>
      </c>
      <c r="I102" t="inlineStr">
        <is>
          <t>Likely_pathogenic</t>
        </is>
      </c>
      <c r="J102" t="inlineStr">
        <is>
          <t>MLH1</t>
        </is>
      </c>
      <c r="K102" t="inlineStr">
        <is>
          <t>coding_sequence_variant|regulatory_region_variant|synonymous_variant&amp;NMD_transcript_variant|synonymous_variant|5_prime_UTR_variant</t>
        </is>
      </c>
      <c r="L102" t="inlineStr">
        <is>
          <t>|ENSP00000416783.1:p.Arg9=|ENSP00000416687.2:p.Ter1=|ENSP00000231790.2:p.Arg9=|NP_001341557.1:p.Arg9=|ENSP00000407773.1:p.Arg9=|ENSP00000387511.1:p.Arg9=|NP_001245200.1:p.Arg9=|NP_001341559.1:p.Arg9=|NP_001341558.1:p.Arg9=|NP_000240.1:p.Arg9=|ENSP00000392649.1:p.Arg9=</t>
        </is>
      </c>
      <c r="M102" t="inlineStr">
        <is>
          <t>|NM_001354618.1:c.-924G&gt;A|NM_001354627.1:c.-1027G&gt;A|NM_001258274.2:c.-1069G&gt;A|ENST00000454028.1:c.27G&gt;A|ENST00000456676.2:c.3G&gt;A|NM_001258271.1:c.27G&gt;A|NM_001167617.2:c.-490G&gt;A|NM_001354616.1:c.-600G&gt;A|ENST00000231790.2:c.27G&gt;A|ENST00000457004.1:c.27G&gt;A|NM_001258273.1:c.-606G&gt;A|ENST00000442249.1:c.27G&gt;A|NM_001354623.1:c.-1039G&gt;A|NM_001354621.1:c.-1017G&gt;A|NM_001354619.1:c.-1048G&gt;A|ENST00000432299.1:c.27G&gt;A|NM_001354615.1:c.-600G&gt;A|NM_001354625.1:c.-698G&gt;A|NM_001354624.1:c.-800G&gt;A|NM_001354617.1:c.-692G&gt;A|NM_001354630.1:c.27G&gt;A|NM_001354629.1:c.27G&gt;A|NM_000249.3:c.27G&gt;A|NM_001167618.2:c.-919G&gt;A|NM_001354628.1:c.27G&gt;A|NM_001167619.2:c.-832G&gt;A|NM_001354626.1:c.-795G&gt;A|NM_001354622.1:c.-1130G&gt;A|NM_001354620.1:c.-258G&gt;A</t>
        </is>
      </c>
      <c r="N102" t="inlineStr"/>
      <c r="O102" t="inlineStr"/>
      <c r="P102" t="inlineStr"/>
      <c r="Q102" t="inlineStr"/>
      <c r="R102" t="inlineStr"/>
      <c r="S102" t="inlineStr"/>
    </row>
    <row r="103">
      <c r="A103" t="inlineStr">
        <is>
          <t>3</t>
        </is>
      </c>
      <c r="B103" t="n">
        <v>37035012</v>
      </c>
      <c r="C103" t="inlineStr">
        <is>
          <t>C</t>
        </is>
      </c>
      <c r="D103" t="inlineStr">
        <is>
          <t>A</t>
        </is>
      </c>
      <c r="E103" t="inlineStr">
        <is>
          <t>89589</t>
        </is>
      </c>
      <c r="F103">
        <f>HYPERLINK("https://www.ncbi.nlm.nih.gov/clinvar/variation/89589/","ClinVarDB")</f>
        <v/>
      </c>
      <c r="G103" t="inlineStr">
        <is>
          <t>criteria_provided|_multiple_submitters|_no_conflicts</t>
        </is>
      </c>
      <c r="H103" t="inlineStr">
        <is>
          <t>Lynch_syndrome_II|Hereditary_cancer-predisposing_syndrome|Hereditary_nonpolyposis_colorectal_neoplasms|not_specified|not_provided</t>
        </is>
      </c>
      <c r="I103" t="inlineStr">
        <is>
          <t>Pathogenic/Likely_pathogenic</t>
        </is>
      </c>
      <c r="J103" t="inlineStr">
        <is>
          <t>MLH1</t>
        </is>
      </c>
      <c r="K103" t="inlineStr">
        <is>
          <t>5_prime_UTR_variant&amp;NMD_transcript_variant|regulatory_region_variant|5_prime_UTR_variant</t>
        </is>
      </c>
      <c r="L103" t="inlineStr"/>
      <c r="M103" t="inlineStr">
        <is>
          <t>|NM_001354615.1:c.-653C&gt;A|NM_001354618.1:c.-977C&gt;A|NM_001258273.1:c.-659C&gt;A|NM_001354624.1:c.-853C&gt;A|NM_001354617.1:c.-745C&gt;A|NM_001258271.1:c.-27C&gt;A|NM_001354616.1:c.-653C&gt;A|NM_001354621.1:c.-1070C&gt;A|NM_001354625.1:c.-751C&gt;A|NM_001167618.2:c.-972C&gt;A|ENST00000457004.1:c.-27C&gt;A|NM_001354619.1:c.-1101C&gt;A|NM_001354620.1:c.-311C&gt;A|NM_001354626.1:c.-848C&gt;A|NM_001167619.2:c.-885C&gt;A|ENST00000231790.2:c.-27C&gt;A|NM_001354628.1:c.-27C&gt;A|NM_001354623.1:c.-1092C&gt;A|NM_001354622.1:c.-1183C&gt;A|NM_001354627.1:c.-1080C&gt;A|NM_001354630.1:c.-27C&gt;A|NM_001258274.2:c.-1122C&gt;A|NM_001167617.2:c.-543C&gt;A|NM_001354629.1:c.-27C&gt;A|NM_000249.3:c.-27C&gt;A</t>
        </is>
      </c>
      <c r="N103" t="inlineStr"/>
      <c r="O103" t="inlineStr"/>
      <c r="P103" t="inlineStr"/>
      <c r="Q103" t="inlineStr"/>
      <c r="R103" t="inlineStr"/>
      <c r="S103" t="inlineStr"/>
    </row>
    <row r="104">
      <c r="A104" t="inlineStr">
        <is>
          <t>11</t>
        </is>
      </c>
      <c r="B104" t="n">
        <v>64574700</v>
      </c>
      <c r="C104" t="inlineStr">
        <is>
          <t>C</t>
        </is>
      </c>
      <c r="D104" t="inlineStr">
        <is>
          <t>T</t>
        </is>
      </c>
      <c r="E104" t="inlineStr">
        <is>
          <t>200981</t>
        </is>
      </c>
      <c r="F104">
        <f>HYPERLINK("https://www.ncbi.nlm.nih.gov/clinvar/variation/200981/","ClinVarDB")</f>
        <v/>
      </c>
      <c r="G104" t="inlineStr">
        <is>
          <t>criteria_provided|_multiple_submitters|_no_conflicts</t>
        </is>
      </c>
      <c r="H104" t="inlineStr">
        <is>
          <t>Multiple_endocrine_neoplasia|_type_1|not_specified|not_provided</t>
        </is>
      </c>
      <c r="I104" t="inlineStr">
        <is>
          <t>Pathogenic</t>
        </is>
      </c>
      <c r="J104" t="inlineStr">
        <is>
          <t>MEN1</t>
        </is>
      </c>
      <c r="K104" t="inlineStr">
        <is>
          <t>intron_variant</t>
        </is>
      </c>
      <c r="L104" t="inlineStr"/>
      <c r="M104" t="inlineStr">
        <is>
          <t>ENST00000440873.1:c.784-9G&gt;A|NM_130801.2:c.799-9G&gt;A|ENST00000377316.2:c.784-9G&gt;A|NM_001370260.1:c.784-9G&gt;A|ENST00000337652.1:c.799-9G&gt;A|NM_001370263.1:c.679-9G&gt;A|ENST00000450708.1:c.784-9G&gt;A|NM_130802.2:c.799-9G&gt;A|NM_001370259.1:c.784-9G&gt;A|ENST00000315422.4:c.784-9G&gt;A|ENST00000443283.1:c.799-9G&gt;A|ENST00000377326.3:c.784-9G&gt;A|NM_001370262.1:c.679-9G&gt;A|NM_001370261.1:c.784-9G&gt;A|ENST00000394374.2:c.799-9G&gt;A|ENST00000394376.1:c.799-9G&gt;A|NM_130800.2:c.799-9G&gt;A|NM_130803.2:c.799-9G&gt;A|ENST00000377321.1:c.679-9G&gt;A|NM_000244.3:c.799-9G&gt;A|ENST00000312049.6:c.784-9G&gt;A|NM_001370251.1:c.784-9G&gt;A|NM_130804.2:c.799-9G&gt;A|NM_130799.2:c.784-9G&gt;A|ENST00000377313.1:c.799-9G&gt;A</t>
        </is>
      </c>
      <c r="N104" t="inlineStr"/>
      <c r="O104" t="inlineStr"/>
      <c r="P104" t="inlineStr"/>
      <c r="Q104" t="inlineStr"/>
      <c r="R104" t="inlineStr"/>
      <c r="S104" t="inlineStr"/>
    </row>
    <row r="105">
      <c r="A105" t="inlineStr">
        <is>
          <t>9</t>
        </is>
      </c>
      <c r="B105" t="n">
        <v>21994133</v>
      </c>
      <c r="C105" t="inlineStr">
        <is>
          <t>C</t>
        </is>
      </c>
      <c r="D105" t="inlineStr">
        <is>
          <t>T</t>
        </is>
      </c>
      <c r="E105" t="inlineStr">
        <is>
          <t>141882</t>
        </is>
      </c>
      <c r="F105">
        <f>HYPERLINK("https://www.ncbi.nlm.nih.gov/clinvar/variation/141882/","ClinVarDB")</f>
        <v/>
      </c>
      <c r="G105" t="inlineStr">
        <is>
          <t>criteria_provided|_multiple_submitters|_no_conflicts</t>
        </is>
      </c>
      <c r="H105" t="inlineStr">
        <is>
          <t>Hereditary_cancer-predisposing_syndrome|Hereditary_melanoma</t>
        </is>
      </c>
      <c r="I105" t="inlineStr">
        <is>
          <t>Pathogenic/Likely_pathogenic</t>
        </is>
      </c>
      <c r="J105" t="inlineStr">
        <is>
          <t>CDKN2A</t>
        </is>
      </c>
      <c r="K105" t="inlineStr">
        <is>
          <t>regulatory_region_variant|intron_variant|intron_variant&amp;non_coding_transcript_variant|splice_region_variant&amp;intron_variant|non_coding_transcript_exon_variant|intron_variant&amp;NMD_transcript_variant</t>
        </is>
      </c>
      <c r="L105" t="inlineStr"/>
      <c r="M105" t="inlineStr">
        <is>
          <t>|ENST00000582361.1:n.187G&gt;A|ENST00000530628.2:c.193+5G&gt;A|ENST00000361570.3:c.316+5G&gt;A|ENST00000470819.2:n.54-66G&gt;A|ENST00000494262.1:c.-175-81G&gt;A|ENST00000579755.1:c.193+5G&gt;A|ENST00000498628.2:c.-4+687G&gt;A|NM_001363763.2:c.-4+687G&gt;A|ENST00000404796.2:c.348-35299C&gt;T|NM_058195.3:c.193+5G&gt;A</t>
        </is>
      </c>
      <c r="N105" t="inlineStr"/>
      <c r="O105" t="inlineStr"/>
      <c r="P105" t="inlineStr"/>
      <c r="Q105" t="inlineStr"/>
      <c r="R105" t="inlineStr"/>
      <c r="S105" t="inlineStr"/>
    </row>
    <row r="106">
      <c r="A106" t="inlineStr">
        <is>
          <t>9</t>
        </is>
      </c>
      <c r="B106" t="n">
        <v>21974794</v>
      </c>
      <c r="C106" t="inlineStr">
        <is>
          <t>A</t>
        </is>
      </c>
      <c r="D106" t="inlineStr">
        <is>
          <t>AGGCTCCATGCTGCTCCCCGCCGCC</t>
        </is>
      </c>
      <c r="E106" t="inlineStr">
        <is>
          <t>135827</t>
        </is>
      </c>
      <c r="F106">
        <f>HYPERLINK("https://www.ncbi.nlm.nih.gov/clinvar/variation/135827/","ClinVarDB")</f>
        <v/>
      </c>
      <c r="G106" t="inlineStr">
        <is>
          <t>criteria_provided|_multiple_submitters|_no_conflicts</t>
        </is>
      </c>
      <c r="H106" t="inlineStr">
        <is>
          <t>Cutaneous_malignant_melanoma_2|Hereditary_cancer-predisposing_syndrome|Hereditary_melanoma|not_provided</t>
        </is>
      </c>
      <c r="I106" t="inlineStr">
        <is>
          <t>Pathogenic/Likely_pathogenic</t>
        </is>
      </c>
      <c r="J106" t="inlineStr">
        <is>
          <t>CDKN2A</t>
        </is>
      </c>
      <c r="K106" t="inlineStr">
        <is>
          <t>regulatory_region_variant|intron_variant|inframe_insertion|inframe_insertion&amp;NMD_transcript_variant|intron_variant&amp;NMD_transcript_variant</t>
        </is>
      </c>
      <c r="L106" t="inlineStr">
        <is>
          <t>|ENSP00000369496.3:p.Ala4_Pro11dup|NP_478104.2:p.Ala4_Pro11dup|ENSP00000394932.1:p.Ala4_Pro11dup|ENSP00000464202.1:p.Ala4_Pro11dup|NP_001182061.1:p.Ala4_Pro11dup|ENSP00000418915.1:p.Ala4_Pro11dup|ENSP00000307101.5:p.Ala4_Pro11dup|NP_000068.1:p.Ala4_Pro11dup</t>
        </is>
      </c>
      <c r="M106" t="inlineStr">
        <is>
          <t>|ENST00000494262.1:c.-3-3611_-3-3588dup|NM_000077.4:c.9_32dup|ENST00000304494.5:c.9_32dup|ENST00000446177.1:c.9_32dup|ENST00000361570.3:c.317-3611_317-3588dup|ENST00000404796.2:c.348-54613_348-54590dup|ENST00000579122.1:c.9_32dup|ENST00000498124.1:c.9_32dup|ENST00000380151.3:c.9_32dup|ENST00000579755.1:c.194-3611_194-3588dup|ENST00000498628.2:c.-3-3611_-3-3588dup|NM_001195132.1:c.9_32dup|ENST00000530628.2:c.194-3611_194-3588dup|NM_058195.3:c.194-3611_194-3588dup|NM_001363763.2:c.-3-3611_-3-3588dup|NM_058197.4:c.9_32dup</t>
        </is>
      </c>
      <c r="N106" t="inlineStr">
        <is>
          <t>8.549130143364891e-06</t>
        </is>
      </c>
      <c r="O106" t="n">
        <v>1</v>
      </c>
      <c r="P106" t="inlineStr">
        <is>
          <t>0</t>
        </is>
      </c>
      <c r="Q106" t="inlineStr">
        <is>
          <t>3.195090175722726e-05</t>
        </is>
      </c>
      <c r="R106" t="n">
        <v>1</v>
      </c>
      <c r="S106" t="inlineStr">
        <is>
          <t>0</t>
        </is>
      </c>
    </row>
    <row r="107">
      <c r="A107" t="inlineStr">
        <is>
          <t>9</t>
        </is>
      </c>
      <c r="B107" t="n">
        <v>21974860</v>
      </c>
      <c r="C107" t="inlineStr">
        <is>
          <t>C</t>
        </is>
      </c>
      <c r="D107" t="inlineStr">
        <is>
          <t>A</t>
        </is>
      </c>
      <c r="E107" t="inlineStr">
        <is>
          <t>182414</t>
        </is>
      </c>
      <c r="F107">
        <f>HYPERLINK("https://www.ncbi.nlm.nih.gov/clinvar/variation/182414/","ClinVarDB")</f>
        <v/>
      </c>
      <c r="G107" t="inlineStr">
        <is>
          <t>criteria_provided|_multiple_submitters|_no_conflicts</t>
        </is>
      </c>
      <c r="H107" t="inlineStr">
        <is>
          <t>Cutaneous_malignant_melanoma_2|Melanoma_and_neural_system_tumor_syndrome|Melanoma-pancreatic_cancer_syndrome|Hereditary_cancer-predisposing_syndrome|Hereditary_melanoma|not_provided</t>
        </is>
      </c>
      <c r="I107" t="inlineStr">
        <is>
          <t>Pathogenic</t>
        </is>
      </c>
      <c r="J107" t="inlineStr">
        <is>
          <t>CDKN2A</t>
        </is>
      </c>
      <c r="K107" t="inlineStr">
        <is>
          <t>regulatory_region_variant|intron_variant|TF_binding_site_variant|5_prime_UTR_variant|intron_variant&amp;NMD_transcript_variant</t>
        </is>
      </c>
      <c r="L107" t="inlineStr"/>
      <c r="M107" t="inlineStr">
        <is>
          <t>ENST00000446177.1:c.-34G&gt;T|ENST00000530628.2:c.194-3653G&gt;T||ENST00000361570.3:c.317-3653G&gt;T|NM_001363763.2:c.-3-3653G&gt;T|ENST00000494262.1:c.-3-3653G&gt;T|ENST00000498628.2:c.-3-3653G&gt;T|ENST00000404796.2:c.348-54572C&gt;A|NM_001195132.1:c.-34G&gt;T|ENST00000498124.1:c.-34G&gt;T|NM_058195.3:c.194-3653G&gt;T|ENST00000304494.5:c.-34G&gt;T|NM_000077.4:c.-34G&gt;T|ENST00000579755.1:c.194-3653G&gt;T</t>
        </is>
      </c>
      <c r="N107" t="inlineStr">
        <is>
          <t>4.333279866841622e-05</t>
        </is>
      </c>
      <c r="O107" t="n">
        <v>3</v>
      </c>
      <c r="P107" t="inlineStr">
        <is>
          <t>0</t>
        </is>
      </c>
      <c r="Q107" t="inlineStr">
        <is>
          <t>3.1879601010587066e-05</t>
        </is>
      </c>
      <c r="R107" t="n">
        <v>1</v>
      </c>
      <c r="S107" t="inlineStr">
        <is>
          <t>0</t>
        </is>
      </c>
    </row>
    <row r="108">
      <c r="A108" t="inlineStr">
        <is>
          <t>9</t>
        </is>
      </c>
      <c r="B108" t="n">
        <v>21968346</v>
      </c>
      <c r="C108" t="inlineStr">
        <is>
          <t>T</t>
        </is>
      </c>
      <c r="D108" t="inlineStr">
        <is>
          <t>C</t>
        </is>
      </c>
      <c r="E108" t="inlineStr">
        <is>
          <t>406715</t>
        </is>
      </c>
      <c r="F108">
        <f>HYPERLINK("https://www.ncbi.nlm.nih.gov/clinvar/variation/406715/","ClinVarDB")</f>
        <v/>
      </c>
      <c r="G108" t="inlineStr">
        <is>
          <t>criteria_provided|_multiple_submitters|_no_conflicts</t>
        </is>
      </c>
      <c r="H108" t="inlineStr">
        <is>
          <t>Hereditary_cancer-predisposing_syndrome|Hereditary_melanoma|not_provided</t>
        </is>
      </c>
      <c r="I108" t="inlineStr">
        <is>
          <t>Pathogenic/Likely_pathogenic</t>
        </is>
      </c>
      <c r="J108" t="inlineStr">
        <is>
          <t>CDKN2A</t>
        </is>
      </c>
      <c r="K108" t="inlineStr">
        <is>
          <t>intron_variant|intron_variant&amp;NMD_transcript_variant</t>
        </is>
      </c>
      <c r="L108" t="inlineStr"/>
      <c r="M108" t="inlineStr">
        <is>
          <t>ENST00000380151.3:c.*381-105A&gt;G|ENST00000578845.2:c.305-105A&gt;G|ENST00000404796.2:c.348-61086T&gt;C|ENST00000579122.1:c.384-105A&gt;G|ENST00000494262.1:c.305-105A&gt;G|ENST00000498628.2:c.305-105A&gt;G|NM_058195.3:c.*102-105A&gt;G|ENST00000530628.2:c.*28-105A&gt;G|ENST00000579755.1:c.*102-105A&gt;G|ENST00000361570.3:c.*102-105A&gt;G|ENST00000304494.5:c.458-105A&gt;G|NM_001363763.2:c.305-105A&gt;G|ENST00000498124.1:c.*151-105A&gt;G|NM_001195132.1:c.*151-105A&gt;G|NM_058197.4:c.*381-105A&gt;G|NM_000077.4:c.458-105A&gt;G</t>
        </is>
      </c>
      <c r="N108" t="inlineStr"/>
      <c r="O108" t="inlineStr"/>
      <c r="P108" t="inlineStr"/>
      <c r="Q108" t="inlineStr"/>
      <c r="R108" t="inlineStr"/>
      <c r="S108" t="inlineStr"/>
    </row>
    <row r="109">
      <c r="A109" t="inlineStr">
        <is>
          <t>9</t>
        </is>
      </c>
      <c r="B109" t="n">
        <v>21971020</v>
      </c>
      <c r="C109" t="inlineStr">
        <is>
          <t>A</t>
        </is>
      </c>
      <c r="D109" t="inlineStr">
        <is>
          <t>AGAC</t>
        </is>
      </c>
      <c r="E109" t="inlineStr">
        <is>
          <t>183759</t>
        </is>
      </c>
      <c r="F109">
        <f>HYPERLINK("https://www.ncbi.nlm.nih.gov/clinvar/variation/183759/","ClinVarDB")</f>
        <v/>
      </c>
      <c r="G109" t="inlineStr">
        <is>
          <t>criteria_provided|_multiple_submitters|_no_conflicts</t>
        </is>
      </c>
      <c r="H109" t="inlineStr">
        <is>
          <t>Hereditary_cancer-predisposing_syndrome|Hereditary_melanoma|not_provided</t>
        </is>
      </c>
      <c r="I109" t="inlineStr">
        <is>
          <t>Pathogenic/Likely_pathogenic</t>
        </is>
      </c>
      <c r="J109" t="inlineStr">
        <is>
          <t>CDKN2A</t>
        </is>
      </c>
      <c r="K109" t="inlineStr">
        <is>
          <t>inframe_insertion|3_prime_UTR_variant|non_coding_transcript_exon_variant|3_prime_UTR_variant&amp;NMD_transcript_variant|intron_variant&amp;NMD_transcript_variant</t>
        </is>
      </c>
      <c r="L109" t="inlineStr">
        <is>
          <t>|NP_001350692.1:p.Arg61dup|ENSP00000467857.1:p.Arg61dup|NP_478102.2:p.Ser127dup|ENSP00000464202.1:p.Arg112dup|ENSP00000466887.1:p.Arg61dup|ENSP00000467390.1:p.Arg61dup|ENSP00000464952.1:p.Arg61dup|ENSP00000432664.2:p.Ser127dup|ENSP00000462950.1:p.Ser127dup|NP_000068.1:p.Arg112dup|ENSP00000394932.1:p.Arg112dup|ENSP00000307101.5:p.Arg112dup|ENSP00000468510.1:p.Arg61dup|NP_001182061.1:p.Arg112dup|ENSP00000418915.1:p.Arg112dup|ENSP00000355153.3:p.Ser168dup</t>
        </is>
      </c>
      <c r="M109" t="inlineStr">
        <is>
          <t>ENST00000446177.1:c.335_337dup|ENST00000380151.3:c.*258_*260dup|ENST00000498124.1:c.335_337dup|ENST00000530628.2:c.378_380dup|ENST00000380150.2:n.309_311dup|ENST00000579122.1:c.335_337dup|ENST00000578845.2:c.182_184dup|ENST00000494262.1:c.182_184dup|ENST00000479692.2:c.182_184dup|ENST00000304494.5:c.335_337dup|NM_058197.4:c.*258_*260dup|NM_000077.4:c.335_337dup|ENST00000497750.1:c.182_184dup|ENST00000579755.1:c.378_380dup|ENST00000404796.2:c.348-58410_348-58408dup|NM_001363763.2:c.182_184dup|NM_001195132.1:c.335_337dup|NM_058195.3:c.378_380dup|ENST00000498628.2:c.182_184dup|ENST00000361570.3:c.501_503dup</t>
        </is>
      </c>
      <c r="N109" t="inlineStr">
        <is>
          <t>1.2582900126290042e-05</t>
        </is>
      </c>
      <c r="O109" t="n">
        <v>2</v>
      </c>
      <c r="P109" t="inlineStr">
        <is>
          <t>0</t>
        </is>
      </c>
      <c r="Q109" t="inlineStr"/>
      <c r="R109" t="inlineStr"/>
      <c r="S109" t="inlineStr"/>
    </row>
    <row r="110">
      <c r="A110" t="inlineStr">
        <is>
          <t>17</t>
        </is>
      </c>
      <c r="B110" t="n">
        <v>59793309</v>
      </c>
      <c r="C110" t="inlineStr">
        <is>
          <t>T</t>
        </is>
      </c>
      <c r="D110" t="inlineStr">
        <is>
          <t>TA</t>
        </is>
      </c>
      <c r="E110" t="inlineStr">
        <is>
          <t>128174</t>
        </is>
      </c>
      <c r="F110">
        <f>HYPERLINK("https://www.ncbi.nlm.nih.gov/clinvar/variation/128174/","ClinVarDB")</f>
        <v/>
      </c>
      <c r="G110" t="inlineStr">
        <is>
          <t>criteria_provided|_multiple_submitters|_no_conflicts</t>
        </is>
      </c>
      <c r="H110" t="inlineStr">
        <is>
          <t>Malignant_tumor_of_breast|Fanconi_anemia|_complementation_group_J|Hereditary_cancer-predisposing_syndrome|Familial_cancer_of_breast|not_provided</t>
        </is>
      </c>
      <c r="I110" t="inlineStr">
        <is>
          <t>Pathogenic/Likely_pathogenic</t>
        </is>
      </c>
      <c r="J110" t="inlineStr">
        <is>
          <t>BRIP1</t>
        </is>
      </c>
      <c r="K110" t="inlineStr">
        <is>
          <t>splice_region_variant&amp;intron_variant</t>
        </is>
      </c>
      <c r="L110" t="inlineStr"/>
      <c r="M110" t="inlineStr">
        <is>
          <t>ENST00000259008.2:c.2492+2dup|NM_032043.3:c.2492+2dup|ENST00000577598.1:c.2492+2dup</t>
        </is>
      </c>
      <c r="N110" t="inlineStr">
        <is>
          <t>1.605830038897693e-05</t>
        </is>
      </c>
      <c r="O110" t="n">
        <v>0</v>
      </c>
      <c r="P110" t="inlineStr">
        <is>
          <t>0</t>
        </is>
      </c>
      <c r="Q110" t="inlineStr">
        <is>
          <t>3.188370101270266e-05</t>
        </is>
      </c>
      <c r="R110" t="n">
        <v>1</v>
      </c>
      <c r="S110" t="inlineStr">
        <is>
          <t>0</t>
        </is>
      </c>
    </row>
    <row r="111">
      <c r="A111" t="inlineStr">
        <is>
          <t>13</t>
        </is>
      </c>
      <c r="B111" t="n">
        <v>32954050</v>
      </c>
      <c r="C111" t="inlineStr">
        <is>
          <t>G</t>
        </is>
      </c>
      <c r="D111" t="inlineStr">
        <is>
          <t>A</t>
        </is>
      </c>
      <c r="E111" t="inlineStr">
        <is>
          <t>38215</t>
        </is>
      </c>
      <c r="F111">
        <f>HYPERLINK("https://www.ncbi.nlm.nih.gov/clinvar/variation/38215/","ClinVarDB")</f>
        <v/>
      </c>
      <c r="G111" t="inlineStr">
        <is>
          <t>criteria_provided|_multiple_submitters|_no_conflicts</t>
        </is>
      </c>
      <c r="H111" t="inlineStr">
        <is>
          <t>Tracheoesophageal_fistula|Medulloblastoma|Breast_carcinoma|Malignant_tumor_of_prostate|Hereditary_breast_and_ovarian_cancer_syndrome|Wilms_tumor_1|Breast-ovarian_cancer|_familial_1|Fanconi_anemia|_complementation_group_D1|Breast-ovarian_cancer|_familial_2|Glioma_susceptibility_3|Pancreatic_cancer_2|Hereditary_cancer-predisposing_syndrome|Familial_cancer_of_breast|not_provided</t>
        </is>
      </c>
      <c r="I111" t="inlineStr">
        <is>
          <t>Pathogenic</t>
        </is>
      </c>
      <c r="J111" t="inlineStr">
        <is>
          <t>BRCA2</t>
        </is>
      </c>
      <c r="K111" t="inlineStr">
        <is>
          <t>splice_region_variant&amp;synonymous_variant|splice_region_variant&amp;synonymous_variant&amp;NMD_transcript_variant</t>
        </is>
      </c>
      <c r="L111" t="inlineStr">
        <is>
          <t>NP_000050.2:p.Pro3039=|ENSP00000439902.1:p.Pro3039=|ENSP00000369497.3:p.Pro3039=|ENSP00000434898.1:p.Pro25=</t>
        </is>
      </c>
      <c r="M111" t="inlineStr">
        <is>
          <t>ENST00000380152.3:c.9117G&gt;A|ENST00000544455.1:c.9117G&gt;A|NM_000059.3:c.9117G&gt;A|ENST00000470094.1:c.75G&gt;A</t>
        </is>
      </c>
      <c r="N111" t="inlineStr">
        <is>
          <t>4.0261202229885384e-06</t>
        </is>
      </c>
      <c r="O111" t="n">
        <v>0</v>
      </c>
      <c r="P111" t="inlineStr">
        <is>
          <t>0</t>
        </is>
      </c>
      <c r="Q111" t="inlineStr"/>
      <c r="R111" t="inlineStr"/>
      <c r="S111" t="inlineStr"/>
    </row>
    <row r="112">
      <c r="A112" t="inlineStr">
        <is>
          <t>13</t>
        </is>
      </c>
      <c r="B112" t="n">
        <v>32950928</v>
      </c>
      <c r="C112" t="inlineStr">
        <is>
          <t>G</t>
        </is>
      </c>
      <c r="D112" t="inlineStr">
        <is>
          <t>A</t>
        </is>
      </c>
      <c r="E112" t="inlineStr">
        <is>
          <t>52671</t>
        </is>
      </c>
      <c r="F112">
        <f>HYPERLINK("https://www.ncbi.nlm.nih.gov/clinvar/variation/52671/","ClinVarDB")</f>
        <v/>
      </c>
      <c r="G112" t="inlineStr">
        <is>
          <t>criteria_provided|_multiple_submitters|_no_conflicts</t>
        </is>
      </c>
      <c r="H112" t="inlineStr">
        <is>
          <t>Hereditary_breast_and_ovarian_cancer_syndrome|Breast-ovarian_cancer|_familial_2|Hereditary_cancer-predisposing_syndrome|not_provided</t>
        </is>
      </c>
      <c r="I112" t="inlineStr">
        <is>
          <t>Pathogenic/Likely_pathogenic</t>
        </is>
      </c>
      <c r="J112" t="inlineStr">
        <is>
          <t>BRCA2</t>
        </is>
      </c>
      <c r="K112" t="inlineStr">
        <is>
          <t>splice_region_variant&amp;synonymous_variant|splice_region_variant&amp;3_prime_UTR_variant&amp;NMD_transcript_variant</t>
        </is>
      </c>
      <c r="L112" t="inlineStr">
        <is>
          <t>|NP_000050.2:p.Glu2918=|ENSP00000439902.1:p.Glu2918=|ENSP00000369497.3:p.Glu2918=</t>
        </is>
      </c>
      <c r="M112" t="inlineStr">
        <is>
          <t>ENST00000544455.1:c.8754G&gt;A|NM_000059.3:c.8754G&gt;A|ENST00000380152.3:c.8754G&gt;A|ENST00000528762.1:c.*121G&gt;A</t>
        </is>
      </c>
      <c r="N112" t="inlineStr">
        <is>
          <t>3.984830073022749e-06</t>
        </is>
      </c>
      <c r="O112" t="n">
        <v>1</v>
      </c>
      <c r="P112" t="inlineStr">
        <is>
          <t>0</t>
        </is>
      </c>
      <c r="Q112" t="inlineStr"/>
      <c r="R112" t="inlineStr"/>
      <c r="S112" t="inlineStr"/>
    </row>
    <row r="113">
      <c r="A113" t="inlineStr">
        <is>
          <t>13</t>
        </is>
      </c>
      <c r="B113" t="n">
        <v>32950931</v>
      </c>
      <c r="C113" t="inlineStr">
        <is>
          <t>G</t>
        </is>
      </c>
      <c r="D113" t="inlineStr">
        <is>
          <t>C</t>
        </is>
      </c>
      <c r="E113" t="inlineStr">
        <is>
          <t>52668</t>
        </is>
      </c>
      <c r="F113">
        <f>HYPERLINK("https://www.ncbi.nlm.nih.gov/clinvar/variation/52668/","ClinVarDB")</f>
        <v/>
      </c>
      <c r="G113" t="inlineStr">
        <is>
          <t>criteria_provided|_multiple_submitters|_no_conflicts</t>
        </is>
      </c>
      <c r="H113" t="inlineStr">
        <is>
          <t>Hereditary_breast_and_ovarian_cancer_syndrome|Breast-ovarian_cancer|_familial_2|Hereditary_cancer-predisposing_syndrome|not_provided</t>
        </is>
      </c>
      <c r="I113" t="inlineStr">
        <is>
          <t>Pathogenic/Likely_pathogenic</t>
        </is>
      </c>
      <c r="J113" t="inlineStr">
        <is>
          <t>BRCA2</t>
        </is>
      </c>
      <c r="K113" t="inlineStr">
        <is>
          <t>splice_region_variant&amp;intron_variant|splice_region_variant&amp;intron_variant&amp;NMD_transcript_variant</t>
        </is>
      </c>
      <c r="L113" t="inlineStr"/>
      <c r="M113" t="inlineStr">
        <is>
          <t>ENST00000528762.1:c.*121+3G&gt;C|NM_000059.3:c.8754+3G&gt;C|ENST00000544455.1:c.8754+3G&gt;C|ENST00000380152.3:c.8754+3G&gt;C</t>
        </is>
      </c>
      <c r="N113" t="inlineStr"/>
      <c r="O113" t="inlineStr"/>
      <c r="P113" t="inlineStr"/>
      <c r="Q113" t="inlineStr"/>
      <c r="R113" t="inlineStr"/>
      <c r="S113" t="inlineStr"/>
    </row>
    <row r="114">
      <c r="A114" t="inlineStr">
        <is>
          <t>13</t>
        </is>
      </c>
      <c r="B114" t="n">
        <v>32950933</v>
      </c>
      <c r="C114" t="inlineStr">
        <is>
          <t>G</t>
        </is>
      </c>
      <c r="D114" t="inlineStr">
        <is>
          <t>A</t>
        </is>
      </c>
      <c r="E114" t="inlineStr">
        <is>
          <t>38182</t>
        </is>
      </c>
      <c r="F114">
        <f>HYPERLINK("https://www.ncbi.nlm.nih.gov/clinvar/variation/38182/","ClinVarDB")</f>
        <v/>
      </c>
      <c r="G114" t="inlineStr">
        <is>
          <t>criteria_provided|_multiple_submitters|_no_conflicts</t>
        </is>
      </c>
      <c r="H114" t="inlineStr">
        <is>
          <t>Breast-ovarian_cancer|_familial_2|Hereditary_cancer-predisposing_syndrome|not_provided</t>
        </is>
      </c>
      <c r="I114" t="inlineStr">
        <is>
          <t>Pathogenic/Likely_pathogenic</t>
        </is>
      </c>
      <c r="J114" t="inlineStr">
        <is>
          <t>BRCA2</t>
        </is>
      </c>
      <c r="K114" t="inlineStr">
        <is>
          <t>splice_region_variant&amp;intron_variant|splice_region_variant&amp;intron_variant&amp;NMD_transcript_variant</t>
        </is>
      </c>
      <c r="L114" t="inlineStr"/>
      <c r="M114" t="inlineStr">
        <is>
          <t>ENST00000528762.1:c.*121+5G&gt;A|ENST00000544455.1:c.8754+5G&gt;A|NM_000059.3:c.8754+5G&gt;A|ENST00000380152.3:c.8754+5G&gt;A</t>
        </is>
      </c>
      <c r="N114" t="inlineStr"/>
      <c r="O114" t="inlineStr"/>
      <c r="P114" t="inlineStr"/>
      <c r="Q114" t="inlineStr"/>
      <c r="R114" t="inlineStr"/>
      <c r="S114" t="inlineStr"/>
    </row>
    <row r="115">
      <c r="A115" t="inlineStr">
        <is>
          <t>13</t>
        </is>
      </c>
      <c r="B115" t="n">
        <v>32900754</v>
      </c>
      <c r="C115" t="inlineStr">
        <is>
          <t>A</t>
        </is>
      </c>
      <c r="D115" t="inlineStr">
        <is>
          <t>G</t>
        </is>
      </c>
      <c r="E115" t="inlineStr">
        <is>
          <t>52056</t>
        </is>
      </c>
      <c r="F115">
        <f>HYPERLINK("https://www.ncbi.nlm.nih.gov/clinvar/variation/52056/","ClinVarDB")</f>
        <v/>
      </c>
      <c r="G115" t="inlineStr">
        <is>
          <t>criteria_provided|_multiple_submitters|_no_conflicts</t>
        </is>
      </c>
      <c r="H115" t="inlineStr">
        <is>
          <t>Hereditary_breast_and_ovarian_cancer_syndrome|Breast-ovarian_cancer|_familial_2</t>
        </is>
      </c>
      <c r="I115" t="inlineStr">
        <is>
          <t>Pathogenic/Likely_pathogenic</t>
        </is>
      </c>
      <c r="J115" t="inlineStr">
        <is>
          <t>BRCA2</t>
        </is>
      </c>
      <c r="K115" t="inlineStr">
        <is>
          <t>splice_region_variant&amp;intron_variant</t>
        </is>
      </c>
      <c r="L115" t="inlineStr"/>
      <c r="M115" t="inlineStr">
        <is>
          <t>ENST00000530893.2:c.262+4A&gt;G|NM_000059.3:c.631+4A&gt;G|ENST00000544455.1:c.631+4A&gt;G|ENST00000380152.3:c.631+4A&gt;G</t>
        </is>
      </c>
      <c r="N115" t="inlineStr"/>
      <c r="O115" t="inlineStr"/>
      <c r="P115" t="inlineStr"/>
      <c r="Q115" t="inlineStr"/>
      <c r="R115" t="inlineStr"/>
      <c r="S115" t="inlineStr"/>
    </row>
    <row r="116">
      <c r="A116" t="inlineStr">
        <is>
          <t>13</t>
        </is>
      </c>
      <c r="B116" t="n">
        <v>32944697</v>
      </c>
      <c r="C116" t="inlineStr">
        <is>
          <t>A</t>
        </is>
      </c>
      <c r="D116" t="inlineStr">
        <is>
          <t>G</t>
        </is>
      </c>
      <c r="E116" t="inlineStr">
        <is>
          <t>52603</t>
        </is>
      </c>
      <c r="F116">
        <f>HYPERLINK("https://www.ncbi.nlm.nih.gov/clinvar/variation/52603/","ClinVarDB")</f>
        <v/>
      </c>
      <c r="G116" t="inlineStr">
        <is>
          <t>criteria_provided|_multiple_submitters|_no_conflicts</t>
        </is>
      </c>
      <c r="H116" t="inlineStr">
        <is>
          <t>Hearing_impairment|Neurodevelopmental_delay|Cerebral_palsy|Hereditary_breast_and_ovarian_cancer_syndrome|Malignant_tumor_of_breast|Breast-ovarian_cancer|_familial_2|Hereditary_cancer-predisposing_syndrome|not_provided</t>
        </is>
      </c>
      <c r="I116" t="inlineStr">
        <is>
          <t>Pathogenic/Likely_pathogenic</t>
        </is>
      </c>
      <c r="J116" t="inlineStr">
        <is>
          <t>BRCA2</t>
        </is>
      </c>
      <c r="K116" t="inlineStr">
        <is>
          <t>splice_region_variant&amp;intron_variant</t>
        </is>
      </c>
      <c r="L116" t="inlineStr"/>
      <c r="M116" t="inlineStr">
        <is>
          <t>NM_000059.3:c.8487+3A&gt;G|ENST00000380152.3:c.8487+3A&gt;G|ENST00000544455.1:c.8487+3A&gt;G</t>
        </is>
      </c>
      <c r="N116" t="inlineStr"/>
      <c r="O116" t="inlineStr"/>
      <c r="P116" t="inlineStr"/>
      <c r="Q116" t="inlineStr"/>
      <c r="R116" t="inlineStr"/>
      <c r="S116" t="inlineStr"/>
    </row>
    <row r="117">
      <c r="A117" t="inlineStr">
        <is>
          <t>17</t>
        </is>
      </c>
      <c r="B117" t="n">
        <v>41201130</v>
      </c>
      <c r="C117" t="inlineStr">
        <is>
          <t>ATACT</t>
        </is>
      </c>
      <c r="D117" t="inlineStr">
        <is>
          <t>A</t>
        </is>
      </c>
      <c r="E117" t="inlineStr">
        <is>
          <t>531285</t>
        </is>
      </c>
      <c r="F117">
        <f>HYPERLINK("https://www.ncbi.nlm.nih.gov/clinvar/variation/531285/","ClinVarDB")</f>
        <v/>
      </c>
      <c r="G117" t="inlineStr">
        <is>
          <t>criteria_provided|_multiple_submitters|_no_conflicts</t>
        </is>
      </c>
      <c r="H117" t="inlineStr">
        <is>
          <t>Hereditary_breast_and_ovarian_cancer_syndrome|Breast-ovarian_cancer|_familial_1</t>
        </is>
      </c>
      <c r="I117" t="inlineStr">
        <is>
          <t>Pathogenic/Likely_pathogenic</t>
        </is>
      </c>
      <c r="J117" t="inlineStr">
        <is>
          <t>BRCA1</t>
        </is>
      </c>
      <c r="K117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117" t="inlineStr"/>
      <c r="M117" t="inlineStr">
        <is>
          <t>ENST00000461221.1:c.*5189+4_*5189+7del|NM_007298.3:c.2094+4_2094+7del|ENST00000491747.2:c.2094+4_2094+7del|NR_027676.2:n.5583+4_5583+7del|NM_007300.4:c.5469+4_5469+7del|NM_007297.4:c.5265+4_5265+7del|ENST00000493795.1:c.5265+4_5265+7del|ENST00000357654.3:c.5406+4_5406+7del|ENST00000346315.3:c.4689+4_4689+7del|ENST00000309486.4:c.4518+4_4518+7del|NM_007299.4:c.2021-1414_2021-1411del|ENST00000351666.3:c.1857+4_1857+7del|ENST00000591534.1:c.879+4_879+7del|ENST00000354071.3:c.4611+4_4611+7del|NM_007294.4:c.5406+4_5406+7del|ENST00000471181.2:c.5469+4_5469+7del|ENST00000352993.3:c.1980+4_1980+7del|ENST00000468300.1:c.2021-1414_2021-1411del|ENST00000586385.1:c.336+4_336+7del|ENST00000591849.1:c.105+4_105+7del</t>
        </is>
      </c>
      <c r="N117" t="inlineStr"/>
      <c r="O117" t="inlineStr"/>
      <c r="P117" t="inlineStr"/>
      <c r="Q117" t="inlineStr"/>
      <c r="R117" t="inlineStr"/>
      <c r="S117" t="inlineStr"/>
    </row>
    <row r="118">
      <c r="A118" t="inlineStr">
        <is>
          <t>17</t>
        </is>
      </c>
      <c r="B118" t="n">
        <v>41201133</v>
      </c>
      <c r="C118" t="inlineStr">
        <is>
          <t>C</t>
        </is>
      </c>
      <c r="D118" t="inlineStr">
        <is>
          <t>G</t>
        </is>
      </c>
      <c r="E118" t="inlineStr">
        <is>
          <t>55565</t>
        </is>
      </c>
      <c r="F118">
        <f>HYPERLINK("https://www.ncbi.nlm.nih.gov/clinvar/variation/55565/","ClinVarDB")</f>
        <v/>
      </c>
      <c r="G118" t="inlineStr">
        <is>
          <t>criteria_provided|_multiple_submitters|_no_conflicts</t>
        </is>
      </c>
      <c r="H118" t="inlineStr">
        <is>
          <t>Hereditary_breast_and_ovarian_cancer_syndrome|Breast-ovarian_cancer|_familial_1|Hereditary_cancer-predisposing_syndrome|not_provided</t>
        </is>
      </c>
      <c r="I118" t="inlineStr">
        <is>
          <t>Pathogenic/Likely_pathogenic</t>
        </is>
      </c>
      <c r="J118" t="inlineStr">
        <is>
          <t>BRCA1</t>
        </is>
      </c>
      <c r="K118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118" t="inlineStr"/>
      <c r="M118" t="inlineStr">
        <is>
          <t>ENST00000346315.3:c.4689+5G&gt;C|ENST00000351666.3:c.1857+5G&gt;C|ENST00000591849.1:c.105+5G&gt;C|NM_007298.3:c.2094+5G&gt;C|ENST00000357654.3:c.5406+5G&gt;C|ENST00000468300.1:c.2021-1413G&gt;C|ENST00000354071.3:c.4611+5G&gt;C|NM_007299.4:c.2021-1413G&gt;C|NR_027676.2:n.5583+5G&gt;C|ENST00000491747.2:c.2094+5G&gt;C|NM_007300.4:c.5469+5G&gt;C|ENST00000471181.2:c.5469+5G&gt;C|ENST00000591534.1:c.879+5G&gt;C|NM_007297.4:c.5265+5G&gt;C|ENST00000309486.4:c.4518+5G&gt;C|NM_007294.4:c.5406+5G&gt;C|ENST00000493795.1:c.5265+5G&gt;C|ENST00000352993.3:c.1980+5G&gt;C|ENST00000461221.1:c.*5189+5G&gt;C|ENST00000586385.1:c.336+5G&gt;C</t>
        </is>
      </c>
      <c r="N118" t="inlineStr"/>
      <c r="O118" t="inlineStr"/>
      <c r="P118" t="inlineStr"/>
      <c r="Q118" t="inlineStr"/>
      <c r="R118" t="inlineStr"/>
      <c r="S118" t="inlineStr"/>
    </row>
    <row r="119">
      <c r="A119" t="inlineStr">
        <is>
          <t>17</t>
        </is>
      </c>
      <c r="B119" t="n">
        <v>41201133</v>
      </c>
      <c r="C119" t="inlineStr">
        <is>
          <t>C</t>
        </is>
      </c>
      <c r="D119" t="inlineStr">
        <is>
          <t>T</t>
        </is>
      </c>
      <c r="E119" t="inlineStr">
        <is>
          <t>55564</t>
        </is>
      </c>
      <c r="F119">
        <f>HYPERLINK("https://www.ncbi.nlm.nih.gov/clinvar/variation/55564/","ClinVarDB")</f>
        <v/>
      </c>
      <c r="G119" t="inlineStr">
        <is>
          <t>criteria_provided|_multiple_submitters|_no_conflicts</t>
        </is>
      </c>
      <c r="H119" t="inlineStr">
        <is>
          <t>Breast-ovarian_cancer|_familial_1|not_provided</t>
        </is>
      </c>
      <c r="I119" t="inlineStr">
        <is>
          <t>Pathogenic</t>
        </is>
      </c>
      <c r="J119" t="inlineStr">
        <is>
          <t>BRCA1</t>
        </is>
      </c>
      <c r="K119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119" t="inlineStr"/>
      <c r="M119" t="inlineStr">
        <is>
          <t>ENST00000491747.2:c.2094+5G&gt;A|NM_007298.3:c.2094+5G&gt;A|NM_007294.4:c.5406+5G&gt;A|ENST00000352993.3:c.1980+5G&gt;A|ENST00000354071.3:c.4611+5G&gt;A|NM_007300.4:c.5469+5G&gt;A|NR_027676.2:n.5583+5G&gt;A|ENST00000591534.1:c.879+5G&gt;A|ENST00000461221.1:c.*5189+5G&gt;A|NM_007299.4:c.2021-1413G&gt;A|ENST00000346315.3:c.4689+5G&gt;A|ENST00000471181.2:c.5469+5G&gt;A|ENST00000351666.3:c.1857+5G&gt;A|ENST00000591849.1:c.105+5G&gt;A|ENST00000493795.1:c.5265+5G&gt;A|ENST00000309486.4:c.4518+5G&gt;A|ENST00000468300.1:c.2021-1413G&gt;A|ENST00000357654.3:c.5406+5G&gt;A|NM_007297.4:c.5265+5G&gt;A|ENST00000586385.1:c.336+5G&gt;A</t>
        </is>
      </c>
      <c r="N119" t="inlineStr"/>
      <c r="O119" t="inlineStr"/>
      <c r="P119" t="inlineStr"/>
      <c r="Q119" t="inlineStr"/>
      <c r="R119" t="inlineStr"/>
      <c r="S119" t="inlineStr"/>
    </row>
    <row r="120">
      <c r="A120" t="inlineStr">
        <is>
          <t>17</t>
        </is>
      </c>
      <c r="B120" t="n">
        <v>41201134</v>
      </c>
      <c r="C120" t="inlineStr">
        <is>
          <t>T</t>
        </is>
      </c>
      <c r="D120" t="inlineStr">
        <is>
          <t>C</t>
        </is>
      </c>
      <c r="E120" t="inlineStr">
        <is>
          <t>55563</t>
        </is>
      </c>
      <c r="F120">
        <f>HYPERLINK("https://www.ncbi.nlm.nih.gov/clinvar/variation/55563/","ClinVarDB")</f>
        <v/>
      </c>
      <c r="G120" t="inlineStr">
        <is>
          <t>criteria_provided|_multiple_submitters|_no_conflicts</t>
        </is>
      </c>
      <c r="H120" t="inlineStr">
        <is>
          <t>Breast-ovarian_cancer|_familial_1|Hereditary_cancer-predisposing_syndrome|not_provided</t>
        </is>
      </c>
      <c r="I120" t="inlineStr">
        <is>
          <t>Pathogenic/Likely_pathogenic</t>
        </is>
      </c>
      <c r="J120" t="inlineStr">
        <is>
          <t>BRCA1</t>
        </is>
      </c>
      <c r="K120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120" t="inlineStr"/>
      <c r="M120" t="inlineStr">
        <is>
          <t>NM_007297.4:c.5265+4A&gt;G|NM_007294.4:c.5406+4A&gt;G|ENST00000461221.1:c.*5189+4A&gt;G|ENST00000591849.1:c.105+4A&gt;G|ENST00000591534.1:c.879+4A&gt;G|ENST00000357654.3:c.5406+4A&gt;G|ENST00000309486.4:c.4518+4A&gt;G|ENST00000354071.3:c.4611+4A&gt;G|ENST00000351666.3:c.1857+4A&gt;G|ENST00000491747.2:c.2094+4A&gt;G|NR_027676.2:n.5583+4A&gt;G|ENST00000468300.1:c.2021-1414A&gt;G|ENST00000352993.3:c.1980+4A&gt;G|ENST00000586385.1:c.336+4A&gt;G|NM_007298.3:c.2094+4A&gt;G|ENST00000493795.1:c.5265+4A&gt;G|ENST00000471181.2:c.5469+4A&gt;G|NM_007300.4:c.5469+4A&gt;G|NM_007299.4:c.2021-1414A&gt;G|ENST00000346315.3:c.4689+4A&gt;G</t>
        </is>
      </c>
      <c r="N120" t="inlineStr"/>
      <c r="O120" t="inlineStr"/>
      <c r="P120" t="inlineStr"/>
      <c r="Q120" t="inlineStr"/>
      <c r="R120" t="inlineStr"/>
      <c r="S120" t="inlineStr"/>
    </row>
    <row r="121">
      <c r="A121" t="inlineStr">
        <is>
          <t>17</t>
        </is>
      </c>
      <c r="B121" t="n">
        <v>41256281</v>
      </c>
      <c r="C121" t="inlineStr">
        <is>
          <t>G</t>
        </is>
      </c>
      <c r="D121" t="inlineStr">
        <is>
          <t>C</t>
        </is>
      </c>
      <c r="E121" t="inlineStr">
        <is>
          <t>37501</t>
        </is>
      </c>
      <c r="F121">
        <f>HYPERLINK("https://www.ncbi.nlm.nih.gov/clinvar/variation/37501/","ClinVarDB")</f>
        <v/>
      </c>
      <c r="G121" t="inlineStr">
        <is>
          <t>criteria_provided|_multiple_submitters|_no_conflicts</t>
        </is>
      </c>
      <c r="H121" t="inlineStr">
        <is>
          <t>Hereditary_breast_and_ovarian_cancer_syndrome|Breast-ovarian_cancer|_familial_1|Hereditary_cancer-predisposing_syndrome|not_provided</t>
        </is>
      </c>
      <c r="I121" t="inlineStr">
        <is>
          <t>Pathogenic/Likely_pathogenic</t>
        </is>
      </c>
      <c r="J121" t="inlineStr">
        <is>
          <t>BRCA1</t>
        </is>
      </c>
      <c r="K121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121" t="inlineStr"/>
      <c r="M121" t="inlineStr">
        <is>
          <t>ENST00000351666.3:c.302-3C&gt;G|ENST00000346315.3:c.302-3C&gt;G|NM_007294.4:c.302-3C&gt;G|ENST00000497488.1:c.-218-9404C&gt;G|ENST00000357654.3:c.302-3C&gt;G|ENST00000461221.1:c.*88-3C&gt;G|ENST00000476777.1:c.302-3C&gt;G|ENST00000309486.4:c.-587-3C&gt;G|ENST00000586385.1:c.4+20918C&gt;G|ENST00000352993.3:c.302-3C&gt;G|ENST00000470026.1:c.302-3C&gt;G|ENST00000468300.1:c.302-3C&gt;G|ENST00000477152.1:c.224-3C&gt;G|NM_007300.4:c.302-3C&gt;G|NR_027676.2:n.482-3C&gt;G|ENST00000494123.1:c.302-3C&gt;G|ENST00000489037.1:c.224-3C&gt;G|NM_007299.4:c.302-3C&gt;G|ENST00000478531.1:c.302-3C&gt;G|ENST00000493795.1:c.161-3C&gt;G|NM_007297.4:c.161-3C&gt;G|ENST00000492859.1:c.*238-3C&gt;G|NM_007298.3:c.302-3C&gt;G|ENST00000354071.3:c.302-3C&gt;G|ENST00000591534.1:c.-44+21007C&gt;G|ENST00000471181.2:c.302-3C&gt;G|ENST00000491747.2:c.302-3C&gt;G|ENST00000467274.1:n.366-3C&gt;G|ENST00000461798.1:c.*88-3C&gt;G|ENST00000487825.1:c.50-3C&gt;G|ENST00000591849.1:c.-99+21007C&gt;G|ENST00000493919.1:c.161-3C&gt;G|ENST00000473961.1:c.25-3C&gt;G|ENST00000484087.1:c.50-3C&gt;G</t>
        </is>
      </c>
      <c r="N121" t="inlineStr"/>
      <c r="O121" t="inlineStr"/>
      <c r="P121" t="inlineStr"/>
      <c r="Q121" t="inlineStr"/>
      <c r="R121" t="inlineStr"/>
      <c r="S121" t="inlineStr"/>
    </row>
    <row r="122">
      <c r="A122" t="inlineStr">
        <is>
          <t>17</t>
        </is>
      </c>
      <c r="B122" t="n">
        <v>41215886</v>
      </c>
      <c r="C122" t="inlineStr">
        <is>
          <t>C</t>
        </is>
      </c>
      <c r="D122" t="inlineStr">
        <is>
          <t>T</t>
        </is>
      </c>
      <c r="E122" t="inlineStr">
        <is>
          <t>55427</t>
        </is>
      </c>
      <c r="F122">
        <f>HYPERLINK("https://www.ncbi.nlm.nih.gov/clinvar/variation/55427/","ClinVarDB")</f>
        <v/>
      </c>
      <c r="G122" t="inlineStr">
        <is>
          <t>criteria_provided|_multiple_submitters|_no_conflicts</t>
        </is>
      </c>
      <c r="H122" t="inlineStr">
        <is>
          <t>Hereditary_breast_and_ovarian_cancer_syndrome|Breast-ovarian_cancer|_familial_1|Hereditary_cancer-predisposing_syndrome</t>
        </is>
      </c>
      <c r="I122" t="inlineStr">
        <is>
          <t>Pathogenic/Likely_pathogenic</t>
        </is>
      </c>
      <c r="J122" t="inlineStr">
        <is>
          <t>BRCA1</t>
        </is>
      </c>
      <c r="K122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122" t="inlineStr"/>
      <c r="M122" t="inlineStr">
        <is>
          <t>ENST00000357654.3:c.5152+5G&gt;A|ENST00000309486.4:c.4264+5G&gt;A|NM_007298.3:c.1840+5G&gt;A|ENST00000478531.1:c.1840+5G&gt;A|ENST00000491747.2:c.1840+5G&gt;A|ENST00000346315.3:c.4435+5G&gt;A|ENST00000493919.1:c.1702+5G&gt;A|ENST00000591849.1:c.-98-13679G&gt;A|NM_007297.4:c.5011+5G&gt;A|NR_027676.2:n.5329+5G&gt;A|NM_007300.4:c.5215+5G&gt;A|NM_007294.4:c.5152+5G&gt;A|ENST00000468300.1:c.1840+5G&gt;A|ENST00000493795.1:c.5011+5G&gt;A|ENST00000471181.2:c.5215+5G&gt;A|ENST00000351666.3:c.1603+5G&gt;A|NM_007299.4:c.1840+5G&gt;A|ENST00000354071.3:c.4358-496G&gt;A|ENST00000461221.1:c.*4935+5G&gt;A|ENST00000586385.1:c.82+5G&gt;A|ENST00000352993.3:c.1726+5G&gt;A|ENST00000484087.1:c.1465+5G&gt;A|ENST00000591534.1:c.625+5G&gt;A</t>
        </is>
      </c>
      <c r="N122" t="inlineStr"/>
      <c r="O122" t="inlineStr"/>
      <c r="P122" t="inlineStr"/>
      <c r="Q122" t="inlineStr"/>
      <c r="R122" t="inlineStr"/>
      <c r="S122" t="inlineStr"/>
    </row>
    <row r="123">
      <c r="A123" t="inlineStr">
        <is>
          <t>17</t>
        </is>
      </c>
      <c r="B123" t="n">
        <v>41222939</v>
      </c>
      <c r="C123" t="inlineStr">
        <is>
          <t>A</t>
        </is>
      </c>
      <c r="D123" t="inlineStr">
        <is>
          <t>G</t>
        </is>
      </c>
      <c r="E123" t="inlineStr">
        <is>
          <t>37620</t>
        </is>
      </c>
      <c r="F123">
        <f>HYPERLINK("https://www.ncbi.nlm.nih.gov/clinvar/variation/37620/","ClinVarDB")</f>
        <v/>
      </c>
      <c r="G123" t="inlineStr">
        <is>
          <t>criteria_provided|_multiple_submitters|_no_conflicts</t>
        </is>
      </c>
      <c r="H123" t="inlineStr">
        <is>
          <t>Hereditary_breast_and_ovarian_cancer_syndrome|Breast-ovarian_cancer|_familial_1|Hereditary_cancer-predisposing_syndrome|Breast_and/or_ovarian_cancer|not_provided</t>
        </is>
      </c>
      <c r="I123" t="inlineStr">
        <is>
          <t>Pathogenic/Likely_pathogenic</t>
        </is>
      </c>
      <c r="J123" t="inlineStr">
        <is>
          <t>BRCA1</t>
        </is>
      </c>
      <c r="K123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123" t="inlineStr"/>
      <c r="M123" t="inlineStr">
        <is>
          <t>ENST00000493919.1:c.1536+6T&gt;C|ENST00000472490.1:n.139+6T&gt;C|ENST00000468300.1:c.1674+6T&gt;C|NR_027676.2:n.5163+6T&gt;C|ENST00000493795.1:c.4845+6T&gt;C|ENST00000354071.3:c.4358-7549T&gt;C|ENST00000352993.3:c.1560+6T&gt;C|ENST00000351666.3:c.1437+6T&gt;C|ENST00000591534.1:c.459+6T&gt;C|NM_007300.4:c.5049+6T&gt;C|ENST00000591849.1:c.-98-20732T&gt;C|ENST00000478531.1:c.1674+6T&gt;C|NM_007299.4:c.1674+6T&gt;C|ENST00000484087.1:c.1299+6T&gt;C|ENST00000357654.3:c.4986+6T&gt;C|NM_007297.4:c.4845+6T&gt;C|ENST00000346315.3:c.4358-6971T&gt;C|NM_007294.4:c.4986+6T&gt;C|NM_007298.3:c.1674+6T&gt;C|ENST00000586385.1:c.5-6971T&gt;C|ENST00000461221.1:c.*4769+6T&gt;C|ENST00000309486.4:c.4098+6T&gt;C|ENST00000471181.2:c.5049+6T&gt;C|ENST00000491747.2:c.1674+6T&gt;C</t>
        </is>
      </c>
      <c r="N123" t="inlineStr"/>
      <c r="O123" t="inlineStr"/>
      <c r="P123" t="inlineStr"/>
      <c r="Q123" t="inlineStr"/>
      <c r="R123" t="inlineStr"/>
      <c r="S123" t="inlineStr"/>
    </row>
    <row r="124">
      <c r="A124" t="inlineStr">
        <is>
          <t>17</t>
        </is>
      </c>
      <c r="B124" t="n">
        <v>41222940</v>
      </c>
      <c r="C124" t="inlineStr">
        <is>
          <t>C</t>
        </is>
      </c>
      <c r="D124" t="inlineStr">
        <is>
          <t>T</t>
        </is>
      </c>
      <c r="E124" t="inlineStr">
        <is>
          <t>96936</t>
        </is>
      </c>
      <c r="F124">
        <f>HYPERLINK("https://www.ncbi.nlm.nih.gov/clinvar/variation/96936/","ClinVarDB")</f>
        <v/>
      </c>
      <c r="G124" t="inlineStr">
        <is>
          <t>criteria_provided|_multiple_submitters|_no_conflicts</t>
        </is>
      </c>
      <c r="H124" t="inlineStr">
        <is>
          <t>Breast_carcinoma|Hereditary_breast_and_ovarian_cancer_syndrome|Breast-ovarian_cancer|_familial_1</t>
        </is>
      </c>
      <c r="I124" t="inlineStr">
        <is>
          <t>Pathogenic/Likely_pathogenic</t>
        </is>
      </c>
      <c r="J124" t="inlineStr">
        <is>
          <t>BRCA1</t>
        </is>
      </c>
      <c r="K124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124" t="inlineStr"/>
      <c r="M124" t="inlineStr">
        <is>
          <t>NM_007294.4:c.4986+5G&gt;A|ENST00000484087.1:c.1299+5G&gt;A|ENST00000591534.1:c.459+5G&gt;A|ENST00000351666.3:c.1437+5G&gt;A|ENST00000586385.1:c.5-6972G&gt;A|NM_007299.4:c.1674+5G&gt;A|NM_007298.3:c.1674+5G&gt;A|ENST00000478531.1:c.1674+5G&gt;A|ENST00000352993.3:c.1560+5G&gt;A|ENST00000491747.2:c.1674+5G&gt;A|NR_027676.2:n.5163+5G&gt;A|ENST00000493795.1:c.4845+5G&gt;A|NM_007300.4:c.5049+5G&gt;A|ENST00000468300.1:c.1674+5G&gt;A|NM_007297.4:c.4845+5G&gt;A|ENST00000493919.1:c.1536+5G&gt;A|ENST00000472490.1:n.139+5G&gt;A|ENST00000346315.3:c.4358-6972G&gt;A|ENST00000471181.2:c.5049+5G&gt;A|ENST00000357654.3:c.4986+5G&gt;A|ENST00000354071.3:c.4358-7550G&gt;A|ENST00000461221.1:c.*4769+5G&gt;A|ENST00000309486.4:c.4098+5G&gt;A|ENST00000591849.1:c.-98-20733G&gt;A</t>
        </is>
      </c>
      <c r="N124" t="inlineStr"/>
      <c r="O124" t="inlineStr"/>
      <c r="P124" t="inlineStr"/>
      <c r="Q124" t="inlineStr"/>
      <c r="R124" t="inlineStr"/>
      <c r="S124" t="inlineStr"/>
    </row>
    <row r="125">
      <c r="A125" t="inlineStr">
        <is>
          <t>17</t>
        </is>
      </c>
      <c r="B125" t="n">
        <v>41222941</v>
      </c>
      <c r="C125" t="inlineStr">
        <is>
          <t>T</t>
        </is>
      </c>
      <c r="D125" t="inlineStr">
        <is>
          <t>A</t>
        </is>
      </c>
      <c r="E125" t="inlineStr">
        <is>
          <t>55342</t>
        </is>
      </c>
      <c r="F125">
        <f>HYPERLINK("https://www.ncbi.nlm.nih.gov/clinvar/variation/55342/","ClinVarDB")</f>
        <v/>
      </c>
      <c r="G125" t="inlineStr">
        <is>
          <t>criteria_provided|_multiple_submitters|_no_conflicts</t>
        </is>
      </c>
      <c r="H125" t="inlineStr">
        <is>
          <t>Hereditary_breast_and_ovarian_cancer_syndrome|Breast-ovarian_cancer|_familial_1|Hereditary_cancer-predisposing_syndrome|not_provided</t>
        </is>
      </c>
      <c r="I125" t="inlineStr">
        <is>
          <t>Pathogenic/Likely_pathogenic</t>
        </is>
      </c>
      <c r="J125" t="inlineStr">
        <is>
          <t>BRCA1</t>
        </is>
      </c>
      <c r="K125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125" t="inlineStr"/>
      <c r="M125" t="inlineStr">
        <is>
          <t>ENST00000309486.4:c.4098+4A&gt;T|NM_007299.4:c.1674+4A&gt;T|NR_027676.2:n.5163+4A&gt;T|ENST00000346315.3:c.4358-6973A&gt;T|ENST00000591849.1:c.-98-20734A&gt;T|ENST00000352993.3:c.1560+4A&gt;T|ENST00000478531.1:c.1674+4A&gt;T|NM_007297.4:c.4845+4A&gt;T|NM_007300.4:c.5049+4A&gt;T|ENST00000591534.1:c.459+4A&gt;T|ENST00000493795.1:c.4845+4A&gt;T|ENST00000354071.3:c.4358-7551A&gt;T|ENST00000471181.2:c.5049+4A&gt;T|NM_007294.4:c.4986+4A&gt;T|ENST00000491747.2:c.1674+4A&gt;T|ENST00000468300.1:c.1674+4A&gt;T|ENST00000357654.3:c.4986+4A&gt;T|ENST00000484087.1:c.1299+4A&gt;T|ENST00000493919.1:c.1536+4A&gt;T|NM_007298.3:c.1674+4A&gt;T|ENST00000586385.1:c.5-6973A&gt;T|ENST00000351666.3:c.1437+4A&gt;T|ENST00000472490.1:n.139+4A&gt;T|ENST00000461221.1:c.*4769+4A&gt;T</t>
        </is>
      </c>
      <c r="N125" t="inlineStr"/>
      <c r="O125" t="inlineStr"/>
      <c r="P125" t="inlineStr"/>
      <c r="Q125" t="inlineStr"/>
      <c r="R125" t="inlineStr"/>
      <c r="S125" t="inlineStr"/>
    </row>
    <row r="126">
      <c r="A126" t="inlineStr">
        <is>
          <t>17</t>
        </is>
      </c>
      <c r="B126" t="n">
        <v>41222941</v>
      </c>
      <c r="C126" t="inlineStr">
        <is>
          <t>T</t>
        </is>
      </c>
      <c r="D126" t="inlineStr">
        <is>
          <t>G</t>
        </is>
      </c>
      <c r="E126" t="inlineStr">
        <is>
          <t>37619</t>
        </is>
      </c>
      <c r="F126">
        <f>HYPERLINK("https://www.ncbi.nlm.nih.gov/clinvar/variation/37619/","ClinVarDB")</f>
        <v/>
      </c>
      <c r="G126" t="inlineStr">
        <is>
          <t>criteria_provided|_multiple_submitters|_no_conflicts</t>
        </is>
      </c>
      <c r="H126" t="inlineStr">
        <is>
          <t>Hereditary_breast_and_ovarian_cancer_syndrome|Breast-ovarian_cancer|_familial_1|Hereditary_cancer-predisposing_syndrome|not_provided</t>
        </is>
      </c>
      <c r="I126" t="inlineStr">
        <is>
          <t>Pathogenic/Likely_pathogenic</t>
        </is>
      </c>
      <c r="J126" t="inlineStr">
        <is>
          <t>BRCA1</t>
        </is>
      </c>
      <c r="K126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126" t="inlineStr"/>
      <c r="M126" t="inlineStr">
        <is>
          <t>NM_007299.4:c.1674+4A&gt;C|NM_007297.4:c.4845+4A&gt;C|ENST00000352993.3:c.1560+4A&gt;C|NM_007294.4:c.4986+4A&gt;C|ENST00000591534.1:c.459+4A&gt;C|ENST00000491747.2:c.1674+4A&gt;C|ENST00000472490.1:n.139+4A&gt;C|ENST00000478531.1:c.1674+4A&gt;C|ENST00000351666.3:c.1437+4A&gt;C|NM_007300.4:c.5049+4A&gt;C|ENST00000484087.1:c.1299+4A&gt;C|ENST00000357654.3:c.4986+4A&gt;C|ENST00000309486.4:c.4098+4A&gt;C|ENST00000468300.1:c.1674+4A&gt;C|ENST00000346315.3:c.4358-6973A&gt;C|ENST00000461221.1:c.*4769+4A&gt;C|NM_007298.3:c.1674+4A&gt;C|ENST00000493919.1:c.1536+4A&gt;C|ENST00000591849.1:c.-98-20734A&gt;C|NR_027676.2:n.5163+4A&gt;C|ENST00000354071.3:c.4358-7551A&gt;C|ENST00000586385.1:c.5-6973A&gt;C|ENST00000493795.1:c.4845+4A&gt;C|ENST00000471181.2:c.5049+4A&gt;C</t>
        </is>
      </c>
      <c r="N126" t="inlineStr"/>
      <c r="O126" t="inlineStr"/>
      <c r="P126" t="inlineStr"/>
      <c r="Q126" t="inlineStr"/>
      <c r="R126" t="inlineStr"/>
      <c r="S126" t="inlineStr"/>
    </row>
    <row r="127">
      <c r="A127" t="inlineStr">
        <is>
          <t>17</t>
        </is>
      </c>
      <c r="B127" t="n">
        <v>41222942</v>
      </c>
      <c r="C127" t="inlineStr">
        <is>
          <t>C</t>
        </is>
      </c>
      <c r="D127" t="inlineStr">
        <is>
          <t>G</t>
        </is>
      </c>
      <c r="E127" t="inlineStr">
        <is>
          <t>55341</t>
        </is>
      </c>
      <c r="F127">
        <f>HYPERLINK("https://www.ncbi.nlm.nih.gov/clinvar/variation/55341/","ClinVarDB")</f>
        <v/>
      </c>
      <c r="G127" t="inlineStr">
        <is>
          <t>criteria_provided|_multiple_submitters|_no_conflicts</t>
        </is>
      </c>
      <c r="H127" t="inlineStr">
        <is>
          <t>Hereditary_breast_and_ovarian_cancer_syndrome|Malignant_tumor_of_breast|Breast-ovarian_cancer|_familial_1|Hereditary_cancer-predisposing_syndrome|not_provided</t>
        </is>
      </c>
      <c r="I127" t="inlineStr">
        <is>
          <t>Pathogenic/Likely_pathogenic</t>
        </is>
      </c>
      <c r="J127" t="inlineStr">
        <is>
          <t>BRCA1</t>
        </is>
      </c>
      <c r="K127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127" t="inlineStr"/>
      <c r="M127" t="inlineStr">
        <is>
          <t>ENST00000468300.1:c.1674+3G&gt;C|ENST00000472490.1:n.139+3G&gt;C|ENST00000471181.2:c.5049+3G&gt;C|ENST00000484087.1:c.1299+3G&gt;C|ENST00000586385.1:c.5-6974G&gt;C|ENST00000309486.4:c.4098+3G&gt;C|ENST00000461221.1:c.*4769+3G&gt;C|ENST00000591534.1:c.459+3G&gt;C|ENST00000352993.3:c.1560+3G&gt;C|NM_007299.4:c.1674+3G&gt;C|NM_007294.4:c.4986+3G&gt;C|ENST00000357654.3:c.4986+3G&gt;C|ENST00000491747.2:c.1674+3G&gt;C|ENST00000346315.3:c.4358-6974G&gt;C|ENST00000354071.3:c.4358-7552G&gt;C|ENST00000493795.1:c.4845+3G&gt;C|ENST00000351666.3:c.1437+3G&gt;C|NM_007298.3:c.1674+3G&gt;C|ENST00000478531.1:c.1674+3G&gt;C|NR_027676.2:n.5163+3G&gt;C|NM_007297.4:c.4845+3G&gt;C|ENST00000493919.1:c.1536+3G&gt;C|ENST00000591849.1:c.-98-20735G&gt;C|NM_007300.4:c.5049+3G&gt;C</t>
        </is>
      </c>
      <c r="N127" t="inlineStr"/>
      <c r="O127" t="inlineStr"/>
      <c r="P127" t="inlineStr"/>
      <c r="Q127" t="inlineStr"/>
      <c r="R127" t="inlineStr"/>
      <c r="S127" t="inlineStr"/>
    </row>
    <row r="128">
      <c r="A128" t="inlineStr">
        <is>
          <t>17</t>
        </is>
      </c>
      <c r="B128" t="n">
        <v>41267738</v>
      </c>
      <c r="C128" t="inlineStr">
        <is>
          <t>C</t>
        </is>
      </c>
      <c r="D128" t="inlineStr">
        <is>
          <t>T</t>
        </is>
      </c>
      <c r="E128" t="inlineStr">
        <is>
          <t>91548</t>
        </is>
      </c>
      <c r="F128">
        <f>HYPERLINK("https://www.ncbi.nlm.nih.gov/clinvar/variation/91548/","ClinVarDB")</f>
        <v/>
      </c>
      <c r="G128" t="inlineStr">
        <is>
          <t>criteria_provided|_multiple_submitters|_no_conflicts</t>
        </is>
      </c>
      <c r="H128" t="inlineStr">
        <is>
          <t>Hereditary_breast_and_ovarian_cancer_syndrome|Breast-ovarian_cancer|_familial_1|Hereditary_cancer-predisposing_syndrome</t>
        </is>
      </c>
      <c r="I128" t="inlineStr">
        <is>
          <t>Likely_pathogenic</t>
        </is>
      </c>
      <c r="J128" t="inlineStr">
        <is>
          <t>BRCA1</t>
        </is>
      </c>
      <c r="K128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128" t="inlineStr"/>
      <c r="M128" t="inlineStr">
        <is>
          <t>NM_007299.4:c.134+5G&gt;A|ENST00000354071.3:c.134+5G&gt;A|NM_007297.4:c.-8+8296G&gt;A|ENST00000357654.3:c.134+5G&gt;A|ENST00000477152.1:c.134+5G&gt;A|ENST00000346315.3:c.134+5G&gt;A|ENST00000470026.1:c.134+5G&gt;A|ENST00000493795.1:c.-8+8296G&gt;A|ENST00000492859.1:c.134+5G&gt;A|ENST00000493919.1:c.-8+8296G&gt;A|ENST00000468300.1:c.134+5G&gt;A|ENST00000489037.1:c.134+5G&gt;A|NM_007298.3:c.134+5G&gt;A|ENST00000309486.4:c.-755+8296G&gt;A|ENST00000471181.2:c.134+5G&gt;A|ENST00000491747.2:c.134+5G&gt;A|ENST00000497488.1:c.-219+9550G&gt;A|ENST00000467274.1:n.198+5G&gt;A|ENST00000461221.1:c.134+5G&gt;A|ENST00000586385.1:c.4+9461G&gt;A|ENST00000478531.1:c.134+5G&gt;A|ENST00000591849.1:c.-99+9550G&gt;A|ENST00000352993.3:c.134+5G&gt;A|NR_027676.2:n.336+5G&gt;A|ENST00000461798.1:c.134+5G&gt;A|NM_007294.4:c.134+5G&gt;A|ENST00000494123.1:c.134+5G&gt;A|ENST00000591534.1:c.-44+9550G&gt;A|NM_007300.4:c.134+5G&gt;A|ENST00000351666.3:c.134+5G&gt;A|ENST00000476777.1:c.134+5G&gt;A</t>
        </is>
      </c>
      <c r="N128" t="inlineStr"/>
      <c r="O128" t="inlineStr"/>
      <c r="P128" t="inlineStr"/>
      <c r="Q128" t="inlineStr"/>
      <c r="R128" t="inlineStr"/>
      <c r="S128" t="inlineStr"/>
    </row>
    <row r="129">
      <c r="A129" t="inlineStr">
        <is>
          <t>17</t>
        </is>
      </c>
      <c r="B129" t="n">
        <v>41267740</v>
      </c>
      <c r="C129" t="inlineStr">
        <is>
          <t>T</t>
        </is>
      </c>
      <c r="D129" t="inlineStr">
        <is>
          <t>G</t>
        </is>
      </c>
      <c r="E129" t="inlineStr">
        <is>
          <t>54212</t>
        </is>
      </c>
      <c r="F129">
        <f>HYPERLINK("https://www.ncbi.nlm.nih.gov/clinvar/variation/54212/","ClinVarDB")</f>
        <v/>
      </c>
      <c r="G129" t="inlineStr">
        <is>
          <t>criteria_provided|_multiple_submitters|_no_conflicts</t>
        </is>
      </c>
      <c r="H129" t="inlineStr">
        <is>
          <t>Hereditary_breast_and_ovarian_cancer_syndrome|Breast-ovarian_cancer|_familial_1|Hereditary_cancer-predisposing_syndrome|not_provided</t>
        </is>
      </c>
      <c r="I129" t="inlineStr">
        <is>
          <t>Pathogenic</t>
        </is>
      </c>
      <c r="J129" t="inlineStr">
        <is>
          <t>BRCA1</t>
        </is>
      </c>
      <c r="K129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129" t="inlineStr"/>
      <c r="M129" t="inlineStr">
        <is>
          <t>ENST00000478531.1:c.134+3A&gt;C|ENST00000497488.1:c.-219+9548A&gt;C|ENST00000467274.1:n.198+3A&gt;C|NM_007299.4:c.134+3A&gt;C|ENST00000477152.1:c.134+3A&gt;C|ENST00000491747.2:c.134+3A&gt;C|ENST00000471181.2:c.134+3A&gt;C|ENST00000461221.1:c.134+3A&gt;C|ENST00000470026.1:c.134+3A&gt;C|ENST00000591534.1:c.-44+9548A&gt;C|NM_007298.3:c.134+3A&gt;C|ENST00000586385.1:c.4+9459A&gt;C|NM_007297.4:c.-8+8294A&gt;C|ENST00000591849.1:c.-99+9548A&gt;C|NM_007300.4:c.134+3A&gt;C|ENST00000351666.3:c.134+3A&gt;C|ENST00000489037.1:c.134+3A&gt;C|ENST00000493795.1:c.-8+8294A&gt;C|ENST00000493919.1:c.-8+8294A&gt;C|ENST00000461798.1:c.134+3A&gt;C|ENST00000354071.3:c.134+3A&gt;C|ENST00000309486.4:c.-755+8294A&gt;C|ENST00000346315.3:c.134+3A&gt;C|ENST00000468300.1:c.134+3A&gt;C|ENST00000476777.1:c.134+3A&gt;C|ENST00000357654.3:c.134+3A&gt;C|NR_027676.2:n.336+3A&gt;C|ENST00000352993.3:c.134+3A&gt;C|NM_007294.4:c.134+3A&gt;C|ENST00000492859.1:c.134+3A&gt;C|ENST00000494123.1:c.134+3A&gt;C</t>
        </is>
      </c>
      <c r="N129" t="inlineStr"/>
      <c r="O129" t="inlineStr"/>
      <c r="P129" t="inlineStr"/>
      <c r="Q129" t="inlineStr"/>
      <c r="R129" t="inlineStr"/>
      <c r="S129" t="inlineStr"/>
    </row>
    <row r="130">
      <c r="A130" t="inlineStr">
        <is>
          <t>17</t>
        </is>
      </c>
      <c r="B130" t="n">
        <v>41276029</v>
      </c>
      <c r="C130" t="inlineStr">
        <is>
          <t>C</t>
        </is>
      </c>
      <c r="D130" t="inlineStr">
        <is>
          <t>T</t>
        </is>
      </c>
      <c r="E130" t="inlineStr">
        <is>
          <t>125520</t>
        </is>
      </c>
      <c r="F130">
        <f>HYPERLINK("https://www.ncbi.nlm.nih.gov/clinvar/variation/125520/","ClinVarDB")</f>
        <v/>
      </c>
      <c r="G130" t="inlineStr">
        <is>
          <t>criteria_provided|_multiple_submitters|_no_conflicts</t>
        </is>
      </c>
      <c r="H130" t="inlineStr">
        <is>
          <t>Breast-ovarian_cancer|_familial_1|Hereditary_cancer-predisposing_syndrome</t>
        </is>
      </c>
      <c r="I130" t="inlineStr">
        <is>
          <t>Pathogenic</t>
        </is>
      </c>
      <c r="J130" t="inlineStr">
        <is>
          <t>BRCA1</t>
        </is>
      </c>
      <c r="K130" t="inlineStr">
        <is>
          <t>regulatory_region_variant|intron_variant|splice_region_variant&amp;intron_variant|splice_region_variant&amp;intron_variant&amp;non_coding_transcript_variant|splice_region_variant&amp;intron_variant&amp;NMD_transcript_variant</t>
        </is>
      </c>
      <c r="L130" t="inlineStr"/>
      <c r="M130" t="inlineStr">
        <is>
          <t>|NM_007299.4:c.80+5G&gt;A|ENST00000497488.1:c.-219+1259G&gt;A|ENST00000493919.1:c.-8+5G&gt;A|ENST00000478531.1:c.80+5G&gt;A|ENST00000351666.3:c.80+5G&gt;A|ENST00000357654.3:c.80+5G&gt;A|NM_007297.4:c.-8+5G&gt;A|NM_007300.4:c.80+5G&gt;A|ENST00000461798.1:c.80+5G&gt;A|ENST00000494123.1:c.80+5G&gt;A|ENST00000476777.1:c.80+5G&gt;A|ENST00000493795.1:c.-8+5G&gt;A|ENST00000586385.1:c.4+1170G&gt;A|ENST00000477152.1:c.80+5G&gt;A|NM_007298.3:c.80+5G&gt;A|NM_007294.4:c.80+5G&gt;A|NR_027676.2:n.282+5G&gt;A|ENST00000352993.3:c.80+5G&gt;A|ENST00000492859.1:c.80+5G&gt;A|ENST00000591534.1:c.-44+1259G&gt;A|ENST00000467274.1:n.144+5G&gt;A|ENST00000468300.1:c.80+5G&gt;A|ENST00000489037.1:c.80+5G&gt;A|ENST00000491747.2:c.80+5G&gt;A|ENST00000346315.3:c.80+5G&gt;A|ENST00000354071.3:c.80+5G&gt;A|ENST00000309486.4:c.-755+5G&gt;A|ENST00000471181.2:c.80+5G&gt;A|ENST00000591849.1:c.-99+1259G&gt;A|ENST00000470026.1:c.80+5G&gt;A|ENST00000461221.1:c.80+5G&gt;A</t>
        </is>
      </c>
      <c r="N130" t="inlineStr"/>
      <c r="O130" t="inlineStr"/>
      <c r="P130" t="inlineStr"/>
      <c r="Q130" t="inlineStr"/>
      <c r="R130" t="inlineStr"/>
      <c r="S130" t="inlineStr"/>
    </row>
    <row r="131">
      <c r="A131" t="inlineStr">
        <is>
          <t>17</t>
        </is>
      </c>
      <c r="B131" t="n">
        <v>41219622</v>
      </c>
      <c r="C131" t="inlineStr">
        <is>
          <t>T</t>
        </is>
      </c>
      <c r="D131" t="inlineStr">
        <is>
          <t>C</t>
        </is>
      </c>
      <c r="E131" t="inlineStr">
        <is>
          <t>55375</t>
        </is>
      </c>
      <c r="F131">
        <f>HYPERLINK("https://www.ncbi.nlm.nih.gov/clinvar/variation/55375/","ClinVarDB")</f>
        <v/>
      </c>
      <c r="G131" t="inlineStr">
        <is>
          <t>criteria_provided|_multiple_submitters|_no_conflicts</t>
        </is>
      </c>
      <c r="H131" t="inlineStr">
        <is>
          <t>Hereditary_breast_and_ovarian_cancer_syndrome|Breast-ovarian_cancer|_familial_1|not_specified|Breast_and/or_ovarian_cancer|not_provided</t>
        </is>
      </c>
      <c r="I131" t="inlineStr">
        <is>
          <t>Pathogenic/Likely_pathogenic</t>
        </is>
      </c>
      <c r="J131" t="inlineStr">
        <is>
          <t>BRCA1</t>
        </is>
      </c>
      <c r="K131" t="inlineStr">
        <is>
          <t>intron_variant|splice_region_variant&amp;intron_variant|splice_region_variant&amp;intron_variant&amp;non_coding_transcript_variant|splice_region_variant&amp;intron_variant&amp;NMD_transcript_variant|non_coding_transcript_exon_variant</t>
        </is>
      </c>
      <c r="L131" t="inlineStr"/>
      <c r="M131" t="inlineStr">
        <is>
          <t>ENST00000484087.1:c.1387+3A&gt;G|ENST00000591849.1:c.-98-17415A&gt;G|ENST00000461221.1:c.*4857+3A&gt;G|ENST00000493795.1:c.4933+3A&gt;G|ENST00000468300.1:c.1762+3A&gt;G|NR_027676.2:n.5251+3A&gt;G|ENST00000309486.4:c.4186+3A&gt;G|ENST00000346315.3:c.4358-3654A&gt;G|ENST00000354071.3:c.4358-4232A&gt;G|NM_007300.4:c.5137+3A&gt;G|ENST00000352993.3:c.1648+3A&gt;G|NM_007298.3:c.1762+3A&gt;G|ENST00000357654.3:c.5074+3A&gt;G|NM_007297.4:c.4933+3A&gt;G|ENST00000478531.1:c.1762+3A&gt;G|NM_007294.4:c.5074+3A&gt;G|ENST00000351666.3:c.1525+3A&gt;G|ENST00000591534.1:c.547+3A&gt;G|ENST00000472490.1:n.230A&gt;G|ENST00000471181.2:c.5137+3A&gt;G|NM_007299.4:c.1762+3A&gt;G|ENST00000586385.1:c.5-3654A&gt;G|ENST00000491747.2:c.1762+3A&gt;G|ENST00000493919.1:c.1624+3A&gt;G</t>
        </is>
      </c>
      <c r="N131" t="inlineStr"/>
      <c r="O131" t="inlineStr"/>
      <c r="P131" t="inlineStr"/>
      <c r="Q131" t="inlineStr"/>
      <c r="R131" t="inlineStr"/>
      <c r="S131" t="inlineStr"/>
    </row>
    <row r="132">
      <c r="A132" t="inlineStr">
        <is>
          <t>17</t>
        </is>
      </c>
      <c r="B132" t="n">
        <v>41256984</v>
      </c>
      <c r="C132" t="inlineStr">
        <is>
          <t>A</t>
        </is>
      </c>
      <c r="D132" t="inlineStr">
        <is>
          <t>C</t>
        </is>
      </c>
      <c r="E132" t="inlineStr">
        <is>
          <t>37449</t>
        </is>
      </c>
      <c r="F132">
        <f>HYPERLINK("https://www.ncbi.nlm.nih.gov/clinvar/variation/37449/","ClinVarDB")</f>
        <v/>
      </c>
      <c r="G132" t="inlineStr">
        <is>
          <t>criteria_provided|_multiple_submitters|_no_conflicts</t>
        </is>
      </c>
      <c r="H132" t="inlineStr">
        <is>
          <t>Hereditary_breast_and_ovarian_cancer_syndrome|Breast-ovarian_cancer|_familial_1|Hereditary_cancer-predisposing_syndrome|Familial_cancer_of_breast|not_specified|Breast_and/or_ovarian_cancer|not_provided</t>
        </is>
      </c>
      <c r="I132" t="inlineStr">
        <is>
          <t>Pathogenic</t>
        </is>
      </c>
      <c r="J132" t="inlineStr">
        <is>
          <t>BRCA1</t>
        </is>
      </c>
      <c r="K132" t="inlineStr">
        <is>
          <t>intron_variant&amp;non_coding_transcript_variant|intron_variant|intron_variant&amp;NMD_transcript_variant</t>
        </is>
      </c>
      <c r="L132" t="inlineStr"/>
      <c r="M132" t="inlineStr">
        <is>
          <t>ENST00000493919.1:c.72-11T&gt;G|NM_007298.3:c.213-11T&gt;G|ENST00000467274.1:n.277-11T&gt;G|ENST00000497488.1:c.-218-10107T&gt;G|NM_007294.4:c.213-11T&gt;G|ENST00000476777.1:c.213-11T&gt;G|ENST00000352993.3:c.213-11T&gt;G|ENST00000346315.3:c.213-11T&gt;G|ENST00000591849.1:c.-99+20304T&gt;G|ENST00000309486.4:c.-676-11T&gt;G|ENST00000492859.1:c.*149-11T&gt;G|ENST00000491747.2:c.213-11T&gt;G|NM_007297.4:c.72-11T&gt;G|ENST00000471181.2:c.213-11T&gt;G|ENST00000489037.1:c.135-11T&gt;G|ENST00000470026.1:c.213-11T&gt;G|ENST00000351666.3:c.213-11T&gt;G|ENST00000586385.1:c.4+20215T&gt;G|ENST00000468300.1:c.213-11T&gt;G|ENST00000354071.3:c.213-11T&gt;G|NM_007300.4:c.213-11T&gt;G|ENST00000494123.1:c.213-11T&gt;G|NR_027676.2:n.393-11T&gt;G|ENST00000461221.1:c.191-11T&gt;G|ENST00000493795.1:c.72-11T&gt;G|ENST00000591534.1:c.-44+20304T&gt;G|ENST00000461798.1:c.191-11T&gt;G|ENST00000478531.1:c.213-11T&gt;G|ENST00000477152.1:c.135-11T&gt;G|NM_007299.4:c.213-11T&gt;G|ENST00000357654.3:c.213-11T&gt;G</t>
        </is>
      </c>
      <c r="N132" t="inlineStr">
        <is>
          <t>1.1956100024690386e-05</t>
        </is>
      </c>
      <c r="O132" t="n">
        <v>1</v>
      </c>
      <c r="P132" t="inlineStr">
        <is>
          <t>0</t>
        </is>
      </c>
      <c r="Q132" t="inlineStr"/>
      <c r="R132" t="inlineStr"/>
      <c r="S132" t="inlineStr"/>
    </row>
    <row r="133">
      <c r="A133" t="inlineStr">
        <is>
          <t>11</t>
        </is>
      </c>
      <c r="B133" t="n">
        <v>108127067</v>
      </c>
      <c r="C133" t="inlineStr">
        <is>
          <t>G</t>
        </is>
      </c>
      <c r="D133" t="inlineStr">
        <is>
          <t>A</t>
        </is>
      </c>
      <c r="E133" t="inlineStr">
        <is>
          <t>3044</t>
        </is>
      </c>
      <c r="F133">
        <f>HYPERLINK("https://www.ncbi.nlm.nih.gov/clinvar/variation/3044/","ClinVarDB")</f>
        <v/>
      </c>
      <c r="G133" t="inlineStr">
        <is>
          <t>criteria_provided|_multiple_submitters|_no_conflicts</t>
        </is>
      </c>
      <c r="H133" t="inlineStr">
        <is>
          <t>Malignant_tumor_of_breast|Ataxia-telangiectasia_syndrome|Hereditary_cancer-predisposing_syndrome|Familial_cancer_of_breast|not_provided</t>
        </is>
      </c>
      <c r="I133" t="inlineStr">
        <is>
          <t>Pathogenic/Likely_pathogenic</t>
        </is>
      </c>
      <c r="J133" t="inlineStr">
        <is>
          <t>ATM</t>
        </is>
      </c>
      <c r="K133" t="inlineStr">
        <is>
          <t>splice_region_variant&amp;synonymous_variant</t>
        </is>
      </c>
      <c r="L133" t="inlineStr">
        <is>
          <t>ENSP00000278616.4:p.Lys750=|ENSP00000388058.2:p.Lys750=|NP_001338763.1:p.Lys750=|NP_000042.3:p.Lys750=|ENSP00000435747.1:p.Lys750=</t>
        </is>
      </c>
      <c r="M133" t="inlineStr">
        <is>
          <t>ENST00000452508.2:c.2250G&gt;A|ENST00000527805.1:c.2250G&gt;A|NM_000051.3:c.2250G&gt;A|ENST00000278616.4:c.2250G&gt;A|NM_001351834.2:c.2250G&gt;A</t>
        </is>
      </c>
      <c r="N133" t="inlineStr">
        <is>
          <t>4.3870801164302975e-05</t>
        </is>
      </c>
      <c r="O133" t="n">
        <v>4</v>
      </c>
      <c r="P133" t="inlineStr">
        <is>
          <t>0</t>
        </is>
      </c>
      <c r="Q133" t="inlineStr"/>
      <c r="R133" t="inlineStr"/>
      <c r="S133" t="inlineStr"/>
    </row>
    <row r="134">
      <c r="A134" t="inlineStr">
        <is>
          <t>11</t>
        </is>
      </c>
      <c r="B134" t="n">
        <v>108151895</v>
      </c>
      <c r="C134" t="inlineStr">
        <is>
          <t>G</t>
        </is>
      </c>
      <c r="D134" t="inlineStr">
        <is>
          <t>A</t>
        </is>
      </c>
      <c r="E134" t="inlineStr">
        <is>
          <t>3035</t>
        </is>
      </c>
      <c r="F134">
        <f>HYPERLINK("https://www.ncbi.nlm.nih.gov/clinvar/variation/3035/","ClinVarDB")</f>
        <v/>
      </c>
      <c r="G134" t="inlineStr">
        <is>
          <t>criteria_provided|_multiple_submitters|_no_conflicts</t>
        </is>
      </c>
      <c r="H134" t="inlineStr">
        <is>
          <t>Ataxia-telangiectasia_syndrome|Hereditary_cancer-predisposing_syndrome|not_provided</t>
        </is>
      </c>
      <c r="I134" t="inlineStr">
        <is>
          <t>Pathogenic</t>
        </is>
      </c>
      <c r="J134" t="inlineStr">
        <is>
          <t>ATM</t>
        </is>
      </c>
      <c r="K134" t="inlineStr">
        <is>
          <t>splice_region_variant&amp;synonymous_variant</t>
        </is>
      </c>
      <c r="L134" t="inlineStr">
        <is>
          <t>ENSP00000388058.2:p.Lys1192=|NP_001338763.1:p.Lys1192=|ENSP00000435747.1:p.Lys1192=|ENSP00000278616.4:p.Lys1192=|NP_000042.3:p.Lys1192=</t>
        </is>
      </c>
      <c r="M134" t="inlineStr">
        <is>
          <t>ENST00000527805.1:c.3576G&gt;A|NM_001351834.2:c.3576G&gt;A|ENST00000278616.4:c.3576G&gt;A|NM_000051.3:c.3576G&gt;A|ENST00000452508.2:c.3576G&gt;A</t>
        </is>
      </c>
      <c r="N134" t="inlineStr">
        <is>
          <t>1.5928300854284316e-05</t>
        </is>
      </c>
      <c r="O134" t="n">
        <v>0</v>
      </c>
      <c r="P134" t="inlineStr">
        <is>
          <t>0</t>
        </is>
      </c>
      <c r="Q134" t="inlineStr"/>
      <c r="R134" t="inlineStr"/>
      <c r="S134" t="inlineStr"/>
    </row>
    <row r="135">
      <c r="A135" t="inlineStr">
        <is>
          <t>11</t>
        </is>
      </c>
      <c r="B135" t="n">
        <v>108106566</v>
      </c>
      <c r="C135" t="inlineStr">
        <is>
          <t>G</t>
        </is>
      </c>
      <c r="D135" t="inlineStr">
        <is>
          <t>A</t>
        </is>
      </c>
      <c r="E135" t="inlineStr">
        <is>
          <t>3047</t>
        </is>
      </c>
      <c r="F135">
        <f>HYPERLINK("https://www.ncbi.nlm.nih.gov/clinvar/variation/3047/","ClinVarDB")</f>
        <v/>
      </c>
      <c r="G135" t="inlineStr">
        <is>
          <t>criteria_provided|_multiple_submitters|_no_conflicts</t>
        </is>
      </c>
      <c r="H135" t="inlineStr">
        <is>
          <t>Hereditary_breast_and_ovarian_cancer_syndrome|Ataxia-telangiectasia_syndrome|Hereditary_cancer-predisposing_syndrome|Ataxia-telangiectasia_variant|not_provided</t>
        </is>
      </c>
      <c r="I135" t="inlineStr">
        <is>
          <t>Likely_pathogenic</t>
        </is>
      </c>
      <c r="J135" t="inlineStr">
        <is>
          <t>ATM</t>
        </is>
      </c>
      <c r="K135" t="inlineStr">
        <is>
          <t>splice_region_variant&amp;intron_variant|intron_variant|non_coding_transcript_exon_variant|regulatory_region_variant</t>
        </is>
      </c>
      <c r="L135" t="inlineStr"/>
      <c r="M135" t="inlineStr">
        <is>
          <t>|NM_000051.3:c.496+5G&gt;A|NM_001351834.2:c.496+5G&gt;A|ENST00000527891.1:c.331+6516G&gt;A|ENST00000278616.4:c.496+5G&gt;A|ENST00000452508.2:c.496+5G&gt;A|ENST00000530958.1:n.5023G&gt;A|ENST00000527805.1:c.496+5G&gt;A</t>
        </is>
      </c>
      <c r="N135" t="inlineStr"/>
      <c r="O135" t="inlineStr"/>
      <c r="P135" t="inlineStr"/>
      <c r="Q135" t="inlineStr"/>
      <c r="R135" t="inlineStr"/>
      <c r="S135" t="inlineStr"/>
    </row>
    <row r="136">
      <c r="A136" t="inlineStr">
        <is>
          <t>11</t>
        </is>
      </c>
      <c r="B136" t="n">
        <v>108100055</v>
      </c>
      <c r="C136" t="inlineStr">
        <is>
          <t>G</t>
        </is>
      </c>
      <c r="D136" t="inlineStr">
        <is>
          <t>A</t>
        </is>
      </c>
      <c r="E136" t="inlineStr">
        <is>
          <t>230851</t>
        </is>
      </c>
      <c r="F136">
        <f>HYPERLINK("https://www.ncbi.nlm.nih.gov/clinvar/variation/230851/","ClinVarDB")</f>
        <v/>
      </c>
      <c r="G136" t="inlineStr">
        <is>
          <t>criteria_provided|_multiple_submitters|_no_conflicts</t>
        </is>
      </c>
      <c r="H136" t="inlineStr">
        <is>
          <t>Ataxia-telangiectasia_syndrome|Hereditary_cancer-predisposing_syndrome|not_provided</t>
        </is>
      </c>
      <c r="I136" t="inlineStr">
        <is>
          <t>Pathogenic/Likely_pathogenic</t>
        </is>
      </c>
      <c r="J136" t="inlineStr">
        <is>
          <t>ATM</t>
        </is>
      </c>
      <c r="K136" t="inlineStr">
        <is>
          <t>splice_region_variant&amp;intron_variant&amp;non_coding_transcript_variant|splice_region_variant&amp;intron_variant|synonymous_variant|non_coding_transcript_exon_variant</t>
        </is>
      </c>
      <c r="L136" t="inlineStr">
        <is>
          <t>|NP_001338764.1:p.Lys112=|NP_001338765.1:p.Lys112=</t>
        </is>
      </c>
      <c r="M136" t="inlineStr">
        <is>
          <t>ENST00000527805.1:c.331+5G&gt;A|NM_000051.3:c.331+5G&gt;A|ENST00000452508.2:c.331+5G&gt;A|NM_001351836.1:c.336G&gt;A|ENST00000601453.1:c.331+5G&gt;A|ENST00000526567.1:n.524G&gt;A|NM_001351834.2:c.331+5G&gt;A|NM_001351835.1:c.336G&gt;A|ENST00000530958.1:n.4853+5G&gt;A|ENST00000278616.4:c.331+5G&gt;A|ENST00000527891.1:c.331+5G&gt;A</t>
        </is>
      </c>
      <c r="N136" t="inlineStr">
        <is>
          <t>4.010069915239001e-06</t>
        </is>
      </c>
      <c r="O136" t="n">
        <v>1</v>
      </c>
      <c r="P136" t="inlineStr">
        <is>
          <t>0</t>
        </is>
      </c>
      <c r="Q136" t="inlineStr"/>
      <c r="R136" t="inlineStr"/>
      <c r="S136" t="inlineStr"/>
    </row>
    <row r="137">
      <c r="A137" t="inlineStr">
        <is>
          <t>11</t>
        </is>
      </c>
      <c r="B137" t="n">
        <v>108196136</v>
      </c>
      <c r="C137" t="inlineStr">
        <is>
          <t>GGCTCTACG</t>
        </is>
      </c>
      <c r="D137" t="inlineStr">
        <is>
          <t>CTC</t>
        </is>
      </c>
      <c r="E137" t="inlineStr">
        <is>
          <t>826547</t>
        </is>
      </c>
      <c r="F137">
        <f>HYPERLINK("https://www.ncbi.nlm.nih.gov/clinvar/variation/826547/","ClinVarDB")</f>
        <v/>
      </c>
      <c r="G137" t="inlineStr">
        <is>
          <t>criteria_provided|_multiple_submitters|_no_conflicts</t>
        </is>
      </c>
      <c r="H137" t="inlineStr">
        <is>
          <t>Ataxia-telangiectasia_syndrome|Hereditary_cancer-predisposing_syndrome</t>
        </is>
      </c>
      <c r="I137" t="inlineStr">
        <is>
          <t>Likely_pathogenic</t>
        </is>
      </c>
      <c r="J137" t="inlineStr">
        <is>
          <t>ATM</t>
        </is>
      </c>
      <c r="K137" t="inlineStr">
        <is>
          <t>protein_altering_variant|intron_variant|non_coding_transcript_exon_variant</t>
        </is>
      </c>
      <c r="L137" t="inlineStr">
        <is>
          <t>|ENSP00000388058.2:p.Met2224_Arg2227delinsIleSer|NP_001338763.1:p.Met2224_Arg2227delinsIleSer|ENSP00000278616.4:p.Met2224_Arg2227delinsIleSer|NP_000042.3:p.Met2224_Arg2227delinsIleSer</t>
        </is>
      </c>
      <c r="M137" t="inlineStr">
        <is>
          <t>ENST00000533690.1:n.2076_2084delinsCTC|NM_001351834.2:c.6672_6680delinsCTC|NM_001330368.2:c.641-16346_641-16338delinsGAG|ENST00000278616.4:c.6672_6680delinsCTC|ENST00000452508.2:c.6672_6680delinsCTC|ENST00000525729.1:c.641-16346_641-16338delinsGAG|NM_000051.3:c.6672_6680delinsCTC|ENST00000524792.1:n.2887_2895delinsCTC|NM_001351110.2:c.*38+9803_*38+9811delinsGAG</t>
        </is>
      </c>
      <c r="N137" t="inlineStr"/>
      <c r="O137" t="inlineStr"/>
      <c r="P137" t="inlineStr"/>
      <c r="Q137" t="inlineStr"/>
      <c r="R137" t="inlineStr"/>
      <c r="S137" t="inlineStr"/>
    </row>
    <row r="138">
      <c r="A138" t="inlineStr">
        <is>
          <t>11</t>
        </is>
      </c>
      <c r="B138" t="n">
        <v>108202764</v>
      </c>
      <c r="C138" t="inlineStr">
        <is>
          <t>G</t>
        </is>
      </c>
      <c r="D138" t="inlineStr">
        <is>
          <t>A</t>
        </is>
      </c>
      <c r="E138" t="inlineStr">
        <is>
          <t>135778</t>
        </is>
      </c>
      <c r="F138">
        <f>HYPERLINK("https://www.ncbi.nlm.nih.gov/clinvar/variation/135778/","ClinVarDB")</f>
        <v/>
      </c>
      <c r="G138" t="inlineStr">
        <is>
          <t>criteria_provided|_multiple_submitters|_no_conflicts</t>
        </is>
      </c>
      <c r="H138" t="inlineStr">
        <is>
          <t>Malignant_tumor_of_breast|Ataxia-telangiectasia_syndrome|Hereditary_cancer-predisposing_syndrome|not_provided</t>
        </is>
      </c>
      <c r="I138" t="inlineStr">
        <is>
          <t>Pathogenic/Likely_pathogenic</t>
        </is>
      </c>
      <c r="J138" t="inlineStr">
        <is>
          <t>ATM</t>
        </is>
      </c>
      <c r="K138" t="inlineStr">
        <is>
          <t>intron_variant|intron_variant&amp;non_coding_transcript_variant|splice_region_variant&amp;non_coding_transcript_exon_variant|splice_region_variant&amp;synonymous_variant|intron_variant&amp;NMD_transcript_variant</t>
        </is>
      </c>
      <c r="L138" t="inlineStr">
        <is>
          <t>|ENSP00000278616.4:p.Glu2596=|ENSP00000388058.2:p.Glu2596=|NP_001338763.1:p.Glu2596=|NP_000042.3:p.Glu2596=</t>
        </is>
      </c>
      <c r="M138" t="inlineStr">
        <is>
          <t>ENST00000533690.1:n.3192G&gt;A|NM_001351110.2:c.*38+3183C&gt;T|NM_000051.3:c.7788G&gt;A|ENST00000524755.1:c.300-470C&gt;T|NR_147053.2:n.2375-470C&gt;T|NM_001351834.2:c.7788G&gt;A|ENST00000525729.1:c.641-22966C&gt;T|ENST00000452508.2:c.7788G&gt;A|ENST00000278616.4:c.7788G&gt;A|NM_001330368.2:c.641-22966C&gt;T|ENST00000524792.1:n.4003G&gt;A|ENST00000527531.1:c.*1270-470C&gt;T</t>
        </is>
      </c>
      <c r="N138" t="inlineStr">
        <is>
          <t>3.987210220657289e-06</t>
        </is>
      </c>
      <c r="O138" t="n">
        <v>0</v>
      </c>
      <c r="P138" t="inlineStr">
        <is>
          <t>0</t>
        </is>
      </c>
      <c r="Q138" t="inlineStr"/>
      <c r="R138" t="inlineStr"/>
      <c r="S138" t="inlineStr"/>
    </row>
    <row r="139">
      <c r="A139" t="inlineStr">
        <is>
          <t>11</t>
        </is>
      </c>
      <c r="B139" t="n">
        <v>108203486</v>
      </c>
      <c r="C139" t="inlineStr">
        <is>
          <t>T</t>
        </is>
      </c>
      <c r="D139" t="inlineStr">
        <is>
          <t>G</t>
        </is>
      </c>
      <c r="E139" t="inlineStr">
        <is>
          <t>219629</t>
        </is>
      </c>
      <c r="F139">
        <f>HYPERLINK("https://www.ncbi.nlm.nih.gov/clinvar/variation/219629/","ClinVarDB")</f>
        <v/>
      </c>
      <c r="G139" t="inlineStr">
        <is>
          <t>criteria_provided|_multiple_submitters|_no_conflicts</t>
        </is>
      </c>
      <c r="H139" t="inlineStr">
        <is>
          <t>Ataxia-telangiectasia_syndrome|Hereditary_cancer-predisposing_syndrome|Familial_cancer_of_breast|Breast_and/or_ovarian_cancer</t>
        </is>
      </c>
      <c r="I139" t="inlineStr">
        <is>
          <t>Pathogenic/Likely_pathogenic</t>
        </is>
      </c>
      <c r="J139" t="inlineStr">
        <is>
          <t>ATM</t>
        </is>
      </c>
      <c r="K139" t="inlineStr">
        <is>
          <t>intron_variant|intron_variant&amp;non_coding_transcript_variant|splice_region_variant&amp;intron_variant|splice_region_variant&amp;intron_variant&amp;non_coding_transcript_variant|intron_variant&amp;NMD_transcript_variant</t>
        </is>
      </c>
      <c r="L139" t="inlineStr"/>
      <c r="M139" t="inlineStr">
        <is>
          <t>NM_001351110.2:c.*38+2461A&gt;C|ENST00000525729.1:c.641-23688A&gt;C|NR_147053.2:n.2375-1192A&gt;C|ENST00000524792.1:n.4004-3T&gt;G|ENST00000527531.1:c.*1270-1192A&gt;C|NM_000051.3:c.7789-3T&gt;G|ENST00000524755.1:c.300-1192A&gt;C|NM_001351834.2:c.7789-3T&gt;G|ENST00000533690.1:n.3193-3T&gt;G|ENST00000278616.4:c.7789-3T&gt;G|ENST00000452508.2:c.7789-3T&gt;G|NM_001330368.2:c.641-23688A&gt;C</t>
        </is>
      </c>
      <c r="N139" t="inlineStr">
        <is>
          <t>4.005829850939335e-06</t>
        </is>
      </c>
      <c r="O139" t="n">
        <v>0</v>
      </c>
      <c r="P139" t="inlineStr">
        <is>
          <t>0</t>
        </is>
      </c>
      <c r="Q139" t="inlineStr"/>
      <c r="R139" t="inlineStr"/>
      <c r="S139" t="inlineStr"/>
    </row>
    <row r="140">
      <c r="A140" t="inlineStr">
        <is>
          <t>11</t>
        </is>
      </c>
      <c r="B140" t="n">
        <v>108179837</v>
      </c>
      <c r="C140" t="inlineStr">
        <is>
          <t>A</t>
        </is>
      </c>
      <c r="D140" t="inlineStr">
        <is>
          <t>G</t>
        </is>
      </c>
      <c r="E140" t="inlineStr">
        <is>
          <t>3021</t>
        </is>
      </c>
      <c r="F140">
        <f>HYPERLINK("https://www.ncbi.nlm.nih.gov/clinvar/variation/3021/","ClinVarDB")</f>
        <v/>
      </c>
      <c r="G140" t="inlineStr">
        <is>
          <t>criteria_provided|_multiple_submitters|_no_conflicts</t>
        </is>
      </c>
      <c r="H140" t="inlineStr">
        <is>
          <t>Ataxia-telangiectasia_syndrome|Hereditary_cancer-predisposing_syndrome|Ataxia-telangiectasia_variant|not_provided</t>
        </is>
      </c>
      <c r="I140" t="inlineStr">
        <is>
          <t>Pathogenic/Likely_pathogenic</t>
        </is>
      </c>
      <c r="J140" t="inlineStr">
        <is>
          <t>ATM</t>
        </is>
      </c>
      <c r="K140" t="inlineStr">
        <is>
          <t>intron_variant&amp;non_coding_transcript_variant|intron_variant|intron_variant&amp;NMD_transcript_variant</t>
        </is>
      </c>
      <c r="L140" t="inlineStr"/>
      <c r="M140" t="inlineStr">
        <is>
          <t>ENST00000278616.4:c.5763-1050A&gt;G|NM_000051.3:c.5763-1050A&gt;G|NM_001351110.2:c.*39-39T&gt;C|ENST00000525729.1:c.641-39T&gt;C|ENST00000533690.1:n.1167-1050A&gt;G|NM_001330368.2:c.641-39T&gt;C|ENST00000452508.2:c.5763-1050A&gt;G|NM_001351834.2:c.5763-1050A&gt;G|ENST00000529588.1:c.187-1050A&gt;G|ENST00000524792.1:n.1978-1050A&gt;G|ENST00000532765.1:n.79+1040A&gt;G</t>
        </is>
      </c>
      <c r="N140" t="inlineStr">
        <is>
          <t>2.358050005568657e-05</t>
        </is>
      </c>
      <c r="O140" t="n">
        <v>2</v>
      </c>
      <c r="P140" t="inlineStr">
        <is>
          <t>0</t>
        </is>
      </c>
      <c r="Q140" t="inlineStr">
        <is>
          <t>6.37023986200802e-05</t>
        </is>
      </c>
      <c r="R140" t="n">
        <v>2</v>
      </c>
      <c r="S140" t="inlineStr">
        <is>
          <t>0</t>
        </is>
      </c>
    </row>
    <row r="141">
      <c r="A141" t="inlineStr">
        <is>
          <t>11</t>
        </is>
      </c>
      <c r="B141" t="n">
        <v>108138753</v>
      </c>
      <c r="C141" t="inlineStr">
        <is>
          <t>A</t>
        </is>
      </c>
      <c r="D141" t="inlineStr">
        <is>
          <t>G</t>
        </is>
      </c>
      <c r="E141" t="inlineStr">
        <is>
          <t>429070</t>
        </is>
      </c>
      <c r="F141">
        <f>HYPERLINK("https://www.ncbi.nlm.nih.gov/clinvar/variation/429070/","ClinVarDB")</f>
        <v/>
      </c>
      <c r="G141" t="inlineStr">
        <is>
          <t>criteria_provided|_multiple_submitters|_no_conflicts</t>
        </is>
      </c>
      <c r="H141" t="inlineStr">
        <is>
          <t>Ataxia-telangiectasia_syndrome|Hereditary_cancer-predisposing_syndrome</t>
        </is>
      </c>
      <c r="I141" t="inlineStr">
        <is>
          <t>Likely_pathogenic</t>
        </is>
      </c>
      <c r="J141" t="inlineStr">
        <is>
          <t>ATM</t>
        </is>
      </c>
      <c r="K141" t="inlineStr">
        <is>
          <t>intron_variant&amp;non_coding_transcript_variant|intron_variant</t>
        </is>
      </c>
      <c r="L141" t="inlineStr"/>
      <c r="M141" t="inlineStr">
        <is>
          <t>ENST00000452508.2:c.2639-384A&gt;G|NM_000051.3:c.2639-384A&gt;G|ENST00000419286.1:n.4-384A&gt;G|ENST00000527805.1:c.2639-384A&gt;G|NM_001351834.2:c.2639-384A&gt;G|ENST00000278616.4:c.2639-384A&gt;G</t>
        </is>
      </c>
      <c r="N141" t="inlineStr"/>
      <c r="O141" t="inlineStr"/>
      <c r="P141" t="inlineStr"/>
      <c r="Q141" t="inlineStr">
        <is>
          <t>3.18511993100401e-05</t>
        </is>
      </c>
      <c r="R141" t="n">
        <v>0</v>
      </c>
      <c r="S141" t="inlineStr">
        <is>
          <t>0</t>
        </is>
      </c>
    </row>
    <row r="142">
      <c r="A142" t="inlineStr">
        <is>
          <t>11</t>
        </is>
      </c>
      <c r="B142" t="n">
        <v>108139115</v>
      </c>
      <c r="C142" t="inlineStr">
        <is>
          <t>AATGAGTGCTTTTT</t>
        </is>
      </c>
      <c r="D142" t="inlineStr">
        <is>
          <t>A</t>
        </is>
      </c>
      <c r="E142" t="inlineStr">
        <is>
          <t>821599</t>
        </is>
      </c>
      <c r="F142">
        <f>HYPERLINK("https://www.ncbi.nlm.nih.gov/clinvar/variation/821599/","ClinVarDB")</f>
        <v/>
      </c>
      <c r="G142" t="inlineStr">
        <is>
          <t>criteria_provided|_multiple_submitters|_no_conflicts</t>
        </is>
      </c>
      <c r="H142" t="inlineStr">
        <is>
          <t>Ataxia-telangiectasia_syndrome|Hereditary_cancer-predisposing_syndrome</t>
        </is>
      </c>
      <c r="I142" t="inlineStr">
        <is>
          <t>Likely_pathogenic</t>
        </is>
      </c>
      <c r="J142" t="inlineStr">
        <is>
          <t>ATM</t>
        </is>
      </c>
      <c r="K142" t="inlineStr">
        <is>
          <t>intron_variant&amp;non_coding_transcript_variant|intron_variant</t>
        </is>
      </c>
      <c r="L142" t="inlineStr"/>
      <c r="M142" t="inlineStr">
        <is>
          <t>NM_001351834.2:c.2639-19_2639-7del|ENST00000419286.1:n.4-19_4-7del|ENST00000452508.2:c.2639-19_2639-7del|ENST00000527805.1:c.2639-19_2639-7del|NM_000051.3:c.2639-19_2639-7del|ENST00000278616.4:c.2639-19_2639-7del</t>
        </is>
      </c>
      <c r="N142" t="inlineStr"/>
      <c r="O142" t="inlineStr"/>
      <c r="P142" t="inlineStr"/>
      <c r="Q142" t="inlineStr"/>
      <c r="R142" t="inlineStr"/>
      <c r="S142" t="inlineStr"/>
    </row>
    <row r="143">
      <c r="A143" t="inlineStr">
        <is>
          <t>11</t>
        </is>
      </c>
      <c r="B143" t="n">
        <v>108141209</v>
      </c>
      <c r="C143" t="inlineStr">
        <is>
          <t>GGTAA</t>
        </is>
      </c>
      <c r="D143" t="inlineStr">
        <is>
          <t>G</t>
        </is>
      </c>
      <c r="E143" t="inlineStr">
        <is>
          <t>3043</t>
        </is>
      </c>
      <c r="F143">
        <f>HYPERLINK("https://www.ncbi.nlm.nih.gov/clinvar/variation/3043/","ClinVarDB")</f>
        <v/>
      </c>
      <c r="G143" t="inlineStr">
        <is>
          <t>criteria_provided|_multiple_submitters|_no_conflicts</t>
        </is>
      </c>
      <c r="H143" t="inlineStr">
        <is>
          <t>Ataxia-telangiectasia_syndrome|Hereditary_cancer-predisposing_syndrome|not_provided</t>
        </is>
      </c>
      <c r="I143" t="inlineStr">
        <is>
          <t>Pathogenic/Likely_pathogenic</t>
        </is>
      </c>
      <c r="J143" t="inlineStr">
        <is>
          <t>ATM</t>
        </is>
      </c>
      <c r="K143" t="inlineStr">
        <is>
          <t>intron_variant&amp;non_coding_transcript_variant|intron_variant</t>
        </is>
      </c>
      <c r="L143" t="inlineStr"/>
      <c r="M143" t="inlineStr">
        <is>
          <t>ENST00000452508.2:c.2839-579_2839-576del|ENST00000419286.1:n.204-766_204-763del|ENST00000278616.4:c.2839-579_2839-576del|ENST00000527805.1:c.2839-579_2839-576del|NM_000051.3:c.2839-579_2839-576del|NM_001351834.2:c.2839-579_2839-576del</t>
        </is>
      </c>
      <c r="N143" t="inlineStr"/>
      <c r="O143" t="inlineStr"/>
      <c r="P143" t="inlineStr"/>
      <c r="Q143" t="inlineStr"/>
      <c r="R143" t="inlineStr"/>
      <c r="S143" t="inlineStr"/>
    </row>
    <row r="144">
      <c r="A144" t="inlineStr">
        <is>
          <t>5</t>
        </is>
      </c>
      <c r="B144" t="n">
        <v>112137080</v>
      </c>
      <c r="C144" t="inlineStr">
        <is>
          <t>G</t>
        </is>
      </c>
      <c r="D144" t="inlineStr">
        <is>
          <t>A</t>
        </is>
      </c>
      <c r="E144" t="inlineStr">
        <is>
          <t>411344</t>
        </is>
      </c>
      <c r="F144">
        <f>HYPERLINK("https://www.ncbi.nlm.nih.gov/clinvar/variation/411344/","ClinVarDB")</f>
        <v/>
      </c>
      <c r="G144" t="inlineStr">
        <is>
          <t>criteria_provided|_multiple_submitters|_no_conflicts</t>
        </is>
      </c>
      <c r="H144" t="inlineStr">
        <is>
          <t>Hereditary_cancer-predisposing_syndrome|Familial_adenomatous_polyposis_1|not_provided</t>
        </is>
      </c>
      <c r="I144" t="inlineStr">
        <is>
          <t>Likely_pathogenic</t>
        </is>
      </c>
      <c r="J144" t="inlineStr">
        <is>
          <t>APC</t>
        </is>
      </c>
      <c r="K144" t="inlineStr">
        <is>
          <t>splice_region_variant&amp;synonymous_variant|splice_region_variant&amp;5_prime_UTR_variant|splice_region_variant&amp;synonymous_variant&amp;NMD_transcript_variant</t>
        </is>
      </c>
      <c r="L144" t="inlineStr">
        <is>
          <t>|NP_001341832.1:p.Gln278=|NP_001120982.1:p.Gln278=|NP_001341831.1:p.Gln288=|NP_001341828.1:p.Gln250=|ENSP00000427089.2:p.Gln278=|ENSP00000413133.1:p.Gln278=|NP_001341830.1:p.Gln219=|ENSP00000257430.4:p.Gln278=|ENSP00000423828.2:p.Gln278=|NP_000029.2:p.Gln278=|NP_001341834.1:p.Gln219=|ENSP00000423224.1:p.Gln260=|NP_001341824.1:p.Gln278=|NP_001341827.1:p.Gln253=|NP_001341833.1:p.Gln253=|ENSP00000424265.1:p.Gln278=|NP_001341825.1:p.Gln278=|NP_001341829.1:p.Gln219=|NP_001341826.1:p.Gln288=|NP_001120983.2:p.Gln260=</t>
        </is>
      </c>
      <c r="M144" t="inlineStr">
        <is>
          <t>NM_001127510.3:c.834G&gt;A|NM_001354906.2:c.-202G&gt;A|ENST00000457016.1:c.834G&gt;A|NM_000038.6:c.834G&gt;A|ENST00000507379.1:c.780G&gt;A|NM_001354896.2:c.834G&gt;A|NM_001354898.2:c.759G&gt;A|NM_001354900.2:c.657G&gt;A|ENST00000508624.1:c.834G&gt;A|ENST00000257430.4:c.834G&gt;A|NM_001354902.2:c.864G&gt;A|NM_001354905.2:c.657G&gt;A|NM_001354901.2:c.657G&gt;A|NM_001127511.3:c.780G&gt;A|NM_001354895.2:c.834G&gt;A|NM_001354903.2:c.834G&gt;A|ENST00000508376.2:c.834G&gt;A|NM_001354904.2:c.759G&gt;A|NM_001354899.2:c.750G&gt;A|ENST00000512211.2:c.834G&gt;A|NM_001354897.2:c.864G&gt;A</t>
        </is>
      </c>
      <c r="N144" t="inlineStr"/>
      <c r="O144" t="inlineStr"/>
      <c r="P144" t="inlineStr"/>
      <c r="Q144" t="inlineStr"/>
      <c r="R144" t="inlineStr"/>
      <c r="S144" t="inlineStr"/>
    </row>
    <row r="145">
      <c r="A145" t="inlineStr">
        <is>
          <t>5</t>
        </is>
      </c>
      <c r="B145" t="n">
        <v>112170860</v>
      </c>
      <c r="C145" t="inlineStr">
        <is>
          <t>C</t>
        </is>
      </c>
      <c r="D145" t="inlineStr">
        <is>
          <t>T</t>
        </is>
      </c>
      <c r="E145" t="inlineStr">
        <is>
          <t>419202</t>
        </is>
      </c>
      <c r="F145">
        <f>HYPERLINK("https://www.ncbi.nlm.nih.gov/clinvar/variation/419202/","ClinVarDB")</f>
        <v/>
      </c>
      <c r="G145" t="inlineStr">
        <is>
          <t>criteria_provided|_multiple_submitters|_no_conflicts</t>
        </is>
      </c>
      <c r="H145" t="inlineStr">
        <is>
          <t>Carcinoma_of_colon|Hereditary_cancer-predisposing_syndrome|Familial_adenomatous_polyposis_1|not_provided</t>
        </is>
      </c>
      <c r="I145" t="inlineStr">
        <is>
          <t>Likely_pathogenic</t>
        </is>
      </c>
      <c r="J145" t="inlineStr">
        <is>
          <t>APC</t>
        </is>
      </c>
      <c r="K145" t="inlineStr">
        <is>
          <t>splice_region_variant&amp;synonymous_variant|splice_region_variant&amp;3_prime_UTR_variant&amp;NMD_transcript_variant|splice_region_variant&amp;non_coding_transcript_exon_variant|intron_variant&amp;NMD_transcript_variant</t>
        </is>
      </c>
      <c r="L145" t="inlineStr">
        <is>
          <t>|NP_001341834.1:p.His492=|NP_001341835.1:p.His369=|ENSP00000257430.4:p.His652=|NP_000029.2:p.His652=|ENSP00000473355.1:p.His215=|NP_001120983.2:p.His634=|NP_001341830.1:p.His593=|ENSP00000413133.1:p.His652=|NP_001341832.1:p.His551=|NP_001341833.1:p.His526=|NP_001341828.1:p.His624=|NP_001341825.1:p.His670=|NP_001341829.1:p.His611=|NP_001341824.1:p.His652=|NP_001341831.1:p.His561=|ENSP00000427089.2:p.His652=|NP_001120982.1:p.His652=|ENSP00000423828.2:p.His652=|NP_001341827.1:p.His627=|ENSP00000423224.1:p.His634=|NP_001341826.1:p.His662=</t>
        </is>
      </c>
      <c r="M145" t="inlineStr">
        <is>
          <t>NM_001127510.3:c.1956C&gt;T|ENST00000502371.1:n.309C&gt;T|ENST00000504915.2:c.645C&gt;T|NM_001354899.2:c.1872C&gt;T|ENST00000257430.4:c.1956C&gt;T|NM_001354901.2:c.1779C&gt;T|ENST00000514164.1:n.351C&gt;T|NM_001127511.3:c.1902C&gt;T|NM_001354896.2:c.2010C&gt;T|ENST00000520401.1:c.230+6191C&gt;T|NM_001354906.2:c.1107C&gt;T|ENST00000508624.1:c.*1278C&gt;T|ENST00000507379.1:c.1902C&gt;T|ENST00000457016.1:c.1956C&gt;T|NM_001354902.2:c.1683C&gt;T|NM_001354903.2:c.1653C&gt;T|NM_001354895.2:c.1956C&gt;T|NM_001354900.2:c.1833C&gt;T|NM_001354904.2:c.1578C&gt;T|ENST00000512211.2:c.1956C&gt;T|NM_001354905.2:c.1476C&gt;T|NM_000038.6:c.1956C&gt;T|NM_001354898.2:c.1881C&gt;T|NM_001354897.2:c.1986C&gt;T|ENST00000508376.2:c.1956C&gt;T</t>
        </is>
      </c>
      <c r="N145" t="inlineStr"/>
      <c r="O145" t="inlineStr"/>
      <c r="P145" t="inlineStr"/>
      <c r="Q145" t="inlineStr"/>
      <c r="R145" t="inlineStr"/>
      <c r="S145" t="inlineStr"/>
    </row>
    <row r="146">
      <c r="A146" t="inlineStr">
        <is>
          <t>5</t>
        </is>
      </c>
      <c r="B146" t="n">
        <v>112170865</v>
      </c>
      <c r="C146" t="inlineStr">
        <is>
          <t>A</t>
        </is>
      </c>
      <c r="D146" t="inlineStr">
        <is>
          <t>G</t>
        </is>
      </c>
      <c r="E146" t="inlineStr">
        <is>
          <t>245982</t>
        </is>
      </c>
      <c r="F146">
        <f>HYPERLINK("https://www.ncbi.nlm.nih.gov/clinvar/variation/245982/","ClinVarDB")</f>
        <v/>
      </c>
      <c r="G146" t="inlineStr">
        <is>
          <t>criteria_provided|_multiple_submitters|_no_conflicts</t>
        </is>
      </c>
      <c r="H146" t="inlineStr">
        <is>
          <t>Familial_multiple_polyposis_syndrome|Familial_adenomatous_polyposis_1|not_provided</t>
        </is>
      </c>
      <c r="I146" t="inlineStr">
        <is>
          <t>Pathogenic</t>
        </is>
      </c>
      <c r="J146" t="inlineStr">
        <is>
          <t>APC</t>
        </is>
      </c>
      <c r="K146" t="inlineStr">
        <is>
          <t>splice_region_variant&amp;intron_variant|splice_region_variant&amp;intron_variant&amp;NMD_transcript_variant|splice_region_variant&amp;intron_variant&amp;non_coding_transcript_variant|intron_variant&amp;NMD_transcript_variant</t>
        </is>
      </c>
      <c r="L146" t="inlineStr"/>
      <c r="M146" t="inlineStr">
        <is>
          <t>ENST00000504915.2:c.647+3A&gt;G|ENST00000512211.2:c.1958+3A&gt;G|ENST00000457016.1:c.1958+3A&gt;G|ENST00000507379.1:c.1904+3A&gt;G|NM_001127510.3:c.1958+3A&gt;G|NM_001354901.2:c.1781+3A&gt;G|ENST00000257430.4:c.1958+3A&gt;G|ENST00000508624.1:c.*1280+3A&gt;G|NM_001354898.2:c.1883+3A&gt;G|ENST00000508376.2:c.1958+3A&gt;G|NM_001354906.2:c.1109+3A&gt;G|NM_001354905.2:c.1478+3A&gt;G|NM_000038.6:c.1958+3A&gt;G|ENST00000520401.1:c.230+6196A&gt;G|ENST00000502371.1:n.311+3A&gt;G|NM_001354895.2:c.1958+3A&gt;G|NM_001354904.2:c.1580+3A&gt;G|NM_001127511.3:c.1904+3A&gt;G|NM_001354896.2:c.2012+3A&gt;G|ENST00000514164.1:n.353+3A&gt;G|NM_001354902.2:c.1685+3A&gt;G|NM_001354897.2:c.1988+3A&gt;G|NM_001354899.2:c.1874+3A&gt;G|NM_001354903.2:c.1655+3A&gt;G|NM_001354900.2:c.1835+3A&gt;G</t>
        </is>
      </c>
      <c r="N146" t="inlineStr"/>
      <c r="O146" t="inlineStr"/>
      <c r="P146" t="inlineStr"/>
      <c r="Q146" t="inlineStr"/>
      <c r="R146" t="inlineStr"/>
      <c r="S146" t="inlineStr"/>
    </row>
    <row r="147">
      <c r="A147" t="inlineStr">
        <is>
          <t>5</t>
        </is>
      </c>
      <c r="B147" t="n">
        <v>112155044</v>
      </c>
      <c r="C147" t="inlineStr">
        <is>
          <t>A</t>
        </is>
      </c>
      <c r="D147" t="inlineStr">
        <is>
          <t>G</t>
        </is>
      </c>
      <c r="E147" t="inlineStr">
        <is>
          <t>217924</t>
        </is>
      </c>
      <c r="F147">
        <f>HYPERLINK("https://www.ncbi.nlm.nih.gov/clinvar/variation/217924/","ClinVarDB")</f>
        <v/>
      </c>
      <c r="G147" t="inlineStr">
        <is>
          <t>criteria_provided|_multiple_submitters|_no_conflicts</t>
        </is>
      </c>
      <c r="H147" t="inlineStr">
        <is>
          <t>Hepatocellular_carcinoma|Neoplasm_of_stomach|Carcinoma_of_colon|Hereditary_cancer-predisposing_syndrome|Familial_adenomatous_polyposis_1|Desmoid_disease|_hereditary|not_provided</t>
        </is>
      </c>
      <c r="I147" t="inlineStr">
        <is>
          <t>Pathogenic/Likely_pathogenic</t>
        </is>
      </c>
      <c r="J147" t="inlineStr">
        <is>
          <t>APC</t>
        </is>
      </c>
      <c r="K147" t="inlineStr">
        <is>
          <t>splice_region_variant&amp;intron_variant|splice_region_variant&amp;intron_variant&amp;NMD_transcript_variant|splice_region_variant&amp;intron_variant&amp;non_coding_transcript_variant</t>
        </is>
      </c>
      <c r="L147" t="inlineStr"/>
      <c r="M147" t="inlineStr">
        <is>
          <t>ENST00000257430.4:c.1312+3A&gt;G|NM_001354896.2:c.1312+3A&gt;G|ENST00000457016.1:c.1312+3A&gt;G|ENST00000507379.1:c.1258+3A&gt;G|NM_001127510.3:c.1312+3A&gt;G|NM_001354897.2:c.1342+3A&gt;G|NM_001354898.2:c.1237+3A&gt;G|ENST00000512211.2:c.1312+3A&gt;G|NM_001354904.2:c.934+3A&gt;G|NM_000038.6:c.1312+3A&gt;G|NM_001354900.2:c.1135+3A&gt;G|NM_001354895.2:c.1312+3A&gt;G|ENST00000508624.1:c.*634+3A&gt;G|NM_001354903.2:c.1009+3A&gt;G|NM_001354902.2:c.1039+3A&gt;G|NM_001127511.3:c.1258+3A&gt;G|NM_001354901.2:c.1135+3A&gt;G|NM_001354906.2:c.463+3A&gt;G|NM_001354905.2:c.832+3A&gt;G|ENST00000508376.2:c.1312+3A&gt;G|ENST00000506342.1:n.392+3A&gt;G|NM_001354899.2:c.1228+3A&gt;G</t>
        </is>
      </c>
      <c r="N147" t="inlineStr"/>
      <c r="O147" t="inlineStr"/>
      <c r="P147" t="inlineStr"/>
      <c r="Q147" t="inlineStr"/>
      <c r="R147" t="inlineStr"/>
      <c r="S147" t="inlineStr"/>
    </row>
    <row r="148">
      <c r="A148" t="inlineStr">
        <is>
          <t>5</t>
        </is>
      </c>
      <c r="B148" t="n">
        <v>112155046</v>
      </c>
      <c r="C148" t="inlineStr">
        <is>
          <t>G</t>
        </is>
      </c>
      <c r="D148" t="inlineStr">
        <is>
          <t>A</t>
        </is>
      </c>
      <c r="E148" t="inlineStr">
        <is>
          <t>411416</t>
        </is>
      </c>
      <c r="F148">
        <f>HYPERLINK("https://www.ncbi.nlm.nih.gov/clinvar/variation/411416/","ClinVarDB")</f>
        <v/>
      </c>
      <c r="G148" t="inlineStr">
        <is>
          <t>criteria_provided|_multiple_submitters|_no_conflicts</t>
        </is>
      </c>
      <c r="H148" t="inlineStr">
        <is>
          <t>Hereditary_cancer-predisposing_syndrome|Familial_multiple_polyposis_syndrome|Familial_adenomatous_polyposis_1|not_provided</t>
        </is>
      </c>
      <c r="I148" t="inlineStr">
        <is>
          <t>Pathogenic</t>
        </is>
      </c>
      <c r="J148" t="inlineStr">
        <is>
          <t>APC</t>
        </is>
      </c>
      <c r="K148" t="inlineStr">
        <is>
          <t>splice_region_variant&amp;intron_variant|splice_region_variant&amp;intron_variant&amp;NMD_transcript_variant|splice_region_variant&amp;intron_variant&amp;non_coding_transcript_variant</t>
        </is>
      </c>
      <c r="L148" t="inlineStr"/>
      <c r="M148" t="inlineStr">
        <is>
          <t>NM_001354906.2:c.463+5G&gt;A|NM_001354896.2:c.1312+5G&gt;A|NM_001354898.2:c.1237+5G&gt;A|NM_001354900.2:c.1135+5G&gt;A|ENST00000257430.4:c.1312+5G&gt;A|NM_000038.6:c.1312+5G&gt;A|NM_001354899.2:c.1228+5G&gt;A|ENST00000506342.1:n.392+5G&gt;A|NM_001354897.2:c.1342+5G&gt;A|NM_001354902.2:c.1039+5G&gt;A|ENST00000512211.2:c.1312+5G&gt;A|ENST00000457016.1:c.1312+5G&gt;A|NM_001354905.2:c.832+5G&gt;A|ENST00000508376.2:c.1312+5G&gt;A|ENST00000508624.1:c.*634+5G&gt;A|NM_001354903.2:c.1009+5G&gt;A|NM_001127511.3:c.1258+5G&gt;A|ENST00000507379.1:c.1258+5G&gt;A|NM_001354895.2:c.1312+5G&gt;A|NM_001354904.2:c.934+5G&gt;A|NM_001354901.2:c.1135+5G&gt;A|NM_001127510.3:c.1312+5G&gt;A</t>
        </is>
      </c>
      <c r="N148" t="inlineStr"/>
      <c r="O148" t="inlineStr"/>
      <c r="P148" t="inlineStr"/>
      <c r="Q148" t="inlineStr"/>
      <c r="R148" t="inlineStr"/>
      <c r="S148" t="inlineStr"/>
    </row>
    <row r="149">
      <c r="A149" t="inlineStr">
        <is>
          <t>5</t>
        </is>
      </c>
      <c r="B149" t="n">
        <v>112155046</v>
      </c>
      <c r="C149" t="inlineStr">
        <is>
          <t>G</t>
        </is>
      </c>
      <c r="D149" t="inlineStr">
        <is>
          <t>C</t>
        </is>
      </c>
      <c r="E149" t="inlineStr">
        <is>
          <t>265372</t>
        </is>
      </c>
      <c r="F149">
        <f>HYPERLINK("https://www.ncbi.nlm.nih.gov/clinvar/variation/265372/","ClinVarDB")</f>
        <v/>
      </c>
      <c r="G149" t="inlineStr">
        <is>
          <t>criteria_provided|_multiple_submitters|_no_conflicts</t>
        </is>
      </c>
      <c r="H149" t="inlineStr">
        <is>
          <t>Familial_adenomatous_polyposis_1|not_provided</t>
        </is>
      </c>
      <c r="I149" t="inlineStr">
        <is>
          <t>Likely_pathogenic</t>
        </is>
      </c>
      <c r="J149" t="inlineStr">
        <is>
          <t>APC</t>
        </is>
      </c>
      <c r="K149" t="inlineStr">
        <is>
          <t>splice_region_variant&amp;intron_variant|splice_region_variant&amp;intron_variant&amp;NMD_transcript_variant|splice_region_variant&amp;intron_variant&amp;non_coding_transcript_variant</t>
        </is>
      </c>
      <c r="L149" t="inlineStr"/>
      <c r="M149" t="inlineStr">
        <is>
          <t>NM_001354899.2:c.1228+5G&gt;C|ENST00000506342.1:n.392+5G&gt;C|NM_001354903.2:c.1009+5G&gt;C|NM_001354902.2:c.1039+5G&gt;C|NM_001354895.2:c.1312+5G&gt;C|NM_001354896.2:c.1312+5G&gt;C|NM_001354898.2:c.1237+5G&gt;C|ENST00000512211.2:c.1312+5G&gt;C|NM_001127510.3:c.1312+5G&gt;C|ENST00000507379.1:c.1258+5G&gt;C|NM_001354897.2:c.1342+5G&gt;C|ENST00000508376.2:c.1312+5G&gt;C|NM_001354901.2:c.1135+5G&gt;C|ENST00000457016.1:c.1312+5G&gt;C|NM_000038.6:c.1312+5G&gt;C|ENST00000508624.1:c.*634+5G&gt;C|NM_001354904.2:c.934+5G&gt;C|NM_001354905.2:c.832+5G&gt;C|NM_001354906.2:c.463+5G&gt;C|NM_001354900.2:c.1135+5G&gt;C|ENST00000257430.4:c.1312+5G&gt;C|NM_001127511.3:c.1258+5G&gt;C</t>
        </is>
      </c>
      <c r="N149" t="inlineStr"/>
      <c r="O149" t="inlineStr"/>
      <c r="P149" t="inlineStr"/>
      <c r="Q149" t="inlineStr"/>
      <c r="R149" t="inlineStr"/>
      <c r="S149" t="inlineStr"/>
    </row>
    <row r="150">
      <c r="A150" t="inlineStr">
        <is>
          <t>5</t>
        </is>
      </c>
      <c r="B150" t="n">
        <v>112111437</v>
      </c>
      <c r="C150" t="inlineStr">
        <is>
          <t>A</t>
        </is>
      </c>
      <c r="D150" t="inlineStr">
        <is>
          <t>C</t>
        </is>
      </c>
      <c r="E150" t="inlineStr">
        <is>
          <t>428099</t>
        </is>
      </c>
      <c r="F150">
        <f>HYPERLINK("https://www.ncbi.nlm.nih.gov/clinvar/variation/428099/","ClinVarDB")</f>
        <v/>
      </c>
      <c r="G150" t="inlineStr">
        <is>
          <t>criteria_provided|_multiple_submitters|_no_conflicts</t>
        </is>
      </c>
      <c r="H150" t="inlineStr">
        <is>
          <t>Hereditary_cancer-predisposing_syndrome|Familial_adenomatous_polyposis_1</t>
        </is>
      </c>
      <c r="I150" t="inlineStr">
        <is>
          <t>Likely_pathogenic</t>
        </is>
      </c>
      <c r="J150" t="inlineStr">
        <is>
          <t>APC</t>
        </is>
      </c>
      <c r="K150" t="inlineStr">
        <is>
          <t>splice_region_variant&amp;intron_variant|splice_region_variant&amp;intron_variant&amp;NMD_transcript_variant</t>
        </is>
      </c>
      <c r="L150" t="inlineStr"/>
      <c r="M150" t="inlineStr">
        <is>
          <t>NM_001354903.2:c.531+3A&gt;C|NM_001354898.2:c.456+3A&gt;C|ENST00000457016.1:c.531+3A&gt;C|NM_001354900.2:c.354+3A&gt;C|ENST00000512211.2:c.531+3A&gt;C|ENST00000507379.1:c.561+3A&gt;C|NM_001354896.2:c.531+3A&gt;C|NM_001127510.3:c.531+3A&gt;C|ENST00000508624.1:c.531+3A&gt;C|NM_001354902.2:c.561+3A&gt;C|NM_001127511.3:c.561+3A&gt;C|ENST00000257430.4:c.531+3A&gt;C|NM_001354906.2:c.-505+3A&gt;C|NM_000038.6:c.531+3A&gt;C|NM_001354899.2:c.531+3A&gt;C|ENST00000508376.2:c.531+3A&gt;C|NM_001354895.2:c.531+3A&gt;C|NM_001354897.2:c.561+3A&gt;C|NM_001354904.2:c.456+3A&gt;C|NM_001354905.2:c.354+3A&gt;C|NM_001354901.2:c.354+3A&gt;C</t>
        </is>
      </c>
      <c r="N150" t="inlineStr"/>
      <c r="O150" t="inlineStr"/>
      <c r="P150" t="inlineStr"/>
      <c r="Q150" t="inlineStr"/>
      <c r="R150" t="inlineStr"/>
      <c r="S150" t="inlineStr"/>
    </row>
    <row r="151">
      <c r="A151" t="inlineStr">
        <is>
          <t>5</t>
        </is>
      </c>
      <c r="B151" t="n">
        <v>112111439</v>
      </c>
      <c r="C151" t="inlineStr">
        <is>
          <t>G</t>
        </is>
      </c>
      <c r="D151" t="inlineStr">
        <is>
          <t>C</t>
        </is>
      </c>
      <c r="E151" t="inlineStr">
        <is>
          <t>279681</t>
        </is>
      </c>
      <c r="F151">
        <f>HYPERLINK("https://www.ncbi.nlm.nih.gov/clinvar/variation/279681/","ClinVarDB")</f>
        <v/>
      </c>
      <c r="G151" t="inlineStr">
        <is>
          <t>criteria_provided|_multiple_submitters|_no_conflicts</t>
        </is>
      </c>
      <c r="H151" t="inlineStr">
        <is>
          <t>Hereditary_cancer-predisposing_syndrome|Familial_adenomatous_polyposis_1|not_provided</t>
        </is>
      </c>
      <c r="I151" t="inlineStr">
        <is>
          <t>Pathogenic</t>
        </is>
      </c>
      <c r="J151" t="inlineStr">
        <is>
          <t>APC</t>
        </is>
      </c>
      <c r="K151" t="inlineStr">
        <is>
          <t>splice_region_variant&amp;intron_variant|splice_region_variant&amp;intron_variant&amp;NMD_transcript_variant</t>
        </is>
      </c>
      <c r="L151" t="inlineStr"/>
      <c r="M151" t="inlineStr">
        <is>
          <t>NM_001354906.2:c.-505+5G&gt;C|NM_000038.6:c.531+5G&gt;C|NM_001354900.2:c.354+5G&gt;C|NM_001354901.2:c.354+5G&gt;C|NM_001354905.2:c.354+5G&gt;C|ENST00000512211.2:c.531+5G&gt;C|ENST00000508376.2:c.531+5G&gt;C|ENST00000457016.1:c.531+5G&gt;C|NM_001354896.2:c.531+5G&gt;C|ENST00000507379.1:c.561+5G&gt;C|NM_001354895.2:c.531+5G&gt;C|NM_001354899.2:c.531+5G&gt;C|ENST00000257430.4:c.531+5G&gt;C|NM_001354897.2:c.561+5G&gt;C|ENST00000508624.1:c.531+5G&gt;C|NM_001354903.2:c.531+5G&gt;C|NM_001354904.2:c.456+5G&gt;C|NM_001127510.3:c.531+5G&gt;C|NM_001354898.2:c.456+5G&gt;C|NM_001127511.3:c.561+5G&gt;C|NM_001354902.2:c.561+5G&gt;C</t>
        </is>
      </c>
      <c r="N151" t="inlineStr"/>
      <c r="O151" t="inlineStr"/>
      <c r="P151" t="inlineStr"/>
      <c r="Q151" t="inlineStr"/>
      <c r="R151" t="inlineStr"/>
      <c r="S151" t="inlineStr"/>
    </row>
    <row r="152">
      <c r="A152" t="inlineStr">
        <is>
          <t>5</t>
        </is>
      </c>
      <c r="B152" t="n">
        <v>112116479</v>
      </c>
      <c r="C152" t="inlineStr">
        <is>
          <t>G</t>
        </is>
      </c>
      <c r="D152" t="inlineStr">
        <is>
          <t>A</t>
        </is>
      </c>
      <c r="E152" t="inlineStr">
        <is>
          <t>411469</t>
        </is>
      </c>
      <c r="F152">
        <f>HYPERLINK("https://www.ncbi.nlm.nih.gov/clinvar/variation/411469/","ClinVarDB")</f>
        <v/>
      </c>
      <c r="G152" t="inlineStr">
        <is>
          <t>criteria_provided|_multiple_submitters|_no_conflicts</t>
        </is>
      </c>
      <c r="H152" t="inlineStr">
        <is>
          <t>Carcinoma_of_colon|Hereditary_cancer-predisposing_syndrome|Familial_adenomatous_polyposis_1</t>
        </is>
      </c>
      <c r="I152" t="inlineStr">
        <is>
          <t>Pathogenic/Likely_pathogenic</t>
        </is>
      </c>
      <c r="J152" t="inlineStr">
        <is>
          <t>APC</t>
        </is>
      </c>
      <c r="K152" t="inlineStr">
        <is>
          <t>splice_region_variant&amp;intron_variant|splice_region_variant&amp;intron_variant&amp;NMD_transcript_variant</t>
        </is>
      </c>
      <c r="L152" t="inlineStr"/>
      <c r="M152" t="inlineStr">
        <is>
          <t>NM_001354895.2:c.532-8G&gt;A|NM_001127511.3:c.562-8G&gt;A|NM_001127510.3:c.532-8G&gt;A|ENST00000507379.1:c.562-8G&gt;A|NM_001354902.2:c.562-8G&gt;A|NM_000038.6:c.532-8G&gt;A|ENST00000457016.1:c.532-8G&gt;A|NM_001354905.2:c.355-8G&gt;A|NM_001354896.2:c.532-8G&gt;A|ENST00000257430.4:c.532-8G&gt;A|NM_001354899.2:c.532-8G&gt;A|NM_001354903.2:c.532-8G&gt;A|NM_001354897.2:c.562-8G&gt;A|NM_001354904.2:c.457-8G&gt;A|ENST00000508624.1:c.532-8G&gt;A|ENST00000508376.2:c.532-8G&gt;A|NM_001354906.2:c.-504-8G&gt;A|NM_001354898.2:c.457-8G&gt;A|NM_001354901.2:c.355-8G&gt;A|ENST00000512211.2:c.532-8G&gt;A|NM_001354900.2:c.355-8G&gt;A</t>
        </is>
      </c>
      <c r="N152" t="inlineStr"/>
      <c r="O152" t="inlineStr"/>
      <c r="P152" t="inlineStr"/>
      <c r="Q152" t="inlineStr"/>
      <c r="R152" t="inlineStr"/>
      <c r="S152" t="inlineStr"/>
    </row>
    <row r="153">
      <c r="A153" t="inlineStr">
        <is>
          <t>5</t>
        </is>
      </c>
      <c r="B153" t="n">
        <v>112151184</v>
      </c>
      <c r="C153" t="inlineStr">
        <is>
          <t>A</t>
        </is>
      </c>
      <c r="D153" t="inlineStr">
        <is>
          <t>G</t>
        </is>
      </c>
      <c r="E153" t="inlineStr">
        <is>
          <t>418007</t>
        </is>
      </c>
      <c r="F153">
        <f>HYPERLINK("https://www.ncbi.nlm.nih.gov/clinvar/variation/418007/","ClinVarDB")</f>
        <v/>
      </c>
      <c r="G153" t="inlineStr">
        <is>
          <t>criteria_provided|_multiple_submitters|_no_conflicts</t>
        </is>
      </c>
      <c r="H153" t="inlineStr">
        <is>
          <t>Familial_adenomatous_polyposis_1|not_provided</t>
        </is>
      </c>
      <c r="I153" t="inlineStr">
        <is>
          <t>Pathogenic/Likely_pathogenic</t>
        </is>
      </c>
      <c r="J153" t="inlineStr">
        <is>
          <t>APC</t>
        </is>
      </c>
      <c r="K153" t="inlineStr">
        <is>
          <t>splice_region_variant&amp;intron_variant|splice_region_variant&amp;intron_variant&amp;NMD_transcript_variant</t>
        </is>
      </c>
      <c r="L153" t="inlineStr"/>
      <c r="M153" t="inlineStr">
        <is>
          <t>NM_001354904.2:c.760-8A&gt;G|NM_001127511.3:c.781-8A&gt;G|NM_001354906.2:c.-15-8A&gt;G|ENST00000257430.4:c.835-8A&gt;G|ENST00000508376.2:c.835-8A&gt;G|NM_001354896.2:c.835-8A&gt;G|NM_001127510.3:c.835-8A&gt;G|NM_001354903.2:c.835-8A&gt;G|ENST00000508624.1:c.*157-8A&gt;G|NM_001354905.2:c.658-8A&gt;G|NM_001354897.2:c.865-8A&gt;G|NM_000038.6:c.835-8A&gt;G|NM_001354898.2:c.760-8A&gt;G|ENST00000457016.1:c.835-8A&gt;G|ENST00000507379.1:c.781-8A&gt;G|NM_001354895.2:c.835-8A&gt;G|NM_001354901.2:c.658-8A&gt;G|ENST00000512211.2:c.835-8A&gt;G|NM_001354900.2:c.658-8A&gt;G|NM_001354902.2:c.865-8A&gt;G|NM_001354899.2:c.751-8A&gt;G</t>
        </is>
      </c>
      <c r="N153" t="inlineStr"/>
      <c r="O153" t="inlineStr"/>
      <c r="P153" t="inlineStr"/>
      <c r="Q153" t="inlineStr"/>
      <c r="R153" t="inlineStr"/>
      <c r="S153" t="inlineStr"/>
    </row>
    <row r="154">
      <c r="A154" t="inlineStr">
        <is>
          <t>5</t>
        </is>
      </c>
      <c r="B154" t="n">
        <v>112043223</v>
      </c>
      <c r="C154" t="inlineStr">
        <is>
          <t>A</t>
        </is>
      </c>
      <c r="D154" t="inlineStr">
        <is>
          <t>G</t>
        </is>
      </c>
      <c r="E154" t="inlineStr">
        <is>
          <t>243006</t>
        </is>
      </c>
      <c r="F154">
        <f>HYPERLINK("https://www.ncbi.nlm.nih.gov/clinvar/variation/243006/","ClinVarDB")</f>
        <v/>
      </c>
      <c r="G154" t="inlineStr">
        <is>
          <t>criteria_provided|_multiple_submitters|_no_conflicts</t>
        </is>
      </c>
      <c r="H154" t="inlineStr">
        <is>
          <t>Gastric_adenocarcinoma_and_proximal_polyposis_of_the_stomach|Familial_adenomatous_polyposis_1|not_provided</t>
        </is>
      </c>
      <c r="I154" t="inlineStr">
        <is>
          <t>Likely_pathogenic</t>
        </is>
      </c>
      <c r="J154" t="inlineStr">
        <is>
          <t>APC</t>
        </is>
      </c>
      <c r="K154" t="inlineStr">
        <is>
          <t>non_coding_transcript_exon_variant|5_prime_UTR_variant|regulatory_region_variant</t>
        </is>
      </c>
      <c r="L154" t="inlineStr"/>
      <c r="M154" t="inlineStr">
        <is>
          <t>|NM_001354902.2:c.-192A&gt;G|ENST00000507379.1:c.-192A&gt;G|ENST00000457016.1:c.-375A&gt;G|NM_001354895.2:c.-375A&gt;G|NM_001354897.2:c.-192A&gt;G|ENST00000505350.1:n.6A&gt;G|NM_001127511.3:c.-192A&gt;G|ENST00000509732.1:c.-142A&gt;G</t>
        </is>
      </c>
      <c r="N154" t="inlineStr"/>
      <c r="O154" t="inlineStr"/>
      <c r="P154" t="inlineStr"/>
      <c r="Q154" t="inlineStr">
        <is>
          <t>3.186129833920859e-05</t>
        </is>
      </c>
      <c r="R154" t="n">
        <v>1</v>
      </c>
      <c r="S154" t="inlineStr">
        <is>
          <t>0</t>
        </is>
      </c>
    </row>
    <row r="155">
      <c r="A155" t="inlineStr">
        <is>
          <t>5</t>
        </is>
      </c>
      <c r="B155" t="n">
        <v>112043224</v>
      </c>
      <c r="C155" t="inlineStr">
        <is>
          <t>T</t>
        </is>
      </c>
      <c r="D155" t="inlineStr">
        <is>
          <t>C</t>
        </is>
      </c>
      <c r="E155" t="inlineStr">
        <is>
          <t>243005</t>
        </is>
      </c>
      <c r="F155">
        <f>HYPERLINK("https://www.ncbi.nlm.nih.gov/clinvar/variation/243005/","ClinVarDB")</f>
        <v/>
      </c>
      <c r="G155" t="inlineStr">
        <is>
          <t>criteria_provided|_multiple_submitters|_no_conflicts</t>
        </is>
      </c>
      <c r="H155" t="inlineStr">
        <is>
          <t>Hereditary_cancer-predisposing_syndrome|Gastric_adenocarcinoma_and_proximal_polyposis_of_the_stomach|Familial_adenomatous_polyposis_1|not_provided</t>
        </is>
      </c>
      <c r="I155" t="inlineStr">
        <is>
          <t>Pathogenic</t>
        </is>
      </c>
      <c r="J155" t="inlineStr">
        <is>
          <t>APC</t>
        </is>
      </c>
      <c r="K155" t="inlineStr">
        <is>
          <t>non_coding_transcript_exon_variant|5_prime_UTR_variant|regulatory_region_variant</t>
        </is>
      </c>
      <c r="L155" t="inlineStr"/>
      <c r="M155" t="inlineStr">
        <is>
          <t>|ENST00000507379.1:c.-191T&gt;C|NM_001354897.2:c.-191T&gt;C|ENST00000505350.1:n.7T&gt;C|NM_001354902.2:c.-191T&gt;C|NM_001127511.3:c.-191T&gt;C|NM_001354895.2:c.-374T&gt;C|ENST00000457016.1:c.-374T&gt;C|ENST00000509732.1:c.-141T&gt;C</t>
        </is>
      </c>
      <c r="N155" t="inlineStr"/>
      <c r="O155" t="inlineStr"/>
      <c r="P155" t="inlineStr"/>
      <c r="Q155" t="inlineStr"/>
      <c r="R155" t="inlineStr"/>
      <c r="S155" t="inlineStr"/>
    </row>
    <row r="156">
      <c r="A156" t="inlineStr">
        <is>
          <t>5</t>
        </is>
      </c>
      <c r="B156" t="n">
        <v>112043225</v>
      </c>
      <c r="C156" t="inlineStr">
        <is>
          <t>G</t>
        </is>
      </c>
      <c r="D156" t="inlineStr">
        <is>
          <t>A</t>
        </is>
      </c>
      <c r="E156" t="inlineStr">
        <is>
          <t>243008</t>
        </is>
      </c>
      <c r="F156">
        <f>HYPERLINK("https://www.ncbi.nlm.nih.gov/clinvar/variation/243008/","ClinVarDB")</f>
        <v/>
      </c>
      <c r="G156" t="inlineStr">
        <is>
          <t>criteria_provided|_multiple_submitters|_no_conflicts</t>
        </is>
      </c>
      <c r="H156" t="inlineStr">
        <is>
          <t>Familial_adenomatous_polyposis_1</t>
        </is>
      </c>
      <c r="I156" t="inlineStr">
        <is>
          <t>Pathogenic</t>
        </is>
      </c>
      <c r="J156" t="inlineStr">
        <is>
          <t>APC</t>
        </is>
      </c>
      <c r="K156" t="inlineStr">
        <is>
          <t>non_coding_transcript_exon_variant|5_prime_UTR_variant|regulatory_region_variant</t>
        </is>
      </c>
      <c r="L156" t="inlineStr"/>
      <c r="M156" t="inlineStr">
        <is>
          <t>ENST00000507379.1:c.-190G&gt;A|ENST00000509732.1:c.-140G&gt;A||ENST00000457016.1:c.-373G&gt;A|NM_001354895.2:c.-373G&gt;A|NM_001354897.2:c.-190G&gt;A|NM_001127511.3:c.-190G&gt;A|ENST00000505350.1:n.8G&gt;A|NM_001354902.2:c.-190G&gt;A</t>
        </is>
      </c>
      <c r="N156" t="inlineStr"/>
      <c r="O156" t="inlineStr"/>
      <c r="P156" t="inlineStr"/>
      <c r="Q156" t="inlineStr"/>
      <c r="R156" t="inlineStr"/>
      <c r="S156" t="inlineStr"/>
    </row>
    <row r="157">
      <c r="A157" t="inlineStr">
        <is>
          <t>11</t>
        </is>
      </c>
      <c r="B157" t="n">
        <v>32456657</v>
      </c>
      <c r="C157" t="inlineStr">
        <is>
          <t>G</t>
        </is>
      </c>
      <c r="D157" t="inlineStr">
        <is>
          <t>A</t>
        </is>
      </c>
      <c r="E157" t="inlineStr">
        <is>
          <t>978563</t>
        </is>
      </c>
      <c r="F157">
        <f>HYPERLINK("https://www.ncbi.nlm.nih.gov/clinvar/variation/978563/","ClinVarDB")</f>
        <v/>
      </c>
      <c r="G157" t="inlineStr">
        <is>
          <t>criteria_provided|_single_submitter</t>
        </is>
      </c>
      <c r="H157" t="inlineStr">
        <is>
          <t>Nephrotic_syndrome|_type_4</t>
        </is>
      </c>
      <c r="I157" t="inlineStr">
        <is>
          <t>Pathogenic</t>
        </is>
      </c>
      <c r="J157" t="inlineStr">
        <is>
          <t>WT1</t>
        </is>
      </c>
      <c r="K157" t="inlineStr">
        <is>
          <t>synonymous_variant&amp;NMD_transcript_variant|regulatory_region_variant|synonymous_variant|non_coding_transcript_exon_variant</t>
        </is>
      </c>
      <c r="L157" t="inlineStr">
        <is>
          <t>|NP_077744.4:p.Leu84=|NP_000369.4:p.Leu84=|ENSP00000331327.3:p.Leu79=|NP_077742.3:p.Leu84=|ENSP00000413452.3:p.Leu79=|ENSP00000415516.3:p.Leu79=|ENSP00000368368.3:p.Leu79=</t>
        </is>
      </c>
      <c r="M157" t="inlineStr">
        <is>
          <t>|ENST00000379077.3:c.235C&gt;T|NM_000378.6:c.250C&gt;T|NM_024424.5:c.250C&gt;T|ENST00000452863.3:c.235C&gt;T|ENST00000448076.3:c.235C&gt;T|NR_160306.1:n.429C&gt;T|NM_024426.6:c.250C&gt;T|ENST00000332351.3:c.235C&gt;T</t>
        </is>
      </c>
      <c r="N157" t="inlineStr">
        <is>
          <t>9.414249689143617e-06</t>
        </is>
      </c>
      <c r="O157" t="n">
        <v>1</v>
      </c>
      <c r="P157" t="inlineStr">
        <is>
          <t>0</t>
        </is>
      </c>
      <c r="Q157" t="inlineStr"/>
      <c r="R157" t="inlineStr"/>
      <c r="S157" t="inlineStr"/>
    </row>
    <row r="158">
      <c r="A158" t="inlineStr">
        <is>
          <t>11</t>
        </is>
      </c>
      <c r="B158" t="n">
        <v>32414200</v>
      </c>
      <c r="C158" t="inlineStr">
        <is>
          <t>GAACCTACA</t>
        </is>
      </c>
      <c r="D158" t="inlineStr">
        <is>
          <t>G</t>
        </is>
      </c>
      <c r="E158" t="inlineStr">
        <is>
          <t>802667</t>
        </is>
      </c>
      <c r="F158">
        <f>HYPERLINK("https://www.ncbi.nlm.nih.gov/clinvar/variation/802667/","ClinVarDB")</f>
        <v/>
      </c>
      <c r="G158" t="inlineStr">
        <is>
          <t>criteria_provided|_single_submitter</t>
        </is>
      </c>
      <c r="H158" t="inlineStr">
        <is>
          <t>Drash_syndrome</t>
        </is>
      </c>
      <c r="I158" t="inlineStr">
        <is>
          <t>Likely_pathogenic</t>
        </is>
      </c>
      <c r="J158" t="inlineStr">
        <is>
          <t>WT1</t>
        </is>
      </c>
      <c r="K158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158" t="inlineStr"/>
      <c r="M158" t="inlineStr">
        <is>
          <t>NM_001198552.2:c.652+4_652+11del|NR_160306.1:n.1686+4_1686+11del|NM_001367854.1:c.166+4_166+11del|ENST00000530998.1:c.652+4_652+11del|NM_024426.6:c.1354+4_1354+11del|NM_000378.6:c.1303+4_1303+11del|ENST00000527882.1:c.321-598_321-591del|ENST00000448076.3:c.1339+4_1339+11del|NM_001198551.1:c.703+4_703+11del|ENST00000379079.2:c.703+4_703+11del|NM_024424.5:c.1354+4_1354+11del|ENST00000379077.3:c.*538+4_*538+11del|ENST00000332351.3:c.1339+4_1339+11del|ENST00000452863.3:c.1288+4_1288+11del</t>
        </is>
      </c>
      <c r="N158" t="inlineStr"/>
      <c r="O158" t="inlineStr"/>
      <c r="P158" t="inlineStr"/>
      <c r="Q158" t="inlineStr"/>
      <c r="R158" t="inlineStr"/>
      <c r="S158" t="inlineStr"/>
    </row>
    <row r="159">
      <c r="A159" t="inlineStr">
        <is>
          <t>3</t>
        </is>
      </c>
      <c r="B159" t="n">
        <v>10175482</v>
      </c>
      <c r="C159" t="inlineStr">
        <is>
          <t>CATGTGATCCAACAATCTCACTTCTGGGTATATATACATAGGAAATGAAAATCAGTATTTTGAAGAGATATCTGCACTCCCATGTTCATTGCAGCACTATTCACAATAGCCACACTATGGAATCAAGTGTCCATTGCCAGACGAATGGATAAAGAAAATGTGCGCTGGGTGCGGTGGCTCATGCCTGTAATCCCAGCACATTGGGAGGCCAAGACGGGCAGATCACTTGAGATCAGGAATTTGAGACCAGCCTGGCCAACATGGCAAAACCCCATCTCTACTAAAAATACAAAATTAGCCGGGCGCAGTGGTGGGCGCCTGTAATCCCAGTTACTCTGGAGGCTGAGGCAGGAGAATCGCCTAAACCCGGGAGGCGGAGGTTGTGGTGAGCCGAGATCGCACCATTGCACTCCAGCCTGGGCAACAAGAGCGAAACTCCGTCTCAATCAATTAATCGATCAATAAAATACGTTGAACTCACAAAAGCAGGCAGTACAATGGTGGTTGCCAGGGCCAGGGGAGTTGAGATGAAACAGGGAGATATTGGTCAAAGGGTACGAGTCACCCTTTTGGTTGGGAGGAATATATTCTGGACATCTGTTATACAGCATGATGACTATAGTTAATAAATAATGTATATTTGAAAATTGTTAAGAGTGTAGTTTTTTTTTTTTTTCTAAGACGGGGTCTTGCTCTGTCACCCAGGCTGGAGTGCAGTGGTGCGATCTCGACTCACTGCAACCTCTGCCTCCTGGGTGACAGAGCAGGAGCACTGTCATCTTGGACAAACACCACCACTTTAAGTTCCAGCTCCCTTTCTAGCCTCATACATTTCAAGGAAATCACTTCTCTTCTAACCACAAGCAGCCAGAAAGAGCAGACAGTAAAACACAGATAAGACAGCTTGGGCACAGAGGGAAGTAGGGGGAAAGTCTACTTTCCCCCTACTTGGGTAACTGGGTAACTGCCAAACTTCACCCTCATACAATGTGCCCCAGTAAAACAGTGGGCCTTAATAGGCACATTTCTTTCCCTCAGGTGCACTAAGATAGGGAAGCTAAAAGCAGACTCAGGGGACATGCCTGCAGCTGCAGAAAGATGTACGGGAACAGACAACTCTCCCGCCCAGGTAAGCACAACGAAGAGACACAGAAGCAGTCGAAGCCTCTGATAAACTCTCCCACCCTGAATCCTTAAAAACTCTGTAAGATTGTGCAGCTTCTGACCTAACTTGGTCAGAAATCCCTCCCAGGTTTGAAATAAACCTGTTGACTGTCAACCCACCCTTCATGTTTCTCTCCTTTAATTCTGACACTGGGTTCAAGCGATTCTCCTGCCTCAGCCCCCCGCGTAGCTGGGACTACAAGCACCCACCACCATGCCTGGCTAATTTTTGTATTTTTAGTAGAGACAGGGTTTCACCATGTTGGCCAAGCTGGTCTCGAACTCCAGACCTCAGATGATCTGCCTACCTTGGCCTCCCAAAGTGCTGGGCTTACAGGCATGAGCCACCGTGCCCAGCCAAAAGAGTAGATCTTAAATGTTCTCACCACAAAAAAACTGAAGTAATAAATACATTAGCTTTATTTTTTAAATTTTTAATTATTTTACAAAATAGAGATAGGGTCTCACTGTGTTGCCCAGGCTGGTCCTGAACTCTGGGCTCAAGCAATCCTCCCACCTGGGTCTCCCAAAGTGCTGGGATTAACAGACGTGAGCCACTGCACTTGGCCAGCTTGATTATTTTTTAATGGCAAACAAGCTCATGAAAAGATGCTCAACATTGTTAGTCACTAGAGAAGTGTGTCCAGAATTGGTGGGTTCTTGGTCTCACTGACTTCAAGAATGAAGCTGCAGACCCTTGCGGTGAGTGTTACAGTTCTCAAAGGTGGCGTGTCCAGAGTTTGTTCCTTCTGATGTTCGGATGTGTTCAGAGTTTGTTCCTTCTGGTGGCTGCGTGGTCTTGCTGGCTCAGGAGTGAAGCTGCAGACCACCGCGAGTATTACAGCTTTTAAAGCACTGCATCTAGAGTTTTTGGTTCCTCCAAGTGGGTTCGTGGTCTTGCTGGCTTCAGCAGACCTTCACGGTGAGCGTTACAGCTCACAAAGGCAATGCGGACCCAAAGAGTAAGCAATAACAATATTTACCGCAACGACTAAAAGAACAAACCTCTCACGACATACAAATGGACCCAACCGGGTTGCCACTGCTAGCTCTGGCAGCCTGCTTTTATTCTCTTACCTGGCCCCACCCACATCCTGCTGATTGGTCCATTTTACAGAGAGCCCATTGGTCCATTTTACAGAGAGCTGATTGGTCCGTTTTGACAGGGTGCTGATTGGTGTGTTTACAATCCCTGAGCTAAACACAAAGGTTCTCCAAGTCCCCACCAGAGTAGCTAGATACAGAGTGTCGATTGGTGCATTCACAAACCCTGAGCTAGACACAGGGTGCTGATTGGTGTGTTTACAAACCTTGAGCTAGATACAGAGTGCCAATTGGTGTATTTACAATCCCTTACCTAGACATAAAGGTTCTCCAAGTCCCCACCAGACTTAGGAGCCCAGCTGGCTTCACCCAGTGGATCCTGCACCGGGGCGCAGGTGGAGCTGCCTGCCAGTCCCGCACCCTGCACCTGCACTCCTCAGCCCTCAGGTGGTTGATGGGACTGGGCGCAGTGGAGCAGGGGGTGGCGCTCGTCGGGGAGGCTCGGGTGGCACAGGAGCCCACGGAAGAGGGGGGAGGCTCAGGCATGGCGGGCTGCAGCTCCTGGGCCCTGCCCGGCTGGGAGGCAGCTAAGGCCCTGCGAGAAATTGAGCACAGCAGCTGCTGGCCCAGGTGATAAGCCCCTCACTGCCCTGGGCTTGCAGGCCGGCTGAGCCCACGCCCACCCGGAACTTGTGCTAGCCCACAAGCGCCACGGCAGCCCCGGTTCCCGCCCGCACCTCTCCCTCCACACCTCCCTGCAAGCTGAGGGAGCCGGCTCTGGCCTTGGCCAGCCCAGAAAGGGGCTCCCACAGTGCAGCCGCATGCTGGACAGCTCCTCAAGCGTGGCCAGAGTGGTGGCCAAGGCCAAGGAGGTGCCGAGAGTGAGCGAGGGCCGCGAGGGCTGCCAGCACATTGTCACCTCTCAGAAGTACAAATTAAACGTCAATAAGATACCACTATACATCAATTAGAATGGCTAAAATTTTTTTATTTTTAAAGAACAAAACCCCAGGCCAGGCGCGGTGGCTCACGCTTGTAATCCCAGCACTTTGGGAGGCCGAGGTGGGCGGATCACAAGGTCAGGAGATCGAGACCATCCTGGCTAACACGGTGAAACCCCGTCTCTACTAAAGATACGAAAAGTTAGCTGGGCGTGGTGGCGGGCGCCTGTAGCCCCAGCTACTTGGGAGGCTGAGGCAGGAGAATGACATGAACCCCGGAGGTGGAGGTTGCAGTGAGCCGAGATTGTGCCACTGTACTCCAGCCTGGGCGGCAGAGCGAGACTGTCTCAAAAAAAAAAAAAAGAACAAAACCTCAAATCTGATAATACCAACTGTAGACAAGAATGTGGAGCAACTGGAACAGTCATACATTGCTGGTGAGAATGCAAAATGATACAACTGCTCTGGGGAAACAGGTTAGCAATTTCTCATGAAGTTAAACATGTACTTTGTGTTTGACCTAGCAATCTCCTAGGTGATTCTCACCCAAGAGAAACAAAACTTATGTTTGCAAGAAACCTGTACACTAATGTATATAGCAACTTTATAATTGCTAAAAACTGGAAACAAACCAATATCTTGCAGTTGGTAAGTAGATAGTATGGAATACCCTTGGCAATAAAAATGAGTAAGTTATTATATACTACAACTTGGATGAATCTCAAATGCATTATGCTAAGTGAAAAAAAGCCAAACTCATAAGGCTACATATGATACGATTTTGTTGTGTGACATTCTGGAAAGGCAAAACTATAGGGACACAAGACAGACAGACCAGTGCTTGCCAGGGATTAACAGTGGAAGCAGGGTTTGACCATGAAGGAGTTTTGGGGGTGACAAGATACTCTGGTTTTTTTTTTTTTCTTGAGACAGAGTCTCGCTTTGTCGCCCAGGCTGGAGTGCAGTGGCACGATCTCAGCTCATTGCAAAAACTGGAAACGAAGTAAATATGGCAACATGCTAATTACATGTGACATTATCAGTATTTGCTTTATTATTGTACTTGTATATTTTAATTGGTCGACATACAAACAAGGCAAAATATATCCCCCTTAGAGAAAATTTGGAAAAGACAGAAAAGGAGATAGAACAAGTCACCAGTTGTCTTTATTTATTTATTGAAACGGAGTCTCGCTCTGTCGCCCAGGCTGGAGTCCGGTGGCGCCATCTCCGCTTACTGCAAGCTCTGCCTCTCGGGTTCATGCCATTCTCCCGCCTCAGCCTCCCGAGTAGCTGGGACTACAGGCGCCCACCACCATGCCCGGCTAATTTTGTTTTTGTATTTTTAGTGGAGACAGGGTTTCACTGGGTTAGCCAGGATGGTCTTGATCTCTTGACCTCGTGATCCACTTGCTTTGGCCTCACAAAGTGCTGGGATTACAGGCGTGAGCCACTGCGCCCGGCCCACCGGTTGTCTTTAGACATTGTATTTTTTATTCTTTTCTACATGTCTTTTTGCCTAATGAAAAGTGTACTGTAAGAAAAATTTTGCCTGTGTATTCTAAACTTGTTTCCTTTGCAACTTTTTCTTTTCTTTTTTCTTTTTTGAGACAGAGTCTCGCTCTGTTACCCAGGCTAAAGTGCAGTGTCGCGATCACAGTTCACTGCAGCCTTGACCTTCCTGAGCTCAGGTGATCCTCCAGCCTCAGCCTCCTGAGCAGCTGGGACTACAGGTGCACCCACGCCCGGCTAATTTTTTGTATTTTTTGTAGAGACAGGATTTCATCATGTCGCCCAGCCTAGTGTCGAGCTCCTCAGCTCAAGTTATCCGCCCACCTCGGCCTCCCAAAGTGCCGGGATTACAGGCACAAGCCACCGTGCTTGGCCACCCCTTCCTCTTAAATGATCTTTGAAACATTATTTGCAGTCTCAAAGCCTGCATTTATCTAAACAACTGGTTTCATTTTAGGGATGTAGGCATTTCTGTAATATTAAACTGTTATATTTCACCTCGCTAGCATGGGAGTACAACTGAGGGGATGTTTGCATGAATCTTGTGAATTATGATGGCTCTAAGCCATTGTAATTTGATTAACAGAAGTCCTACTTTGGGGTTTATCTTATTTTTATTATTTATTTATTTTTTGAGTGGAGTCTCACTCTGTTGCCCAGGCTGGAGTGCAGTGGTGCTATCTGGGCTCACTGCAACCTCTGCCTCTGGGGTTTAAGTGATTCTCCTGCCTCAGCATCCCGAGTAGCTGGGATTACAGGCGCAGGCCACCATGCTGGCTAATTTTTTGTATTTTTAGTAGAGATGGGATTTCACCATGTCGGCCAGGCTGGTCACAAACTCCTGACCTCAAGTGATCTGCTCACCTTGGCCTCCCAAAGTGCTGGGATTACAGGCATGAGCCACTGCGTCTGGCCTACTTTGGGATTTTTCTCTACAGTGTTTTCATGTTGTTAATGTAGCTGGGGGTCCAGCATCACTGCTGGTCACTTAATCCTGCTGGAGGCCACCAGGATACACCATCTCTGTGCAGTGAGCTGTCAAGGAGAGCCCTAGGCAAAATTACTTAGGTTCATGGTGTCAGTGCTTTTGTGGAGATATCCAACTCCTGAGGTTCACTCATACTGTCATTTTCTCCTAAGGCATCAGGTGATGAGCCTCTCTGATCCAGCATTTTGACTACCCTTTTCACATTTTTTTTTTTTTCTGAGACAGAGTCTGGCTCTGTTGCCCAGGCTGGAGTGCAGTGGCATGATCACGGCTTACTGCAGCCTCAACCTCCCAGGCTCAAGTGATCCTCCTGCTTCAGCCTCCTGAGTAGCTGGGACTACAGGTGCACGCCACTATGCCTGGCTAATTCTTTCATTTTTTATAGAGACAGGACCTCGCTATGTTGCCCAGGCTGGTTCCAACTCCTGAACTCAAGTGATCCACCTGCCTTGGGCTCCCAAAATCTCGGGATTACAGGCGTATAGTGCTAGGCCTTCACATTCTTATATACCCTTCTGTTTCCTTAGCTGTGAAATGGAGATAATGACATAGCCTTAATTCACGTGGGATGCTTAGCACAGTGTCTGGCACTTGATAGATTTTTTTCTTTCTACTTGAAATTTATTTTTGAGCTGGGCACGGTGGCTCACACCTGTAATCCCAGCACTTGGGAAAACCAAGGCAGGCAGATTACCTGAGGTGAGGAGTTCAAGACCAGCCTGGCAAACATGGTGAAACCCCGTCTCTACTAAAAGTACAAAAATTACCTGGGTGTGGTGGCACACACCTGTAATCCCAGCTACTCCAGAGGCTGAGGCACGATAATCACTTGAACTCGGCAGATGGAGGTTGCAGTGAGCTGAGACTGAGCCACTGCACTCCAGCCTGGGTGATAAAGCGAGACTGTCTAAAAAAAAATTATTTTTAACTAATATAAAACTCTCTGAACCCTTCTTTTTCTGAGCTGCTTCTCCACTTGAGTCCATCCCACATCATTGAACATTTAATTACACAGAATTGTGTACCATCTTCCTTGACCCCCAGATCTTTAGCCTTCTATAGTACCCTGTCTCTTTTTGTCGTACTAGTCACAGTTGCACTTTTTTTTTTTTTTTTTTTGAGACAGAGTCTCATTCTGTCACCCAGGCTGCAGTGCAGTAGCACAATCTCAGCTCACTGCAACCTCCGCCTCCCGGGTTCAAGCAATTCTCCTGCCTCAGCCTCCTAAGTAGCTGGGATTACATGCGCGCACCACCACGCCAGGCTAATTTTTGTATTTTTAGTAGAGACGAGGTTTCACCATGTTGTCAGGCTGGTCTAGAACTCCTGACCTTGTGATCAGCCCACTTCAGCCTCCCAAAGTACTGGGATTACAGGCATGAGCCACTGCACCCGGCCATAGTTGCTATTTTATTTGTGTGATTGATTACCGTATGACGCTTTTATTGAAGTGCAGTGAAGGCAGGAAACATGACCGGTTTTTACAATATTTTCAACACTTATCACCATAGGTGGTACATAGTAGGGCCTTAATAAATATTTGTAAAATGAACAAAGTTAATGAGTGTTTATGTTTGTAGTTTTAATTGCTCTGAAGTAAATATCTGATTTTCCAATTTCCACCAGAGTGCTCTGCACATAGTAGGTCTAATTATTTTTCCCTCTTTACTAATCACCCATGCCTTGTAAGAATTCAGTTAGTTGACTTTTTGTACTTTATAAGCGTGATGATTGGGTGTTCCCGTGTGAGATGCGCCACCCTCGAACCTTGTTACGACGTCGGCACATTGCGCGTCTGACATGAAGAAAAAAAAAATTCAGTTAGTCCACCAGGCACAGTGGCTAAGGCCTGTAATCCCTGCACTTTGAGAGGCCAAGGCAGGAGGATCACTTGAACCCAGGAGTTCGAGACCAGCCTAGGCAACATAGCGAGACTCCGTTTCAAACAACAAATAAAAATAATTAGTCGGGCATGGTGGTGCGCGCCTACAGTACCAACTACTCGGGAGGCTGAGGCGAGACGATCGCTTGAGCCAGGGAGGTCAAGGCTGCAGTGAGCCAAGCTCGCGCCACTGCACTCCAGCCCGGGCGACAGAGTGAGACCCTGTCTCAAAAAAAAAAAAAACACCAAACCTTAGAGGGGCGAAAAAAAATTTTATAGTGGAAATACAGTAACGAGTTGGCCTAGCCTCGCCTCCGTTACAACGGCCTACGGTGCTGGAGGATCCTTCTGCGCACGCGCACAGCCTCCGGCCGGCTATTTCCGCGAGCGCGTTCCATCCTCTACCGAGCGCGCGCGAAGACTACGGAGGTCGACTCGGGAGCGCGCACGCAGCTCCGCCCCGCGTCCGACCCGCGGATCCCGCGGCGTCCGGCCCGGGTGGTCTGGATCGCGGAGGGAATGCCCCGGAGGGCGGAGAACTGGGACGAGGCCGAGGTAGGCGCGGAG</t>
        </is>
      </c>
      <c r="D159" t="inlineStr">
        <is>
          <t>C</t>
        </is>
      </c>
      <c r="E159" t="inlineStr">
        <is>
          <t>374036</t>
        </is>
      </c>
      <c r="F159">
        <f>HYPERLINK("https://www.ncbi.nlm.nih.gov/clinvar/variation/374036/","ClinVarDB")</f>
        <v/>
      </c>
      <c r="G159" t="inlineStr">
        <is>
          <t>criteria_provided|_single_submitter</t>
        </is>
      </c>
      <c r="H159" t="inlineStr">
        <is>
          <t>Renal_cyst|Pancreatic_cysts</t>
        </is>
      </c>
      <c r="I159" t="inlineStr">
        <is>
          <t>Pathogenic</t>
        </is>
      </c>
      <c r="J159" t="inlineStr">
        <is>
          <t>VHL</t>
        </is>
      </c>
      <c r="K159" t="inlineStr">
        <is>
          <t>transcript_ablation|TFBS_ablation&amp;TF_binding_site_variant|regulatory_region_variant|regulatory_region_ablation&amp;regulatory_region_variant|coding_sequence_variant&amp;5_prime_UTR_variant|TF_binding_site_variant</t>
        </is>
      </c>
      <c r="L159" t="inlineStr"/>
      <c r="M159" t="inlineStr"/>
      <c r="N159" t="inlineStr"/>
      <c r="O159" t="inlineStr"/>
      <c r="P159" t="inlineStr"/>
      <c r="Q159" t="inlineStr"/>
      <c r="R159" t="inlineStr"/>
      <c r="S159" t="inlineStr"/>
    </row>
    <row r="160">
      <c r="A160" t="inlineStr">
        <is>
          <t>3</t>
        </is>
      </c>
      <c r="B160" t="n">
        <v>10183793</v>
      </c>
      <c r="C160" t="inlineStr">
        <is>
          <t>T</t>
        </is>
      </c>
      <c r="D160" t="inlineStr">
        <is>
          <t>TGGC</t>
        </is>
      </c>
      <c r="E160" t="inlineStr">
        <is>
          <t>428805</t>
        </is>
      </c>
      <c r="F160">
        <f>HYPERLINK("https://www.ncbi.nlm.nih.gov/clinvar/variation/428805/","ClinVarDB")</f>
        <v/>
      </c>
      <c r="G160" t="inlineStr">
        <is>
          <t>criteria_provided|_single_submitter</t>
        </is>
      </c>
      <c r="H160" t="inlineStr">
        <is>
          <t>Hereditary_cancer-predisposing_syndrome</t>
        </is>
      </c>
      <c r="I160" t="inlineStr">
        <is>
          <t>Likely_pathogenic</t>
        </is>
      </c>
      <c r="J160" t="inlineStr">
        <is>
          <t>VHL</t>
        </is>
      </c>
      <c r="K160" t="inlineStr">
        <is>
          <t>regulatory_region_variant|TF_binding_site_variant|inframe_insertion</t>
        </is>
      </c>
      <c r="L160" t="inlineStr">
        <is>
          <t>NP_937799.1:p.Trp88_Leu89insArg||NP_001341652.1:p.Trp88_Leu89insArg|NP_000542.1:p.Trp88_Leu89insArg|ENSP00000256474.2:p.Trp88_Leu89insArg|ENSP00000344757.2:p.Trp88_Leu89insArg</t>
        </is>
      </c>
      <c r="M160" t="inlineStr">
        <is>
          <t>|NM_000551.3:c.263_265dup|ENST00000345392.2:c.263_265dup|NM_001354723.2:c.263_265dup|ENST00000256474.2:c.263_265dup|NM_198156.3:c.263_265dup</t>
        </is>
      </c>
      <c r="N160" t="inlineStr"/>
      <c r="O160" t="inlineStr"/>
      <c r="P160" t="inlineStr"/>
      <c r="Q160" t="inlineStr"/>
      <c r="R160" t="inlineStr"/>
      <c r="S160" t="inlineStr"/>
    </row>
    <row r="161">
      <c r="A161" t="inlineStr">
        <is>
          <t>3</t>
        </is>
      </c>
      <c r="B161" t="n">
        <v>10183453</v>
      </c>
      <c r="C161" t="inlineStr">
        <is>
          <t>AGCGCGCACGCAGCTCCGCCCC</t>
        </is>
      </c>
      <c r="D161" t="inlineStr">
        <is>
          <t>A</t>
        </is>
      </c>
      <c r="E161" t="inlineStr">
        <is>
          <t>166561</t>
        </is>
      </c>
      <c r="F161">
        <f>HYPERLINK("https://www.ncbi.nlm.nih.gov/clinvar/variation/166561/","ClinVarDB")</f>
        <v/>
      </c>
      <c r="G161" t="inlineStr">
        <is>
          <t>criteria_provided|_single_submitter</t>
        </is>
      </c>
      <c r="H161" t="inlineStr">
        <is>
          <t>Von_Hippel-Lindau_syndrome</t>
        </is>
      </c>
      <c r="I161" t="inlineStr">
        <is>
          <t>Likely_pathogenic</t>
        </is>
      </c>
      <c r="J161" t="inlineStr">
        <is>
          <t>VHL</t>
        </is>
      </c>
      <c r="K161" t="inlineStr">
        <is>
          <t>regulatory_region_variant|5_prime_UTR_variant|TF_binding_site_variant</t>
        </is>
      </c>
      <c r="L161" t="inlineStr"/>
      <c r="M161" t="inlineStr">
        <is>
          <t>|ENST00000256474.2:c.-75_-55del|NM_000551.3:c.-75_-55del</t>
        </is>
      </c>
      <c r="N161" t="inlineStr"/>
      <c r="O161" t="inlineStr"/>
      <c r="P161" t="inlineStr"/>
      <c r="Q161" t="inlineStr"/>
      <c r="R161" t="inlineStr"/>
      <c r="S161" t="inlineStr"/>
    </row>
    <row r="162">
      <c r="A162" t="inlineStr">
        <is>
          <t>3</t>
        </is>
      </c>
      <c r="B162" t="n">
        <v>10188276</v>
      </c>
      <c r="C162" t="inlineStr">
        <is>
          <t>TCAATGTTG</t>
        </is>
      </c>
      <c r="D162" t="inlineStr">
        <is>
          <t>ACAATTATTTGTGCCATCTCTCAA</t>
        </is>
      </c>
      <c r="E162" t="inlineStr">
        <is>
          <t>625246</t>
        </is>
      </c>
      <c r="F162">
        <f>HYPERLINK("https://www.ncbi.nlm.nih.gov/clinvar/variation/625246/","ClinVarDB")</f>
        <v/>
      </c>
      <c r="G162" t="inlineStr">
        <is>
          <t>criteria_provided|_single_submitter</t>
        </is>
      </c>
      <c r="H162" t="inlineStr">
        <is>
          <t>Von_Hippel-Lindau_syndrome</t>
        </is>
      </c>
      <c r="I162" t="inlineStr">
        <is>
          <t>Likely_pathogenic</t>
        </is>
      </c>
      <c r="J162" t="inlineStr">
        <is>
          <t>VHL</t>
        </is>
      </c>
      <c r="K162" t="inlineStr">
        <is>
          <t>protein_altering_variant|intron_variant|non_coding_transcript_exon_variant</t>
        </is>
      </c>
      <c r="L162" t="inlineStr">
        <is>
          <t>|ENSP00000256474.2:p.Leu140_Asp143delinsHisAsnTyrLeuCysHisLeuSerAsn|NP_000542.1:p.Leu140_Asp143delinsHisAsnTyrLeuCysHisLeuSerAsn</t>
        </is>
      </c>
      <c r="M162" t="inlineStr">
        <is>
          <t>NM_000551.3:c.419_427delinsACAATTATTTGTGCCATCTCTCAA|ENST00000256474.2:c.419_427delinsACAATTATTTGTGCCATCTCTCAA|ENST00000345392.2:c.341-3195_341-3187delinsACAATTATTTGTGCCATCTCTCAA|NM_001354723.2:c.*18-3195_*18-3187delinsACAATTATTTGTGCCATCTCTCAA|ENST00000477538.1:n.555_563delinsACAATTATTTGTGCCATCTCTCAA|NM_198156.3:c.341-3195_341-3187delinsACAATTATTTGTGCCATCTCTCAA</t>
        </is>
      </c>
      <c r="N162" t="inlineStr"/>
      <c r="O162" t="inlineStr"/>
      <c r="P162" t="inlineStr"/>
      <c r="Q162" t="inlineStr"/>
      <c r="R162" t="inlineStr"/>
      <c r="S162" t="inlineStr"/>
    </row>
    <row r="163">
      <c r="A163" t="inlineStr">
        <is>
          <t>3</t>
        </is>
      </c>
      <c r="B163" t="n">
        <v>10181831</v>
      </c>
      <c r="C163" t="inlineStr">
        <is>
          <t>TGAGGAGTTCAAGACCAGCCTGGCAAACATGGTGAAACCCCGTCTCTACTAAAAGTACAAAAATTACCTGGGTGTGGTGGCACACACCTGTAATCCCAGCTACTCCAGAGGCTGAGGCACGATAATCACTTGAACTCGGCAGATGGAGGTTGCAGTGAGCTGAGACTGAGCCACTGCACTCCAGCCTGGGTGATAAAGCGAGACTGTCTAAAAAAAAATTATTTTTAACTAATATAAAACTCTCTGAACCCTTCTTTTTCTGAGCTGCTTCTCCACTTGAGTCCATCCCACATCATTGAACATTTAATTACACAGAATTGTGTACCATCTTCCTTGACCCCCAGATCTTTAGCCTTCTATAGTACCCTGTCTCTTTTTGTCGTACTAGTCACAGTTGCACTTTTTTTTTTTTTTTTTTTGAGACAGAGTCTCATTCTGTCACCCAGGCTGCAGTGCAGTAGCACAATCTCAGCTCACTGCAACCTCCGCCTCCCGGGTTCAAGCAATTCTCCTGCCTCAGCCTCCTAAGTAGCTGGGATTACATGCGCGCACCACCACGCCAGGCTAATTTTTGTATTTTTAGTAGAGACGAGGTTTCACCATGTTGTCAGGC</t>
        </is>
      </c>
      <c r="D163" t="inlineStr">
        <is>
          <t>T</t>
        </is>
      </c>
      <c r="E163" t="inlineStr">
        <is>
          <t>997768</t>
        </is>
      </c>
      <c r="F163">
        <f>HYPERLINK("https://www.ncbi.nlm.nih.gov/clinvar/variation/997768/","ClinVarDB")</f>
        <v/>
      </c>
      <c r="G163" t="inlineStr">
        <is>
          <t>criteria_provided|_single_submitter</t>
        </is>
      </c>
      <c r="H163" t="inlineStr">
        <is>
          <t>Von_Hippel-Lindau_syndrome</t>
        </is>
      </c>
      <c r="I163" t="inlineStr">
        <is>
          <t>Pathogenic</t>
        </is>
      </c>
      <c r="J163" t="inlineStr">
        <is>
          <t>VHL</t>
        </is>
      </c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</row>
    <row r="164">
      <c r="A164" t="inlineStr">
        <is>
          <t>16</t>
        </is>
      </c>
      <c r="B164" t="n">
        <v>2126171</v>
      </c>
      <c r="C164" t="inlineStr">
        <is>
          <t>G</t>
        </is>
      </c>
      <c r="D164" t="inlineStr">
        <is>
          <t>A</t>
        </is>
      </c>
      <c r="E164" t="inlineStr">
        <is>
          <t>50103</t>
        </is>
      </c>
      <c r="F164">
        <f>HYPERLINK("https://www.ncbi.nlm.nih.gov/clinvar/variation/50103/","ClinVarDB")</f>
        <v/>
      </c>
      <c r="G164" t="inlineStr">
        <is>
          <t>criteria_provided|_single_submitter</t>
        </is>
      </c>
      <c r="H164" t="inlineStr">
        <is>
          <t>Tuberous_sclerosis_syndrome|not_provided</t>
        </is>
      </c>
      <c r="I164" t="inlineStr">
        <is>
          <t>Likely_pathogenic</t>
        </is>
      </c>
      <c r="J164" t="inlineStr">
        <is>
          <t>TSC2</t>
        </is>
      </c>
      <c r="K164" t="inlineStr">
        <is>
          <t>synonymous_variant&amp;NMD_transcript_variant|splice_region_variant&amp;synonymous_variant|splice_region_variant&amp;3_prime_UTR_variant&amp;NMD_transcript_variant</t>
        </is>
      </c>
      <c r="L164" t="inlineStr">
        <is>
          <t>|ENSP00000454487.1:p.Lys925=|NP_001350457.1:p.Lys914=|NP_001305756.1:p.Lys877=|NP_066399.2:p.Lys914=|ENSP00000399232.2:p.Lys877=|NP_001357333.1:p.Lys914=|ENSP00000344383.4:p.Lys914=|ENSP00000371978.6:p.Lys865=|NP_001305761.1:p.Lys925=|NP_001107854.1:p.Lys914=|ENSP00000248099.4:p.Lys914=|ENSP00000460310.1:p.Lys8=|NP_000539.2:p.Lys914=|ENSP00000219476.3:p.Lys914=|NP_001305758.1:p.Lys865=|NP_001070651.1:p.Lys914=|NP_001305760.1:p.Lys714=|NP_001357334.1:p.Lys914=|ENSP00000458541.1:p.Lys5=|ENSP00000384468.2:p.Lys914=</t>
        </is>
      </c>
      <c r="M164" t="inlineStr">
        <is>
          <t>ENST00000382538.6:c.2595G&gt;A|ENST00000350773.4:c.2742G&gt;A|ENST00000439673.2:c.2631G&gt;A|NM_001114382.2:c.2742G&gt;A|ENST00000471143.1:c.15G&gt;A|NM_001318827.1:c.2631G&gt;A|ENST00000353929.4:c.2742G&gt;A|NM_000548.5:c.2742G&gt;A|ENST00000401874.2:c.2742G&gt;A|NM_001318829.1:c.2595G&gt;A|ENST00000483020.1:c.24G&gt;A|NM_001370404.1:c.2742G&gt;A|NM_001363528.1:c.2742G&gt;A|NM_001370405.1:c.2742G&gt;A|NM_021055.2:c.2742G&gt;A|NM_001318832.1:c.2775G&gt;A|ENST00000568454.1:c.2775G&gt;A|ENST00000219476.3:c.2742G&gt;A|ENST00000439117.2:c.*2041G&gt;A|NM_001077183.2:c.2742G&gt;A|NM_001318831.1:c.2142G&gt;A</t>
        </is>
      </c>
      <c r="N164" t="inlineStr"/>
      <c r="O164" t="inlineStr"/>
      <c r="P164" t="inlineStr"/>
      <c r="Q164" t="inlineStr"/>
      <c r="R164" t="inlineStr"/>
      <c r="S164" t="inlineStr"/>
    </row>
    <row r="165">
      <c r="A165" t="inlineStr">
        <is>
          <t>16</t>
        </is>
      </c>
      <c r="B165" t="n">
        <v>2135323</v>
      </c>
      <c r="C165" t="inlineStr">
        <is>
          <t>G</t>
        </is>
      </c>
      <c r="D165" t="inlineStr">
        <is>
          <t>A</t>
        </is>
      </c>
      <c r="E165" t="inlineStr">
        <is>
          <t>49485</t>
        </is>
      </c>
      <c r="F165">
        <f>HYPERLINK("https://www.ncbi.nlm.nih.gov/clinvar/variation/49485/","ClinVarDB")</f>
        <v/>
      </c>
      <c r="G165" t="inlineStr">
        <is>
          <t>criteria_provided|_single_submitter</t>
        </is>
      </c>
      <c r="H165" t="inlineStr">
        <is>
          <t>Tuberous_sclerosis_2|Tuberous_sclerosis_syndrome</t>
        </is>
      </c>
      <c r="I165" t="inlineStr">
        <is>
          <t>Pathogenic</t>
        </is>
      </c>
      <c r="J165" t="inlineStr">
        <is>
          <t>TSC2</t>
        </is>
      </c>
      <c r="K165" t="inlineStr">
        <is>
          <t>splice_region_variant&amp;synonymous_variant|splice_region_variant&amp;3_prime_UTR_variant&amp;NMD_transcript_variant|splice_region_variant&amp;non_coding_transcript_exon_variant</t>
        </is>
      </c>
      <c r="L165" t="inlineStr">
        <is>
          <t>|NP_001305758.1:p.Gln1439=|ENSP00000384468.2:p.Gln1487=|NP_001357333.1:p.Gln1510=|NP_001107854.1:p.Gln1531=|NP_001305760.1:p.Gln1310=|ENSP00000454487.1:p.Gln1498=|NP_001357334.1:p.Gln1511=|ENSP00000344383.4:p.Gln1531=|NP_000539.2:p.Gln1554=|NP_001305756.1:p.Gln1451=|ENSP00000248099.4:p.Gln1511=|ENSP00000371978.6:p.Gln1439=|NP_001070651.1:p.Gln1487=|NP_001305761.1:p.Gln1498=|NP_066399.2:p.Gln1511=|ENSP00000399232.2:p.Gln1451=|NP_001350457.1:p.Gln1488=|ENSP00000219476.3:p.Gln1554=|ENSP00000455817.1:p.Gln282=</t>
        </is>
      </c>
      <c r="M165" t="inlineStr">
        <is>
          <t>ENST00000568454.1:c.4494G&gt;A|ENST00000219476.3:c.4662G&gt;A|NM_001318829.1:c.4317G&gt;A|NM_000548.5:c.4662G&gt;A|ENST00000497886.1:n.2420G&gt;A|ENST00000401874.2:c.4461G&gt;A|NM_001370405.1:c.4533G&gt;A|ENST00000439673.2:c.4353G&gt;A|NM_001077183.2:c.4461G&gt;A|NM_001318832.1:c.4494G&gt;A|NM_001318827.1:c.4353G&gt;A|NM_001370404.1:c.4530G&gt;A|ENST00000569930.1:n.1777G&gt;A|NM_001363528.1:c.4464G&gt;A|ENST00000439117.2:c.*3829G&gt;A|ENST00000382538.6:c.4317G&gt;A|ENST00000569110.1:c.846G&gt;A|NM_001114382.2:c.4593G&gt;A|NM_021055.2:c.4533G&gt;A|ENST00000353929.4:c.4533G&gt;A|ENST00000350773.4:c.4593G&gt;A|NM_001318831.1:c.3930G&gt;A</t>
        </is>
      </c>
      <c r="N165" t="inlineStr"/>
      <c r="O165" t="inlineStr"/>
      <c r="P165" t="inlineStr"/>
      <c r="Q165" t="inlineStr"/>
      <c r="R165" t="inlineStr"/>
      <c r="S165" t="inlineStr"/>
    </row>
    <row r="166">
      <c r="A166" t="inlineStr">
        <is>
          <t>16</t>
        </is>
      </c>
      <c r="B166" t="n">
        <v>2115641</v>
      </c>
      <c r="C166" t="inlineStr">
        <is>
          <t>G</t>
        </is>
      </c>
      <c r="D166" t="inlineStr">
        <is>
          <t>C</t>
        </is>
      </c>
      <c r="E166" t="inlineStr">
        <is>
          <t>664388</t>
        </is>
      </c>
      <c r="F166">
        <f>HYPERLINK("https://www.ncbi.nlm.nih.gov/clinvar/variation/664388/","ClinVarDB")</f>
        <v/>
      </c>
      <c r="G166" t="inlineStr">
        <is>
          <t>criteria_provided|_single_submitter</t>
        </is>
      </c>
      <c r="H166" t="inlineStr">
        <is>
          <t>Tuberous_sclerosis_2</t>
        </is>
      </c>
      <c r="I166" t="inlineStr">
        <is>
          <t>Pathogenic</t>
        </is>
      </c>
      <c r="J166" t="inlineStr">
        <is>
          <t>TSC2</t>
        </is>
      </c>
      <c r="K166" t="inlineStr">
        <is>
          <t>splice_region_variant&amp;intron_variant|splice_region_variant&amp;intron_variant&amp;NMD_transcript_variant|splice_region_variant&amp;intron_variant&amp;non_coding_transcript_variant</t>
        </is>
      </c>
      <c r="L166" t="inlineStr"/>
      <c r="M166" t="inlineStr">
        <is>
          <t>ENST00000568454.1:c.1749+5G&gt;C|NM_021055.2:c.1716+5G&gt;C|ENST00000568566.1:c.*263+5G&gt;C|ENST00000350773.4:c.1716+5G&gt;C|ENST00000401874.2:c.1716+5G&gt;C|NM_001318829.1:c.1569+5G&gt;C|ENST00000382538.6:c.1569+5G&gt;C|ENST00000353929.4:c.1716+5G&gt;C|ENST00000219476.3:c.1716+5G&gt;C|NM_001077183.2:c.1716+5G&gt;C|NM_001363528.1:c.1716+5G&gt;C|NM_001370405.1:c.1716+5G&gt;C|ENST00000439673.2:c.1605+5G&gt;C|NM_001318832.1:c.1749+5G&gt;C|ENST00000488675.1:n.223+5G&gt;C|ENST00000439117.2:c.*1015+5G&gt;C|NM_000548.5:c.1716+5G&gt;C|NM_001370404.1:c.1716+5G&gt;C|NM_001318831.1:c.1116+5G&gt;C|NM_001318827.1:c.1605+5G&gt;C|NM_001114382.2:c.1716+5G&gt;C</t>
        </is>
      </c>
      <c r="N166" t="inlineStr"/>
      <c r="O166" t="inlineStr"/>
      <c r="P166" t="inlineStr"/>
      <c r="Q166" t="inlineStr"/>
      <c r="R166" t="inlineStr"/>
      <c r="S166" t="inlineStr"/>
    </row>
    <row r="167">
      <c r="A167" t="inlineStr">
        <is>
          <t>16</t>
        </is>
      </c>
      <c r="B167" t="n">
        <v>2129675</v>
      </c>
      <c r="C167" t="inlineStr">
        <is>
          <t>G</t>
        </is>
      </c>
      <c r="D167" t="inlineStr">
        <is>
          <t>A</t>
        </is>
      </c>
      <c r="E167" t="inlineStr">
        <is>
          <t>50075</t>
        </is>
      </c>
      <c r="F167">
        <f>HYPERLINK("https://www.ncbi.nlm.nih.gov/clinvar/variation/50075/","ClinVarDB")</f>
        <v/>
      </c>
      <c r="G167" t="inlineStr">
        <is>
          <t>criteria_provided|_single_submitter</t>
        </is>
      </c>
      <c r="H167" t="inlineStr">
        <is>
          <t>Tuberous_sclerosis_syndrome|not_provided</t>
        </is>
      </c>
      <c r="I167" t="inlineStr">
        <is>
          <t>Pathogenic</t>
        </is>
      </c>
      <c r="J167" t="inlineStr">
        <is>
          <t>TSC2</t>
        </is>
      </c>
      <c r="K167" t="inlineStr">
        <is>
          <t>splice_region_variant&amp;intron_variant|splice_region_variant&amp;intron_variant&amp;NMD_transcript_variant|splice_region_variant&amp;intron_variant&amp;non_coding_transcript_variant</t>
        </is>
      </c>
      <c r="L167" t="inlineStr"/>
      <c r="M167" t="inlineStr">
        <is>
          <t>NM_001318831.1:c.2665+5G&gt;A|ENST00000353929.4:c.3268+5G&gt;A|ENST00000350773.4:c.3397+5G&gt;A|ENST00000568454.1:c.3298+5G&gt;A|ENST00000401874.2:c.3265+5G&gt;A|NM_001370405.1:c.3268+5G&gt;A|NM_001318827.1:c.3157+5G&gt;A|NM_021055.2:c.3268+5G&gt;A|NM_000548.5:c.3397+5G&gt;A|NM_001114382.2:c.3397+5G&gt;A|ENST00000497886.1:n.1224+5G&gt;A|NM_001077183.2:c.3265+5G&gt;A|ENST00000439673.2:c.3157+5G&gt;A|NM_001363528.1:c.3268+5G&gt;A|ENST00000219476.3:c.3397+5G&gt;A|ENST00000568366.1:n.754+5G&gt;A|NM_001370404.1:c.3265+5G&gt;A|NM_001318832.1:c.3298+5G&gt;A|ENST00000439117.2:c.*2564+5G&gt;A|NM_001318829.1:c.3121+5G&gt;A|ENST00000382538.6:c.3121+5G&gt;A</t>
        </is>
      </c>
      <c r="N167" t="inlineStr"/>
      <c r="O167" t="inlineStr"/>
      <c r="P167" t="inlineStr"/>
      <c r="Q167" t="inlineStr"/>
      <c r="R167" t="inlineStr"/>
      <c r="S167" t="inlineStr"/>
    </row>
    <row r="168">
      <c r="A168" t="inlineStr">
        <is>
          <t>16</t>
        </is>
      </c>
      <c r="B168" t="n">
        <v>2138144</v>
      </c>
      <c r="C168" t="inlineStr">
        <is>
          <t>A</t>
        </is>
      </c>
      <c r="D168" t="inlineStr">
        <is>
          <t>C</t>
        </is>
      </c>
      <c r="E168" t="inlineStr">
        <is>
          <t>373972</t>
        </is>
      </c>
      <c r="F168">
        <f>HYPERLINK("https://www.ncbi.nlm.nih.gov/clinvar/variation/373972/","ClinVarDB")</f>
        <v/>
      </c>
      <c r="G168" t="inlineStr">
        <is>
          <t>criteria_provided|_single_submitter</t>
        </is>
      </c>
      <c r="H168" t="inlineStr">
        <is>
          <t>Dental_enamel_pits|Hamartoma|Lymphangiomyomatosis</t>
        </is>
      </c>
      <c r="I168" t="inlineStr">
        <is>
          <t>Pathogenic</t>
        </is>
      </c>
      <c r="J168" t="inlineStr">
        <is>
          <t>TSC2</t>
        </is>
      </c>
      <c r="K168" t="inlineStr">
        <is>
          <t>splice_region_variant&amp;intron_variant|splice_region_variant&amp;intron_variant&amp;NMD_transcript_variant|splice_region_variant&amp;intron_variant&amp;non_coding_transcript_variant</t>
        </is>
      </c>
      <c r="L168" t="inlineStr"/>
      <c r="M168" t="inlineStr">
        <is>
          <t>NM_021055.2:c.5031+4A&gt;C|ENST00000353929.4:c.5031+4A&gt;C|ENST00000439673.2:c.4851+4A&gt;C|ENST00000569110.1:c.1342+4A&gt;C|ENST00000219476.3:c.5160+4A&gt;C|NM_001318829.1:c.4815+4A&gt;C|NM_001318832.1:c.4992+4A&gt;C|NM_001318831.1:c.4428+4A&gt;C|NM_001077183.2:c.4959+4A&gt;C|NM_001318827.1:c.4851+4A&gt;C|ENST00000350773.4:c.5091+4A&gt;C|ENST00000568454.1:c.4992+4A&gt;C|ENST00000569930.1:n.2275+4A&gt;C|NM_001370404.1:c.5028+4A&gt;C|NM_001114382.2:c.5091+4A&gt;C|ENST00000497886.1:n.2883+4A&gt;C|NM_001363528.1:c.4962+4A&gt;C|NM_001370405.1:c.5031+4A&gt;C|ENST00000439117.2:c.*4327+4A&gt;C|NM_000548.5:c.5160+4A&gt;C|ENST00000401874.2:c.4959+4A&gt;C|ENST00000382538.6:c.4815+4A&gt;C</t>
        </is>
      </c>
      <c r="N168" t="inlineStr"/>
      <c r="O168" t="inlineStr"/>
      <c r="P168" t="inlineStr"/>
      <c r="Q168" t="inlineStr"/>
      <c r="R168" t="inlineStr"/>
      <c r="S168" t="inlineStr"/>
    </row>
    <row r="169">
      <c r="A169" t="inlineStr">
        <is>
          <t>16</t>
        </is>
      </c>
      <c r="B169" t="n">
        <v>2104446</v>
      </c>
      <c r="C169" t="inlineStr">
        <is>
          <t>G</t>
        </is>
      </c>
      <c r="D169" t="inlineStr">
        <is>
          <t>A</t>
        </is>
      </c>
      <c r="E169" t="inlineStr">
        <is>
          <t>64988</t>
        </is>
      </c>
      <c r="F169">
        <f>HYPERLINK("https://www.ncbi.nlm.nih.gov/clinvar/variation/64988/","ClinVarDB")</f>
        <v/>
      </c>
      <c r="G169" t="inlineStr">
        <is>
          <t>criteria_provided|_single_submitter</t>
        </is>
      </c>
      <c r="H169" t="inlineStr">
        <is>
          <t>Tuberous_sclerosis_2|Tuberous_sclerosis_syndrome</t>
        </is>
      </c>
      <c r="I169" t="inlineStr">
        <is>
          <t>Pathogenic</t>
        </is>
      </c>
      <c r="J169" t="inlineStr">
        <is>
          <t>TSC2</t>
        </is>
      </c>
      <c r="K169" t="inlineStr">
        <is>
          <t>splice_region_variant&amp;intron_variant|intron_variant|splice_region_variant&amp;intron_variant&amp;non_coding_transcript_variant|intron_variant&amp;NMD_transcript_variant</t>
        </is>
      </c>
      <c r="L169" t="inlineStr"/>
      <c r="M169" t="inlineStr">
        <is>
          <t>ENST00000401874.2:c.481+5G&gt;A|NM_001370404.1:c.481+5G&gt;A|NM_001318827.1:c.370+5G&gt;A|ENST00000219476.3:c.481+5G&gt;A|ENST00000439117.2:c.226-1751G&gt;A|ENST00000432909.2:c.255+5G&gt;A|NM_001318829.1:c.334+5G&gt;A|NM_001114382.2:c.481+5G&gt;A|NM_001318832.1:c.514+5G&gt;A|NM_001077183.2:c.481+5G&gt;A|ENST00000568454.1:c.514+5G&gt;A|ENST00000382538.6:c.334+5G&gt;A|ENST00000439673.2:c.370+5G&gt;A|ENST00000350773.4:c.481+5G&gt;A|NM_001370405.1:c.481+5G&gt;A|NM_001318831.1:c.-1-1751G&gt;A|NM_021055.2:c.481+5G&gt;A|ENST00000568692.1:n.145+5G&gt;A|ENST00000353929.4:c.481+5G&gt;A|NM_000548.5:c.481+5G&gt;A|NM_001363528.1:c.481+5G&gt;A</t>
        </is>
      </c>
      <c r="N169" t="inlineStr"/>
      <c r="O169" t="inlineStr"/>
      <c r="P169" t="inlineStr"/>
      <c r="Q169" t="inlineStr"/>
      <c r="R169" t="inlineStr"/>
      <c r="S169" t="inlineStr"/>
    </row>
    <row r="170">
      <c r="A170" t="inlineStr">
        <is>
          <t>16</t>
        </is>
      </c>
      <c r="B170" t="n">
        <v>2104446</v>
      </c>
      <c r="C170" t="inlineStr">
        <is>
          <t>G</t>
        </is>
      </c>
      <c r="D170" t="inlineStr">
        <is>
          <t>T</t>
        </is>
      </c>
      <c r="E170" t="inlineStr">
        <is>
          <t>49825</t>
        </is>
      </c>
      <c r="F170">
        <f>HYPERLINK("https://www.ncbi.nlm.nih.gov/clinvar/variation/49825/","ClinVarDB")</f>
        <v/>
      </c>
      <c r="G170" t="inlineStr">
        <is>
          <t>criteria_provided|_single_submitter</t>
        </is>
      </c>
      <c r="H170" t="inlineStr">
        <is>
          <t>Tuberous_sclerosis_syndrome|not_provided</t>
        </is>
      </c>
      <c r="I170" t="inlineStr">
        <is>
          <t>Pathogenic</t>
        </is>
      </c>
      <c r="J170" t="inlineStr">
        <is>
          <t>TSC2</t>
        </is>
      </c>
      <c r="K170" t="inlineStr">
        <is>
          <t>splice_region_variant&amp;intron_variant|intron_variant|splice_region_variant&amp;intron_variant&amp;non_coding_transcript_variant|intron_variant&amp;NMD_transcript_variant</t>
        </is>
      </c>
      <c r="L170" t="inlineStr"/>
      <c r="M170" t="inlineStr">
        <is>
          <t>ENST00000568454.1:c.514+5G&gt;T|NM_021055.2:c.481+5G&gt;T|ENST00000219476.3:c.481+5G&gt;T|NM_001318827.1:c.370+5G&gt;T|NM_001318829.1:c.334+5G&gt;T|ENST00000382538.6:c.334+5G&gt;T|ENST00000432909.2:c.255+5G&gt;T|ENST00000353929.4:c.481+5G&gt;T|NM_000548.5:c.481+5G&gt;T|ENST00000401874.2:c.481+5G&gt;T|NM_001370404.1:c.481+5G&gt;T|NM_001114382.2:c.481+5G&gt;T|NM_001370405.1:c.481+5G&gt;T|NM_001318832.1:c.514+5G&gt;T|ENST00000568692.1:n.145+5G&gt;T|ENST00000350773.4:c.481+5G&gt;T|ENST00000439673.2:c.370+5G&gt;T|NM_001363528.1:c.481+5G&gt;T|NM_001318831.1:c.-1-1751G&gt;T|ENST00000439117.2:c.226-1751G&gt;T|NM_001077183.2:c.481+5G&gt;T</t>
        </is>
      </c>
      <c r="N170" t="inlineStr"/>
      <c r="O170" t="inlineStr"/>
      <c r="P170" t="inlineStr"/>
      <c r="Q170" t="inlineStr"/>
      <c r="R170" t="inlineStr"/>
      <c r="S170" t="inlineStr"/>
    </row>
    <row r="171">
      <c r="A171" t="inlineStr">
        <is>
          <t>16</t>
        </is>
      </c>
      <c r="B171" t="n">
        <v>2098759</v>
      </c>
      <c r="C171" t="inlineStr">
        <is>
          <t>G</t>
        </is>
      </c>
      <c r="D171" t="inlineStr">
        <is>
          <t>A</t>
        </is>
      </c>
      <c r="E171" t="inlineStr">
        <is>
          <t>50192</t>
        </is>
      </c>
      <c r="F171">
        <f>HYPERLINK("https://www.ncbi.nlm.nih.gov/clinvar/variation/50192/","ClinVarDB")</f>
        <v/>
      </c>
      <c r="G171" t="inlineStr">
        <is>
          <t>criteria_provided|_single_submitter</t>
        </is>
      </c>
      <c r="H171" t="inlineStr">
        <is>
          <t>Tuberous_sclerosis_2|Tuberous_sclerosis_syndrome</t>
        </is>
      </c>
      <c r="I171" t="inlineStr">
        <is>
          <t>Pathogenic</t>
        </is>
      </c>
      <c r="J171" t="inlineStr">
        <is>
          <t>TSC2</t>
        </is>
      </c>
      <c r="K171" t="inlineStr">
        <is>
          <t>regulatory_region_variant|intron_variant|splice_region_variant&amp;intron_variant|splice_region_variant&amp;intron_variant&amp;non_coding_transcript_variant|splice_region_variant&amp;intron_variant&amp;NMD_transcript_variant</t>
        </is>
      </c>
      <c r="L171" t="inlineStr"/>
      <c r="M171" t="inlineStr">
        <is>
          <t>|ENST00000353929.4:c.138+5G&gt;A|ENST00000382538.6:c.-10+693G&gt;A|NM_000548.5:c.138+5G&gt;A|NM_001318827.1:c.138+5G&gt;A|NM_001363528.1:c.138+5G&gt;A|NM_001318831.1:c.-89+5G&gt;A|NM_001114382.2:c.138+5G&gt;A|ENST00000461648.2:n.243+5G&gt;A|NM_001370405.1:c.138+5G&gt;A|NM_001318829.1:c.-10+693G&gt;A|ENST00000350773.4:c.138+5G&gt;A|ENST00000568454.1:c.171+5G&gt;A|NM_001370404.1:c.138+5G&gt;A|NM_021055.2:c.138+5G&gt;A|NM_001077183.2:c.138+5G&gt;A|NM_001318832.1:c.171+5G&gt;A|ENST00000439117.2:c.138+5G&gt;A|ENST00000439673.2:c.138+5G&gt;A|ENST00000401874.2:c.138+5G&gt;A|ENST00000219476.3:c.138+5G&gt;A</t>
        </is>
      </c>
      <c r="N171" t="inlineStr"/>
      <c r="O171" t="inlineStr"/>
      <c r="P171" t="inlineStr"/>
      <c r="Q171" t="inlineStr"/>
      <c r="R171" t="inlineStr"/>
      <c r="S171" t="inlineStr"/>
    </row>
    <row r="172">
      <c r="A172" t="inlineStr">
        <is>
          <t>16</t>
        </is>
      </c>
      <c r="B172" t="n">
        <v>2098759</v>
      </c>
      <c r="C172" t="inlineStr">
        <is>
          <t>G</t>
        </is>
      </c>
      <c r="D172" t="inlineStr">
        <is>
          <t>C</t>
        </is>
      </c>
      <c r="E172" t="inlineStr">
        <is>
          <t>1069935</t>
        </is>
      </c>
      <c r="F172">
        <f>HYPERLINK("https://www.ncbi.nlm.nih.gov/clinvar/variation/1069935/","ClinVarDB")</f>
        <v/>
      </c>
      <c r="G172" t="inlineStr">
        <is>
          <t>criteria_provided|_single_submitter</t>
        </is>
      </c>
      <c r="H172" t="inlineStr">
        <is>
          <t>Tuberous_sclerosis_2</t>
        </is>
      </c>
      <c r="I172" t="inlineStr">
        <is>
          <t>Pathogenic</t>
        </is>
      </c>
      <c r="J172" t="inlineStr">
        <is>
          <t>TSC2</t>
        </is>
      </c>
      <c r="K172" t="inlineStr">
        <is>
          <t>regulatory_region_variant|intron_variant|splice_region_variant&amp;intron_variant|splice_region_variant&amp;intron_variant&amp;non_coding_transcript_variant|splice_region_variant&amp;intron_variant&amp;NMD_transcript_variant</t>
        </is>
      </c>
      <c r="L172" t="inlineStr"/>
      <c r="M172" t="inlineStr">
        <is>
          <t>|ENST00000219476.3:c.138+5G&gt;C|NM_001318831.1:c.-89+5G&gt;C|NM_001318829.1:c.-10+693G&gt;C|NM_001370404.1:c.138+5G&gt;C|ENST00000350773.4:c.138+5G&gt;C|NM_001114382.2:c.138+5G&gt;C|NM_001318832.1:c.171+5G&gt;C|ENST00000401874.2:c.138+5G&gt;C|ENST00000353929.4:c.138+5G&gt;C|ENST00000439117.2:c.138+5G&gt;C|NM_000548.5:c.138+5G&gt;C|NM_001370405.1:c.138+5G&gt;C|NM_021055.2:c.138+5G&gt;C|ENST00000568454.1:c.171+5G&gt;C|ENST00000382538.6:c.-10+693G&gt;C|NM_001077183.2:c.138+5G&gt;C|ENST00000461648.2:n.243+5G&gt;C|NM_001363528.1:c.138+5G&gt;C|ENST00000439673.2:c.138+5G&gt;C|NM_001318827.1:c.138+5G&gt;C</t>
        </is>
      </c>
      <c r="N172" t="inlineStr"/>
      <c r="O172" t="inlineStr"/>
      <c r="P172" t="inlineStr"/>
      <c r="Q172" t="inlineStr"/>
      <c r="R172" t="inlineStr"/>
      <c r="S172" t="inlineStr"/>
    </row>
    <row r="173">
      <c r="A173" t="inlineStr">
        <is>
          <t>16</t>
        </is>
      </c>
      <c r="B173" t="n">
        <v>2121522</v>
      </c>
      <c r="C173" t="inlineStr">
        <is>
          <t>C</t>
        </is>
      </c>
      <c r="D173" t="inlineStr">
        <is>
          <t>CCTGTTGCTG</t>
        </is>
      </c>
      <c r="E173" t="inlineStr">
        <is>
          <t>944492</t>
        </is>
      </c>
      <c r="F173">
        <f>HYPERLINK("https://www.ncbi.nlm.nih.gov/clinvar/variation/944492/","ClinVarDB")</f>
        <v/>
      </c>
      <c r="G173" t="inlineStr">
        <is>
          <t>criteria_provided|_single_submitter</t>
        </is>
      </c>
      <c r="H173" t="inlineStr">
        <is>
          <t>Tuberous_sclerosis_2</t>
        </is>
      </c>
      <c r="I173" t="inlineStr">
        <is>
          <t>Likely_pathogenic</t>
        </is>
      </c>
      <c r="J173" t="inlineStr">
        <is>
          <t>TSC2</t>
        </is>
      </c>
      <c r="K173" t="inlineStr">
        <is>
          <t>non_coding_transcript_exon_variant|3_prime_UTR_variant&amp;NMD_transcript_variant|inframe_insertion</t>
        </is>
      </c>
      <c r="L173" t="inlineStr">
        <is>
          <t>|NP_001305761.1:p.Leu630_Leu632dup|ENSP00000399232.2:p.Leu582_Leu584dup|ENSP00000384468.2:p.Leu619_Leu621dup|NP_001305760.1:p.Leu419_Leu421dup|ENSP00000371978.6:p.Leu570_Leu572dup|ENSP00000219476.3:p.Leu619_Leu621dup|NP_066399.2:p.Leu619_Leu621dup|ENSP00000454487.1:p.Leu630_Leu632dup|ENSP00000344383.4:p.Leu619_Leu621dup|NP_001357333.1:p.Leu619_Leu621dup|NP_001350457.1:p.Leu619_Leu621dup|NP_001070651.1:p.Leu619_Leu621dup|NP_001305756.1:p.Leu582_Leu584dup|ENSP00000248099.4:p.Leu619_Leu621dup|NP_001305758.1:p.Leu570_Leu572dup|NP_001357334.1:p.Leu619_Leu621dup|NP_001107854.1:p.Leu619_Leu621dup|NP_000539.2:p.Leu619_Leu621dup</t>
        </is>
      </c>
      <c r="M173" t="inlineStr">
        <is>
          <t>ENST00000439117.2:c.*1154_*1162dup|NM_021055.2:c.1855_1863dup|NM_001318831.1:c.1255_1263dup|ENST00000353929.4:c.1855_1863dup|NM_001318829.1:c.1708_1716dup|ENST00000568566.1:c.*402_*410dup|ENST00000350773.4:c.1855_1863dup|NM_001370405.1:c.1855_1863dup|ENST00000439673.2:c.1744_1752dup|ENST00000401874.2:c.1855_1863dup|NM_001363528.1:c.1855_1863dup|ENST00000562474.1:n.580_588dup|ENST00000568454.1:c.1888_1896dup|ENST00000488675.1:n.362_370dup|NM_001114382.2:c.1855_1863dup|NM_000548.5:c.1855_1863dup|ENST00000219476.3:c.1855_1863dup|ENST00000382538.6:c.1708_1716dup|NM_001077183.2:c.1855_1863dup|NM_001318827.1:c.1744_1752dup|NM_001370404.1:c.1855_1863dup|NM_001318832.1:c.1888_1896dup</t>
        </is>
      </c>
      <c r="N173" t="inlineStr"/>
      <c r="O173" t="inlineStr"/>
      <c r="P173" t="inlineStr"/>
      <c r="Q173" t="inlineStr"/>
      <c r="R173" t="inlineStr"/>
      <c r="S173" t="inlineStr"/>
    </row>
    <row r="174">
      <c r="A174" t="inlineStr">
        <is>
          <t>16</t>
        </is>
      </c>
      <c r="B174" t="n">
        <v>2136341</v>
      </c>
      <c r="C174" t="inlineStr">
        <is>
          <t>G</t>
        </is>
      </c>
      <c r="D174" t="inlineStr">
        <is>
          <t>GGCCAGTTCACCTACT</t>
        </is>
      </c>
      <c r="E174" t="inlineStr">
        <is>
          <t>803157</t>
        </is>
      </c>
      <c r="F174">
        <f>HYPERLINK("https://www.ncbi.nlm.nih.gov/clinvar/variation/803157/","ClinVarDB")</f>
        <v/>
      </c>
      <c r="G174" t="inlineStr">
        <is>
          <t>criteria_provided|_single_submitter</t>
        </is>
      </c>
      <c r="H174" t="inlineStr">
        <is>
          <t>Tuberous_sclerosis_2</t>
        </is>
      </c>
      <c r="I174" t="inlineStr">
        <is>
          <t>Likely_pathogenic</t>
        </is>
      </c>
      <c r="J174" t="inlineStr">
        <is>
          <t>TSC2</t>
        </is>
      </c>
      <c r="K174" t="inlineStr">
        <is>
          <t>non_coding_transcript_exon_variant|3_prime_UTR_variant&amp;NMD_transcript_variant|inframe_insertion</t>
        </is>
      </c>
      <c r="L174" t="inlineStr">
        <is>
          <t>|NP_001305758.1:p.Gln1490_Cys1494dup|ENSP00000384468.2:p.Gln1538_Cys1542dup|ENSP00000399232.2:p.Gln1502_Cys1506dup|NP_001305760.1:p.Gln1361_Cys1365dup|ENSP00000248099.4:p.Gln1562_Cys1566dup|NP_000539.2:p.Gln1605_Cys1609dup|NP_001357334.1:p.Gln1562_Cys1566dup|NP_001357333.1:p.Gln1561_Cys1565dup|NP_001350457.1:p.Gln1539_Cys1543dup|ENSP00000344383.4:p.Gln1582_Cys1586dup|ENSP00000219476.3:p.Gln1605_Cys1609dup|NP_001305756.1:p.Gln1502_Cys1506dup|NP_001305761.1:p.Gln1549_Cys1553dup|NP_066399.2:p.Gln1562_Cys1566dup|ENSP00000454487.1:p.Gln1549_Cys1553dup|ENSP00000455817.1:p.Gln333_Cys337dup|NP_001107854.1:p.Gln1582_Cys1586dup|NP_001070651.1:p.Gln1538_Cys1542dup|ENSP00000371978.6:p.Gln1490_Cys1494dup</t>
        </is>
      </c>
      <c r="M174" t="inlineStr">
        <is>
          <t>ENST00000439117.2:c.*3980_*3994dup|ENST00000353929.4:c.4684_4698dup|ENST00000219476.3:c.4813_4827dup|NM_021055.2:c.4684_4698dup|ENST00000439673.2:c.4504_4518dup|NM_000548.5:c.4813_4827dup|NM_001363528.1:c.4615_4629dup|ENST00000569110.1:c.995_1009dup|ENST00000569930.1:n.1928_1942dup|NM_001318831.1:c.4081_4095dup|NM_001370405.1:c.4684_4698dup|NM_001318829.1:c.4468_4482dup|NM_001077183.2:c.4612_4626dup|ENST00000568454.1:c.4645_4659dup|ENST00000350773.4:c.4744_4758dup|NM_001114382.2:c.4744_4758dup|NM_001370404.1:c.4681_4695dup|NM_001318827.1:c.4504_4518dup|ENST00000401874.2:c.4612_4626dup|ENST00000497886.1:n.2571_2585dup|ENST00000382538.6:c.4468_4482dup|NM_001318832.1:c.4645_4659dup</t>
        </is>
      </c>
      <c r="N174" t="inlineStr"/>
      <c r="O174" t="inlineStr"/>
      <c r="P174" t="inlineStr"/>
      <c r="Q174" t="inlineStr"/>
      <c r="R174" t="inlineStr"/>
      <c r="S174" t="inlineStr"/>
    </row>
    <row r="175">
      <c r="A175" t="inlineStr">
        <is>
          <t>16</t>
        </is>
      </c>
      <c r="B175" t="n">
        <v>2110661</v>
      </c>
      <c r="C175" t="inlineStr">
        <is>
          <t>C</t>
        </is>
      </c>
      <c r="D175" t="inlineStr">
        <is>
          <t>A</t>
        </is>
      </c>
      <c r="E175" t="inlineStr">
        <is>
          <t>431920</t>
        </is>
      </c>
      <c r="F175">
        <f>HYPERLINK("https://www.ncbi.nlm.nih.gov/clinvar/variation/431920/","ClinVarDB")</f>
        <v/>
      </c>
      <c r="G175" t="inlineStr">
        <is>
          <t>criteria_provided|_single_submitter</t>
        </is>
      </c>
      <c r="H175" t="inlineStr">
        <is>
          <t>not_provided</t>
        </is>
      </c>
      <c r="I175" t="inlineStr">
        <is>
          <t>Likely_pathogenic</t>
        </is>
      </c>
      <c r="J175" t="inlineStr">
        <is>
          <t>TSC2</t>
        </is>
      </c>
      <c r="K175" t="inlineStr">
        <is>
          <t>intron_variant|intron_variant&amp;NMD_transcript_variant</t>
        </is>
      </c>
      <c r="L175" t="inlineStr"/>
      <c r="M175" t="inlineStr">
        <is>
          <t>ENST00000219476.3:c.976-10C&gt;A|NM_021055.2:c.976-10C&gt;A|ENST00000439673.2:c.865-10C&gt;A|ENST00000401874.2:c.976-10C&gt;A|NM_001114382.2:c.976-10C&gt;A|ENST00000353929.4:c.976-10C&gt;A|ENST00000568454.1:c.1009-10C&gt;A|NM_001370405.1:c.976-10C&gt;A|ENST00000439117.2:c.*275-10C&gt;A|NM_001077183.2:c.976-10C&gt;A|ENST00000382538.6:c.829-10C&gt;A|NM_001318831.1:c.376-10C&gt;A|NM_001370404.1:c.976-10C&gt;A|ENST00000350773.4:c.976-10C&gt;A|ENST00000467949.1:c.411+1787C&gt;A|NM_001318829.1:c.829-10C&gt;A|NM_001363528.1:c.976-10C&gt;A|NM_000548.5:c.976-10C&gt;A|NM_001318832.1:c.1009-10C&gt;A|NM_001318827.1:c.865-10C&gt;A</t>
        </is>
      </c>
      <c r="N175" t="inlineStr"/>
      <c r="O175" t="inlineStr"/>
      <c r="P175" t="inlineStr"/>
      <c r="Q175" t="inlineStr"/>
      <c r="R175" t="inlineStr"/>
      <c r="S175" t="inlineStr"/>
    </row>
    <row r="176">
      <c r="A176" t="inlineStr">
        <is>
          <t>16</t>
        </is>
      </c>
      <c r="B176" t="n">
        <v>2125897</v>
      </c>
      <c r="C176" t="inlineStr">
        <is>
          <t>AGTGGTCGCC</t>
        </is>
      </c>
      <c r="D176" t="inlineStr">
        <is>
          <t>TACGGCAGGGGTTGCCGTACACCAACCCCT</t>
        </is>
      </c>
      <c r="E176" t="inlineStr">
        <is>
          <t>978586</t>
        </is>
      </c>
      <c r="F176">
        <f>HYPERLINK("https://www.ncbi.nlm.nih.gov/clinvar/variation/978586/","ClinVarDB")</f>
        <v/>
      </c>
      <c r="G176" t="inlineStr">
        <is>
          <t>criteria_provided|_single_submitter</t>
        </is>
      </c>
      <c r="H176" t="inlineStr">
        <is>
          <t>Tuberous_sclerosis_2</t>
        </is>
      </c>
      <c r="I176" t="inlineStr">
        <is>
          <t>Pathogenic</t>
        </is>
      </c>
      <c r="J176" t="inlineStr">
        <is>
          <t>TSC2</t>
        </is>
      </c>
      <c r="K176" t="inlineStr">
        <is>
          <t>intron_variant|intron_variant&amp;NMD_transcript_variant</t>
        </is>
      </c>
      <c r="L176" t="inlineStr"/>
      <c r="M176" t="inlineStr">
        <is>
          <t>NM_001370405.1:c.2639+4_2639+13delinsTACGGCAGGGGTTGCCGTACACCAACCCCT|ENST00000439673.2:c.2528+4_2528+13delinsTACGGCAGGGGTTGCCGTACACCAACCCCT|ENST00000350773.4:c.2639+4_2639+13delinsTACGGCAGGGGTTGCCGTACACCAACCCCT|NM_001318831.1:c.2039+4_2039+13delinsTACGGCAGGGGTTGCCGTACACCAACCCCT|NM_001318827.1:c.2528+4_2528+13delinsTACGGCAGGGGTTGCCGTACACCAACCCCT|NM_021055.2:c.2639+4_2639+13delinsTACGGCAGGGGTTGCCGTACACCAACCCCT|NM_001370404.1:c.2639+4_2639+13delinsTACGGCAGGGGTTGCCGTACACCAACCCCT|ENST00000353929.4:c.2639+4_2639+13delinsTACGGCAGGGGTTGCCGTACACCAACCCCT|NM_000548.5:c.2639+4_2639+13delinsTACGGCAGGGGTTGCCGTACACCAACCCCT|ENST00000439117.2:c.*1938+4_*1938+13delinsTACGGCAGGGGTTGCCGTACACCAACCCCT|ENST00000219476.3:c.2639+4_2639+13delinsTACGGCAGGGGTTGCCGTACACCAACCCCT|ENST00000401874.2:c.2639+4_2639+13delinsTACGGCAGGGGTTGCCGTACACCAACCCCT|NM_001114382.2:c.2639+4_2639+13delinsTACGGCAGGGGTTGCCGTACACCAACCCCT|NM_001077183.2:c.2639+4_2639+13delinsTACGGCAGGGGTTGCCGTACACCAACCCCT|ENST00000382538.6:c.2492+4_2492+13delinsTACGGCAGGGGTTGCCGTACACCAACCCCT|NM_001363528.1:c.2639+4_2639+13delinsTACGGCAGGGGTTGCCGTACACCAACCCCT|ENST00000568454.1:c.2672+4_2672+13delinsTACGGCAGGGGTTGCCGTACACCAACCCCT|NM_001318829.1:c.2492+4_2492+13delinsTACGGCAGGGGTTGCCGTACACCAACCCCT|NM_001318832.1:c.2672+4_2672+13delinsTACGGCAGGGGTTGCCGTACACCAACCCCT</t>
        </is>
      </c>
      <c r="N176" t="inlineStr"/>
      <c r="O176" t="inlineStr"/>
      <c r="P176" t="inlineStr"/>
      <c r="Q176" t="inlineStr"/>
      <c r="R176" t="inlineStr"/>
      <c r="S176" t="inlineStr"/>
    </row>
    <row r="177">
      <c r="A177" t="inlineStr">
        <is>
          <t>16</t>
        </is>
      </c>
      <c r="B177" t="n">
        <v>2120444</v>
      </c>
      <c r="C177" t="inlineStr">
        <is>
          <t>CCTCT</t>
        </is>
      </c>
      <c r="D177" t="inlineStr">
        <is>
          <t>C</t>
        </is>
      </c>
      <c r="E177" t="inlineStr">
        <is>
          <t>586849</t>
        </is>
      </c>
      <c r="F177">
        <f>HYPERLINK("https://www.ncbi.nlm.nih.gov/clinvar/variation/586849/","ClinVarDB")</f>
        <v/>
      </c>
      <c r="G177" t="inlineStr">
        <is>
          <t>criteria_provided|_single_submitter</t>
        </is>
      </c>
      <c r="H177" t="inlineStr">
        <is>
          <t>not_provided</t>
        </is>
      </c>
      <c r="I177" t="inlineStr">
        <is>
          <t>Pathogenic</t>
        </is>
      </c>
      <c r="J177" t="inlineStr">
        <is>
          <t>TSC2</t>
        </is>
      </c>
      <c r="K177" t="inlineStr">
        <is>
          <t>intron_variant&amp;non_coding_transcript_variant|intron_variant|intron_variant&amp;NMD_transcript_variant</t>
        </is>
      </c>
      <c r="L177" t="inlineStr"/>
      <c r="M177" t="inlineStr">
        <is>
          <t>NM_001318829.1:c.1570-8_1570-5del|NM_001318831.1:c.1117-8_1117-5del|ENST00000488675.1:n.224-8_224-5del|NM_001114382.2:c.1717-8_1717-5del|NM_001077183.2:c.1717-8_1717-5del|ENST00000219476.3:c.1717-8_1717-5del|ENST00000568566.1:c.*264-8_*264-5del|ENST00000568454.1:c.1750-8_1750-5del|NM_000548.5:c.1717-8_1717-5del|ENST00000350773.4:c.1717-8_1717-5del|NM_021055.2:c.1717-8_1717-5del|ENST00000439117.2:c.*1016-8_*1016-5del|NM_001363528.1:c.1717-8_1717-5del|ENST00000353929.4:c.1717-8_1717-5del|NM_001370405.1:c.1717-8_1717-5del|NM_001318832.1:c.1750-8_1750-5del|ENST00000439673.2:c.1606-8_1606-5del|ENST00000382538.6:c.1570-8_1570-5del|NM_001370404.1:c.1717-8_1717-5del|ENST00000562474.1:n.442-8_442-5del|NM_001318827.1:c.1606-8_1606-5del|ENST00000401874.2:c.1717-8_1717-5del</t>
        </is>
      </c>
      <c r="N177" t="inlineStr"/>
      <c r="O177" t="inlineStr"/>
      <c r="P177" t="inlineStr"/>
      <c r="Q177" t="inlineStr"/>
      <c r="R177" t="inlineStr"/>
      <c r="S177" t="inlineStr"/>
    </row>
    <row r="178">
      <c r="A178" t="inlineStr">
        <is>
          <t>16</t>
        </is>
      </c>
      <c r="B178" t="n">
        <v>2138031</v>
      </c>
      <c r="C178" t="inlineStr">
        <is>
          <t>A</t>
        </is>
      </c>
      <c r="D178" t="inlineStr">
        <is>
          <t>G</t>
        </is>
      </c>
      <c r="E178" t="inlineStr">
        <is>
          <t>49345</t>
        </is>
      </c>
      <c r="F178">
        <f>HYPERLINK("https://www.ncbi.nlm.nih.gov/clinvar/variation/49345/","ClinVarDB")</f>
        <v/>
      </c>
      <c r="G178" t="inlineStr">
        <is>
          <t>criteria_provided|_single_submitter</t>
        </is>
      </c>
      <c r="H178" t="inlineStr">
        <is>
          <t>Tuberous_sclerosis_2|Tuberous_sclerosis_syndrome</t>
        </is>
      </c>
      <c r="I178" t="inlineStr">
        <is>
          <t>Likely_pathogenic</t>
        </is>
      </c>
      <c r="J178" t="inlineStr">
        <is>
          <t>TSC2</t>
        </is>
      </c>
      <c r="K178" t="inlineStr">
        <is>
          <t>intron_variant&amp;non_coding_transcript_variant|intron_variant|intron_variant&amp;NMD_transcript_variant</t>
        </is>
      </c>
      <c r="L178" t="inlineStr"/>
      <c r="M178" t="inlineStr">
        <is>
          <t>ENST00000439117.2:c.*4236-18A&gt;G|NM_001114382.2:c.5000-18A&gt;G|NM_000548.5:c.5069-18A&gt;G|NM_001318831.1:c.4337-18A&gt;G|NM_001318829.1:c.4724-18A&gt;G|NM_001318832.1:c.4901-18A&gt;G|ENST00000568454.1:c.4901-18A&gt;G|ENST00000569930.1:n.2184-18A&gt;G|NM_001363528.1:c.4871-18A&gt;G|NM_001077183.2:c.4868-18A&gt;G|ENST00000350773.4:c.5000-18A&gt;G|NM_001318827.1:c.4760-18A&gt;G|ENST00000569110.1:c.1251-18A&gt;G|ENST00000353929.4:c.4940-18A&gt;G|NM_001370405.1:c.4940-18A&gt;G|ENST00000439673.2:c.4760-18A&gt;G|ENST00000219476.3:c.5069-18A&gt;G|ENST00000497886.1:n.2792-18A&gt;G|ENST00000401874.2:c.4868-18A&gt;G|ENST00000382538.6:c.4724-18A&gt;G|NM_001370404.1:c.4937-18A&gt;G|NM_021055.2:c.4940-18A&gt;G</t>
        </is>
      </c>
      <c r="N178" t="inlineStr"/>
      <c r="O178" t="inlineStr"/>
      <c r="P178" t="inlineStr"/>
      <c r="Q178" t="inlineStr"/>
      <c r="R178" t="inlineStr"/>
      <c r="S178" t="inlineStr"/>
    </row>
    <row r="179">
      <c r="A179" t="inlineStr">
        <is>
          <t>9</t>
        </is>
      </c>
      <c r="B179" t="n">
        <v>135786837</v>
      </c>
      <c r="C179" t="inlineStr">
        <is>
          <t>T</t>
        </is>
      </c>
      <c r="D179" t="inlineStr">
        <is>
          <t>C</t>
        </is>
      </c>
      <c r="E179" t="inlineStr">
        <is>
          <t>547823</t>
        </is>
      </c>
      <c r="F179">
        <f>HYPERLINK("https://www.ncbi.nlm.nih.gov/clinvar/variation/547823/","ClinVarDB")</f>
        <v/>
      </c>
      <c r="G179" t="inlineStr">
        <is>
          <t>criteria_provided|_single_submitter</t>
        </is>
      </c>
      <c r="H179" t="inlineStr">
        <is>
          <t>Tuberous_sclerosis_1</t>
        </is>
      </c>
      <c r="I179" t="inlineStr">
        <is>
          <t>Likely_pathogenic</t>
        </is>
      </c>
      <c r="J179" t="inlineStr">
        <is>
          <t>TSC1</t>
        </is>
      </c>
      <c r="K179" t="inlineStr">
        <is>
          <t>splice_region_variant&amp;intron_variant|synonymous_variant|splice_region_variant&amp;intron_variant&amp;non_coding_transcript_variant</t>
        </is>
      </c>
      <c r="L179" t="inlineStr">
        <is>
          <t>|ENSP00000386093.1:p.Val344=</t>
        </is>
      </c>
      <c r="M179" t="inlineStr">
        <is>
          <t>NM_000368.5:c.1029+3A&gt;G|ENST00000298552.3:c.1029+3A&gt;G|ENST00000493467.1:n.1225+3A&gt;G|ENST00000440111.2:c.1029+3A&gt;G|ENST00000403810.1:c.1032A&gt;G|NM_001162426.2:c.1029+3A&gt;G|ENST00000545250.1:c.876+3A&gt;G|NM_001362177.2:c.666+3A&gt;G|NM_001162427.2:c.876+3A&gt;G</t>
        </is>
      </c>
      <c r="N179" t="inlineStr"/>
      <c r="O179" t="inlineStr"/>
      <c r="P179" t="inlineStr"/>
      <c r="Q179" t="inlineStr"/>
      <c r="R179" t="inlineStr"/>
      <c r="S179" t="inlineStr"/>
    </row>
    <row r="180">
      <c r="A180" t="inlineStr">
        <is>
          <t>9</t>
        </is>
      </c>
      <c r="B180" t="n">
        <v>135801133</v>
      </c>
      <c r="C180" t="inlineStr">
        <is>
          <t>A</t>
        </is>
      </c>
      <c r="D180" t="inlineStr">
        <is>
          <t>C</t>
        </is>
      </c>
      <c r="E180" t="inlineStr">
        <is>
          <t>448715</t>
        </is>
      </c>
      <c r="F180">
        <f>HYPERLINK("https://www.ncbi.nlm.nih.gov/clinvar/variation/448715/","ClinVarDB")</f>
        <v/>
      </c>
      <c r="G180" t="inlineStr">
        <is>
          <t>criteria_provided|_single_submitter</t>
        </is>
      </c>
      <c r="H180" t="inlineStr">
        <is>
          <t>not_provided</t>
        </is>
      </c>
      <c r="I180" t="inlineStr">
        <is>
          <t>Likely_pathogenic</t>
        </is>
      </c>
      <c r="J180" t="inlineStr">
        <is>
          <t>TSC1</t>
        </is>
      </c>
      <c r="K180" t="inlineStr">
        <is>
          <t>splice_region_variant&amp;intron_variant|intron_variant|splice_region_variant&amp;intron_variant&amp;non_coding_transcript_variant</t>
        </is>
      </c>
      <c r="L180" t="inlineStr"/>
      <c r="M180" t="inlineStr">
        <is>
          <t>NM_001162426.2:c.211-7T&gt;G|NM_001162427.2:c.210+1455T&gt;G|ENST00000403810.1:c.211-7T&gt;G|ENST00000298552.3:c.211-7T&gt;G|ENST00000475903.1:n.368-7T&gt;G|ENST00000545250.1:c.210+1455T&gt;G|NM_001362177.2:c.-153-7T&gt;G|ENST00000440111.2:c.211-7T&gt;G|ENST00000493467.1:n.407-7T&gt;G|NM_000368.5:c.211-7T&gt;G|ENST00000490179.2:n.529-7T&gt;G</t>
        </is>
      </c>
      <c r="N180" t="inlineStr"/>
      <c r="O180" t="inlineStr"/>
      <c r="P180" t="inlineStr"/>
      <c r="Q180" t="inlineStr"/>
      <c r="R180" t="inlineStr"/>
      <c r="S180" t="inlineStr"/>
    </row>
    <row r="181">
      <c r="A181" t="inlineStr">
        <is>
          <t>9</t>
        </is>
      </c>
      <c r="B181" t="n">
        <v>135798864</v>
      </c>
      <c r="C181" t="inlineStr">
        <is>
          <t>C</t>
        </is>
      </c>
      <c r="D181" t="inlineStr">
        <is>
          <t>CACG</t>
        </is>
      </c>
      <c r="E181" t="inlineStr">
        <is>
          <t>838348</t>
        </is>
      </c>
      <c r="F181">
        <f>HYPERLINK("https://www.ncbi.nlm.nih.gov/clinvar/variation/838348/","ClinVarDB")</f>
        <v/>
      </c>
      <c r="G181" t="inlineStr">
        <is>
          <t>criteria_provided|_single_submitter</t>
        </is>
      </c>
      <c r="H181" t="inlineStr">
        <is>
          <t>Tuberous_sclerosis_1</t>
        </is>
      </c>
      <c r="I181" t="inlineStr">
        <is>
          <t>Likely_pathogenic</t>
        </is>
      </c>
      <c r="J181" t="inlineStr">
        <is>
          <t>TSC1</t>
        </is>
      </c>
      <c r="K181" t="inlineStr">
        <is>
          <t>non_coding_transcript_exon_variant|inframe_insertion</t>
        </is>
      </c>
      <c r="L181" t="inlineStr">
        <is>
          <t>|ENSP00000444017.1:p.Val75_Val76insArg|NP_001349106.1:p.Val5_Val6insArg|ENSP00000386093.1:p.Val126_Val127insArg|NP_000359.1:p.Val126_Val127insArg|NP_001155899.1:p.Val75_Val76insArg|NP_001155898.1:p.Val126_Val127insArg|ENSP00000394524.2:p.Val126_Val127insArg|ENSP00000298552.3:p.Val126_Val127insArg</t>
        </is>
      </c>
      <c r="M181" t="inlineStr">
        <is>
          <t>NM_001162427.2:c.225_226insCGT|NM_001162426.2:c.378_379insCGT|ENST00000440111.2:c.378_379insCGT|ENST00000403810.1:c.378_379insCGT|NM_000368.5:c.378_379insCGT|ENST00000545250.1:c.225_226insCGT|ENST00000298552.3:c.378_379insCGT|ENST00000475903.1:n.535_536insCGT|ENST00000461879.1:n.207_208insCGT|ENST00000493467.1:n.574_575insCGT|NM_001362177.2:c.15_16insCGT</t>
        </is>
      </c>
      <c r="N181" t="inlineStr"/>
      <c r="O181" t="inlineStr"/>
      <c r="P181" t="inlineStr"/>
      <c r="Q181" t="inlineStr"/>
      <c r="R181" t="inlineStr"/>
      <c r="S181" t="inlineStr"/>
    </row>
    <row r="182">
      <c r="A182" t="inlineStr">
        <is>
          <t>17</t>
        </is>
      </c>
      <c r="B182" t="n">
        <v>7579312</v>
      </c>
      <c r="C182" t="inlineStr">
        <is>
          <t>C</t>
        </is>
      </c>
      <c r="D182" t="inlineStr">
        <is>
          <t>A</t>
        </is>
      </c>
      <c r="E182" t="inlineStr">
        <is>
          <t>237948</t>
        </is>
      </c>
      <c r="F182">
        <f>HYPERLINK("https://www.ncbi.nlm.nih.gov/clinvar/variation/237948/","ClinVarDB")</f>
        <v/>
      </c>
      <c r="G182" t="inlineStr">
        <is>
          <t>criteria_provided|_single_submitter</t>
        </is>
      </c>
      <c r="H182" t="inlineStr">
        <is>
          <t>Li-Fraumeni_syndrome|not_provided</t>
        </is>
      </c>
      <c r="I182" t="inlineStr">
        <is>
          <t>Likely_pathogenic</t>
        </is>
      </c>
      <c r="J182" t="inlineStr">
        <is>
          <t>TP53</t>
        </is>
      </c>
      <c r="K182" t="inlineStr">
        <is>
          <t>splice_region_variant&amp;synonymous_variant|intron_variant|splice_region_variant&amp;non_coding_transcript_exon_variant</t>
        </is>
      </c>
      <c r="L182" t="inlineStr">
        <is>
          <t>|ENSP00000410739.2:p.Thr125=|ENSP00000424104.1:p.Thr125=|ENSP00000391478.2:p.Thr125=|NP_001119590.1:p.Thr86=|NP_001263690.1:p.Thr86=|NP_001119585.1:p.Thr125=|NP_001263624.1:p.Thr86=|ENSP00000391127.2:p.Thr125=|ENSP00000473895.1:p.Thr125=|NP_001263689.1:p.Thr86=|ENSP00000352610.4:p.Thr125=|NP_001119586.1:p.Thr125=|ENSP00000398846.2:p.Thr125=|NP_000537.3:p.Thr125=|NP_001119584.1:p.Thr125=|ENSP00000426252.1:p.Thr125=|NP_001263625.1:p.Thr86=|ENSP00000269305.4:p.Thr125=</t>
        </is>
      </c>
      <c r="M182" t="inlineStr">
        <is>
          <t>ENST00000604348.1:c.375G&gt;T|NM_001276696.2:c.258G&gt;T|NM_001126114.2:c.375G&gt;T|ENST00000413465.2:c.375G&gt;T|NM_001276695.2:c.258G&gt;T|ENST00000445888.2:c.375G&gt;T|NM_001276760.2:c.258G&gt;T|ENST00000508793.1:c.375G&gt;T|NM_001126113.2:c.375G&gt;T|NM_000546.5:c.375G&gt;T|ENST00000269305.4:c.375G&gt;T|NM_001276761.2:c.258G&gt;T|ENST00000505014.1:n.631G&gt;T|ENST00000503591.1:c.375G&gt;T|ENST00000420246.2:c.375G&gt;T|NM_001126112.2:c.375G&gt;T|ENST00000359597.4:c.375G&gt;T|ENST00000509690.1:c.-21-758G&gt;T|NM_001126118.1:c.258G&gt;T|ENST00000455263.2:c.375G&gt;T|ENST00000514944.1:c.96+388G&gt;T</t>
        </is>
      </c>
      <c r="N182" t="inlineStr"/>
      <c r="O182" t="inlineStr"/>
      <c r="P182" t="inlineStr"/>
      <c r="Q182" t="inlineStr"/>
      <c r="R182" t="inlineStr"/>
      <c r="S182" t="inlineStr"/>
    </row>
    <row r="183">
      <c r="A183" t="inlineStr">
        <is>
          <t>17</t>
        </is>
      </c>
      <c r="B183" t="n">
        <v>7579312</v>
      </c>
      <c r="C183" t="inlineStr">
        <is>
          <t>C</t>
        </is>
      </c>
      <c r="D183" t="inlineStr">
        <is>
          <t>G</t>
        </is>
      </c>
      <c r="E183" t="inlineStr">
        <is>
          <t>480746</t>
        </is>
      </c>
      <c r="F183">
        <f>HYPERLINK("https://www.ncbi.nlm.nih.gov/clinvar/variation/480746/","ClinVarDB")</f>
        <v/>
      </c>
      <c r="G183" t="inlineStr">
        <is>
          <t>criteria_provided|_single_submitter</t>
        </is>
      </c>
      <c r="H183" t="inlineStr">
        <is>
          <t>Hereditary_cancer-predisposing_syndrome</t>
        </is>
      </c>
      <c r="I183" t="inlineStr">
        <is>
          <t>Likely_pathogenic</t>
        </is>
      </c>
      <c r="J183" t="inlineStr">
        <is>
          <t>TP53</t>
        </is>
      </c>
      <c r="K183" t="inlineStr">
        <is>
          <t>splice_region_variant&amp;synonymous_variant|intron_variant|splice_region_variant&amp;non_coding_transcript_exon_variant</t>
        </is>
      </c>
      <c r="L183" t="inlineStr">
        <is>
          <t>|ENSP00000410739.2:p.Thr125=|ENSP00000424104.1:p.Thr125=|ENSP00000391478.2:p.Thr125=|NP_001119590.1:p.Thr86=|NP_001263690.1:p.Thr86=|NP_001119585.1:p.Thr125=|NP_001263624.1:p.Thr86=|ENSP00000391127.2:p.Thr125=|ENSP00000473895.1:p.Thr125=|NP_001263689.1:p.Thr86=|ENSP00000352610.4:p.Thr125=|NP_001119586.1:p.Thr125=|ENSP00000398846.2:p.Thr125=|NP_000537.3:p.Thr125=|NP_001119584.1:p.Thr125=|ENSP00000426252.1:p.Thr125=|NP_001263625.1:p.Thr86=|ENSP00000269305.4:p.Thr125=</t>
        </is>
      </c>
      <c r="M183" t="inlineStr">
        <is>
          <t>NM_001276761.2:c.258G&gt;C|ENST00000359597.4:c.375G&gt;C|ENST00000508793.1:c.375G&gt;C|NM_001126113.2:c.375G&gt;C|ENST00000505014.1:n.631G&gt;C|ENST00000445888.2:c.375G&gt;C|NM_001126114.2:c.375G&gt;C|ENST00000503591.1:c.375G&gt;C|NM_000546.5:c.375G&gt;C|ENST00000420246.2:c.375G&gt;C|ENST00000413465.2:c.375G&gt;C|ENST00000269305.4:c.375G&gt;C|ENST00000455263.2:c.375G&gt;C|NM_001276696.2:c.258G&gt;C|ENST00000514944.1:c.96+388G&gt;C|NM_001126118.1:c.258G&gt;C|NM_001126112.2:c.375G&gt;C|NM_001276760.2:c.258G&gt;C|NM_001276695.2:c.258G&gt;C|ENST00000509690.1:c.-21-758G&gt;C|ENST00000604348.1:c.375G&gt;C</t>
        </is>
      </c>
      <c r="N183" t="inlineStr"/>
      <c r="O183" t="inlineStr"/>
      <c r="P183" t="inlineStr"/>
      <c r="Q183" t="inlineStr"/>
      <c r="R183" t="inlineStr"/>
      <c r="S183" t="inlineStr"/>
    </row>
    <row r="184">
      <c r="A184" t="inlineStr">
        <is>
          <t>17</t>
        </is>
      </c>
      <c r="B184" t="n">
        <v>7579697</v>
      </c>
      <c r="C184" t="inlineStr">
        <is>
          <t>T</t>
        </is>
      </c>
      <c r="D184" t="inlineStr">
        <is>
          <t>TA</t>
        </is>
      </c>
      <c r="E184" t="inlineStr">
        <is>
          <t>428875</t>
        </is>
      </c>
      <c r="F184">
        <f>HYPERLINK("https://www.ncbi.nlm.nih.gov/clinvar/variation/428875/","ClinVarDB")</f>
        <v/>
      </c>
      <c r="G184" t="inlineStr">
        <is>
          <t>criteria_provided|_single_submitter</t>
        </is>
      </c>
      <c r="H184" t="inlineStr">
        <is>
          <t>Hereditary_cancer-predisposing_syndrome</t>
        </is>
      </c>
      <c r="I184" t="inlineStr">
        <is>
          <t>Likely_pathogenic</t>
        </is>
      </c>
      <c r="J184" t="inlineStr">
        <is>
          <t>TP53</t>
        </is>
      </c>
      <c r="K184" t="inlineStr">
        <is>
          <t>splice_region_variant&amp;intron_variant|intron_variant|splice_region_variant&amp;intron_variant&amp;non_coding_transcript_variant</t>
        </is>
      </c>
      <c r="L184" t="inlineStr"/>
      <c r="M184" t="inlineStr">
        <is>
          <t>NM_001126112.2:c.96+2dup|ENST00000509690.1:c.-21-1144dup|ENST00000514944.1:c.96+2dup|NM_001126118.1:c.-22+2dup|ENST00000455263.2:c.96+2dup|ENST00000604348.1:c.96+2dup|ENST00000503591.1:c.96+2dup|NM_000546.5:c.96+2dup|ENST00000445888.2:c.96+2dup|ENST00000508793.1:c.96+2dup|NM_001276760.2:c.-22+2dup|ENST00000420246.2:c.96+2dup|NM_001276761.2:c.-22+2dup|NM_001276696.2:c.-22+2dup|ENST00000269305.4:c.96+2dup|ENST00000413465.2:c.96+2dup|NM_001126114.2:c.96+2dup|NM_001276695.2:c.-22+2dup|ENST00000505014.1:n.352+2dup|ENST00000359597.4:c.96+2dup|NM_001126113.2:c.96+2dup</t>
        </is>
      </c>
      <c r="N184" t="inlineStr"/>
      <c r="O184" t="inlineStr"/>
      <c r="P184" t="inlineStr"/>
      <c r="Q184" t="inlineStr"/>
      <c r="R184" t="inlineStr"/>
      <c r="S184" t="inlineStr"/>
    </row>
    <row r="185">
      <c r="A185" t="inlineStr">
        <is>
          <t>17</t>
        </is>
      </c>
      <c r="B185" t="n">
        <v>7577090</v>
      </c>
      <c r="C185" t="inlineStr">
        <is>
          <t>CGCCGGTCTCT</t>
        </is>
      </c>
      <c r="D185" t="inlineStr">
        <is>
          <t>TG</t>
        </is>
      </c>
      <c r="E185" t="inlineStr">
        <is>
          <t>141193</t>
        </is>
      </c>
      <c r="F185">
        <f>HYPERLINK("https://www.ncbi.nlm.nih.gov/clinvar/variation/141193/","ClinVarDB")</f>
        <v/>
      </c>
      <c r="G185" t="inlineStr">
        <is>
          <t>criteria_provided|_single_submitter</t>
        </is>
      </c>
      <c r="H185" t="inlineStr">
        <is>
          <t>Hereditary_cancer-predisposing_syndrome</t>
        </is>
      </c>
      <c r="I185" t="inlineStr">
        <is>
          <t>Likely_pathogenic</t>
        </is>
      </c>
      <c r="J185" t="inlineStr">
        <is>
          <t>TP53</t>
        </is>
      </c>
      <c r="K185" t="inlineStr">
        <is>
          <t>regulatory_region_variant|protein_altering_variant|intron_variant|non_coding_transcript_exon_variant</t>
        </is>
      </c>
      <c r="L185" t="inlineStr">
        <is>
          <t>|ENSP00000391478.2:p.Arg280_Arg283delinsHis|ENSP00000269305.4:p.Arg280_Arg283delinsHis|NP_001119587.1:p.Arg148_Arg151delinsHis|NP_001263627.1:p.Arg121_Arg124delinsHis|NP_001263689.1:p.Arg241_Arg244delinsHis|NP_001119584.1:p.Arg280_Arg283delinsHis|ENSP00000352610.4:p.Arg280_Arg283delinsHis|NP_001263624.1:p.Arg241_Arg244delinsHis|NP_000537.3:p.Arg280_Arg283delinsHis|ENSP00000425104.1:p.Arg148_Arg151delinsHis|NP_001119588.1:p.Arg148_Arg151delinsHis|ENSP00000391127.2:p.Arg280_Arg283delinsHis|NP_001263628.1:p.Arg121_Arg124delinsHis|NP_001263690.1:p.Arg241_Arg244delinsHis|NP_001119585.1:p.Arg280_Arg283delinsHis|NP_001119590.1:p.Arg241_Arg244delinsHis|ENSP00000398846.2:p.Arg280_Arg283delinsHis|NP_001119589.1:p.Arg148_Arg151delinsHis|NP_001263626.1:p.Arg121_Arg124delinsHis|NP_001119586.1:p.Arg280_Arg283delinsHis|NP_001263625.1:p.Arg241_Arg244delinsHis</t>
        </is>
      </c>
      <c r="M185" t="inlineStr">
        <is>
          <t>|ENST00000269305.4:c.838_848delinsCA|NM_001276697.2:c.361_371delinsCA|ENST00000420246.2:c.838_848delinsCA|ENST00000413465.2:c.782+399_782+409delinsCA|NM_001276696.2:c.721_731delinsCA|ENST00000504290.1:n.720_730delinsCA|NM_001126113.2:c.838_848delinsCA|NM_001126115.1:c.442_452delinsCA|NM_001276699.2:c.361_371delinsCA|NM_001126117.1:c.442_452delinsCA|NM_001276761.2:c.721_731delinsCA|ENST00000510385.1:n.720_730delinsCA|NM_001126112.2:c.838_848delinsCA|ENST00000455263.2:c.838_848delinsCA|ENST00000445888.2:c.838_848delinsCA|NM_000546.5:c.838_848delinsCA|ENST00000509690.1:c.442_452delinsCA|NM_001276760.2:c.721_731delinsCA|NM_001276698.2:c.361_371delinsCA|ENST00000504937.1:n.720_730delinsCA|NM_001126118.1:c.721_731delinsCA|NM_001276695.2:c.721_731delinsCA|ENST00000359597.4:c.838_848delinsCA|NM_001126116.1:c.442_452delinsCA|NM_001126114.2:c.838_848delinsCA</t>
        </is>
      </c>
      <c r="N185" t="inlineStr"/>
      <c r="O185" t="inlineStr"/>
      <c r="P185" t="inlineStr"/>
      <c r="Q185" t="inlineStr"/>
      <c r="R185" t="inlineStr"/>
      <c r="S185" t="inlineStr"/>
    </row>
    <row r="186">
      <c r="A186" t="inlineStr">
        <is>
          <t>17</t>
        </is>
      </c>
      <c r="B186" t="n">
        <v>7578297</v>
      </c>
      <c r="C186" t="inlineStr">
        <is>
          <t>CAATCAGTGAGG</t>
        </is>
      </c>
      <c r="D186" t="inlineStr">
        <is>
          <t>C</t>
        </is>
      </c>
      <c r="E186" t="inlineStr">
        <is>
          <t>853317</t>
        </is>
      </c>
      <c r="F186">
        <f>HYPERLINK("https://www.ncbi.nlm.nih.gov/clinvar/variation/853317/","ClinVarDB")</f>
        <v/>
      </c>
      <c r="G186" t="inlineStr">
        <is>
          <t>criteria_provided|_single_submitter</t>
        </is>
      </c>
      <c r="H186" t="inlineStr">
        <is>
          <t>Li-Fraumeni_syndrome</t>
        </is>
      </c>
      <c r="I186" t="inlineStr">
        <is>
          <t>Pathogenic</t>
        </is>
      </c>
      <c r="J186" t="inlineStr">
        <is>
          <t>TP53</t>
        </is>
      </c>
      <c r="K186" t="inlineStr">
        <is>
          <t>intron_variant&amp;non_coding_transcript_variant|intron_variant</t>
        </is>
      </c>
      <c r="L186" t="inlineStr"/>
      <c r="M186" t="inlineStr">
        <is>
          <t>ENST00000413465.2:c.560-19_560-9del|NM_001276696.2:c.443-19_443-9del|NM_001276697.2:c.83-19_83-9del|NM_001276761.2:c.443-19_443-9del|ENST00000505014.1:n.816-19_816-9del|ENST00000510385.1:n.442-19_442-9del|NM_000546.5:c.560-19_560-9del|ENST00000514944.1:c.281-19_281-9del|NM_001276695.2:c.443-19_443-9del|ENST00000359597.4:c.560-19_560-9del|NM_001126114.2:c.560-19_560-9del|ENST00000269305.4:c.560-19_560-9del|NM_001126118.1:c.443-19_443-9del|ENST00000509690.1:c.164-19_164-9del|ENST00000504937.1:n.442-19_442-9del|NM_001276699.2:c.83-19_83-9del|ENST00000445888.2:c.560-19_560-9del|NM_001126117.1:c.164-19_164-9del|ENST00000455263.2:c.560-19_560-9del|ENST00000574684.1:n.67+63_67+73del|NM_001126113.2:c.560-19_560-9del|NM_001126115.1:c.164-19_164-9del|NM_001276698.2:c.83-19_83-9del|NM_001126116.1:c.164-19_164-9del|ENST00000504290.1:n.442-19_442-9del|ENST00000420246.2:c.560-19_560-9del|NM_001276760.2:c.443-19_443-9del|NM_001126112.2:c.560-19_560-9del</t>
        </is>
      </c>
      <c r="N186" t="inlineStr"/>
      <c r="O186" t="inlineStr"/>
      <c r="P186" t="inlineStr"/>
      <c r="Q186" t="inlineStr"/>
      <c r="R186" t="inlineStr"/>
      <c r="S186" t="inlineStr"/>
    </row>
    <row r="187">
      <c r="A187" t="inlineStr">
        <is>
          <t>17</t>
        </is>
      </c>
      <c r="B187" t="n">
        <v>7579601</v>
      </c>
      <c r="C187" t="inlineStr">
        <is>
          <t>G</t>
        </is>
      </c>
      <c r="D187" t="inlineStr">
        <is>
          <t>C</t>
        </is>
      </c>
      <c r="E187" t="inlineStr">
        <is>
          <t>638852</t>
        </is>
      </c>
      <c r="F187">
        <f>HYPERLINK("https://www.ncbi.nlm.nih.gov/clinvar/variation/638852/","ClinVarDB")</f>
        <v/>
      </c>
      <c r="G187" t="inlineStr">
        <is>
          <t>criteria_provided|_single_submitter</t>
        </is>
      </c>
      <c r="H187" t="inlineStr">
        <is>
          <t>Li-Fraumeni_syndrome</t>
        </is>
      </c>
      <c r="I187" t="inlineStr">
        <is>
          <t>Pathogenic</t>
        </is>
      </c>
      <c r="J187" t="inlineStr">
        <is>
          <t>TP53</t>
        </is>
      </c>
      <c r="K187" t="inlineStr">
        <is>
          <t>intron_variant&amp;non_coding_transcript_variant|intron_variant</t>
        </is>
      </c>
      <c r="L187" t="inlineStr"/>
      <c r="M187" t="inlineStr">
        <is>
          <t>NM_001126113.2:c.97-11C&gt;G|ENST00000604348.1:c.97-11C&gt;G|NM_001126118.1:c.-21-11C&gt;G|ENST00000505014.1:n.353-11C&gt;G|NM_001126112.2:c.97-11C&gt;G|NM_000546.5:c.97-11C&gt;G|ENST00000420246.2:c.97-11C&gt;G|ENST00000445888.2:c.97-11C&gt;G|NM_001276761.2:c.-21-11C&gt;G|ENST00000269305.4:c.97-11C&gt;G|NM_001276695.2:c.-21-11C&gt;G|NM_001126114.2:c.97-11C&gt;G|ENST00000509690.1:c.-21-1047C&gt;G|ENST00000359597.4:c.97-11C&gt;G|ENST00000514944.1:c.96+99C&gt;G|NM_001276696.2:c.-21-11C&gt;G|ENST00000455263.2:c.97-11C&gt;G|ENST00000413465.2:c.97-11C&gt;G|ENST00000503591.1:c.97-11C&gt;G|ENST00000508793.1:c.97-11C&gt;G|NM_001276760.2:c.-21-11C&gt;G</t>
        </is>
      </c>
      <c r="N187" t="inlineStr"/>
      <c r="O187" t="inlineStr"/>
      <c r="P187" t="inlineStr"/>
      <c r="Q187" t="inlineStr"/>
      <c r="R187" t="inlineStr"/>
      <c r="S187" t="inlineStr"/>
    </row>
    <row r="188">
      <c r="A188" t="inlineStr">
        <is>
          <t>17</t>
        </is>
      </c>
      <c r="B188" t="n">
        <v>7571520</v>
      </c>
      <c r="C188" t="inlineStr">
        <is>
          <t>T</t>
        </is>
      </c>
      <c r="D188" t="inlineStr">
        <is>
          <t>TC</t>
        </is>
      </c>
      <c r="E188" t="inlineStr">
        <is>
          <t>437018</t>
        </is>
      </c>
      <c r="F188">
        <f>HYPERLINK("https://www.ncbi.nlm.nih.gov/clinvar/variation/437018/","ClinVarDB")</f>
        <v/>
      </c>
      <c r="G188" t="inlineStr">
        <is>
          <t>criteria_provided|_single_submitter</t>
        </is>
      </c>
      <c r="H188" t="inlineStr">
        <is>
          <t>Li-Fraumeni_syndrome</t>
        </is>
      </c>
      <c r="I188" t="inlineStr">
        <is>
          <t>Pathogenic</t>
        </is>
      </c>
      <c r="J188" t="inlineStr">
        <is>
          <t>TP53</t>
        </is>
      </c>
      <c r="K188" t="inlineStr">
        <is>
          <t>intron_variant</t>
        </is>
      </c>
      <c r="L188" t="inlineStr"/>
      <c r="M188" t="inlineStr">
        <is>
          <t>ENST00000413465.2:c.782+5978dup|ENST00000359597.4:c.994-1959dup</t>
        </is>
      </c>
      <c r="N188" t="inlineStr"/>
      <c r="O188" t="inlineStr"/>
      <c r="P188" t="inlineStr"/>
      <c r="Q188" t="inlineStr"/>
      <c r="R188" t="inlineStr"/>
      <c r="S188" t="inlineStr"/>
    </row>
    <row r="189">
      <c r="A189" t="inlineStr">
        <is>
          <t>19</t>
        </is>
      </c>
      <c r="B189" t="n">
        <v>11141466</v>
      </c>
      <c r="C189" t="inlineStr">
        <is>
          <t>AGTACT</t>
        </is>
      </c>
      <c r="D189" t="inlineStr">
        <is>
          <t>GGC</t>
        </is>
      </c>
      <c r="E189" t="inlineStr">
        <is>
          <t>420526</t>
        </is>
      </c>
      <c r="F189">
        <f>HYPERLINK("https://www.ncbi.nlm.nih.gov/clinvar/variation/420526/","ClinVarDB")</f>
        <v/>
      </c>
      <c r="G189" t="inlineStr">
        <is>
          <t>criteria_provided|_single_submitter</t>
        </is>
      </c>
      <c r="H189" t="inlineStr">
        <is>
          <t>not_provided</t>
        </is>
      </c>
      <c r="I189" t="inlineStr">
        <is>
          <t>Likely_pathogenic</t>
        </is>
      </c>
      <c r="J189" t="inlineStr">
        <is>
          <t>SMARCA4</t>
        </is>
      </c>
      <c r="K189" t="inlineStr">
        <is>
          <t>protein_altering_variant|non_coding_transcript_exon_variant</t>
        </is>
      </c>
      <c r="L189" t="inlineStr">
        <is>
          <t>|ENSP00000466963.1:p.Glu1148_Phe1150delinsGlyLeu|NP_001122317.1:p.Glu1148_Phe1150delinsGlyLeu|NP_001122319.1:p.Glu1148_Phe1150delinsGlyLeu|NP_001122320.1:p.Glu1148_Phe1150delinsGlyLeu|NP_001122316.1:p.Glu1148_Phe1150delinsGlyLeu|NP_001122321.1:p.Glu1148_Phe1150delinsGlyLeu|ENSP00000395654.1:p.Glu1148_Phe1150delinsGlyLeu|ENSP00000445036.2:p.Glu1148_Phe1150delinsGlyLeu|ENSP00000350720.2:p.Glu1148_Phe1150delinsGlyLeu|NP_001122318.1:p.Glu1148_Phe1150delinsGlyLeu|ENSP00000464778.1:p.Glu1148_Phe1150delinsGlyLeu|ENSP00000392837.2:p.Glu1148_Phe1150delinsGlyLeu|ENSP00000343896.4:p.Glu1148_Phe1150delinsGlyLeu|NP_003063.2:p.Glu1148_Phe1150delinsGlyLeu|ENSP00000397783.2:p.Glu1148_Phe1150delinsGlyLeu|ENSP00000414727.2:p.Glu1148_Phe1150delinsGlyLeu</t>
        </is>
      </c>
      <c r="M189" t="inlineStr">
        <is>
          <t>ENST00000541122.2:c.3443_3448delinsGGC|ENST00000413806.3:c.3443_3448delinsGGC|ENST00000344626.4:c.3443_3448delinsGGC|ENST00000444061.3:c.3443_3448delinsGGC|NM_001128845.1:c.3443_3448delinsGGC|ENST00000450717.3:c.3443_3448delinsGGC|NM_001128847.3:c.3443_3448delinsGGC|NM_001128848.1:c.3443_3448delinsGGC|NM_001128849.2:c.3443_3448delinsGGC|ENST00000429416.3:c.3443_3448delinsGGC|ENST00000591595.1:n.1515_1520delinsGGC|ENST00000358026.2:c.3443_3448delinsGGC|ENST00000591545.1:n.3317_3322delinsGGC|NM_001128846.1:c.3443_3448delinsGGC|ENST00000590574.1:c.3443_3448delinsGGC|ENST00000592604.1:n.1356_1361delinsGGC|NM_001128844.2:c.3443_3448delinsGGC|ENST00000585799.1:n.1971_1976delinsGGC|NM_003072.4:c.3443_3448delinsGGC|ENST00000589677.1:c.3443_3448delinsGGC</t>
        </is>
      </c>
      <c r="N189" t="inlineStr"/>
      <c r="O189" t="inlineStr"/>
      <c r="P189" t="inlineStr"/>
      <c r="Q189" t="inlineStr"/>
      <c r="R189" t="inlineStr"/>
      <c r="S189" t="inlineStr"/>
    </row>
    <row r="190">
      <c r="A190" t="inlineStr">
        <is>
          <t>11</t>
        </is>
      </c>
      <c r="B190" t="n">
        <v>111958702</v>
      </c>
      <c r="C190" t="inlineStr">
        <is>
          <t>G</t>
        </is>
      </c>
      <c r="D190" t="inlineStr">
        <is>
          <t>A</t>
        </is>
      </c>
      <c r="E190" t="inlineStr">
        <is>
          <t>987149</t>
        </is>
      </c>
      <c r="F190">
        <f>HYPERLINK("https://www.ncbi.nlm.nih.gov/clinvar/variation/987149/","ClinVarDB")</f>
        <v/>
      </c>
      <c r="G190" t="inlineStr">
        <is>
          <t>criteria_provided|_single_submitter</t>
        </is>
      </c>
      <c r="H190" t="inlineStr">
        <is>
          <t>not_provided</t>
        </is>
      </c>
      <c r="I190" t="inlineStr">
        <is>
          <t>Likely_pathogenic</t>
        </is>
      </c>
      <c r="J190" t="inlineStr">
        <is>
          <t>SDHD</t>
        </is>
      </c>
      <c r="K190" t="inlineStr">
        <is>
          <t>regulatory_region_variant|intron_variant|splice_region_variant&amp;intron_variant|splice_region_variant&amp;intron_variant&amp;non_coding_transcript_variant|splice_region_variant&amp;intron_variant&amp;NMD_transcript_variant</t>
        </is>
      </c>
      <c r="L190" t="inlineStr"/>
      <c r="M190" t="inlineStr">
        <is>
          <t>|ENST00000375549.3:c.169+5G&gt;A|ENST00000528182.1:c.169+5G&gt;A|ENST00000530923.1:c.159+5G&gt;A|NM_001276503.2:c.169+5G&gt;A|NR_077060.2:n.204+5G&gt;A|NM_001276506.2:c.169+5G&gt;A|ENST00000526592.1:c.169+5G&gt;A|ENST00000528048.1:c.169+5G&gt;A|ENST00000532699.1:c.169+5G&gt;A|ENST00000528021.1:c.169+5G&gt;A|NM_003002.4:c.169+5G&gt;A|ENST00000525291.1:c.53-889G&gt;A|ENST00000525987.1:n.174+5G&gt;A|NM_001276504.2:c.53-889G&gt;A|ENST00000531744.1:c.169+5G&gt;A</t>
        </is>
      </c>
      <c r="N190" t="inlineStr"/>
      <c r="O190" t="inlineStr"/>
      <c r="P190" t="inlineStr"/>
      <c r="Q190" t="inlineStr"/>
      <c r="R190" t="inlineStr"/>
      <c r="S190" t="inlineStr"/>
    </row>
    <row r="191">
      <c r="A191" t="inlineStr">
        <is>
          <t>11</t>
        </is>
      </c>
      <c r="B191" t="n">
        <v>111959697</v>
      </c>
      <c r="C191" t="inlineStr">
        <is>
          <t>C</t>
        </is>
      </c>
      <c r="D191" t="inlineStr">
        <is>
          <t>CTAT</t>
        </is>
      </c>
      <c r="E191" t="inlineStr">
        <is>
          <t>821802</t>
        </is>
      </c>
      <c r="F191">
        <f>HYPERLINK("https://www.ncbi.nlm.nih.gov/clinvar/variation/821802/","ClinVarDB")</f>
        <v/>
      </c>
      <c r="G191" t="inlineStr">
        <is>
          <t>criteria_provided|_single_submitter</t>
        </is>
      </c>
      <c r="H191" t="inlineStr">
        <is>
          <t>Hereditary_cancer-predisposing_syndrome</t>
        </is>
      </c>
      <c r="I191" t="inlineStr">
        <is>
          <t>Likely_pathogenic</t>
        </is>
      </c>
      <c r="J191" t="inlineStr">
        <is>
          <t>SDHD</t>
        </is>
      </c>
      <c r="K191" t="inlineStr">
        <is>
          <t>intron_variant|inframe_insertion&amp;NMD_transcript_variant|non_coding_transcript_exon_variant|inframe_insertion</t>
        </is>
      </c>
      <c r="L191" t="inlineStr">
        <is>
          <t>|NP_001263433.1:p.Tyr54dup|ENSP00000432005.1:p.Tyr93dup|ENSP00000432465.1:p.Tyr93dup|ENSP00000433202.1:p.Tyr37dup|NP_001263435.1:p.Tyr93dup|ENSP00000432946.1:p.Tyr90dup|ENSP00000364699.3:p.Tyr93dup|ENSP00000435475.1:p.Tyr93dup|ENSP00000456957.1:p.Tyr93dup|ENSP00000436669.1:p.Tyr54dup|ENSP00000456434.1:p.Tyr93dup|NP_002993.1:p.Tyr93dup</t>
        </is>
      </c>
      <c r="M191" t="inlineStr">
        <is>
          <t>NM_003002.4:c.278_280dup|ENST00000528182.1:c.278_280dup|ENST00000534010.1:c.109_111dup|ENST00000375549.3:c.278_280dup|ENST00000528021.1:c.278_280dup|ENST00000525291.1:c.161_163dup|ENST00000530923.1:c.268_270dup|NM_001276506.2:c.278_280dup|ENST00000528048.1:c.169+1002_169+1004dup|NM_001276504.2:c.161_163dup|ENST00000525987.1:n.283_285dup|NM_001276503.2:c.169+1002_169+1004dup|ENST00000526592.1:c.278_280dup|NR_077060.2:n.313_315dup|ENST00000531744.1:c.278_280dup|ENST00000532699.1:c.278_280dup</t>
        </is>
      </c>
      <c r="N191" t="inlineStr">
        <is>
          <t>3.9764900066074915e-06</t>
        </is>
      </c>
      <c r="O191" t="n">
        <v>1</v>
      </c>
      <c r="P191" t="inlineStr">
        <is>
          <t>0</t>
        </is>
      </c>
      <c r="Q191" t="inlineStr"/>
      <c r="R191" t="inlineStr"/>
      <c r="S191" t="inlineStr"/>
    </row>
    <row r="192">
      <c r="A192" t="inlineStr">
        <is>
          <t>1</t>
        </is>
      </c>
      <c r="B192" t="n">
        <v>17371253</v>
      </c>
      <c r="C192" t="inlineStr">
        <is>
          <t>C</t>
        </is>
      </c>
      <c r="D192" t="inlineStr">
        <is>
          <t>G</t>
        </is>
      </c>
      <c r="E192" t="inlineStr">
        <is>
          <t>231738</t>
        </is>
      </c>
      <c r="F192">
        <f>HYPERLINK("https://www.ncbi.nlm.nih.gov/clinvar/variation/231738/","ClinVarDB")</f>
        <v/>
      </c>
      <c r="G192" t="inlineStr">
        <is>
          <t>criteria_provided|_single_submitter</t>
        </is>
      </c>
      <c r="H192" t="inlineStr">
        <is>
          <t>Hereditary_cancer-predisposing_syndrome</t>
        </is>
      </c>
      <c r="I192" t="inlineStr">
        <is>
          <t>Likely_pathogenic</t>
        </is>
      </c>
      <c r="J192" t="inlineStr">
        <is>
          <t>SDHB</t>
        </is>
      </c>
      <c r="K192" t="inlineStr">
        <is>
          <t>splice_region_variant&amp;intron_variant|splice_region_variant&amp;intron_variant&amp;non_coding_transcript_variant</t>
        </is>
      </c>
      <c r="L192" t="inlineStr"/>
      <c r="M192" t="inlineStr">
        <is>
          <t>ENST00000463045.1:n.362+3G&gt;C|ENST00000466613.1:n.212+3G&gt;C|ENST00000375499.3:c.200+3G&gt;C|ENST00000491274.1:n.207+3G&gt;C|NM_003000.3:c.200+3G&gt;C|ENST00000475506.1:n.117+3G&gt;C|ENST00000485515.1:n.188+3G&gt;C</t>
        </is>
      </c>
      <c r="N192" t="inlineStr"/>
      <c r="O192" t="inlineStr"/>
      <c r="P192" t="inlineStr"/>
      <c r="Q192" t="inlineStr"/>
      <c r="R192" t="inlineStr"/>
      <c r="S192" t="inlineStr"/>
    </row>
    <row r="193">
      <c r="A193" t="inlineStr">
        <is>
          <t>13</t>
        </is>
      </c>
      <c r="B193" t="n">
        <v>48947619</v>
      </c>
      <c r="C193" t="inlineStr">
        <is>
          <t>C</t>
        </is>
      </c>
      <c r="D193" t="inlineStr">
        <is>
          <t>T</t>
        </is>
      </c>
      <c r="E193" t="inlineStr">
        <is>
          <t>995890</t>
        </is>
      </c>
      <c r="F193">
        <f>HYPERLINK("https://www.ncbi.nlm.nih.gov/clinvar/variation/995890/","ClinVarDB")</f>
        <v/>
      </c>
      <c r="G193" t="inlineStr">
        <is>
          <t>criteria_provided|_single_submitter</t>
        </is>
      </c>
      <c r="H193" t="inlineStr">
        <is>
          <t>Retinoblastoma</t>
        </is>
      </c>
      <c r="I193" t="inlineStr">
        <is>
          <t>Likely_pathogenic</t>
        </is>
      </c>
      <c r="J193" t="inlineStr">
        <is>
          <t>RB1</t>
        </is>
      </c>
      <c r="K193" t="inlineStr">
        <is>
          <t>synonymous_variant</t>
        </is>
      </c>
      <c r="L193" t="inlineStr">
        <is>
          <t>ENSP00000267163.4:p.Ser402=|NP_000312.2:p.Ser402=</t>
        </is>
      </c>
      <c r="M193" t="inlineStr">
        <is>
          <t>NM_000321.2:c.1206C&gt;T|ENST00000267163.4:c.1206C&gt;T</t>
        </is>
      </c>
      <c r="N193" t="inlineStr">
        <is>
          <t>1.1992799954896327e-05</t>
        </is>
      </c>
      <c r="O193" t="n">
        <v>3</v>
      </c>
      <c r="P193" t="inlineStr">
        <is>
          <t>0</t>
        </is>
      </c>
      <c r="Q193" t="inlineStr"/>
      <c r="R193" t="inlineStr"/>
      <c r="S193" t="inlineStr"/>
    </row>
    <row r="194">
      <c r="A194" t="inlineStr">
        <is>
          <t>13</t>
        </is>
      </c>
      <c r="B194" t="n">
        <v>48937093</v>
      </c>
      <c r="C194" t="inlineStr">
        <is>
          <t>G</t>
        </is>
      </c>
      <c r="D194" t="inlineStr">
        <is>
          <t>A</t>
        </is>
      </c>
      <c r="E194" t="inlineStr">
        <is>
          <t>527929</t>
        </is>
      </c>
      <c r="F194">
        <f>HYPERLINK("https://www.ncbi.nlm.nih.gov/clinvar/variation/527929/","ClinVarDB")</f>
        <v/>
      </c>
      <c r="G194" t="inlineStr">
        <is>
          <t>criteria_provided|_single_submitter</t>
        </is>
      </c>
      <c r="H194" t="inlineStr">
        <is>
          <t>Retinoblastoma</t>
        </is>
      </c>
      <c r="I194" t="inlineStr">
        <is>
          <t>Pathogenic</t>
        </is>
      </c>
      <c r="J194" t="inlineStr">
        <is>
          <t>RB1</t>
        </is>
      </c>
      <c r="K194" t="inlineStr">
        <is>
          <t>splice_region_variant&amp;synonymous_variant</t>
        </is>
      </c>
      <c r="L194" t="inlineStr">
        <is>
          <t>ENSP00000267163.4:p.Glu287=|NP_000312.2:p.Glu287=</t>
        </is>
      </c>
      <c r="M194" t="inlineStr">
        <is>
          <t>ENST00000267163.4:c.861G&gt;A|NM_000321.2:c.861G&gt;A</t>
        </is>
      </c>
      <c r="N194" t="inlineStr"/>
      <c r="O194" t="inlineStr"/>
      <c r="P194" t="inlineStr"/>
      <c r="Q194" t="inlineStr"/>
      <c r="R194" t="inlineStr"/>
      <c r="S194" t="inlineStr"/>
    </row>
    <row r="195">
      <c r="A195" t="inlineStr">
        <is>
          <t>13</t>
        </is>
      </c>
      <c r="B195" t="n">
        <v>48939107</v>
      </c>
      <c r="C195" t="inlineStr">
        <is>
          <t>G</t>
        </is>
      </c>
      <c r="D195" t="inlineStr">
        <is>
          <t>A</t>
        </is>
      </c>
      <c r="E195" t="inlineStr">
        <is>
          <t>1066671</t>
        </is>
      </c>
      <c r="F195">
        <f>HYPERLINK("https://www.ncbi.nlm.nih.gov/clinvar/variation/1066671/","ClinVarDB")</f>
        <v/>
      </c>
      <c r="G195" t="inlineStr">
        <is>
          <t>criteria_provided|_single_submitter</t>
        </is>
      </c>
      <c r="H195" t="inlineStr">
        <is>
          <t>Retinoblastoma</t>
        </is>
      </c>
      <c r="I195" t="inlineStr">
        <is>
          <t>Likely_pathogenic</t>
        </is>
      </c>
      <c r="J195" t="inlineStr">
        <is>
          <t>RB1</t>
        </is>
      </c>
      <c r="K195" t="inlineStr">
        <is>
          <t>splice_region_variant&amp;synonymous_variant</t>
        </is>
      </c>
      <c r="L195" t="inlineStr">
        <is>
          <t>ENSP00000267163.4:p.Glu313=|NP_000312.2:p.Glu313=</t>
        </is>
      </c>
      <c r="M195" t="inlineStr">
        <is>
          <t>ENST00000267163.4:c.939G&gt;A|NM_000321.2:c.939G&gt;A</t>
        </is>
      </c>
      <c r="N195" t="inlineStr"/>
      <c r="O195" t="inlineStr"/>
      <c r="P195" t="inlineStr"/>
      <c r="Q195" t="inlineStr"/>
      <c r="R195" t="inlineStr"/>
      <c r="S195" t="inlineStr"/>
    </row>
    <row r="196">
      <c r="A196" t="inlineStr">
        <is>
          <t>13</t>
        </is>
      </c>
      <c r="B196" t="n">
        <v>48951170</v>
      </c>
      <c r="C196" t="inlineStr">
        <is>
          <t>G</t>
        </is>
      </c>
      <c r="D196" t="inlineStr">
        <is>
          <t>A</t>
        </is>
      </c>
      <c r="E196" t="inlineStr">
        <is>
          <t>1071425</t>
        </is>
      </c>
      <c r="F196">
        <f>HYPERLINK("https://www.ncbi.nlm.nih.gov/clinvar/variation/1071425/","ClinVarDB")</f>
        <v/>
      </c>
      <c r="G196" t="inlineStr">
        <is>
          <t>criteria_provided|_single_submitter</t>
        </is>
      </c>
      <c r="H196" t="inlineStr">
        <is>
          <t>Retinoblastoma</t>
        </is>
      </c>
      <c r="I196" t="inlineStr">
        <is>
          <t>Pathogenic</t>
        </is>
      </c>
      <c r="J196" t="inlineStr">
        <is>
          <t>RB1</t>
        </is>
      </c>
      <c r="K196" t="inlineStr">
        <is>
          <t>splice_region_variant&amp;synonymous_variant</t>
        </is>
      </c>
      <c r="L196" t="inlineStr">
        <is>
          <t>ENSP00000267163.4:p.Gln444=|NP_000312.2:p.Gln444=</t>
        </is>
      </c>
      <c r="M196" t="inlineStr">
        <is>
          <t>NM_000321.2:c.1332G&gt;A|ENST00000267163.4:c.1332G&gt;A</t>
        </is>
      </c>
      <c r="N196" t="inlineStr"/>
      <c r="O196" t="inlineStr"/>
      <c r="P196" t="inlineStr"/>
      <c r="Q196" t="inlineStr"/>
      <c r="R196" t="inlineStr"/>
      <c r="S196" t="inlineStr"/>
    </row>
    <row r="197">
      <c r="A197" t="inlineStr">
        <is>
          <t>13</t>
        </is>
      </c>
      <c r="B197" t="n">
        <v>48916853</v>
      </c>
      <c r="C197" t="inlineStr">
        <is>
          <t>A</t>
        </is>
      </c>
      <c r="D197" t="inlineStr">
        <is>
          <t>T</t>
        </is>
      </c>
      <c r="E197" t="inlineStr">
        <is>
          <t>527904</t>
        </is>
      </c>
      <c r="F197">
        <f>HYPERLINK("https://www.ncbi.nlm.nih.gov/clinvar/variation/527904/","ClinVarDB")</f>
        <v/>
      </c>
      <c r="G197" t="inlineStr">
        <is>
          <t>criteria_provided|_single_submitter</t>
        </is>
      </c>
      <c r="H197" t="inlineStr">
        <is>
          <t>Retinoblastoma</t>
        </is>
      </c>
      <c r="I197" t="inlineStr">
        <is>
          <t>Pathogenic</t>
        </is>
      </c>
      <c r="J197" t="inlineStr">
        <is>
          <t>RB1</t>
        </is>
      </c>
      <c r="K197" t="inlineStr">
        <is>
          <t>splice_region_variant&amp;intron_variant|splice_region_variant&amp;intron_variant&amp;non_coding_transcript_variant|intron_variant&amp;NMD_transcript_variant</t>
        </is>
      </c>
      <c r="L197" t="inlineStr"/>
      <c r="M197" t="inlineStr">
        <is>
          <t>ENST00000525036.1:n.542+3A&gt;T|ENST00000467505.1:c.138-17300A&gt;T|NM_000321.2:c.380+3A&gt;T|ENST00000267163.4:c.380+3A&gt;T</t>
        </is>
      </c>
      <c r="N197" t="inlineStr"/>
      <c r="O197" t="inlineStr"/>
      <c r="P197" t="inlineStr"/>
      <c r="Q197" t="inlineStr"/>
      <c r="R197" t="inlineStr"/>
      <c r="S197" t="inlineStr"/>
    </row>
    <row r="198">
      <c r="A198" t="inlineStr">
        <is>
          <t>13</t>
        </is>
      </c>
      <c r="B198" t="n">
        <v>49027250</v>
      </c>
      <c r="C198" t="inlineStr">
        <is>
          <t>A</t>
        </is>
      </c>
      <c r="D198" t="inlineStr">
        <is>
          <t>C</t>
        </is>
      </c>
      <c r="E198" t="inlineStr">
        <is>
          <t>237664</t>
        </is>
      </c>
      <c r="F198">
        <f>HYPERLINK("https://www.ncbi.nlm.nih.gov/clinvar/variation/237664/","ClinVarDB")</f>
        <v/>
      </c>
      <c r="G198" t="inlineStr">
        <is>
          <t>criteria_provided|_single_submitter</t>
        </is>
      </c>
      <c r="H198" t="inlineStr">
        <is>
          <t>Retinoblastoma</t>
        </is>
      </c>
      <c r="I198" t="inlineStr">
        <is>
          <t>Likely_pathogenic</t>
        </is>
      </c>
      <c r="J198" t="inlineStr">
        <is>
          <t>RB1</t>
        </is>
      </c>
      <c r="K198" t="inlineStr">
        <is>
          <t>splice_region_variant&amp;intron_variant|splice_region_variant&amp;intron_variant&amp;non_coding_transcript_variant</t>
        </is>
      </c>
      <c r="L198" t="inlineStr"/>
      <c r="M198" t="inlineStr">
        <is>
          <t>NM_000321.2:c.1814+3A&gt;C|ENST00000480491.1:n.513+3A&gt;C|ENST00000267163.4:c.1814+3A&gt;C</t>
        </is>
      </c>
      <c r="N198" t="inlineStr"/>
      <c r="O198" t="inlineStr"/>
      <c r="P198" t="inlineStr"/>
      <c r="Q198" t="inlineStr"/>
      <c r="R198" t="inlineStr"/>
      <c r="S198" t="inlineStr"/>
    </row>
    <row r="199">
      <c r="A199" t="inlineStr">
        <is>
          <t>13</t>
        </is>
      </c>
      <c r="B199" t="n">
        <v>48941742</v>
      </c>
      <c r="C199" t="inlineStr">
        <is>
          <t>A</t>
        </is>
      </c>
      <c r="D199" t="inlineStr">
        <is>
          <t>G</t>
        </is>
      </c>
      <c r="E199" t="inlineStr">
        <is>
          <t>573573</t>
        </is>
      </c>
      <c r="F199">
        <f>HYPERLINK("https://www.ncbi.nlm.nih.gov/clinvar/variation/573573/","ClinVarDB")</f>
        <v/>
      </c>
      <c r="G199" t="inlineStr">
        <is>
          <t>criteria_provided|_single_submitter</t>
        </is>
      </c>
      <c r="H199" t="inlineStr">
        <is>
          <t>Retinoblastoma</t>
        </is>
      </c>
      <c r="I199" t="inlineStr">
        <is>
          <t>Likely_pathogenic</t>
        </is>
      </c>
      <c r="J199" t="inlineStr">
        <is>
          <t>RB1</t>
        </is>
      </c>
      <c r="K199" t="inlineStr">
        <is>
          <t>splice_region_variant&amp;intron_variant</t>
        </is>
      </c>
      <c r="L199" t="inlineStr"/>
      <c r="M199" t="inlineStr">
        <is>
          <t>ENST00000267163.4:c.1049+3A&gt;G|NM_000321.2:c.1049+3A&gt;G</t>
        </is>
      </c>
      <c r="N199" t="inlineStr"/>
      <c r="O199" t="inlineStr"/>
      <c r="P199" t="inlineStr"/>
      <c r="Q199" t="inlineStr"/>
      <c r="R199" t="inlineStr"/>
      <c r="S199" t="inlineStr"/>
    </row>
    <row r="200">
      <c r="A200" t="inlineStr">
        <is>
          <t>13</t>
        </is>
      </c>
      <c r="B200" t="n">
        <v>48953790</v>
      </c>
      <c r="C200" t="inlineStr">
        <is>
          <t>A</t>
        </is>
      </c>
      <c r="D200" t="inlineStr">
        <is>
          <t>C</t>
        </is>
      </c>
      <c r="E200" t="inlineStr">
        <is>
          <t>428701</t>
        </is>
      </c>
      <c r="F200">
        <f>HYPERLINK("https://www.ncbi.nlm.nih.gov/clinvar/variation/428701/","ClinVarDB")</f>
        <v/>
      </c>
      <c r="G200" t="inlineStr">
        <is>
          <t>criteria_provided|_single_submitter</t>
        </is>
      </c>
      <c r="H200" t="inlineStr">
        <is>
          <t>Hereditary_cancer-predisposing_syndrome</t>
        </is>
      </c>
      <c r="I200" t="inlineStr">
        <is>
          <t>Likely_pathogenic</t>
        </is>
      </c>
      <c r="J200" t="inlineStr">
        <is>
          <t>RB1</t>
        </is>
      </c>
      <c r="K200" t="inlineStr">
        <is>
          <t>splice_region_variant&amp;intron_variant</t>
        </is>
      </c>
      <c r="L200" t="inlineStr"/>
      <c r="M200" t="inlineStr">
        <is>
          <t>NM_000321.2:c.1389+4A&gt;C|ENST00000267163.4:c.1389+4A&gt;C</t>
        </is>
      </c>
      <c r="N200" t="inlineStr"/>
      <c r="O200" t="inlineStr"/>
      <c r="P200" t="inlineStr"/>
      <c r="Q200" t="inlineStr"/>
      <c r="R200" t="inlineStr"/>
      <c r="S200" t="inlineStr"/>
    </row>
    <row r="201">
      <c r="A201" t="inlineStr">
        <is>
          <t>13</t>
        </is>
      </c>
      <c r="B201" t="n">
        <v>48953791</v>
      </c>
      <c r="C201" t="inlineStr">
        <is>
          <t>G</t>
        </is>
      </c>
      <c r="D201" t="inlineStr">
        <is>
          <t>A</t>
        </is>
      </c>
      <c r="E201" t="inlineStr">
        <is>
          <t>428677</t>
        </is>
      </c>
      <c r="F201">
        <f>HYPERLINK("https://www.ncbi.nlm.nih.gov/clinvar/variation/428677/","ClinVarDB")</f>
        <v/>
      </c>
      <c r="G201" t="inlineStr">
        <is>
          <t>criteria_provided|_single_submitter</t>
        </is>
      </c>
      <c r="H201" t="inlineStr">
        <is>
          <t>Hereditary_cancer-predisposing_syndrome</t>
        </is>
      </c>
      <c r="I201" t="inlineStr">
        <is>
          <t>Pathogenic</t>
        </is>
      </c>
      <c r="J201" t="inlineStr">
        <is>
          <t>RB1</t>
        </is>
      </c>
      <c r="K201" t="inlineStr">
        <is>
          <t>splice_region_variant&amp;intron_variant</t>
        </is>
      </c>
      <c r="L201" t="inlineStr"/>
      <c r="M201" t="inlineStr">
        <is>
          <t>NM_000321.2:c.1389+5G&gt;A|ENST00000267163.4:c.1389+5G&gt;A</t>
        </is>
      </c>
      <c r="N201" t="inlineStr"/>
      <c r="O201" t="inlineStr"/>
      <c r="P201" t="inlineStr"/>
      <c r="Q201" t="inlineStr"/>
      <c r="R201" t="inlineStr"/>
      <c r="S201" t="inlineStr"/>
    </row>
    <row r="202">
      <c r="A202" t="inlineStr">
        <is>
          <t>13</t>
        </is>
      </c>
      <c r="B202" t="n">
        <v>48954222</v>
      </c>
      <c r="C202" t="inlineStr">
        <is>
          <t>TAAATTTTTTACTTTTAGTAAA</t>
        </is>
      </c>
      <c r="D202" t="inlineStr">
        <is>
          <t>T</t>
        </is>
      </c>
      <c r="E202" t="inlineStr">
        <is>
          <t>139569</t>
        </is>
      </c>
      <c r="F202">
        <f>HYPERLINK("https://www.ncbi.nlm.nih.gov/clinvar/variation/139569/","ClinVarDB")</f>
        <v/>
      </c>
      <c r="G202" t="inlineStr">
        <is>
          <t>criteria_provided|_single_submitter</t>
        </is>
      </c>
      <c r="H202" t="inlineStr">
        <is>
          <t>Retinoblastoma|Hereditary_cancer-predisposing_syndrome</t>
        </is>
      </c>
      <c r="I202" t="inlineStr">
        <is>
          <t>Likely_pathogenic</t>
        </is>
      </c>
      <c r="J202" t="inlineStr">
        <is>
          <t>RB1</t>
        </is>
      </c>
      <c r="K202" t="inlineStr">
        <is>
          <t>splice_region_variant&amp;intron_variant</t>
        </is>
      </c>
      <c r="L202" t="inlineStr"/>
      <c r="M202" t="inlineStr">
        <is>
          <t>ENST00000267163.4:c.1421+12_1421+32del|NM_000321.2:c.1421+12_1421+32del</t>
        </is>
      </c>
      <c r="N202" t="inlineStr"/>
      <c r="O202" t="inlineStr"/>
      <c r="P202" t="inlineStr"/>
      <c r="Q202" t="inlineStr"/>
      <c r="R202" t="inlineStr"/>
      <c r="S202" t="inlineStr"/>
    </row>
    <row r="203">
      <c r="A203" t="inlineStr">
        <is>
          <t>13</t>
        </is>
      </c>
      <c r="B203" t="n">
        <v>48954382</v>
      </c>
      <c r="C203" t="inlineStr">
        <is>
          <t>G</t>
        </is>
      </c>
      <c r="D203" t="inlineStr">
        <is>
          <t>A</t>
        </is>
      </c>
      <c r="E203" t="inlineStr">
        <is>
          <t>572265</t>
        </is>
      </c>
      <c r="F203">
        <f>HYPERLINK("https://www.ncbi.nlm.nih.gov/clinvar/variation/572265/","ClinVarDB")</f>
        <v/>
      </c>
      <c r="G203" t="inlineStr">
        <is>
          <t>criteria_provided|_single_submitter</t>
        </is>
      </c>
      <c r="H203" t="inlineStr">
        <is>
          <t>Retinoblastoma</t>
        </is>
      </c>
      <c r="I203" t="inlineStr">
        <is>
          <t>Likely_pathogenic</t>
        </is>
      </c>
      <c r="J203" t="inlineStr">
        <is>
          <t>RB1</t>
        </is>
      </c>
      <c r="K203" t="inlineStr">
        <is>
          <t>splice_region_variant&amp;intron_variant</t>
        </is>
      </c>
      <c r="L203" t="inlineStr"/>
      <c r="M203" t="inlineStr">
        <is>
          <t>ENST00000267163.4:c.1498+5G&gt;A|NM_000321.2:c.1498+5G&gt;A</t>
        </is>
      </c>
      <c r="N203" t="inlineStr"/>
      <c r="O203" t="inlineStr"/>
      <c r="P203" t="inlineStr"/>
      <c r="Q203" t="inlineStr"/>
      <c r="R203" t="inlineStr"/>
      <c r="S203" t="inlineStr"/>
    </row>
    <row r="204">
      <c r="A204" t="inlineStr">
        <is>
          <t>13</t>
        </is>
      </c>
      <c r="B204" t="n">
        <v>48955582</v>
      </c>
      <c r="C204" t="inlineStr">
        <is>
          <t>A</t>
        </is>
      </c>
      <c r="D204" t="inlineStr">
        <is>
          <t>C</t>
        </is>
      </c>
      <c r="E204" t="inlineStr">
        <is>
          <t>428689</t>
        </is>
      </c>
      <c r="F204">
        <f>HYPERLINK("https://www.ncbi.nlm.nih.gov/clinvar/variation/428689/","ClinVarDB")</f>
        <v/>
      </c>
      <c r="G204" t="inlineStr">
        <is>
          <t>criteria_provided|_single_submitter</t>
        </is>
      </c>
      <c r="H204" t="inlineStr">
        <is>
          <t>Hereditary_cancer-predisposing_syndrome</t>
        </is>
      </c>
      <c r="I204" t="inlineStr">
        <is>
          <t>Pathogenic</t>
        </is>
      </c>
      <c r="J204" t="inlineStr">
        <is>
          <t>RB1</t>
        </is>
      </c>
      <c r="K204" t="inlineStr">
        <is>
          <t>splice_region_variant&amp;intron_variant</t>
        </is>
      </c>
      <c r="L204" t="inlineStr"/>
      <c r="M204" t="inlineStr">
        <is>
          <t>ENST00000267163.4:c.1695+3A&gt;C|NM_000321.2:c.1695+3A&gt;C</t>
        </is>
      </c>
      <c r="N204" t="inlineStr"/>
      <c r="O204" t="inlineStr"/>
      <c r="P204" t="inlineStr"/>
      <c r="Q204" t="inlineStr"/>
      <c r="R204" t="inlineStr"/>
      <c r="S204" t="inlineStr"/>
    </row>
    <row r="205">
      <c r="A205" t="inlineStr">
        <is>
          <t>13</t>
        </is>
      </c>
      <c r="B205" t="n">
        <v>49030490</v>
      </c>
      <c r="C205" t="inlineStr">
        <is>
          <t>G</t>
        </is>
      </c>
      <c r="D205" t="inlineStr">
        <is>
          <t>A</t>
        </is>
      </c>
      <c r="E205" t="inlineStr">
        <is>
          <t>126791</t>
        </is>
      </c>
      <c r="F205">
        <f>HYPERLINK("https://www.ncbi.nlm.nih.gov/clinvar/variation/126791/","ClinVarDB")</f>
        <v/>
      </c>
      <c r="G205" t="inlineStr">
        <is>
          <t>criteria_provided|_single_submitter</t>
        </is>
      </c>
      <c r="H205" t="inlineStr">
        <is>
          <t>Retinoblastoma|not_provided</t>
        </is>
      </c>
      <c r="I205" t="inlineStr">
        <is>
          <t>Likely_pathogenic</t>
        </is>
      </c>
      <c r="J205" t="inlineStr">
        <is>
          <t>RB1</t>
        </is>
      </c>
      <c r="K205" t="inlineStr">
        <is>
          <t>splice_region_variant&amp;intron_variant</t>
        </is>
      </c>
      <c r="L205" t="inlineStr"/>
      <c r="M205" t="inlineStr">
        <is>
          <t>NM_000321.2:c.1960+5G&gt;A|ENST00000267163.4:c.1960+5G&gt;A</t>
        </is>
      </c>
      <c r="N205" t="inlineStr"/>
      <c r="O205" t="inlineStr"/>
      <c r="P205" t="inlineStr"/>
      <c r="Q205" t="inlineStr"/>
      <c r="R205" t="inlineStr"/>
      <c r="S205" t="inlineStr"/>
    </row>
    <row r="206">
      <c r="A206" t="inlineStr">
        <is>
          <t>13</t>
        </is>
      </c>
      <c r="B206" t="n">
        <v>49030490</v>
      </c>
      <c r="C206" t="inlineStr">
        <is>
          <t>G</t>
        </is>
      </c>
      <c r="D206" t="inlineStr">
        <is>
          <t>C</t>
        </is>
      </c>
      <c r="E206" t="inlineStr">
        <is>
          <t>428745</t>
        </is>
      </c>
      <c r="F206">
        <f>HYPERLINK("https://www.ncbi.nlm.nih.gov/clinvar/variation/428745/","ClinVarDB")</f>
        <v/>
      </c>
      <c r="G206" t="inlineStr">
        <is>
          <t>criteria_provided|_single_submitter</t>
        </is>
      </c>
      <c r="H206" t="inlineStr">
        <is>
          <t>Hereditary_cancer-predisposing_syndrome</t>
        </is>
      </c>
      <c r="I206" t="inlineStr">
        <is>
          <t>Pathogenic</t>
        </is>
      </c>
      <c r="J206" t="inlineStr">
        <is>
          <t>RB1</t>
        </is>
      </c>
      <c r="K206" t="inlineStr">
        <is>
          <t>splice_region_variant&amp;intron_variant</t>
        </is>
      </c>
      <c r="L206" t="inlineStr"/>
      <c r="M206" t="inlineStr">
        <is>
          <t>ENST00000267163.4:c.1960+5G&gt;C|NM_000321.2:c.1960+5G&gt;C</t>
        </is>
      </c>
      <c r="N206" t="inlineStr"/>
      <c r="O206" t="inlineStr"/>
      <c r="P206" t="inlineStr"/>
      <c r="Q206" t="inlineStr"/>
      <c r="R206" t="inlineStr"/>
      <c r="S206" t="inlineStr"/>
    </row>
    <row r="207">
      <c r="A207" t="inlineStr">
        <is>
          <t>13</t>
        </is>
      </c>
      <c r="B207" t="n">
        <v>49047530</v>
      </c>
      <c r="C207" t="inlineStr">
        <is>
          <t>A</t>
        </is>
      </c>
      <c r="D207" t="inlineStr">
        <is>
          <t>G</t>
        </is>
      </c>
      <c r="E207" t="inlineStr">
        <is>
          <t>949856</t>
        </is>
      </c>
      <c r="F207">
        <f>HYPERLINK("https://www.ncbi.nlm.nih.gov/clinvar/variation/949856/","ClinVarDB")</f>
        <v/>
      </c>
      <c r="G207" t="inlineStr">
        <is>
          <t>criteria_provided|_single_submitter</t>
        </is>
      </c>
      <c r="H207" t="inlineStr">
        <is>
          <t>Retinoblastoma</t>
        </is>
      </c>
      <c r="I207" t="inlineStr">
        <is>
          <t>Likely_pathogenic</t>
        </is>
      </c>
      <c r="J207" t="inlineStr">
        <is>
          <t>RB1</t>
        </is>
      </c>
      <c r="K207" t="inlineStr">
        <is>
          <t>splice_region_variant&amp;intron_variant</t>
        </is>
      </c>
      <c r="L207" t="inlineStr"/>
      <c r="M207" t="inlineStr">
        <is>
          <t>NM_000321.2:c.2520+4A&gt;G|ENST00000267163.4:c.2520+4A&gt;G</t>
        </is>
      </c>
      <c r="N207" t="inlineStr"/>
      <c r="O207" t="inlineStr"/>
      <c r="P207" t="inlineStr"/>
      <c r="Q207" t="inlineStr"/>
      <c r="R207" t="inlineStr"/>
      <c r="S207" t="inlineStr"/>
    </row>
    <row r="208">
      <c r="A208" t="inlineStr">
        <is>
          <t>13</t>
        </is>
      </c>
      <c r="B208" t="n">
        <v>49047531</v>
      </c>
      <c r="C208" t="inlineStr">
        <is>
          <t>G</t>
        </is>
      </c>
      <c r="D208" t="inlineStr">
        <is>
          <t>C</t>
        </is>
      </c>
      <c r="E208" t="inlineStr">
        <is>
          <t>1071565</t>
        </is>
      </c>
      <c r="F208">
        <f>HYPERLINK("https://www.ncbi.nlm.nih.gov/clinvar/variation/1071565/","ClinVarDB")</f>
        <v/>
      </c>
      <c r="G208" t="inlineStr">
        <is>
          <t>criteria_provided|_single_submitter</t>
        </is>
      </c>
      <c r="H208" t="inlineStr">
        <is>
          <t>Retinoblastoma</t>
        </is>
      </c>
      <c r="I208" t="inlineStr">
        <is>
          <t>Pathogenic</t>
        </is>
      </c>
      <c r="J208" t="inlineStr">
        <is>
          <t>RB1</t>
        </is>
      </c>
      <c r="K208" t="inlineStr">
        <is>
          <t>splice_region_variant&amp;intron_variant</t>
        </is>
      </c>
      <c r="L208" t="inlineStr"/>
      <c r="M208" t="inlineStr">
        <is>
          <t>ENST00000267163.4:c.2520+5G&gt;C|NM_000321.2:c.2520+5G&gt;C</t>
        </is>
      </c>
      <c r="N208" t="inlineStr"/>
      <c r="O208" t="inlineStr"/>
      <c r="P208" t="inlineStr"/>
      <c r="Q208" t="inlineStr"/>
      <c r="R208" t="inlineStr"/>
      <c r="S208" t="inlineStr"/>
    </row>
    <row r="209">
      <c r="A209" t="inlineStr">
        <is>
          <t>13</t>
        </is>
      </c>
      <c r="B209" t="n">
        <v>49047531</v>
      </c>
      <c r="C209" t="inlineStr">
        <is>
          <t>G</t>
        </is>
      </c>
      <c r="D209" t="inlineStr">
        <is>
          <t>T</t>
        </is>
      </c>
      <c r="E209" t="inlineStr">
        <is>
          <t>567155</t>
        </is>
      </c>
      <c r="F209">
        <f>HYPERLINK("https://www.ncbi.nlm.nih.gov/clinvar/variation/567155/","ClinVarDB")</f>
        <v/>
      </c>
      <c r="G209" t="inlineStr">
        <is>
          <t>criteria_provided|_single_submitter</t>
        </is>
      </c>
      <c r="H209" t="inlineStr">
        <is>
          <t>Retinoblastoma</t>
        </is>
      </c>
      <c r="I209" t="inlineStr">
        <is>
          <t>Pathogenic</t>
        </is>
      </c>
      <c r="J209" t="inlineStr">
        <is>
          <t>RB1</t>
        </is>
      </c>
      <c r="K209" t="inlineStr">
        <is>
          <t>splice_region_variant&amp;intron_variant</t>
        </is>
      </c>
      <c r="L209" t="inlineStr"/>
      <c r="M209" t="inlineStr">
        <is>
          <t>ENST00000267163.4:c.2520+5G&gt;T|NM_000321.2:c.2520+5G&gt;T</t>
        </is>
      </c>
      <c r="N209" t="inlineStr"/>
      <c r="O209" t="inlineStr"/>
      <c r="P209" t="inlineStr"/>
      <c r="Q209" t="inlineStr"/>
      <c r="R209" t="inlineStr"/>
      <c r="S209" t="inlineStr"/>
    </row>
    <row r="210">
      <c r="A210" t="inlineStr">
        <is>
          <t>13</t>
        </is>
      </c>
      <c r="B210" t="n">
        <v>49047532</v>
      </c>
      <c r="C210" t="inlineStr">
        <is>
          <t>T</t>
        </is>
      </c>
      <c r="D210" t="inlineStr">
        <is>
          <t>C</t>
        </is>
      </c>
      <c r="E210" t="inlineStr">
        <is>
          <t>995885</t>
        </is>
      </c>
      <c r="F210">
        <f>HYPERLINK("https://www.ncbi.nlm.nih.gov/clinvar/variation/995885/","ClinVarDB")</f>
        <v/>
      </c>
      <c r="G210" t="inlineStr">
        <is>
          <t>criteria_provided|_single_submitter</t>
        </is>
      </c>
      <c r="H210" t="inlineStr">
        <is>
          <t>Retinoblastoma</t>
        </is>
      </c>
      <c r="I210" t="inlineStr">
        <is>
          <t>Likely_pathogenic</t>
        </is>
      </c>
      <c r="J210" t="inlineStr">
        <is>
          <t>RB1</t>
        </is>
      </c>
      <c r="K210" t="inlineStr">
        <is>
          <t>splice_region_variant&amp;intron_variant</t>
        </is>
      </c>
      <c r="L210" t="inlineStr"/>
      <c r="M210" t="inlineStr">
        <is>
          <t>ENST00000267163.4:c.2520+6T&gt;C|NM_000321.2:c.2520+6T&gt;C</t>
        </is>
      </c>
      <c r="N210" t="inlineStr"/>
      <c r="O210" t="inlineStr"/>
      <c r="P210" t="inlineStr"/>
      <c r="Q210" t="inlineStr"/>
      <c r="R210" t="inlineStr"/>
      <c r="S210" t="inlineStr"/>
    </row>
    <row r="211">
      <c r="A211" t="inlineStr">
        <is>
          <t>13</t>
        </is>
      </c>
      <c r="B211" t="n">
        <v>48877836</v>
      </c>
      <c r="C211" t="inlineStr">
        <is>
          <t>CGTGACGCCGCGGGCGGAA</t>
        </is>
      </c>
      <c r="D211" t="inlineStr">
        <is>
          <t>C</t>
        </is>
      </c>
      <c r="E211" t="inlineStr">
        <is>
          <t>995907</t>
        </is>
      </c>
      <c r="F211">
        <f>HYPERLINK("https://www.ncbi.nlm.nih.gov/clinvar/variation/995907/","ClinVarDB")</f>
        <v/>
      </c>
      <c r="G211" t="inlineStr">
        <is>
          <t>criteria_provided|_single_submitter</t>
        </is>
      </c>
      <c r="H211" t="inlineStr">
        <is>
          <t>Retinoblastoma</t>
        </is>
      </c>
      <c r="I211" t="inlineStr">
        <is>
          <t>Likely_pathogenic</t>
        </is>
      </c>
      <c r="J211" t="inlineStr">
        <is>
          <t>RB1</t>
        </is>
      </c>
      <c r="K211" t="inlineStr">
        <is>
          <t>regulatory_region_variant|non_coding_transcript_exon_variant|TF_binding_site_variant</t>
        </is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</row>
    <row r="212">
      <c r="A212" t="inlineStr">
        <is>
          <t>13</t>
        </is>
      </c>
      <c r="B212" t="n">
        <v>48877848</v>
      </c>
      <c r="C212" t="inlineStr">
        <is>
          <t>GGCGGAAGT</t>
        </is>
      </c>
      <c r="D212" t="inlineStr">
        <is>
          <t>G</t>
        </is>
      </c>
      <c r="E212" t="inlineStr">
        <is>
          <t>1066897</t>
        </is>
      </c>
      <c r="F212">
        <f>HYPERLINK("https://www.ncbi.nlm.nih.gov/clinvar/variation/1066897/","ClinVarDB")</f>
        <v/>
      </c>
      <c r="G212" t="inlineStr">
        <is>
          <t>criteria_provided|_single_submitter</t>
        </is>
      </c>
      <c r="H212" t="inlineStr">
        <is>
          <t>Retinoblastoma</t>
        </is>
      </c>
      <c r="I212" t="inlineStr">
        <is>
          <t>Likely_pathogenic</t>
        </is>
      </c>
      <c r="J212" t="inlineStr">
        <is>
          <t>RB1</t>
        </is>
      </c>
      <c r="K212" t="inlineStr">
        <is>
          <t>regulatory_region_variant|TF_binding_site_variant</t>
        </is>
      </c>
      <c r="L212" t="inlineStr"/>
      <c r="M212" t="inlineStr"/>
      <c r="N212" t="inlineStr"/>
      <c r="O212" t="inlineStr"/>
      <c r="P212" t="inlineStr"/>
      <c r="Q212" t="inlineStr"/>
      <c r="R212" t="inlineStr"/>
      <c r="S212" t="inlineStr"/>
    </row>
    <row r="213">
      <c r="A213" t="inlineStr">
        <is>
          <t>13</t>
        </is>
      </c>
      <c r="B213" t="n">
        <v>49027117</v>
      </c>
      <c r="C213" t="inlineStr">
        <is>
          <t>T</t>
        </is>
      </c>
      <c r="D213" t="inlineStr">
        <is>
          <t>G</t>
        </is>
      </c>
      <c r="E213" t="inlineStr">
        <is>
          <t>410940</t>
        </is>
      </c>
      <c r="F213">
        <f>HYPERLINK("https://www.ncbi.nlm.nih.gov/clinvar/variation/410940/","ClinVarDB")</f>
        <v/>
      </c>
      <c r="G213" t="inlineStr">
        <is>
          <t>criteria_provided|_single_submitter</t>
        </is>
      </c>
      <c r="H213" t="inlineStr">
        <is>
          <t>Retinoblastoma</t>
        </is>
      </c>
      <c r="I213" t="inlineStr">
        <is>
          <t>Pathogenic</t>
        </is>
      </c>
      <c r="J213" t="inlineStr">
        <is>
          <t>RB1</t>
        </is>
      </c>
      <c r="K213" t="inlineStr">
        <is>
          <t>intron_variant&amp;non_coding_transcript_variant|intron_variant</t>
        </is>
      </c>
      <c r="L213" t="inlineStr"/>
      <c r="M213" t="inlineStr">
        <is>
          <t>NM_000321.2:c.1696-12T&gt;G|ENST00000480491.1:n.395-12T&gt;G|ENST00000267163.4:c.1696-12T&gt;G</t>
        </is>
      </c>
      <c r="N213" t="inlineStr"/>
      <c r="O213" t="inlineStr"/>
      <c r="P213" t="inlineStr"/>
      <c r="Q213" t="inlineStr"/>
      <c r="R213" t="inlineStr"/>
      <c r="S213" t="inlineStr"/>
    </row>
    <row r="214">
      <c r="A214" t="inlineStr">
        <is>
          <t>13</t>
        </is>
      </c>
      <c r="B214" t="n">
        <v>48954175</v>
      </c>
      <c r="C214" t="inlineStr">
        <is>
          <t>A</t>
        </is>
      </c>
      <c r="D214" t="inlineStr">
        <is>
          <t>G</t>
        </is>
      </c>
      <c r="E214" t="inlineStr">
        <is>
          <t>410932</t>
        </is>
      </c>
      <c r="F214">
        <f>HYPERLINK("https://www.ncbi.nlm.nih.gov/clinvar/variation/410932/","ClinVarDB")</f>
        <v/>
      </c>
      <c r="G214" t="inlineStr">
        <is>
          <t>criteria_provided|_single_submitter</t>
        </is>
      </c>
      <c r="H214" t="inlineStr">
        <is>
          <t>Retinoblastoma</t>
        </is>
      </c>
      <c r="I214" t="inlineStr">
        <is>
          <t>Likely_pathogenic</t>
        </is>
      </c>
      <c r="J214" t="inlineStr">
        <is>
          <t>RB1</t>
        </is>
      </c>
      <c r="K214" t="inlineStr">
        <is>
          <t>intron_variant</t>
        </is>
      </c>
      <c r="L214" t="inlineStr"/>
      <c r="M214" t="inlineStr">
        <is>
          <t>ENST00000267163.4:c.1390-14A&gt;G|NM_000321.2:c.1390-14A&gt;G</t>
        </is>
      </c>
      <c r="N214" t="inlineStr"/>
      <c r="O214" t="inlineStr"/>
      <c r="P214" t="inlineStr"/>
      <c r="Q214" t="inlineStr"/>
      <c r="R214" t="inlineStr"/>
      <c r="S214" t="inlineStr"/>
    </row>
    <row r="215">
      <c r="A215" t="inlineStr">
        <is>
          <t>17</t>
        </is>
      </c>
      <c r="B215" t="n">
        <v>56787356</v>
      </c>
      <c r="C215" t="inlineStr">
        <is>
          <t>G</t>
        </is>
      </c>
      <c r="D215" t="inlineStr">
        <is>
          <t>T</t>
        </is>
      </c>
      <c r="E215" t="inlineStr">
        <is>
          <t>1098873</t>
        </is>
      </c>
      <c r="F215">
        <f>HYPERLINK("https://www.ncbi.nlm.nih.gov/clinvar/variation/1098873/","ClinVarDB")</f>
        <v/>
      </c>
      <c r="G215" t="inlineStr">
        <is>
          <t>criteria_provided|_single_submitter</t>
        </is>
      </c>
      <c r="H215" t="inlineStr">
        <is>
          <t>Breast-ovarian_cancer|_familial_3</t>
        </is>
      </c>
      <c r="I215" t="inlineStr">
        <is>
          <t>Likely_pathogenic</t>
        </is>
      </c>
      <c r="J215" t="inlineStr">
        <is>
          <t>RAD51C</t>
        </is>
      </c>
      <c r="K215" t="inlineStr">
        <is>
          <t>splice_region_variant&amp;intron_variant|splice_region_variant&amp;intron_variant&amp;NMD_transcript_variant|splice_region_variant&amp;intron_variant&amp;non_coding_transcript_variant</t>
        </is>
      </c>
      <c r="L215" t="inlineStr"/>
      <c r="M215" t="inlineStr">
        <is>
          <t>ENST00000583539.1:c.837+5G&gt;T|ENST00000337432.4:c.837+5G&gt;T|ENST00000584617.1:c.*416+5G&gt;T|NM_058216.3:c.837+5G&gt;T|ENST00000578151.1:n.172+5G&gt;T|ENST00000487525.1:c.*410+5G&gt;T|ENST00000584804.1:c.132+5G&gt;T|ENST00000475762.1:c.*1540+5G&gt;T|ENST00000413590.1:c.475+5G&gt;T|NR_103872.2:n.712+5G&gt;T|ENST00000581221.1:n.352+5G&gt;T|ENST00000482007.1:c.*265+5G&gt;T</t>
        </is>
      </c>
      <c r="N215" t="inlineStr"/>
      <c r="O215" t="inlineStr"/>
      <c r="P215" t="inlineStr"/>
      <c r="Q215" t="inlineStr"/>
      <c r="R215" t="inlineStr"/>
      <c r="S215" t="inlineStr"/>
    </row>
    <row r="216">
      <c r="A216" t="inlineStr">
        <is>
          <t>12</t>
        </is>
      </c>
      <c r="B216" t="n">
        <v>112891155</v>
      </c>
      <c r="C216" t="inlineStr">
        <is>
          <t>C</t>
        </is>
      </c>
      <c r="D216" t="inlineStr">
        <is>
          <t>T</t>
        </is>
      </c>
      <c r="E216" t="inlineStr">
        <is>
          <t>940702</t>
        </is>
      </c>
      <c r="F216">
        <f>HYPERLINK("https://www.ncbi.nlm.nih.gov/clinvar/variation/940702/","ClinVarDB")</f>
        <v/>
      </c>
      <c r="G216" t="inlineStr">
        <is>
          <t>criteria_provided|_single_submitter</t>
        </is>
      </c>
      <c r="H216" t="inlineStr">
        <is>
          <t>Rasopathy</t>
        </is>
      </c>
      <c r="I216" t="inlineStr">
        <is>
          <t>Likely_pathogenic</t>
        </is>
      </c>
      <c r="J216" t="inlineStr">
        <is>
          <t>PTPN11</t>
        </is>
      </c>
      <c r="K216" t="inlineStr">
        <is>
          <t>synonymous_variant</t>
        </is>
      </c>
      <c r="L216" t="inlineStr">
        <is>
          <t>NP_001317366.1:p.Gly163=|ENSP00000376376.1:p.Gly163=|NP_002825.3:p.Gly163=|ENSP00000340944.2:p.Gly163=|ENSP00000437013.1:p.Gly8=|NP_542168.1:p.Gly163=</t>
        </is>
      </c>
      <c r="M216" t="inlineStr">
        <is>
          <t>ENST00000530818.1:c.24C&gt;T|ENST00000351677.2:c.489C&gt;T|NM_002834.4:c.489C&gt;T|ENST00000392597.1:c.489C&gt;T|NM_001330437.1:c.489C&gt;T|NM_080601.3:c.489C&gt;T</t>
        </is>
      </c>
      <c r="N216" t="inlineStr"/>
      <c r="O216" t="inlineStr"/>
      <c r="P216" t="inlineStr"/>
      <c r="Q216" t="inlineStr"/>
      <c r="R216" t="inlineStr"/>
      <c r="S216" t="inlineStr"/>
    </row>
    <row r="217">
      <c r="A217" t="inlineStr">
        <is>
          <t>12</t>
        </is>
      </c>
      <c r="B217" t="n">
        <v>112888163</v>
      </c>
      <c r="C217" t="inlineStr">
        <is>
          <t>GTGA</t>
        </is>
      </c>
      <c r="D217" t="inlineStr">
        <is>
          <t>T</t>
        </is>
      </c>
      <c r="E217" t="inlineStr">
        <is>
          <t>40492</t>
        </is>
      </c>
      <c r="F217">
        <f>HYPERLINK("https://www.ncbi.nlm.nih.gov/clinvar/variation/40492/","ClinVarDB")</f>
        <v/>
      </c>
      <c r="G217" t="inlineStr">
        <is>
          <t>criteria_provided|_single_submitter</t>
        </is>
      </c>
      <c r="H217" t="inlineStr">
        <is>
          <t>Rasopathy</t>
        </is>
      </c>
      <c r="I217" t="inlineStr">
        <is>
          <t>Pathogenic</t>
        </is>
      </c>
      <c r="J217" t="inlineStr">
        <is>
          <t>PTPN11</t>
        </is>
      </c>
      <c r="K217" t="inlineStr">
        <is>
          <t>protein_altering_variant</t>
        </is>
      </c>
      <c r="L217" t="inlineStr">
        <is>
          <t>ENSP00000340944.2:p.Gly60_Asp61delinsVal|NP_002825.3:p.Gly60_Asp61delinsVal|NP_542168.1:p.Gly60_Asp61delinsVal|ENSP00000376376.1:p.Gly60_Asp61delinsVal|NP_001317366.1:p.Gly60_Asp61delinsVal</t>
        </is>
      </c>
      <c r="M217" t="inlineStr">
        <is>
          <t>NM_001330437.1:c.179_182delinsT|ENST00000351677.2:c.179_182delinsT|NM_080601.3:c.179_182delinsT|NM_002834.4:c.179_182delinsT|ENST00000392597.1:c.179_182delinsT</t>
        </is>
      </c>
      <c r="N217" t="inlineStr"/>
      <c r="O217" t="inlineStr"/>
      <c r="P217" t="inlineStr"/>
      <c r="Q217" t="inlineStr"/>
      <c r="R217" t="inlineStr"/>
      <c r="S217" t="inlineStr"/>
    </row>
    <row r="218">
      <c r="A218" t="inlineStr">
        <is>
          <t>10</t>
        </is>
      </c>
      <c r="B218" t="n">
        <v>89690851</v>
      </c>
      <c r="C218" t="inlineStr">
        <is>
          <t>G</t>
        </is>
      </c>
      <c r="D218" t="inlineStr">
        <is>
          <t>T</t>
        </is>
      </c>
      <c r="E218" t="inlineStr">
        <is>
          <t>427617</t>
        </is>
      </c>
      <c r="F218">
        <f>HYPERLINK("https://www.ncbi.nlm.nih.gov/clinvar/variation/427617/","ClinVarDB")</f>
        <v/>
      </c>
      <c r="G218" t="inlineStr">
        <is>
          <t>criteria_provided|_single_submitter</t>
        </is>
      </c>
      <c r="H218" t="inlineStr">
        <is>
          <t>Cowden_syndrome_1|PTEN_hamartoma_tumor_syndrome</t>
        </is>
      </c>
      <c r="I218" t="inlineStr">
        <is>
          <t>Pathogenic</t>
        </is>
      </c>
      <c r="J218" t="inlineStr">
        <is>
          <t>PTEN</t>
        </is>
      </c>
      <c r="K218" t="inlineStr">
        <is>
          <t>splice_region_variant&amp;intron_variant|splice_region_variant&amp;intron_variant&amp;non_coding_transcript_variant|regulatory_region_variant</t>
        </is>
      </c>
      <c r="L218" t="inlineStr"/>
      <c r="M218" t="inlineStr">
        <is>
          <t>|NM_001304718.2:c.-497+5G&gt;T|ENST00000498703.1:n.79+5G&gt;T|ENST00000371953.3:c.253+5G&gt;T|NM_000314.8:c.253+5G&gt;T|NM_001304717.5:c.772+5G&gt;T</t>
        </is>
      </c>
      <c r="N218" t="inlineStr"/>
      <c r="O218" t="inlineStr"/>
      <c r="P218" t="inlineStr"/>
      <c r="Q218" t="inlineStr"/>
      <c r="R218" t="inlineStr"/>
      <c r="S218" t="inlineStr"/>
    </row>
    <row r="219">
      <c r="A219" t="inlineStr">
        <is>
          <t>10</t>
        </is>
      </c>
      <c r="B219" t="n">
        <v>89712018</v>
      </c>
      <c r="C219" t="inlineStr">
        <is>
          <t>T</t>
        </is>
      </c>
      <c r="D219" t="inlineStr">
        <is>
          <t>TC</t>
        </is>
      </c>
      <c r="E219" t="inlineStr">
        <is>
          <t>484627</t>
        </is>
      </c>
      <c r="F219">
        <f>HYPERLINK("https://www.ncbi.nlm.nih.gov/clinvar/variation/484627/","ClinVarDB")</f>
        <v/>
      </c>
      <c r="G219" t="inlineStr">
        <is>
          <t>criteria_provided|_single_submitter</t>
        </is>
      </c>
      <c r="H219" t="inlineStr">
        <is>
          <t>Hereditary_cancer-predisposing_syndrome</t>
        </is>
      </c>
      <c r="I219" t="inlineStr">
        <is>
          <t>Likely_pathogenic</t>
        </is>
      </c>
      <c r="J219" t="inlineStr">
        <is>
          <t>PTEN</t>
        </is>
      </c>
      <c r="K219" t="inlineStr">
        <is>
          <t>splice_region_variant&amp;intron_variant|splice_region_variant&amp;intron_variant&amp;non_coding_transcript_variant</t>
        </is>
      </c>
      <c r="L219" t="inlineStr"/>
      <c r="M219" t="inlineStr">
        <is>
          <t>ENST00000472832.1:n.61+2_61+3insC|NM_001304717.5:c.1153+2_1153+3insC|NM_000314.8:c.634+2_634+3insC|ENST00000371953.3:c.634+2_634+3insC|NM_001304718.2:c.44+2_44+3insC</t>
        </is>
      </c>
      <c r="N219" t="inlineStr"/>
      <c r="O219" t="inlineStr"/>
      <c r="P219" t="inlineStr"/>
      <c r="Q219" t="inlineStr"/>
      <c r="R219" t="inlineStr"/>
      <c r="S219" t="inlineStr"/>
    </row>
    <row r="220">
      <c r="A220" t="inlineStr">
        <is>
          <t>10</t>
        </is>
      </c>
      <c r="B220" t="n">
        <v>89685318</v>
      </c>
      <c r="C220" t="inlineStr">
        <is>
          <t>A</t>
        </is>
      </c>
      <c r="D220" t="inlineStr">
        <is>
          <t>G</t>
        </is>
      </c>
      <c r="E220" t="inlineStr">
        <is>
          <t>1182096</t>
        </is>
      </c>
      <c r="F220">
        <f>HYPERLINK("https://www.ncbi.nlm.nih.gov/clinvar/variation/1182096/","ClinVarDB")</f>
        <v/>
      </c>
      <c r="G220" t="inlineStr">
        <is>
          <t>criteria_provided|_single_submitter</t>
        </is>
      </c>
      <c r="H220" t="inlineStr">
        <is>
          <t>not_provided</t>
        </is>
      </c>
      <c r="I220" t="inlineStr">
        <is>
          <t>Likely_pathogenic</t>
        </is>
      </c>
      <c r="J220" t="inlineStr">
        <is>
          <t>PTEN</t>
        </is>
      </c>
      <c r="K220" t="inlineStr">
        <is>
          <t>splice_region_variant&amp;intron_variant|intron_variant|splice_region_variant&amp;intron_variant&amp;non_coding_transcript_variant|regulatory_region_variant</t>
        </is>
      </c>
      <c r="L220" t="inlineStr"/>
      <c r="M220" t="inlineStr">
        <is>
          <t>|NM_000314.8:c.209+4A&gt;G|ENST00000498703.1:n.35+4A&gt;G|NM_001304718.2:c.-540-5485A&gt;G|ENST00000371953.3:c.209+4A&gt;G|NM_001304717.5:c.728+4A&gt;G</t>
        </is>
      </c>
      <c r="N220" t="inlineStr"/>
      <c r="O220" t="inlineStr"/>
      <c r="P220" t="inlineStr"/>
      <c r="Q220" t="inlineStr"/>
      <c r="R220" t="inlineStr"/>
      <c r="S220" t="inlineStr"/>
    </row>
    <row r="221">
      <c r="A221" t="inlineStr">
        <is>
          <t>10</t>
        </is>
      </c>
      <c r="B221" t="n">
        <v>89685319</v>
      </c>
      <c r="C221" t="inlineStr">
        <is>
          <t>G</t>
        </is>
      </c>
      <c r="D221" t="inlineStr">
        <is>
          <t>T</t>
        </is>
      </c>
      <c r="E221" t="inlineStr">
        <is>
          <t>1320862</t>
        </is>
      </c>
      <c r="F221">
        <f>HYPERLINK("https://www.ncbi.nlm.nih.gov/clinvar/variation/1320862/","ClinVarDB")</f>
        <v/>
      </c>
      <c r="G221" t="inlineStr">
        <is>
          <t>criteria_provided|_single_submitter</t>
        </is>
      </c>
      <c r="H221" t="inlineStr">
        <is>
          <t>not_provided</t>
        </is>
      </c>
      <c r="I221" t="inlineStr">
        <is>
          <t>Likely_pathogenic</t>
        </is>
      </c>
      <c r="J221" t="inlineStr">
        <is>
          <t>PTEN</t>
        </is>
      </c>
      <c r="K221" t="inlineStr">
        <is>
          <t>splice_region_variant&amp;intron_variant|intron_variant|splice_region_variant&amp;intron_variant&amp;non_coding_transcript_variant|regulatory_region_variant</t>
        </is>
      </c>
      <c r="L221" t="inlineStr"/>
      <c r="M221" t="inlineStr">
        <is>
          <t>|ENST00000371953.3:c.209+5G&gt;T|NM_001304718.2:c.-540-5484G&gt;T|ENST00000498703.1:n.35+5G&gt;T|NM_001304717.5:c.728+5G&gt;T|NM_000314.8:c.209+5G&gt;T</t>
        </is>
      </c>
      <c r="N221" t="inlineStr"/>
      <c r="O221" t="inlineStr"/>
      <c r="P221" t="inlineStr"/>
      <c r="Q221" t="inlineStr"/>
      <c r="R221" t="inlineStr"/>
      <c r="S221" t="inlineStr"/>
    </row>
    <row r="222">
      <c r="A222" t="inlineStr">
        <is>
          <t>9</t>
        </is>
      </c>
      <c r="B222" t="n">
        <v>98239829</v>
      </c>
      <c r="C222" t="inlineStr">
        <is>
          <t>C</t>
        </is>
      </c>
      <c r="D222" t="inlineStr">
        <is>
          <t>T</t>
        </is>
      </c>
      <c r="E222" t="inlineStr">
        <is>
          <t>426225</t>
        </is>
      </c>
      <c r="F222">
        <f>HYPERLINK("https://www.ncbi.nlm.nih.gov/clinvar/variation/426225/","ClinVarDB")</f>
        <v/>
      </c>
      <c r="G222" t="inlineStr">
        <is>
          <t>criteria_provided|_single_submitter</t>
        </is>
      </c>
      <c r="H222" t="inlineStr">
        <is>
          <t>not_provided</t>
        </is>
      </c>
      <c r="I222" t="inlineStr">
        <is>
          <t>Likely_pathogenic</t>
        </is>
      </c>
      <c r="J222" t="inlineStr">
        <is>
          <t>PTCH1</t>
        </is>
      </c>
      <c r="K222" t="inlineStr">
        <is>
          <t>splice_region_variant&amp;synonymous_variant|intron_variant|splice_region_variant&amp;non_coding_transcript_exon_variant|splice_region_variant&amp;synonymous_variant&amp;NMD_transcript_variant</t>
        </is>
      </c>
      <c r="L222" t="inlineStr">
        <is>
          <t>|NP_001077074.1:p.Gln350=|NP_001077073.1:p.Gln350=|NP_000255.2:p.Gln501=|NP_001077076.1:p.Gln350=|ENSP00000414823.2:p.Gln350=|ENSP00000410287.2:p.Gln435=|ENSP00000332353.6:p.Gln501=|ENSP00000364439.2:p.Gln380=|NP_001077072.1:p.Gln500=|ENSP00000364423.2:p.Gln500=|NP_001077075.1:p.Gln350=|NP_001077071.1:p.Gln435=|ENSP00000396135.1:p.Gln350=|ENSP00000399981.1:p.Gln350=|ENSP00000389744.1:p.Gln435=</t>
        </is>
      </c>
      <c r="M222" t="inlineStr">
        <is>
          <t>ENST00000418258.1:c.1050G&gt;A|ENST00000375290.2:c.1140G&gt;A|ENST00000437951.1:c.1305G&gt;A|NM_001083604.2:c.1050G&gt;A|NM_001354918.2:c.1347+508G&gt;A|ENST00000375274.2:c.1500G&gt;A|NM_001083602.2:c.1305G&gt;A|NM_001083603.2:c.1500G&gt;A|ENST00000429896.2:c.1050G&gt;A|NM_001083605.2:c.1050G&gt;A|NM_001083607.2:c.1050G&gt;A|NM_000264.5:c.1503G&gt;A|ENST00000331920.6:c.1503G&gt;A|ENST00000430669.2:c.1305G&gt;A|NM_001083606.3:c.1050G&gt;A|ENST00000375271.4:c.498+508G&gt;A|ENST00000421141.1:c.1050G&gt;A|NR_149061.2:n.2408G&gt;A</t>
        </is>
      </c>
      <c r="N222" t="inlineStr"/>
      <c r="O222" t="inlineStr"/>
      <c r="P222" t="inlineStr"/>
      <c r="Q222" t="inlineStr"/>
      <c r="R222" t="inlineStr"/>
      <c r="S222" t="inlineStr"/>
    </row>
    <row r="223">
      <c r="A223" t="inlineStr">
        <is>
          <t>9</t>
        </is>
      </c>
      <c r="B223" t="n">
        <v>98242665</v>
      </c>
      <c r="C223" t="inlineStr">
        <is>
          <t>TACTC</t>
        </is>
      </c>
      <c r="D223" t="inlineStr">
        <is>
          <t>T</t>
        </is>
      </c>
      <c r="E223" t="inlineStr">
        <is>
          <t>422218</t>
        </is>
      </c>
      <c r="F223">
        <f>HYPERLINK("https://www.ncbi.nlm.nih.gov/clinvar/variation/422218/","ClinVarDB")</f>
        <v/>
      </c>
      <c r="G223" t="inlineStr">
        <is>
          <t>criteria_provided|_single_submitter</t>
        </is>
      </c>
      <c r="H223" t="inlineStr">
        <is>
          <t>not_provided</t>
        </is>
      </c>
      <c r="I223" t="inlineStr">
        <is>
          <t>Likely_pathogenic</t>
        </is>
      </c>
      <c r="J223" t="inlineStr">
        <is>
          <t>PTCH1</t>
        </is>
      </c>
      <c r="K223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223" t="inlineStr"/>
      <c r="M223" t="inlineStr">
        <is>
          <t>|NM_001083607.2:c.492+3_492+6del|ENST00000553011.1:c.492+3_492+6del|ENST00000418258.1:c.492+3_492+6del|NR_149061.2:n.1850+3_1850+6del|NM_001083606.3:c.492+3_492+6del|NM_001083604.2:c.492+3_492+6del|ENST00000429896.2:c.492+3_492+6del|ENST00000551845.1:c.492+3_492+6del|NM_001083605.2:c.492+3_492+6del|NM_001083602.2:c.747+3_747+6del|NM_001083603.2:c.942+3_942+6del|ENST00000548420.1:c.105+3_105+6del|ENST00000421141.1:c.492+3_492+6del|ENST00000375290.2:c.582+3_582+6del|ENST00000488809.2:n.66+3_66+6del|ENST00000375274.2:c.942+3_942+6del|ENST00000546820.1:c.492+3_492+6del|ENST00000331920.6:c.945+3_945+6del|ENST00000430669.2:c.747+3_747+6del|ENST00000437951.1:c.747+3_747+6del|NM_001354918.2:c.945+3_945+6del|ENST00000547672.1:c.492+3_492+6del|NM_000264.5:c.945+3_945+6del|ENST00000375271.4:c.96+3_96+6del</t>
        </is>
      </c>
      <c r="N223" t="inlineStr"/>
      <c r="O223" t="inlineStr"/>
      <c r="P223" t="inlineStr"/>
      <c r="Q223" t="inlineStr"/>
      <c r="R223" t="inlineStr"/>
      <c r="S223" t="inlineStr"/>
    </row>
    <row r="224">
      <c r="A224" t="inlineStr">
        <is>
          <t>9</t>
        </is>
      </c>
      <c r="B224" t="n">
        <v>98242667</v>
      </c>
      <c r="C224" t="inlineStr">
        <is>
          <t>C</t>
        </is>
      </c>
      <c r="D224" t="inlineStr">
        <is>
          <t>T</t>
        </is>
      </c>
      <c r="E224" t="inlineStr">
        <is>
          <t>823260</t>
        </is>
      </c>
      <c r="F224">
        <f>HYPERLINK("https://www.ncbi.nlm.nih.gov/clinvar/variation/823260/","ClinVarDB")</f>
        <v/>
      </c>
      <c r="G224" t="inlineStr">
        <is>
          <t>criteria_provided|_single_submitter</t>
        </is>
      </c>
      <c r="H224" t="inlineStr">
        <is>
          <t>Hereditary_cancer-predisposing_syndrome</t>
        </is>
      </c>
      <c r="I224" t="inlineStr">
        <is>
          <t>Likely_pathogenic</t>
        </is>
      </c>
      <c r="J224" t="inlineStr">
        <is>
          <t>PTCH1</t>
        </is>
      </c>
      <c r="K224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224" t="inlineStr"/>
      <c r="M224" t="inlineStr">
        <is>
          <t>|ENST00000375290.2:c.582+5G&gt;A|NM_001354918.2:c.945+5G&gt;A|ENST00000375271.4:c.96+5G&gt;A|ENST00000418258.1:c.492+5G&gt;A|ENST00000553011.1:c.492+5G&gt;A|NM_001083604.2:c.492+5G&gt;A|ENST00000547672.1:c.492+5G&gt;A|ENST00000331920.6:c.945+5G&gt;A|ENST00000421141.1:c.492+5G&gt;A|NM_001083607.2:c.492+5G&gt;A|NM_001083602.2:c.747+5G&gt;A|NM_001083605.2:c.492+5G&gt;A|ENST00000437951.1:c.747+5G&gt;A|ENST00000429896.2:c.492+5G&gt;A|NM_001083606.3:c.492+5G&gt;A|ENST00000551845.1:c.492+5G&gt;A|ENST00000430669.2:c.747+5G&gt;A|NM_000264.5:c.945+5G&gt;A|ENST00000548420.1:c.105+5G&gt;A|ENST00000488809.2:n.66+5G&gt;A|ENST00000546820.1:c.492+5G&gt;A|ENST00000375274.2:c.942+5G&gt;A|NM_001083603.2:c.942+5G&gt;A|NR_149061.2:n.1850+5G&gt;A</t>
        </is>
      </c>
      <c r="N224" t="inlineStr"/>
      <c r="O224" t="inlineStr"/>
      <c r="P224" t="inlineStr"/>
      <c r="Q224" t="inlineStr"/>
      <c r="R224" t="inlineStr"/>
      <c r="S224" t="inlineStr"/>
    </row>
    <row r="225">
      <c r="A225" t="inlineStr">
        <is>
          <t>9</t>
        </is>
      </c>
      <c r="B225" t="n">
        <v>98220290</v>
      </c>
      <c r="C225" t="inlineStr">
        <is>
          <t>C</t>
        </is>
      </c>
      <c r="D225" t="inlineStr">
        <is>
          <t>T</t>
        </is>
      </c>
      <c r="E225" t="inlineStr">
        <is>
          <t>652916</t>
        </is>
      </c>
      <c r="F225">
        <f>HYPERLINK("https://www.ncbi.nlm.nih.gov/clinvar/variation/652916/","ClinVarDB")</f>
        <v/>
      </c>
      <c r="G225" t="inlineStr">
        <is>
          <t>criteria_provided|_single_submitter</t>
        </is>
      </c>
      <c r="H225" t="inlineStr">
        <is>
          <t>Gorlin_syndrome</t>
        </is>
      </c>
      <c r="I225" t="inlineStr">
        <is>
          <t>Pathogenic</t>
        </is>
      </c>
      <c r="J225" t="inlineStr">
        <is>
          <t>PTCH1</t>
        </is>
      </c>
      <c r="K225" t="inlineStr">
        <is>
          <t>splice_region_variant&amp;intron_variant|splice_region_variant&amp;intron_variant&amp;NMD_transcript_variant|splice_region_variant&amp;intron_variant&amp;non_coding_transcript_variant</t>
        </is>
      </c>
      <c r="L225" t="inlineStr"/>
      <c r="M225" t="inlineStr">
        <is>
          <t>ENST00000437951.1:c.2970+5G&gt;A|NM_000264.5:c.3168+5G&gt;A|ENST00000418258.1:c.2715+5G&gt;A|NM_001354918.2:c.3012+5G&gt;A|ENST00000430669.2:c.2970+5G&gt;A|ENST00000421141.1:c.2715+5G&gt;A|ENST00000375290.2:c.*1476+5G&gt;A|ENST00000429896.2:c.2715+5G&gt;A|ENST00000331920.6:c.3168+5G&gt;A|ENST00000547615.1:n.518+5G&gt;A|NR_149061.2:n.3907+5G&gt;A|NM_001083603.2:c.3165+5G&gt;A|NM_001083602.2:c.2970+5G&gt;A|ENST00000375274.2:c.3165+5G&gt;A|NM_001083607.2:c.2715+5G&gt;A|NM_001083605.2:c.2715+5G&gt;A|NM_001083606.3:c.2715+5G&gt;A|NM_001083604.2:c.2715+5G&gt;A</t>
        </is>
      </c>
      <c r="N225" t="inlineStr"/>
      <c r="O225" t="inlineStr"/>
      <c r="P225" t="inlineStr"/>
      <c r="Q225" t="inlineStr"/>
      <c r="R225" t="inlineStr"/>
      <c r="S225" t="inlineStr"/>
    </row>
    <row r="226">
      <c r="A226" t="inlineStr">
        <is>
          <t>9</t>
        </is>
      </c>
      <c r="B226" t="n">
        <v>98220372</v>
      </c>
      <c r="C226" t="inlineStr">
        <is>
          <t>A</t>
        </is>
      </c>
      <c r="D226" t="inlineStr">
        <is>
          <t>ACAC</t>
        </is>
      </c>
      <c r="E226" t="inlineStr">
        <is>
          <t>983117</t>
        </is>
      </c>
      <c r="F226">
        <f>HYPERLINK("https://www.ncbi.nlm.nih.gov/clinvar/variation/983117/","ClinVarDB")</f>
        <v/>
      </c>
      <c r="G226" t="inlineStr">
        <is>
          <t>criteria_provided|_single_submitter</t>
        </is>
      </c>
      <c r="H226" t="inlineStr">
        <is>
          <t>Basal_cell_carcinoma|_susceptibility_to|_1</t>
        </is>
      </c>
      <c r="I226" t="inlineStr">
        <is>
          <t>Likely_pathogenic</t>
        </is>
      </c>
      <c r="J226" t="inlineStr">
        <is>
          <t>PTCH1</t>
        </is>
      </c>
      <c r="K226" t="inlineStr">
        <is>
          <t>non_coding_transcript_exon_variant|3_prime_UTR_variant&amp;NMD_transcript_variant|inframe_insertion</t>
        </is>
      </c>
      <c r="L226" t="inlineStr">
        <is>
          <t>|ENSP00000396135.1:p.Leu879_Phe880insVal|NP_000255.2:p.Leu1030_Phe1031insVal|ENSP00000364423.2:p.Leu1029_Phe1030insVal|NP_001077072.1:p.Leu1029_Phe1030insVal|NP_001341847.1:p.Leu978_Phe979insVal|ENSP00000332353.6:p.Leu1030_Phe1031insVal|NP_001077071.1:p.Leu964_Phe965insVal|ENSP00000410287.2:p.Leu964_Phe965insVal|ENSP00000389744.1:p.Leu964_Phe965insVal|NP_001077075.1:p.Leu879_Phe880insVal|NP_001077074.1:p.Leu879_Phe880insVal|ENSP00000399981.1:p.Leu879_Phe880insVal|NP_001077076.1:p.Leu879_Phe880insVal|NP_001077073.1:p.Leu879_Phe880insVal|ENSP00000414823.2:p.Leu879_Phe880insVal</t>
        </is>
      </c>
      <c r="M226" t="inlineStr">
        <is>
          <t>ENST00000421141.1:c.2637_2638insGTG|ENST00000429896.2:c.2637_2638insGTG|ENST00000375290.2:c.*1398_*1399insGTG|ENST00000547615.1:n.440_441insGTG|NM_001083605.2:c.2637_2638insGTG|NM_001083606.3:c.2637_2638insGTG|ENST00000331920.6:c.3090_3091insGTG|NM_001083602.2:c.2892_2893insGTG|ENST00000430669.2:c.2892_2893insGTG|NM_001083603.2:c.3087_3088insGTG|NM_001083607.2:c.2637_2638insGTG|NM_001083604.2:c.2637_2638insGTG|NM_001354918.2:c.2934_2935insGTG|ENST00000418258.1:c.2637_2638insGTG|NR_149061.2:n.3829_3830insGTG|ENST00000437951.1:c.2892_2893insGTG|NM_000264.5:c.3090_3091insGTG|ENST00000375274.2:c.3087_3088insGTG</t>
        </is>
      </c>
      <c r="N226" t="inlineStr"/>
      <c r="O226" t="inlineStr"/>
      <c r="P226" t="inlineStr"/>
      <c r="Q226" t="inlineStr"/>
      <c r="R226" t="inlineStr"/>
      <c r="S226" t="inlineStr"/>
    </row>
    <row r="227">
      <c r="A227" t="inlineStr">
        <is>
          <t>17</t>
        </is>
      </c>
      <c r="B227" t="n">
        <v>66511720</v>
      </c>
      <c r="C227" t="inlineStr">
        <is>
          <t>A</t>
        </is>
      </c>
      <c r="D227" t="inlineStr">
        <is>
          <t>G</t>
        </is>
      </c>
      <c r="E227" t="inlineStr">
        <is>
          <t>189811</t>
        </is>
      </c>
      <c r="F227">
        <f>HYPERLINK("https://www.ncbi.nlm.nih.gov/clinvar/variation/189811/","ClinVarDB")</f>
        <v/>
      </c>
      <c r="G227" t="inlineStr">
        <is>
          <t>criteria_provided|_single_submitter</t>
        </is>
      </c>
      <c r="H227" t="inlineStr">
        <is>
          <t>Carney_complex|_type_1|not_provided</t>
        </is>
      </c>
      <c r="I227" t="inlineStr">
        <is>
          <t>Likely_pathogenic</t>
        </is>
      </c>
      <c r="J227" t="inlineStr">
        <is>
          <t>PRKAR1A</t>
        </is>
      </c>
      <c r="K227" t="inlineStr">
        <is>
          <t>splice_region_variant&amp;intron_variant|splice_region_variant&amp;intron_variant&amp;non_coding_transcript_variant|splice_region_variant&amp;intron_variant&amp;NMD_transcript_variant|non_coding_transcript_exon_variant|intron_variant&amp;NMD_transcript_variant</t>
        </is>
      </c>
      <c r="L227" t="inlineStr"/>
      <c r="M227" t="inlineStr">
        <is>
          <t>ENST00000588188.2:c.177+3A&gt;G|ENST00000590353.1:n.356+3A&gt;G|NM_001276289.1:c.177+3A&gt;G|ENST00000589480.1:c.177+3A&gt;G|ENST00000588702.1:c.177+3A&gt;G|ENST00000585427.1:c.177+3A&gt;G|NM_212471.2:c.177+3A&gt;G|ENST00000589228.1:c.177+3A&gt;G|ENST00000592194.1:n.320A&gt;G|NM_002734.4:c.177+3A&gt;G|NM_001278433.1:c.177+3A&gt;G|NM_001369389.1:c.177+3A&gt;G|ENST00000585981.1:c.177+3A&gt;G|ENST00000358598.2:c.177+3A&gt;G|ENST00000392711.1:c.177+3A&gt;G|ENST00000588178.1:c.177+3A&gt;G|ENST00000585608.1:c.177+3A&gt;G|ENST00000536854.2:c.177+3A&gt;G|ENST00000585815.1:c.177+3A&gt;G|ENST00000585460.1:n.302+3A&gt;G|ENST00000586397.1:c.177+3A&gt;G|ENST00000392710.4:c.167+13A&gt;G|ENST00000589017.1:c.177+3A&gt;G|NM_212472.2:c.177+3A&gt;G|NM_001276290.1:c.177+3A&gt;G|NM_001369390.1:c.177+3A&gt;G</t>
        </is>
      </c>
      <c r="N227" t="inlineStr"/>
      <c r="O227" t="inlineStr"/>
      <c r="P227" t="inlineStr"/>
      <c r="Q227" t="inlineStr"/>
      <c r="R227" t="inlineStr"/>
      <c r="S227" t="inlineStr"/>
    </row>
    <row r="228">
      <c r="A228" t="inlineStr">
        <is>
          <t>17</t>
        </is>
      </c>
      <c r="B228" t="n">
        <v>66525135</v>
      </c>
      <c r="C228" t="inlineStr">
        <is>
          <t>A</t>
        </is>
      </c>
      <c r="D228" t="inlineStr">
        <is>
          <t>G</t>
        </is>
      </c>
      <c r="E228" t="inlineStr">
        <is>
          <t>12664</t>
        </is>
      </c>
      <c r="F228">
        <f>HYPERLINK("https://www.ncbi.nlm.nih.gov/clinvar/variation/12664/","ClinVarDB")</f>
        <v/>
      </c>
      <c r="G228" t="inlineStr">
        <is>
          <t>criteria_provided|_single_submitter</t>
        </is>
      </c>
      <c r="H228" t="inlineStr">
        <is>
          <t>Carney_complex|_type_1</t>
        </is>
      </c>
      <c r="I228" t="inlineStr">
        <is>
          <t>Likely_pathogenic</t>
        </is>
      </c>
      <c r="J228" t="inlineStr">
        <is>
          <t>PRKAR1A</t>
        </is>
      </c>
      <c r="K228" t="inlineStr">
        <is>
          <t>splice_region_variant&amp;intron_variant|splice_region_variant&amp;intron_variant&amp;NMD_transcript_variant|splice_region_variant&amp;intron_variant&amp;non_coding_transcript_variant</t>
        </is>
      </c>
      <c r="L228" t="inlineStr"/>
      <c r="M228" t="inlineStr">
        <is>
          <t>ENST00000392711.1:c.891+3A&gt;G|ENST00000586541.1:c.*197+3A&gt;G|ENST00000358598.2:c.891+3A&gt;G|ENST00000588188.2:c.891+3A&gt;G|NM_001369389.1:c.891+3A&gt;G|NM_001369390.1:c.891+3A&gt;G|NM_212471.2:c.891+3A&gt;G|ENST00000392710.4:c.*506+3A&gt;G|ENST00000592800.1:c.301+3A&gt;G|NM_212472.2:c.891+3A&gt;G|NM_002734.4:c.891+3A&gt;G|NM_001276290.1:c.891+3A&gt;G|ENST00000586397.1:c.891+3A&gt;G|NM_001278433.1:c.891+3A&gt;G|ENST00000536854.2:c.891+3A&gt;G|ENST00000589228.1:c.891+3A&gt;G|NM_001276289.1:c.891+3A&gt;G|ENST00000585907.1:n.439+3A&gt;G</t>
        </is>
      </c>
      <c r="N228" t="inlineStr"/>
      <c r="O228" t="inlineStr"/>
      <c r="P228" t="inlineStr"/>
      <c r="Q228" t="inlineStr"/>
      <c r="R228" t="inlineStr"/>
      <c r="S228" t="inlineStr"/>
    </row>
    <row r="229">
      <c r="A229" t="inlineStr">
        <is>
          <t>17</t>
        </is>
      </c>
      <c r="B229" t="n">
        <v>66536983</v>
      </c>
      <c r="C229" t="inlineStr">
        <is>
          <t>GACCT</t>
        </is>
      </c>
      <c r="D229" t="inlineStr">
        <is>
          <t>G</t>
        </is>
      </c>
      <c r="E229" t="inlineStr">
        <is>
          <t>873033</t>
        </is>
      </c>
      <c r="F229">
        <f>HYPERLINK("https://www.ncbi.nlm.nih.gov/clinvar/variation/873033/","ClinVarDB")</f>
        <v/>
      </c>
      <c r="G229" t="inlineStr">
        <is>
          <t>criteria_provided|_single_submitter</t>
        </is>
      </c>
      <c r="H229" t="inlineStr">
        <is>
          <t>Amelogenesis_imperfecta_type_1G</t>
        </is>
      </c>
      <c r="I229" t="inlineStr">
        <is>
          <t>Likely_pathogenic</t>
        </is>
      </c>
      <c r="J229" t="inlineStr">
        <is>
          <t>PRKAR1A</t>
        </is>
      </c>
      <c r="K229" t="inlineStr">
        <is>
          <t>intron_variant|splice_region_variant&amp;intron_variant|splice_region_variant&amp;intron_variant&amp;non_coding_transcript_variant|splice_region_variant&amp;intron_variant&amp;NMD_transcript_variant|intron_variant&amp;NMD_transcript_variant</t>
        </is>
      </c>
      <c r="L229" t="inlineStr"/>
      <c r="M229" t="inlineStr">
        <is>
          <t>ENST00000226094.5:n.897+3_897+6del|ENST00000590873.1:c.42-880_42-877del|NR_027751.1:n.934+3_934+6del|NM_001243746.2:c.805+3_805+6del|NM_017565.4:c.1219+3_1219+6del|ENST00000588188.2:c.974-10236_974-10233del|ENST00000375556.4:n.1143+3_1143+6del|ENST00000592554.1:c.1219+3_1219+6del|NM_001276290.1:c.974-10236_974-10233del|ENST00000590074.1:c.*992+3_*992+6del</t>
        </is>
      </c>
      <c r="N229" t="inlineStr"/>
      <c r="O229" t="inlineStr"/>
      <c r="P229" t="inlineStr"/>
      <c r="Q229" t="inlineStr"/>
      <c r="R229" t="inlineStr"/>
      <c r="S229" t="inlineStr"/>
    </row>
    <row r="230">
      <c r="A230" t="inlineStr">
        <is>
          <t>17</t>
        </is>
      </c>
      <c r="B230" t="n">
        <v>66523964</v>
      </c>
      <c r="C230" t="inlineStr">
        <is>
          <t>GTTATTT</t>
        </is>
      </c>
      <c r="D230" t="inlineStr">
        <is>
          <t>G</t>
        </is>
      </c>
      <c r="E230" t="inlineStr">
        <is>
          <t>12675</t>
        </is>
      </c>
      <c r="F230">
        <f>HYPERLINK("https://www.ncbi.nlm.nih.gov/clinvar/variation/12675/","ClinVarDB")</f>
        <v/>
      </c>
      <c r="G230" t="inlineStr">
        <is>
          <t>criteria_provided|_single_submitter</t>
        </is>
      </c>
      <c r="H230" t="inlineStr">
        <is>
          <t>Carney_complex|_type_1|Pigmented_nodular_adrenocortical_disease|_primary|_1|Carney_complex</t>
        </is>
      </c>
      <c r="I230" t="inlineStr">
        <is>
          <t>Pathogenic</t>
        </is>
      </c>
      <c r="J230" t="inlineStr">
        <is>
          <t>PRKAR1A</t>
        </is>
      </c>
      <c r="K230" t="inlineStr">
        <is>
          <t>intron_variant|non_coding_transcript_exon_variant|intron_variant&amp;NMD_transcript_variant</t>
        </is>
      </c>
      <c r="L230" t="inlineStr"/>
      <c r="M230" t="inlineStr">
        <is>
          <t>ENST00000592800.1:c.119-7_119-2del|ENST00000586397.1:c.709-7_709-2del|NM_001276289.1:c.709-7_709-2del|NM_001369390.1:c.709-7_709-2del|NM_001369389.1:c.709-7_709-2del|ENST00000392710.4:c.*324-7_*324-2del|ENST00000586541.1:c.32-7_32-2del|ENST00000392711.1:c.709-7_709-2del|ENST00000536854.2:c.709-7_709-2del|NM_001278433.1:c.709-7_709-2del|NM_001276290.1:c.709-7_709-2del|NM_212472.2:c.709-7_709-2del|ENST00000585981.1:c.709-7_709-2del|NM_212471.2:c.709-7_709-2del|ENST00000358598.2:c.709-7_709-2del|ENST00000585907.1:n.250_255del|ENST00000588188.2:c.709-7_709-2del|ENST00000589228.1:c.709-7_709-2del|NM_002734.4:c.709-7_709-2del</t>
        </is>
      </c>
      <c r="N230" t="inlineStr"/>
      <c r="O230" t="inlineStr"/>
      <c r="P230" t="inlineStr"/>
      <c r="Q230" t="inlineStr"/>
      <c r="R230" t="inlineStr"/>
      <c r="S230" t="inlineStr"/>
    </row>
    <row r="231">
      <c r="A231" t="inlineStr">
        <is>
          <t>7</t>
        </is>
      </c>
      <c r="B231" t="n">
        <v>6048599</v>
      </c>
      <c r="C231" t="inlineStr">
        <is>
          <t>GACACCGGA</t>
        </is>
      </c>
      <c r="D231" t="inlineStr">
        <is>
          <t>G</t>
        </is>
      </c>
      <c r="E231" t="inlineStr">
        <is>
          <t>434022</t>
        </is>
      </c>
      <c r="F231">
        <f>HYPERLINK("https://www.ncbi.nlm.nih.gov/clinvar/variation/434022/","ClinVarDB")</f>
        <v/>
      </c>
      <c r="G231" t="inlineStr">
        <is>
          <t>criteria_provided|_single_submitter</t>
        </is>
      </c>
      <c r="H231" t="inlineStr">
        <is>
          <t>Lynch_syndrome</t>
        </is>
      </c>
      <c r="I231" t="inlineStr">
        <is>
          <t>Likely_pathogenic</t>
        </is>
      </c>
      <c r="J231" t="inlineStr">
        <is>
          <t>PMS2</t>
        </is>
      </c>
      <c r="K231" t="inlineStr">
        <is>
          <t>regulatory_region_variant|intron_variant|intron_variant&amp;non_coding_transcript_variant|TF_binding_site_variant|5_prime_UTR_variant</t>
        </is>
      </c>
      <c r="L231" t="inlineStr"/>
      <c r="M231" t="inlineStr">
        <is>
          <t>|NM_001322006.2:c.23+21_23+28del|NM_001322007.1:c.-193+21_-193+28del|NM_001322015.2:c.-457+21_-457+28del|NM_001322013.2:c.-378+21_-378+28del|NM_001322011.2:c.-862+21_-862+28del|NM_001322014.2:c.23+21_23+28del|ENST00000406569.3:c.23+21_23+28del|NM_001322005.2:c.-552_-545del|NM_001322009.2:c.-547_-540del|NM_001322004.2:c.-243+21_-243+28del|ENST00000469652.1:n.23+21_23+28del|NM_001322010.2:c.-243+21_-243+28del|NM_001322012.2:c.-857+21_-857+28del|ENST00000265849.7:c.23+21_23+28del|NM_001322008.2:c.-53+21_-53+28del|NM_000535.7:c.23+21_23+28del|ENST00000382321.4:c.23+21_23+28del|NM_001322003.2:c.-378+21_-378+28del|ENST00000380416.5:n.102+21_102+28del|NR_136154.1:n.110+21_110+28del</t>
        </is>
      </c>
      <c r="N231" t="inlineStr"/>
      <c r="O231" t="inlineStr"/>
      <c r="P231" t="inlineStr"/>
      <c r="Q231" t="inlineStr"/>
      <c r="R231" t="inlineStr"/>
      <c r="S231" t="inlineStr"/>
    </row>
    <row r="232">
      <c r="A232" t="inlineStr">
        <is>
          <t>16</t>
        </is>
      </c>
      <c r="B232" t="n">
        <v>23625320</v>
      </c>
      <c r="C232" t="inlineStr">
        <is>
          <t>C</t>
        </is>
      </c>
      <c r="D232" t="inlineStr">
        <is>
          <t>A</t>
        </is>
      </c>
      <c r="E232" t="inlineStr">
        <is>
          <t>632616</t>
        </is>
      </c>
      <c r="F232">
        <f>HYPERLINK("https://www.ncbi.nlm.nih.gov/clinvar/variation/632616/","ClinVarDB")</f>
        <v/>
      </c>
      <c r="G232" t="inlineStr">
        <is>
          <t>criteria_provided|_single_submitter</t>
        </is>
      </c>
      <c r="H232" t="inlineStr">
        <is>
          <t>Hereditary_breast_and_ovarian_cancer_syndrome</t>
        </is>
      </c>
      <c r="I232" t="inlineStr">
        <is>
          <t>Likely_pathogenic</t>
        </is>
      </c>
      <c r="J232" t="inlineStr">
        <is>
          <t>PALB2</t>
        </is>
      </c>
      <c r="K232" t="inlineStr">
        <is>
          <t>intron_variant&amp;non_coding_transcript_variant|splice_region_variant&amp;intron_variant|splice_region_variant&amp;intron_variant&amp;NMD_transcript_variant</t>
        </is>
      </c>
      <c r="L232" t="inlineStr"/>
      <c r="M232" t="inlineStr">
        <is>
          <t>NM_024675.4:c.3201+5G&gt;T|ENST00000261584.4:c.3201+5G&gt;T|ENST00000568219.1:c.*3076+5G&gt;T|ENST00000566069.1:c.116+5G&gt;T|ENST00000561764.1:n.186-3601C&gt;A</t>
        </is>
      </c>
      <c r="N232" t="inlineStr"/>
      <c r="O232" t="inlineStr"/>
      <c r="P232" t="inlineStr"/>
      <c r="Q232" t="inlineStr"/>
      <c r="R232" t="inlineStr"/>
      <c r="S232" t="inlineStr"/>
    </row>
    <row r="233">
      <c r="A233" t="inlineStr">
        <is>
          <t>16</t>
        </is>
      </c>
      <c r="B233" t="n">
        <v>23625322</v>
      </c>
      <c r="C233" t="inlineStr">
        <is>
          <t>T</t>
        </is>
      </c>
      <c r="D233" t="inlineStr">
        <is>
          <t>G</t>
        </is>
      </c>
      <c r="E233" t="inlineStr">
        <is>
          <t>233131</t>
        </is>
      </c>
      <c r="F233">
        <f>HYPERLINK("https://www.ncbi.nlm.nih.gov/clinvar/variation/233131/","ClinVarDB")</f>
        <v/>
      </c>
      <c r="G233" t="inlineStr">
        <is>
          <t>criteria_provided|_single_submitter</t>
        </is>
      </c>
      <c r="H233" t="inlineStr">
        <is>
          <t>Hereditary_cancer-predisposing_syndrome</t>
        </is>
      </c>
      <c r="I233" t="inlineStr">
        <is>
          <t>Likely_pathogenic</t>
        </is>
      </c>
      <c r="J233" t="inlineStr">
        <is>
          <t>PALB2</t>
        </is>
      </c>
      <c r="K233" t="inlineStr">
        <is>
          <t>intron_variant&amp;non_coding_transcript_variant|splice_region_variant&amp;intron_variant|splice_region_variant&amp;intron_variant&amp;NMD_transcript_variant</t>
        </is>
      </c>
      <c r="L233" t="inlineStr"/>
      <c r="M233" t="inlineStr">
        <is>
          <t>ENST00000568219.1:c.*3076+3A&gt;C|NM_024675.4:c.3201+3A&gt;C|ENST00000566069.1:c.116+3A&gt;C|ENST00000261584.4:c.3201+3A&gt;C|ENST00000561764.1:n.186-3599T&gt;G</t>
        </is>
      </c>
      <c r="N233" t="inlineStr"/>
      <c r="O233" t="inlineStr"/>
      <c r="P233" t="inlineStr"/>
      <c r="Q233" t="inlineStr"/>
      <c r="R233" t="inlineStr"/>
      <c r="S233" t="inlineStr"/>
    </row>
    <row r="234">
      <c r="A234" t="inlineStr">
        <is>
          <t>16</t>
        </is>
      </c>
      <c r="B234" t="n">
        <v>23632678</v>
      </c>
      <c r="C234" t="inlineStr">
        <is>
          <t>C</t>
        </is>
      </c>
      <c r="D234" t="inlineStr">
        <is>
          <t>T</t>
        </is>
      </c>
      <c r="E234" t="inlineStr">
        <is>
          <t>663588</t>
        </is>
      </c>
      <c r="F234">
        <f>HYPERLINK("https://www.ncbi.nlm.nih.gov/clinvar/variation/663588/","ClinVarDB")</f>
        <v/>
      </c>
      <c r="G234" t="inlineStr">
        <is>
          <t>criteria_provided|_single_submitter</t>
        </is>
      </c>
      <c r="H234" t="inlineStr">
        <is>
          <t>Familial_cancer_of_breast</t>
        </is>
      </c>
      <c r="I234" t="inlineStr">
        <is>
          <t>Likely_pathogenic</t>
        </is>
      </c>
      <c r="J234" t="inlineStr">
        <is>
          <t>PALB2</t>
        </is>
      </c>
      <c r="K234" t="inlineStr">
        <is>
          <t>intron_variant&amp;non_coding_transcript_variant|splice_region_variant&amp;intron_variant|splice_region_variant&amp;intron_variant&amp;NMD_transcript_variant</t>
        </is>
      </c>
      <c r="L234" t="inlineStr"/>
      <c r="M234" t="inlineStr">
        <is>
          <t>NM_024675.4:c.3113+5G&gt;A|ENST00000261584.4:c.3113+5G&gt;A|ENST00000561764.1:n.420-2543C&gt;T|ENST00000566069.1:c.28+5G&gt;A|ENST00000568219.1:c.*2988+5G&gt;A</t>
        </is>
      </c>
      <c r="N234" t="inlineStr"/>
      <c r="O234" t="inlineStr"/>
      <c r="P234" t="inlineStr"/>
      <c r="Q234" t="inlineStr"/>
      <c r="R234" t="inlineStr"/>
      <c r="S234" t="inlineStr"/>
    </row>
    <row r="235">
      <c r="A235" t="inlineStr">
        <is>
          <t>16</t>
        </is>
      </c>
      <c r="B235" t="n">
        <v>23625422</v>
      </c>
      <c r="C235" t="inlineStr">
        <is>
          <t>CAAAAAT</t>
        </is>
      </c>
      <c r="D235" t="inlineStr">
        <is>
          <t>C</t>
        </is>
      </c>
      <c r="E235" t="inlineStr">
        <is>
          <t>1210162</t>
        </is>
      </c>
      <c r="F235">
        <f>HYPERLINK("https://www.ncbi.nlm.nih.gov/clinvar/variation/1210162/","ClinVarDB")</f>
        <v/>
      </c>
      <c r="G235" t="inlineStr">
        <is>
          <t>criteria_provided|_single_submitter</t>
        </is>
      </c>
      <c r="H235" t="inlineStr">
        <is>
          <t>Fanconi_anemia|_complementation_group_N</t>
        </is>
      </c>
      <c r="I235" t="inlineStr">
        <is>
          <t>Pathogenic</t>
        </is>
      </c>
      <c r="J235" t="inlineStr">
        <is>
          <t>PALB2</t>
        </is>
      </c>
      <c r="K235" t="inlineStr">
        <is>
          <t>intron_variant&amp;non_coding_transcript_variant|intron_variant|intron_variant&amp;NMD_transcript_variant</t>
        </is>
      </c>
      <c r="L235" t="inlineStr"/>
      <c r="M235" t="inlineStr">
        <is>
          <t>ENST00000568219.1:c.*2989-16_*2989-11del|ENST00000261584.4:c.3114-16_3114-11del|ENST00000566069.1:c.29-16_29-11del|NM_024675.4:c.3114-16_3114-11del|ENST00000561764.1:n.186-3495_186-3490del</t>
        </is>
      </c>
      <c r="N235" t="inlineStr"/>
      <c r="O235" t="inlineStr"/>
      <c r="P235" t="inlineStr"/>
      <c r="Q235" t="inlineStr"/>
      <c r="R235" t="inlineStr"/>
      <c r="S235" t="inlineStr"/>
    </row>
    <row r="236">
      <c r="A236" t="inlineStr">
        <is>
          <t>16</t>
        </is>
      </c>
      <c r="B236" t="n">
        <v>23632712</v>
      </c>
      <c r="C236" t="inlineStr">
        <is>
          <t>A</t>
        </is>
      </c>
      <c r="D236" t="inlineStr">
        <is>
          <t>ATTTTTTTTTTTTTTTTTTTTTTTTNNNNNNNNNNNNNNCAGGCGGCTGCTCCTTGCCCTCGGGCCCCGCGGGGCCCGTCCGCTCCTCCAGCCGCTGCCTCCCAGGCGGCGCTCGCCGGCACCCAAGCAGAGC</t>
        </is>
      </c>
      <c r="E236" t="inlineStr">
        <is>
          <t>1071545</t>
        </is>
      </c>
      <c r="F236">
        <f>HYPERLINK("https://www.ncbi.nlm.nih.gov/clinvar/variation/1071545/","ClinVarDB")</f>
        <v/>
      </c>
      <c r="G236" t="inlineStr">
        <is>
          <t>criteria_provided|_single_submitter</t>
        </is>
      </c>
      <c r="H236" t="inlineStr">
        <is>
          <t>Familial_cancer_of_breast</t>
        </is>
      </c>
      <c r="I236" t="inlineStr">
        <is>
          <t>Pathogenic</t>
        </is>
      </c>
      <c r="J236" t="inlineStr">
        <is>
          <t>PALB2</t>
        </is>
      </c>
      <c r="K236" t="inlineStr">
        <is>
          <t>coding_sequence_variant|intron_variant&amp;non_coding_transcript_variant|3_prime_UTR_variant&amp;NMD_transcript_variant</t>
        </is>
      </c>
      <c r="L236" t="inlineStr"/>
      <c r="M236" t="inlineStr"/>
      <c r="N236" t="inlineStr"/>
      <c r="O236" t="inlineStr"/>
      <c r="P236" t="inlineStr"/>
      <c r="Q236" t="inlineStr"/>
      <c r="R236" t="inlineStr"/>
      <c r="S236" t="inlineStr"/>
    </row>
    <row r="237">
      <c r="A237" t="inlineStr">
        <is>
          <t>16</t>
        </is>
      </c>
      <c r="B237" t="n">
        <v>23614839</v>
      </c>
      <c r="C237" t="inlineStr">
        <is>
          <t>C</t>
        </is>
      </c>
      <c r="D237" t="inlineStr">
        <is>
          <t>CTGTACCCGACCATTTCTTTTTTTTTTTTTTTTTTTTNNNNNNNNNNGGGGTTTCACCTTGTTAGCCAGGATGGTCTCGATCTCCTGACCTCATGATCCACCCGCCTCGGCCTCCCAAAGTGCTGGGACTACAGGCGTGAGCCACCGCGCCCGGCCA</t>
        </is>
      </c>
      <c r="E237" t="inlineStr">
        <is>
          <t>1071843</t>
        </is>
      </c>
      <c r="F237">
        <f>HYPERLINK("https://www.ncbi.nlm.nih.gov/clinvar/variation/1071843/","ClinVarDB")</f>
        <v/>
      </c>
      <c r="G237" t="inlineStr">
        <is>
          <t>criteria_provided|_single_submitter</t>
        </is>
      </c>
      <c r="H237" t="inlineStr">
        <is>
          <t>Familial_cancer_of_breast</t>
        </is>
      </c>
      <c r="I237" t="inlineStr">
        <is>
          <t>Pathogenic</t>
        </is>
      </c>
      <c r="J237" t="inlineStr">
        <is>
          <t>PALB2</t>
        </is>
      </c>
      <c r="K237" t="inlineStr">
        <is>
          <t>coding_sequence_variant|3_prime_UTR_variant|3_prime_UTR_variant&amp;NMD_transcript_variant</t>
        </is>
      </c>
      <c r="L237" t="inlineStr"/>
      <c r="M237" t="inlineStr"/>
      <c r="N237" t="inlineStr"/>
      <c r="O237" t="inlineStr"/>
      <c r="P237" t="inlineStr"/>
      <c r="Q237" t="inlineStr"/>
      <c r="R237" t="inlineStr"/>
      <c r="S237" t="inlineStr"/>
    </row>
    <row r="238">
      <c r="A238" t="inlineStr">
        <is>
          <t>16</t>
        </is>
      </c>
      <c r="B238" t="n">
        <v>23646524</v>
      </c>
      <c r="C238" t="inlineStr">
        <is>
          <t>C</t>
        </is>
      </c>
      <c r="D238" t="inlineStr">
        <is>
          <t>CTTGCATCCTTATTTTTTTTTTTTTTTTTTTTTTTNNNNNNNNNTTGAACTTGGTTGTCCTGTGCATGTGCCAGACATCCTAATTTCACTTTGGTCAGTTTCCTCATTGGAAAGGTTTAAATTTTTA</t>
        </is>
      </c>
      <c r="E238" t="inlineStr">
        <is>
          <t>1070642</t>
        </is>
      </c>
      <c r="F238">
        <f>HYPERLINK("https://www.ncbi.nlm.nih.gov/clinvar/variation/1070642/","ClinVarDB")</f>
        <v/>
      </c>
      <c r="G238" t="inlineStr">
        <is>
          <t>criteria_provided|_single_submitter</t>
        </is>
      </c>
      <c r="H238" t="inlineStr">
        <is>
          <t>Familial_cancer_of_breast</t>
        </is>
      </c>
      <c r="I238" t="inlineStr">
        <is>
          <t>Pathogenic</t>
        </is>
      </c>
      <c r="J238" t="inlineStr">
        <is>
          <t>PALB2</t>
        </is>
      </c>
      <c r="K238" t="inlineStr">
        <is>
          <t>coding_sequence_variant|3_prime_UTR_variant&amp;NMD_transcript_variant|intron_variant&amp;NMD_transcript_variant</t>
        </is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</row>
    <row r="239">
      <c r="A239" t="inlineStr">
        <is>
          <t>22</t>
        </is>
      </c>
      <c r="B239" t="n">
        <v>30032865</v>
      </c>
      <c r="C239" t="inlineStr">
        <is>
          <t>G</t>
        </is>
      </c>
      <c r="D239" t="inlineStr">
        <is>
          <t>A</t>
        </is>
      </c>
      <c r="E239" t="inlineStr">
        <is>
          <t>451710</t>
        </is>
      </c>
      <c r="F239">
        <f>HYPERLINK("https://www.ncbi.nlm.nih.gov/clinvar/variation/451710/","ClinVarDB")</f>
        <v/>
      </c>
      <c r="G239" t="inlineStr">
        <is>
          <t>criteria_provided|_single_submitter</t>
        </is>
      </c>
      <c r="H239" t="inlineStr">
        <is>
          <t>not_provided</t>
        </is>
      </c>
      <c r="I239" t="inlineStr">
        <is>
          <t>Likely_pathogenic</t>
        </is>
      </c>
      <c r="J239" t="inlineStr">
        <is>
          <t>NF2</t>
        </is>
      </c>
      <c r="K239" t="inlineStr">
        <is>
          <t>splice_region_variant&amp;synonymous_variant|intron_variant|splice_region_variant&amp;non_coding_transcript_exon_variant|intron_variant&amp;NMD_transcript_variant</t>
        </is>
      </c>
      <c r="L239" t="inlineStr">
        <is>
          <t>|NP_861546.1:p.Lys80=|ENSP00000384797.3:p.Lys80=|NP_861971.1:p.Lys80=|ENSP00000409921.2:p.Lys80=|NP_000259.1:p.Lys80=|NP_861967.1:p.Lys80=|ENSP00000380891.3:p.Lys80=|ENSP00000354529.4:p.Lys80=|NP_057502.2:p.Lys80=|ENSP00000384029.1:p.Lys80=|ENSP00000344666.4:p.Lys80=|NP_861970.1:p.Lys80=|ENSP00000354897.4:p.Lys80=</t>
        </is>
      </c>
      <c r="M239" t="inlineStr">
        <is>
          <t>ENST00000347330.5:c.115-5326G&gt;A|NM_181829.3:c.240G&gt;A|ENST00000334961.7:c.115-5326G&gt;A|ENST00000353887.4:c.115-5326G&gt;A|NM_181828.3:c.115-2214G&gt;A|NM_181825.3:c.240G&gt;A|NM_016418.5:c.240G&gt;A|ENST00000397789.3:c.240G&gt;A|ENST00000361452.4:c.240G&gt;A|NR_156186.2:n.722G&gt;A|ENST00000338641.4:c.240G&gt;A|ENST00000413209.2:c.240G&gt;A|NM_181831.3:c.115-5326G&gt;A|NM_181830.3:c.115-5326G&gt;A|ENST00000432151.1:c.115-5326G&gt;A|NM_181832.3:c.240G&gt;A|ENST00000361166.4:c.240G&gt;A|ENST00000361676.4:c.115-2214G&gt;A|ENST00000403435.1:c.240G&gt;A|NM_000268.3:c.240G&gt;A|NM_181833.2:c.240G&gt;A|ENST00000403999.3:c.240G&gt;A</t>
        </is>
      </c>
      <c r="N239" t="inlineStr"/>
      <c r="O239" t="inlineStr"/>
      <c r="P239" t="inlineStr"/>
      <c r="Q239" t="inlineStr"/>
      <c r="R239" t="inlineStr"/>
      <c r="S239" t="inlineStr"/>
    </row>
    <row r="240">
      <c r="A240" t="inlineStr">
        <is>
          <t>22</t>
        </is>
      </c>
      <c r="B240" t="n">
        <v>30054258</v>
      </c>
      <c r="C240" t="inlineStr">
        <is>
          <t>G</t>
        </is>
      </c>
      <c r="D240" t="inlineStr">
        <is>
          <t>T</t>
        </is>
      </c>
      <c r="E240" t="inlineStr">
        <is>
          <t>1030707</t>
        </is>
      </c>
      <c r="F240">
        <f>HYPERLINK("https://www.ncbi.nlm.nih.gov/clinvar/variation/1030707/","ClinVarDB")</f>
        <v/>
      </c>
      <c r="G240" t="inlineStr">
        <is>
          <t>criteria_provided|_single_submitter</t>
        </is>
      </c>
      <c r="H240" t="inlineStr">
        <is>
          <t>Neurofibromatosis|_type_2</t>
        </is>
      </c>
      <c r="I240" t="inlineStr">
        <is>
          <t>Likely_pathogenic</t>
        </is>
      </c>
      <c r="J240" t="inlineStr">
        <is>
          <t>NF2</t>
        </is>
      </c>
      <c r="K240" t="inlineStr">
        <is>
          <t>regulatory_region_variant|intron_variant|splice_region_variant&amp;intron_variant|splice_region_variant&amp;intron_variant&amp;non_coding_transcript_variant|intron_variant&amp;NMD_transcript_variant</t>
        </is>
      </c>
      <c r="L240" t="inlineStr"/>
      <c r="M240" t="inlineStr">
        <is>
          <t>|ENST00000432151.1:c.199-2936G&gt;T|ENST00000334961.7:c.426+5G&gt;T|NM_016418.5:c.675+5G&gt;T|ENST00000347330.5:c.199-2936G&gt;T|ENST00000403999.3:c.675+5G&gt;T|ENST00000403435.1:c.675+5G&gt;T|ENST00000397789.3:c.675+5G&gt;T|ENST00000361166.4:c.675+5G&gt;T|NM_181831.3:c.426+5G&gt;T|ENST00000361676.4:c.549+5G&gt;T|ENST00000338641.4:c.675+5G&gt;T|NR_156186.2:n.1157+5G&gt;T|NM_181829.3:c.552+5G&gt;T|NM_181830.3:c.426+5G&gt;T|NM_181833.2:c.447+15984G&gt;T|NM_181828.3:c.549+5G&gt;T|NM_181832.3:c.675+5G&gt;T|ENST00000353887.4:c.426+5G&gt;T|NM_181825.3:c.675+5G&gt;T|ENST00000361452.4:c.552+5G&gt;T|ENST00000413209.2:c.447+15984G&gt;T|NM_000268.3:c.675+5G&gt;T</t>
        </is>
      </c>
      <c r="N240" t="inlineStr"/>
      <c r="O240" t="inlineStr"/>
      <c r="P240" t="inlineStr"/>
      <c r="Q240" t="inlineStr"/>
      <c r="R240" t="inlineStr"/>
      <c r="S240" t="inlineStr"/>
    </row>
    <row r="241">
      <c r="A241" t="inlineStr">
        <is>
          <t>22</t>
        </is>
      </c>
      <c r="B241" t="n">
        <v>29996310</v>
      </c>
      <c r="C241" t="inlineStr">
        <is>
          <t>TGGGGGTCTCACTCTGTCACCCAGGCTGGTATGCAATAACACCATCATGGCTCATGTGGACTCCAACTCCTGGTCTGGTGTGACCATCCCGCCTCAGCCCCACTGAGTAGCTGAGACTGCAGGCACACTCCACCACACAGGCTAATTTTTTTTTCTTTTTTTTTGAGATGAAGTCTTGTTCTGTCACCTAGGCTGGAGTGCAATGGCATGGTCTCAGCTCACTGCAACCTCTGCCTCCTGGGTTCAAGCGATTTTCCTCTCTCAGCCTCTGGAGTAGCTGGGATTACAGGCGTGCGCCACCACGCCCGGCTAATTTTTTTTGTATTTTTGTAGAGACGGGGTTTCACCATGTTGGCCAGGCTAGCCTTGAACTCCTGATCTCAAGTGATCCACCTGCCTCCGCCTCCCAAAGTGCTGGGATTACAGGTGTGAGCCACCACACCTGGCACACACTGGCTAAATTTTTACTTTTTTTTGTAGAGATGGGGTCTTACTATGCTGCCCAGGATGGTCTCGAACTCCTGGCCTCATGTGATCCTCCAACCTTGGTCTTCCAAAGTGCTGTGATTACAGGTGTAAGCCACTGTGTCCAACCTGTGAATGGCACTTTTAATACCAGCAAAAGATTCTATCACATCGATTTTTATTCCTGGCCCTGACCTCCCTTCTGGGATTCAAACCCATATGTCCAGCTGGATGTCCTCCCAGGAACATTAAATTTGGCATTTGGGGCCAATTAGCCCAGTGCCTAGCACCTGGCAAGTCTTTTCATAAAAATGAGCTATTACCAATCATCAGTGTCGCTTTTTAGTCCCTGCTAGCTGATCCACCTCCTTTTGCTACTCCTCACTGGGTTCCCAGTGTCACGCATTTTCTTTTTCCTTTTTTTTTGAGACGGAGTCTCGCACTCTCGCCCAGGCTGGAGTGCAGTGGCGCCATCTCGGCTCACTGCAAGCTCCGCCTCCCGGGTTCACGTCATTCTCCTGCCTCCGCCTCCCGAGTAGCTGGGACTACAGGCGCCCGCCACCACGCCCGGCTAATTTTTTGTATTTTTAGTAGAGACAGGGTTTCACCGTGTTAGCCAGGATGGTCTCGATCTCCTGACCTTGTGATCTGCCTGCCTCCCAAAGTGCTGGGATTACAGGCGTGAGCCACTGGGCCCGGCCCGGTGTCACGTATTTTTATCAGCAGCCATTTGTTGTCCCTGTGGGGAGCCCAGAAAACCCAGCCCGGTTCTCCCACCTGCGGGGAAGAAATGAAGCAATGATAATGAAGACACTCCCATGCCAAGCCCATACTGCCCTGAGCAATCAGTTTTGGTGGGGAGAATTTGCTAGCAGAAGGCAGGACATAAAGTCCCCACAGCAGCCTCACTGGGTGTGGCAGCAAATCATTCCTGAGGCCTGGCCGGTGCTACCAGGCACAGCAGGGGTCCGTGCAGAAGAACTAGATTTATTCCATTAATATACCGTTACAGCAACAATGTCTGCTGAGTACTCCGGAACTGTAATTCACATTTCCTGAGGCTGTAGTAGGGAGAATTTGGAAGCAGGGCAGCACAGTGCTAACCAGCAGGCTCTGGGTGGGACAGACCTGGGTTTGAGTCCTAGCTTTGCCTTTCACTATCTGCATTATAGTCAGCGAGTGGCTCTATCATATCTCTCAGTATCTTCACCTGTGGAGTTGGGGGGGTGATGCTAATGTTAGCTAACATTTATGGGGTGATTATTGTTGTTAAAACTCAGTACACCGGGCGCGGTGGCTCACGCCTGTAATCCCAGCACTTTGGGAGGCCAAGGTGGGCAGATCACCTGAGGTCAGAAGTTTGAGACCAGCCTGGCTAACATGGTGAAACCCCGTCCCTACTAAAAATACAAAAATTAGCCGGGCGTGGTGGCGGGTGCCTGTAATCCCAACTACTGGGGAGGCTGAGGCAGGAGAATTGCTTGAACCCGGGAGGCGGAGGTTGCAGAGAGCCGAGACCGCCCCATTGTACTCCAGCCTGGGCAACAAGAGCGAAACTCTGTCTCAAAACAAAAAACAAACGAAAAAACACAGTAAATTGTCCCTATTTGACTACTAAGAGCTATTTTAAAATAGAATTTATTATCTAAGTACAGAAAGGTGTAATTATCCCCCCTACACCCGTTAGAACCCTTGATGACACTAAATAAATAATACATGAATACGGTTCAAAAATGGGCATCATAGAGTATAAAATAAAGAATGCTTTCATTTTCAACCCAAATTCAGCAATTTCATAGGATGCCAGGCTCAGCTCTAAAGCCTTATATGTATTCAGTGCGCTGAAATTCAACAACCTCACGAGGTAGGTATAACCAATAATAATTCTAGGCGGGGCGTGGTGGCTCACGCCTGTAATCCTAGCACTTCGGGAGGCCGAGGCGGGCGGATCACCTGAGGTTCGAGACCAGCCTGACGAACATGGAGAAACCCCGTCTCTAATAAAAATACAAAATTAGCCGGGCGTGGTGACGCATACCTGTAATCCCAGCTACTCGGGAGGCTGACGCCGGAAAATCGCTTGAACCCGGGAGGCGGAGGTTGCAGTGAGCCGAGATCGCGCCACTGCACTCCAGCCTGGGCAACAAGAGCGAAACTCCGTCCCAATAATAATAATAATTAATAATAATAATAATAACAATAATAATAATAATTCTAAAGGGAAGCAGAGGGATCTGGCGGGAAAGTGCCAGCAAACCTAACAGGCCTCCACAAGTGTCTTTAAAGTTTCATAGGGGTCGGTATATGTGATTAACTGCCAAAGAAGAATATTCGCCGTGTGTCCGAAACGCAGTCCCCTGGGGCGCCACACTCGGAGCCTACTTGAACCGAAGAGTCCCTCCCTGGGCCAACGAAGGACCCAATTCCCCTCGCCCCGGATCCAGCCTCTAAGTGGTTTCCCGGGTAAGGTCAGCAGAGGTCCGCCGCCTCAACCAGTCTTGTTAGAGTAGGCACAAAAGCATTCAGAGTGACTGCCACTGTAGCCACTCAACGCCGAGCCTAGGCCTGCTTTTTTTGCAGTTAGAGTGAAACTTTCCATTGGTGGAGTCACCCCAAAGGAGGCGGGACGGAGCGGGAAAGTCCTGCCTACCTTGGCCTTCCCAGCCAATCGCAGCATCTATGCGTCAGCCTCCGGTTCGGTTGCGCTGCGCGTAGTGGTCTGGGCGACCTGAGGGCGGGGCCGGGAGCAGGCCCCGGGCTGTGGGGAGGGTGCGCTTCCCGCGGGCGCGCGGAGTGAGGACGGTGACAGCCACGCGCGCGCGTACGCGCCCGATGCAGCGCGGCCCCGTGACCCTAGTCGGCCGCTGAGAGGCGCGCGGAGTCTGGGCCGCTGCCGTCTAGGGGTCCCGTCCCGAGGCGTCCCCGGCATCTCCGGCCCGAATCCCGGAGTGCCGGGTCGCGCCTGCACCGAAGGTCCCGGCTCCTGTGCCCTCCCTGCAGCCGTCAGGGCCCGTCCCCCAACTCCCCTTTCCGCTCAGGCAGGGTCCTCGCGGCCCATGCTGGCCGCTGGGGACCCGCGCAGCCCAGACCGTTCCCGGGCCGGGCAGCCGGCCACCATGGTGGCCCTGAGGCCTGTGCAGCAACTCCAGGGGGGCTAAAGGGCTCAGAGTGCAGGCCGTGGGGCGCGAGGGTCCCGGGCCTGAGCCCCGCGCCATGG</t>
        </is>
      </c>
      <c r="D241" t="inlineStr">
        <is>
          <t>T</t>
        </is>
      </c>
      <c r="E241" t="inlineStr">
        <is>
          <t>967709</t>
        </is>
      </c>
      <c r="F241">
        <f>HYPERLINK("https://www.ncbi.nlm.nih.gov/clinvar/variation/967709/","ClinVarDB")</f>
        <v/>
      </c>
      <c r="G241" t="inlineStr">
        <is>
          <t>criteria_provided|_single_submitter</t>
        </is>
      </c>
      <c r="H241" t="inlineStr">
        <is>
          <t>Neurofibromatosis|_type_2</t>
        </is>
      </c>
      <c r="I241" t="inlineStr">
        <is>
          <t>Pathogenic</t>
        </is>
      </c>
      <c r="J241" t="inlineStr">
        <is>
          <t>NF2</t>
        </is>
      </c>
      <c r="K241" t="inlineStr">
        <is>
          <t>regulatory_region_variant|TFBS_ablation&amp;TF_binding_site_variant|coding_sequence_variant&amp;5_prime_UTR_variant&amp;NMD_transcript_variant|coding_sequence_variant&amp;5_prime_UTR_variant|non_coding_transcript_exon_variant</t>
        </is>
      </c>
      <c r="L241" t="inlineStr"/>
      <c r="M241" t="inlineStr"/>
      <c r="N241" t="inlineStr"/>
      <c r="O241" t="inlineStr"/>
      <c r="P241" t="inlineStr"/>
      <c r="Q241" t="inlineStr"/>
      <c r="R241" t="inlineStr"/>
      <c r="S241" t="inlineStr"/>
    </row>
    <row r="242">
      <c r="A242" t="inlineStr">
        <is>
          <t>17</t>
        </is>
      </c>
      <c r="B242" t="n">
        <v>29670054</v>
      </c>
      <c r="C242" t="inlineStr">
        <is>
          <t>C</t>
        </is>
      </c>
      <c r="D242" t="inlineStr">
        <is>
          <t>A</t>
        </is>
      </c>
      <c r="E242" t="inlineStr">
        <is>
          <t>574345</t>
        </is>
      </c>
      <c r="F242">
        <f>HYPERLINK("https://www.ncbi.nlm.nih.gov/clinvar/variation/574345/","ClinVarDB")</f>
        <v/>
      </c>
      <c r="G242" t="inlineStr">
        <is>
          <t>criteria_provided|_single_submitter</t>
        </is>
      </c>
      <c r="H242" t="inlineStr">
        <is>
          <t>Neurofibromatosis|_type_1</t>
        </is>
      </c>
      <c r="I242" t="inlineStr">
        <is>
          <t>Likely_pathogenic</t>
        </is>
      </c>
      <c r="J242" t="inlineStr">
        <is>
          <t>NF1</t>
        </is>
      </c>
      <c r="K242" t="inlineStr">
        <is>
          <t>synonymous_variant&amp;NMD_transcript_variant|non_coding_transcript_exon_variant|synonymous_variant|3_prime_UTR_variant&amp;NMD_transcript_variant</t>
        </is>
      </c>
      <c r="L242" t="inlineStr">
        <is>
          <t>|NP_000258.1:p.Arg2343=|ENSP00000389907.2:p.Arg2009=|NP_001035957.1:p.Arg2364=|ENSP00000398991.2:p.Arg77=|ENSP00000396481.2:p.Arg157=|ENSP00000464678.1:p.Arg159=|ENSP00000462700.1:p.Arg79=|ENSP00000348498.3:p.Arg2343=|ENSP00000351015.4:p.Arg2364=</t>
        </is>
      </c>
      <c r="M242" t="inlineStr">
        <is>
          <t>ENST00000582892.1:n.332C&gt;A|ENST00000456735.2:c.6025C&gt;A|ENST00000417592.2:c.229C&gt;A|ENST00000579081.1:c.*2255C&gt;A|ENST00000581790.1:c.235C&gt;A|ENST00000358273.4:c.7090C&gt;A|ENST00000356175.3:c.7027C&gt;A|NM_000267.3:c.7027C&gt;A|NM_001042492.3:c.7090C&gt;A|ENST00000584328.1:n.504C&gt;A|ENST00000471572.2:c.475C&gt;A|ENST00000444181.2:c.469C&gt;A</t>
        </is>
      </c>
      <c r="N242" t="inlineStr"/>
      <c r="O242" t="inlineStr"/>
      <c r="P242" t="inlineStr"/>
      <c r="Q242" t="inlineStr"/>
      <c r="R242" t="inlineStr"/>
      <c r="S242" t="inlineStr"/>
    </row>
    <row r="243">
      <c r="A243" t="inlineStr">
        <is>
          <t>17</t>
        </is>
      </c>
      <c r="B243" t="n">
        <v>29486111</v>
      </c>
      <c r="C243" t="inlineStr">
        <is>
          <t>G</t>
        </is>
      </c>
      <c r="D243" t="inlineStr">
        <is>
          <t>T</t>
        </is>
      </c>
      <c r="E243" t="inlineStr">
        <is>
          <t>838808</t>
        </is>
      </c>
      <c r="F243">
        <f>HYPERLINK("https://www.ncbi.nlm.nih.gov/clinvar/variation/838808/","ClinVarDB")</f>
        <v/>
      </c>
      <c r="G243" t="inlineStr">
        <is>
          <t>criteria_provided|_single_submitter</t>
        </is>
      </c>
      <c r="H243" t="inlineStr">
        <is>
          <t>Neurofibromatosis|_type_1</t>
        </is>
      </c>
      <c r="I243" t="inlineStr">
        <is>
          <t>Likely_pathogenic</t>
        </is>
      </c>
      <c r="J243" t="inlineStr">
        <is>
          <t>NF1</t>
        </is>
      </c>
      <c r="K243" t="inlineStr">
        <is>
          <t>splice_region_variant&amp;synonymous_variant|splice_region_variant&amp;non_coding_transcript_exon_variant|splice_region_variant&amp;synonymous_variant&amp;NMD_transcript_variant|regulatory_region_variant</t>
        </is>
      </c>
      <c r="L243" t="inlineStr">
        <is>
          <t>|ENSP00000412921.4:p.Gly96=|NP_001121619.1:p.Gly96=|ENSP00000467284.1:p.Gly29=|ENSP00000463682.1:p.Gly57=|NP_000258.1:p.Gly96=|NP_001035957.1:p.Gly96=|ENSP00000348498.3:p.Gly96=|ENSP00000351015.4:p.Gly96=|ENSP00000462408.1:p.Gly130=</t>
        </is>
      </c>
      <c r="M243" t="inlineStr">
        <is>
          <t>|NM_001042492.3:c.288G&gt;T|NM_001128147.3:c.288G&gt;T|ENST00000358273.4:c.288G&gt;T|NM_000267.3:c.288G&gt;T|ENST00000579081.1:c.390G&gt;T|ENST00000487476.1:n.671G&gt;T|ENST00000356175.3:c.288G&gt;T|ENST00000489712.2:c.87G&gt;T|ENST00000431387.4:c.288G&gt;T|ENST00000490416.1:n.29G&gt;T|ENST00000495910.2:c.171G&gt;T</t>
        </is>
      </c>
      <c r="N243" t="inlineStr"/>
      <c r="O243" t="inlineStr"/>
      <c r="P243" t="inlineStr"/>
      <c r="Q243" t="inlineStr"/>
      <c r="R243" t="inlineStr"/>
      <c r="S243" t="inlineStr"/>
    </row>
    <row r="244">
      <c r="A244" t="inlineStr">
        <is>
          <t>17</t>
        </is>
      </c>
      <c r="B244" t="n">
        <v>29662049</v>
      </c>
      <c r="C244" t="inlineStr">
        <is>
          <t>G</t>
        </is>
      </c>
      <c r="D244" t="inlineStr">
        <is>
          <t>A</t>
        </is>
      </c>
      <c r="E244" t="inlineStr">
        <is>
          <t>1298697</t>
        </is>
      </c>
      <c r="F244">
        <f>HYPERLINK("https://www.ncbi.nlm.nih.gov/clinvar/variation/1298697/","ClinVarDB")</f>
        <v/>
      </c>
      <c r="G244" t="inlineStr">
        <is>
          <t>criteria_provided|_single_submitter</t>
        </is>
      </c>
      <c r="H244" t="inlineStr">
        <is>
          <t>not_provided</t>
        </is>
      </c>
      <c r="I244" t="inlineStr">
        <is>
          <t>Likely_pathogenic</t>
        </is>
      </c>
      <c r="J244" t="inlineStr">
        <is>
          <t>NF1</t>
        </is>
      </c>
      <c r="K244" t="inlineStr">
        <is>
          <t>splice_region_variant&amp;synonymous_variant|splice_region_variant&amp;3_prime_UTR_variant&amp;NMD_transcript_variant|splice_region_variant&amp;non_coding_transcript_exon_variant</t>
        </is>
      </c>
      <c r="L244" t="inlineStr">
        <is>
          <t>|NP_001035957.1:p.Gln2002=|NP_000258.1:p.Gln1981=|ENSP00000348498.3:p.Gln1981=|ENSP00000389907.2:p.Gln1647=|ENSP00000351015.4:p.Gln2002=</t>
        </is>
      </c>
      <c r="M244" t="inlineStr">
        <is>
          <t>ENST00000579081.1:c.*1171G&gt;A|ENST00000456735.2:c.4941G&gt;A|NM_000267.3:c.5943G&gt;A|ENST00000358273.4:c.6006G&gt;A|ENST00000479536.2:c.*187G&gt;A|ENST00000581113.2:n.1323G&gt;A|ENST00000356175.3:c.5943G&gt;A|NM_001042492.3:c.6006G&gt;A</t>
        </is>
      </c>
      <c r="N244" t="inlineStr"/>
      <c r="O244" t="inlineStr"/>
      <c r="P244" t="inlineStr"/>
      <c r="Q244" t="inlineStr"/>
      <c r="R244" t="inlineStr"/>
      <c r="S244" t="inlineStr"/>
    </row>
    <row r="245">
      <c r="A245" t="inlineStr">
        <is>
          <t>17</t>
        </is>
      </c>
      <c r="B245" t="n">
        <v>29665823</v>
      </c>
      <c r="C245" t="inlineStr">
        <is>
          <t>G</t>
        </is>
      </c>
      <c r="D245" t="inlineStr">
        <is>
          <t>A</t>
        </is>
      </c>
      <c r="E245" t="inlineStr">
        <is>
          <t>572995</t>
        </is>
      </c>
      <c r="F245">
        <f>HYPERLINK("https://www.ncbi.nlm.nih.gov/clinvar/variation/572995/","ClinVarDB")</f>
        <v/>
      </c>
      <c r="G245" t="inlineStr">
        <is>
          <t>criteria_provided|_single_submitter</t>
        </is>
      </c>
      <c r="H245" t="inlineStr">
        <is>
          <t>Neurofibromatosis|_type_1</t>
        </is>
      </c>
      <c r="I245" t="inlineStr">
        <is>
          <t>Likely_pathogenic</t>
        </is>
      </c>
      <c r="J245" t="inlineStr">
        <is>
          <t>NF1</t>
        </is>
      </c>
      <c r="K245" t="inlineStr">
        <is>
          <t>splice_region_variant&amp;synonymous_variant&amp;NMD_transcript_variant|intron_variant|splice_region_variant&amp;non_coding_transcript_exon_variant|splice_region_variant&amp;synonymous_variant|splice_region_variant&amp;3_prime_UTR_variant&amp;NMD_transcript_variant|intron_variant&amp;NMD_transcript_variant</t>
        </is>
      </c>
      <c r="L245" t="inlineStr">
        <is>
          <t>|NP_000258.1:p.Lys2286=|ENSP00000464678.1:p.Lys102=|ENSP00000396481.2:p.Lys100=|ENSP00000389907.2:p.Lys1952=|ENSP00000348498.3:p.Lys2286=|NP_001035957.1:p.Lys2307=|ENSP00000351015.4:p.Lys2307=</t>
        </is>
      </c>
      <c r="M245" t="inlineStr">
        <is>
          <t>ENST00000417592.2:c.60+925G&gt;A|ENST00000471572.2:c.306G&gt;A|ENST00000358273.4:c.6921G&gt;A|ENST00000584328.1:n.335G&gt;A|ENST00000456735.2:c.5856G&gt;A|NM_000267.3:c.6858G&gt;A|ENST00000444181.2:c.300G&gt;A|ENST00000579081.1:c.*2086G&gt;A|ENST00000581790.1:c.64+925G&gt;A|ENST00000356175.3:c.6858G&gt;A|NM_001042492.3:c.6921G&gt;A</t>
        </is>
      </c>
      <c r="N245" t="inlineStr"/>
      <c r="O245" t="inlineStr"/>
      <c r="P245" t="inlineStr"/>
      <c r="Q245" t="inlineStr"/>
      <c r="R245" t="inlineStr"/>
      <c r="S245" t="inlineStr"/>
    </row>
    <row r="246">
      <c r="A246" t="inlineStr">
        <is>
          <t>17</t>
        </is>
      </c>
      <c r="B246" t="n">
        <v>29486022</v>
      </c>
      <c r="C246" t="inlineStr">
        <is>
          <t>T</t>
        </is>
      </c>
      <c r="D246" t="inlineStr">
        <is>
          <t>A</t>
        </is>
      </c>
      <c r="E246" t="inlineStr">
        <is>
          <t>816750</t>
        </is>
      </c>
      <c r="F246">
        <f>HYPERLINK("https://www.ncbi.nlm.nih.gov/clinvar/variation/816750/","ClinVarDB")</f>
        <v/>
      </c>
      <c r="G246" t="inlineStr">
        <is>
          <t>criteria_provided|_single_submitter</t>
        </is>
      </c>
      <c r="H246" t="inlineStr">
        <is>
          <t>Neurofibromatosis|_type_1</t>
        </is>
      </c>
      <c r="I246" t="inlineStr">
        <is>
          <t>Pathogenic</t>
        </is>
      </c>
      <c r="J246" t="inlineStr">
        <is>
          <t>NF1</t>
        </is>
      </c>
      <c r="K246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246" t="inlineStr"/>
      <c r="M246" t="inlineStr">
        <is>
          <t>|ENST00000579081.1:c.307-6T&gt;A|ENST00000358273.4:c.205-6T&gt;A|ENST00000489712.2:c.4-6T&gt;A|ENST00000487476.1:n.588-6T&gt;A|NM_001042492.3:c.205-6T&gt;A|ENST00000356175.3:c.205-6T&gt;A|NM_001128147.3:c.205-6T&gt;A|ENST00000431387.4:c.205-6T&gt;A|NM_000267.3:c.205-6T&gt;A|ENST00000495910.2:c.87-6T&gt;A</t>
        </is>
      </c>
      <c r="N246" t="inlineStr"/>
      <c r="O246" t="inlineStr"/>
      <c r="P246" t="inlineStr"/>
      <c r="Q246" t="inlineStr"/>
      <c r="R246" t="inlineStr"/>
      <c r="S246" t="inlineStr"/>
    </row>
    <row r="247">
      <c r="A247" t="inlineStr">
        <is>
          <t>17</t>
        </is>
      </c>
      <c r="B247" t="n">
        <v>29486116</v>
      </c>
      <c r="C247" t="inlineStr">
        <is>
          <t>G</t>
        </is>
      </c>
      <c r="D247" t="inlineStr">
        <is>
          <t>C</t>
        </is>
      </c>
      <c r="E247" t="inlineStr">
        <is>
          <t>1069051</t>
        </is>
      </c>
      <c r="F247">
        <f>HYPERLINK("https://www.ncbi.nlm.nih.gov/clinvar/variation/1069051/","ClinVarDB")</f>
        <v/>
      </c>
      <c r="G247" t="inlineStr">
        <is>
          <t>criteria_provided|_single_submitter</t>
        </is>
      </c>
      <c r="H247" t="inlineStr">
        <is>
          <t>Neurofibromatosis|_type_1</t>
        </is>
      </c>
      <c r="I247" t="inlineStr">
        <is>
          <t>Pathogenic</t>
        </is>
      </c>
      <c r="J247" t="inlineStr">
        <is>
          <t>NF1</t>
        </is>
      </c>
      <c r="K247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247" t="inlineStr"/>
      <c r="M247" t="inlineStr">
        <is>
          <t>|NM_001128147.3:c.288+5G&gt;C|ENST00000358273.4:c.288+5G&gt;C|ENST00000490416.1:n.29+5G&gt;C|ENST00000579081.1:c.390+5G&gt;C|ENST00000495910.2:c.170+5G&gt;C|NM_001042492.3:c.288+5G&gt;C|ENST00000487476.1:n.671+5G&gt;C|ENST00000356175.3:c.288+5G&gt;C|NM_000267.3:c.288+5G&gt;C|ENST00000489712.2:c.87+5G&gt;C|ENST00000431387.4:c.288+5G&gt;C</t>
        </is>
      </c>
      <c r="N247" t="inlineStr"/>
      <c r="O247" t="inlineStr"/>
      <c r="P247" t="inlineStr"/>
      <c r="Q247" t="inlineStr"/>
      <c r="R247" t="inlineStr"/>
      <c r="S247" t="inlineStr"/>
    </row>
    <row r="248">
      <c r="A248" t="inlineStr">
        <is>
          <t>17</t>
        </is>
      </c>
      <c r="B248" t="n">
        <v>29486116</v>
      </c>
      <c r="C248" t="inlineStr">
        <is>
          <t>G</t>
        </is>
      </c>
      <c r="D248" t="inlineStr">
        <is>
          <t>T</t>
        </is>
      </c>
      <c r="E248" t="inlineStr">
        <is>
          <t>457605</t>
        </is>
      </c>
      <c r="F248">
        <f>HYPERLINK("https://www.ncbi.nlm.nih.gov/clinvar/variation/457605/","ClinVarDB")</f>
        <v/>
      </c>
      <c r="G248" t="inlineStr">
        <is>
          <t>criteria_provided|_single_submitter</t>
        </is>
      </c>
      <c r="H248" t="inlineStr">
        <is>
          <t>Neurofibromatosis|_type_1</t>
        </is>
      </c>
      <c r="I248" t="inlineStr">
        <is>
          <t>Pathogenic</t>
        </is>
      </c>
      <c r="J248" t="inlineStr">
        <is>
          <t>NF1</t>
        </is>
      </c>
      <c r="K248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248" t="inlineStr"/>
      <c r="M248" t="inlineStr">
        <is>
          <t>|ENST00000431387.4:c.288+5G&gt;T|ENST00000490416.1:n.29+5G&gt;T|ENST00000495910.2:c.170+5G&gt;T|ENST00000579081.1:c.390+5G&gt;T|ENST00000489712.2:c.87+5G&gt;T|ENST00000487476.1:n.671+5G&gt;T|ENST00000356175.3:c.288+5G&gt;T|NM_001042492.3:c.288+5G&gt;T|ENST00000358273.4:c.288+5G&gt;T|NM_000267.3:c.288+5G&gt;T|NM_001128147.3:c.288+5G&gt;T</t>
        </is>
      </c>
      <c r="N248" t="inlineStr"/>
      <c r="O248" t="inlineStr"/>
      <c r="P248" t="inlineStr"/>
      <c r="Q248" t="inlineStr"/>
      <c r="R248" t="inlineStr"/>
      <c r="S248" t="inlineStr"/>
    </row>
    <row r="249">
      <c r="A249" t="inlineStr">
        <is>
          <t>17</t>
        </is>
      </c>
      <c r="B249" t="n">
        <v>29490399</v>
      </c>
      <c r="C249" t="inlineStr">
        <is>
          <t>G</t>
        </is>
      </c>
      <c r="D249" t="inlineStr">
        <is>
          <t>A</t>
        </is>
      </c>
      <c r="E249" t="inlineStr">
        <is>
          <t>565507</t>
        </is>
      </c>
      <c r="F249">
        <f>HYPERLINK("https://www.ncbi.nlm.nih.gov/clinvar/variation/565507/","ClinVarDB")</f>
        <v/>
      </c>
      <c r="G249" t="inlineStr">
        <is>
          <t>criteria_provided|_single_submitter</t>
        </is>
      </c>
      <c r="H249" t="inlineStr">
        <is>
          <t>Neurofibromatosis|_type_1</t>
        </is>
      </c>
      <c r="I249" t="inlineStr">
        <is>
          <t>Pathogenic</t>
        </is>
      </c>
      <c r="J249" t="inlineStr">
        <is>
          <t>NF1</t>
        </is>
      </c>
      <c r="K249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249" t="inlineStr"/>
      <c r="M249" t="inlineStr">
        <is>
          <t>|NM_000267.3:c.479+5G&gt;A|ENST00000489712.2:c.278+5G&gt;A|NM_001042492.3:c.479+5G&gt;A|ENST00000356175.3:c.479+5G&gt;A|NM_001128147.3:c.479+5G&gt;A|ENST00000358273.4:c.479+5G&gt;A|ENST00000579081.1:c.581+5G&gt;A|ENST00000431387.4:c.479+5G&gt;A|ENST00000490416.1:n.220+5G&gt;A|ENST00000495910.2:c.361+5G&gt;A|ENST00000487476.1:n.862+5G&gt;A</t>
        </is>
      </c>
      <c r="N249" t="inlineStr"/>
      <c r="O249" t="inlineStr"/>
      <c r="P249" t="inlineStr"/>
      <c r="Q249" t="inlineStr"/>
      <c r="R249" t="inlineStr"/>
      <c r="S249" t="inlineStr"/>
    </row>
    <row r="250">
      <c r="A250" t="inlineStr">
        <is>
          <t>17</t>
        </is>
      </c>
      <c r="B250" t="n">
        <v>29490198</v>
      </c>
      <c r="C250" t="inlineStr">
        <is>
          <t>T</t>
        </is>
      </c>
      <c r="D250" t="inlineStr">
        <is>
          <t>G</t>
        </is>
      </c>
      <c r="E250" t="inlineStr">
        <is>
          <t>873034</t>
        </is>
      </c>
      <c r="F250">
        <f>HYPERLINK("https://www.ncbi.nlm.nih.gov/clinvar/variation/873034/","ClinVarDB")</f>
        <v/>
      </c>
      <c r="G250" t="inlineStr">
        <is>
          <t>criteria_provided|_single_submitter</t>
        </is>
      </c>
      <c r="H250" t="inlineStr">
        <is>
          <t>Neurofibromatosis|_type_1</t>
        </is>
      </c>
      <c r="I250" t="inlineStr">
        <is>
          <t>Pathogenic</t>
        </is>
      </c>
      <c r="J250" t="inlineStr">
        <is>
          <t>NF1</t>
        </is>
      </c>
      <c r="K250" t="inlineStr">
        <is>
          <t>splice_region_variant&amp;intron_variant|splice_region_variant&amp;intron_variant&amp;NMD_transcript_variant|splice_region_variant&amp;intron_variant&amp;non_coding_transcript_variant</t>
        </is>
      </c>
      <c r="L250" t="inlineStr"/>
      <c r="M250" t="inlineStr">
        <is>
          <t>NM_001042492.3:c.289-6T&gt;G|ENST00000487476.1:n.672-6T&gt;G|ENST00000358273.4:c.289-6T&gt;G|NM_001128147.3:c.289-6T&gt;G|ENST00000495910.2:c.171-6T&gt;G|ENST00000431387.4:c.289-6T&gt;G|ENST00000579081.1:c.391-6T&gt;G|ENST00000489712.2:c.88-6T&gt;G|ENST00000356175.3:c.289-6T&gt;G|ENST00000490416.1:n.30-6T&gt;G|NM_000267.3:c.289-6T&gt;G</t>
        </is>
      </c>
      <c r="N250" t="inlineStr"/>
      <c r="O250" t="inlineStr"/>
      <c r="P250" t="inlineStr"/>
      <c r="Q250" t="inlineStr"/>
      <c r="R250" t="inlineStr"/>
      <c r="S250" t="inlineStr"/>
    </row>
    <row r="251">
      <c r="A251" t="inlineStr">
        <is>
          <t>17</t>
        </is>
      </c>
      <c r="B251" t="n">
        <v>29508437</v>
      </c>
      <c r="C251" t="inlineStr">
        <is>
          <t>C</t>
        </is>
      </c>
      <c r="D251" t="inlineStr">
        <is>
          <t>A</t>
        </is>
      </c>
      <c r="E251" t="inlineStr">
        <is>
          <t>1013131</t>
        </is>
      </c>
      <c r="F251">
        <f>HYPERLINK("https://www.ncbi.nlm.nih.gov/clinvar/variation/1013131/","ClinVarDB")</f>
        <v/>
      </c>
      <c r="G251" t="inlineStr">
        <is>
          <t>criteria_provided|_single_submitter</t>
        </is>
      </c>
      <c r="H251" t="inlineStr">
        <is>
          <t>not_provided</t>
        </is>
      </c>
      <c r="I251" t="inlineStr">
        <is>
          <t>Likely_pathogenic</t>
        </is>
      </c>
      <c r="J251" t="inlineStr">
        <is>
          <t>NF1</t>
        </is>
      </c>
      <c r="K251" t="inlineStr">
        <is>
          <t>splice_region_variant&amp;intron_variant|splice_region_variant&amp;intron_variant&amp;NMD_transcript_variant|splice_region_variant&amp;intron_variant&amp;non_coding_transcript_variant</t>
        </is>
      </c>
      <c r="L251" t="inlineStr"/>
      <c r="M251" t="inlineStr">
        <is>
          <t>ENST00000358273.4:c.587-3C&gt;A|ENST00000431387.4:c.587-3C&gt;A|NM_001042492.3:c.587-3C&gt;A|ENST00000487476.1:n.970-3C&gt;A|ENST00000495910.2:c.362-3C&gt;A|NM_001128147.3:c.587-3C&gt;A|ENST00000490416.1:n.221-3C&gt;A|ENST00000579081.1:c.689-3C&gt;A|ENST00000356175.3:c.587-3C&gt;A|NM_000267.3:c.587-3C&gt;A</t>
        </is>
      </c>
      <c r="N251" t="inlineStr"/>
      <c r="O251" t="inlineStr"/>
      <c r="P251" t="inlineStr"/>
      <c r="Q251" t="inlineStr"/>
      <c r="R251" t="inlineStr"/>
      <c r="S251" t="inlineStr"/>
    </row>
    <row r="252">
      <c r="A252" t="inlineStr">
        <is>
          <t>17</t>
        </is>
      </c>
      <c r="B252" t="n">
        <v>29528052</v>
      </c>
      <c r="C252" t="inlineStr">
        <is>
          <t>T</t>
        </is>
      </c>
      <c r="D252" t="inlineStr">
        <is>
          <t>G</t>
        </is>
      </c>
      <c r="E252" t="inlineStr">
        <is>
          <t>816773</t>
        </is>
      </c>
      <c r="F252">
        <f>HYPERLINK("https://www.ncbi.nlm.nih.gov/clinvar/variation/816773/","ClinVarDB")</f>
        <v/>
      </c>
      <c r="G252" t="inlineStr">
        <is>
          <t>criteria_provided|_single_submitter</t>
        </is>
      </c>
      <c r="H252" t="inlineStr">
        <is>
          <t>Neurofibromatosis|_type_1</t>
        </is>
      </c>
      <c r="I252" t="inlineStr">
        <is>
          <t>Pathogenic</t>
        </is>
      </c>
      <c r="J252" t="inlineStr">
        <is>
          <t>NF1</t>
        </is>
      </c>
      <c r="K252" t="inlineStr">
        <is>
          <t>splice_region_variant&amp;intron_variant|splice_region_variant&amp;intron_variant&amp;NMD_transcript_variant|splice_region_variant&amp;intron_variant&amp;non_coding_transcript_variant</t>
        </is>
      </c>
      <c r="L252" t="inlineStr"/>
      <c r="M252" t="inlineStr">
        <is>
          <t>ENST00000431387.4:c.1063-3T&gt;G|NM_001128147.3:c.1063-3T&gt;G|ENST00000358273.4:c.1063-3T&gt;G|ENST00000487476.1:n.1446-3T&gt;G|NM_000267.3:c.1063-3T&gt;G|ENST00000456735.2:c.61-3T&gt;G|ENST00000356175.3:c.1063-3T&gt;G|ENST00000495910.2:c.*464-3T&gt;G|NM_001042492.3:c.1063-3T&gt;G|ENST00000579081.1:c.1165-3T&gt;G</t>
        </is>
      </c>
      <c r="N252" t="inlineStr"/>
      <c r="O252" t="inlineStr"/>
      <c r="P252" t="inlineStr"/>
      <c r="Q252" t="inlineStr"/>
      <c r="R252" t="inlineStr"/>
      <c r="S252" t="inlineStr"/>
    </row>
    <row r="253">
      <c r="A253" t="inlineStr">
        <is>
          <t>17</t>
        </is>
      </c>
      <c r="B253" t="n">
        <v>29528508</v>
      </c>
      <c r="C253" t="inlineStr">
        <is>
          <t>G</t>
        </is>
      </c>
      <c r="D253" t="inlineStr">
        <is>
          <t>A</t>
        </is>
      </c>
      <c r="E253" t="inlineStr">
        <is>
          <t>641476</t>
        </is>
      </c>
      <c r="F253">
        <f>HYPERLINK("https://www.ncbi.nlm.nih.gov/clinvar/variation/641476/","ClinVarDB")</f>
        <v/>
      </c>
      <c r="G253" t="inlineStr">
        <is>
          <t>criteria_provided|_single_submitter</t>
        </is>
      </c>
      <c r="H253" t="inlineStr">
        <is>
          <t>Midaortic_syndrome|Neurofibromatosis|_type_1</t>
        </is>
      </c>
      <c r="I253" t="inlineStr">
        <is>
          <t>Pathogenic</t>
        </is>
      </c>
      <c r="J253" t="inlineStr">
        <is>
          <t>NF1</t>
        </is>
      </c>
      <c r="K253" t="inlineStr">
        <is>
          <t>splice_region_variant&amp;intron_variant|splice_region_variant&amp;intron_variant&amp;NMD_transcript_variant|splice_region_variant&amp;intron_variant&amp;non_coding_transcript_variant</t>
        </is>
      </c>
      <c r="L253" t="inlineStr"/>
      <c r="M253" t="inlineStr">
        <is>
          <t>NM_000267.3:c.1260+5G&gt;A|ENST00000356175.3:c.1260+5G&gt;A|ENST00000579081.1:c.1362+5G&gt;A|NM_001128147.3:c.1260+5G&gt;A|ENST00000495910.2:c.*661+5G&gt;A|ENST00000358273.4:c.1260+5G&gt;A|NM_001042492.3:c.1260+5G&gt;A|ENST00000487476.1:n.1643+5G&gt;A|ENST00000431387.4:c.1260+5G&gt;A|ENST00000456735.2:c.258+5G&gt;A</t>
        </is>
      </c>
      <c r="N253" t="inlineStr"/>
      <c r="O253" t="inlineStr"/>
      <c r="P253" t="inlineStr"/>
      <c r="Q253" t="inlineStr"/>
      <c r="R253" t="inlineStr"/>
      <c r="S253" t="inlineStr"/>
    </row>
    <row r="254">
      <c r="A254" t="inlineStr">
        <is>
          <t>17</t>
        </is>
      </c>
      <c r="B254" t="n">
        <v>29528508</v>
      </c>
      <c r="C254" t="inlineStr">
        <is>
          <t>G</t>
        </is>
      </c>
      <c r="D254" t="inlineStr">
        <is>
          <t>C</t>
        </is>
      </c>
      <c r="E254" t="inlineStr">
        <is>
          <t>404430</t>
        </is>
      </c>
      <c r="F254">
        <f>HYPERLINK("https://www.ncbi.nlm.nih.gov/clinvar/variation/404430/","ClinVarDB")</f>
        <v/>
      </c>
      <c r="G254" t="inlineStr">
        <is>
          <t>criteria_provided|_single_submitter</t>
        </is>
      </c>
      <c r="H254" t="inlineStr">
        <is>
          <t>Neurofibromatosis|_type_1</t>
        </is>
      </c>
      <c r="I254" t="inlineStr">
        <is>
          <t>Likely_pathogenic</t>
        </is>
      </c>
      <c r="J254" t="inlineStr">
        <is>
          <t>NF1</t>
        </is>
      </c>
      <c r="K254" t="inlineStr">
        <is>
          <t>splice_region_variant&amp;intron_variant|splice_region_variant&amp;intron_variant&amp;NMD_transcript_variant|splice_region_variant&amp;intron_variant&amp;non_coding_transcript_variant</t>
        </is>
      </c>
      <c r="L254" t="inlineStr"/>
      <c r="M254" t="inlineStr">
        <is>
          <t>ENST00000487476.1:n.1643+5G&gt;C|ENST00000495910.2:c.*661+5G&gt;C|ENST00000356175.3:c.1260+5G&gt;C|ENST00000579081.1:c.1362+5G&gt;C|NM_000267.3:c.1260+5G&gt;C|NM_001042492.3:c.1260+5G&gt;C|NM_001128147.3:c.1260+5G&gt;C|ENST00000456735.2:c.258+5G&gt;C|ENST00000358273.4:c.1260+5G&gt;C|ENST00000431387.4:c.1260+5G&gt;C</t>
        </is>
      </c>
      <c r="N254" t="inlineStr"/>
      <c r="O254" t="inlineStr"/>
      <c r="P254" t="inlineStr"/>
      <c r="Q254" t="inlineStr"/>
      <c r="R254" t="inlineStr"/>
      <c r="S254" t="inlineStr"/>
    </row>
    <row r="255">
      <c r="A255" t="inlineStr">
        <is>
          <t>17</t>
        </is>
      </c>
      <c r="B255" t="n">
        <v>29541608</v>
      </c>
      <c r="C255" t="inlineStr">
        <is>
          <t>G</t>
        </is>
      </c>
      <c r="D255" t="inlineStr">
        <is>
          <t>T</t>
        </is>
      </c>
      <c r="E255" t="inlineStr">
        <is>
          <t>624115</t>
        </is>
      </c>
      <c r="F255">
        <f>HYPERLINK("https://www.ncbi.nlm.nih.gov/clinvar/variation/624115/","ClinVarDB")</f>
        <v/>
      </c>
      <c r="G255" t="inlineStr">
        <is>
          <t>criteria_provided|_single_submitter</t>
        </is>
      </c>
      <c r="H255" t="inlineStr">
        <is>
          <t>not_provided</t>
        </is>
      </c>
      <c r="I255" t="inlineStr">
        <is>
          <t>Pathogenic</t>
        </is>
      </c>
      <c r="J255" t="inlineStr">
        <is>
          <t>NF1</t>
        </is>
      </c>
      <c r="K255" t="inlineStr">
        <is>
          <t>splice_region_variant&amp;intron_variant|splice_region_variant&amp;intron_variant&amp;NMD_transcript_variant|splice_region_variant&amp;intron_variant&amp;non_coding_transcript_variant</t>
        </is>
      </c>
      <c r="L255" t="inlineStr"/>
      <c r="M255" t="inlineStr">
        <is>
          <t>ENST00000456735.2:c.525+5G&gt;T|ENST00000495910.2:c.*928+5G&gt;T|NM_000267.3:c.1527+5G&gt;T|NM_001042492.3:c.1527+5G&gt;T|NM_001128147.3:c.1527+5G&gt;T|ENST00000431387.4:c.1527+5G&gt;T|ENST00000487476.1:n.1910+5G&gt;T|ENST00000579081.1:c.1629+5G&gt;T|ENST00000358273.4:c.1527+5G&gt;T|ENST00000356175.3:c.1527+5G&gt;T</t>
        </is>
      </c>
      <c r="N255" t="inlineStr"/>
      <c r="O255" t="inlineStr"/>
      <c r="P255" t="inlineStr"/>
      <c r="Q255" t="inlineStr"/>
      <c r="R255" t="inlineStr"/>
      <c r="S255" t="inlineStr"/>
    </row>
    <row r="256">
      <c r="A256" t="inlineStr">
        <is>
          <t>17</t>
        </is>
      </c>
      <c r="B256" t="n">
        <v>29557275</v>
      </c>
      <c r="C256" t="inlineStr">
        <is>
          <t>T</t>
        </is>
      </c>
      <c r="D256" t="inlineStr">
        <is>
          <t>G</t>
        </is>
      </c>
      <c r="E256" t="inlineStr">
        <is>
          <t>649473</t>
        </is>
      </c>
      <c r="F256">
        <f>HYPERLINK("https://www.ncbi.nlm.nih.gov/clinvar/variation/649473/","ClinVarDB")</f>
        <v/>
      </c>
      <c r="G256" t="inlineStr">
        <is>
          <t>criteria_provided|_single_submitter</t>
        </is>
      </c>
      <c r="H256" t="inlineStr">
        <is>
          <t>Neurofibromatosis|_type_1</t>
        </is>
      </c>
      <c r="I256" t="inlineStr">
        <is>
          <t>Likely_pathogenic</t>
        </is>
      </c>
      <c r="J256" t="inlineStr">
        <is>
          <t>NF1</t>
        </is>
      </c>
      <c r="K256" t="inlineStr">
        <is>
          <t>splice_region_variant&amp;intron_variant|splice_region_variant&amp;intron_variant&amp;NMD_transcript_variant|splice_region_variant&amp;intron_variant&amp;non_coding_transcript_variant</t>
        </is>
      </c>
      <c r="L256" t="inlineStr"/>
      <c r="M256" t="inlineStr">
        <is>
          <t>ENST00000579081.1:c.3093-3T&gt;G|NM_000267.3:c.2991-3T&gt;G|ENST00000358273.4:c.2991-3T&gt;G|ENST00000356175.3:c.2991-3T&gt;G|ENST00000493220.1:n.1527-3T&gt;G|ENST00000495910.2:c.*2392-3T&gt;G|ENST00000456735.2:c.1989-3T&gt;G|NM_001042492.3:c.2991-3T&gt;G</t>
        </is>
      </c>
      <c r="N256" t="inlineStr"/>
      <c r="O256" t="inlineStr"/>
      <c r="P256" t="inlineStr"/>
      <c r="Q256" t="inlineStr"/>
      <c r="R256" t="inlineStr"/>
      <c r="S256" t="inlineStr"/>
    </row>
    <row r="257">
      <c r="A257" t="inlineStr">
        <is>
          <t>17</t>
        </is>
      </c>
      <c r="B257" t="n">
        <v>29557405</v>
      </c>
      <c r="C257" t="inlineStr">
        <is>
          <t>G</t>
        </is>
      </c>
      <c r="D257" t="inlineStr">
        <is>
          <t>A</t>
        </is>
      </c>
      <c r="E257" t="inlineStr">
        <is>
          <t>457622</t>
        </is>
      </c>
      <c r="F257">
        <f>HYPERLINK("https://www.ncbi.nlm.nih.gov/clinvar/variation/457622/","ClinVarDB")</f>
        <v/>
      </c>
      <c r="G257" t="inlineStr">
        <is>
          <t>criteria_provided|_single_submitter</t>
        </is>
      </c>
      <c r="H257" t="inlineStr">
        <is>
          <t>Neurofibromatosis|_type_1</t>
        </is>
      </c>
      <c r="I257" t="inlineStr">
        <is>
          <t>Pathogenic</t>
        </is>
      </c>
      <c r="J257" t="inlineStr">
        <is>
          <t>NF1</t>
        </is>
      </c>
      <c r="K257" t="inlineStr">
        <is>
          <t>splice_region_variant&amp;intron_variant|splice_region_variant&amp;intron_variant&amp;NMD_transcript_variant|splice_region_variant&amp;intron_variant&amp;non_coding_transcript_variant</t>
        </is>
      </c>
      <c r="L257" t="inlineStr"/>
      <c r="M257" t="inlineStr">
        <is>
          <t>ENST00000456735.2:c.2111+5G&gt;A|ENST00000356175.3:c.3113+5G&gt;A|ENST00000358273.4:c.3113+5G&gt;A|NM_000267.3:c.3113+5G&gt;A|ENST00000579081.1:c.3215+5G&gt;A|NM_001042492.3:c.3113+5G&gt;A|ENST00000495910.2:c.*2514+5G&gt;A|ENST00000493220.1:n.1649+5G&gt;A</t>
        </is>
      </c>
      <c r="N257" t="inlineStr"/>
      <c r="O257" t="inlineStr"/>
      <c r="P257" t="inlineStr"/>
      <c r="Q257" t="inlineStr"/>
      <c r="R257" t="inlineStr"/>
      <c r="S257" t="inlineStr"/>
    </row>
    <row r="258">
      <c r="A258" t="inlineStr">
        <is>
          <t>17</t>
        </is>
      </c>
      <c r="B258" t="n">
        <v>29557852</v>
      </c>
      <c r="C258" t="inlineStr">
        <is>
          <t>T</t>
        </is>
      </c>
      <c r="D258" t="inlineStr">
        <is>
          <t>G</t>
        </is>
      </c>
      <c r="E258" t="inlineStr">
        <is>
          <t>816761</t>
        </is>
      </c>
      <c r="F258">
        <f>HYPERLINK("https://www.ncbi.nlm.nih.gov/clinvar/variation/816761/","ClinVarDB")</f>
        <v/>
      </c>
      <c r="G258" t="inlineStr">
        <is>
          <t>criteria_provided|_single_submitter</t>
        </is>
      </c>
      <c r="H258" t="inlineStr">
        <is>
          <t>Neurofibromatosis|_type_1</t>
        </is>
      </c>
      <c r="I258" t="inlineStr">
        <is>
          <t>Pathogenic</t>
        </is>
      </c>
      <c r="J258" t="inlineStr">
        <is>
          <t>NF1</t>
        </is>
      </c>
      <c r="K258" t="inlineStr">
        <is>
          <t>splice_region_variant&amp;intron_variant|splice_region_variant&amp;intron_variant&amp;NMD_transcript_variant|splice_region_variant&amp;intron_variant&amp;non_coding_transcript_variant</t>
        </is>
      </c>
      <c r="L258" t="inlineStr"/>
      <c r="M258" t="inlineStr">
        <is>
          <t>NM_000267.3:c.3114-8T&gt;G|ENST00000495910.2:c.*2515-8T&gt;G|ENST00000356175.3:c.3114-8T&gt;G|ENST00000493220.1:n.1650-8T&gt;G|ENST00000456735.2:c.2112-8T&gt;G|NM_001042492.3:c.3114-8T&gt;G|ENST00000358273.4:c.3114-8T&gt;G|ENST00000579081.1:c.3216-8T&gt;G</t>
        </is>
      </c>
      <c r="N258" t="inlineStr"/>
      <c r="O258" t="inlineStr"/>
      <c r="P258" t="inlineStr"/>
      <c r="Q258" t="inlineStr"/>
      <c r="R258" t="inlineStr"/>
      <c r="S258" t="inlineStr"/>
    </row>
    <row r="259">
      <c r="A259" t="inlineStr">
        <is>
          <t>17</t>
        </is>
      </c>
      <c r="B259" t="n">
        <v>29557857</v>
      </c>
      <c r="C259" t="inlineStr">
        <is>
          <t>T</t>
        </is>
      </c>
      <c r="D259" t="inlineStr">
        <is>
          <t>G</t>
        </is>
      </c>
      <c r="E259" t="inlineStr">
        <is>
          <t>816774</t>
        </is>
      </c>
      <c r="F259">
        <f>HYPERLINK("https://www.ncbi.nlm.nih.gov/clinvar/variation/816774/","ClinVarDB")</f>
        <v/>
      </c>
      <c r="G259" t="inlineStr">
        <is>
          <t>criteria_provided|_single_submitter</t>
        </is>
      </c>
      <c r="H259" t="inlineStr">
        <is>
          <t>Neurofibromatosis|_type_1</t>
        </is>
      </c>
      <c r="I259" t="inlineStr">
        <is>
          <t>Pathogenic</t>
        </is>
      </c>
      <c r="J259" t="inlineStr">
        <is>
          <t>NF1</t>
        </is>
      </c>
      <c r="K259" t="inlineStr">
        <is>
          <t>splice_region_variant&amp;intron_variant|splice_region_variant&amp;intron_variant&amp;NMD_transcript_variant|splice_region_variant&amp;intron_variant&amp;non_coding_transcript_variant</t>
        </is>
      </c>
      <c r="L259" t="inlineStr"/>
      <c r="M259" t="inlineStr">
        <is>
          <t>ENST00000493220.1:n.1650-3T&gt;G|NM_000267.3:c.3114-3T&gt;G|ENST00000456735.2:c.2112-3T&gt;G|ENST00000495910.2:c.*2515-3T&gt;G|ENST00000579081.1:c.3216-3T&gt;G|NM_001042492.3:c.3114-3T&gt;G|ENST00000356175.3:c.3114-3T&gt;G|ENST00000358273.4:c.3114-3T&gt;G</t>
        </is>
      </c>
      <c r="N259" t="inlineStr"/>
      <c r="O259" t="inlineStr"/>
      <c r="P259" t="inlineStr"/>
      <c r="Q259" t="inlineStr"/>
      <c r="R259" t="inlineStr"/>
      <c r="S259" t="inlineStr"/>
    </row>
    <row r="260">
      <c r="A260" t="inlineStr">
        <is>
          <t>17</t>
        </is>
      </c>
      <c r="B260" t="n">
        <v>29559710</v>
      </c>
      <c r="C260" t="inlineStr">
        <is>
          <t>T</t>
        </is>
      </c>
      <c r="D260" t="inlineStr">
        <is>
          <t>G</t>
        </is>
      </c>
      <c r="E260" t="inlineStr">
        <is>
          <t>816729</t>
        </is>
      </c>
      <c r="F260">
        <f>HYPERLINK("https://www.ncbi.nlm.nih.gov/clinvar/variation/816729/","ClinVarDB")</f>
        <v/>
      </c>
      <c r="G260" t="inlineStr">
        <is>
          <t>criteria_provided|_single_submitter</t>
        </is>
      </c>
      <c r="H260" t="inlineStr">
        <is>
          <t>Neurofibromatosis|_type_1</t>
        </is>
      </c>
      <c r="I260" t="inlineStr">
        <is>
          <t>Pathogenic</t>
        </is>
      </c>
      <c r="J260" t="inlineStr">
        <is>
          <t>NF1</t>
        </is>
      </c>
      <c r="K260" t="inlineStr">
        <is>
          <t>splice_region_variant&amp;intron_variant|splice_region_variant&amp;intron_variant&amp;NMD_transcript_variant|splice_region_variant&amp;intron_variant&amp;non_coding_transcript_variant</t>
        </is>
      </c>
      <c r="L260" t="inlineStr"/>
      <c r="M260" t="inlineStr">
        <is>
          <t>ENST00000358273.4:c.3315-8T&gt;G|ENST00000493220.1:n.1851-8T&gt;G|ENST00000579081.1:c.3417-8T&gt;G|NM_001042492.3:c.3315-8T&gt;G|ENST00000456735.2:c.2313-8T&gt;G|ENST00000356175.3:c.3315-8T&gt;G|NM_000267.3:c.3315-8T&gt;G|ENST00000495910.2:c.*2716-8T&gt;G</t>
        </is>
      </c>
      <c r="N260" t="inlineStr"/>
      <c r="O260" t="inlineStr"/>
      <c r="P260" t="inlineStr"/>
      <c r="Q260" t="inlineStr"/>
      <c r="R260" t="inlineStr"/>
      <c r="S260" t="inlineStr"/>
    </row>
    <row r="261">
      <c r="A261" t="inlineStr">
        <is>
          <t>17</t>
        </is>
      </c>
      <c r="B261" t="n">
        <v>29560234</v>
      </c>
      <c r="C261" t="inlineStr">
        <is>
          <t>A</t>
        </is>
      </c>
      <c r="D261" t="inlineStr">
        <is>
          <t>T</t>
        </is>
      </c>
      <c r="E261" t="inlineStr">
        <is>
          <t>547634</t>
        </is>
      </c>
      <c r="F261">
        <f>HYPERLINK("https://www.ncbi.nlm.nih.gov/clinvar/variation/547634/","ClinVarDB")</f>
        <v/>
      </c>
      <c r="G261" t="inlineStr">
        <is>
          <t>criteria_provided|_single_submitter</t>
        </is>
      </c>
      <c r="H261" t="inlineStr">
        <is>
          <t>Neurofibromatosis|_type_1</t>
        </is>
      </c>
      <c r="I261" t="inlineStr">
        <is>
          <t>Likely_pathogenic</t>
        </is>
      </c>
      <c r="J261" t="inlineStr">
        <is>
          <t>NF1</t>
        </is>
      </c>
      <c r="K261" t="inlineStr">
        <is>
          <t>splice_region_variant&amp;intron_variant|splice_region_variant&amp;intron_variant&amp;NMD_transcript_variant|splice_region_variant&amp;intron_variant&amp;non_coding_transcript_variant</t>
        </is>
      </c>
      <c r="L261" t="inlineStr"/>
      <c r="M261" t="inlineStr">
        <is>
          <t>ENST00000495910.2:c.*3109+3A&gt;T|NM_000267.3:c.3708+3A&gt;T|ENST00000493220.1:n.2244+3A&gt;T|ENST00000456735.2:c.2706+3A&gt;T|ENST00000356175.3:c.3708+3A&gt;T|ENST00000579081.1:c.3810+3A&gt;T|NM_001042492.3:c.3708+3A&gt;T|ENST00000466819.1:c.184+3A&gt;T|ENST00000358273.4:c.3708+3A&gt;T|ENST00000479614.1:c.184+3A&gt;T</t>
        </is>
      </c>
      <c r="N261" t="inlineStr"/>
      <c r="O261" t="inlineStr"/>
      <c r="P261" t="inlineStr"/>
      <c r="Q261" t="inlineStr"/>
      <c r="R261" t="inlineStr"/>
      <c r="S261" t="inlineStr"/>
    </row>
    <row r="262">
      <c r="A262" t="inlineStr">
        <is>
          <t>17</t>
        </is>
      </c>
      <c r="B262" t="n">
        <v>29588725</v>
      </c>
      <c r="C262" t="inlineStr">
        <is>
          <t>CT</t>
        </is>
      </c>
      <c r="D262" t="inlineStr">
        <is>
          <t>C</t>
        </is>
      </c>
      <c r="E262" t="inlineStr">
        <is>
          <t>816767</t>
        </is>
      </c>
      <c r="F262">
        <f>HYPERLINK("https://www.ncbi.nlm.nih.gov/clinvar/variation/816767/","ClinVarDB")</f>
        <v/>
      </c>
      <c r="G262" t="inlineStr">
        <is>
          <t>criteria_provided|_single_submitter</t>
        </is>
      </c>
      <c r="H262" t="inlineStr">
        <is>
          <t>Neurofibromatosis|_type_1</t>
        </is>
      </c>
      <c r="I262" t="inlineStr">
        <is>
          <t>Pathogenic</t>
        </is>
      </c>
      <c r="J262" t="inlineStr">
        <is>
          <t>NF1</t>
        </is>
      </c>
      <c r="K262" t="inlineStr">
        <is>
          <t>splice_region_variant&amp;intron_variant|splice_region_variant&amp;intron_variant&amp;NMD_transcript_variant|splice_region_variant&amp;intron_variant&amp;non_coding_transcript_variant</t>
        </is>
      </c>
      <c r="L262" t="inlineStr"/>
      <c r="M262" t="inlineStr">
        <is>
          <t>ENST00000493220.1:n.3051-3del|ENST00000479614.1:c.*412-3del|ENST00000579081.1:c.4617-3del|ENST00000466819.1:c.*412-3del|NM_001042492.3:c.4578-3del|ENST00000456735.2:c.3513-3del|NM_000267.3:c.4515-3del|ENST00000356175.3:c.4515-3del|ENST00000358273.4:c.4578-3del</t>
        </is>
      </c>
      <c r="N262" t="inlineStr"/>
      <c r="O262" t="inlineStr"/>
      <c r="P262" t="inlineStr"/>
      <c r="Q262" t="inlineStr"/>
      <c r="R262" t="inlineStr"/>
      <c r="S262" t="inlineStr"/>
    </row>
    <row r="263">
      <c r="A263" t="inlineStr">
        <is>
          <t>17</t>
        </is>
      </c>
      <c r="B263" t="n">
        <v>29588726</v>
      </c>
      <c r="C263" t="inlineStr">
        <is>
          <t>T</t>
        </is>
      </c>
      <c r="D263" t="inlineStr">
        <is>
          <t>G</t>
        </is>
      </c>
      <c r="E263" t="inlineStr">
        <is>
          <t>816768</t>
        </is>
      </c>
      <c r="F263">
        <f>HYPERLINK("https://www.ncbi.nlm.nih.gov/clinvar/variation/816768/","ClinVarDB")</f>
        <v/>
      </c>
      <c r="G263" t="inlineStr">
        <is>
          <t>criteria_provided|_single_submitter</t>
        </is>
      </c>
      <c r="H263" t="inlineStr">
        <is>
          <t>Neurofibromatosis|_type_1</t>
        </is>
      </c>
      <c r="I263" t="inlineStr">
        <is>
          <t>Pathogenic</t>
        </is>
      </c>
      <c r="J263" t="inlineStr">
        <is>
          <t>NF1</t>
        </is>
      </c>
      <c r="K263" t="inlineStr">
        <is>
          <t>splice_region_variant&amp;intron_variant|splice_region_variant&amp;intron_variant&amp;NMD_transcript_variant|splice_region_variant&amp;intron_variant&amp;non_coding_transcript_variant</t>
        </is>
      </c>
      <c r="L263" t="inlineStr"/>
      <c r="M263" t="inlineStr">
        <is>
          <t>ENST00000479614.1:c.*412-3T&gt;G|NM_001042492.3:c.4578-3T&gt;G|ENST00000456735.2:c.3513-3T&gt;G|ENST00000579081.1:c.4617-3T&gt;G|ENST00000358273.4:c.4578-3T&gt;G|ENST00000493220.1:n.3051-3T&gt;G|ENST00000466819.1:c.*412-3T&gt;G|ENST00000356175.3:c.4515-3T&gt;G|NM_000267.3:c.4515-3T&gt;G</t>
        </is>
      </c>
      <c r="N263" t="inlineStr"/>
      <c r="O263" t="inlineStr"/>
      <c r="P263" t="inlineStr"/>
      <c r="Q263" t="inlineStr"/>
      <c r="R263" t="inlineStr"/>
      <c r="S263" t="inlineStr"/>
    </row>
    <row r="264">
      <c r="A264" t="inlineStr">
        <is>
          <t>17</t>
        </is>
      </c>
      <c r="B264" t="n">
        <v>29592231</v>
      </c>
      <c r="C264" t="inlineStr">
        <is>
          <t>GTTATTTTTCTTTT</t>
        </is>
      </c>
      <c r="D264" t="inlineStr">
        <is>
          <t>G</t>
        </is>
      </c>
      <c r="E264" t="inlineStr">
        <is>
          <t>1066350</t>
        </is>
      </c>
      <c r="F264">
        <f>HYPERLINK("https://www.ncbi.nlm.nih.gov/clinvar/variation/1066350/","ClinVarDB")</f>
        <v/>
      </c>
      <c r="G264" t="inlineStr">
        <is>
          <t>criteria_provided|_single_submitter</t>
        </is>
      </c>
      <c r="H264" t="inlineStr">
        <is>
          <t>Neurofibromatosis|_type_1</t>
        </is>
      </c>
      <c r="I264" t="inlineStr">
        <is>
          <t>Likely_pathogenic</t>
        </is>
      </c>
      <c r="J264" t="inlineStr">
        <is>
          <t>NF1</t>
        </is>
      </c>
      <c r="K264" t="inlineStr">
        <is>
          <t>splice_region_variant&amp;intron_variant|splice_region_variant&amp;intron_variant&amp;NMD_transcript_variant|splice_region_variant&amp;intron_variant&amp;non_coding_transcript_variant</t>
        </is>
      </c>
      <c r="L264" t="inlineStr"/>
      <c r="M264" t="inlineStr">
        <is>
          <t>ENST00000358273.4:c.4725-15_4725-3del|ENST00000493220.1:n.3198-15_3198-3del|ENST00000579081.1:c.4764-15_4764-3del|ENST00000456735.2:c.3660-15_3660-3del|ENST00000356175.3:c.4662-15_4662-3del|NM_000267.3:c.4662-15_4662-3del|NM_001042492.3:c.4725-15_4725-3del</t>
        </is>
      </c>
      <c r="N264" t="inlineStr"/>
      <c r="O264" t="inlineStr"/>
      <c r="P264" t="inlineStr"/>
      <c r="Q264" t="inlineStr"/>
      <c r="R264" t="inlineStr"/>
      <c r="S264" t="inlineStr"/>
    </row>
    <row r="265">
      <c r="A265" t="inlineStr">
        <is>
          <t>17</t>
        </is>
      </c>
      <c r="B265" t="n">
        <v>29653275</v>
      </c>
      <c r="C265" t="inlineStr">
        <is>
          <t>G</t>
        </is>
      </c>
      <c r="D265" t="inlineStr">
        <is>
          <t>A</t>
        </is>
      </c>
      <c r="E265" t="inlineStr">
        <is>
          <t>220498</t>
        </is>
      </c>
      <c r="F265">
        <f>HYPERLINK("https://www.ncbi.nlm.nih.gov/clinvar/variation/220498/","ClinVarDB")</f>
        <v/>
      </c>
      <c r="G265" t="inlineStr">
        <is>
          <t>criteria_provided|_single_submitter</t>
        </is>
      </c>
      <c r="H265" t="inlineStr">
        <is>
          <t>Neurofibromatosis|_type_1</t>
        </is>
      </c>
      <c r="I265" t="inlineStr">
        <is>
          <t>Pathogenic</t>
        </is>
      </c>
      <c r="J265" t="inlineStr">
        <is>
          <t>NF1</t>
        </is>
      </c>
      <c r="K265" t="inlineStr">
        <is>
          <t>splice_region_variant&amp;intron_variant|splice_region_variant&amp;intron_variant&amp;NMD_transcript_variant|splice_region_variant&amp;intron_variant&amp;non_coding_transcript_variant</t>
        </is>
      </c>
      <c r="L265" t="inlineStr"/>
      <c r="M265" t="inlineStr">
        <is>
          <t>ENST00000358273.4:c.5268+5G&gt;A|ENST00000579081.1:c.*433+5G&gt;A|ENST00000356175.3:c.5205+5G&gt;A|ENST00000456735.2:c.4203+5G&gt;A|NM_001042492.3:c.5268+5G&gt;A|ENST00000493220.1:n.3741+5G&gt;A|NM_000267.3:c.5205+5G&gt;A|ENST00000581113.2:n.585+5G&gt;A</t>
        </is>
      </c>
      <c r="N265" t="inlineStr"/>
      <c r="O265" t="inlineStr"/>
      <c r="P265" t="inlineStr"/>
      <c r="Q265" t="inlineStr"/>
      <c r="R265" t="inlineStr"/>
      <c r="S265" t="inlineStr"/>
    </row>
    <row r="266">
      <c r="A266" t="inlineStr">
        <is>
          <t>17</t>
        </is>
      </c>
      <c r="B266" t="n">
        <v>29653275</v>
      </c>
      <c r="C266" t="inlineStr">
        <is>
          <t>G</t>
        </is>
      </c>
      <c r="D266" t="inlineStr">
        <is>
          <t>C</t>
        </is>
      </c>
      <c r="E266" t="inlineStr">
        <is>
          <t>857985</t>
        </is>
      </c>
      <c r="F266">
        <f>HYPERLINK("https://www.ncbi.nlm.nih.gov/clinvar/variation/857985/","ClinVarDB")</f>
        <v/>
      </c>
      <c r="G266" t="inlineStr">
        <is>
          <t>criteria_provided|_single_submitter</t>
        </is>
      </c>
      <c r="H266" t="inlineStr">
        <is>
          <t>Neurofibromatosis|_type_1</t>
        </is>
      </c>
      <c r="I266" t="inlineStr">
        <is>
          <t>Likely_pathogenic</t>
        </is>
      </c>
      <c r="J266" t="inlineStr">
        <is>
          <t>NF1</t>
        </is>
      </c>
      <c r="K266" t="inlineStr">
        <is>
          <t>splice_region_variant&amp;intron_variant|splice_region_variant&amp;intron_variant&amp;NMD_transcript_variant|splice_region_variant&amp;intron_variant&amp;non_coding_transcript_variant</t>
        </is>
      </c>
      <c r="L266" t="inlineStr"/>
      <c r="M266" t="inlineStr">
        <is>
          <t>NM_000267.3:c.5205+5G&gt;C|ENST00000493220.1:n.3741+5G&gt;C|ENST00000356175.3:c.5205+5G&gt;C|ENST00000358273.4:c.5268+5G&gt;C|ENST00000581113.2:n.585+5G&gt;C|ENST00000579081.1:c.*433+5G&gt;C|ENST00000456735.2:c.4203+5G&gt;C|NM_001042492.3:c.5268+5G&gt;C</t>
        </is>
      </c>
      <c r="N266" t="inlineStr"/>
      <c r="O266" t="inlineStr"/>
      <c r="P266" t="inlineStr"/>
      <c r="Q266" t="inlineStr"/>
      <c r="R266" t="inlineStr"/>
      <c r="S266" t="inlineStr"/>
    </row>
    <row r="267">
      <c r="A267" t="inlineStr">
        <is>
          <t>17</t>
        </is>
      </c>
      <c r="B267" t="n">
        <v>29670024</v>
      </c>
      <c r="C267" t="inlineStr">
        <is>
          <t>T</t>
        </is>
      </c>
      <c r="D267" t="inlineStr">
        <is>
          <t>G</t>
        </is>
      </c>
      <c r="E267" t="inlineStr">
        <is>
          <t>816776</t>
        </is>
      </c>
      <c r="F267">
        <f>HYPERLINK("https://www.ncbi.nlm.nih.gov/clinvar/variation/816776/","ClinVarDB")</f>
        <v/>
      </c>
      <c r="G267" t="inlineStr">
        <is>
          <t>criteria_provided|_single_submitter</t>
        </is>
      </c>
      <c r="H267" t="inlineStr">
        <is>
          <t>Neurofibromatosis|_type_1</t>
        </is>
      </c>
      <c r="I267" t="inlineStr">
        <is>
          <t>Pathogenic</t>
        </is>
      </c>
      <c r="J267" t="inlineStr">
        <is>
          <t>NF1</t>
        </is>
      </c>
      <c r="K267" t="inlineStr">
        <is>
          <t>splice_region_variant&amp;intron_variant|splice_region_variant&amp;intron_variant&amp;NMD_transcript_variant|splice_region_variant&amp;intron_variant&amp;non_coding_transcript_variant</t>
        </is>
      </c>
      <c r="L267" t="inlineStr"/>
      <c r="M267" t="inlineStr">
        <is>
          <t>ENST00000581790.1:c.206-3T&gt;G|ENST00000471572.2:c.446-3T&gt;G|ENST00000358273.4:c.7063-3T&gt;G|ENST00000584328.1:n.477-3T&gt;G|ENST00000582892.1:n.305-3T&gt;G|NM_000267.3:c.7000-3T&gt;G|ENST00000417592.2:c.202-3T&gt;G|ENST00000444181.2:c.442-3T&gt;G|ENST00000456735.2:c.5998-3T&gt;G|NM_001042492.3:c.7063-3T&gt;G|ENST00000579081.1:c.*2228-3T&gt;G|ENST00000356175.3:c.7000-3T&gt;G</t>
        </is>
      </c>
      <c r="N267" t="inlineStr"/>
      <c r="O267" t="inlineStr"/>
      <c r="P267" t="inlineStr"/>
      <c r="Q267" t="inlineStr"/>
      <c r="R267" t="inlineStr"/>
      <c r="S267" t="inlineStr"/>
    </row>
    <row r="268">
      <c r="A268" t="inlineStr">
        <is>
          <t>17</t>
        </is>
      </c>
      <c r="B268" t="n">
        <v>29670024</v>
      </c>
      <c r="C268" t="inlineStr">
        <is>
          <t>T</t>
        </is>
      </c>
      <c r="D268" t="inlineStr">
        <is>
          <t>TAGAGTCCAGAGGAAGTATTTATGGCA</t>
        </is>
      </c>
      <c r="E268" t="inlineStr">
        <is>
          <t>1071802</t>
        </is>
      </c>
      <c r="F268">
        <f>HYPERLINK("https://www.ncbi.nlm.nih.gov/clinvar/variation/1071802/","ClinVarDB")</f>
        <v/>
      </c>
      <c r="G268" t="inlineStr">
        <is>
          <t>criteria_provided|_single_submitter</t>
        </is>
      </c>
      <c r="H268" t="inlineStr">
        <is>
          <t>Neurofibromatosis|_type_1</t>
        </is>
      </c>
      <c r="I268" t="inlineStr">
        <is>
          <t>Pathogenic</t>
        </is>
      </c>
      <c r="J268" t="inlineStr">
        <is>
          <t>NF1</t>
        </is>
      </c>
      <c r="K268" t="inlineStr">
        <is>
          <t>splice_region_variant&amp;intron_variant|splice_region_variant&amp;intron_variant&amp;NMD_transcript_variant|splice_region_variant&amp;intron_variant&amp;non_coding_transcript_variant</t>
        </is>
      </c>
      <c r="L268" t="inlineStr"/>
      <c r="M268" t="inlineStr">
        <is>
          <t>ENST00000579081.1:c.*2228-1_*2252dup|ENST00000581790.1:c.206-1_230dup|ENST00000417592.2:c.202-1_226dup|ENST00000444181.2:c.442-1_466dup|ENST00000356175.3:c.7000-1_7024dup|ENST00000358273.4:c.7063-1_7087dup|ENST00000456735.2:c.5998-1_6022dup|ENST00000471572.2:c.446-1_470dup|ENST00000584328.1:n.477-1_501dup|ENST00000582892.1:n.305-1_329dup|NM_000267.3:c.7000-1_7024dup|NM_001042492.3:c.7063-1_7087dup</t>
        </is>
      </c>
      <c r="N268" t="inlineStr"/>
      <c r="O268" t="inlineStr"/>
      <c r="P268" t="inlineStr"/>
      <c r="Q268" t="inlineStr"/>
      <c r="R268" t="inlineStr"/>
      <c r="S268" t="inlineStr"/>
    </row>
    <row r="269">
      <c r="A269" t="inlineStr">
        <is>
          <t>17</t>
        </is>
      </c>
      <c r="B269" t="n">
        <v>29683975</v>
      </c>
      <c r="C269" t="inlineStr">
        <is>
          <t>C</t>
        </is>
      </c>
      <c r="D269" t="inlineStr">
        <is>
          <t>G</t>
        </is>
      </c>
      <c r="E269" t="inlineStr">
        <is>
          <t>816771</t>
        </is>
      </c>
      <c r="F269">
        <f>HYPERLINK("https://www.ncbi.nlm.nih.gov/clinvar/variation/816771/","ClinVarDB")</f>
        <v/>
      </c>
      <c r="G269" t="inlineStr">
        <is>
          <t>criteria_provided|_single_submitter</t>
        </is>
      </c>
      <c r="H269" t="inlineStr">
        <is>
          <t>Neurofibromatosis|_type_1</t>
        </is>
      </c>
      <c r="I269" t="inlineStr">
        <is>
          <t>Pathogenic</t>
        </is>
      </c>
      <c r="J269" t="inlineStr">
        <is>
          <t>NF1</t>
        </is>
      </c>
      <c r="K269" t="inlineStr">
        <is>
          <t>splice_region_variant&amp;intron_variant|splice_region_variant&amp;intron_variant&amp;NMD_transcript_variant|non_coding_transcript_exon_variant</t>
        </is>
      </c>
      <c r="L269" t="inlineStr"/>
      <c r="M269" t="inlineStr">
        <is>
          <t>NM_000267.3:c.7676-3C&gt;G|ENST00000581790.1:c.*105-3C&gt;G|ENST00000358273.4:c.7739-3C&gt;G|ENST00000356175.3:c.7676-3C&gt;G|ENST00000579081.1:c.*2904-3C&gt;G|NM_001042492.3:c.7739-3C&gt;G|ENST00000417592.2:c.*105-3C&gt;G|ENST00000471572.2:c.1122-3C&gt;G|ENST00000456735.2:c.6674-3C&gt;G|ENST00000577967.1:n.1154C&gt;G|ENST00000444181.2:c.1118-3C&gt;G</t>
        </is>
      </c>
      <c r="N269" t="inlineStr"/>
      <c r="O269" t="inlineStr"/>
      <c r="P269" t="inlineStr"/>
      <c r="Q269" t="inlineStr"/>
      <c r="R269" t="inlineStr"/>
      <c r="S269" t="inlineStr"/>
    </row>
    <row r="270">
      <c r="A270" t="inlineStr">
        <is>
          <t>17</t>
        </is>
      </c>
      <c r="B270" t="n">
        <v>29684284</v>
      </c>
      <c r="C270" t="inlineStr">
        <is>
          <t>C</t>
        </is>
      </c>
      <c r="D270" t="inlineStr">
        <is>
          <t>G</t>
        </is>
      </c>
      <c r="E270" t="inlineStr">
        <is>
          <t>816772</t>
        </is>
      </c>
      <c r="F270">
        <f>HYPERLINK("https://www.ncbi.nlm.nih.gov/clinvar/variation/816772/","ClinVarDB")</f>
        <v/>
      </c>
      <c r="G270" t="inlineStr">
        <is>
          <t>criteria_provided|_single_submitter</t>
        </is>
      </c>
      <c r="H270" t="inlineStr">
        <is>
          <t>Neurofibromatosis|_type_1</t>
        </is>
      </c>
      <c r="I270" t="inlineStr">
        <is>
          <t>Pathogenic</t>
        </is>
      </c>
      <c r="J270" t="inlineStr">
        <is>
          <t>NF1</t>
        </is>
      </c>
      <c r="K270" t="inlineStr">
        <is>
          <t>splice_region_variant&amp;intron_variant|splice_region_variant&amp;intron_variant&amp;NMD_transcript_variant|non_coding_transcript_exon_variant</t>
        </is>
      </c>
      <c r="L270" t="inlineStr"/>
      <c r="M270" t="inlineStr">
        <is>
          <t>ENST00000358273.4:c.7870-3C&gt;G|ENST00000579081.1:c.*3035-3C&gt;G|NM_000267.3:c.7807-3C&gt;G|ENST00000456735.2:c.6805-3C&gt;G|ENST00000356175.3:c.7807-3C&gt;G|ENST00000577967.1:n.1463C&gt;G|ENST00000471572.2:c.1253-3C&gt;G|ENST00000581790.1:c.*236-3C&gt;G|ENST00000417592.2:c.*236-3C&gt;G|NM_001042492.3:c.7870-3C&gt;G|ENST00000444181.2:c.1249-3C&gt;G</t>
        </is>
      </c>
      <c r="N270" t="inlineStr"/>
      <c r="O270" t="inlineStr"/>
      <c r="P270" t="inlineStr"/>
      <c r="Q270" t="inlineStr"/>
      <c r="R270" t="inlineStr"/>
      <c r="S270" t="inlineStr"/>
    </row>
    <row r="271">
      <c r="A271" t="inlineStr">
        <is>
          <t>17</t>
        </is>
      </c>
      <c r="B271" t="n">
        <v>29684392</v>
      </c>
      <c r="C271" t="inlineStr">
        <is>
          <t>G</t>
        </is>
      </c>
      <c r="D271" t="inlineStr">
        <is>
          <t>C</t>
        </is>
      </c>
      <c r="E271" t="inlineStr">
        <is>
          <t>845459</t>
        </is>
      </c>
      <c r="F271">
        <f>HYPERLINK("https://www.ncbi.nlm.nih.gov/clinvar/variation/845459/","ClinVarDB")</f>
        <v/>
      </c>
      <c r="G271" t="inlineStr">
        <is>
          <t>criteria_provided|_single_submitter</t>
        </is>
      </c>
      <c r="H271" t="inlineStr">
        <is>
          <t>Neurofibromatosis|_type_1</t>
        </is>
      </c>
      <c r="I271" t="inlineStr">
        <is>
          <t>Likely_pathogenic</t>
        </is>
      </c>
      <c r="J271" t="inlineStr">
        <is>
          <t>NF1</t>
        </is>
      </c>
      <c r="K271" t="inlineStr">
        <is>
          <t>splice_region_variant&amp;intron_variant|splice_region_variant&amp;intron_variant&amp;NMD_transcript_variant|non_coding_transcript_exon_variant</t>
        </is>
      </c>
      <c r="L271" t="inlineStr"/>
      <c r="M271" t="inlineStr">
        <is>
          <t>ENST00000444181.2:c.1349+5G&gt;C|ENST00000471572.2:c.1353+5G&gt;C|ENST00000579081.1:c.*3135+5G&gt;C|NM_001042492.3:c.7970+5G&gt;C|ENST00000456735.2:c.6905+5G&gt;C|ENST00000356175.3:c.7907+5G&gt;C|ENST00000577967.1:n.1571G&gt;C|ENST00000358273.4:c.7970+5G&gt;C|ENST00000581790.1:c.*336+5G&gt;C|NM_000267.3:c.7907+5G&gt;C|ENST00000417592.2:c.*336+5G&gt;C</t>
        </is>
      </c>
      <c r="N271" t="inlineStr"/>
      <c r="O271" t="inlineStr"/>
      <c r="P271" t="inlineStr"/>
      <c r="Q271" t="inlineStr"/>
      <c r="R271" t="inlineStr"/>
      <c r="S271" t="inlineStr"/>
    </row>
    <row r="272">
      <c r="A272" t="inlineStr">
        <is>
          <t>17</t>
        </is>
      </c>
      <c r="B272" t="n">
        <v>29684393</v>
      </c>
      <c r="C272" t="inlineStr">
        <is>
          <t>T</t>
        </is>
      </c>
      <c r="D272" t="inlineStr">
        <is>
          <t>C</t>
        </is>
      </c>
      <c r="E272" t="inlineStr">
        <is>
          <t>945724</t>
        </is>
      </c>
      <c r="F272">
        <f>HYPERLINK("https://www.ncbi.nlm.nih.gov/clinvar/variation/945724/","ClinVarDB")</f>
        <v/>
      </c>
      <c r="G272" t="inlineStr">
        <is>
          <t>criteria_provided|_single_submitter</t>
        </is>
      </c>
      <c r="H272" t="inlineStr">
        <is>
          <t>Neurofibromatosis|_type_1</t>
        </is>
      </c>
      <c r="I272" t="inlineStr">
        <is>
          <t>Likely_pathogenic</t>
        </is>
      </c>
      <c r="J272" t="inlineStr">
        <is>
          <t>NF1</t>
        </is>
      </c>
      <c r="K272" t="inlineStr">
        <is>
          <t>splice_region_variant&amp;intron_variant|splice_region_variant&amp;intron_variant&amp;NMD_transcript_variant|non_coding_transcript_exon_variant</t>
        </is>
      </c>
      <c r="L272" t="inlineStr"/>
      <c r="M272" t="inlineStr">
        <is>
          <t>ENST00000471572.2:c.1353+6T&gt;C|ENST00000417592.2:c.*336+6T&gt;C|ENST00000579081.1:c.*3135+6T&gt;C|ENST00000444181.2:c.1349+6T&gt;C|ENST00000356175.3:c.7907+6T&gt;C|NM_001042492.3:c.7970+6T&gt;C|NM_000267.3:c.7907+6T&gt;C|ENST00000577967.1:n.1572T&gt;C|ENST00000581790.1:c.*336+6T&gt;C|ENST00000456735.2:c.6905+6T&gt;C|ENST00000358273.4:c.7970+6T&gt;C</t>
        </is>
      </c>
      <c r="N272" t="inlineStr"/>
      <c r="O272" t="inlineStr"/>
      <c r="P272" t="inlineStr"/>
      <c r="Q272" t="inlineStr"/>
      <c r="R272" t="inlineStr"/>
      <c r="S272" t="inlineStr"/>
    </row>
    <row r="273">
      <c r="A273" t="inlineStr">
        <is>
          <t>17</t>
        </is>
      </c>
      <c r="B273" t="n">
        <v>29687502</v>
      </c>
      <c r="C273" t="inlineStr">
        <is>
          <t>C</t>
        </is>
      </c>
      <c r="D273" t="inlineStr">
        <is>
          <t>G</t>
        </is>
      </c>
      <c r="E273" t="inlineStr">
        <is>
          <t>816777</t>
        </is>
      </c>
      <c r="F273">
        <f>HYPERLINK("https://www.ncbi.nlm.nih.gov/clinvar/variation/816777/","ClinVarDB")</f>
        <v/>
      </c>
      <c r="G273" t="inlineStr">
        <is>
          <t>criteria_provided|_single_submitter</t>
        </is>
      </c>
      <c r="H273" t="inlineStr">
        <is>
          <t>Neurofibromatosis|_type_1</t>
        </is>
      </c>
      <c r="I273" t="inlineStr">
        <is>
          <t>Pathogenic</t>
        </is>
      </c>
      <c r="J273" t="inlineStr">
        <is>
          <t>NF1</t>
        </is>
      </c>
      <c r="K273" t="inlineStr">
        <is>
          <t>splice_region_variant&amp;intron_variant|splice_region_variant&amp;intron_variant&amp;NMD_transcript_variant|non_coding_transcript_exon_variant</t>
        </is>
      </c>
      <c r="L273" t="inlineStr"/>
      <c r="M273" t="inlineStr">
        <is>
          <t>ENST00000358273.4:c.8161-3C&gt;G|ENST00000579081.1:c.*3326-3C&gt;G|NM_001042492.3:c.8161-3C&gt;G|ENST00000468273.1:c.123-3C&gt;G|ENST00000577967.1:n.4681C&gt;G|ENST00000356175.3:c.8098-3C&gt;G|NM_000267.3:c.8098-3C&gt;G|ENST00000456735.2:c.7096-3C&gt;G|ENST00000417592.2:c.*527-3C&gt;G|ENST00000581790.1:c.*527-3C&gt;G|ENST00000471572.2:c.1544-3C&gt;G|ENST00000444181.2:c.1540-3C&gt;G</t>
        </is>
      </c>
      <c r="N273" t="inlineStr"/>
      <c r="O273" t="inlineStr"/>
      <c r="P273" t="inlineStr"/>
      <c r="Q273" t="inlineStr"/>
      <c r="R273" t="inlineStr"/>
      <c r="S273" t="inlineStr"/>
    </row>
    <row r="274">
      <c r="A274" t="inlineStr">
        <is>
          <t>17</t>
        </is>
      </c>
      <c r="B274" t="n">
        <v>29548860</v>
      </c>
      <c r="C274" t="inlineStr">
        <is>
          <t>A</t>
        </is>
      </c>
      <c r="D274" t="inlineStr">
        <is>
          <t>G</t>
        </is>
      </c>
      <c r="E274" t="inlineStr">
        <is>
          <t>352</t>
        </is>
      </c>
      <c r="F274">
        <f>HYPERLINK("https://www.ncbi.nlm.nih.gov/clinvar/variation/352/","ClinVarDB")</f>
        <v/>
      </c>
      <c r="G274" t="inlineStr">
        <is>
          <t>criteria_provided|_single_submitter</t>
        </is>
      </c>
      <c r="H274" t="inlineStr">
        <is>
          <t>Juvenile_myelomonocytic_leukemia|Neurofibromatosis|_type_1</t>
        </is>
      </c>
      <c r="I274" t="inlineStr">
        <is>
          <t>Pathogenic</t>
        </is>
      </c>
      <c r="J274" t="inlineStr">
        <is>
          <t>NF1</t>
        </is>
      </c>
      <c r="K274" t="inlineStr">
        <is>
          <t>splice_region_variant&amp;intron_variant|splice_region_variant&amp;intron_variant&amp;NMD_transcript_variant</t>
        </is>
      </c>
      <c r="L274" t="inlineStr"/>
      <c r="M274" t="inlineStr">
        <is>
          <t>ENST00000579081.1:c.1744-8A&gt;G|ENST00000431387.4:c.1642-8A&gt;G|ENST00000456735.2:c.640-8A&gt;G|ENST00000356175.3:c.1642-8A&gt;G|ENST00000358273.4:c.1642-8A&gt;G|NM_000267.3:c.1642-8A&gt;G|ENST00000495910.2:c.*1043-8A&gt;G|NM_001042492.3:c.1642-8A&gt;G|NM_001128147.3:c.1642-8A&gt;G</t>
        </is>
      </c>
      <c r="N274" t="inlineStr"/>
      <c r="O274" t="inlineStr"/>
      <c r="P274" t="inlineStr"/>
      <c r="Q274" t="inlineStr"/>
      <c r="R274" t="inlineStr"/>
      <c r="S274" t="inlineStr"/>
    </row>
    <row r="275">
      <c r="A275" t="inlineStr">
        <is>
          <t>17</t>
        </is>
      </c>
      <c r="B275" t="n">
        <v>29548861</v>
      </c>
      <c r="C275" t="inlineStr">
        <is>
          <t>A</t>
        </is>
      </c>
      <c r="D275" t="inlineStr">
        <is>
          <t>G</t>
        </is>
      </c>
      <c r="E275" t="inlineStr">
        <is>
          <t>816756</t>
        </is>
      </c>
      <c r="F275">
        <f>HYPERLINK("https://www.ncbi.nlm.nih.gov/clinvar/variation/816756/","ClinVarDB")</f>
        <v/>
      </c>
      <c r="G275" t="inlineStr">
        <is>
          <t>criteria_provided|_single_submitter</t>
        </is>
      </c>
      <c r="H275" t="inlineStr">
        <is>
          <t>Neurofibromatosis|_type_1</t>
        </is>
      </c>
      <c r="I275" t="inlineStr">
        <is>
          <t>Pathogenic</t>
        </is>
      </c>
      <c r="J275" t="inlineStr">
        <is>
          <t>NF1</t>
        </is>
      </c>
      <c r="K275" t="inlineStr">
        <is>
          <t>splice_region_variant&amp;intron_variant|splice_region_variant&amp;intron_variant&amp;NMD_transcript_variant</t>
        </is>
      </c>
      <c r="L275" t="inlineStr"/>
      <c r="M275" t="inlineStr">
        <is>
          <t>ENST00000358273.4:c.1642-7A&gt;G|NM_001128147.3:c.1642-7A&gt;G|NM_001042492.3:c.1642-7A&gt;G|NM_000267.3:c.1642-7A&gt;G|ENST00000356175.3:c.1642-7A&gt;G|ENST00000495910.2:c.*1043-7A&gt;G|ENST00000456735.2:c.640-7A&gt;G|ENST00000579081.1:c.1744-7A&gt;G|ENST00000431387.4:c.1642-7A&gt;G</t>
        </is>
      </c>
      <c r="N275" t="inlineStr"/>
      <c r="O275" t="inlineStr"/>
      <c r="P275" t="inlineStr"/>
      <c r="Q275" t="inlineStr"/>
      <c r="R275" t="inlineStr"/>
      <c r="S275" t="inlineStr"/>
    </row>
    <row r="276">
      <c r="A276" t="inlineStr">
        <is>
          <t>17</t>
        </is>
      </c>
      <c r="B276" t="n">
        <v>29550454</v>
      </c>
      <c r="C276" t="inlineStr">
        <is>
          <t>TACTGC</t>
        </is>
      </c>
      <c r="D276" t="inlineStr">
        <is>
          <t>AAAA</t>
        </is>
      </c>
      <c r="E276" t="inlineStr">
        <is>
          <t>816745</t>
        </is>
      </c>
      <c r="F276">
        <f>HYPERLINK("https://www.ncbi.nlm.nih.gov/clinvar/variation/816745/","ClinVarDB")</f>
        <v/>
      </c>
      <c r="G276" t="inlineStr">
        <is>
          <t>criteria_provided|_single_submitter</t>
        </is>
      </c>
      <c r="H276" t="inlineStr">
        <is>
          <t>Neurofibromatosis|_type_1</t>
        </is>
      </c>
      <c r="I276" t="inlineStr">
        <is>
          <t>Pathogenic</t>
        </is>
      </c>
      <c r="J276" t="inlineStr">
        <is>
          <t>NF1</t>
        </is>
      </c>
      <c r="K276" t="inlineStr">
        <is>
          <t>splice_region_variant&amp;intron_variant|splice_region_variant&amp;intron_variant&amp;NMD_transcript_variant</t>
        </is>
      </c>
      <c r="L276" t="inlineStr"/>
      <c r="M276" t="inlineStr">
        <is>
          <t>ENST00000579081.1:c.1824-8_1824-3delinsAAAA|ENST00000456735.2:c.720-8_720-3delinsAAAA|ENST00000356175.3:c.1722-8_1722-3delinsAAAA|ENST00000495910.2:c.*1123-8_*1123-3delinsAAAA|ENST00000358273.4:c.1722-8_1722-3delinsAAAA|NM_000267.3:c.1722-8_1722-3delinsAAAA|NM_001042492.3:c.1722-8_1722-3delinsAAAA</t>
        </is>
      </c>
      <c r="N276" t="inlineStr"/>
      <c r="O276" t="inlineStr"/>
      <c r="P276" t="inlineStr"/>
      <c r="Q276" t="inlineStr"/>
      <c r="R276" t="inlineStr"/>
      <c r="S276" t="inlineStr"/>
    </row>
    <row r="277">
      <c r="A277" t="inlineStr">
        <is>
          <t>17</t>
        </is>
      </c>
      <c r="B277" t="n">
        <v>29550459</v>
      </c>
      <c r="C277" t="inlineStr">
        <is>
          <t>C</t>
        </is>
      </c>
      <c r="D277" t="inlineStr">
        <is>
          <t>A</t>
        </is>
      </c>
      <c r="E277" t="inlineStr">
        <is>
          <t>816764</t>
        </is>
      </c>
      <c r="F277">
        <f>HYPERLINK("https://www.ncbi.nlm.nih.gov/clinvar/variation/816764/","ClinVarDB")</f>
        <v/>
      </c>
      <c r="G277" t="inlineStr">
        <is>
          <t>criteria_provided|_single_submitter</t>
        </is>
      </c>
      <c r="H277" t="inlineStr">
        <is>
          <t>Neurofibromatosis|_type_1</t>
        </is>
      </c>
      <c r="I277" t="inlineStr">
        <is>
          <t>Pathogenic</t>
        </is>
      </c>
      <c r="J277" t="inlineStr">
        <is>
          <t>NF1</t>
        </is>
      </c>
      <c r="K277" t="inlineStr">
        <is>
          <t>splice_region_variant&amp;intron_variant|splice_region_variant&amp;intron_variant&amp;NMD_transcript_variant</t>
        </is>
      </c>
      <c r="L277" t="inlineStr"/>
      <c r="M277" t="inlineStr">
        <is>
          <t>ENST00000495910.2:c.*1123-3C&gt;A|ENST00000456735.2:c.720-3C&gt;A|ENST00000358273.4:c.1722-3C&gt;A|ENST00000579081.1:c.1824-3C&gt;A|NM_001042492.3:c.1722-3C&gt;A|ENST00000356175.3:c.1722-3C&gt;A|NM_000267.3:c.1722-3C&gt;A</t>
        </is>
      </c>
      <c r="N277" t="inlineStr"/>
      <c r="O277" t="inlineStr"/>
      <c r="P277" t="inlineStr"/>
      <c r="Q277" t="inlineStr"/>
      <c r="R277" t="inlineStr"/>
      <c r="S277" t="inlineStr"/>
    </row>
    <row r="278">
      <c r="A278" t="inlineStr">
        <is>
          <t>17</t>
        </is>
      </c>
      <c r="B278" t="n">
        <v>29663650</v>
      </c>
      <c r="C278" t="inlineStr">
        <is>
          <t>C</t>
        </is>
      </c>
      <c r="D278" t="inlineStr">
        <is>
          <t>A</t>
        </is>
      </c>
      <c r="E278" t="inlineStr">
        <is>
          <t>816769</t>
        </is>
      </c>
      <c r="F278">
        <f>HYPERLINK("https://www.ncbi.nlm.nih.gov/clinvar/variation/816769/","ClinVarDB")</f>
        <v/>
      </c>
      <c r="G278" t="inlineStr">
        <is>
          <t>criteria_provided|_single_submitter</t>
        </is>
      </c>
      <c r="H278" t="inlineStr">
        <is>
          <t>Neurofibromatosis|_type_1</t>
        </is>
      </c>
      <c r="I278" t="inlineStr">
        <is>
          <t>Pathogenic</t>
        </is>
      </c>
      <c r="J278" t="inlineStr">
        <is>
          <t>NF1</t>
        </is>
      </c>
      <c r="K278" t="inlineStr">
        <is>
          <t>splice_region_variant&amp;intron_variant|splice_region_variant&amp;intron_variant&amp;NMD_transcript_variant</t>
        </is>
      </c>
      <c r="L278" t="inlineStr"/>
      <c r="M278" t="inlineStr">
        <is>
          <t>ENST00000358273.4:c.6148-3C&gt;A|ENST00000479536.2:c.*329-3C&gt;A|NM_000267.3:c.6085-3C&gt;A|ENST00000456735.2:c.5083-3C&gt;A|ENST00000356175.3:c.6085-3C&gt;A|NM_001042492.3:c.6148-3C&gt;A|ENST00000579081.1:c.*1313-3C&gt;A</t>
        </is>
      </c>
      <c r="N278" t="inlineStr"/>
      <c r="O278" t="inlineStr"/>
      <c r="P278" t="inlineStr"/>
      <c r="Q278" t="inlineStr"/>
      <c r="R278" t="inlineStr"/>
      <c r="S278" t="inlineStr"/>
    </row>
    <row r="279">
      <c r="A279" t="inlineStr">
        <is>
          <t>17</t>
        </is>
      </c>
      <c r="B279" t="n">
        <v>29664382</v>
      </c>
      <c r="C279" t="inlineStr">
        <is>
          <t>AC</t>
        </is>
      </c>
      <c r="D279" t="inlineStr">
        <is>
          <t>A</t>
        </is>
      </c>
      <c r="E279" t="inlineStr">
        <is>
          <t>816770</t>
        </is>
      </c>
      <c r="F279">
        <f>HYPERLINK("https://www.ncbi.nlm.nih.gov/clinvar/variation/816770/","ClinVarDB")</f>
        <v/>
      </c>
      <c r="G279" t="inlineStr">
        <is>
          <t>criteria_provided|_single_submitter</t>
        </is>
      </c>
      <c r="H279" t="inlineStr">
        <is>
          <t>Neurofibromatosis|_type_1</t>
        </is>
      </c>
      <c r="I279" t="inlineStr">
        <is>
          <t>Pathogenic</t>
        </is>
      </c>
      <c r="J279" t="inlineStr">
        <is>
          <t>NF1</t>
        </is>
      </c>
      <c r="K279" t="inlineStr">
        <is>
          <t>splice_region_variant&amp;intron_variant|splice_region_variant&amp;intron_variant&amp;NMD_transcript_variant</t>
        </is>
      </c>
      <c r="L279" t="inlineStr"/>
      <c r="M279" t="inlineStr">
        <is>
          <t>NM_000267.3:c.6365-3del|NM_001042492.3:c.6428-3del|ENST00000358273.4:c.6428-3del|ENST00000579081.1:c.*1593-3del|ENST00000456735.2:c.5363-3del|ENST00000356175.3:c.6365-3del</t>
        </is>
      </c>
      <c r="N279" t="inlineStr"/>
      <c r="O279" t="inlineStr"/>
      <c r="P279" t="inlineStr"/>
      <c r="Q279" t="inlineStr"/>
      <c r="R279" t="inlineStr"/>
      <c r="S279" t="inlineStr"/>
    </row>
    <row r="280">
      <c r="A280" t="inlineStr">
        <is>
          <t>17</t>
        </is>
      </c>
      <c r="B280" t="n">
        <v>29657518</v>
      </c>
      <c r="C280" t="inlineStr">
        <is>
          <t>T</t>
        </is>
      </c>
      <c r="D280" t="inlineStr">
        <is>
          <t>TTA</t>
        </is>
      </c>
      <c r="E280" t="inlineStr">
        <is>
          <t>996441</t>
        </is>
      </c>
      <c r="F280">
        <f>HYPERLINK("https://www.ncbi.nlm.nih.gov/clinvar/variation/996441/","ClinVarDB")</f>
        <v/>
      </c>
      <c r="G280" t="inlineStr">
        <is>
          <t>criteria_provided|_single_submitter</t>
        </is>
      </c>
      <c r="H280" t="inlineStr">
        <is>
          <t>Neurofibromatosis|_type_1</t>
        </is>
      </c>
      <c r="I280" t="inlineStr">
        <is>
          <t>Likely_pathogenic</t>
        </is>
      </c>
      <c r="J280" t="inlineStr">
        <is>
          <t>NF1</t>
        </is>
      </c>
      <c r="K280" t="inlineStr">
        <is>
          <t>splice_region_variant&amp;intron_variant&amp;non_coding_transcript_variant|splice_region_variant&amp;intron_variant|splice_region_variant&amp;intron_variant&amp;NMD_transcript_variant|non_coding_transcript_exon_variant</t>
        </is>
      </c>
      <c r="L280" t="inlineStr"/>
      <c r="M280" t="inlineStr">
        <is>
          <t>NM_001042492.3:c.5812+2_5812+3insTA|ENST00000579081.1:c.*977+2_*977+3insTA|ENST00000493220.1:n.4287_4288insTA|ENST00000456735.2:c.4747+2_4747+3insTA|NM_000267.3:c.5749+2_5749+3insTA|ENST00000479536.2:c.170+2_170+3insTA|ENST00000358273.4:c.5812+2_5812+3insTA|ENST00000356175.3:c.5749+2_5749+3insTA|ENST00000581113.2:n.1129+2_1129+3insTA</t>
        </is>
      </c>
      <c r="N280" t="inlineStr"/>
      <c r="O280" t="inlineStr"/>
      <c r="P280" t="inlineStr"/>
      <c r="Q280" t="inlineStr"/>
      <c r="R280" t="inlineStr"/>
      <c r="S280" t="inlineStr"/>
    </row>
    <row r="281">
      <c r="A281" t="inlineStr">
        <is>
          <t>17</t>
        </is>
      </c>
      <c r="B281" t="n">
        <v>29657520</v>
      </c>
      <c r="C281" t="inlineStr">
        <is>
          <t>A</t>
        </is>
      </c>
      <c r="D281" t="inlineStr">
        <is>
          <t>T</t>
        </is>
      </c>
      <c r="E281" t="inlineStr">
        <is>
          <t>644875</t>
        </is>
      </c>
      <c r="F281">
        <f>HYPERLINK("https://www.ncbi.nlm.nih.gov/clinvar/variation/644875/","ClinVarDB")</f>
        <v/>
      </c>
      <c r="G281" t="inlineStr">
        <is>
          <t>criteria_provided|_single_submitter</t>
        </is>
      </c>
      <c r="H281" t="inlineStr">
        <is>
          <t>Neurofibromatosis|_type_1</t>
        </is>
      </c>
      <c r="I281" t="inlineStr">
        <is>
          <t>Pathogenic</t>
        </is>
      </c>
      <c r="J281" t="inlineStr">
        <is>
          <t>NF1</t>
        </is>
      </c>
      <c r="K281" t="inlineStr">
        <is>
          <t>splice_region_variant&amp;intron_variant&amp;non_coding_transcript_variant|splice_region_variant&amp;intron_variant|splice_region_variant&amp;intron_variant&amp;NMD_transcript_variant|non_coding_transcript_exon_variant</t>
        </is>
      </c>
      <c r="L281" t="inlineStr"/>
      <c r="M281" t="inlineStr">
        <is>
          <t>ENST00000356175.3:c.5749+4A&gt;T|ENST00000456735.2:c.4747+4A&gt;T|NM_000267.3:c.5749+4A&gt;T|NM_001042492.3:c.5812+4A&gt;T|ENST00000493220.1:n.4289A&gt;T|ENST00000579081.1:c.*977+4A&gt;T|ENST00000479536.2:c.170+4A&gt;T|ENST00000358273.4:c.5812+4A&gt;T|ENST00000581113.2:n.1129+4A&gt;T</t>
        </is>
      </c>
      <c r="N281" t="inlineStr"/>
      <c r="O281" t="inlineStr"/>
      <c r="P281" t="inlineStr"/>
      <c r="Q281" t="inlineStr"/>
      <c r="R281" t="inlineStr"/>
      <c r="S281" t="inlineStr"/>
    </row>
    <row r="282">
      <c r="A282" t="inlineStr">
        <is>
          <t>17</t>
        </is>
      </c>
      <c r="B282" t="n">
        <v>29657521</v>
      </c>
      <c r="C282" t="inlineStr">
        <is>
          <t>G</t>
        </is>
      </c>
      <c r="D282" t="inlineStr">
        <is>
          <t>A</t>
        </is>
      </c>
      <c r="E282" t="inlineStr">
        <is>
          <t>457764</t>
        </is>
      </c>
      <c r="F282">
        <f>HYPERLINK("https://www.ncbi.nlm.nih.gov/clinvar/variation/457764/","ClinVarDB")</f>
        <v/>
      </c>
      <c r="G282" t="inlineStr">
        <is>
          <t>criteria_provided|_single_submitter</t>
        </is>
      </c>
      <c r="H282" t="inlineStr">
        <is>
          <t>Neurofibromatosis|_type_1</t>
        </is>
      </c>
      <c r="I282" t="inlineStr">
        <is>
          <t>Pathogenic</t>
        </is>
      </c>
      <c r="J282" t="inlineStr">
        <is>
          <t>NF1</t>
        </is>
      </c>
      <c r="K282" t="inlineStr">
        <is>
          <t>splice_region_variant&amp;intron_variant&amp;non_coding_transcript_variant|splice_region_variant&amp;intron_variant|splice_region_variant&amp;intron_variant&amp;NMD_transcript_variant|non_coding_transcript_exon_variant</t>
        </is>
      </c>
      <c r="L282" t="inlineStr"/>
      <c r="M282" t="inlineStr">
        <is>
          <t>NM_001042492.3:c.5812+5G&gt;A|ENST00000358273.4:c.5812+5G&gt;A|ENST00000581113.2:n.1129+5G&gt;A|ENST00000493220.1:n.4290G&gt;A|NM_000267.3:c.5749+5G&gt;A|ENST00000356175.3:c.5749+5G&gt;A|ENST00000456735.2:c.4747+5G&gt;A|ENST00000479536.2:c.170+5G&gt;A|ENST00000579081.1:c.*977+5G&gt;A</t>
        </is>
      </c>
      <c r="N282" t="inlineStr"/>
      <c r="O282" t="inlineStr"/>
      <c r="P282" t="inlineStr"/>
      <c r="Q282" t="inlineStr"/>
      <c r="R282" t="inlineStr"/>
      <c r="S282" t="inlineStr"/>
    </row>
    <row r="283">
      <c r="A283" t="inlineStr">
        <is>
          <t>17</t>
        </is>
      </c>
      <c r="B283" t="n">
        <v>29556482</v>
      </c>
      <c r="C283" t="inlineStr">
        <is>
          <t>A</t>
        </is>
      </c>
      <c r="D283" t="inlineStr">
        <is>
          <t>AGGT</t>
        </is>
      </c>
      <c r="E283" t="inlineStr">
        <is>
          <t>821887</t>
        </is>
      </c>
      <c r="F283">
        <f>HYPERLINK("https://www.ncbi.nlm.nih.gov/clinvar/variation/821887/","ClinVarDB")</f>
        <v/>
      </c>
      <c r="G283" t="inlineStr">
        <is>
          <t>criteria_provided|_single_submitter</t>
        </is>
      </c>
      <c r="H283" t="inlineStr">
        <is>
          <t>Hereditary_cancer-predisposing_syndrome</t>
        </is>
      </c>
      <c r="I283" t="inlineStr">
        <is>
          <t>Likely_pathogenic</t>
        </is>
      </c>
      <c r="J283" t="inlineStr">
        <is>
          <t>NF1</t>
        </is>
      </c>
      <c r="K283" t="inlineStr">
        <is>
          <t>splice_region_variant&amp;3_prime_UTR_variant&amp;NMD_transcript_variant|inframe_insertion&amp;splice_region_variant&amp;NMD_transcript_variant|inframe_insertion&amp;splice_region_variant|non_coding_transcript_exon_variant</t>
        </is>
      </c>
      <c r="L283" t="inlineStr"/>
      <c r="M283" t="inlineStr">
        <is>
          <t>ENST00000579081.1:c.2952_2952+2dup|ENST00000356175.3:c.2850_2850+2dup|NM_001042492.3:c.2850_2850+2dup|ENST00000456735.2:c.1848_1848+2dup|ENST00000358273.4:c.2850_2850+2dup|ENST00000493220.1:n.1017_1019dup|NM_000267.3:c.2850_2850+2dup|ENST00000495910.2:c.*2251_*2251+2dup</t>
        </is>
      </c>
      <c r="N283" t="inlineStr"/>
      <c r="O283" t="inlineStr"/>
      <c r="P283" t="inlineStr"/>
      <c r="Q283" t="inlineStr"/>
      <c r="R283" t="inlineStr"/>
      <c r="S283" t="inlineStr"/>
    </row>
    <row r="284">
      <c r="A284" t="inlineStr">
        <is>
          <t>17</t>
        </is>
      </c>
      <c r="B284" t="n">
        <v>29654862</v>
      </c>
      <c r="C284" t="inlineStr">
        <is>
          <t>G</t>
        </is>
      </c>
      <c r="D284" t="inlineStr">
        <is>
          <t>A</t>
        </is>
      </c>
      <c r="E284" t="inlineStr">
        <is>
          <t>653133</t>
        </is>
      </c>
      <c r="F284">
        <f>HYPERLINK("https://www.ncbi.nlm.nih.gov/clinvar/variation/653133/","ClinVarDB")</f>
        <v/>
      </c>
      <c r="G284" t="inlineStr">
        <is>
          <t>criteria_provided|_single_submitter</t>
        </is>
      </c>
      <c r="H284" t="inlineStr">
        <is>
          <t>Neurofibromatosis|_type_1</t>
        </is>
      </c>
      <c r="I284" t="inlineStr">
        <is>
          <t>Likely_pathogenic</t>
        </is>
      </c>
      <c r="J284" t="inlineStr">
        <is>
          <t>NF1</t>
        </is>
      </c>
      <c r="K284" t="inlineStr">
        <is>
          <t>regulatory_region_variant|splice_region_variant&amp;intron_variant|splice_region_variant&amp;intron_variant&amp;non_coding_transcript_variant|TF_binding_site_variant|splice_region_variant&amp;intron_variant&amp;NMD_transcript_variant</t>
        </is>
      </c>
      <c r="L284" t="inlineStr"/>
      <c r="M284" t="inlineStr">
        <is>
          <t>|ENST00000493220.1:n.4082+5G&gt;A|NM_001042492.3:c.5609+5G&gt;A|ENST00000579081.1:c.*774+5G&gt;A|ENST00000456735.2:c.4544+5G&gt;A|ENST00000356175.3:c.5546+5G&gt;A|ENST00000581113.2:n.926+5G&gt;A|NM_000267.3:c.5546+5G&gt;A|ENST00000358273.4:c.5609+5G&gt;A</t>
        </is>
      </c>
      <c r="N284" t="inlineStr"/>
      <c r="O284" t="inlineStr"/>
      <c r="P284" t="inlineStr"/>
      <c r="Q284" t="inlineStr"/>
      <c r="R284" t="inlineStr"/>
      <c r="S284" t="inlineStr"/>
    </row>
    <row r="285">
      <c r="A285" t="inlineStr">
        <is>
          <t>17</t>
        </is>
      </c>
      <c r="B285" t="n">
        <v>29667513</v>
      </c>
      <c r="C285" t="inlineStr">
        <is>
          <t>T</t>
        </is>
      </c>
      <c r="D285" t="inlineStr">
        <is>
          <t>TCTTTGCCAGGA</t>
        </is>
      </c>
      <c r="E285" t="inlineStr">
        <is>
          <t>1070582</t>
        </is>
      </c>
      <c r="F285">
        <f>HYPERLINK("https://www.ncbi.nlm.nih.gov/clinvar/variation/1070582/","ClinVarDB")</f>
        <v/>
      </c>
      <c r="G285" t="inlineStr">
        <is>
          <t>criteria_provided|_single_submitter</t>
        </is>
      </c>
      <c r="H285" t="inlineStr">
        <is>
          <t>Neurofibromatosis|_type_1</t>
        </is>
      </c>
      <c r="I285" t="inlineStr">
        <is>
          <t>Pathogenic</t>
        </is>
      </c>
      <c r="J285" t="inlineStr">
        <is>
          <t>NF1</t>
        </is>
      </c>
      <c r="K285" t="inlineStr">
        <is>
          <t>regulatory_region_variant|intron_variant|intron_variant&amp;non_coding_transcript_variant|non_coding_transcript_exon_variant|intron_variant&amp;NMD_transcript_variant</t>
        </is>
      </c>
      <c r="L285" t="inlineStr"/>
      <c r="M285" t="inlineStr">
        <is>
          <t>|ENST00000417592.2:c.61-7_64dup|ENST00000444181.2:c.301-7_304dup|ENST00000579081.1:c.*2087-7_*2090dup|ENST00000356175.3:c.6859-7_6862dup|ENST00000581790.1:c.65-7_68dup|ENST00000456735.2:c.5857-7_5860dup|ENST00000358273.4:c.6922-7_6925dup|ENST00000471572.2:c.305-7_308dup|ENST00000582892.1:n.219_229dup|NM_000267.3:c.6859-7_6862dup|NM_001042492.3:c.6922-7_6925dup|ENST00000584328.1:n.336-7_339dup</t>
        </is>
      </c>
      <c r="N285" t="inlineStr"/>
      <c r="O285" t="inlineStr"/>
      <c r="P285" t="inlineStr"/>
      <c r="Q285" t="inlineStr"/>
      <c r="R285" t="inlineStr"/>
      <c r="S285" t="inlineStr"/>
    </row>
    <row r="286">
      <c r="A286" t="inlineStr">
        <is>
          <t>17</t>
        </is>
      </c>
      <c r="B286" t="n">
        <v>29577082</v>
      </c>
      <c r="C286" t="inlineStr">
        <is>
          <t>A</t>
        </is>
      </c>
      <c r="D286" t="inlineStr">
        <is>
          <t>G</t>
        </is>
      </c>
      <c r="E286" t="inlineStr">
        <is>
          <t>978032</t>
        </is>
      </c>
      <c r="F286">
        <f>HYPERLINK("https://www.ncbi.nlm.nih.gov/clinvar/variation/978032/","ClinVarDB")</f>
        <v/>
      </c>
      <c r="G286" t="inlineStr">
        <is>
          <t>criteria_provided|_single_submitter</t>
        </is>
      </c>
      <c r="H286" t="inlineStr">
        <is>
          <t>Neurofibromatosis|_type_1</t>
        </is>
      </c>
      <c r="I286" t="inlineStr">
        <is>
          <t>Pathogenic</t>
        </is>
      </c>
      <c r="J286" t="inlineStr">
        <is>
          <t>NF1</t>
        </is>
      </c>
      <c r="K286" t="inlineStr">
        <is>
          <t>regulatory_region_variant|intron_variant|intron_variant&amp;non_coding_transcript_variant|3_prime_UTR_variant&amp;NMD_transcript_variant|intron_variant&amp;NMD_transcript_variant</t>
        </is>
      </c>
      <c r="L286" t="inlineStr"/>
      <c r="M286" t="inlineStr">
        <is>
          <t>|NM_001042492.3:c.4110+945A&gt;G|ENST00000356175.3:c.4110+945A&gt;G|ENST00000579081.1:c.4212+945A&gt;G|ENST00000493220.1:n.2646+945A&gt;G|ENST00000495910.2:c.*3621A&gt;G|NM_000267.3:c.4110+945A&gt;G|ENST00000358273.4:c.4110+945A&gt;G|ENST00000479614.1:c.586+945A&gt;G|ENST00000456735.2:c.3108+945A&gt;G|ENST00000466819.1:c.586+945A&gt;G</t>
        </is>
      </c>
      <c r="N286" t="inlineStr"/>
      <c r="O286" t="inlineStr"/>
      <c r="P286" t="inlineStr"/>
      <c r="Q286" t="inlineStr"/>
      <c r="R286" t="inlineStr"/>
      <c r="S286" t="inlineStr"/>
    </row>
    <row r="287">
      <c r="A287" t="inlineStr">
        <is>
          <t>17</t>
        </is>
      </c>
      <c r="B287" t="n">
        <v>29486092</v>
      </c>
      <c r="C287" t="inlineStr">
        <is>
          <t>T</t>
        </is>
      </c>
      <c r="D287" t="inlineStr">
        <is>
          <t>TGGA</t>
        </is>
      </c>
      <c r="E287" t="inlineStr">
        <is>
          <t>996466</t>
        </is>
      </c>
      <c r="F287">
        <f>HYPERLINK("https://www.ncbi.nlm.nih.gov/clinvar/variation/996466/","ClinVarDB")</f>
        <v/>
      </c>
      <c r="G287" t="inlineStr">
        <is>
          <t>criteria_provided|_single_submitter</t>
        </is>
      </c>
      <c r="H287" t="inlineStr">
        <is>
          <t>Neurofibromatosis|_type_1</t>
        </is>
      </c>
      <c r="I287" t="inlineStr">
        <is>
          <t>Likely_pathogenic</t>
        </is>
      </c>
      <c r="J287" t="inlineStr">
        <is>
          <t>NF1</t>
        </is>
      </c>
      <c r="K287" t="inlineStr">
        <is>
          <t>regulatory_region_variant|inframe_insertion&amp;NMD_transcript_variant|non_coding_transcript_exon_variant|inframe_insertion</t>
        </is>
      </c>
      <c r="L287" t="inlineStr">
        <is>
          <t>|ENSP00000463682.1:p.Glu52dup|NP_001121619.1:p.Glu91dup|NP_000258.1:p.Glu91dup|ENSP00000412921.4:p.Glu91dup|ENSP00000462408.1:p.Glu125dup|ENSP00000351015.4:p.Glu91dup|ENSP00000467284.1:p.Glu24dup|ENSP00000348498.3:p.Glu91dup|NP_001035957.1:p.Glu91dup</t>
        </is>
      </c>
      <c r="M287" t="inlineStr">
        <is>
          <t>|ENST00000358273.4:c.270_272dup|ENST00000356175.3:c.270_272dup|ENST00000487476.1:n.653_655dup|ENST00000431387.4:c.270_272dup|NM_001042492.3:c.270_272dup|ENST00000495910.2:c.152_154dup|ENST00000489712.2:c.69_71dup|ENST00000490416.1:n.11_13dup|ENST00000579081.1:c.372_374dup|NM_000267.3:c.270_272dup|NM_001128147.3:c.270_272dup</t>
        </is>
      </c>
      <c r="N287" t="inlineStr"/>
      <c r="O287" t="inlineStr"/>
      <c r="P287" t="inlineStr"/>
      <c r="Q287" t="inlineStr"/>
      <c r="R287" t="inlineStr"/>
      <c r="S287" t="inlineStr"/>
    </row>
    <row r="288">
      <c r="A288" t="inlineStr">
        <is>
          <t>17</t>
        </is>
      </c>
      <c r="B288" t="n">
        <v>29486066</v>
      </c>
      <c r="C288" t="inlineStr">
        <is>
          <t>CTCTCAGTTGAT</t>
        </is>
      </c>
      <c r="D288" t="inlineStr">
        <is>
          <t>TGAGAGAGA</t>
        </is>
      </c>
      <c r="E288" t="inlineStr">
        <is>
          <t>663004</t>
        </is>
      </c>
      <c r="F288">
        <f>HYPERLINK("https://www.ncbi.nlm.nih.gov/clinvar/variation/663004/","ClinVarDB")</f>
        <v/>
      </c>
      <c r="G288" t="inlineStr">
        <is>
          <t>criteria_provided|_single_submitter</t>
        </is>
      </c>
      <c r="H288" t="inlineStr">
        <is>
          <t>Neurofibromatosis|_type_1</t>
        </is>
      </c>
      <c r="I288" t="inlineStr">
        <is>
          <t>Likely_pathogenic</t>
        </is>
      </c>
      <c r="J288" t="inlineStr">
        <is>
          <t>NF1</t>
        </is>
      </c>
      <c r="K288" t="inlineStr">
        <is>
          <t>protein_altering_variant&amp;NMD_transcript_variant|regulatory_region_variant|protein_altering_variant|non_coding_transcript_exon_variant</t>
        </is>
      </c>
      <c r="L288" t="inlineStr">
        <is>
          <t>ENSP00000348498.3:p.Ser82_Ile85delinsGluArgAsp|ENSP00000467284.1:p.Ser15_Ile18delinsGluArgAsp||ENSP00000463682.1:p.Ser43_Ile46delinsGluArgAsp|NP_001121619.1:p.Ser82_Ile85delinsGluArgAsp|ENSP00000351015.4:p.Ser82_Ile85delinsGluArgAsp|ENSP00000412921.4:p.Ser82_Ile85delinsGluArgAsp|ENSP00000462408.1:p.Ser116_Ile119delinsGluArgAsp|NP_000258.1:p.Ser82_Ile85delinsGluArgAsp|NP_001035957.1:p.Ser82_Ile85delinsGluArgAsp</t>
        </is>
      </c>
      <c r="M288" t="inlineStr">
        <is>
          <t>NM_001042492.3:c.243_254delinsTGAGAGAGA||ENST00000431387.4:c.243_254delinsTGAGAGAGA|NM_000267.3:c.243_254delinsTGAGAGAGA|ENST00000356175.3:c.243_254delinsTGAGAGAGA|ENST00000579081.1:c.345_356delinsTGAGAGAGA|ENST00000489712.2:c.42_53delinsTGAGAGAGA|NM_001128147.3:c.243_254delinsTGAGAGAGA|ENST00000495910.2:c.125_136delinsTGAGAGAGA|ENST00000487476.1:n.626_637delinsTGAGAGAGA|ENST00000358273.4:c.243_254delinsTGAGAGAGA</t>
        </is>
      </c>
      <c r="N288" t="inlineStr"/>
      <c r="O288" t="inlineStr"/>
      <c r="P288" t="inlineStr"/>
      <c r="Q288" t="inlineStr"/>
      <c r="R288" t="inlineStr"/>
      <c r="S288" t="inlineStr"/>
    </row>
    <row r="289">
      <c r="A289" t="inlineStr">
        <is>
          <t>17</t>
        </is>
      </c>
      <c r="B289" t="n">
        <v>29670133</v>
      </c>
      <c r="C289" t="inlineStr">
        <is>
          <t>TGGTTGGACA</t>
        </is>
      </c>
      <c r="D289" t="inlineStr">
        <is>
          <t>CAGC</t>
        </is>
      </c>
      <c r="E289" t="inlineStr">
        <is>
          <t>547693</t>
        </is>
      </c>
      <c r="F289">
        <f>HYPERLINK("https://www.ncbi.nlm.nih.gov/clinvar/variation/547693/","ClinVarDB")</f>
        <v/>
      </c>
      <c r="G289" t="inlineStr">
        <is>
          <t>criteria_provided|_single_submitter</t>
        </is>
      </c>
      <c r="H289" t="inlineStr">
        <is>
          <t>Neurofibromatosis|_type_1</t>
        </is>
      </c>
      <c r="I289" t="inlineStr">
        <is>
          <t>Likely_pathogenic</t>
        </is>
      </c>
      <c r="J289" t="inlineStr">
        <is>
          <t>NF1</t>
        </is>
      </c>
      <c r="K289" t="inlineStr">
        <is>
          <t>protein_altering_variant&amp;NMD_transcript_variant|non_coding_transcript_exon_variant|protein_altering_variant|3_prime_UTR_variant&amp;NMD_transcript_variant</t>
        </is>
      </c>
      <c r="L289" t="inlineStr">
        <is>
          <t>|ENSP00000462700.1:p.Leu105_His108delinsSerAla|ENSP00000348498.3:p.Leu2369_His2372delinsSerAla|ENSP00000351015.4:p.Leu2390_His2393delinsSerAla|ENSP00000398991.2:p.Leu103_His106delinsSerAla|NP_001035957.1:p.Leu2390_His2393delinsSerAla|NP_000258.1:p.Leu2369_His2372delinsSerAla|ENSP00000389907.2:p.Leu2035_His2038delinsSerAla|ENSP00000396481.2:p.Leu183_His186delinsSerAla|ENSP00000464678.1:p.Leu185_His188delinsSerAla</t>
        </is>
      </c>
      <c r="M289" t="inlineStr">
        <is>
          <t>ENST00000456735.2:c.6104_6113delinsCAGC|ENST00000358273.4:c.7169_7178delinsCAGC|ENST00000417592.2:c.308_317delinsCAGC|NM_001042492.3:c.7169_7178delinsCAGC|ENST00000471572.2:c.552_561delinsCAGC|ENST00000579081.1:c.*2334_*2343delinsCAGC|ENST00000356175.3:c.7106_7115delinsCAGC|ENST00000581790.1:c.312_321delinsCAGC|ENST00000582892.1:n.411_420delinsCAGC|ENST00000444181.2:c.548_557delinsCAGC|NM_000267.3:c.7106_7115delinsCAGC</t>
        </is>
      </c>
      <c r="N289" t="inlineStr"/>
      <c r="O289" t="inlineStr"/>
      <c r="P289" t="inlineStr"/>
      <c r="Q289" t="inlineStr"/>
      <c r="R289" t="inlineStr"/>
      <c r="S289" t="inlineStr"/>
    </row>
    <row r="290">
      <c r="A290" t="inlineStr">
        <is>
          <t>17</t>
        </is>
      </c>
      <c r="B290" t="n">
        <v>29586060</v>
      </c>
      <c r="C290" t="inlineStr">
        <is>
          <t>G</t>
        </is>
      </c>
      <c r="D290" t="inlineStr">
        <is>
          <t>GTCC</t>
        </is>
      </c>
      <c r="E290" t="inlineStr">
        <is>
          <t>803357</t>
        </is>
      </c>
      <c r="F290">
        <f>HYPERLINK("https://www.ncbi.nlm.nih.gov/clinvar/variation/803357/","ClinVarDB")</f>
        <v/>
      </c>
      <c r="G290" t="inlineStr">
        <is>
          <t>criteria_provided|_single_submitter</t>
        </is>
      </c>
      <c r="H290" t="inlineStr">
        <is>
          <t>Neurofibromatosis|_type_1</t>
        </is>
      </c>
      <c r="I290" t="inlineStr">
        <is>
          <t>Likely_pathogenic</t>
        </is>
      </c>
      <c r="J290" t="inlineStr">
        <is>
          <t>NF1</t>
        </is>
      </c>
      <c r="K290" t="inlineStr">
        <is>
          <t>non_coding_transcript_exon_variant|inframe_insertion&amp;NMD_transcript_variant|3_prime_UTR_variant&amp;NMD_transcript_variant|inframe_insertion</t>
        </is>
      </c>
      <c r="L290" t="inlineStr">
        <is>
          <t>|NP_001035957.1:p.Ser1448_Ile1449insPro|ENSP00000462408.1:p.Ser1461_Ile1462insPro|ENSP00000351015.4:p.Ser1448_Ile1449insPro|NP_000258.1:p.Ser1427_Ile1428insPro|ENSP00000389907.2:p.Ser1093_Ile1094insPro|ENSP00000348498.3:p.Ser1427_Ile1428insPro</t>
        </is>
      </c>
      <c r="M290" t="inlineStr">
        <is>
          <t>ENST00000466819.1:c.*178_*179insCCT|ENST00000358273.4:c.4344_4345insCCT|ENST00000579081.1:c.4383_4384insCCT|NM_001042492.3:c.4344_4345insCCT|ENST00000356175.3:c.4281_4282insCCT|ENST00000479614.1:c.*178_*179insCCT|NM_000267.3:c.4281_4282insCCT|ENST00000493220.1:n.2817_2818insCCT|ENST00000456735.2:c.3279_3280insCCT</t>
        </is>
      </c>
      <c r="N290" t="inlineStr"/>
      <c r="O290" t="inlineStr"/>
      <c r="P290" t="inlineStr"/>
      <c r="Q290" t="inlineStr"/>
      <c r="R290" t="inlineStr"/>
      <c r="S290" t="inlineStr"/>
    </row>
    <row r="291">
      <c r="A291" t="inlineStr">
        <is>
          <t>17</t>
        </is>
      </c>
      <c r="B291" t="n">
        <v>29665159</v>
      </c>
      <c r="C291" t="inlineStr">
        <is>
          <t>TA</t>
        </is>
      </c>
      <c r="D291" t="inlineStr">
        <is>
          <t>T</t>
        </is>
      </c>
      <c r="E291" t="inlineStr">
        <is>
          <t>998177</t>
        </is>
      </c>
      <c r="F291">
        <f>HYPERLINK("https://www.ncbi.nlm.nih.gov/clinvar/variation/998177/","ClinVarDB")</f>
        <v/>
      </c>
      <c r="G291" t="inlineStr">
        <is>
          <t>criteria_provided|_single_submitter</t>
        </is>
      </c>
      <c r="H291" t="inlineStr">
        <is>
          <t>Hereditary_cancer-predisposing_syndrome</t>
        </is>
      </c>
      <c r="I291" t="inlineStr">
        <is>
          <t>Likely_pathogenic</t>
        </is>
      </c>
      <c r="J291" t="inlineStr">
        <is>
          <t>NF1</t>
        </is>
      </c>
      <c r="K291" t="inlineStr">
        <is>
          <t>intron_variant|splice_region_variant&amp;intron_variant|splice_region_variant&amp;intron_variant&amp;non_coding_transcript_variant|splice_region_variant&amp;intron_variant&amp;NMD_transcript_variant|intron_variant&amp;NMD_transcript_variant</t>
        </is>
      </c>
      <c r="L291" t="inlineStr"/>
      <c r="M291" t="inlineStr">
        <is>
          <t>ENST00000444181.2:c.198+3del|ENST00000471572.2:c.202+3del|ENST00000358273.4:c.6819+3del|NM_000267.3:c.6756+3del|NM_001042492.3:c.6819+3del|ENST00000456735.2:c.5754+3del|ENST00000581790.1:c.64+262del|ENST00000579081.1:c.*1984+3del|ENST00000356175.3:c.6756+3del|ENST00000417592.2:c.60+262del|ENST00000584328.1:n.233+3del</t>
        </is>
      </c>
      <c r="N291" t="inlineStr"/>
      <c r="O291" t="inlineStr"/>
      <c r="P291" t="inlineStr"/>
      <c r="Q291" t="inlineStr"/>
      <c r="R291" t="inlineStr"/>
      <c r="S291" t="inlineStr"/>
    </row>
    <row r="292">
      <c r="A292" t="inlineStr">
        <is>
          <t>17</t>
        </is>
      </c>
      <c r="B292" t="n">
        <v>29665160</v>
      </c>
      <c r="C292" t="inlineStr">
        <is>
          <t>A</t>
        </is>
      </c>
      <c r="D292" t="inlineStr">
        <is>
          <t>G</t>
        </is>
      </c>
      <c r="E292" t="inlineStr">
        <is>
          <t>457805</t>
        </is>
      </c>
      <c r="F292">
        <f>HYPERLINK("https://www.ncbi.nlm.nih.gov/clinvar/variation/457805/","ClinVarDB")</f>
        <v/>
      </c>
      <c r="G292" t="inlineStr">
        <is>
          <t>criteria_provided|_single_submitter</t>
        </is>
      </c>
      <c r="H292" t="inlineStr">
        <is>
          <t>Neurofibromatosis|_type_1</t>
        </is>
      </c>
      <c r="I292" t="inlineStr">
        <is>
          <t>Pathogenic</t>
        </is>
      </c>
      <c r="J292" t="inlineStr">
        <is>
          <t>NF1</t>
        </is>
      </c>
      <c r="K292" t="inlineStr">
        <is>
          <t>intron_variant|splice_region_variant&amp;intron_variant|splice_region_variant&amp;intron_variant&amp;non_coding_transcript_variant|splice_region_variant&amp;intron_variant&amp;NMD_transcript_variant|intron_variant&amp;NMD_transcript_variant</t>
        </is>
      </c>
      <c r="L292" t="inlineStr"/>
      <c r="M292" t="inlineStr">
        <is>
          <t>ENST00000584328.1:n.233+3A&gt;G|NM_000267.3:c.6756+3A&gt;G|ENST00000358273.4:c.6819+3A&gt;G|ENST00000456735.2:c.5754+3A&gt;G|ENST00000579081.1:c.*1984+3A&gt;G|ENST00000581790.1:c.64+262A&gt;G|ENST00000471572.2:c.202+3A&gt;G|ENST00000444181.2:c.198+3A&gt;G|ENST00000356175.3:c.6756+3A&gt;G|ENST00000417592.2:c.60+262A&gt;G|NM_001042492.3:c.6819+3A&gt;G</t>
        </is>
      </c>
      <c r="N292" t="inlineStr"/>
      <c r="O292" t="inlineStr"/>
      <c r="P292" t="inlineStr"/>
      <c r="Q292" t="inlineStr"/>
      <c r="R292" t="inlineStr"/>
      <c r="S292" t="inlineStr"/>
    </row>
    <row r="293">
      <c r="A293" t="inlineStr">
        <is>
          <t>17</t>
        </is>
      </c>
      <c r="B293" t="n">
        <v>29684263</v>
      </c>
      <c r="C293" t="inlineStr">
        <is>
          <t>GTTTAC</t>
        </is>
      </c>
      <c r="D293" t="inlineStr">
        <is>
          <t>TTTTAG</t>
        </is>
      </c>
      <c r="E293" t="inlineStr">
        <is>
          <t>816749</t>
        </is>
      </c>
      <c r="F293">
        <f>HYPERLINK("https://www.ncbi.nlm.nih.gov/clinvar/variation/816749/","ClinVarDB")</f>
        <v/>
      </c>
      <c r="G293" t="inlineStr">
        <is>
          <t>criteria_provided|_single_submitter</t>
        </is>
      </c>
      <c r="H293" t="inlineStr">
        <is>
          <t>Neurofibromatosis|_type_1</t>
        </is>
      </c>
      <c r="I293" t="inlineStr">
        <is>
          <t>Pathogenic</t>
        </is>
      </c>
      <c r="J293" t="inlineStr">
        <is>
          <t>NF1</t>
        </is>
      </c>
      <c r="K293" t="inlineStr">
        <is>
          <t>intron_variant|non_coding_transcript_exon_variant|intron_variant&amp;NMD_transcript_variant</t>
        </is>
      </c>
      <c r="L293" t="inlineStr"/>
      <c r="M293" t="inlineStr">
        <is>
          <t>ENST00000356175.3:c.7807-24_7807-19delinsTTTTAG|ENST00000471572.2:c.1253-24_1253-19delinsTTTTAG|ENST00000577967.1:n.1442_1447delinsTTTTAG|ENST00000581790.1:c.*236-24_*236-19delinsTTTTAG|ENST00000358273.4:c.7870-24_7870-19delinsTTTTAG|ENST00000579081.1:c.*3035-24_*3035-19delinsTTTTAG|NM_000267.3:c.7807-24_7807-19delinsTTTTAG|ENST00000417592.2:c.*236-24_*236-19delinsTTTTAG|ENST00000444181.2:c.1249-24_1249-19delinsTTTTAG|NM_001042492.3:c.7870-24_7870-19delinsTTTTAG|ENST00000456735.2:c.6805-24_6805-19delinsTTTTAG</t>
        </is>
      </c>
      <c r="N293" t="inlineStr"/>
      <c r="O293" t="inlineStr"/>
      <c r="P293" t="inlineStr"/>
      <c r="Q293" t="inlineStr"/>
      <c r="R293" t="inlineStr"/>
      <c r="S293" t="inlineStr"/>
    </row>
    <row r="294">
      <c r="A294" t="inlineStr">
        <is>
          <t>17</t>
        </is>
      </c>
      <c r="B294" t="n">
        <v>29685177</v>
      </c>
      <c r="C294" t="inlineStr">
        <is>
          <t>C</t>
        </is>
      </c>
      <c r="D294" t="inlineStr">
        <is>
          <t>G</t>
        </is>
      </c>
      <c r="E294" t="inlineStr">
        <is>
          <t>958469</t>
        </is>
      </c>
      <c r="F294">
        <f>HYPERLINK("https://www.ncbi.nlm.nih.gov/clinvar/variation/958469/","ClinVarDB")</f>
        <v/>
      </c>
      <c r="G294" t="inlineStr">
        <is>
          <t>criteria_provided|_single_submitter</t>
        </is>
      </c>
      <c r="H294" t="inlineStr">
        <is>
          <t>Neurofibromatosis|_type_1</t>
        </is>
      </c>
      <c r="I294" t="inlineStr">
        <is>
          <t>Likely_pathogenic</t>
        </is>
      </c>
      <c r="J294" t="inlineStr">
        <is>
          <t>NF1</t>
        </is>
      </c>
      <c r="K294" t="inlineStr">
        <is>
          <t>intron_variant|non_coding_transcript_exon_variant|intron_variant&amp;NMD_transcript_variant</t>
        </is>
      </c>
      <c r="L294" t="inlineStr"/>
      <c r="M294" t="inlineStr">
        <is>
          <t>ENST00000456735.2:c.6906-321C&gt;G|ENST00000358273.4:c.7971-321C&gt;G|ENST00000577967.1:n.2356C&gt;G|NM_001042492.3:c.7971-321C&gt;G|ENST00000471572.2:c.1354-321C&gt;G|ENST00000579081.1:c.*3136-321C&gt;G|ENST00000444181.2:c.1350-321C&gt;G|ENST00000581790.1:c.*337-321C&gt;G|NM_000267.3:c.7908-321C&gt;G|ENST00000417592.2:c.*337-321C&gt;G|ENST00000356175.3:c.7908-321C&gt;G</t>
        </is>
      </c>
      <c r="N294" t="inlineStr"/>
      <c r="O294" t="inlineStr"/>
      <c r="P294" t="inlineStr"/>
      <c r="Q294" t="inlineStr"/>
      <c r="R294" t="inlineStr"/>
      <c r="S294" t="inlineStr"/>
    </row>
    <row r="295">
      <c r="A295" t="inlineStr">
        <is>
          <t>17</t>
        </is>
      </c>
      <c r="B295" t="n">
        <v>29550436</v>
      </c>
      <c r="C295" t="inlineStr">
        <is>
          <t>T</t>
        </is>
      </c>
      <c r="D295" t="inlineStr">
        <is>
          <t>C</t>
        </is>
      </c>
      <c r="E295" t="inlineStr">
        <is>
          <t>816726</t>
        </is>
      </c>
      <c r="F295">
        <f>HYPERLINK("https://www.ncbi.nlm.nih.gov/clinvar/variation/816726/","ClinVarDB")</f>
        <v/>
      </c>
      <c r="G295" t="inlineStr">
        <is>
          <t>criteria_provided|_single_submitter</t>
        </is>
      </c>
      <c r="H295" t="inlineStr">
        <is>
          <t>Neurofibromatosis|_type_1</t>
        </is>
      </c>
      <c r="I295" t="inlineStr">
        <is>
          <t>Pathogenic</t>
        </is>
      </c>
      <c r="J295" t="inlineStr">
        <is>
          <t>NF1</t>
        </is>
      </c>
      <c r="K295" t="inlineStr">
        <is>
          <t>intron_variant|intron_variant&amp;NMD_transcript_variant</t>
        </is>
      </c>
      <c r="L295" t="inlineStr"/>
      <c r="M295" t="inlineStr">
        <is>
          <t>ENST00000356175.3:c.1722-26T&gt;C|ENST00000495910.2:c.*1123-26T&gt;C|NM_001042492.3:c.1722-26T&gt;C|ENST00000579081.1:c.1824-26T&gt;C|ENST00000456735.2:c.720-26T&gt;C|NM_000267.3:c.1722-26T&gt;C|ENST00000358273.4:c.1722-26T&gt;C</t>
        </is>
      </c>
      <c r="N295" t="inlineStr"/>
      <c r="O295" t="inlineStr"/>
      <c r="P295" t="inlineStr"/>
      <c r="Q295" t="inlineStr"/>
      <c r="R295" t="inlineStr"/>
      <c r="S295" t="inlineStr"/>
    </row>
    <row r="296">
      <c r="A296" t="inlineStr">
        <is>
          <t>17</t>
        </is>
      </c>
      <c r="B296" t="n">
        <v>29550439</v>
      </c>
      <c r="C296" t="inlineStr">
        <is>
          <t>CAATG</t>
        </is>
      </c>
      <c r="D296" t="inlineStr">
        <is>
          <t>C</t>
        </is>
      </c>
      <c r="E296" t="inlineStr">
        <is>
          <t>816744</t>
        </is>
      </c>
      <c r="F296">
        <f>HYPERLINK("https://www.ncbi.nlm.nih.gov/clinvar/variation/816744/","ClinVarDB")</f>
        <v/>
      </c>
      <c r="G296" t="inlineStr">
        <is>
          <t>criteria_provided|_single_submitter</t>
        </is>
      </c>
      <c r="H296" t="inlineStr">
        <is>
          <t>Neurofibromatosis|_type_1</t>
        </is>
      </c>
      <c r="I296" t="inlineStr">
        <is>
          <t>Pathogenic</t>
        </is>
      </c>
      <c r="J296" t="inlineStr">
        <is>
          <t>NF1</t>
        </is>
      </c>
      <c r="K296" t="inlineStr">
        <is>
          <t>intron_variant|intron_variant&amp;NMD_transcript_variant</t>
        </is>
      </c>
      <c r="L296" t="inlineStr"/>
      <c r="M296" t="inlineStr">
        <is>
          <t>ENST00000356175.3:c.1722-20_1722-17del|ENST00000456735.2:c.720-20_720-17del|ENST00000495910.2:c.*1123-20_*1123-17del|NM_000267.3:c.1722-20_1722-17del|NM_001042492.3:c.1722-20_1722-17del|ENST00000358273.4:c.1722-20_1722-17del|ENST00000579081.1:c.1824-20_1824-17del</t>
        </is>
      </c>
      <c r="N296" t="inlineStr"/>
      <c r="O296" t="inlineStr"/>
      <c r="P296" t="inlineStr"/>
      <c r="Q296" t="inlineStr"/>
      <c r="R296" t="inlineStr"/>
      <c r="S296" t="inlineStr"/>
    </row>
    <row r="297">
      <c r="A297" t="inlineStr">
        <is>
          <t>17</t>
        </is>
      </c>
      <c r="B297" t="n">
        <v>29550451</v>
      </c>
      <c r="C297" t="inlineStr">
        <is>
          <t>T</t>
        </is>
      </c>
      <c r="D297" t="inlineStr">
        <is>
          <t>G</t>
        </is>
      </c>
      <c r="E297" t="inlineStr">
        <is>
          <t>873035</t>
        </is>
      </c>
      <c r="F297">
        <f>HYPERLINK("https://www.ncbi.nlm.nih.gov/clinvar/variation/873035/","ClinVarDB")</f>
        <v/>
      </c>
      <c r="G297" t="inlineStr">
        <is>
          <t>criteria_provided|_single_submitter</t>
        </is>
      </c>
      <c r="H297" t="inlineStr">
        <is>
          <t>Neurofibromatosis|_type_1</t>
        </is>
      </c>
      <c r="I297" t="inlineStr">
        <is>
          <t>Pathogenic</t>
        </is>
      </c>
      <c r="J297" t="inlineStr">
        <is>
          <t>NF1</t>
        </is>
      </c>
      <c r="K297" t="inlineStr">
        <is>
          <t>intron_variant|intron_variant&amp;NMD_transcript_variant</t>
        </is>
      </c>
      <c r="L297" t="inlineStr"/>
      <c r="M297" t="inlineStr">
        <is>
          <t>ENST00000495910.2:c.*1123-11T&gt;G|ENST00000579081.1:c.1824-11T&gt;G|ENST00000456735.2:c.720-11T&gt;G|NM_001042492.3:c.1722-11T&gt;G|ENST00000358273.4:c.1722-11T&gt;G|ENST00000356175.3:c.1722-11T&gt;G|NM_000267.3:c.1722-11T&gt;G</t>
        </is>
      </c>
      <c r="N297" t="inlineStr"/>
      <c r="O297" t="inlineStr"/>
      <c r="P297" t="inlineStr"/>
      <c r="Q297" t="inlineStr"/>
      <c r="R297" t="inlineStr"/>
      <c r="S297" t="inlineStr"/>
    </row>
    <row r="298">
      <c r="A298" t="inlineStr">
        <is>
          <t>17</t>
        </is>
      </c>
      <c r="B298" t="n">
        <v>29663637</v>
      </c>
      <c r="C298" t="inlineStr">
        <is>
          <t>T</t>
        </is>
      </c>
      <c r="D298" t="inlineStr">
        <is>
          <t>G</t>
        </is>
      </c>
      <c r="E298" t="inlineStr">
        <is>
          <t>816733</t>
        </is>
      </c>
      <c r="F298">
        <f>HYPERLINK("https://www.ncbi.nlm.nih.gov/clinvar/variation/816733/","ClinVarDB")</f>
        <v/>
      </c>
      <c r="G298" t="inlineStr">
        <is>
          <t>criteria_provided|_single_submitter</t>
        </is>
      </c>
      <c r="H298" t="inlineStr">
        <is>
          <t>Neurofibromatosis|_type_1</t>
        </is>
      </c>
      <c r="I298" t="inlineStr">
        <is>
          <t>Pathogenic</t>
        </is>
      </c>
      <c r="J298" t="inlineStr">
        <is>
          <t>NF1</t>
        </is>
      </c>
      <c r="K298" t="inlineStr">
        <is>
          <t>intron_variant|intron_variant&amp;NMD_transcript_variant</t>
        </is>
      </c>
      <c r="L298" t="inlineStr"/>
      <c r="M298" t="inlineStr">
        <is>
          <t>ENST00000456735.2:c.5083-16T&gt;G|NM_001042492.3:c.6148-16T&gt;G|ENST00000358273.4:c.6148-16T&gt;G|NM_000267.3:c.6085-16T&gt;G|ENST00000479536.2:c.*329-16T&gt;G|ENST00000356175.3:c.6085-16T&gt;G|ENST00000579081.1:c.*1313-16T&gt;G</t>
        </is>
      </c>
      <c r="N298" t="inlineStr">
        <is>
          <t>5.196910024096724e-06</t>
        </is>
      </c>
      <c r="O298" t="n">
        <v>1</v>
      </c>
      <c r="P298" t="inlineStr">
        <is>
          <t>0</t>
        </is>
      </c>
      <c r="Q298" t="inlineStr"/>
      <c r="R298" t="inlineStr"/>
      <c r="S298" t="inlineStr"/>
    </row>
    <row r="299">
      <c r="A299" t="inlineStr">
        <is>
          <t>17</t>
        </is>
      </c>
      <c r="B299" t="n">
        <v>29663640</v>
      </c>
      <c r="C299" t="inlineStr">
        <is>
          <t>T</t>
        </is>
      </c>
      <c r="D299" t="inlineStr">
        <is>
          <t>A</t>
        </is>
      </c>
      <c r="E299" t="inlineStr">
        <is>
          <t>816734</t>
        </is>
      </c>
      <c r="F299">
        <f>HYPERLINK("https://www.ncbi.nlm.nih.gov/clinvar/variation/816734/","ClinVarDB")</f>
        <v/>
      </c>
      <c r="G299" t="inlineStr">
        <is>
          <t>criteria_provided|_single_submitter</t>
        </is>
      </c>
      <c r="H299" t="inlineStr">
        <is>
          <t>Neurofibromatosis|_type_1</t>
        </is>
      </c>
      <c r="I299" t="inlineStr">
        <is>
          <t>Pathogenic</t>
        </is>
      </c>
      <c r="J299" t="inlineStr">
        <is>
          <t>NF1</t>
        </is>
      </c>
      <c r="K299" t="inlineStr">
        <is>
          <t>intron_variant|intron_variant&amp;NMD_transcript_variant</t>
        </is>
      </c>
      <c r="L299" t="inlineStr"/>
      <c r="M299" t="inlineStr">
        <is>
          <t>ENST00000456735.2:c.5083-13T&gt;A|ENST00000358273.4:c.6148-13T&gt;A|ENST00000356175.3:c.6085-13T&gt;A|NM_000267.3:c.6085-13T&gt;A|NM_001042492.3:c.6148-13T&gt;A|ENST00000579081.1:c.*1313-13T&gt;A|ENST00000479536.2:c.*329-13T&gt;A</t>
        </is>
      </c>
      <c r="N299" t="inlineStr">
        <is>
          <t>2.8043699785484932e-05</t>
        </is>
      </c>
      <c r="O299" t="n">
        <v>0</v>
      </c>
      <c r="P299" t="inlineStr">
        <is>
          <t>3</t>
        </is>
      </c>
      <c r="Q299" t="inlineStr">
        <is>
          <t>0.00012954999692738056</t>
        </is>
      </c>
      <c r="R299" t="n">
        <v>0</v>
      </c>
      <c r="S299" t="inlineStr">
        <is>
          <t>2</t>
        </is>
      </c>
    </row>
    <row r="300">
      <c r="A300" t="inlineStr">
        <is>
          <t>17</t>
        </is>
      </c>
      <c r="B300" t="n">
        <v>29664375</v>
      </c>
      <c r="C300" t="inlineStr">
        <is>
          <t>T</t>
        </is>
      </c>
      <c r="D300" t="inlineStr">
        <is>
          <t>G</t>
        </is>
      </c>
      <c r="E300" t="inlineStr">
        <is>
          <t>1176684</t>
        </is>
      </c>
      <c r="F300">
        <f>HYPERLINK("https://www.ncbi.nlm.nih.gov/clinvar/variation/1176684/","ClinVarDB")</f>
        <v/>
      </c>
      <c r="G300" t="inlineStr">
        <is>
          <t>criteria_provided|_single_submitter</t>
        </is>
      </c>
      <c r="H300" t="inlineStr">
        <is>
          <t>not_provided</t>
        </is>
      </c>
      <c r="I300" t="inlineStr">
        <is>
          <t>Likely_pathogenic</t>
        </is>
      </c>
      <c r="J300" t="inlineStr">
        <is>
          <t>NF1</t>
        </is>
      </c>
      <c r="K300" t="inlineStr">
        <is>
          <t>intron_variant|intron_variant&amp;NMD_transcript_variant</t>
        </is>
      </c>
      <c r="L300" t="inlineStr"/>
      <c r="M300" t="inlineStr">
        <is>
          <t>NM_001042492.3:c.6428-11T&gt;G|NM_000267.3:c.6365-11T&gt;G|ENST00000456735.2:c.5363-11T&gt;G|ENST00000358273.4:c.6428-11T&gt;G|ENST00000356175.3:c.6365-11T&gt;G|ENST00000579081.1:c.*1593-11T&gt;G</t>
        </is>
      </c>
      <c r="N300" t="inlineStr"/>
      <c r="O300" t="inlineStr"/>
      <c r="P300" t="inlineStr"/>
      <c r="Q300" t="inlineStr"/>
      <c r="R300" t="inlineStr"/>
      <c r="S300" t="inlineStr"/>
    </row>
    <row r="301">
      <c r="A301" t="inlineStr">
        <is>
          <t>17</t>
        </is>
      </c>
      <c r="B301" t="n">
        <v>29679258</v>
      </c>
      <c r="C301" t="inlineStr">
        <is>
          <t>T</t>
        </is>
      </c>
      <c r="D301" t="inlineStr">
        <is>
          <t>G</t>
        </is>
      </c>
      <c r="E301" t="inlineStr">
        <is>
          <t>586981</t>
        </is>
      </c>
      <c r="F301">
        <f>HYPERLINK("https://www.ncbi.nlm.nih.gov/clinvar/variation/586981/","ClinVarDB")</f>
        <v/>
      </c>
      <c r="G301" t="inlineStr">
        <is>
          <t>criteria_provided|_single_submitter</t>
        </is>
      </c>
      <c r="H301" t="inlineStr">
        <is>
          <t>Neurofibromatosis|_type_1</t>
        </is>
      </c>
      <c r="I301" t="inlineStr">
        <is>
          <t>Likely_pathogenic</t>
        </is>
      </c>
      <c r="J301" t="inlineStr">
        <is>
          <t>NF1</t>
        </is>
      </c>
      <c r="K301" t="inlineStr">
        <is>
          <t>intron_variant|intron_variant&amp;NMD_transcript_variant</t>
        </is>
      </c>
      <c r="L301" t="inlineStr"/>
      <c r="M301" t="inlineStr">
        <is>
          <t>ENST00000579081.1:c.*2623-17T&gt;G|ENST00000358273.4:c.7458-17T&gt;G|ENST00000581790.1:c.600+1922T&gt;G|NM_000267.3:c.7395-17T&gt;G|ENST00000417592.2:c.596+1922T&gt;G|ENST00000456735.2:c.6393-17T&gt;G|ENST00000444181.2:c.837-17T&gt;G|NM_001042492.3:c.7458-17T&gt;G|ENST00000471572.2:c.841-17T&gt;G|ENST00000356175.3:c.7395-17T&gt;G</t>
        </is>
      </c>
      <c r="N301" t="inlineStr"/>
      <c r="O301" t="inlineStr"/>
      <c r="P301" t="inlineStr"/>
      <c r="Q301" t="inlineStr"/>
      <c r="R301" t="inlineStr"/>
      <c r="S301" t="inlineStr"/>
    </row>
    <row r="302">
      <c r="A302" t="inlineStr">
        <is>
          <t>17</t>
        </is>
      </c>
      <c r="B302" t="n">
        <v>29496901</v>
      </c>
      <c r="C302" t="inlineStr">
        <is>
          <t>C</t>
        </is>
      </c>
      <c r="D302" t="inlineStr">
        <is>
          <t>G</t>
        </is>
      </c>
      <c r="E302" t="inlineStr">
        <is>
          <t>816722</t>
        </is>
      </c>
      <c r="F302">
        <f>HYPERLINK("https://www.ncbi.nlm.nih.gov/clinvar/variation/816722/","ClinVarDB")</f>
        <v/>
      </c>
      <c r="G302" t="inlineStr">
        <is>
          <t>criteria_provided|_single_submitter</t>
        </is>
      </c>
      <c r="H302" t="inlineStr">
        <is>
          <t>Neurofibromatosis|_type_1</t>
        </is>
      </c>
      <c r="I302" t="inlineStr">
        <is>
          <t>Pathogenic</t>
        </is>
      </c>
      <c r="J302" t="inlineStr">
        <is>
          <t>NF1</t>
        </is>
      </c>
      <c r="K302" t="inlineStr">
        <is>
          <t>intron_variant&amp;non_coding_transcript_variant|splice_region_variant&amp;intron_variant|splice_region_variant&amp;intron_variant&amp;non_coding_transcript_variant|splice_region_variant&amp;intron_variant&amp;NMD_transcript_variant|intron_variant&amp;NMD_transcript_variant</t>
        </is>
      </c>
      <c r="L302" t="inlineStr"/>
      <c r="M302" t="inlineStr">
        <is>
          <t>ENST00000579081.1:c.582-8C&gt;G|NM_001128147.3:c.480-8C&gt;G|ENST00000495910.2:c.361+6507C&gt;G|ENST00000489712.2:c.279-8C&gt;G|ENST00000487476.1:n.863-8C&gt;G|ENST00000490416.1:n.220+6507C&gt;G|ENST00000431387.4:c.480-8C&gt;G|ENST00000356175.3:c.480-8C&gt;G|NM_001042492.3:c.480-8C&gt;G|ENST00000358273.4:c.480-8C&gt;G|NM_000267.3:c.480-8C&gt;G</t>
        </is>
      </c>
      <c r="N302" t="inlineStr"/>
      <c r="O302" t="inlineStr"/>
      <c r="P302" t="inlineStr"/>
      <c r="Q302" t="inlineStr"/>
      <c r="R302" t="inlineStr"/>
      <c r="S302" t="inlineStr"/>
    </row>
    <row r="303">
      <c r="A303" t="inlineStr">
        <is>
          <t>17</t>
        </is>
      </c>
      <c r="B303" t="n">
        <v>29497020</v>
      </c>
      <c r="C303" t="inlineStr">
        <is>
          <t>G</t>
        </is>
      </c>
      <c r="D303" t="inlineStr">
        <is>
          <t>A</t>
        </is>
      </c>
      <c r="E303" t="inlineStr">
        <is>
          <t>404473</t>
        </is>
      </c>
      <c r="F303">
        <f>HYPERLINK("https://www.ncbi.nlm.nih.gov/clinvar/variation/404473/","ClinVarDB")</f>
        <v/>
      </c>
      <c r="G303" t="inlineStr">
        <is>
          <t>criteria_provided|_single_submitter</t>
        </is>
      </c>
      <c r="H303" t="inlineStr">
        <is>
          <t>Neurofibromatosis|_type_1</t>
        </is>
      </c>
      <c r="I303" t="inlineStr">
        <is>
          <t>Likely_pathogenic</t>
        </is>
      </c>
      <c r="J303" t="inlineStr">
        <is>
          <t>NF1</t>
        </is>
      </c>
      <c r="K303" t="inlineStr">
        <is>
          <t>intron_variant&amp;non_coding_transcript_variant|splice_region_variant&amp;intron_variant|splice_region_variant&amp;intron_variant&amp;non_coding_transcript_variant|splice_region_variant&amp;intron_variant&amp;NMD_transcript_variant|intron_variant&amp;NMD_transcript_variant</t>
        </is>
      </c>
      <c r="L303" t="inlineStr"/>
      <c r="M303" t="inlineStr">
        <is>
          <t>ENST00000431387.4:c.586+5G&gt;A|NM_001128147.3:c.586+5G&gt;A|NM_000267.3:c.586+5G&gt;A|ENST00000356175.3:c.586+5G&gt;A|ENST00000490416.1:n.220+6626G&gt;A|ENST00000579081.1:c.688+5G&gt;A|NM_001042492.3:c.586+5G&gt;A|ENST00000495910.2:c.361+6626G&gt;A|ENST00000487476.1:n.969+5G&gt;A|ENST00000358273.4:c.586+5G&gt;A</t>
        </is>
      </c>
      <c r="N303" t="inlineStr"/>
      <c r="O303" t="inlineStr"/>
      <c r="P303" t="inlineStr"/>
      <c r="Q303" t="inlineStr"/>
      <c r="R303" t="inlineStr"/>
      <c r="S303" t="inlineStr"/>
    </row>
    <row r="304">
      <c r="A304" t="inlineStr">
        <is>
          <t>17</t>
        </is>
      </c>
      <c r="B304" t="n">
        <v>29486009</v>
      </c>
      <c r="C304" t="inlineStr">
        <is>
          <t>T</t>
        </is>
      </c>
      <c r="D304" t="inlineStr">
        <is>
          <t>A</t>
        </is>
      </c>
      <c r="E304" t="inlineStr">
        <is>
          <t>816721</t>
        </is>
      </c>
      <c r="F304">
        <f>HYPERLINK("https://www.ncbi.nlm.nih.gov/clinvar/variation/816721/","ClinVarDB")</f>
        <v/>
      </c>
      <c r="G304" t="inlineStr">
        <is>
          <t>criteria_provided|_single_submitter</t>
        </is>
      </c>
      <c r="H304" t="inlineStr">
        <is>
          <t>Neurofibromatosis|_type_1</t>
        </is>
      </c>
      <c r="I304" t="inlineStr">
        <is>
          <t>Pathogenic</t>
        </is>
      </c>
      <c r="J304" t="inlineStr">
        <is>
          <t>NF1</t>
        </is>
      </c>
      <c r="K304" t="inlineStr">
        <is>
          <t>intron_variant&amp;non_coding_transcript_variant|regulatory_region_variant|intron_variant|intron_variant&amp;NMD_transcript_variant</t>
        </is>
      </c>
      <c r="L304" t="inlineStr"/>
      <c r="M304" t="inlineStr">
        <is>
          <t>|ENST00000431387.4:c.205-19T&gt;A|ENST00000489712.2:c.4-19T&gt;A|ENST00000358273.4:c.205-19T&gt;A|NM_000267.3:c.205-19T&gt;A|NM_001042492.3:c.205-19T&gt;A|NM_001128147.3:c.205-19T&gt;A|ENST00000487476.1:n.588-19T&gt;A|ENST00000579081.1:c.307-19T&gt;A|ENST00000495910.2:c.87-19T&gt;A|ENST00000356175.3:c.205-19T&gt;A</t>
        </is>
      </c>
      <c r="N304" t="inlineStr"/>
      <c r="O304" t="inlineStr"/>
      <c r="P304" t="inlineStr"/>
      <c r="Q304" t="inlineStr"/>
      <c r="R304" t="inlineStr"/>
      <c r="S304" t="inlineStr"/>
    </row>
    <row r="305">
      <c r="A305" t="inlineStr">
        <is>
          <t>17</t>
        </is>
      </c>
      <c r="B305" t="n">
        <v>29554201</v>
      </c>
      <c r="C305" t="inlineStr">
        <is>
          <t>GTGCAGTAACTTGATTTGCTGTTGTAT</t>
        </is>
      </c>
      <c r="D305" t="inlineStr">
        <is>
          <t>G</t>
        </is>
      </c>
      <c r="E305" t="inlineStr">
        <is>
          <t>816746</t>
        </is>
      </c>
      <c r="F305">
        <f>HYPERLINK("https://www.ncbi.nlm.nih.gov/clinvar/variation/816746/","ClinVarDB")</f>
        <v/>
      </c>
      <c r="G305" t="inlineStr">
        <is>
          <t>criteria_provided|_single_submitter</t>
        </is>
      </c>
      <c r="H305" t="inlineStr">
        <is>
          <t>Neurofibromatosis|_type_1</t>
        </is>
      </c>
      <c r="I305" t="inlineStr">
        <is>
          <t>Pathogenic</t>
        </is>
      </c>
      <c r="J305" t="inlineStr">
        <is>
          <t>NF1</t>
        </is>
      </c>
      <c r="K305" t="inlineStr">
        <is>
          <t>intron_variant&amp;non_coding_transcript_variant|regulatory_region_variant|intron_variant|intron_variant&amp;NMD_transcript_variant</t>
        </is>
      </c>
      <c r="L305" t="inlineStr"/>
      <c r="M305" t="inlineStr">
        <is>
          <t>|ENST00000456735.2:c.1250-33_1250-8del|ENST00000579081.1:c.2354-33_2354-8del|ENST00000358273.4:c.2252-33_2252-8del|ENST00000495910.2:c.*1653-33_*1653-8del|ENST00000356175.3:c.2252-33_2252-8del|NM_001042492.3:c.2252-33_2252-8del|ENST00000493220.1:n.419-33_419-8del|NM_000267.3:c.2252-33_2252-8del</t>
        </is>
      </c>
      <c r="N305" t="inlineStr"/>
      <c r="O305" t="inlineStr"/>
      <c r="P305" t="inlineStr"/>
      <c r="Q305" t="inlineStr"/>
      <c r="R305" t="inlineStr"/>
      <c r="S305" t="inlineStr"/>
    </row>
    <row r="306">
      <c r="A306" t="inlineStr">
        <is>
          <t>17</t>
        </is>
      </c>
      <c r="B306" t="n">
        <v>29554223</v>
      </c>
      <c r="C306" t="inlineStr">
        <is>
          <t>T</t>
        </is>
      </c>
      <c r="D306" t="inlineStr">
        <is>
          <t>A</t>
        </is>
      </c>
      <c r="E306" t="inlineStr">
        <is>
          <t>816727</t>
        </is>
      </c>
      <c r="F306">
        <f>HYPERLINK("https://www.ncbi.nlm.nih.gov/clinvar/variation/816727/","ClinVarDB")</f>
        <v/>
      </c>
      <c r="G306" t="inlineStr">
        <is>
          <t>criteria_provided|_single_submitter</t>
        </is>
      </c>
      <c r="H306" t="inlineStr">
        <is>
          <t>Neurofibromatosis|_type_1</t>
        </is>
      </c>
      <c r="I306" t="inlineStr">
        <is>
          <t>Pathogenic</t>
        </is>
      </c>
      <c r="J306" t="inlineStr">
        <is>
          <t>NF1</t>
        </is>
      </c>
      <c r="K306" t="inlineStr">
        <is>
          <t>intron_variant&amp;non_coding_transcript_variant|regulatory_region_variant|intron_variant|intron_variant&amp;NMD_transcript_variant</t>
        </is>
      </c>
      <c r="L306" t="inlineStr"/>
      <c r="M306" t="inlineStr">
        <is>
          <t>|NM_000267.3:c.2252-13T&gt;A|ENST00000358273.4:c.2252-13T&gt;A|ENST00000495910.2:c.*1653-13T&gt;A|ENST00000493220.1:n.419-13T&gt;A|NM_001042492.3:c.2252-13T&gt;A|ENST00000579081.1:c.2354-13T&gt;A|ENST00000456735.2:c.1250-13T&gt;A|ENST00000356175.3:c.2252-13T&gt;A</t>
        </is>
      </c>
      <c r="N306" t="inlineStr"/>
      <c r="O306" t="inlineStr"/>
      <c r="P306" t="inlineStr"/>
      <c r="Q306" t="inlineStr"/>
      <c r="R306" t="inlineStr"/>
      <c r="S306" t="inlineStr"/>
    </row>
    <row r="307">
      <c r="A307" t="inlineStr">
        <is>
          <t>17</t>
        </is>
      </c>
      <c r="B307" t="n">
        <v>29575991</v>
      </c>
      <c r="C307" t="inlineStr">
        <is>
          <t>T</t>
        </is>
      </c>
      <c r="D307" t="inlineStr">
        <is>
          <t>G</t>
        </is>
      </c>
      <c r="E307" t="inlineStr">
        <is>
          <t>816762</t>
        </is>
      </c>
      <c r="F307">
        <f>HYPERLINK("https://www.ncbi.nlm.nih.gov/clinvar/variation/816762/","ClinVarDB")</f>
        <v/>
      </c>
      <c r="G307" t="inlineStr">
        <is>
          <t>criteria_provided|_single_submitter</t>
        </is>
      </c>
      <c r="H307" t="inlineStr">
        <is>
          <t>Neurofibromatosis|_type_1</t>
        </is>
      </c>
      <c r="I307" t="inlineStr">
        <is>
          <t>Pathogenic</t>
        </is>
      </c>
      <c r="J307" t="inlineStr">
        <is>
          <t>NF1</t>
        </is>
      </c>
      <c r="K307" t="inlineStr">
        <is>
          <t>intron_variant&amp;non_coding_transcript_variant|regulatory_region_variant|intron_variant|intron_variant&amp;NMD_transcript_variant</t>
        </is>
      </c>
      <c r="L307" t="inlineStr"/>
      <c r="M307" t="inlineStr">
        <is>
          <t>ENST00000479614.1:c.451-11T&gt;G|ENST00000495910.2:c.*3376-11T&gt;G||NM_000267.3:c.3975-11T&gt;G|ENST00000358273.4:c.3975-11T&gt;G|ENST00000466819.1:c.451-11T&gt;G|NM_001042492.3:c.3975-11T&gt;G|ENST00000493220.1:n.2511-11T&gt;G|ENST00000579081.1:c.4077-11T&gt;G|ENST00000356175.3:c.3975-11T&gt;G|ENST00000456735.2:c.2973-11T&gt;G</t>
        </is>
      </c>
      <c r="N307" t="inlineStr"/>
      <c r="O307" t="inlineStr"/>
      <c r="P307" t="inlineStr"/>
      <c r="Q307" t="inlineStr"/>
      <c r="R307" t="inlineStr"/>
      <c r="S307" t="inlineStr"/>
    </row>
    <row r="308">
      <c r="A308" t="inlineStr">
        <is>
          <t>17</t>
        </is>
      </c>
      <c r="B308" t="n">
        <v>29497015</v>
      </c>
      <c r="C308" t="inlineStr">
        <is>
          <t>G</t>
        </is>
      </c>
      <c r="D308" t="inlineStr">
        <is>
          <t>TTAA</t>
        </is>
      </c>
      <c r="E308" t="inlineStr">
        <is>
          <t>449981</t>
        </is>
      </c>
      <c r="F308">
        <f>HYPERLINK("https://www.ncbi.nlm.nih.gov/clinvar/variation/449981/","ClinVarDB")</f>
        <v/>
      </c>
      <c r="G308" t="inlineStr">
        <is>
          <t>criteria_provided|_single_submitter</t>
        </is>
      </c>
      <c r="H308" t="inlineStr">
        <is>
          <t>not_provided</t>
        </is>
      </c>
      <c r="I308" t="inlineStr">
        <is>
          <t>Likely_pathogenic</t>
        </is>
      </c>
      <c r="J308" t="inlineStr">
        <is>
          <t>NF1</t>
        </is>
      </c>
      <c r="K308" t="inlineStr">
        <is>
          <t>intron_variant&amp;non_coding_transcript_variant|protein_altering_variant&amp;splice_region_variant|protein_altering_variant&amp;splice_region_variant&amp;NMD_transcript_variant|splice_region_variant&amp;non_coding_transcript_exon_variant|intron_variant&amp;NMD_transcript_variant</t>
        </is>
      </c>
      <c r="L308" t="inlineStr">
        <is>
          <t>|NP_000258.1:p.Glu196delinsLeuLys|NP_001121619.1:p.Glu196delinsLeuLys|ENSP00000351015.4:p.Glu196delinsLeuLys|ENSP00000348498.3:p.Glu196delinsLeuLys|ENSP00000462408.1:p.Glu230delinsLeuLys|NP_001035957.1:p.Glu196delinsLeuLys|ENSP00000412921.4:p.Glu196delinsLeuLys</t>
        </is>
      </c>
      <c r="M308" t="inlineStr">
        <is>
          <t>NM_000267.3:c.586delinsTTAA|ENST00000495910.2:c.361+6621delinsTTAA|NM_001128147.3:c.586delinsTTAA|ENST00000358273.4:c.586delinsTTAA|NM_001042492.3:c.586delinsTTAA|ENST00000490416.1:n.220+6621delinsTTAA|ENST00000487476.1:n.969delinsTTAA|ENST00000356175.3:c.586delinsTTAA|ENST00000579081.1:c.688delinsTTAA|ENST00000431387.4:c.586delinsTTAA</t>
        </is>
      </c>
      <c r="N308" t="inlineStr"/>
      <c r="O308" t="inlineStr"/>
      <c r="P308" t="inlineStr"/>
      <c r="Q308" t="inlineStr"/>
      <c r="R308" t="inlineStr"/>
      <c r="S308" t="inlineStr"/>
    </row>
    <row r="309">
      <c r="A309" t="inlineStr">
        <is>
          <t>17</t>
        </is>
      </c>
      <c r="B309" t="n">
        <v>29508424</v>
      </c>
      <c r="C309" t="inlineStr">
        <is>
          <t>ATT</t>
        </is>
      </c>
      <c r="D309" t="inlineStr">
        <is>
          <t>A</t>
        </is>
      </c>
      <c r="E309" t="inlineStr">
        <is>
          <t>816742</t>
        </is>
      </c>
      <c r="F309">
        <f>HYPERLINK("https://www.ncbi.nlm.nih.gov/clinvar/variation/816742/","ClinVarDB")</f>
        <v/>
      </c>
      <c r="G309" t="inlineStr">
        <is>
          <t>criteria_provided|_single_submitter</t>
        </is>
      </c>
      <c r="H309" t="inlineStr">
        <is>
          <t>Neurofibromatosis|_type_1</t>
        </is>
      </c>
      <c r="I309" t="inlineStr">
        <is>
          <t>Pathogenic</t>
        </is>
      </c>
      <c r="J309" t="inlineStr">
        <is>
          <t>NF1</t>
        </is>
      </c>
      <c r="K309" t="inlineStr">
        <is>
          <t>intron_variant&amp;non_coding_transcript_variant|intron_variant|intron_variant&amp;NMD_transcript_variant</t>
        </is>
      </c>
      <c r="L309" t="inlineStr"/>
      <c r="M309" t="inlineStr">
        <is>
          <t>ENST00000579081.1:c.689-15_689-14del|NM_001042492.3:c.587-15_587-14del|ENST00000490416.1:n.221-15_221-14del|NM_000267.3:c.587-15_587-14del|ENST00000487476.1:n.970-15_970-14del|NM_001128147.3:c.587-15_587-14del|ENST00000358273.4:c.587-15_587-14del|ENST00000495910.2:c.362-15_362-14del|ENST00000356175.3:c.587-15_587-14del|ENST00000431387.4:c.587-15_587-14del</t>
        </is>
      </c>
      <c r="N309" t="inlineStr"/>
      <c r="O309" t="inlineStr"/>
      <c r="P309" t="inlineStr"/>
      <c r="Q309" t="inlineStr"/>
      <c r="R309" t="inlineStr"/>
      <c r="S309" t="inlineStr"/>
    </row>
    <row r="310">
      <c r="A310" t="inlineStr">
        <is>
          <t>17</t>
        </is>
      </c>
      <c r="B310" t="n">
        <v>29508426</v>
      </c>
      <c r="C310" t="inlineStr">
        <is>
          <t>T</t>
        </is>
      </c>
      <c r="D310" t="inlineStr">
        <is>
          <t>A</t>
        </is>
      </c>
      <c r="E310" t="inlineStr">
        <is>
          <t>816723</t>
        </is>
      </c>
      <c r="F310">
        <f>HYPERLINK("https://www.ncbi.nlm.nih.gov/clinvar/variation/816723/","ClinVarDB")</f>
        <v/>
      </c>
      <c r="G310" t="inlineStr">
        <is>
          <t>criteria_provided|_single_submitter</t>
        </is>
      </c>
      <c r="H310" t="inlineStr">
        <is>
          <t>Neurofibromatosis|_type_1</t>
        </is>
      </c>
      <c r="I310" t="inlineStr">
        <is>
          <t>Pathogenic</t>
        </is>
      </c>
      <c r="J310" t="inlineStr">
        <is>
          <t>NF1</t>
        </is>
      </c>
      <c r="K310" t="inlineStr">
        <is>
          <t>intron_variant&amp;non_coding_transcript_variant|intron_variant|intron_variant&amp;NMD_transcript_variant</t>
        </is>
      </c>
      <c r="L310" t="inlineStr"/>
      <c r="M310" t="inlineStr">
        <is>
          <t>ENST00000358273.4:c.587-14T&gt;A|NM_001042492.3:c.587-14T&gt;A|NM_001128147.3:c.587-14T&gt;A|ENST00000356175.3:c.587-14T&gt;A|ENST00000495910.2:c.362-14T&gt;A|NM_000267.3:c.587-14T&gt;A|ENST00000490416.1:n.221-14T&gt;A|ENST00000487476.1:n.970-14T&gt;A|ENST00000431387.4:c.587-14T&gt;A|ENST00000579081.1:c.689-14T&gt;A</t>
        </is>
      </c>
      <c r="N310" t="inlineStr"/>
      <c r="O310" t="inlineStr"/>
      <c r="P310" t="inlineStr"/>
      <c r="Q310" t="inlineStr"/>
      <c r="R310" t="inlineStr"/>
      <c r="S310" t="inlineStr"/>
    </row>
    <row r="311">
      <c r="A311" t="inlineStr">
        <is>
          <t>17</t>
        </is>
      </c>
      <c r="B311" t="n">
        <v>29508713</v>
      </c>
      <c r="C311" t="inlineStr">
        <is>
          <t>GTTCT</t>
        </is>
      </c>
      <c r="D311" t="inlineStr">
        <is>
          <t>G</t>
        </is>
      </c>
      <c r="E311" t="inlineStr">
        <is>
          <t>816743</t>
        </is>
      </c>
      <c r="F311">
        <f>HYPERLINK("https://www.ncbi.nlm.nih.gov/clinvar/variation/816743/","ClinVarDB")</f>
        <v/>
      </c>
      <c r="G311" t="inlineStr">
        <is>
          <t>criteria_provided|_single_submitter</t>
        </is>
      </c>
      <c r="H311" t="inlineStr">
        <is>
          <t>Neurofibromatosis|_type_1</t>
        </is>
      </c>
      <c r="I311" t="inlineStr">
        <is>
          <t>Pathogenic</t>
        </is>
      </c>
      <c r="J311" t="inlineStr">
        <is>
          <t>NF1</t>
        </is>
      </c>
      <c r="K311" t="inlineStr">
        <is>
          <t>intron_variant&amp;non_coding_transcript_variant|intron_variant|intron_variant&amp;NMD_transcript_variant</t>
        </is>
      </c>
      <c r="L311" t="inlineStr"/>
      <c r="M311" t="inlineStr">
        <is>
          <t>ENST00000495910.2:c.*56-12_*56-9del|ENST00000490416.1:n.289-12_289-9del|ENST00000487476.1:n.1038-12_1038-9del|ENST00000356175.3:c.655-12_655-9del|ENST00000431387.4:c.655-12_655-9del|ENST00000358273.4:c.655-12_655-9del|NM_001042492.3:c.655-12_655-9del|ENST00000579081.1:c.757-12_757-9del|NM_001128147.3:c.655-12_655-9del|NM_000267.3:c.655-12_655-9del</t>
        </is>
      </c>
      <c r="N311" t="inlineStr"/>
      <c r="O311" t="inlineStr"/>
      <c r="P311" t="inlineStr"/>
      <c r="Q311" t="inlineStr"/>
      <c r="R311" t="inlineStr"/>
      <c r="S311" t="inlineStr"/>
    </row>
    <row r="312">
      <c r="A312" t="inlineStr">
        <is>
          <t>17</t>
        </is>
      </c>
      <c r="B312" t="n">
        <v>29509512</v>
      </c>
      <c r="C312" t="inlineStr">
        <is>
          <t>T</t>
        </is>
      </c>
      <c r="D312" t="inlineStr">
        <is>
          <t>G</t>
        </is>
      </c>
      <c r="E312" t="inlineStr">
        <is>
          <t>816724</t>
        </is>
      </c>
      <c r="F312">
        <f>HYPERLINK("https://www.ncbi.nlm.nih.gov/clinvar/variation/816724/","ClinVarDB")</f>
        <v/>
      </c>
      <c r="G312" t="inlineStr">
        <is>
          <t>criteria_provided|_single_submitter</t>
        </is>
      </c>
      <c r="H312" t="inlineStr">
        <is>
          <t>Neurofibromatosis|_type_1</t>
        </is>
      </c>
      <c r="I312" t="inlineStr">
        <is>
          <t>Pathogenic</t>
        </is>
      </c>
      <c r="J312" t="inlineStr">
        <is>
          <t>NF1</t>
        </is>
      </c>
      <c r="K312" t="inlineStr">
        <is>
          <t>intron_variant&amp;non_coding_transcript_variant|intron_variant|intron_variant&amp;NMD_transcript_variant</t>
        </is>
      </c>
      <c r="L312" t="inlineStr"/>
      <c r="M312" t="inlineStr">
        <is>
          <t>ENST00000356175.3:c.731-14T&gt;G|ENST00000579081.1:c.833-14T&gt;G|NM_000267.3:c.731-14T&gt;G|NM_001042492.3:c.731-14T&gt;G|ENST00000487476.1:n.1114-14T&gt;G|NM_001128147.3:c.731-14T&gt;G|ENST00000490416.1:n.365-14T&gt;G|ENST00000495910.2:c.*132-14T&gt;G|ENST00000358273.4:c.731-14T&gt;G|ENST00000431387.4:c.731-14T&gt;G</t>
        </is>
      </c>
      <c r="N312" t="inlineStr"/>
      <c r="O312" t="inlineStr"/>
      <c r="P312" t="inlineStr"/>
      <c r="Q312" t="inlineStr"/>
      <c r="R312" t="inlineStr"/>
      <c r="S312" t="inlineStr"/>
    </row>
    <row r="313">
      <c r="A313" t="inlineStr">
        <is>
          <t>17</t>
        </is>
      </c>
      <c r="B313" t="n">
        <v>29527419</v>
      </c>
      <c r="C313" t="inlineStr">
        <is>
          <t>C</t>
        </is>
      </c>
      <c r="D313" t="inlineStr">
        <is>
          <t>A</t>
        </is>
      </c>
      <c r="E313" t="inlineStr">
        <is>
          <t>816725</t>
        </is>
      </c>
      <c r="F313">
        <f>HYPERLINK("https://www.ncbi.nlm.nih.gov/clinvar/variation/816725/","ClinVarDB")</f>
        <v/>
      </c>
      <c r="G313" t="inlineStr">
        <is>
          <t>criteria_provided|_single_submitter</t>
        </is>
      </c>
      <c r="H313" t="inlineStr">
        <is>
          <t>Neurofibromatosis|_type_1</t>
        </is>
      </c>
      <c r="I313" t="inlineStr">
        <is>
          <t>Pathogenic</t>
        </is>
      </c>
      <c r="J313" t="inlineStr">
        <is>
          <t>NF1</t>
        </is>
      </c>
      <c r="K313" t="inlineStr">
        <is>
          <t>intron_variant&amp;non_coding_transcript_variant|intron_variant|intron_variant&amp;NMD_transcript_variant</t>
        </is>
      </c>
      <c r="L313" t="inlineStr"/>
      <c r="M313" t="inlineStr">
        <is>
          <t>ENST00000358273.4:c.889-21C&gt;A|ENST00000487476.1:n.1272-21C&gt;A|NM_000267.3:c.889-21C&gt;A|ENST00000356175.3:c.889-21C&gt;A|NM_001128147.3:c.889-21C&gt;A|NM_001042492.3:c.889-21C&gt;A|ENST00000495910.2:c.*290-21C&gt;A|ENST00000431387.4:c.889-21C&gt;A|ENST00000579081.1:c.991-21C&gt;A</t>
        </is>
      </c>
      <c r="N313" t="inlineStr">
        <is>
          <t>3.9901001400721725e-06</t>
        </is>
      </c>
      <c r="O313" t="n">
        <v>0</v>
      </c>
      <c r="P313" t="inlineStr">
        <is>
          <t>0</t>
        </is>
      </c>
      <c r="Q313" t="inlineStr"/>
      <c r="R313" t="inlineStr"/>
      <c r="S313" t="inlineStr"/>
    </row>
    <row r="314">
      <c r="A314" t="inlineStr">
        <is>
          <t>17</t>
        </is>
      </c>
      <c r="B314" t="n">
        <v>29528041</v>
      </c>
      <c r="C314" t="inlineStr">
        <is>
          <t>T</t>
        </is>
      </c>
      <c r="D314" t="inlineStr">
        <is>
          <t>A</t>
        </is>
      </c>
      <c r="E314" t="inlineStr">
        <is>
          <t>816751</t>
        </is>
      </c>
      <c r="F314">
        <f>HYPERLINK("https://www.ncbi.nlm.nih.gov/clinvar/variation/816751/","ClinVarDB")</f>
        <v/>
      </c>
      <c r="G314" t="inlineStr">
        <is>
          <t>criteria_provided|_single_submitter</t>
        </is>
      </c>
      <c r="H314" t="inlineStr">
        <is>
          <t>Neurofibromatosis|_type_1</t>
        </is>
      </c>
      <c r="I314" t="inlineStr">
        <is>
          <t>Pathogenic</t>
        </is>
      </c>
      <c r="J314" t="inlineStr">
        <is>
          <t>NF1</t>
        </is>
      </c>
      <c r="K314" t="inlineStr">
        <is>
          <t>intron_variant&amp;non_coding_transcript_variant|intron_variant|intron_variant&amp;NMD_transcript_variant</t>
        </is>
      </c>
      <c r="L314" t="inlineStr"/>
      <c r="M314" t="inlineStr">
        <is>
          <t>NM_000267.3:c.1063-14T&gt;A|ENST00000356175.3:c.1063-14T&gt;A|ENST00000487476.1:n.1446-14T&gt;A|ENST00000358273.4:c.1063-14T&gt;A|ENST00000495910.2:c.*464-14T&gt;A|NM_001042492.3:c.1063-14T&gt;A|ENST00000579081.1:c.1165-14T&gt;A|ENST00000431387.4:c.1063-14T&gt;A|ENST00000456735.2:c.61-14T&gt;A|NM_001128147.3:c.1063-14T&gt;A</t>
        </is>
      </c>
      <c r="N314" t="inlineStr"/>
      <c r="O314" t="inlineStr"/>
      <c r="P314" t="inlineStr"/>
      <c r="Q314" t="inlineStr"/>
      <c r="R314" t="inlineStr"/>
      <c r="S314" t="inlineStr"/>
    </row>
    <row r="315">
      <c r="A315" t="inlineStr">
        <is>
          <t>17</t>
        </is>
      </c>
      <c r="B315" t="n">
        <v>29533237</v>
      </c>
      <c r="C315" t="inlineStr">
        <is>
          <t>T</t>
        </is>
      </c>
      <c r="D315" t="inlineStr">
        <is>
          <t>G</t>
        </is>
      </c>
      <c r="E315" t="inlineStr">
        <is>
          <t>816752</t>
        </is>
      </c>
      <c r="F315">
        <f>HYPERLINK("https://www.ncbi.nlm.nih.gov/clinvar/variation/816752/","ClinVarDB")</f>
        <v/>
      </c>
      <c r="G315" t="inlineStr">
        <is>
          <t>criteria_provided|_single_submitter</t>
        </is>
      </c>
      <c r="H315" t="inlineStr">
        <is>
          <t>Neurofibromatosis|_type_1</t>
        </is>
      </c>
      <c r="I315" t="inlineStr">
        <is>
          <t>Pathogenic</t>
        </is>
      </c>
      <c r="J315" t="inlineStr">
        <is>
          <t>NF1</t>
        </is>
      </c>
      <c r="K315" t="inlineStr">
        <is>
          <t>intron_variant&amp;non_coding_transcript_variant|intron_variant|intron_variant&amp;NMD_transcript_variant</t>
        </is>
      </c>
      <c r="L315" t="inlineStr"/>
      <c r="M315" t="inlineStr">
        <is>
          <t>NM_001128147.3:c.1261-21T&gt;G|ENST00000487476.1:n.1644-21T&gt;G|ENST00000579081.1:c.1363-21T&gt;G|ENST00000356175.3:c.1261-21T&gt;G|ENST00000431387.4:c.1261-21T&gt;G|ENST00000358273.4:c.1261-21T&gt;G|ENST00000495910.2:c.*662-21T&gt;G|NM_001042492.3:c.1261-21T&gt;G|NM_000267.3:c.1261-21T&gt;G|ENST00000456735.2:c.259-21T&gt;G</t>
        </is>
      </c>
      <c r="N315" t="inlineStr"/>
      <c r="O315" t="inlineStr"/>
      <c r="P315" t="inlineStr"/>
      <c r="Q315" t="inlineStr"/>
      <c r="R315" t="inlineStr"/>
      <c r="S315" t="inlineStr"/>
    </row>
    <row r="316">
      <c r="A316" t="inlineStr">
        <is>
          <t>17</t>
        </is>
      </c>
      <c r="B316" t="n">
        <v>29533245</v>
      </c>
      <c r="C316" t="inlineStr">
        <is>
          <t>T</t>
        </is>
      </c>
      <c r="D316" t="inlineStr">
        <is>
          <t>A</t>
        </is>
      </c>
      <c r="E316" t="inlineStr">
        <is>
          <t>816754</t>
        </is>
      </c>
      <c r="F316">
        <f>HYPERLINK("https://www.ncbi.nlm.nih.gov/clinvar/variation/816754/","ClinVarDB")</f>
        <v/>
      </c>
      <c r="G316" t="inlineStr">
        <is>
          <t>criteria_provided|_single_submitter</t>
        </is>
      </c>
      <c r="H316" t="inlineStr">
        <is>
          <t>Neurofibromatosis|_type_1</t>
        </is>
      </c>
      <c r="I316" t="inlineStr">
        <is>
          <t>Pathogenic</t>
        </is>
      </c>
      <c r="J316" t="inlineStr">
        <is>
          <t>NF1</t>
        </is>
      </c>
      <c r="K316" t="inlineStr">
        <is>
          <t>intron_variant&amp;non_coding_transcript_variant|intron_variant|intron_variant&amp;NMD_transcript_variant</t>
        </is>
      </c>
      <c r="L316" t="inlineStr"/>
      <c r="M316" t="inlineStr">
        <is>
          <t>ENST00000487476.1:n.1644-13T&gt;A|ENST00000579081.1:c.1363-13T&gt;A|ENST00000431387.4:c.1261-13T&gt;A|ENST00000495910.2:c.*662-13T&gt;A|NM_001042492.3:c.1261-13T&gt;A|ENST00000356175.3:c.1261-13T&gt;A|NM_000267.3:c.1261-13T&gt;A|ENST00000456735.2:c.259-13T&gt;A|NM_001128147.3:c.1261-13T&gt;A|ENST00000358273.4:c.1261-13T&gt;A</t>
        </is>
      </c>
      <c r="N316" t="inlineStr"/>
      <c r="O316" t="inlineStr"/>
      <c r="P316" t="inlineStr"/>
      <c r="Q316" t="inlineStr"/>
      <c r="R316" t="inlineStr"/>
      <c r="S316" t="inlineStr"/>
    </row>
    <row r="317">
      <c r="A317" t="inlineStr">
        <is>
          <t>17</t>
        </is>
      </c>
      <c r="B317" t="n">
        <v>29542762</v>
      </c>
      <c r="C317" t="inlineStr">
        <is>
          <t>C</t>
        </is>
      </c>
      <c r="D317" t="inlineStr">
        <is>
          <t>T</t>
        </is>
      </c>
      <c r="E317" t="inlineStr">
        <is>
          <t>237518</t>
        </is>
      </c>
      <c r="F317">
        <f>HYPERLINK("https://www.ncbi.nlm.nih.gov/clinvar/variation/237518/","ClinVarDB")</f>
        <v/>
      </c>
      <c r="G317" t="inlineStr">
        <is>
          <t>criteria_provided|_single_submitter</t>
        </is>
      </c>
      <c r="H317" t="inlineStr">
        <is>
          <t>Neurofibromatosis|_type_1</t>
        </is>
      </c>
      <c r="I317" t="inlineStr">
        <is>
          <t>Likely_pathogenic</t>
        </is>
      </c>
      <c r="J317" t="inlineStr">
        <is>
          <t>NF1</t>
        </is>
      </c>
      <c r="K317" t="inlineStr">
        <is>
          <t>intron_variant&amp;non_coding_transcript_variant|intron_variant|intron_variant&amp;NMD_transcript_variant</t>
        </is>
      </c>
      <c r="L317" t="inlineStr"/>
      <c r="M317" t="inlineStr">
        <is>
          <t>ENST00000356175.3:c.1527+1159C&gt;T|NM_001128147.3:c.1527+1159C&gt;T|ENST00000358273.4:c.1527+1159C&gt;T|ENST00000487476.1:n.1910+1159C&gt;T|ENST00000495910.2:c.*928+1159C&gt;T|ENST00000579081.1:c.1629+1159C&gt;T|NM_000267.3:c.1527+1159C&gt;T|ENST00000431387.4:c.1527+1159C&gt;T|ENST00000456735.2:c.525+1159C&gt;T|NM_001042492.3:c.1527+1159C&gt;T</t>
        </is>
      </c>
      <c r="N317" t="inlineStr"/>
      <c r="O317" t="inlineStr"/>
      <c r="P317" t="inlineStr"/>
      <c r="Q317" t="inlineStr"/>
      <c r="R317" t="inlineStr"/>
      <c r="S317" t="inlineStr"/>
    </row>
    <row r="318">
      <c r="A318" t="inlineStr">
        <is>
          <t>17</t>
        </is>
      </c>
      <c r="B318" t="n">
        <v>29556028</v>
      </c>
      <c r="C318" t="inlineStr">
        <is>
          <t>A</t>
        </is>
      </c>
      <c r="D318" t="inlineStr">
        <is>
          <t>G</t>
        </is>
      </c>
      <c r="E318" t="inlineStr">
        <is>
          <t>816757</t>
        </is>
      </c>
      <c r="F318">
        <f>HYPERLINK("https://www.ncbi.nlm.nih.gov/clinvar/variation/816757/","ClinVarDB")</f>
        <v/>
      </c>
      <c r="G318" t="inlineStr">
        <is>
          <t>criteria_provided|_single_submitter</t>
        </is>
      </c>
      <c r="H318" t="inlineStr">
        <is>
          <t>Neurofibromatosis|_type_1</t>
        </is>
      </c>
      <c r="I318" t="inlineStr">
        <is>
          <t>Pathogenic</t>
        </is>
      </c>
      <c r="J318" t="inlineStr">
        <is>
          <t>NF1</t>
        </is>
      </c>
      <c r="K318" t="inlineStr">
        <is>
          <t>intron_variant&amp;non_coding_transcript_variant|intron_variant|intron_variant&amp;NMD_transcript_variant</t>
        </is>
      </c>
      <c r="L318" t="inlineStr"/>
      <c r="M318" t="inlineStr">
        <is>
          <t>NM_001042492.3:c.2410-15A&gt;G|NM_000267.3:c.2410-15A&gt;G|ENST00000493220.1:n.577-15A&gt;G|ENST00000358273.4:c.2410-15A&gt;G|ENST00000495910.2:c.*1811-15A&gt;G|ENST00000356175.3:c.2410-15A&gt;G|ENST00000456735.2:c.1408-15A&gt;G|ENST00000579081.1:c.2512-15A&gt;G</t>
        </is>
      </c>
      <c r="N318" t="inlineStr"/>
      <c r="O318" t="inlineStr"/>
      <c r="P318" t="inlineStr"/>
      <c r="Q318" t="inlineStr"/>
      <c r="R318" t="inlineStr"/>
      <c r="S318" t="inlineStr"/>
    </row>
    <row r="319">
      <c r="A319" t="inlineStr">
        <is>
          <t>17</t>
        </is>
      </c>
      <c r="B319" t="n">
        <v>29556029</v>
      </c>
      <c r="C319" t="inlineStr">
        <is>
          <t>A</t>
        </is>
      </c>
      <c r="D319" t="inlineStr">
        <is>
          <t>G</t>
        </is>
      </c>
      <c r="E319" t="inlineStr">
        <is>
          <t>816758</t>
        </is>
      </c>
      <c r="F319">
        <f>HYPERLINK("https://www.ncbi.nlm.nih.gov/clinvar/variation/816758/","ClinVarDB")</f>
        <v/>
      </c>
      <c r="G319" t="inlineStr">
        <is>
          <t>criteria_provided|_single_submitter</t>
        </is>
      </c>
      <c r="H319" t="inlineStr">
        <is>
          <t>Neurofibromatosis|_type_1</t>
        </is>
      </c>
      <c r="I319" t="inlineStr">
        <is>
          <t>Pathogenic</t>
        </is>
      </c>
      <c r="J319" t="inlineStr">
        <is>
          <t>NF1</t>
        </is>
      </c>
      <c r="K319" t="inlineStr">
        <is>
          <t>intron_variant&amp;non_coding_transcript_variant|intron_variant|intron_variant&amp;NMD_transcript_variant</t>
        </is>
      </c>
      <c r="L319" t="inlineStr"/>
      <c r="M319" t="inlineStr">
        <is>
          <t>NM_000267.3:c.2410-14A&gt;G|NM_001042492.3:c.2410-14A&gt;G|ENST00000356175.3:c.2410-14A&gt;G|ENST00000579081.1:c.2512-14A&gt;G|ENST00000358273.4:c.2410-14A&gt;G|ENST00000495910.2:c.*1811-14A&gt;G|ENST00000456735.2:c.1408-14A&gt;G|ENST00000493220.1:n.577-14A&gt;G</t>
        </is>
      </c>
      <c r="N319" t="inlineStr">
        <is>
          <t>4.146139872318599e-06</t>
        </is>
      </c>
      <c r="O319" t="n">
        <v>1</v>
      </c>
      <c r="P319" t="inlineStr">
        <is>
          <t>0</t>
        </is>
      </c>
      <c r="Q319" t="inlineStr"/>
      <c r="R319" t="inlineStr"/>
      <c r="S319" t="inlineStr"/>
    </row>
    <row r="320">
      <c r="A320" t="inlineStr">
        <is>
          <t>17</t>
        </is>
      </c>
      <c r="B320" t="n">
        <v>29556030</v>
      </c>
      <c r="C320" t="inlineStr">
        <is>
          <t>A</t>
        </is>
      </c>
      <c r="D320" t="inlineStr">
        <is>
          <t>G</t>
        </is>
      </c>
      <c r="E320" t="inlineStr">
        <is>
          <t>804167</t>
        </is>
      </c>
      <c r="F320">
        <f>HYPERLINK("https://www.ncbi.nlm.nih.gov/clinvar/variation/804167/","ClinVarDB")</f>
        <v/>
      </c>
      <c r="G320" t="inlineStr">
        <is>
          <t>criteria_provided|_single_submitter</t>
        </is>
      </c>
      <c r="H320" t="inlineStr">
        <is>
          <t>Neurofibromatosis|_type_1</t>
        </is>
      </c>
      <c r="I320" t="inlineStr">
        <is>
          <t>Pathogenic</t>
        </is>
      </c>
      <c r="J320" t="inlineStr">
        <is>
          <t>NF1</t>
        </is>
      </c>
      <c r="K320" t="inlineStr">
        <is>
          <t>intron_variant&amp;non_coding_transcript_variant|intron_variant|intron_variant&amp;NMD_transcript_variant</t>
        </is>
      </c>
      <c r="L320" t="inlineStr"/>
      <c r="M320" t="inlineStr">
        <is>
          <t>ENST00000356175.3:c.2410-13A&gt;G|ENST00000495910.2:c.*1811-13A&gt;G|ENST00000456735.2:c.1408-13A&gt;G|NM_000267.3:c.2410-13A&gt;G|ENST00000493220.1:n.577-13A&gt;G|NM_001042492.3:c.2410-13A&gt;G|ENST00000579081.1:c.2512-13A&gt;G|ENST00000358273.4:c.2410-13A&gt;G</t>
        </is>
      </c>
      <c r="N320" t="inlineStr"/>
      <c r="O320" t="inlineStr"/>
      <c r="P320" t="inlineStr"/>
      <c r="Q320" t="inlineStr"/>
      <c r="R320" t="inlineStr"/>
      <c r="S320" t="inlineStr"/>
    </row>
    <row r="321">
      <c r="A321" t="inlineStr">
        <is>
          <t>17</t>
        </is>
      </c>
      <c r="B321" t="n">
        <v>29556034</v>
      </c>
      <c r="C321" t="inlineStr">
        <is>
          <t>T</t>
        </is>
      </c>
      <c r="D321" t="inlineStr">
        <is>
          <t>A</t>
        </is>
      </c>
      <c r="E321" t="inlineStr">
        <is>
          <t>816759</t>
        </is>
      </c>
      <c r="F321">
        <f>HYPERLINK("https://www.ncbi.nlm.nih.gov/clinvar/variation/816759/","ClinVarDB")</f>
        <v/>
      </c>
      <c r="G321" t="inlineStr">
        <is>
          <t>criteria_provided|_single_submitter</t>
        </is>
      </c>
      <c r="H321" t="inlineStr">
        <is>
          <t>Neurofibromatosis|_type_1</t>
        </is>
      </c>
      <c r="I321" t="inlineStr">
        <is>
          <t>Pathogenic</t>
        </is>
      </c>
      <c r="J321" t="inlineStr">
        <is>
          <t>NF1</t>
        </is>
      </c>
      <c r="K321" t="inlineStr">
        <is>
          <t>intron_variant&amp;non_coding_transcript_variant|intron_variant|intron_variant&amp;NMD_transcript_variant</t>
        </is>
      </c>
      <c r="L321" t="inlineStr"/>
      <c r="M321" t="inlineStr">
        <is>
          <t>ENST00000456735.2:c.1408-9T&gt;A|ENST00000579081.1:c.2512-9T&gt;A|ENST00000495910.2:c.*1811-9T&gt;A|NM_001042492.3:c.2410-9T&gt;A|NM_000267.3:c.2410-9T&gt;A|ENST00000358273.4:c.2410-9T&gt;A|ENST00000493220.1:n.577-9T&gt;A|ENST00000356175.3:c.2410-9T&gt;A</t>
        </is>
      </c>
      <c r="N321" t="inlineStr"/>
      <c r="O321" t="inlineStr"/>
      <c r="P321" t="inlineStr"/>
      <c r="Q321" t="inlineStr"/>
      <c r="R321" t="inlineStr"/>
      <c r="S321" t="inlineStr"/>
    </row>
    <row r="322">
      <c r="A322" t="inlineStr">
        <is>
          <t>17</t>
        </is>
      </c>
      <c r="B322" t="n">
        <v>29557266</v>
      </c>
      <c r="C322" t="inlineStr">
        <is>
          <t>AT</t>
        </is>
      </c>
      <c r="D322" t="inlineStr">
        <is>
          <t>A</t>
        </is>
      </c>
      <c r="E322" t="inlineStr">
        <is>
          <t>816760</t>
        </is>
      </c>
      <c r="F322">
        <f>HYPERLINK("https://www.ncbi.nlm.nih.gov/clinvar/variation/816760/","ClinVarDB")</f>
        <v/>
      </c>
      <c r="G322" t="inlineStr">
        <is>
          <t>criteria_provided|_single_submitter</t>
        </is>
      </c>
      <c r="H322" t="inlineStr">
        <is>
          <t>Neurofibromatosis|_type_1</t>
        </is>
      </c>
      <c r="I322" t="inlineStr">
        <is>
          <t>Pathogenic</t>
        </is>
      </c>
      <c r="J322" t="inlineStr">
        <is>
          <t>NF1</t>
        </is>
      </c>
      <c r="K322" t="inlineStr">
        <is>
          <t>intron_variant&amp;non_coding_transcript_variant|intron_variant|intron_variant&amp;NMD_transcript_variant</t>
        </is>
      </c>
      <c r="L322" t="inlineStr"/>
      <c r="M322" t="inlineStr">
        <is>
          <t>ENST00000356175.3:c.2991-11del|NM_001042492.3:c.2991-11del|NM_000267.3:c.2991-11del|ENST00000493220.1:n.1527-11del|ENST00000495910.2:c.*2392-11del|ENST00000456735.2:c.1989-11del|ENST00000358273.4:c.2991-11del|ENST00000579081.1:c.3093-11del</t>
        </is>
      </c>
      <c r="N322" t="inlineStr"/>
      <c r="O322" t="inlineStr"/>
      <c r="P322" t="inlineStr"/>
      <c r="Q322" t="inlineStr"/>
      <c r="R322" t="inlineStr"/>
      <c r="S322" t="inlineStr"/>
    </row>
    <row r="323">
      <c r="A323" t="inlineStr">
        <is>
          <t>17</t>
        </is>
      </c>
      <c r="B323" t="n">
        <v>29558777</v>
      </c>
      <c r="C323" t="inlineStr">
        <is>
          <t>G</t>
        </is>
      </c>
      <c r="D323" t="inlineStr">
        <is>
          <t>A</t>
        </is>
      </c>
      <c r="E323" t="inlineStr">
        <is>
          <t>936187</t>
        </is>
      </c>
      <c r="F323">
        <f>HYPERLINK("https://www.ncbi.nlm.nih.gov/clinvar/variation/936187/","ClinVarDB")</f>
        <v/>
      </c>
      <c r="G323" t="inlineStr">
        <is>
          <t>criteria_provided|_single_submitter</t>
        </is>
      </c>
      <c r="H323" t="inlineStr">
        <is>
          <t>Neurofibromatosis|_type_1</t>
        </is>
      </c>
      <c r="I323" t="inlineStr">
        <is>
          <t>Pathogenic</t>
        </is>
      </c>
      <c r="J323" t="inlineStr">
        <is>
          <t>NF1</t>
        </is>
      </c>
      <c r="K323" t="inlineStr">
        <is>
          <t>intron_variant&amp;non_coding_transcript_variant|intron_variant|intron_variant&amp;NMD_transcript_variant</t>
        </is>
      </c>
      <c r="L323" t="inlineStr"/>
      <c r="M323" t="inlineStr">
        <is>
          <t>ENST00000579081.1:c.3300-314G&gt;A|ENST00000356175.3:c.3198-314G&gt;A|ENST00000493220.1:n.1734-314G&gt;A|NM_000267.3:c.3198-314G&gt;A|ENST00000358273.4:c.3198-314G&gt;A|ENST00000456735.2:c.2196-314G&gt;A|NM_001042492.3:c.3198-314G&gt;A|ENST00000495910.2:c.*2599-314G&gt;A</t>
        </is>
      </c>
      <c r="N323" t="inlineStr"/>
      <c r="O323" t="inlineStr"/>
      <c r="P323" t="inlineStr"/>
      <c r="Q323" t="inlineStr"/>
      <c r="R323" t="inlineStr"/>
      <c r="S323" t="inlineStr"/>
    </row>
    <row r="324">
      <c r="A324" t="inlineStr">
        <is>
          <t>17</t>
        </is>
      </c>
      <c r="B324" t="n">
        <v>29562923</v>
      </c>
      <c r="C324" t="inlineStr">
        <is>
          <t>T</t>
        </is>
      </c>
      <c r="D324" t="inlineStr">
        <is>
          <t>A</t>
        </is>
      </c>
      <c r="E324" t="inlineStr">
        <is>
          <t>816730</t>
        </is>
      </c>
      <c r="F324">
        <f>HYPERLINK("https://www.ncbi.nlm.nih.gov/clinvar/variation/816730/","ClinVarDB")</f>
        <v/>
      </c>
      <c r="G324" t="inlineStr">
        <is>
          <t>criteria_provided|_single_submitter</t>
        </is>
      </c>
      <c r="H324" t="inlineStr">
        <is>
          <t>Neurofibromatosis|_type_1</t>
        </is>
      </c>
      <c r="I324" t="inlineStr">
        <is>
          <t>Pathogenic</t>
        </is>
      </c>
      <c r="J324" t="inlineStr">
        <is>
          <t>NF1</t>
        </is>
      </c>
      <c r="K324" t="inlineStr">
        <is>
          <t>intron_variant&amp;non_coding_transcript_variant|intron_variant|intron_variant&amp;NMD_transcript_variant</t>
        </is>
      </c>
      <c r="L324" t="inlineStr"/>
      <c r="M324" t="inlineStr">
        <is>
          <t>NM_000267.3:c.3871-13T&gt;A|ENST00000466819.1:c.347-13T&gt;A|ENST00000358273.4:c.3871-13T&gt;A|ENST00000479614.1:c.347-13T&gt;A|ENST00000579081.1:c.3973-13T&gt;A|ENST00000495910.2:c.*3272-13T&gt;A|ENST00000456735.2:c.2869-13T&gt;A|ENST00000356175.3:c.3871-13T&gt;A|NM_001042492.3:c.3871-13T&gt;A|ENST00000493220.1:n.2407-13T&gt;A</t>
        </is>
      </c>
      <c r="N324" t="inlineStr"/>
      <c r="O324" t="inlineStr"/>
      <c r="P324" t="inlineStr"/>
      <c r="Q324" t="inlineStr"/>
      <c r="R324" t="inlineStr"/>
      <c r="S324" t="inlineStr"/>
    </row>
    <row r="325">
      <c r="A325" t="inlineStr">
        <is>
          <t>17</t>
        </is>
      </c>
      <c r="B325" t="n">
        <v>29587378</v>
      </c>
      <c r="C325" t="inlineStr">
        <is>
          <t>T</t>
        </is>
      </c>
      <c r="D325" t="inlineStr">
        <is>
          <t>G</t>
        </is>
      </c>
      <c r="E325" t="inlineStr">
        <is>
          <t>816763</t>
        </is>
      </c>
      <c r="F325">
        <f>HYPERLINK("https://www.ncbi.nlm.nih.gov/clinvar/variation/816763/","ClinVarDB")</f>
        <v/>
      </c>
      <c r="G325" t="inlineStr">
        <is>
          <t>criteria_provided|_single_submitter</t>
        </is>
      </c>
      <c r="H325" t="inlineStr">
        <is>
          <t>Neurofibromatosis|_type_1</t>
        </is>
      </c>
      <c r="I325" t="inlineStr">
        <is>
          <t>Pathogenic</t>
        </is>
      </c>
      <c r="J325" t="inlineStr">
        <is>
          <t>NF1</t>
        </is>
      </c>
      <c r="K325" t="inlineStr">
        <is>
          <t>intron_variant&amp;non_coding_transcript_variant|intron_variant|intron_variant&amp;NMD_transcript_variant</t>
        </is>
      </c>
      <c r="L325" t="inlineStr"/>
      <c r="M325" t="inlineStr">
        <is>
          <t>ENST00000579081.1:c.4470-9T&gt;G|ENST00000456735.2:c.3366-9T&gt;G|ENST00000358273.4:c.4431-9T&gt;G|NM_000267.3:c.4368-9T&gt;G|ENST00000466819.1:c.*265-9T&gt;G|ENST00000479614.1:c.*265-9T&gt;G|ENST00000356175.3:c.4368-9T&gt;G|NM_001042492.3:c.4431-9T&gt;G|ENST00000493220.1:n.2904-9T&gt;G</t>
        </is>
      </c>
      <c r="N325" t="inlineStr"/>
      <c r="O325" t="inlineStr"/>
      <c r="P325" t="inlineStr"/>
      <c r="Q325" t="inlineStr"/>
      <c r="R325" t="inlineStr"/>
      <c r="S325" t="inlineStr"/>
    </row>
    <row r="326">
      <c r="A326" t="inlineStr">
        <is>
          <t>17</t>
        </is>
      </c>
      <c r="B326" t="n">
        <v>29588708</v>
      </c>
      <c r="C326" t="inlineStr">
        <is>
          <t>T</t>
        </is>
      </c>
      <c r="D326" t="inlineStr">
        <is>
          <t>C</t>
        </is>
      </c>
      <c r="E326" t="inlineStr">
        <is>
          <t>816731</t>
        </is>
      </c>
      <c r="F326">
        <f>HYPERLINK("https://www.ncbi.nlm.nih.gov/clinvar/variation/816731/","ClinVarDB")</f>
        <v/>
      </c>
      <c r="G326" t="inlineStr">
        <is>
          <t>criteria_provided|_single_submitter</t>
        </is>
      </c>
      <c r="H326" t="inlineStr">
        <is>
          <t>Neurofibromatosis|_type_1</t>
        </is>
      </c>
      <c r="I326" t="inlineStr">
        <is>
          <t>Pathogenic</t>
        </is>
      </c>
      <c r="J326" t="inlineStr">
        <is>
          <t>NF1</t>
        </is>
      </c>
      <c r="K326" t="inlineStr">
        <is>
          <t>intron_variant&amp;non_coding_transcript_variant|intron_variant|intron_variant&amp;NMD_transcript_variant</t>
        </is>
      </c>
      <c r="L326" t="inlineStr"/>
      <c r="M326" t="inlineStr">
        <is>
          <t>ENST00000479614.1:c.*412-21T&gt;C|NM_000267.3:c.4515-21T&gt;C|ENST00000466819.1:c.*412-21T&gt;C|ENST00000356175.3:c.4515-21T&gt;C|ENST00000456735.2:c.3513-21T&gt;C|ENST00000579081.1:c.4617-21T&gt;C|ENST00000358273.4:c.4578-21T&gt;C|ENST00000493220.1:n.3051-21T&gt;C|NM_001042492.3:c.4578-21T&gt;C</t>
        </is>
      </c>
      <c r="N326" t="inlineStr"/>
      <c r="O326" t="inlineStr"/>
      <c r="P326" t="inlineStr"/>
      <c r="Q326" t="inlineStr"/>
      <c r="R326" t="inlineStr"/>
      <c r="S326" t="inlineStr"/>
    </row>
    <row r="327">
      <c r="A327" t="inlineStr">
        <is>
          <t>17</t>
        </is>
      </c>
      <c r="B327" t="n">
        <v>29588708</v>
      </c>
      <c r="C327" t="inlineStr">
        <is>
          <t>TAAG</t>
        </is>
      </c>
      <c r="D327" t="inlineStr">
        <is>
          <t>T</t>
        </is>
      </c>
      <c r="E327" t="inlineStr">
        <is>
          <t>816747</t>
        </is>
      </c>
      <c r="F327">
        <f>HYPERLINK("https://www.ncbi.nlm.nih.gov/clinvar/variation/816747/","ClinVarDB")</f>
        <v/>
      </c>
      <c r="G327" t="inlineStr">
        <is>
          <t>criteria_provided|_single_submitter</t>
        </is>
      </c>
      <c r="H327" t="inlineStr">
        <is>
          <t>Neurofibromatosis|_type_1</t>
        </is>
      </c>
      <c r="I327" t="inlineStr">
        <is>
          <t>Pathogenic</t>
        </is>
      </c>
      <c r="J327" t="inlineStr">
        <is>
          <t>NF1</t>
        </is>
      </c>
      <c r="K327" t="inlineStr">
        <is>
          <t>intron_variant&amp;non_coding_transcript_variant|intron_variant|intron_variant&amp;NMD_transcript_variant</t>
        </is>
      </c>
      <c r="L327" t="inlineStr"/>
      <c r="M327" t="inlineStr">
        <is>
          <t>NM_001042492.3:c.4578-20_4578-18del|ENST00000358273.4:c.4578-20_4578-18del|ENST00000493220.1:n.3051-20_3051-18del|NM_000267.3:c.4515-20_4515-18del|ENST00000356175.3:c.4515-20_4515-18del|ENST00000479614.1:c.*412-20_*412-18del|ENST00000456735.2:c.3513-20_3513-18del|ENST00000579081.1:c.4617-20_4617-18del|ENST00000466819.1:c.*412-20_*412-18del</t>
        </is>
      </c>
      <c r="N327" t="inlineStr"/>
      <c r="O327" t="inlineStr"/>
      <c r="P327" t="inlineStr"/>
      <c r="Q327" t="inlineStr"/>
      <c r="R327" t="inlineStr"/>
      <c r="S327" t="inlineStr"/>
    </row>
    <row r="328">
      <c r="A328" t="inlineStr">
        <is>
          <t>17</t>
        </is>
      </c>
      <c r="B328" t="n">
        <v>29654498</v>
      </c>
      <c r="C328" t="inlineStr">
        <is>
          <t>C</t>
        </is>
      </c>
      <c r="D328" t="inlineStr">
        <is>
          <t>A</t>
        </is>
      </c>
      <c r="E328" t="inlineStr">
        <is>
          <t>816732</t>
        </is>
      </c>
      <c r="F328">
        <f>HYPERLINK("https://www.ncbi.nlm.nih.gov/clinvar/variation/816732/","ClinVarDB")</f>
        <v/>
      </c>
      <c r="G328" t="inlineStr">
        <is>
          <t>criteria_provided|_single_submitter</t>
        </is>
      </c>
      <c r="H328" t="inlineStr">
        <is>
          <t>Neurofibromatosis|_type_1</t>
        </is>
      </c>
      <c r="I328" t="inlineStr">
        <is>
          <t>Pathogenic</t>
        </is>
      </c>
      <c r="J328" t="inlineStr">
        <is>
          <t>NF1</t>
        </is>
      </c>
      <c r="K328" t="inlineStr">
        <is>
          <t>intron_variant&amp;non_coding_transcript_variant|intron_variant|intron_variant&amp;NMD_transcript_variant</t>
        </is>
      </c>
      <c r="L328" t="inlineStr"/>
      <c r="M328" t="inlineStr">
        <is>
          <t>NM_001042492.3:c.5269-19C&gt;A|ENST00000356175.3:c.5206-19C&gt;A|ENST00000581113.2:n.586-19C&gt;A|NM_000267.3:c.5206-19C&gt;A|ENST00000493220.1:n.3742-19C&gt;A|ENST00000358273.4:c.5269-19C&gt;A|ENST00000579081.1:c.*434-19C&gt;A|ENST00000456735.2:c.4204-19C&gt;A</t>
        </is>
      </c>
      <c r="N328" t="inlineStr"/>
      <c r="O328" t="inlineStr"/>
      <c r="P328" t="inlineStr"/>
      <c r="Q328" t="inlineStr"/>
      <c r="R328" t="inlineStr"/>
      <c r="S328" t="inlineStr"/>
    </row>
    <row r="329">
      <c r="A329" t="inlineStr">
        <is>
          <t>17</t>
        </is>
      </c>
      <c r="B329" t="n">
        <v>29661842</v>
      </c>
      <c r="C329" t="inlineStr">
        <is>
          <t>GTATT</t>
        </is>
      </c>
      <c r="D329" t="inlineStr">
        <is>
          <t>G</t>
        </is>
      </c>
      <c r="E329" t="inlineStr">
        <is>
          <t>816748</t>
        </is>
      </c>
      <c r="F329">
        <f>HYPERLINK("https://www.ncbi.nlm.nih.gov/clinvar/variation/816748/","ClinVarDB")</f>
        <v/>
      </c>
      <c r="G329" t="inlineStr">
        <is>
          <t>criteria_provided|_single_submitter</t>
        </is>
      </c>
      <c r="H329" t="inlineStr">
        <is>
          <t>Neurofibromatosis|_type_1</t>
        </is>
      </c>
      <c r="I329" t="inlineStr">
        <is>
          <t>Pathogenic</t>
        </is>
      </c>
      <c r="J329" t="inlineStr">
        <is>
          <t>NF1</t>
        </is>
      </c>
      <c r="K329" t="inlineStr">
        <is>
          <t>intron_variant&amp;non_coding_transcript_variant|intron_variant|intron_variant&amp;NMD_transcript_variant</t>
        </is>
      </c>
      <c r="L329" t="inlineStr"/>
      <c r="M329" t="inlineStr">
        <is>
          <t>ENST00000579081.1:c.*978-12_*978-9del|NM_000267.3:c.5750-12_5750-9del|ENST00000456735.2:c.4748-12_4748-9del|ENST00000358273.4:c.5813-12_5813-9del|ENST00000581113.2:n.1130-12_1130-9del|ENST00000356175.3:c.5750-12_5750-9del|NM_001042492.3:c.5813-12_5813-9del|ENST00000479536.2:c.238-12_238-9del</t>
        </is>
      </c>
      <c r="N329" t="inlineStr"/>
      <c r="O329" t="inlineStr"/>
      <c r="P329" t="inlineStr"/>
      <c r="Q329" t="inlineStr"/>
      <c r="R329" t="inlineStr"/>
      <c r="S329" t="inlineStr"/>
    </row>
    <row r="330">
      <c r="A330" t="inlineStr">
        <is>
          <t>17</t>
        </is>
      </c>
      <c r="B330" t="n">
        <v>29665712</v>
      </c>
      <c r="C330" t="inlineStr">
        <is>
          <t>T</t>
        </is>
      </c>
      <c r="D330" t="inlineStr">
        <is>
          <t>G</t>
        </is>
      </c>
      <c r="E330" t="inlineStr">
        <is>
          <t>816737</t>
        </is>
      </c>
      <c r="F330">
        <f>HYPERLINK("https://www.ncbi.nlm.nih.gov/clinvar/variation/816737/","ClinVarDB")</f>
        <v/>
      </c>
      <c r="G330" t="inlineStr">
        <is>
          <t>criteria_provided|_single_submitter</t>
        </is>
      </c>
      <c r="H330" t="inlineStr">
        <is>
          <t>Neurofibromatosis|_type_1</t>
        </is>
      </c>
      <c r="I330" t="inlineStr">
        <is>
          <t>Pathogenic</t>
        </is>
      </c>
      <c r="J330" t="inlineStr">
        <is>
          <t>NF1</t>
        </is>
      </c>
      <c r="K330" t="inlineStr">
        <is>
          <t>intron_variant&amp;non_coding_transcript_variant|intron_variant|intron_variant&amp;NMD_transcript_variant</t>
        </is>
      </c>
      <c r="L330" t="inlineStr"/>
      <c r="M330" t="inlineStr">
        <is>
          <t>ENST00000358273.4:c.6820-10T&gt;G|ENST00000444181.2:c.199-10T&gt;G|ENST00000456735.2:c.5755-10T&gt;G|ENST00000471572.2:c.203-10T&gt;G|NM_001042492.3:c.6820-10T&gt;G|ENST00000356175.3:c.6757-10T&gt;G|ENST00000584328.1:n.234-10T&gt;G|ENST00000581790.1:c.64+814T&gt;G|ENST00000417592.2:c.60+814T&gt;G|ENST00000579081.1:c.*1985-10T&gt;G|NM_000267.3:c.6757-10T&gt;G</t>
        </is>
      </c>
      <c r="N330" t="inlineStr"/>
      <c r="O330" t="inlineStr"/>
      <c r="P330" t="inlineStr"/>
      <c r="Q330" t="inlineStr"/>
      <c r="R330" t="inlineStr"/>
      <c r="S330" t="inlineStr"/>
    </row>
    <row r="331">
      <c r="A331" t="inlineStr">
        <is>
          <t>17</t>
        </is>
      </c>
      <c r="B331" t="n">
        <v>29665713</v>
      </c>
      <c r="C331" t="inlineStr">
        <is>
          <t>T</t>
        </is>
      </c>
      <c r="D331" t="inlineStr">
        <is>
          <t>G</t>
        </is>
      </c>
      <c r="E331" t="inlineStr">
        <is>
          <t>816738</t>
        </is>
      </c>
      <c r="F331">
        <f>HYPERLINK("https://www.ncbi.nlm.nih.gov/clinvar/variation/816738/","ClinVarDB")</f>
        <v/>
      </c>
      <c r="G331" t="inlineStr">
        <is>
          <t>criteria_provided|_single_submitter</t>
        </is>
      </c>
      <c r="H331" t="inlineStr">
        <is>
          <t>Neurofibromatosis|_type_1</t>
        </is>
      </c>
      <c r="I331" t="inlineStr">
        <is>
          <t>Pathogenic</t>
        </is>
      </c>
      <c r="J331" t="inlineStr">
        <is>
          <t>NF1</t>
        </is>
      </c>
      <c r="K331" t="inlineStr">
        <is>
          <t>intron_variant&amp;non_coding_transcript_variant|intron_variant|intron_variant&amp;NMD_transcript_variant</t>
        </is>
      </c>
      <c r="L331" t="inlineStr"/>
      <c r="M331" t="inlineStr">
        <is>
          <t>ENST00000417592.2:c.60+815T&gt;G|ENST00000581790.1:c.64+815T&gt;G|ENST00000584328.1:n.234-9T&gt;G|ENST00000471572.2:c.203-9T&gt;G|ENST00000579081.1:c.*1985-9T&gt;G|ENST00000358273.4:c.6820-9T&gt;G|NM_000267.3:c.6757-9T&gt;G|NM_001042492.3:c.6820-9T&gt;G|ENST00000356175.3:c.6757-9T&gt;G|ENST00000456735.2:c.5755-9T&gt;G|ENST00000444181.2:c.199-9T&gt;G</t>
        </is>
      </c>
      <c r="N331" t="inlineStr"/>
      <c r="O331" t="inlineStr"/>
      <c r="P331" t="inlineStr"/>
      <c r="Q331" t="inlineStr"/>
      <c r="R331" t="inlineStr"/>
      <c r="S331" t="inlineStr"/>
    </row>
    <row r="332">
      <c r="A332" t="inlineStr">
        <is>
          <t>17</t>
        </is>
      </c>
      <c r="B332" t="n">
        <v>29670017</v>
      </c>
      <c r="C332" t="inlineStr">
        <is>
          <t>T</t>
        </is>
      </c>
      <c r="D332" t="inlineStr">
        <is>
          <t>G</t>
        </is>
      </c>
      <c r="E332" t="inlineStr">
        <is>
          <t>816739</t>
        </is>
      </c>
      <c r="F332">
        <f>HYPERLINK("https://www.ncbi.nlm.nih.gov/clinvar/variation/816739/","ClinVarDB")</f>
        <v/>
      </c>
      <c r="G332" t="inlineStr">
        <is>
          <t>criteria_provided|_single_submitter</t>
        </is>
      </c>
      <c r="H332" t="inlineStr">
        <is>
          <t>Neurofibromatosis|_type_1</t>
        </is>
      </c>
      <c r="I332" t="inlineStr">
        <is>
          <t>Pathogenic</t>
        </is>
      </c>
      <c r="J332" t="inlineStr">
        <is>
          <t>NF1</t>
        </is>
      </c>
      <c r="K332" t="inlineStr">
        <is>
          <t>intron_variant&amp;non_coding_transcript_variant|intron_variant|intron_variant&amp;NMD_transcript_variant</t>
        </is>
      </c>
      <c r="L332" t="inlineStr"/>
      <c r="M332" t="inlineStr">
        <is>
          <t>ENST00000417592.2:c.202-10T&gt;G|ENST00000471572.2:c.446-10T&gt;G|ENST00000444181.2:c.442-10T&gt;G|ENST00000584328.1:n.477-10T&gt;G|ENST00000582892.1:n.305-10T&gt;G|ENST00000356175.3:c.7000-10T&gt;G|ENST00000358273.4:c.7063-10T&gt;G|ENST00000581790.1:c.206-10T&gt;G|ENST00000456735.2:c.5998-10T&gt;G|NM_001042492.3:c.7063-10T&gt;G|NM_000267.3:c.7000-10T&gt;G|ENST00000579081.1:c.*2228-10T&gt;G</t>
        </is>
      </c>
      <c r="N332" t="inlineStr"/>
      <c r="O332" t="inlineStr"/>
      <c r="P332" t="inlineStr"/>
      <c r="Q332" t="inlineStr"/>
      <c r="R332" t="inlineStr"/>
      <c r="S332" t="inlineStr"/>
    </row>
    <row r="333">
      <c r="A333" t="inlineStr">
        <is>
          <t>17</t>
        </is>
      </c>
      <c r="B333" t="n">
        <v>29676118</v>
      </c>
      <c r="C333" t="inlineStr">
        <is>
          <t>T</t>
        </is>
      </c>
      <c r="D333" t="inlineStr">
        <is>
          <t>A</t>
        </is>
      </c>
      <c r="E333" t="inlineStr">
        <is>
          <t>816740</t>
        </is>
      </c>
      <c r="F333">
        <f>HYPERLINK("https://www.ncbi.nlm.nih.gov/clinvar/variation/816740/","ClinVarDB")</f>
        <v/>
      </c>
      <c r="G333" t="inlineStr">
        <is>
          <t>criteria_provided|_single_submitter</t>
        </is>
      </c>
      <c r="H333" t="inlineStr">
        <is>
          <t>Neurofibromatosis|_type_1</t>
        </is>
      </c>
      <c r="I333" t="inlineStr">
        <is>
          <t>Pathogenic</t>
        </is>
      </c>
      <c r="J333" t="inlineStr">
        <is>
          <t>NF1</t>
        </is>
      </c>
      <c r="K333" t="inlineStr">
        <is>
          <t>intron_variant&amp;non_coding_transcript_variant|intron_variant|intron_variant&amp;NMD_transcript_variant</t>
        </is>
      </c>
      <c r="L333" t="inlineStr"/>
      <c r="M333" t="inlineStr">
        <is>
          <t>ENST00000444181.2:c.569-20T&gt;A|ENST00000456735.2:c.6125-20T&gt;A|ENST00000582892.1:n.432-20T&gt;A|NM_000267.3:c.7127-20T&gt;A|ENST00000579081.1:c.*2355-20T&gt;A|ENST00000471572.2:c.573-20T&gt;A|ENST00000417592.2:c.329-20T&gt;A|ENST00000358273.4:c.7190-20T&gt;A|ENST00000356175.3:c.7127-20T&gt;A|NM_001042492.3:c.7190-20T&gt;A|ENST00000581790.1:c.333-20T&gt;A</t>
        </is>
      </c>
      <c r="N333" t="inlineStr"/>
      <c r="O333" t="inlineStr"/>
      <c r="P333" t="inlineStr"/>
      <c r="Q333" t="inlineStr"/>
      <c r="R333" t="inlineStr"/>
      <c r="S333" t="inlineStr"/>
    </row>
    <row r="334">
      <c r="A334" t="inlineStr">
        <is>
          <t>17</t>
        </is>
      </c>
      <c r="B334" t="n">
        <v>29676126</v>
      </c>
      <c r="C334" t="inlineStr">
        <is>
          <t>T</t>
        </is>
      </c>
      <c r="D334" t="inlineStr">
        <is>
          <t>A</t>
        </is>
      </c>
      <c r="E334" t="inlineStr">
        <is>
          <t>816741</t>
        </is>
      </c>
      <c r="F334">
        <f>HYPERLINK("https://www.ncbi.nlm.nih.gov/clinvar/variation/816741/","ClinVarDB")</f>
        <v/>
      </c>
      <c r="G334" t="inlineStr">
        <is>
          <t>criteria_provided|_single_submitter</t>
        </is>
      </c>
      <c r="H334" t="inlineStr">
        <is>
          <t>Neurofibromatosis|_type_1</t>
        </is>
      </c>
      <c r="I334" t="inlineStr">
        <is>
          <t>Pathogenic</t>
        </is>
      </c>
      <c r="J334" t="inlineStr">
        <is>
          <t>NF1</t>
        </is>
      </c>
      <c r="K334" t="inlineStr">
        <is>
          <t>intron_variant&amp;non_coding_transcript_variant|intron_variant|intron_variant&amp;NMD_transcript_variant</t>
        </is>
      </c>
      <c r="L334" t="inlineStr"/>
      <c r="M334" t="inlineStr">
        <is>
          <t>ENST00000444181.2:c.569-12T&gt;A|ENST00000579081.1:c.*2355-12T&gt;A|ENST00000582892.1:n.432-12T&gt;A|NM_000267.3:c.7127-12T&gt;A|ENST00000471572.2:c.573-12T&gt;A|ENST00000417592.2:c.329-12T&gt;A|ENST00000581790.1:c.333-12T&gt;A|ENST00000456735.2:c.6125-12T&gt;A|ENST00000356175.3:c.7127-12T&gt;A|NM_001042492.3:c.7190-12T&gt;A|ENST00000358273.4:c.7190-12T&gt;A</t>
        </is>
      </c>
      <c r="N334" t="inlineStr"/>
      <c r="O334" t="inlineStr"/>
      <c r="P334" t="inlineStr"/>
      <c r="Q334" t="inlineStr"/>
      <c r="R334" t="inlineStr"/>
      <c r="S334" t="inlineStr"/>
    </row>
    <row r="335">
      <c r="A335" t="inlineStr">
        <is>
          <t>17</t>
        </is>
      </c>
      <c r="B335" t="n">
        <v>29667630</v>
      </c>
      <c r="C335" t="inlineStr">
        <is>
          <t>T</t>
        </is>
      </c>
      <c r="D335" t="inlineStr">
        <is>
          <t>TAAAAACCTGCATACTTTAGATAGTCTCCGTATATTCAATGACAAGGTAAGCAAACTTTGCCTTGAGGTTCCTAGATTACTCAAATTTAGTACNNNNNNNNNNNNNNNNNNAAAAAAAAAAAAAAAA</t>
        </is>
      </c>
      <c r="E335" t="inlineStr">
        <is>
          <t>1071411</t>
        </is>
      </c>
      <c r="F335">
        <f>HYPERLINK("https://www.ncbi.nlm.nih.gov/clinvar/variation/1071411/","ClinVarDB")</f>
        <v/>
      </c>
      <c r="G335" t="inlineStr">
        <is>
          <t>criteria_provided|_single_submitter</t>
        </is>
      </c>
      <c r="H335" t="inlineStr">
        <is>
          <t>Neurofibromatosis|_type_1</t>
        </is>
      </c>
      <c r="I335" t="inlineStr">
        <is>
          <t>Pathogenic</t>
        </is>
      </c>
      <c r="J335" t="inlineStr">
        <is>
          <t>NF1</t>
        </is>
      </c>
      <c r="K335" t="inlineStr">
        <is>
          <t>coding_sequence_variant|regulatory_region_variant|intron_variant&amp;non_coding_transcript_variant|3_prime_UTR_variant&amp;NMD_transcript_variant|coding_sequence_variant&amp;NMD_transcript_variant|non_coding_transcript_exon_variant</t>
        </is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/>
    </row>
    <row r="336">
      <c r="A336" t="inlineStr">
        <is>
          <t>17</t>
        </is>
      </c>
      <c r="B336" t="n">
        <v>29670098</v>
      </c>
      <c r="C336" t="inlineStr">
        <is>
          <t>T</t>
        </is>
      </c>
      <c r="D336" t="inlineStr">
        <is>
          <t>TGGACTCAATTTCTTTTTTTTTTNNNNNNNNNNGGGGTTACACCGAGGTCTCGATCTCCTGACCTCGAGATCCGCACGCCTCGGCCTCCCAAAGAGCTGTGATTAAAGGCGTGAGCCACAGCGACCGGCC</t>
        </is>
      </c>
      <c r="E336" t="inlineStr">
        <is>
          <t>1073014</t>
        </is>
      </c>
      <c r="F336">
        <f>HYPERLINK("https://www.ncbi.nlm.nih.gov/clinvar/variation/1073014/","ClinVarDB")</f>
        <v/>
      </c>
      <c r="G336" t="inlineStr">
        <is>
          <t>criteria_provided|_single_submitter</t>
        </is>
      </c>
      <c r="H336" t="inlineStr">
        <is>
          <t>Neurofibromatosis|_type_1</t>
        </is>
      </c>
      <c r="I336" t="inlineStr">
        <is>
          <t>Pathogenic</t>
        </is>
      </c>
      <c r="J336" t="inlineStr">
        <is>
          <t>NF1</t>
        </is>
      </c>
      <c r="K336" t="inlineStr">
        <is>
          <t>coding_sequence_variant|non_coding_transcript_exon_variant|coding_sequence_variant&amp;NMD_transcript_variant|3_prime_UTR_variant&amp;NMD_transcript_variant</t>
        </is>
      </c>
      <c r="L336" t="inlineStr"/>
      <c r="M336" t="inlineStr"/>
      <c r="N336" t="inlineStr"/>
      <c r="O336" t="inlineStr"/>
      <c r="P336" t="inlineStr"/>
      <c r="Q336" t="inlineStr"/>
      <c r="R336" t="inlineStr"/>
      <c r="S336" t="inlineStr"/>
    </row>
    <row r="337">
      <c r="A337" t="inlineStr">
        <is>
          <t>2</t>
        </is>
      </c>
      <c r="B337" t="n">
        <v>48032169</v>
      </c>
      <c r="C337" t="inlineStr">
        <is>
          <t>GAGTTT</t>
        </is>
      </c>
      <c r="D337" t="inlineStr">
        <is>
          <t>G</t>
        </is>
      </c>
      <c r="E337" t="inlineStr">
        <is>
          <t>823923</t>
        </is>
      </c>
      <c r="F337">
        <f>HYPERLINK("https://www.ncbi.nlm.nih.gov/clinvar/variation/823923/","ClinVarDB")</f>
        <v/>
      </c>
      <c r="G337" t="inlineStr">
        <is>
          <t>criteria_provided|_single_submitter</t>
        </is>
      </c>
      <c r="H337" t="inlineStr">
        <is>
          <t>Hereditary_cancer-predisposing_syndrome</t>
        </is>
      </c>
      <c r="I337" t="inlineStr">
        <is>
          <t>Likely_pathogenic</t>
        </is>
      </c>
      <c r="J337" t="inlineStr">
        <is>
          <t>MSH6</t>
        </is>
      </c>
      <c r="K337" t="inlineStr">
        <is>
          <t>splice_region_variant&amp;intron_variant|intron_variant|splice_region_variant&amp;intron_variant&amp;NMD_transcript_variant|intron_variant&amp;NMD_transcript_variant</t>
        </is>
      </c>
      <c r="L337" t="inlineStr"/>
      <c r="M337" t="inlineStr">
        <is>
          <t>NM_000179.2:c.3556+4_3556+8del|NM_001281492.1:c.3166+4_3166+8del|ENST00000405808.1:c.169+3160_169+3164del|NM_001281493.1:c.2650+4_2650+8del|ENST00000445503.1:c.*2903+4_*2903+8del|ENST00000540021.1:c.3166+4_3166+8del|NM_001281494.1:c.2650+4_2650+8del|ENST00000434234.1:c.*124+2959_*124+2963del|ENST00000538136.1:c.2650+4_2650+8del|ENST00000234420.5:c.3556+4_3556+8del</t>
        </is>
      </c>
      <c r="N337" t="inlineStr"/>
      <c r="O337" t="inlineStr"/>
      <c r="P337" t="inlineStr"/>
      <c r="Q337" t="inlineStr"/>
      <c r="R337" t="inlineStr"/>
      <c r="S337" t="inlineStr"/>
    </row>
    <row r="338">
      <c r="A338" t="inlineStr">
        <is>
          <t>2</t>
        </is>
      </c>
      <c r="B338" t="n">
        <v>48033395</v>
      </c>
      <c r="C338" t="inlineStr">
        <is>
          <t>A</t>
        </is>
      </c>
      <c r="D338" t="inlineStr">
        <is>
          <t>AGAACTT</t>
        </is>
      </c>
      <c r="E338" t="inlineStr">
        <is>
          <t>428304</t>
        </is>
      </c>
      <c r="F338">
        <f>HYPERLINK("https://www.ncbi.nlm.nih.gov/clinvar/variation/428304/","ClinVarDB")</f>
        <v/>
      </c>
      <c r="G338" t="inlineStr">
        <is>
          <t>criteria_provided|_single_submitter</t>
        </is>
      </c>
      <c r="H338" t="inlineStr">
        <is>
          <t>Carcinoma_of_colon|Hereditary_cancer-predisposing_syndrome</t>
        </is>
      </c>
      <c r="I338" t="inlineStr">
        <is>
          <t>Likely_pathogenic</t>
        </is>
      </c>
      <c r="J338" t="inlineStr">
        <is>
          <t>MSH6</t>
        </is>
      </c>
      <c r="K338" t="inlineStr">
        <is>
          <t>intron_variant&amp;NMD_transcript_variant|intron_variant|3_prime_UTR_variant&amp;NMD_transcript_variant|inframe_insertion</t>
        </is>
      </c>
      <c r="L338" t="inlineStr">
        <is>
          <t>|ENSP00000446475.1:p.Glu1104_Leu1105dup|NP_001268423.1:p.Glu932_Leu933dup|ENSP00000234420.4:p.Glu1234_Leu1235dup|NP_001268421.1:p.Glu1104_Leu1105dup|NP_000170.1:p.Glu1234_Leu1235dup|NP_001268422.1:p.Glu932_Leu933dup|ENSP00000438580.1:p.Glu932_Leu933dup</t>
        </is>
      </c>
      <c r="M338" t="inlineStr">
        <is>
          <t>ENST00000540021.1:c.3311_3316dup|ENST00000234420.5:c.3701_3706dup|NM_001281494.1:c.2795_2800dup|NM_001281493.1:c.2795_2800dup|NM_001281492.1:c.3311_3316dup|ENST00000445503.1:c.*3048_*3053dup|ENST00000405808.1:c.169+1933_169+1938dup|ENST00000538136.1:c.2795_2800dup|ENST00000434234.1:c.*124+1732_*124+1737dup|NM_000179.2:c.3701_3706dup</t>
        </is>
      </c>
      <c r="N338" t="inlineStr"/>
      <c r="O338" t="inlineStr"/>
      <c r="P338" t="inlineStr"/>
      <c r="Q338" t="inlineStr"/>
      <c r="R338" t="inlineStr"/>
      <c r="S338" t="inlineStr"/>
    </row>
    <row r="339">
      <c r="A339" t="inlineStr">
        <is>
          <t>2</t>
        </is>
      </c>
      <c r="B339" t="n">
        <v>47708015</v>
      </c>
      <c r="C339" t="inlineStr">
        <is>
          <t>G</t>
        </is>
      </c>
      <c r="D339" t="inlineStr">
        <is>
          <t>A</t>
        </is>
      </c>
      <c r="E339" t="inlineStr">
        <is>
          <t>1172006</t>
        </is>
      </c>
      <c r="F339">
        <f>HYPERLINK("https://www.ncbi.nlm.nih.gov/clinvar/variation/1172006/","ClinVarDB")</f>
        <v/>
      </c>
      <c r="G339" t="inlineStr">
        <is>
          <t>criteria_provided|_single_submitter</t>
        </is>
      </c>
      <c r="H339" t="inlineStr">
        <is>
          <t>Hereditary_cancer-predisposing_syndrome</t>
        </is>
      </c>
      <c r="I339" t="inlineStr">
        <is>
          <t>Likely_pathogenic</t>
        </is>
      </c>
      <c r="J339" t="inlineStr">
        <is>
          <t>MSH2</t>
        </is>
      </c>
      <c r="K339" t="inlineStr">
        <is>
          <t>splice_region_variant&amp;intron_variant|splice_region_variant&amp;intron_variant&amp;non_coding_transcript_variant</t>
        </is>
      </c>
      <c r="L339" t="inlineStr"/>
      <c r="M339" t="inlineStr">
        <is>
          <t>ENST00000461394.1:n.75+5G&gt;A|NM_001258281.1:c.2436+5G&gt;A|ENST00000406134.1:c.2634+5G&gt;A|ENST00000543555.1:c.2436+5G&gt;A|ENST00000233146.2:c.2634+5G&gt;A|NM_000251.3:c.2634+5G&gt;A</t>
        </is>
      </c>
      <c r="N339" t="inlineStr"/>
      <c r="O339" t="inlineStr"/>
      <c r="P339" t="inlineStr"/>
      <c r="Q339" t="inlineStr"/>
      <c r="R339" t="inlineStr"/>
      <c r="S339" t="inlineStr"/>
    </row>
    <row r="340">
      <c r="A340" t="inlineStr">
        <is>
          <t>2</t>
        </is>
      </c>
      <c r="B340" t="n">
        <v>47708015</v>
      </c>
      <c r="C340" t="inlineStr">
        <is>
          <t>G</t>
        </is>
      </c>
      <c r="D340" t="inlineStr">
        <is>
          <t>T</t>
        </is>
      </c>
      <c r="E340" t="inlineStr">
        <is>
          <t>91020</t>
        </is>
      </c>
      <c r="F340">
        <f>HYPERLINK("https://www.ncbi.nlm.nih.gov/clinvar/variation/91020/","ClinVarDB")</f>
        <v/>
      </c>
      <c r="G340" t="inlineStr">
        <is>
          <t>criteria_provided|_single_submitter</t>
        </is>
      </c>
      <c r="H340" t="inlineStr">
        <is>
          <t>Lynch_syndrome|Hereditary_nonpolyposis_colorectal_neoplasms</t>
        </is>
      </c>
      <c r="I340" t="inlineStr">
        <is>
          <t>Likely_pathogenic</t>
        </is>
      </c>
      <c r="J340" t="inlineStr">
        <is>
          <t>MSH2</t>
        </is>
      </c>
      <c r="K340" t="inlineStr">
        <is>
          <t>splice_region_variant&amp;intron_variant|splice_region_variant&amp;intron_variant&amp;non_coding_transcript_variant</t>
        </is>
      </c>
      <c r="L340" t="inlineStr"/>
      <c r="M340" t="inlineStr">
        <is>
          <t>ENST00000406134.1:c.2634+5G&gt;T|NM_001258281.1:c.2436+5G&gt;T|NM_000251.3:c.2634+5G&gt;T|ENST00000543555.1:c.2436+5G&gt;T|ENST00000461394.1:n.75+5G&gt;T|ENST00000233146.2:c.2634+5G&gt;T</t>
        </is>
      </c>
      <c r="N340" t="inlineStr"/>
      <c r="O340" t="inlineStr"/>
      <c r="P340" t="inlineStr"/>
      <c r="Q340" t="inlineStr"/>
      <c r="R340" t="inlineStr"/>
      <c r="S340" t="inlineStr"/>
    </row>
    <row r="341">
      <c r="A341" t="inlineStr">
        <is>
          <t>2</t>
        </is>
      </c>
      <c r="B341" t="n">
        <v>47641560</v>
      </c>
      <c r="C341" t="inlineStr">
        <is>
          <t>A</t>
        </is>
      </c>
      <c r="D341" t="inlineStr">
        <is>
          <t>C</t>
        </is>
      </c>
      <c r="E341" t="inlineStr">
        <is>
          <t>1200813</t>
        </is>
      </c>
      <c r="F341">
        <f>HYPERLINK("https://www.ncbi.nlm.nih.gov/clinvar/variation/1200813/","ClinVarDB")</f>
        <v/>
      </c>
      <c r="G341" t="inlineStr">
        <is>
          <t>criteria_provided|_single_submitter</t>
        </is>
      </c>
      <c r="H341" t="inlineStr">
        <is>
          <t>not_provided</t>
        </is>
      </c>
      <c r="I341" t="inlineStr">
        <is>
          <t>Likely_pathogenic</t>
        </is>
      </c>
      <c r="J341" t="inlineStr">
        <is>
          <t>MSH2</t>
        </is>
      </c>
      <c r="K341" t="inlineStr">
        <is>
          <t>splice_region_variant&amp;intron_variant</t>
        </is>
      </c>
      <c r="L341" t="inlineStr"/>
      <c r="M341" t="inlineStr">
        <is>
          <t>ENST00000543555.1:c.744+3A&gt;C|NM_001258281.1:c.744+3A&gt;C|NM_000251.3:c.942+3A&gt;C|ENST00000233146.2:c.942+3A&gt;C|ENST00000406134.1:c.942+3A&gt;C</t>
        </is>
      </c>
      <c r="N341" t="inlineStr"/>
      <c r="O341" t="inlineStr"/>
      <c r="P341" t="inlineStr"/>
      <c r="Q341" t="inlineStr"/>
      <c r="R341" t="inlineStr"/>
      <c r="S341" t="inlineStr"/>
    </row>
    <row r="342">
      <c r="A342" t="inlineStr">
        <is>
          <t>2</t>
        </is>
      </c>
      <c r="B342" t="n">
        <v>47703503</v>
      </c>
      <c r="C342" t="inlineStr">
        <is>
          <t>T</t>
        </is>
      </c>
      <c r="D342" t="inlineStr">
        <is>
          <t>G</t>
        </is>
      </c>
      <c r="E342" t="inlineStr">
        <is>
          <t>485842</t>
        </is>
      </c>
      <c r="F342">
        <f>HYPERLINK("https://www.ncbi.nlm.nih.gov/clinvar/variation/485842/","ClinVarDB")</f>
        <v/>
      </c>
      <c r="G342" t="inlineStr">
        <is>
          <t>criteria_provided|_single_submitter</t>
        </is>
      </c>
      <c r="H342" t="inlineStr">
        <is>
          <t>Hereditary_cancer-predisposing_syndrome</t>
        </is>
      </c>
      <c r="I342" t="inlineStr">
        <is>
          <t>Likely_pathogenic</t>
        </is>
      </c>
      <c r="J342" t="inlineStr">
        <is>
          <t>MSH2</t>
        </is>
      </c>
      <c r="K342" t="inlineStr">
        <is>
          <t>splice_region_variant&amp;intron_variant</t>
        </is>
      </c>
      <c r="L342" t="inlineStr"/>
      <c r="M342" t="inlineStr">
        <is>
          <t>ENST00000543555.1:c.1808-3T&gt;G|ENST00000406134.1:c.2006-3T&gt;G|NM_001258281.1:c.1808-3T&gt;G|NM_000251.3:c.2006-3T&gt;G|ENST00000233146.2:c.2006-3T&gt;G</t>
        </is>
      </c>
      <c r="N342" t="inlineStr"/>
      <c r="O342" t="inlineStr"/>
      <c r="P342" t="inlineStr"/>
      <c r="Q342" t="inlineStr"/>
      <c r="R342" t="inlineStr"/>
      <c r="S342" t="inlineStr"/>
    </row>
    <row r="343">
      <c r="A343" t="inlineStr">
        <is>
          <t>3</t>
        </is>
      </c>
      <c r="B343" t="n">
        <v>37056038</v>
      </c>
      <c r="C343" t="inlineStr">
        <is>
          <t>A</t>
        </is>
      </c>
      <c r="D343" t="inlineStr">
        <is>
          <t>T</t>
        </is>
      </c>
      <c r="E343" t="inlineStr">
        <is>
          <t>90362</t>
        </is>
      </c>
      <c r="F343">
        <f>HYPERLINK("https://www.ncbi.nlm.nih.gov/clinvar/variation/90362/","ClinVarDB")</f>
        <v/>
      </c>
      <c r="G343" t="inlineStr">
        <is>
          <t>criteria_provided|_single_submitter</t>
        </is>
      </c>
      <c r="H343" t="inlineStr">
        <is>
          <t>Lynch_syndrome</t>
        </is>
      </c>
      <c r="I343" t="inlineStr">
        <is>
          <t>Pathogenic</t>
        </is>
      </c>
      <c r="J343" t="inlineStr">
        <is>
          <t>MLH1</t>
        </is>
      </c>
      <c r="K343" t="inlineStr">
        <is>
          <t>splice_region_variant&amp;intron_variant|splice_region_variant&amp;intron_variant&amp;NMD_transcript_variant|intron_variant</t>
        </is>
      </c>
      <c r="L343" t="inlineStr"/>
      <c r="M343" t="inlineStr">
        <is>
          <t>NM_001354629.1:c.691+3A&gt;T|ENST00000447829.1:c.171+3A&gt;T|NM_001167617.2:c.496+3A&gt;T|ENST00000539477.1:c.67+3A&gt;T|ENST00000413212.1:c.113+3A&gt;T|ENST00000455445.2:c.67+3A&gt;T|ENST00000536378.1:c.67+3A&gt;T|NM_001354616.1:c.67+3A&gt;T|NM_001167618.2:c.67+3A&gt;T|ENST00000458205.2:c.67+3A&gt;T|NM_001354624.1:c.-37+3A&gt;T|NM_001354621.1:c.-140+2448A&gt;T|NM_001354615.1:c.67+3A&gt;T|NM_001354627.1:c.-37+3A&gt;T|NM_001354619.1:c.67+3A&gt;T|NM_001258271.1:c.790+3A&gt;T|NM_001354620.1:c.496+3A&gt;T|NM_001258274.2:c.67+3A&gt;T|ENST00000458009.1:c.131+3A&gt;T|ENST00000435176.1:c.496+3A&gt;T|NM_000249.3:c.790+3A&gt;T|NM_001354618.1:c.67+3A&gt;T|NM_001354623.1:c.-140+3A&gt;T|NM_001354617.1:c.67+3A&gt;T|NM_001354622.1:c.-140+3A&gt;T|NM_001354630.1:c.790+3A&gt;T|ENST00000231790.2:c.790+3A&gt;T|NM_001354625.1:c.-37+3A&gt;T|ENST00000456676.2:c.765+3A&gt;T|NM_001258273.1:c.67+3A&gt;T|ENST00000441265.1:c.67+3A&gt;T|NM_001167619.2:c.67+3A&gt;T|NM_001354626.1:c.-37+3A&gt;T|NM_001354628.1:c.790+3A&gt;T</t>
        </is>
      </c>
      <c r="N343" t="inlineStr"/>
      <c r="O343" t="inlineStr"/>
      <c r="P343" t="inlineStr"/>
      <c r="Q343" t="inlineStr"/>
      <c r="R343" t="inlineStr"/>
      <c r="S343" t="inlineStr"/>
    </row>
    <row r="344">
      <c r="A344" t="inlineStr">
        <is>
          <t>3</t>
        </is>
      </c>
      <c r="B344" t="n">
        <v>37056039</v>
      </c>
      <c r="C344" t="inlineStr">
        <is>
          <t>A</t>
        </is>
      </c>
      <c r="D344" t="inlineStr">
        <is>
          <t>C</t>
        </is>
      </c>
      <c r="E344" t="inlineStr">
        <is>
          <t>187415</t>
        </is>
      </c>
      <c r="F344">
        <f>HYPERLINK("https://www.ncbi.nlm.nih.gov/clinvar/variation/187415/","ClinVarDB")</f>
        <v/>
      </c>
      <c r="G344" t="inlineStr">
        <is>
          <t>criteria_provided|_single_submitter</t>
        </is>
      </c>
      <c r="H344" t="inlineStr">
        <is>
          <t>Lynch-like_syndrome|Hereditary_cancer-predisposing_syndrome</t>
        </is>
      </c>
      <c r="I344" t="inlineStr">
        <is>
          <t>Likely_pathogenic</t>
        </is>
      </c>
      <c r="J344" t="inlineStr">
        <is>
          <t>MLH1</t>
        </is>
      </c>
      <c r="K344" t="inlineStr">
        <is>
          <t>splice_region_variant&amp;intron_variant|splice_region_variant&amp;intron_variant&amp;NMD_transcript_variant|intron_variant</t>
        </is>
      </c>
      <c r="L344" t="inlineStr"/>
      <c r="M344" t="inlineStr">
        <is>
          <t>NM_001258273.1:c.67+4A&gt;C|ENST00000441265.1:c.67+4A&gt;C|ENST00000455445.2:c.67+4A&gt;C|ENST00000458009.1:c.131+4A&gt;C|NM_001354627.1:c.-37+4A&gt;C|ENST00000231790.2:c.790+4A&gt;C|NM_001354616.1:c.67+4A&gt;C|NM_001354617.1:c.67+4A&gt;C|ENST00000539477.1:c.67+4A&gt;C|NM_001354620.1:c.496+4A&gt;C|NM_001354622.1:c.-140+4A&gt;C|ENST00000447829.1:c.171+4A&gt;C|ENST00000413212.1:c.113+4A&gt;C|NM_001354628.1:c.790+4A&gt;C|NM_001354621.1:c.-140+2449A&gt;C|NM_001167618.2:c.67+4A&gt;C|NM_001354623.1:c.-140+4A&gt;C|NM_001354615.1:c.67+4A&gt;C|NM_001354626.1:c.-37+4A&gt;C|NM_001258271.1:c.790+4A&gt;C|NM_001354619.1:c.67+4A&gt;C|NM_001354618.1:c.67+4A&gt;C|NM_001354624.1:c.-37+4A&gt;C|NM_001354630.1:c.790+4A&gt;C|ENST00000456676.2:c.765+4A&gt;C|NM_001258274.2:c.67+4A&gt;C|NM_001354625.1:c.-37+4A&gt;C|ENST00000536378.1:c.67+4A&gt;C|NM_000249.3:c.790+4A&gt;C|NM_001167617.2:c.496+4A&gt;C|ENST00000458205.2:c.67+4A&gt;C|NM_001167619.2:c.67+4A&gt;C|NM_001354629.1:c.691+4A&gt;C|ENST00000435176.1:c.496+4A&gt;C</t>
        </is>
      </c>
      <c r="N344" t="inlineStr"/>
      <c r="O344" t="inlineStr"/>
      <c r="P344" t="inlineStr"/>
      <c r="Q344" t="inlineStr"/>
      <c r="R344" t="inlineStr"/>
      <c r="S344" t="inlineStr"/>
    </row>
    <row r="345">
      <c r="A345" t="inlineStr">
        <is>
          <t>3</t>
        </is>
      </c>
      <c r="B345" t="n">
        <v>37056040</v>
      </c>
      <c r="C345" t="inlineStr">
        <is>
          <t>G</t>
        </is>
      </c>
      <c r="D345" t="inlineStr">
        <is>
          <t>A</t>
        </is>
      </c>
      <c r="E345" t="inlineStr">
        <is>
          <t>619561</t>
        </is>
      </c>
      <c r="F345">
        <f>HYPERLINK("https://www.ncbi.nlm.nih.gov/clinvar/variation/619561/","ClinVarDB")</f>
        <v/>
      </c>
      <c r="G345" t="inlineStr">
        <is>
          <t>criteria_provided|_single_submitter</t>
        </is>
      </c>
      <c r="H345" t="inlineStr">
        <is>
          <t>Lynch_syndrome</t>
        </is>
      </c>
      <c r="I345" t="inlineStr">
        <is>
          <t>Pathogenic</t>
        </is>
      </c>
      <c r="J345" t="inlineStr">
        <is>
          <t>MLH1</t>
        </is>
      </c>
      <c r="K345" t="inlineStr">
        <is>
          <t>splice_region_variant&amp;intron_variant|splice_region_variant&amp;intron_variant&amp;NMD_transcript_variant|intron_variant</t>
        </is>
      </c>
      <c r="L345" t="inlineStr"/>
      <c r="M345" t="inlineStr">
        <is>
          <t>NM_001167617.2:c.496+5G&gt;A|ENST00000441265.1:c.67+5G&gt;A|NM_001354629.1:c.691+5G&gt;A|NM_001354619.1:c.67+5G&gt;A|NM_001258274.2:c.67+5G&gt;A|NM_001354618.1:c.67+5G&gt;A|NM_001167618.2:c.67+5G&gt;A|NM_001167619.2:c.67+5G&gt;A|NM_001354628.1:c.790+5G&gt;A|NM_001354626.1:c.-37+5G&gt;A|ENST00000458009.1:c.131+5G&gt;A|NM_001354624.1:c.-37+5G&gt;A|ENST00000536378.1:c.67+5G&gt;A|NM_001354627.1:c.-37+5G&gt;A|ENST00000413212.1:c.113+5G&gt;A|ENST00000456676.2:c.765+5G&gt;A|ENST00000231790.2:c.790+5G&gt;A|ENST00000447829.1:c.171+5G&gt;A|NM_001354616.1:c.67+5G&gt;A|ENST00000435176.1:c.496+5G&gt;A|NM_001354622.1:c.-140+5G&gt;A|NM_001354621.1:c.-140+2450G&gt;A|NM_001354623.1:c.-140+5G&gt;A|NM_001258273.1:c.67+5G&gt;A|NM_001354630.1:c.790+5G&gt;A|NM_001258271.1:c.790+5G&gt;A|ENST00000458205.2:c.67+5G&gt;A|ENST00000455445.2:c.67+5G&gt;A|ENST00000539477.1:c.67+5G&gt;A|NM_001354615.1:c.67+5G&gt;A|NM_001354620.1:c.496+5G&gt;A|NM_001354625.1:c.-37+5G&gt;A|NM_001354617.1:c.67+5G&gt;A|NM_000249.3:c.790+5G&gt;A</t>
        </is>
      </c>
      <c r="N345" t="inlineStr"/>
      <c r="O345" t="inlineStr"/>
      <c r="P345" t="inlineStr"/>
      <c r="Q345" t="inlineStr"/>
      <c r="R345" t="inlineStr"/>
      <c r="S345" t="inlineStr"/>
    </row>
    <row r="346">
      <c r="A346" t="inlineStr">
        <is>
          <t>3</t>
        </is>
      </c>
      <c r="B346" t="n">
        <v>37053593</v>
      </c>
      <c r="C346" t="inlineStr">
        <is>
          <t>A</t>
        </is>
      </c>
      <c r="D346" t="inlineStr">
        <is>
          <t>T</t>
        </is>
      </c>
      <c r="E346" t="inlineStr">
        <is>
          <t>230573</t>
        </is>
      </c>
      <c r="F346">
        <f>HYPERLINK("https://www.ncbi.nlm.nih.gov/clinvar/variation/230573/","ClinVarDB")</f>
        <v/>
      </c>
      <c r="G346" t="inlineStr">
        <is>
          <t>criteria_provided|_single_submitter</t>
        </is>
      </c>
      <c r="H346" t="inlineStr">
        <is>
          <t>Hereditary_cancer-predisposing_syndrome</t>
        </is>
      </c>
      <c r="I346" t="inlineStr">
        <is>
          <t>Likely_pathogenic</t>
        </is>
      </c>
      <c r="J346" t="inlineStr">
        <is>
          <t>MLH1</t>
        </is>
      </c>
      <c r="K346" t="inlineStr">
        <is>
          <t>splice_region_variant&amp;intron_variant|splice_region_variant&amp;intron_variant&amp;NMD_transcript_variant</t>
        </is>
      </c>
      <c r="L346" t="inlineStr"/>
      <c r="M346" t="inlineStr">
        <is>
          <t>NM_001354622.1:c.-253+3A&gt;T|NM_001354623.1:c.-253+3A&gt;T|NM_001258274.2:c.-47+3A&gt;T|NM_001354621.1:c.-140+3A&gt;T|ENST00000458009.1:c.18+3A&gt;T|NM_001354620.1:c.383+3A&gt;T|ENST00000441265.1:c.-47+3A&gt;T|NM_001167619.2:c.-47+3A&gt;T|NM_001354626.1:c.-150+3A&gt;T|ENST00000539477.1:c.-47+3A&gt;T|NM_001354624.1:c.-150+3A&gt;T|NM_001354627.1:c.-150+3A&gt;T|ENST00000435176.1:c.383+3A&gt;T|NM_001167617.2:c.383+3A&gt;T|NM_001258271.1:c.677+3A&gt;T|ENST00000457004.1:c.*456+3A&gt;T|ENST00000447829.1:c.58+3A&gt;T|NM_001354617.1:c.-47+3A&gt;T|NM_001354618.1:c.-47+3A&gt;T|NM_001167618.2:c.-47+3A&gt;T|ENST00000455445.2:c.-47+3A&gt;T|NM_001354616.1:c.-47+3A&gt;T|NM_001354615.1:c.-47+3A&gt;T|NM_000249.3:c.677+3A&gt;T|NM_001354630.1:c.677+3A&gt;T|NM_001354629.1:c.578+3A&gt;T|ENST00000231790.2:c.677+3A&gt;T|ENST00000458205.2:c.-47+3A&gt;T|NM_001354619.1:c.-47+3A&gt;T|NM_001354628.1:c.677+3A&gt;T|ENST00000456676.2:c.652+3A&gt;T|NM_001354625.1:c.-150+3A&gt;T|ENST00000536378.1:c.-47+3A&gt;T|NM_001258273.1:c.-47+3A&gt;T</t>
        </is>
      </c>
      <c r="N346" t="inlineStr"/>
      <c r="O346" t="inlineStr"/>
      <c r="P346" t="inlineStr"/>
      <c r="Q346" t="inlineStr"/>
      <c r="R346" t="inlineStr"/>
      <c r="S346" t="inlineStr"/>
    </row>
    <row r="347">
      <c r="A347" t="inlineStr">
        <is>
          <t>3</t>
        </is>
      </c>
      <c r="B347" t="n">
        <v>37083826</v>
      </c>
      <c r="C347" t="inlineStr">
        <is>
          <t>A</t>
        </is>
      </c>
      <c r="D347" t="inlineStr">
        <is>
          <t>G</t>
        </is>
      </c>
      <c r="E347" t="inlineStr">
        <is>
          <t>483547</t>
        </is>
      </c>
      <c r="F347">
        <f>HYPERLINK("https://www.ncbi.nlm.nih.gov/clinvar/variation/483547/","ClinVarDB")</f>
        <v/>
      </c>
      <c r="G347" t="inlineStr">
        <is>
          <t>criteria_provided|_single_submitter</t>
        </is>
      </c>
      <c r="H347" t="inlineStr">
        <is>
          <t>Hereditary_cancer-predisposing_syndrome</t>
        </is>
      </c>
      <c r="I347" t="inlineStr">
        <is>
          <t>Pathogenic</t>
        </is>
      </c>
      <c r="J347" t="inlineStr">
        <is>
          <t>MLH1</t>
        </is>
      </c>
      <c r="K347" t="inlineStr">
        <is>
          <t>splice_region_variant&amp;intron_variant|intron_variant</t>
        </is>
      </c>
      <c r="L347" t="inlineStr"/>
      <c r="M347" t="inlineStr">
        <is>
          <t>NM_001354619.1:c.1008+4A&gt;G|ENST00000455445.2:c.1008+4A&gt;G|NM_001167618.2:c.1008+4A&gt;G|NM_001354616.1:c.1008+4A&gt;G|NM_001354628.1:c.1731+4A&gt;G|ENST00000536378.1:c.1008+4A&gt;G|NM_001354622.1:c.708+4A&gt;G|ENST00000435176.1:c.1437+4A&gt;G|NM_001258274.2:c.1008+4A&gt;G|NM_001354623.1:c.708+4A&gt;G|NM_000249.3:c.1731+4A&gt;G|NM_001354618.1:c.1008+4A&gt;G|NM_001354621.1:c.708+4A&gt;G|NM_001258271.1:c.1731+4A&gt;G|NM_001354624.1:c.657+4A&gt;G|NM_001354615.1:c.1008+4A&gt;G|ENST00000450420.1:c.182-8151A&gt;G|NM_001167617.2:c.1437+4A&gt;G|ENST00000413740.1:c.290+2041A&gt;G|NM_001354620.1:c.1437+4A&gt;G|ENST00000539477.1:c.1008+4A&gt;G|NM_001354630.1:c.1731+4A&gt;G|NM_001354625.1:c.657+4A&gt;G|NM_001354617.1:c.1008+4A&gt;G|ENST00000231790.2:c.1731+4A&gt;G|NM_001354627.1:c.657+4A&gt;G|ENST00000456676.2:c.1706+4A&gt;G|NM_001354629.1:c.1632+4A&gt;G|NM_001258273.1:c.1008+4A&gt;G|NM_001167619.2:c.1008+4A&gt;G|NM_001354626.1:c.657+4A&gt;G|ENST00000458205.2:c.1008+4A&gt;G</t>
        </is>
      </c>
      <c r="N347" t="inlineStr"/>
      <c r="O347" t="inlineStr"/>
      <c r="P347" t="inlineStr"/>
      <c r="Q347" t="inlineStr"/>
      <c r="R347" t="inlineStr"/>
      <c r="S347" t="inlineStr"/>
    </row>
    <row r="348">
      <c r="A348" t="inlineStr">
        <is>
          <t>3</t>
        </is>
      </c>
      <c r="B348" t="n">
        <v>37083827</v>
      </c>
      <c r="C348" t="inlineStr">
        <is>
          <t>GT</t>
        </is>
      </c>
      <c r="D348" t="inlineStr">
        <is>
          <t>CC</t>
        </is>
      </c>
      <c r="E348" t="inlineStr">
        <is>
          <t>1172095</t>
        </is>
      </c>
      <c r="F348">
        <f>HYPERLINK("https://www.ncbi.nlm.nih.gov/clinvar/variation/1172095/","ClinVarDB")</f>
        <v/>
      </c>
      <c r="G348" t="inlineStr">
        <is>
          <t>criteria_provided|_single_submitter</t>
        </is>
      </c>
      <c r="H348" t="inlineStr">
        <is>
          <t>Hereditary_cancer-predisposing_syndrome</t>
        </is>
      </c>
      <c r="I348" t="inlineStr">
        <is>
          <t>Likely_pathogenic</t>
        </is>
      </c>
      <c r="J348" t="inlineStr">
        <is>
          <t>MLH1</t>
        </is>
      </c>
      <c r="K348" t="inlineStr">
        <is>
          <t>splice_region_variant&amp;intron_variant|intron_variant</t>
        </is>
      </c>
      <c r="L348" t="inlineStr"/>
      <c r="M348" t="inlineStr">
        <is>
          <t>ENST00000458205.2:c.1008+5_1008+6delinsCC|NM_001354618.1:c.1008+5_1008+6delinsCC|NM_001354626.1:c.657+5_657+6delinsCC|ENST00000413740.1:c.290+2042_290+2043delinsCC|NM_001354627.1:c.657+5_657+6delinsCC|NM_001354629.1:c.1632+5_1632+6delinsCC|NM_001258274.2:c.1008+5_1008+6delinsCC|NM_001354622.1:c.708+5_708+6delinsCC|ENST00000455445.2:c.1008+5_1008+6delinsCC|NM_001354619.1:c.1008+5_1008+6delinsCC|NM_001258273.1:c.1008+5_1008+6delinsCC|ENST00000435176.1:c.1437+5_1437+6delinsCC|NM_001354617.1:c.1008+5_1008+6delinsCC|NM_001354620.1:c.1437+5_1437+6delinsCC|ENST00000539477.1:c.1008+5_1008+6delinsCC|NM_001354624.1:c.657+5_657+6delinsCC|NM_001354616.1:c.1008+5_1008+6delinsCC|NM_000249.3:c.1731+5_1731+6delinsCC|ENST00000536378.1:c.1008+5_1008+6delinsCC|NM_001354630.1:c.1731+5_1731+6delinsCC|NM_001354625.1:c.657+5_657+6delinsCC|ENST00000456676.2:c.1706+5_1706+6delinsCC|NM_001354615.1:c.1008+5_1008+6delinsCC|NM_001167618.2:c.1008+5_1008+6delinsCC|NM_001354621.1:c.708+5_708+6delinsCC|NM_001354623.1:c.708+5_708+6delinsCC|NM_001167617.2:c.1437+5_1437+6delinsCC|NM_001167619.2:c.1008+5_1008+6delinsCC|NM_001354628.1:c.1731+5_1731+6delinsCC|NM_001258271.1:c.1731+5_1731+6delinsCC|ENST00000450420.1:c.182-8150_182-8149delinsCC|ENST00000231790.2:c.1731+5_1731+6delinsCC</t>
        </is>
      </c>
      <c r="N348" t="inlineStr"/>
      <c r="O348" t="inlineStr"/>
      <c r="P348" t="inlineStr"/>
      <c r="Q348" t="inlineStr"/>
      <c r="R348" t="inlineStr"/>
      <c r="S348" t="inlineStr"/>
    </row>
    <row r="349">
      <c r="A349" t="inlineStr">
        <is>
          <t>3</t>
        </is>
      </c>
      <c r="B349" t="n">
        <v>37038205</v>
      </c>
      <c r="C349" t="inlineStr">
        <is>
          <t>G</t>
        </is>
      </c>
      <c r="D349" t="inlineStr">
        <is>
          <t>A</t>
        </is>
      </c>
      <c r="E349" t="inlineStr">
        <is>
          <t>926930</t>
        </is>
      </c>
      <c r="F349">
        <f>HYPERLINK("https://www.ncbi.nlm.nih.gov/clinvar/variation/926930/","ClinVarDB")</f>
        <v/>
      </c>
      <c r="G349" t="inlineStr">
        <is>
          <t>criteria_provided|_single_submitter</t>
        </is>
      </c>
      <c r="H349" t="inlineStr">
        <is>
          <t>Hereditary_cancer-predisposing_syndrome</t>
        </is>
      </c>
      <c r="I349" t="inlineStr">
        <is>
          <t>Likely_pathogenic</t>
        </is>
      </c>
      <c r="J349" t="inlineStr">
        <is>
          <t>MLH1</t>
        </is>
      </c>
      <c r="K349" t="inlineStr">
        <is>
          <t>intron_variant|splice_region_variant&amp;intron_variant|splice_region_variant&amp;intron_variant&amp;non_coding_transcript_variant|splice_region_variant&amp;intron_variant&amp;NMD_transcript_variant|intron_variant&amp;NMD_transcript_variant</t>
        </is>
      </c>
      <c r="L349" t="inlineStr"/>
      <c r="M349" t="inlineStr">
        <is>
          <t>NM_001167617.2:c.-83+5G&gt;A|ENST00000456676.2:c.182+5G&gt;A|NM_000249.3:c.207+5G&gt;A|ENST00000442249.1:c.116+3051G&gt;A|NM_001258271.1:c.207+5G&gt;A|NM_001354628.1:c.207+5G&gt;A|NM_001354616.1:c.-425+5G&gt;A|ENST00000441265.1:c.-425+5G&gt;A|NM_001354615.1:c.-420+5G&gt;A|ENST00000492474.1:n.230+5G&gt;A|NM_001258273.1:c.-517+3051G&gt;A|NM_001354620.1:c.-83+5G&gt;A|NM_001354621.1:c.-610+5G&gt;A|NM_001167619.2:c.-425+5G&gt;A|NM_001354629.1:c.207+5G&gt;A|ENST00000432299.1:c.*287+5G&gt;A|ENST00000454028.1:c.*85+5G&gt;A|ENST00000466900.1:n.134+5G&gt;A|NM_001167618.2:c.-517+5G&gt;A|ENST00000457004.1:c.*85+5G&gt;A|NM_001354622.1:c.-723+5G&gt;A|ENST00000539477.1:c.-425+5G&gt;A|NM_001354624.1:c.-620+5G&gt;A|NM_001354626.1:c.-620+5G&gt;A|ENST00000429117.1:c.-83+5G&gt;A|NM_001354630.1:c.207+5G&gt;A|ENST00000435176.1:c.-83+5G&gt;A|ENST00000458205.2:c.-662+5G&gt;A|NM_001354625.1:c.-523+5G&gt;A|ENST00000455445.2:c.-517+5G&gt;A|NM_001354617.1:c.-517+5G&gt;A|NM_001258274.2:c.-662+5G&gt;A|NM_001354619.1:c.-517+5G&gt;A|ENST00000536378.1:c.-517+5G&gt;A|ENST00000231790.2:c.207+5G&gt;A|ENST00000485889.1:n.211+5G&gt;A|NM_001354627.1:c.-620+5G&gt;A|NM_001354618.1:c.-517+5G&gt;A|NM_001354623.1:c.-723+2824G&gt;A|ENST00000476172.1:n.329+5G&gt;A</t>
        </is>
      </c>
      <c r="N349" t="inlineStr"/>
      <c r="O349" t="inlineStr"/>
      <c r="P349" t="inlineStr"/>
      <c r="Q349" t="inlineStr"/>
      <c r="R349" t="inlineStr"/>
      <c r="S349" t="inlineStr"/>
    </row>
    <row r="350">
      <c r="A350" t="inlineStr">
        <is>
          <t>11</t>
        </is>
      </c>
      <c r="B350" t="n">
        <v>64575360</v>
      </c>
      <c r="C350" t="inlineStr">
        <is>
          <t>T</t>
        </is>
      </c>
      <c r="D350" t="inlineStr">
        <is>
          <t>A</t>
        </is>
      </c>
      <c r="E350" t="inlineStr">
        <is>
          <t>418291</t>
        </is>
      </c>
      <c r="F350">
        <f>HYPERLINK("https://www.ncbi.nlm.nih.gov/clinvar/variation/418291/","ClinVarDB")</f>
        <v/>
      </c>
      <c r="G350" t="inlineStr">
        <is>
          <t>criteria_provided|_single_submitter</t>
        </is>
      </c>
      <c r="H350" t="inlineStr">
        <is>
          <t>not_provided</t>
        </is>
      </c>
      <c r="I350" t="inlineStr">
        <is>
          <t>Likely_pathogenic</t>
        </is>
      </c>
      <c r="J350" t="inlineStr">
        <is>
          <t>MEN1</t>
        </is>
      </c>
      <c r="K350" t="inlineStr">
        <is>
          <t>splice_region_variant&amp;intron_variant|intron_variant</t>
        </is>
      </c>
      <c r="L350" t="inlineStr"/>
      <c r="M350" t="inlineStr">
        <is>
          <t>ENST00000394376.1:c.669+3A&gt;T|NM_001370261.1:c.654+3A&gt;T|NM_130802.2:c.669+3A&gt;T|NM_130804.2:c.669+3A&gt;T|ENST00000450708.1:c.654+3A&gt;T|NM_130799.2:c.654+3A&gt;T|ENST00000312049.6:c.654+3A&gt;T|ENST00000377321.1:c.549+108A&gt;T|NM_001370260.1:c.654+3A&gt;T|NM_001370263.1:c.549+108A&gt;T|NM_001370259.1:c.654+3A&gt;T|ENST00000413626.1:c.654+3A&gt;T|ENST00000377316.2:c.654+3A&gt;T|ENST00000315422.4:c.654+3A&gt;T|NM_001370262.1:c.549+108A&gt;T|NM_130801.2:c.669+3A&gt;T|ENST00000443283.1:c.669+3A&gt;T|ENST00000337652.1:c.669+3A&gt;T|NM_130803.2:c.669+3A&gt;T|ENST00000377326.3:c.654+3A&gt;T|NM_001370251.1:c.654+3A&gt;T|ENST00000440873.1:c.654+3A&gt;T|ENST00000377313.1:c.669+3A&gt;T|NM_130800.2:c.669+3A&gt;T|NM_000244.3:c.669+3A&gt;T|ENST00000394374.2:c.669+3A&gt;T</t>
        </is>
      </c>
      <c r="N350" t="inlineStr"/>
      <c r="O350" t="inlineStr"/>
      <c r="P350" t="inlineStr"/>
      <c r="Q350" t="inlineStr"/>
      <c r="R350" t="inlineStr"/>
      <c r="S350" t="inlineStr"/>
    </row>
    <row r="351">
      <c r="A351" t="inlineStr">
        <is>
          <t>11</t>
        </is>
      </c>
      <c r="B351" t="n">
        <v>64575360</v>
      </c>
      <c r="C351" t="inlineStr">
        <is>
          <t>T</t>
        </is>
      </c>
      <c r="D351" t="inlineStr">
        <is>
          <t>C</t>
        </is>
      </c>
      <c r="E351" t="inlineStr">
        <is>
          <t>855905</t>
        </is>
      </c>
      <c r="F351">
        <f>HYPERLINK("https://www.ncbi.nlm.nih.gov/clinvar/variation/855905/","ClinVarDB")</f>
        <v/>
      </c>
      <c r="G351" t="inlineStr">
        <is>
          <t>criteria_provided|_single_submitter</t>
        </is>
      </c>
      <c r="H351" t="inlineStr">
        <is>
          <t>Multiple_endocrine_neoplasia|_type_1</t>
        </is>
      </c>
      <c r="I351" t="inlineStr">
        <is>
          <t>Likely_pathogenic</t>
        </is>
      </c>
      <c r="J351" t="inlineStr">
        <is>
          <t>MEN1</t>
        </is>
      </c>
      <c r="K351" t="inlineStr">
        <is>
          <t>splice_region_variant&amp;intron_variant|intron_variant</t>
        </is>
      </c>
      <c r="L351" t="inlineStr"/>
      <c r="M351" t="inlineStr">
        <is>
          <t>NM_001370260.1:c.654+3A&gt;G|NM_130799.2:c.654+3A&gt;G|NM_130800.2:c.669+3A&gt;G|NM_001370251.1:c.654+3A&gt;G|NM_001370263.1:c.549+108A&gt;G|ENST00000450708.1:c.654+3A&gt;G|NM_130802.2:c.669+3A&gt;G|ENST00000443283.1:c.669+3A&gt;G|ENST00000413626.1:c.654+3A&gt;G|NM_001370259.1:c.654+3A&gt;G|ENST00000377321.1:c.549+108A&gt;G|ENST00000312049.6:c.654+3A&gt;G|ENST00000394376.1:c.669+3A&gt;G|ENST00000440873.1:c.654+3A&gt;G|NM_130801.2:c.669+3A&gt;G|NM_130804.2:c.669+3A&gt;G|ENST00000377316.2:c.654+3A&gt;G|ENST00000315422.4:c.654+3A&gt;G|ENST00000377313.1:c.669+3A&gt;G|NM_001370261.1:c.654+3A&gt;G|ENST00000377326.3:c.654+3A&gt;G|NM_001370262.1:c.549+108A&gt;G|ENST00000394374.2:c.669+3A&gt;G|NM_000244.3:c.669+3A&gt;G|NM_130803.2:c.669+3A&gt;G|ENST00000337652.1:c.669+3A&gt;G</t>
        </is>
      </c>
      <c r="N351" t="inlineStr"/>
      <c r="O351" t="inlineStr"/>
      <c r="P351" t="inlineStr"/>
      <c r="Q351" t="inlineStr"/>
      <c r="R351" t="inlineStr"/>
      <c r="S351" t="inlineStr"/>
    </row>
    <row r="352">
      <c r="A352" t="inlineStr">
        <is>
          <t>11</t>
        </is>
      </c>
      <c r="B352" t="n">
        <v>64574646</v>
      </c>
      <c r="C352" t="inlineStr">
        <is>
          <t>C</t>
        </is>
      </c>
      <c r="D352" t="inlineStr">
        <is>
          <t>T</t>
        </is>
      </c>
      <c r="E352" t="inlineStr">
        <is>
          <t>418734</t>
        </is>
      </c>
      <c r="F352">
        <f>HYPERLINK("https://www.ncbi.nlm.nih.gov/clinvar/variation/418734/","ClinVarDB")</f>
        <v/>
      </c>
      <c r="G352" t="inlineStr">
        <is>
          <t>criteria_provided|_single_submitter</t>
        </is>
      </c>
      <c r="H352" t="inlineStr">
        <is>
          <t>not_provided</t>
        </is>
      </c>
      <c r="I352" t="inlineStr">
        <is>
          <t>Likely_pathogenic</t>
        </is>
      </c>
      <c r="J352" t="inlineStr">
        <is>
          <t>MEN1</t>
        </is>
      </c>
      <c r="K352" t="inlineStr">
        <is>
          <t>splice_region_variant&amp;intron_variant</t>
        </is>
      </c>
      <c r="L352" t="inlineStr"/>
      <c r="M352" t="inlineStr">
        <is>
          <t>NM_000244.3:c.839+5G&gt;A|NM_130800.2:c.839+5G&gt;A|NM_001370262.1:c.719+5G&gt;A|NM_001370259.1:c.824+5G&gt;A|NM_130803.2:c.839+5G&gt;A|ENST00000337652.1:c.839+5G&gt;A|ENST00000377326.3:c.824+5G&gt;A|NM_001370261.1:c.824+5G&gt;A|NM_001370263.1:c.719+5G&gt;A|NM_001370251.1:c.824+5G&gt;A|NM_130802.2:c.839+5G&gt;A|ENST00000440873.1:c.824+5G&gt;A|NM_130801.2:c.839+5G&gt;A|ENST00000377316.2:c.824+5G&gt;A|NM_001370260.1:c.824+5G&gt;A|ENST00000315422.4:c.824+5G&gt;A|ENST00000443283.1:c.839+5G&gt;A|ENST00000377313.1:c.839+5G&gt;A|NM_130804.2:c.839+5G&gt;A|ENST00000377321.1:c.719+5G&gt;A|ENST00000312049.6:c.824+5G&gt;A|NM_130799.2:c.824+5G&gt;A|ENST00000394374.2:c.839+5G&gt;A|ENST00000450708.1:c.824+5G&gt;A|ENST00000394376.1:c.839+5G&gt;A</t>
        </is>
      </c>
      <c r="N352" t="inlineStr"/>
      <c r="O352" t="inlineStr"/>
      <c r="P352" t="inlineStr"/>
      <c r="Q352" t="inlineStr"/>
      <c r="R352" t="inlineStr"/>
      <c r="S352" t="inlineStr"/>
    </row>
    <row r="353">
      <c r="A353" t="inlineStr">
        <is>
          <t>11</t>
        </is>
      </c>
      <c r="B353" t="n">
        <v>64575031</v>
      </c>
      <c r="C353" t="inlineStr">
        <is>
          <t>A</t>
        </is>
      </c>
      <c r="D353" t="inlineStr">
        <is>
          <t>AGCT</t>
        </is>
      </c>
      <c r="E353" t="inlineStr">
        <is>
          <t>372408</t>
        </is>
      </c>
      <c r="F353">
        <f>HYPERLINK("https://www.ncbi.nlm.nih.gov/clinvar/variation/372408/","ClinVarDB")</f>
        <v/>
      </c>
      <c r="G353" t="inlineStr">
        <is>
          <t>criteria_provided|_single_submitter</t>
        </is>
      </c>
      <c r="H353" t="inlineStr">
        <is>
          <t>not_provided</t>
        </is>
      </c>
      <c r="I353" t="inlineStr">
        <is>
          <t>Likely_pathogenic</t>
        </is>
      </c>
      <c r="J353" t="inlineStr">
        <is>
          <t>MEN1</t>
        </is>
      </c>
      <c r="K353" t="inlineStr">
        <is>
          <t>inframe_insertion</t>
        </is>
      </c>
      <c r="L353" t="inlineStr">
        <is>
          <t>ENSP00000323747.4:p.Gln258dup|ENSP00000377899.2:p.Gln263dup|ENSP00000396940.1:p.Gln263dup|NP_570714.1:p.Gln263dup|NP_570713.1:p.Gln263dup|NP_570715.1:p.Gln263dup|ENSP00000366543.3:p.Gln258dup|NP_001357191.1:p.Gln223dup|ENSP00000366530.1:p.Gln263dup|ENSP00000337088.1:p.Gln263dup|ENSP00000366538.1:p.Gln223dup|ENSP00000366533.1:p.Gln258dup|NP_001357189.1:p.Gln258dup|ENSP00000394933.1:p.Gln258dup|NP_001357192.1:p.Gln223dup|NP_000235.2:p.Gln263dup|NP_001357190.1:p.Gln258dup|ENSP00000413944.1:p.Gln258dup|NP_570712.1:p.Gln263dup|ENSP00000411218.1:p.Gln258dup|NP_001357180.1:p.Gln258dup|NP_570716.1:p.Gln263dup|ENSP00000308975.6:p.Gln258dup|NP_570711.1:p.Gln258dup|ENSP00000377901.1:p.Gln263dup|NP_001357188.1:p.Gln258dup</t>
        </is>
      </c>
      <c r="M353" t="inlineStr">
        <is>
          <t>ENST00000440873.1:c.773_775dup|NM_001370259.1:c.773_775dup|ENST00000394374.2:c.788_790dup|NM_130800.2:c.788_790dup|ENST00000315422.4:c.773_775dup|NM_130799.2:c.773_775dup|ENST00000377313.1:c.788_790dup|NM_130804.2:c.788_790dup|NM_001370263.1:c.668_670dup|NM_001370262.1:c.668_670dup|ENST00000413626.1:c.773_775dup|NM_001370260.1:c.773_775dup|ENST00000450708.1:c.773_775dup|ENST00000337652.1:c.788_790dup|ENST00000377326.3:c.773_775dup|ENST00000394376.1:c.788_790dup|ENST00000377316.2:c.773_775dup|NM_001370251.1:c.773_775dup|NM_130802.2:c.788_790dup|ENST00000377321.1:c.668_670dup|NM_130801.2:c.788_790dup|NM_000244.3:c.788_790dup|ENST00000312049.6:c.773_775dup|NM_001370261.1:c.773_775dup|NM_130803.2:c.788_790dup|ENST00000443283.1:c.788_790dup</t>
        </is>
      </c>
      <c r="N353" t="inlineStr"/>
      <c r="O353" t="inlineStr"/>
      <c r="P353" t="inlineStr"/>
      <c r="Q353" t="inlineStr"/>
      <c r="R353" t="inlineStr"/>
      <c r="S353" t="inlineStr"/>
    </row>
    <row r="354">
      <c r="A354" t="inlineStr">
        <is>
          <t>11</t>
        </is>
      </c>
      <c r="B354" t="n">
        <v>64571394</v>
      </c>
      <c r="C354" t="inlineStr">
        <is>
          <t>C</t>
        </is>
      </c>
      <c r="D354" t="inlineStr">
        <is>
          <t>T</t>
        </is>
      </c>
      <c r="E354" t="inlineStr">
        <is>
          <t>446503</t>
        </is>
      </c>
      <c r="F354">
        <f>HYPERLINK("https://www.ncbi.nlm.nih.gov/clinvar/variation/446503/","ClinVarDB")</f>
        <v/>
      </c>
      <c r="G354" t="inlineStr">
        <is>
          <t>criteria_provided|_single_submitter</t>
        </is>
      </c>
      <c r="H354" t="inlineStr">
        <is>
          <t>Somatotroph_adenoma</t>
        </is>
      </c>
      <c r="I354" t="inlineStr">
        <is>
          <t>Likely_pathogenic</t>
        </is>
      </c>
      <c r="J354" t="inlineStr">
        <is>
          <t>MEN1</t>
        </is>
      </c>
      <c r="K354" t="inlineStr">
        <is>
          <t>3_prime_UTR_variant|regulatory_region_variant</t>
        </is>
      </c>
      <c r="L354" t="inlineStr"/>
      <c r="M354" t="inlineStr">
        <is>
          <t>|NM_130800.2:c.*412G&gt;A|NM_130799.2:c.*412G&gt;A|ENST00000377326.3:c.*412G&gt;A|NM_001370251.1:c.*412G&gt;A|NM_000244.3:c.*412G&gt;A|NM_130802.2:c.*412G&gt;A|NM_001370262.1:c.*412G&gt;A|ENST00000315422.4:c.*412G&gt;A|ENST00000377321.1:c.*412G&gt;A|NM_001370259.1:c.*412G&gt;A|NM_130804.2:c.*412G&gt;A|ENST00000337652.1:c.*412G&gt;A|ENST00000443283.1:c.*412G&gt;A|ENST00000394374.2:c.*412G&gt;A|ENST00000394376.1:c.*412G&gt;A|NM_001370261.1:c.*412G&gt;A|ENST00000377316.2:c.*412G&gt;A|NM_130803.2:c.*412G&gt;A|NM_001370263.1:c.*412G&gt;A|NM_130801.2:c.*412G&gt;A|NM_001370260.1:c.*412G&gt;A|ENST00000312049.6:c.*412G&gt;A</t>
        </is>
      </c>
      <c r="N354" t="inlineStr"/>
      <c r="O354" t="inlineStr"/>
      <c r="P354" t="inlineStr"/>
      <c r="Q354" t="inlineStr">
        <is>
          <t>3.1853200198384e-05</t>
        </is>
      </c>
      <c r="R354" t="n">
        <v>1</v>
      </c>
      <c r="S354" t="inlineStr">
        <is>
          <t>0</t>
        </is>
      </c>
    </row>
    <row r="355">
      <c r="A355" t="inlineStr">
        <is>
          <t>4</t>
        </is>
      </c>
      <c r="B355" t="n">
        <v>55593587</v>
      </c>
      <c r="C355" t="inlineStr">
        <is>
          <t>CATGTATG</t>
        </is>
      </c>
      <c r="D355" t="inlineStr">
        <is>
          <t>AA</t>
        </is>
      </c>
      <c r="E355" t="inlineStr">
        <is>
          <t>627638</t>
        </is>
      </c>
      <c r="F355">
        <f>HYPERLINK("https://www.ncbi.nlm.nih.gov/clinvar/variation/627638/","ClinVarDB")</f>
        <v/>
      </c>
      <c r="G355" t="inlineStr">
        <is>
          <t>criteria_provided|_single_submitter</t>
        </is>
      </c>
      <c r="H355" t="inlineStr">
        <is>
          <t>Gastrointestinal_stroma_tumor</t>
        </is>
      </c>
      <c r="I355" t="inlineStr">
        <is>
          <t>Likely_pathogenic</t>
        </is>
      </c>
      <c r="J355" t="inlineStr">
        <is>
          <t>KIT</t>
        </is>
      </c>
      <c r="K355" t="inlineStr">
        <is>
          <t>protein_altering_variant</t>
        </is>
      </c>
      <c r="L355" t="inlineStr">
        <is>
          <t>NP_001087241.1:p.Met548_Glu550delinsLys|ENSP00000288135.5:p.Met552_Glu554delinsLys|NP_000213.1:p.Met552_Glu554delinsLys|ENSP00000390987.2:p.Met548_Glu550delinsLys</t>
        </is>
      </c>
      <c r="M355" t="inlineStr">
        <is>
          <t>NM_001093772.1:c.1641_1648delinsAA|ENST00000288135.5:c.1653_1660delinsAA|NM_000222.2:c.1653_1660delinsAA|ENST00000412167.2:c.1641_1648delinsAA</t>
        </is>
      </c>
      <c r="N355" t="inlineStr"/>
      <c r="O355" t="inlineStr"/>
      <c r="P355" t="inlineStr"/>
      <c r="Q355" t="inlineStr"/>
      <c r="R355" t="inlineStr"/>
      <c r="S355" t="inlineStr"/>
    </row>
    <row r="356">
      <c r="A356" t="inlineStr">
        <is>
          <t>4</t>
        </is>
      </c>
      <c r="B356" t="n">
        <v>55593599</v>
      </c>
      <c r="C356" t="inlineStr">
        <is>
          <t>ACAGTGGA</t>
        </is>
      </c>
      <c r="D356" t="inlineStr">
        <is>
          <t>CC</t>
        </is>
      </c>
      <c r="E356" t="inlineStr">
        <is>
          <t>627639</t>
        </is>
      </c>
      <c r="F356">
        <f>HYPERLINK("https://www.ncbi.nlm.nih.gov/clinvar/variation/627639/","ClinVarDB")</f>
        <v/>
      </c>
      <c r="G356" t="inlineStr">
        <is>
          <t>criteria_provided|_single_submitter</t>
        </is>
      </c>
      <c r="H356" t="inlineStr">
        <is>
          <t>Gastrointestinal_stroma_tumor</t>
        </is>
      </c>
      <c r="I356" t="inlineStr">
        <is>
          <t>Likely_pathogenic</t>
        </is>
      </c>
      <c r="J356" t="inlineStr">
        <is>
          <t>KIT</t>
        </is>
      </c>
      <c r="K356" t="inlineStr">
        <is>
          <t>protein_altering_variant</t>
        </is>
      </c>
      <c r="L356" t="inlineStr">
        <is>
          <t>NP_000213.1:p.Trp557_Lys558del|NP_001087241.1:p.Trp553_Lys554del|ENSP00000288135.5:p.Trp557_Lys558del|ENSP00000390987.2:p.Trp553_Lys554del</t>
        </is>
      </c>
      <c r="M356" t="inlineStr">
        <is>
          <t>ENST00000288135.5:c.1665_1672delinsCC|ENST00000412167.2:c.1653_1660delinsCC|NM_001093772.1:c.1653_1660delinsCC|NM_000222.2:c.1665_1672delinsCC</t>
        </is>
      </c>
      <c r="N356" t="inlineStr"/>
      <c r="O356" t="inlineStr"/>
      <c r="P356" t="inlineStr"/>
      <c r="Q356" t="inlineStr"/>
      <c r="R356" t="inlineStr"/>
      <c r="S356" t="inlineStr"/>
    </row>
    <row r="357">
      <c r="A357" t="inlineStr">
        <is>
          <t>4</t>
        </is>
      </c>
      <c r="B357" t="n">
        <v>55593648</v>
      </c>
      <c r="C357" t="inlineStr">
        <is>
          <t>G</t>
        </is>
      </c>
      <c r="D357" t="inlineStr">
        <is>
          <t>GACCCAACACAACTTCCTTATGATCACAAATGGGAGTTTCCCA</t>
        </is>
      </c>
      <c r="E357" t="inlineStr">
        <is>
          <t>627642</t>
        </is>
      </c>
      <c r="F357">
        <f>HYPERLINK("https://www.ncbi.nlm.nih.gov/clinvar/variation/627642/","ClinVarDB")</f>
        <v/>
      </c>
      <c r="G357" t="inlineStr">
        <is>
          <t>criteria_provided|_single_submitter</t>
        </is>
      </c>
      <c r="H357" t="inlineStr">
        <is>
          <t>Gastrointestinal_stroma_tumor</t>
        </is>
      </c>
      <c r="I357" t="inlineStr">
        <is>
          <t>Likely_pathogenic</t>
        </is>
      </c>
      <c r="J357" t="inlineStr">
        <is>
          <t>KIT</t>
        </is>
      </c>
      <c r="K357" t="inlineStr">
        <is>
          <t>inframe_insertion</t>
        </is>
      </c>
      <c r="L357" t="inlineStr">
        <is>
          <t>ENSP00000288135.5:p.Pro585_Arg586insAsnProThrGlnLeuProTyrAspHisLysTrpGluPhePro|NP_001087241.1:p.Pro581_Arg582insAsnProThrGlnLeuProTyrAspHisLysTrpGluPhePro|ENSP00000390987.2:p.Pro581_Arg582insAsnProThrGlnLeuProTyrAspHisLysTrpGluPhePro|NP_000213.1:p.Pro585_Arg586insAsnProThrGlnLeuProTyrAspHisLysTrpGluPhePro</t>
        </is>
      </c>
      <c r="M357" t="inlineStr">
        <is>
          <t>ENST00000412167.2:c.1703_1744dup|NM_000222.2:c.1715_1756dup|NM_001093772.1:c.1703_1744dup|ENST00000288135.5:c.1715_1756dup</t>
        </is>
      </c>
      <c r="N357" t="inlineStr"/>
      <c r="O357" t="inlineStr"/>
      <c r="P357" t="inlineStr"/>
      <c r="Q357" t="inlineStr"/>
      <c r="R357" t="inlineStr"/>
      <c r="S357" t="inlineStr"/>
    </row>
    <row r="358">
      <c r="A358" t="inlineStr">
        <is>
          <t>4</t>
        </is>
      </c>
      <c r="B358" t="n">
        <v>55593654</v>
      </c>
      <c r="C358" t="inlineStr">
        <is>
          <t>A</t>
        </is>
      </c>
      <c r="D358" t="inlineStr">
        <is>
          <t>ACACAACTTCCTTATGATCACAAATGGGAGTTTCCCAGAAACAGGC</t>
        </is>
      </c>
      <c r="E358" t="inlineStr">
        <is>
          <t>627643</t>
        </is>
      </c>
      <c r="F358">
        <f>HYPERLINK("https://www.ncbi.nlm.nih.gov/clinvar/variation/627643/","ClinVarDB")</f>
        <v/>
      </c>
      <c r="G358" t="inlineStr">
        <is>
          <t>criteria_provided|_single_submitter</t>
        </is>
      </c>
      <c r="H358" t="inlineStr">
        <is>
          <t>Gastrointestinal_stroma_tumor</t>
        </is>
      </c>
      <c r="I358" t="inlineStr">
        <is>
          <t>Likely_pathogenic</t>
        </is>
      </c>
      <c r="J358" t="inlineStr">
        <is>
          <t>KIT</t>
        </is>
      </c>
      <c r="K358" t="inlineStr">
        <is>
          <t>inframe_insertion</t>
        </is>
      </c>
      <c r="L358" t="inlineStr">
        <is>
          <t>ENSP00000390987.2:p.Arg584_Leu585insProGlnLeuProTyrAspHisLysTrpGluPheProArgAsnArg|ENSP00000288135.5:p.Arg588_Leu589insProGlnLeuProTyrAspHisLysTrpGluPheProArgAsnArg|NP_000213.1:p.Arg588_Leu589insProGlnLeuProTyrAspHisLysTrpGluPheProArgAsnArg|NP_001087241.1:p.Arg584_Leu585insProGlnLeuProTyrAspHisLysTrpGluPheProArgAsnArg</t>
        </is>
      </c>
      <c r="M358" t="inlineStr">
        <is>
          <t>NM_001093772.1:c.1709_1753dup|ENST00000412167.2:c.1709_1753dup|ENST00000288135.5:c.1721_1765dup|NM_000222.2:c.1721_1765dup</t>
        </is>
      </c>
      <c r="N358" t="inlineStr"/>
      <c r="O358" t="inlineStr"/>
      <c r="P358" t="inlineStr"/>
      <c r="Q358" t="inlineStr"/>
      <c r="R358" t="inlineStr"/>
      <c r="S358" t="inlineStr"/>
    </row>
    <row r="359">
      <c r="A359" t="inlineStr">
        <is>
          <t>4</t>
        </is>
      </c>
      <c r="B359" t="n">
        <v>55593655</v>
      </c>
      <c r="C359" t="inlineStr">
        <is>
          <t>C</t>
        </is>
      </c>
      <c r="D359" t="inlineStr">
        <is>
          <t>CACAACTTCCTTATGATCACAAATGGGAGTTTCCCAGAAACAGGCT</t>
        </is>
      </c>
      <c r="E359" t="inlineStr">
        <is>
          <t>627644</t>
        </is>
      </c>
      <c r="F359">
        <f>HYPERLINK("https://www.ncbi.nlm.nih.gov/clinvar/variation/627644/","ClinVarDB")</f>
        <v/>
      </c>
      <c r="G359" t="inlineStr">
        <is>
          <t>criteria_provided|_single_submitter</t>
        </is>
      </c>
      <c r="H359" t="inlineStr">
        <is>
          <t>Gastrointestinal_stroma_tumor</t>
        </is>
      </c>
      <c r="I359" t="inlineStr">
        <is>
          <t>Likely_pathogenic</t>
        </is>
      </c>
      <c r="J359" t="inlineStr">
        <is>
          <t>KIT</t>
        </is>
      </c>
      <c r="K359" t="inlineStr">
        <is>
          <t>inframe_insertion</t>
        </is>
      </c>
      <c r="L359" t="inlineStr">
        <is>
          <t>NP_001087241.1:p.Gln571_Leu585dup|ENSP00000390987.2:p.Gln571_Leu585dup|NP_000213.1:p.Gln575_Leu589dup|ENSP00000288135.5:p.Gln575_Leu589dup</t>
        </is>
      </c>
      <c r="M359" t="inlineStr">
        <is>
          <t>ENST00000288135.5:c.1722_1766dup|NM_000222.2:c.1722_1766dup|NM_001093772.1:c.1710_1754dup|ENST00000412167.2:c.1710_1754dup</t>
        </is>
      </c>
      <c r="N359" t="inlineStr"/>
      <c r="O359" t="inlineStr"/>
      <c r="P359" t="inlineStr"/>
      <c r="Q359" t="inlineStr"/>
      <c r="R359" t="inlineStr"/>
      <c r="S359" t="inlineStr"/>
    </row>
    <row r="360">
      <c r="A360" t="inlineStr">
        <is>
          <t>1</t>
        </is>
      </c>
      <c r="B360" t="n">
        <v>241675262</v>
      </c>
      <c r="C360" t="inlineStr">
        <is>
          <t>C</t>
        </is>
      </c>
      <c r="D360" t="inlineStr">
        <is>
          <t>G</t>
        </is>
      </c>
      <c r="E360" t="inlineStr">
        <is>
          <t>432204</t>
        </is>
      </c>
      <c r="F360">
        <f>HYPERLINK("https://www.ncbi.nlm.nih.gov/clinvar/variation/432204/","ClinVarDB")</f>
        <v/>
      </c>
      <c r="G360" t="inlineStr">
        <is>
          <t>criteria_provided|_single_submitter</t>
        </is>
      </c>
      <c r="H360" t="inlineStr">
        <is>
          <t>not_provided</t>
        </is>
      </c>
      <c r="I360" t="inlineStr">
        <is>
          <t>Likely_pathogenic</t>
        </is>
      </c>
      <c r="J360" t="inlineStr">
        <is>
          <t>FH</t>
        </is>
      </c>
      <c r="K360" t="inlineStr">
        <is>
          <t>splice_region_variant&amp;intron_variant|non_coding_transcript_exon_variant</t>
        </is>
      </c>
      <c r="L360" t="inlineStr"/>
      <c r="M360" t="inlineStr">
        <is>
          <t>ENST00000366560.3:c.555+5G&gt;C|ENST00000497042.1:n.256G&gt;C|NM_000143.3:c.555+5G&gt;C</t>
        </is>
      </c>
      <c r="N360" t="inlineStr"/>
      <c r="O360" t="inlineStr"/>
      <c r="P360" t="inlineStr"/>
      <c r="Q360" t="inlineStr"/>
      <c r="R360" t="inlineStr"/>
      <c r="S360" t="inlineStr"/>
    </row>
    <row r="361">
      <c r="A361" t="inlineStr">
        <is>
          <t>1</t>
        </is>
      </c>
      <c r="B361" t="n">
        <v>241669412</v>
      </c>
      <c r="C361" t="inlineStr">
        <is>
          <t>G</t>
        </is>
      </c>
      <c r="D361" t="inlineStr">
        <is>
          <t>GGCAGCTTTTATTCTTGTCATT</t>
        </is>
      </c>
      <c r="E361" t="inlineStr">
        <is>
          <t>214396</t>
        </is>
      </c>
      <c r="F361">
        <f>HYPERLINK("https://www.ncbi.nlm.nih.gov/clinvar/variation/214396/","ClinVarDB")</f>
        <v/>
      </c>
      <c r="G361" t="inlineStr">
        <is>
          <t>criteria_provided|_single_submitter</t>
        </is>
      </c>
      <c r="H361" t="inlineStr">
        <is>
          <t>not_provided</t>
        </is>
      </c>
      <c r="I361" t="inlineStr">
        <is>
          <t>Likely_pathogenic</t>
        </is>
      </c>
      <c r="J361" t="inlineStr">
        <is>
          <t>FH</t>
        </is>
      </c>
      <c r="K361" t="inlineStr">
        <is>
          <t>inframe_insertion</t>
        </is>
      </c>
      <c r="L361" t="inlineStr">
        <is>
          <t>NP_000134.2:p.Thr260_Met266dup|ENSP00000355518.3:p.Thr260_Met266dup</t>
        </is>
      </c>
      <c r="M361" t="inlineStr">
        <is>
          <t>NM_000143.3:c.774_794dup|ENST00000366560.3:c.774_794dup</t>
        </is>
      </c>
      <c r="N361" t="inlineStr"/>
      <c r="O361" t="inlineStr"/>
      <c r="P361" t="inlineStr"/>
      <c r="Q361" t="inlineStr"/>
      <c r="R361" t="inlineStr"/>
      <c r="S361" t="inlineStr"/>
    </row>
    <row r="362">
      <c r="A362" t="inlineStr">
        <is>
          <t>11</t>
        </is>
      </c>
      <c r="B362" t="n">
        <v>44151688</v>
      </c>
      <c r="C362" t="inlineStr">
        <is>
          <t>G</t>
        </is>
      </c>
      <c r="D362" t="inlineStr">
        <is>
          <t>A</t>
        </is>
      </c>
      <c r="E362" t="inlineStr">
        <is>
          <t>816885</t>
        </is>
      </c>
      <c r="F362">
        <f>HYPERLINK("https://www.ncbi.nlm.nih.gov/clinvar/variation/816885/","ClinVarDB")</f>
        <v/>
      </c>
      <c r="G362" t="inlineStr">
        <is>
          <t>criteria_provided|_single_submitter</t>
        </is>
      </c>
      <c r="H362" t="inlineStr">
        <is>
          <t>Seizures|_scoliosis|_and_macrocephaly_syndrome</t>
        </is>
      </c>
      <c r="I362" t="inlineStr">
        <is>
          <t>Likely_pathogenic</t>
        </is>
      </c>
      <c r="J362" t="inlineStr">
        <is>
          <t>EXT2</t>
        </is>
      </c>
      <c r="K362" t="inlineStr">
        <is>
          <t>splice_region_variant&amp;synonymous_variant|splice_region_variant&amp;non_coding_transcript_exon_variant</t>
        </is>
      </c>
      <c r="L362" t="inlineStr">
        <is>
          <t>|NP_000392.3:p.Gln424=|NP_997005.1:p.Gln391=|ENSP00000351509.4:p.Gln391=|NP_001171554.1:p.Gln391=|ENSP00000431173.1:p.Gln391=|ENSP00000379032.3:p.Gln424=|ENSP00000342656.3:p.Gln391=</t>
        </is>
      </c>
      <c r="M362" t="inlineStr">
        <is>
          <t>ENST00000525559.1:n.147G&gt;A|ENST00000534048.1:n.96G&gt;A|ENST00000343631.3:c.1173G&gt;A|ENST00000533608.1:c.1173G&gt;A|NM_001178083.2:c.1173G&gt;A|ENST00000358681.4:c.1173G&gt;A|NM_000401.3:c.1272G&gt;A|NM_207122.1:c.1173G&gt;A|ENST00000531161.1:n.350G&gt;A|ENST00000395673.3:c.1272G&gt;A</t>
        </is>
      </c>
      <c r="N362" t="inlineStr">
        <is>
          <t>3.9790497794456314e-06</t>
        </is>
      </c>
      <c r="O362" t="n">
        <v>1</v>
      </c>
      <c r="P362" t="inlineStr">
        <is>
          <t>0</t>
        </is>
      </c>
      <c r="Q362" t="inlineStr"/>
      <c r="R362" t="inlineStr"/>
      <c r="S362" t="inlineStr"/>
    </row>
    <row r="363">
      <c r="A363" t="inlineStr">
        <is>
          <t>8</t>
        </is>
      </c>
      <c r="B363" t="n">
        <v>118849344</v>
      </c>
      <c r="C363" t="inlineStr">
        <is>
          <t>T</t>
        </is>
      </c>
      <c r="D363" t="inlineStr">
        <is>
          <t>G</t>
        </is>
      </c>
      <c r="E363" t="inlineStr">
        <is>
          <t>456060</t>
        </is>
      </c>
      <c r="F363">
        <f>HYPERLINK("https://www.ncbi.nlm.nih.gov/clinvar/variation/456060/","ClinVarDB")</f>
        <v/>
      </c>
      <c r="G363" t="inlineStr">
        <is>
          <t>criteria_provided|_single_submitter</t>
        </is>
      </c>
      <c r="H363" t="inlineStr">
        <is>
          <t>Multiple_congenital_exostosis</t>
        </is>
      </c>
      <c r="I363" t="inlineStr">
        <is>
          <t>Pathogenic</t>
        </is>
      </c>
      <c r="J363" t="inlineStr">
        <is>
          <t>EXT1</t>
        </is>
      </c>
      <c r="K363" t="inlineStr">
        <is>
          <t>splice_region_variant&amp;intron_variant|intron_variant&amp;NMD_transcript_variant</t>
        </is>
      </c>
      <c r="L363" t="inlineStr"/>
      <c r="M363" t="inlineStr">
        <is>
          <t>NM_000127.2:c.1056+3A&gt;C|ENST00000437196.1:c.74-1554A&gt;C|ENST00000436216.1:c.424+3A&gt;C|ENST00000378204.2:c.1056+3A&gt;C</t>
        </is>
      </c>
      <c r="N363" t="inlineStr"/>
      <c r="O363" t="inlineStr"/>
      <c r="P363" t="inlineStr"/>
      <c r="Q363" t="inlineStr"/>
      <c r="R363" t="inlineStr"/>
      <c r="S363" t="inlineStr"/>
    </row>
    <row r="364">
      <c r="A364" t="inlineStr">
        <is>
          <t>7</t>
        </is>
      </c>
      <c r="B364" t="n">
        <v>55248980</v>
      </c>
      <c r="C364" t="inlineStr">
        <is>
          <t>C</t>
        </is>
      </c>
      <c r="D364" t="inlineStr">
        <is>
          <t>CTCCAGGAAGCCT</t>
        </is>
      </c>
      <c r="E364" t="inlineStr">
        <is>
          <t>45248</t>
        </is>
      </c>
      <c r="F364">
        <f>HYPERLINK("https://www.ncbi.nlm.nih.gov/clinvar/variation/45248/","ClinVarDB")</f>
        <v/>
      </c>
      <c r="G364" t="inlineStr">
        <is>
          <t>criteria_provided|_single_submitter</t>
        </is>
      </c>
      <c r="H364" t="inlineStr">
        <is>
          <t>Non-small_cell_lung_carcinoma</t>
        </is>
      </c>
      <c r="I364" t="inlineStr">
        <is>
          <t>Likely_pathogenic</t>
        </is>
      </c>
      <c r="J364" t="inlineStr">
        <is>
          <t>EGFR</t>
        </is>
      </c>
      <c r="K364" t="inlineStr">
        <is>
          <t>regulatory_region_variant|intron_variant|splice_region_variant&amp;intron_variant|TF_binding_site_variant|non_coding_transcript_exon_variant</t>
        </is>
      </c>
      <c r="L364" t="inlineStr"/>
      <c r="M364" t="inlineStr">
        <is>
          <t>NR_047551.1:n.1272_1283dup||ENST00000455089.1:c.2149-5_2155dup|NM_001346897.2:c.2149-5_2155dup|ENST00000275493.2:c.2284-5_2290dup|NM_001346898.2:c.2284-5_2290dup|NM_001346941.2:c.1483-5_1489dup|ENST00000454757.2:c.2125-5_2131dup|NM_001346899.1:c.2149-5_2155dup|ENST00000442591.1:c.*28+8360_*28+8371dup|NM_005228.5:c.2284-5_2290dup|ENST00000442411.1:n.1257_1268dup|NM_001346900.2:c.2125-5_2131dup</t>
        </is>
      </c>
      <c r="N364" t="inlineStr"/>
      <c r="O364" t="inlineStr"/>
      <c r="P364" t="inlineStr"/>
      <c r="Q364" t="inlineStr"/>
      <c r="R364" t="inlineStr"/>
      <c r="S364" t="inlineStr"/>
    </row>
    <row r="365">
      <c r="A365" t="inlineStr">
        <is>
          <t>7</t>
        </is>
      </c>
      <c r="B365" t="n">
        <v>55249011</v>
      </c>
      <c r="C365" t="inlineStr">
        <is>
          <t>A</t>
        </is>
      </c>
      <c r="D365" t="inlineStr">
        <is>
          <t>AGTC</t>
        </is>
      </c>
      <c r="E365" t="inlineStr">
        <is>
          <t>496810</t>
        </is>
      </c>
      <c r="F365">
        <f>HYPERLINK("https://www.ncbi.nlm.nih.gov/clinvar/variation/496810/","ClinVarDB")</f>
        <v/>
      </c>
      <c r="G365" t="inlineStr">
        <is>
          <t>criteria_provided|_single_submitter</t>
        </is>
      </c>
      <c r="H365" t="inlineStr">
        <is>
          <t>Lung_adenocarcinoma</t>
        </is>
      </c>
      <c r="I365" t="inlineStr">
        <is>
          <t>Likely_pathogenic</t>
        </is>
      </c>
      <c r="J365" t="inlineStr">
        <is>
          <t>EGFR</t>
        </is>
      </c>
      <c r="K365" t="inlineStr">
        <is>
          <t>regulatory_region_variant|intron_variant|protein_altering_variant|TF_binding_site_variant|non_coding_transcript_exon_variant</t>
        </is>
      </c>
      <c r="L365" t="inlineStr">
        <is>
          <t>|NP_005219.2:p.Asp770delinsGluSer|NP_001333870.1:p.Asp503delinsGluSer|ENSP00000395243.2:p.Asp717delinsGluSer|ENSP00000415559.1:p.Asp725delinsGluSer|ENSP00000275493.2:p.Asp770delinsGluSer|NP_001333827.1:p.Asp770delinsGluSer|NP_001333826.1:p.Asp725delinsGluSer|NP_001333828.1:p.Asp725delinsGluSer|NP_001333829.1:p.Asp717delinsGluSer</t>
        </is>
      </c>
      <c r="M365" t="inlineStr">
        <is>
          <t>|NM_001346900.2:c.2150_2151insGTC|ENST00000442411.1:n.1237_1238insGAC|ENST00000442591.1:c.*28+8390_*28+8391insGTC|NM_001346898.2:c.2309_2310insGTC|NR_047551.1:n.1252_1253insGAC|NM_001346941.2:c.1508_1509insGTC|ENST00000275493.2:c.2309_2310insGTC|NM_001346897.2:c.2174_2175insGTC|NM_005228.5:c.2309_2310insGTC|ENST00000455089.1:c.2174_2175insGTC|NM_001346899.1:c.2174_2175insGTC|ENST00000454757.2:c.2150_2151insGTC</t>
        </is>
      </c>
      <c r="N365" t="inlineStr"/>
      <c r="O365" t="inlineStr"/>
      <c r="P365" t="inlineStr"/>
      <c r="Q365" t="inlineStr"/>
      <c r="R365" t="inlineStr"/>
      <c r="S365" t="inlineStr"/>
    </row>
    <row r="366">
      <c r="A366" t="inlineStr">
        <is>
          <t>7</t>
        </is>
      </c>
      <c r="B366" t="n">
        <v>55249013</v>
      </c>
      <c r="C366" t="inlineStr">
        <is>
          <t>A</t>
        </is>
      </c>
      <c r="D366" t="inlineStr">
        <is>
          <t>AACC</t>
        </is>
      </c>
      <c r="E366" t="inlineStr">
        <is>
          <t>45258</t>
        </is>
      </c>
      <c r="F366">
        <f>HYPERLINK("https://www.ncbi.nlm.nih.gov/clinvar/variation/45258/","ClinVarDB")</f>
        <v/>
      </c>
      <c r="G366" t="inlineStr">
        <is>
          <t>criteria_provided|_single_submitter</t>
        </is>
      </c>
      <c r="H366" t="inlineStr">
        <is>
          <t>Non-small_cell_lung_carcinoma</t>
        </is>
      </c>
      <c r="I366" t="inlineStr">
        <is>
          <t>Pathogenic</t>
        </is>
      </c>
      <c r="J366" t="inlineStr">
        <is>
          <t>EGFR</t>
        </is>
      </c>
      <c r="K366" t="inlineStr">
        <is>
          <t>regulatory_region_variant|intron_variant|inframe_insertion|TF_binding_site_variant|non_coding_transcript_exon_variant</t>
        </is>
      </c>
      <c r="L366" t="inlineStr">
        <is>
          <t>|NP_001333828.1:p.Asn726_Pro727insHis|ENSP00000275493.2:p.Asn771_Pro772insHis|ENSP00000415559.1:p.Asn726_Pro727insHis|NP_001333829.1:p.Asn718_Pro719insHis|NP_001333870.1:p.Asn504_Pro505insHis|NP_005219.2:p.Asn771_Pro772insHis|NP_001333826.1:p.Asn726_Pro727insHis|NP_001333827.1:p.Asn771_Pro772insHis|ENSP00000395243.2:p.Asn718_Pro719insHis</t>
        </is>
      </c>
      <c r="M366" t="inlineStr">
        <is>
          <t>|NM_001346899.1:c.2177_2179dup|ENST00000275493.2:c.2312_2314dup|ENST00000455089.1:c.2177_2179dup|NM_005228.5:c.2312_2314dup|NM_001346941.2:c.1511_1513dup|ENST00000454757.2:c.2153_2155dup|ENST00000442411.1:n.1233_1235dup|NM_001346897.2:c.2177_2179dup|NM_001346900.2:c.2153_2155dup|NM_001346898.2:c.2312_2314dup|NR_047551.1:n.1248_1250dup|ENST00000442591.1:c.*28+8393_*28+8395dup</t>
        </is>
      </c>
      <c r="N366" t="inlineStr"/>
      <c r="O366" t="inlineStr"/>
      <c r="P366" t="inlineStr"/>
      <c r="Q366" t="inlineStr"/>
      <c r="R366" t="inlineStr"/>
      <c r="S366" t="inlineStr"/>
    </row>
    <row r="367">
      <c r="A367" t="inlineStr">
        <is>
          <t>7</t>
        </is>
      </c>
      <c r="B367" t="n">
        <v>55249016</v>
      </c>
      <c r="C367" t="inlineStr">
        <is>
          <t>C</t>
        </is>
      </c>
      <c r="D367" t="inlineStr">
        <is>
          <t>CCCCACG</t>
        </is>
      </c>
      <c r="E367" t="inlineStr">
        <is>
          <t>45260</t>
        </is>
      </c>
      <c r="F367">
        <f>HYPERLINK("https://www.ncbi.nlm.nih.gov/clinvar/variation/45260/","ClinVarDB")</f>
        <v/>
      </c>
      <c r="G367" t="inlineStr">
        <is>
          <t>criteria_provided|_single_submitter</t>
        </is>
      </c>
      <c r="H367" t="inlineStr">
        <is>
          <t>Non-small_cell_lung_carcinoma</t>
        </is>
      </c>
      <c r="I367" t="inlineStr">
        <is>
          <t>Likely_pathogenic</t>
        </is>
      </c>
      <c r="J367" t="inlineStr">
        <is>
          <t>EGFR</t>
        </is>
      </c>
      <c r="K367" t="inlineStr">
        <is>
          <t>regulatory_region_variant|intron_variant|inframe_insertion|TF_binding_site_variant|non_coding_transcript_exon_variant</t>
        </is>
      </c>
      <c r="L367" t="inlineStr">
        <is>
          <t>|NP_001333870.1:p.His506_Val507insAlaHis|NP_001333829.1:p.His720_Val721insAlaHis|ENSP00000275493.2:p.His773_Val774insAlaHis|NP_001333826.1:p.His728_Val729insAlaHis|ENSP00000395243.2:p.His720_Val721insAlaHis|ENSP00000415559.1:p.His728_Val729insAlaHis|NP_005219.2:p.His773_Val774insAlaHis|NP_001333828.1:p.His728_Val729insAlaHis|NP_001333827.1:p.His773_Val774insAlaHis</t>
        </is>
      </c>
      <c r="M367" t="inlineStr">
        <is>
          <t>NM_005228.5:c.2315_2320dup|NM_001346900.2:c.2156_2161dup|ENST00000442411.1:n.1227_1232dup||ENST00000442591.1:c.*28+8396_*28+8401dup|NM_001346897.2:c.2180_2185dup|ENST00000455089.1:c.2180_2185dup|NM_001346898.2:c.2315_2320dup|ENST00000275493.2:c.2315_2320dup|NM_001346899.1:c.2180_2185dup|NR_047551.1:n.1242_1247dup|ENST00000454757.2:c.2156_2161dup|NM_001346941.2:c.1514_1519dup</t>
        </is>
      </c>
      <c r="N367" t="inlineStr"/>
      <c r="O367" t="inlineStr"/>
      <c r="P367" t="inlineStr"/>
      <c r="Q367" t="inlineStr"/>
      <c r="R367" t="inlineStr"/>
      <c r="S367" t="inlineStr"/>
    </row>
    <row r="368">
      <c r="A368" t="inlineStr">
        <is>
          <t>14</t>
        </is>
      </c>
      <c r="B368" t="n">
        <v>95570208</v>
      </c>
      <c r="C368" t="inlineStr">
        <is>
          <t>AATTGCTGTA</t>
        </is>
      </c>
      <c r="D368" t="inlineStr">
        <is>
          <t>T</t>
        </is>
      </c>
      <c r="E368" t="inlineStr">
        <is>
          <t>429158</t>
        </is>
      </c>
      <c r="F368">
        <f>HYPERLINK("https://www.ncbi.nlm.nih.gov/clinvar/variation/429158/","ClinVarDB")</f>
        <v/>
      </c>
      <c r="G368" t="inlineStr">
        <is>
          <t>criteria_provided|_single_submitter</t>
        </is>
      </c>
      <c r="H368" t="inlineStr">
        <is>
          <t>Hereditary_cancer-predisposing_syndrome</t>
        </is>
      </c>
      <c r="I368" t="inlineStr">
        <is>
          <t>Pathogenic</t>
        </is>
      </c>
      <c r="J368" t="inlineStr">
        <is>
          <t>DICER1</t>
        </is>
      </c>
      <c r="K368" t="inlineStr">
        <is>
          <t>protein_altering_variant|non_coding_transcript_exon_variant</t>
        </is>
      </c>
      <c r="L368" t="inlineStr">
        <is>
          <t>ENSP00000343745.3:p.Thr1173_Ile1175del||NP_001182502.1:p.Thr1173_Ile1175del|ENSP00000376783.1:p.Thr1173_Ile1175del|NP_001278557.1:p.Thr1173_Ile1175del|NP_085124.2:p.Thr1173_Ile1175del|NP_803187.1:p.Thr1173_Ile1175del|ENSP00000437256.1:p.Thr1173_Ile1175del|ENSP00000435681.1:p.Thr1173_Ile1175del|NP_001258211.1:p.Thr1173_Ile1175del|ENSP00000444719.1:p.Thr1173_Ile1175del|ENSP00000451041.1:p.Thr71_Ile73del</t>
        </is>
      </c>
      <c r="M368" t="inlineStr">
        <is>
          <t>NM_001195573.1:c.3516_3525delinsA|ENST00000554367.1:n.725_734delinsA|ENST00000393063.1:c.3516_3525delinsA|NM_030621.4:c.3516_3525delinsA|ENST00000556045.1:c.210_219delinsA|ENST00000343455.3:c.3516_3525delinsA|NM_001271282.3:c.3516_3525delinsA|NM_001291628.1:c.3516_3525delinsA|ENST00000541352.1:c.3516_3525delinsA|NM_177438.2:c.3516_3525delinsA|ENST00000527414.1:c.3516_3525delinsA|ENST00000526495.1:c.3516_3525delinsA</t>
        </is>
      </c>
      <c r="N368" t="inlineStr"/>
      <c r="O368" t="inlineStr"/>
      <c r="P368" t="inlineStr"/>
      <c r="Q368" t="inlineStr"/>
      <c r="R368" t="inlineStr"/>
      <c r="S368" t="inlineStr"/>
    </row>
    <row r="369">
      <c r="A369" t="inlineStr">
        <is>
          <t>14</t>
        </is>
      </c>
      <c r="B369" t="n">
        <v>95557625</v>
      </c>
      <c r="C369" t="inlineStr">
        <is>
          <t>CGACTCAAAAATATCCC</t>
        </is>
      </c>
      <c r="D369" t="inlineStr">
        <is>
          <t>TG</t>
        </is>
      </c>
      <c r="E369" t="inlineStr">
        <is>
          <t>933079</t>
        </is>
      </c>
      <c r="F369">
        <f>HYPERLINK("https://www.ncbi.nlm.nih.gov/clinvar/variation/933079/","ClinVarDB")</f>
        <v/>
      </c>
      <c r="G369" t="inlineStr">
        <is>
          <t>criteria_provided|_single_submitter</t>
        </is>
      </c>
      <c r="H369" t="inlineStr">
        <is>
          <t>DICER1-related_pleuropulmonary_blastoma_cancer_predisposition_syndrome</t>
        </is>
      </c>
      <c r="I369" t="inlineStr">
        <is>
          <t>Likely_pathogenic</t>
        </is>
      </c>
      <c r="J369" t="inlineStr">
        <is>
          <t>DICER1</t>
        </is>
      </c>
      <c r="K369" t="inlineStr">
        <is>
          <t>protein_altering_variant|intron_variant|non_coding_transcript_exon_variant</t>
        </is>
      </c>
      <c r="L369" t="inlineStr">
        <is>
          <t>|NP_001278557.1:p.Gly1809_Ser1814delinsAla|ENSP00000435681.1:p.Gly1809_Ser1814delinsAla|NP_085124.2:p.Gly1809_Ser1814delinsAla|ENSP00000437256.1:p.Gly1809_Ser1814delinsAla|NP_001258211.1:p.Gly1809_Ser1814delinsAla|NP_803187.1:p.Gly1809_Ser1814delinsAla|ENSP00000451041.1:p.Gly707_Ser712delinsAla|ENSP00000343745.3:p.Gly1809_Ser1814delinsAla|ENSP00000376783.1:p.Gly1809_Ser1814delinsAla</t>
        </is>
      </c>
      <c r="M369" t="inlineStr">
        <is>
          <t>NM_001291628.1:c.5426_5442delinsCA|ENST00000527414.1:c.5426_5442delinsCA|NM_177438.2:c.5426_5442delinsCA|ENST00000556045.1:c.2120_2136delinsCA|ENST00000343455.3:c.5426_5442delinsCA|ENST00000527554.2:n.119_135delinsCA|ENST00000527416.2:n.19_35delinsCA|NM_001271282.3:c.5426_5442delinsCA|ENST00000541352.1:c.5365-195_5365-179delinsCA|NM_030621.4:c.5426_5442delinsCA|NM_001195573.1:c.5365-195_5365-179delinsCA|ENST00000393063.1:c.5426_5442delinsCA|ENST00000526495.1:c.5426_5442delinsCA</t>
        </is>
      </c>
      <c r="N369" t="inlineStr"/>
      <c r="O369" t="inlineStr"/>
      <c r="P369" t="inlineStr"/>
      <c r="Q369" t="inlineStr"/>
      <c r="R369" t="inlineStr"/>
      <c r="S369" t="inlineStr"/>
    </row>
    <row r="370">
      <c r="A370" t="inlineStr">
        <is>
          <t>14</t>
        </is>
      </c>
      <c r="B370" t="n">
        <v>95574328</v>
      </c>
      <c r="C370" t="inlineStr">
        <is>
          <t>TAATC</t>
        </is>
      </c>
      <c r="D370" t="inlineStr">
        <is>
          <t>AATGCTTGAAGTTGATT</t>
        </is>
      </c>
      <c r="E370" t="inlineStr">
        <is>
          <t>933057</t>
        </is>
      </c>
      <c r="F370">
        <f>HYPERLINK("https://www.ncbi.nlm.nih.gov/clinvar/variation/933057/","ClinVarDB")</f>
        <v/>
      </c>
      <c r="G370" t="inlineStr">
        <is>
          <t>criteria_provided|_single_submitter</t>
        </is>
      </c>
      <c r="H370" t="inlineStr">
        <is>
          <t>DICER1-related_pleuropulmonary_blastoma_cancer_predisposition_syndrome</t>
        </is>
      </c>
      <c r="I370" t="inlineStr">
        <is>
          <t>Likely_pathogenic</t>
        </is>
      </c>
      <c r="J370" t="inlineStr">
        <is>
          <t>DICER1</t>
        </is>
      </c>
      <c r="K370" t="inlineStr">
        <is>
          <t>protein_altering_variant</t>
        </is>
      </c>
      <c r="L370" t="inlineStr">
        <is>
          <t>ENSP00000437256.1:p.Thr847delinsAsnPheLysHisSer|ENSP00000435681.1:p.Thr847delinsAsnPheLysHisSer|NP_001182502.1:p.Thr847delinsAsnPheLysHisSer|ENSP00000343745.3:p.Thr847delinsAsnPheLysHisSer|ENSP00000444719.1:p.Thr847delinsAsnPheLysHisSer|NP_085124.2:p.Thr847delinsAsnPheLysHisSer|NP_803187.1:p.Thr847delinsAsnPheLysHisSer|ENSP00000376783.1:p.Thr847delinsAsnPheLysHisSer|NP_001258211.1:p.Thr847delinsAsnPheLysHisSer|NP_001278557.1:p.Thr847delinsAsnPheLysHisSer</t>
        </is>
      </c>
      <c r="M370" t="inlineStr">
        <is>
          <t>ENST00000541352.1:c.2535_2539delinsAATCAACTTCAAGCATT|NM_001291628.1:c.2535_2539delinsAATCAACTTCAAGCATT|NM_001271282.3:c.2535_2539delinsAATCAACTTCAAGCATT|ENST00000527414.1:c.2535_2539delinsAATCAACTTCAAGCATT|NM_177438.2:c.2535_2539delinsAATCAACTTCAAGCATT|NM_030621.4:c.2535_2539delinsAATCAACTTCAAGCATT|ENST00000526495.1:c.2535_2539delinsAATCAACTTCAAGCATT|ENST00000393063.1:c.2535_2539delinsAATCAACTTCAAGCATT|NM_001195573.1:c.2535_2539delinsAATCAACTTCAAGCATT|ENST00000343455.3:c.2535_2539delinsAATCAACTTCAAGCATT</t>
        </is>
      </c>
      <c r="N370" t="inlineStr"/>
      <c r="O370" t="inlineStr"/>
      <c r="P370" t="inlineStr"/>
      <c r="Q370" t="inlineStr"/>
      <c r="R370" t="inlineStr"/>
      <c r="S370" t="inlineStr"/>
    </row>
    <row r="371">
      <c r="A371" t="inlineStr">
        <is>
          <t>14</t>
        </is>
      </c>
      <c r="B371" t="n">
        <v>95557628</v>
      </c>
      <c r="C371" t="inlineStr">
        <is>
          <t>C</t>
        </is>
      </c>
      <c r="D371" t="inlineStr">
        <is>
          <t>T</t>
        </is>
      </c>
      <c r="E371" t="inlineStr">
        <is>
          <t>933093</t>
        </is>
      </c>
      <c r="F371">
        <f>HYPERLINK("https://www.ncbi.nlm.nih.gov/clinvar/variation/933093/","ClinVarDB")</f>
        <v/>
      </c>
      <c r="G371" t="inlineStr">
        <is>
          <t>criteria_provided|_single_submitter</t>
        </is>
      </c>
      <c r="H371" t="inlineStr">
        <is>
          <t>DICER1-related_pleuropulmonary_blastoma_cancer_predisposition_syndrome</t>
        </is>
      </c>
      <c r="I371" t="inlineStr">
        <is>
          <t>Pathogenic</t>
        </is>
      </c>
      <c r="J371" t="inlineStr">
        <is>
          <t>DICER1</t>
        </is>
      </c>
      <c r="K371" t="inlineStr">
        <is>
          <t>intron_variant|synonymous_variant|non_coding_transcript_exon_variant</t>
        </is>
      </c>
      <c r="L371" t="inlineStr">
        <is>
          <t>|NP_001278557.1:p.Glu1813=|NP_803187.1:p.Glu1813=|ENSP00000343745.3:p.Glu1813=|NP_085124.2:p.Glu1813=|ENSP00000435681.1:p.Glu1813=|ENSP00000376783.1:p.Glu1813=|ENSP00000437256.1:p.Glu1813=|NP_001258211.1:p.Glu1813=|ENSP00000451041.1:p.Glu711=</t>
        </is>
      </c>
      <c r="M371" t="inlineStr">
        <is>
          <t>NM_030621.4:c.5439G&gt;A|ENST00000541352.1:c.5365-182G&gt;A|ENST00000393063.1:c.5439G&gt;A|NM_177438.2:c.5439G&gt;A|ENST00000343455.3:c.5439G&gt;A|ENST00000527416.2:n.32G&gt;A|NM_001271282.3:c.5439G&gt;A|ENST00000556045.1:c.2133G&gt;A|NM_001291628.1:c.5439G&gt;A|NM_001195573.1:c.5365-182G&gt;A|ENST00000526495.1:c.5439G&gt;A|ENST00000527414.1:c.5439G&gt;A|ENST00000527554.2:n.132G&gt;A</t>
        </is>
      </c>
      <c r="N371" t="inlineStr"/>
      <c r="O371" t="inlineStr"/>
      <c r="P371" t="inlineStr"/>
      <c r="Q371" t="inlineStr"/>
      <c r="R371" t="inlineStr"/>
      <c r="S371" t="inlineStr"/>
    </row>
    <row r="372">
      <c r="A372" t="inlineStr">
        <is>
          <t>14</t>
        </is>
      </c>
      <c r="B372" t="n">
        <v>95557634</v>
      </c>
      <c r="C372" t="inlineStr">
        <is>
          <t>A</t>
        </is>
      </c>
      <c r="D372" t="inlineStr">
        <is>
          <t>AATATCCCCC</t>
        </is>
      </c>
      <c r="E372" t="inlineStr">
        <is>
          <t>429155</t>
        </is>
      </c>
      <c r="F372">
        <f>HYPERLINK("https://www.ncbi.nlm.nih.gov/clinvar/variation/429155/","ClinVarDB")</f>
        <v/>
      </c>
      <c r="G372" t="inlineStr">
        <is>
          <t>criteria_provided|_single_submitter</t>
        </is>
      </c>
      <c r="H372" t="inlineStr">
        <is>
          <t>Hereditary_cancer-predisposing_syndrome</t>
        </is>
      </c>
      <c r="I372" t="inlineStr">
        <is>
          <t>Pathogenic</t>
        </is>
      </c>
      <c r="J372" t="inlineStr">
        <is>
          <t>DICER1</t>
        </is>
      </c>
      <c r="K372" t="inlineStr">
        <is>
          <t>intron_variant|non_coding_transcript_exon_variant|inframe_insertion</t>
        </is>
      </c>
      <c r="L372" t="inlineStr">
        <is>
          <t>|NP_085124.2:p.Met1808_Asp1810dup|ENSP00000376783.1:p.Met1808_Asp1810dup|ENSP00000451041.1:p.Met706_Asp708dup|NP_001278557.1:p.Met1808_Asp1810dup|NP_803187.1:p.Met1808_Asp1810dup|ENSP00000437256.1:p.Met1808_Asp1810dup|ENSP00000435681.1:p.Met1808_Asp1810dup|ENSP00000343745.3:p.Met1808_Asp1810dup|NP_001258211.1:p.Met1808_Asp1810dup</t>
        </is>
      </c>
      <c r="M372" t="inlineStr">
        <is>
          <t>NM_030621.4:c.5424_5432dup|ENST00000527416.2:n.17_25dup|NM_177438.2:c.5424_5432dup|ENST00000526495.1:c.5424_5432dup|ENST00000343455.3:c.5424_5432dup|NM_001271282.3:c.5424_5432dup|ENST00000527554.2:n.117_125dup|ENST00000527414.1:c.5424_5432dup|ENST00000393063.1:c.5424_5432dup|NM_001195573.1:c.5365-197_5365-189dup|ENST00000541352.1:c.5365-197_5365-189dup|NM_001291628.1:c.5424_5432dup|ENST00000556045.1:c.2118_2126dup</t>
        </is>
      </c>
      <c r="N372" t="inlineStr"/>
      <c r="O372" t="inlineStr"/>
      <c r="P372" t="inlineStr"/>
      <c r="Q372" t="inlineStr"/>
      <c r="R372" t="inlineStr"/>
      <c r="S372" t="inlineStr"/>
    </row>
    <row r="373">
      <c r="A373" t="inlineStr">
        <is>
          <t>14</t>
        </is>
      </c>
      <c r="B373" t="n">
        <v>95559038</v>
      </c>
      <c r="C373" t="inlineStr">
        <is>
          <t>A</t>
        </is>
      </c>
      <c r="D373" t="inlineStr">
        <is>
          <t>C</t>
        </is>
      </c>
      <c r="E373" t="inlineStr">
        <is>
          <t>933041</t>
        </is>
      </c>
      <c r="F373">
        <f>HYPERLINK("https://www.ncbi.nlm.nih.gov/clinvar/variation/933041/","ClinVarDB")</f>
        <v/>
      </c>
      <c r="G373" t="inlineStr">
        <is>
          <t>criteria_provided|_single_submitter</t>
        </is>
      </c>
      <c r="H373" t="inlineStr">
        <is>
          <t>DICER1-related_pleuropulmonary_blastoma_cancer_predisposition_syndrome</t>
        </is>
      </c>
      <c r="I373" t="inlineStr">
        <is>
          <t>Likely_pathogenic</t>
        </is>
      </c>
      <c r="J373" t="inlineStr">
        <is>
          <t>DICER1</t>
        </is>
      </c>
      <c r="K373" t="inlineStr">
        <is>
          <t>intron_variant</t>
        </is>
      </c>
      <c r="L373" t="inlineStr"/>
      <c r="M373" t="inlineStr">
        <is>
          <t>ENST00000393063.1:c.5364+1187T&gt;G|ENST00000527414.1:c.5364+1187T&gt;G|NM_001195573.1:c.5364+1187T&gt;G|NM_001291628.1:c.5364+1187T&gt;G|NM_001271282.3:c.5364+1187T&gt;G|ENST00000343455.3:c.5364+1187T&gt;G|ENST00000541352.1:c.5364+1187T&gt;G|ENST00000556045.1:c.2058+1187T&gt;G|NM_030621.4:c.5364+1187T&gt;G|NM_177438.2:c.5364+1187T&gt;G|ENST00000526495.1:c.5364+1187T&gt;G</t>
        </is>
      </c>
      <c r="N373" t="inlineStr"/>
      <c r="O373" t="inlineStr"/>
      <c r="P373" t="inlineStr"/>
      <c r="Q373" t="inlineStr"/>
      <c r="R373" t="inlineStr"/>
      <c r="S373" t="inlineStr"/>
    </row>
    <row r="374">
      <c r="A374" t="inlineStr">
        <is>
          <t>16</t>
        </is>
      </c>
      <c r="B374" t="n">
        <v>50825606</v>
      </c>
      <c r="C374" t="inlineStr">
        <is>
          <t>G</t>
        </is>
      </c>
      <c r="D374" t="inlineStr">
        <is>
          <t>A</t>
        </is>
      </c>
      <c r="E374" t="inlineStr">
        <is>
          <t>978671</t>
        </is>
      </c>
      <c r="F374">
        <f>HYPERLINK("https://www.ncbi.nlm.nih.gov/clinvar/variation/978671/","ClinVarDB")</f>
        <v/>
      </c>
      <c r="G374" t="inlineStr">
        <is>
          <t>criteria_provided|_single_submitter</t>
        </is>
      </c>
      <c r="H374" t="inlineStr">
        <is>
          <t>Cylindromatosis|_familial</t>
        </is>
      </c>
      <c r="I374" t="inlineStr">
        <is>
          <t>Pathogenic</t>
        </is>
      </c>
      <c r="J374" t="inlineStr">
        <is>
          <t>CYLD</t>
        </is>
      </c>
      <c r="K374" t="inlineStr">
        <is>
          <t>intron_variant&amp;non_coding_transcript_variant|splice_region_variant&amp;intron_variant</t>
        </is>
      </c>
      <c r="L374" t="inlineStr"/>
      <c r="M374" t="inlineStr">
        <is>
          <t>ENST00000564326.1:c.2232+5G&gt;A|ENST00000427738.3:c.2241+5G&gt;A|NM_001042355.2:c.2232+5G&gt;A|NM_001042412.2:c.2232+5G&gt;A|ENST00000398568.2:c.2232+5G&gt;A|ENST00000566206.1:c.2232+5G&gt;A|NM_015247.2:c.2241+5G&gt;A|ENST00000540145.1:c.2241+5G&gt;A|ENST00000311559.9:c.2241+5G&gt;A|ENST00000569418.1:c.2232+5G&gt;A|ENST00000564510.1:n.457-7506C&gt;T|ENST00000568704.2:c.1686+5G&gt;A|ENST00000575917.1:n.27+6521C&gt;T</t>
        </is>
      </c>
      <c r="N374" t="inlineStr"/>
      <c r="O374" t="inlineStr"/>
      <c r="P374" t="inlineStr"/>
      <c r="Q374" t="inlineStr"/>
      <c r="R374" t="inlineStr"/>
      <c r="S374" t="inlineStr"/>
    </row>
    <row r="375">
      <c r="A375" t="inlineStr">
        <is>
          <t>9</t>
        </is>
      </c>
      <c r="B375" t="n">
        <v>21974780</v>
      </c>
      <c r="C375" t="inlineStr">
        <is>
          <t>A</t>
        </is>
      </c>
      <c r="D375" t="inlineStr">
        <is>
          <t>AGCC</t>
        </is>
      </c>
      <c r="E375" t="inlineStr">
        <is>
          <t>182408</t>
        </is>
      </c>
      <c r="F375">
        <f>HYPERLINK("https://www.ncbi.nlm.nih.gov/clinvar/variation/182408/","ClinVarDB")</f>
        <v/>
      </c>
      <c r="G375" t="inlineStr">
        <is>
          <t>criteria_provided|_single_submitter</t>
        </is>
      </c>
      <c r="H375" t="inlineStr">
        <is>
          <t>Hereditary_cancer-predisposing_syndrome</t>
        </is>
      </c>
      <c r="I375" t="inlineStr">
        <is>
          <t>Pathogenic</t>
        </is>
      </c>
      <c r="J375" t="inlineStr">
        <is>
          <t>CDKN2A</t>
        </is>
      </c>
      <c r="K375" t="inlineStr">
        <is>
          <t>regulatory_region_variant|intron_variant|inframe_insertion|inframe_insertion&amp;NMD_transcript_variant|TF_binding_site_variant|intron_variant&amp;NMD_transcript_variant</t>
        </is>
      </c>
      <c r="L375" t="inlineStr">
        <is>
          <t>|NP_478104.2:p.Trp15_Leu16insArg|ENSP00000307101.5:p.Trp15_Leu16insArg|ENSP00000464202.1:p.Trp15_Leu16insArg|ENSP00000369496.3:p.Trp15_Leu16insArg|NP_001182061.1:p.Trp15_Leu16insArg|NP_000068.1:p.Trp15_Leu16insArg|ENSP00000418915.1:p.Trp15_Leu16insArg|ENSP00000394932.1:p.Trp15_Leu16insArg</t>
        </is>
      </c>
      <c r="M375" t="inlineStr">
        <is>
          <t>|ENST00000579755.1:c.194-3576_194-3574dup|ENST00000498124.1:c.44_46dup|ENST00000380151.3:c.44_46dup|ENST00000579122.1:c.44_46dup|ENST00000498628.2:c.-3-3576_-3-3574dup|NM_001363763.2:c.-3-3576_-3-3574dup|NM_058195.3:c.194-3576_194-3574dup|ENST00000494262.1:c.-3-3576_-3-3574dup|ENST00000530628.2:c.194-3576_194-3574dup|ENST00000304494.5:c.44_46dup|NM_001195132.1:c.44_46dup|NM_058197.4:c.44_46dup|ENST00000404796.2:c.348-54651_348-54649dup|ENST00000446177.1:c.44_46dup|NM_000077.4:c.44_46dup|ENST00000361570.3:c.317-3576_317-3574dup</t>
        </is>
      </c>
      <c r="N375" t="inlineStr"/>
      <c r="O375" t="inlineStr"/>
      <c r="P375" t="inlineStr"/>
      <c r="Q375" t="inlineStr"/>
      <c r="R375" t="inlineStr"/>
      <c r="S375" t="inlineStr"/>
    </row>
    <row r="376">
      <c r="A376" t="inlineStr">
        <is>
          <t>17</t>
        </is>
      </c>
      <c r="B376" t="n">
        <v>59770846</v>
      </c>
      <c r="C376" t="inlineStr">
        <is>
          <t>T</t>
        </is>
      </c>
      <c r="D376" t="inlineStr">
        <is>
          <t>TCCCCAATCATTTCTTTTTTTTTTTTTTTTTTTTTTTTTTTTTTTTTNNNNNNNNNNNNNNNTGGTCTCGATCTCCTGACCTCGTGATCCGCCCGCCTCGGCCTCCCAAAGTGCTGGGATTACAGGCGTGAGCCACCGCGCCCGG</t>
        </is>
      </c>
      <c r="E376" t="inlineStr">
        <is>
          <t>1072409</t>
        </is>
      </c>
      <c r="F376">
        <f>HYPERLINK("https://www.ncbi.nlm.nih.gov/clinvar/variation/1072409/","ClinVarDB")</f>
        <v/>
      </c>
      <c r="G376" t="inlineStr">
        <is>
          <t>criteria_provided|_single_submitter</t>
        </is>
      </c>
      <c r="H376" t="inlineStr">
        <is>
          <t>Fanconi_anemia|_complementation_group_J|Familial_cancer_of_breast</t>
        </is>
      </c>
      <c r="I376" t="inlineStr">
        <is>
          <t>Pathogenic</t>
        </is>
      </c>
      <c r="J376" t="inlineStr">
        <is>
          <t>BRIP1</t>
        </is>
      </c>
      <c r="K376" t="inlineStr">
        <is>
          <t>coding_sequence_variant</t>
        </is>
      </c>
      <c r="L376" t="inlineStr"/>
      <c r="M376" t="inlineStr"/>
      <c r="N376" t="inlineStr"/>
      <c r="O376" t="inlineStr"/>
      <c r="P376" t="inlineStr"/>
      <c r="Q376" t="inlineStr"/>
      <c r="R376" t="inlineStr"/>
      <c r="S376" t="inlineStr"/>
    </row>
    <row r="377">
      <c r="A377" t="inlineStr">
        <is>
          <t>13</t>
        </is>
      </c>
      <c r="B377" t="n">
        <v>32968822</v>
      </c>
      <c r="C377" t="inlineStr">
        <is>
          <t>C</t>
        </is>
      </c>
      <c r="D377" t="inlineStr">
        <is>
          <t>CTAGGACT</t>
        </is>
      </c>
      <c r="E377" t="inlineStr">
        <is>
          <t>267721</t>
        </is>
      </c>
      <c r="F377">
        <f>HYPERLINK("https://www.ncbi.nlm.nih.gov/clinvar/variation/267721/","ClinVarDB")</f>
        <v/>
      </c>
      <c r="G377" t="inlineStr">
        <is>
          <t>criteria_provided|_single_submitter</t>
        </is>
      </c>
      <c r="H377" t="inlineStr">
        <is>
          <t>Breast-ovarian_cancer|_familial_2</t>
        </is>
      </c>
      <c r="I377" t="inlineStr">
        <is>
          <t>Pathogenic</t>
        </is>
      </c>
      <c r="J377" t="inlineStr">
        <is>
          <t>BRCA2</t>
        </is>
      </c>
      <c r="K377" t="inlineStr">
        <is>
          <t>splice_region_variant&amp;intron_variant|splice_region_variant&amp;intron_variant&amp;NMD_transcript_variant</t>
        </is>
      </c>
      <c r="L377" t="inlineStr"/>
      <c r="M377" t="inlineStr">
        <is>
          <t>ENST00000470094.1:c.214-2_218dup|NM_000059.3:c.9257-2_9261dup|ENST00000380152.3:c.9257-2_9261dup|ENST00000544455.1:c.9257-2_9261dup</t>
        </is>
      </c>
      <c r="N377" t="inlineStr"/>
      <c r="O377" t="inlineStr"/>
      <c r="P377" t="inlineStr"/>
      <c r="Q377" t="inlineStr"/>
      <c r="R377" t="inlineStr"/>
      <c r="S377" t="inlineStr"/>
    </row>
    <row r="378">
      <c r="A378" t="inlineStr">
        <is>
          <t>13</t>
        </is>
      </c>
      <c r="B378" t="n">
        <v>32890667</v>
      </c>
      <c r="C378" t="inlineStr">
        <is>
          <t>A</t>
        </is>
      </c>
      <c r="D378" t="inlineStr">
        <is>
          <t>G</t>
        </is>
      </c>
      <c r="E378" t="inlineStr">
        <is>
          <t>826563</t>
        </is>
      </c>
      <c r="F378">
        <f>HYPERLINK("https://www.ncbi.nlm.nih.gov/clinvar/variation/826563/","ClinVarDB")</f>
        <v/>
      </c>
      <c r="G378" t="inlineStr">
        <is>
          <t>criteria_provided|_single_submitter</t>
        </is>
      </c>
      <c r="H378" t="inlineStr">
        <is>
          <t>Hereditary_cancer-predisposing_syndrome|not_provided</t>
        </is>
      </c>
      <c r="I378" t="inlineStr">
        <is>
          <t>Likely_pathogenic</t>
        </is>
      </c>
      <c r="J378" t="inlineStr">
        <is>
          <t>BRCA2</t>
        </is>
      </c>
      <c r="K378" t="inlineStr">
        <is>
          <t>splice_region_variant&amp;intron_variant|regulatory_region_variant</t>
        </is>
      </c>
      <c r="L378" t="inlineStr"/>
      <c r="M378" t="inlineStr">
        <is>
          <t>|ENST00000380152.3:c.67+3A&gt;G|NM_000059.3:c.67+3A&gt;G|ENST00000530893.2:c.-303+7A&gt;G|ENST00000544455.1:c.67+3A&gt;G</t>
        </is>
      </c>
      <c r="N378" t="inlineStr"/>
      <c r="O378" t="inlineStr"/>
      <c r="P378" t="inlineStr"/>
      <c r="Q378" t="inlineStr"/>
      <c r="R378" t="inlineStr"/>
      <c r="S378" t="inlineStr"/>
    </row>
    <row r="379">
      <c r="A379" t="inlineStr">
        <is>
          <t>13</t>
        </is>
      </c>
      <c r="B379" t="n">
        <v>32936832</v>
      </c>
      <c r="C379" t="inlineStr">
        <is>
          <t>CAA</t>
        </is>
      </c>
      <c r="D379" t="inlineStr">
        <is>
          <t>C</t>
        </is>
      </c>
      <c r="E379" t="inlineStr">
        <is>
          <t>52454</t>
        </is>
      </c>
      <c r="F379">
        <f>HYPERLINK("https://www.ncbi.nlm.nih.gov/clinvar/variation/52454/","ClinVarDB")</f>
        <v/>
      </c>
      <c r="G379" t="inlineStr">
        <is>
          <t>criteria_provided|_single_submitter</t>
        </is>
      </c>
      <c r="H379" t="inlineStr">
        <is>
          <t>Breast-ovarian_cancer|_familial_2</t>
        </is>
      </c>
      <c r="I379" t="inlineStr">
        <is>
          <t>Pathogenic</t>
        </is>
      </c>
      <c r="J379" t="inlineStr">
        <is>
          <t>BRCA2</t>
        </is>
      </c>
      <c r="K379" t="inlineStr">
        <is>
          <t>splice_region_variant&amp;intron_variant|regulatory_region_variant</t>
        </is>
      </c>
      <c r="L379" t="inlineStr"/>
      <c r="M379" t="inlineStr">
        <is>
          <t>ENST00000380152.3:c.7976+3_7976+4del||NM_000059.3:c.7976+3_7976+4del|ENST00000544455.1:c.7976+3_7976+4del</t>
        </is>
      </c>
      <c r="N379" t="inlineStr"/>
      <c r="O379" t="inlineStr"/>
      <c r="P379" t="inlineStr"/>
      <c r="Q379" t="inlineStr"/>
      <c r="R379" t="inlineStr"/>
      <c r="S379" t="inlineStr"/>
    </row>
    <row r="380">
      <c r="A380" t="inlineStr">
        <is>
          <t>13</t>
        </is>
      </c>
      <c r="B380" t="n">
        <v>32900290</v>
      </c>
      <c r="C380" t="inlineStr">
        <is>
          <t>A</t>
        </is>
      </c>
      <c r="D380" t="inlineStr">
        <is>
          <t>T</t>
        </is>
      </c>
      <c r="E380" t="inlineStr">
        <is>
          <t>126116</t>
        </is>
      </c>
      <c r="F380">
        <f>HYPERLINK("https://www.ncbi.nlm.nih.gov/clinvar/variation/126116/","ClinVarDB")</f>
        <v/>
      </c>
      <c r="G380" t="inlineStr">
        <is>
          <t>criteria_provided|_single_submitter</t>
        </is>
      </c>
      <c r="H380" t="inlineStr">
        <is>
          <t>Breast-ovarian_cancer|_familial_2|Breast_and/or_ovarian_cancer</t>
        </is>
      </c>
      <c r="I380" t="inlineStr">
        <is>
          <t>Pathogenic</t>
        </is>
      </c>
      <c r="J380" t="inlineStr">
        <is>
          <t>BRCA2</t>
        </is>
      </c>
      <c r="K380" t="inlineStr">
        <is>
          <t>splice_region_variant&amp;intron_variant</t>
        </is>
      </c>
      <c r="L380" t="inlineStr"/>
      <c r="M380" t="inlineStr">
        <is>
          <t>ENST00000544455.1:c.475+3A&gt;T|NM_000059.3:c.475+3A&gt;T|ENST00000380152.3:c.475+3A&gt;T|ENST00000530893.2:c.106+3A&gt;T</t>
        </is>
      </c>
      <c r="N380" t="inlineStr"/>
      <c r="O380" t="inlineStr"/>
      <c r="P380" t="inlineStr"/>
      <c r="Q380" t="inlineStr"/>
      <c r="R380" t="inlineStr"/>
      <c r="S380" t="inlineStr"/>
    </row>
    <row r="381">
      <c r="A381" t="inlineStr">
        <is>
          <t>13</t>
        </is>
      </c>
      <c r="B381" t="n">
        <v>32932069</v>
      </c>
      <c r="C381" t="inlineStr">
        <is>
          <t>A</t>
        </is>
      </c>
      <c r="D381" t="inlineStr">
        <is>
          <t>C</t>
        </is>
      </c>
      <c r="E381" t="inlineStr">
        <is>
          <t>52411</t>
        </is>
      </c>
      <c r="F381">
        <f>HYPERLINK("https://www.ncbi.nlm.nih.gov/clinvar/variation/52411/","ClinVarDB")</f>
        <v/>
      </c>
      <c r="G381" t="inlineStr">
        <is>
          <t>criteria_provided|_single_submitter</t>
        </is>
      </c>
      <c r="H381" t="inlineStr">
        <is>
          <t>Breast-ovarian_cancer|_familial_2|not_specified</t>
        </is>
      </c>
      <c r="I381" t="inlineStr">
        <is>
          <t>Pathogenic</t>
        </is>
      </c>
      <c r="J381" t="inlineStr">
        <is>
          <t>BRCA2</t>
        </is>
      </c>
      <c r="K381" t="inlineStr">
        <is>
          <t>splice_region_variant&amp;intron_variant</t>
        </is>
      </c>
      <c r="L381" t="inlineStr"/>
      <c r="M381" t="inlineStr">
        <is>
          <t>ENST00000544455.1:c.7805+3A&gt;C|NM_000059.3:c.7805+3A&gt;C|ENST00000380152.3:c.7805+3A&gt;C</t>
        </is>
      </c>
      <c r="N381" t="inlineStr"/>
      <c r="O381" t="inlineStr"/>
      <c r="P381" t="inlineStr"/>
      <c r="Q381" t="inlineStr"/>
      <c r="R381" t="inlineStr"/>
      <c r="S381" t="inlineStr"/>
    </row>
    <row r="382">
      <c r="A382" t="inlineStr">
        <is>
          <t>13</t>
        </is>
      </c>
      <c r="B382" t="n">
        <v>32936651</v>
      </c>
      <c r="C382" t="inlineStr">
        <is>
          <t>T</t>
        </is>
      </c>
      <c r="D382" t="inlineStr">
        <is>
          <t>G</t>
        </is>
      </c>
      <c r="E382" t="inlineStr">
        <is>
          <t>52420</t>
        </is>
      </c>
      <c r="F382">
        <f>HYPERLINK("https://www.ncbi.nlm.nih.gov/clinvar/variation/52420/","ClinVarDB")</f>
        <v/>
      </c>
      <c r="G382" t="inlineStr">
        <is>
          <t>criteria_provided|_single_submitter</t>
        </is>
      </c>
      <c r="H382" t="inlineStr">
        <is>
          <t>Breast-ovarian_cancer|_familial_2|not_specified</t>
        </is>
      </c>
      <c r="I382" t="inlineStr">
        <is>
          <t>Pathogenic</t>
        </is>
      </c>
      <c r="J382" t="inlineStr">
        <is>
          <t>BRCA2</t>
        </is>
      </c>
      <c r="K382" t="inlineStr">
        <is>
          <t>regulatory_region_variant|intron_variant</t>
        </is>
      </c>
      <c r="L382" t="inlineStr"/>
      <c r="M382" t="inlineStr">
        <is>
          <t>|NM_000059.3:c.7806-9T&gt;G|ENST00000380152.3:c.7806-9T&gt;G|ENST00000544455.1:c.7806-9T&gt;G</t>
        </is>
      </c>
      <c r="N382" t="inlineStr"/>
      <c r="O382" t="inlineStr"/>
      <c r="P382" t="inlineStr"/>
      <c r="Q382" t="inlineStr"/>
      <c r="R382" t="inlineStr"/>
      <c r="S382" t="inlineStr"/>
    </row>
    <row r="383">
      <c r="A383" t="inlineStr">
        <is>
          <t>13</t>
        </is>
      </c>
      <c r="B383" t="n">
        <v>32944551</v>
      </c>
      <c r="C383" t="inlineStr">
        <is>
          <t>AGTACTCG</t>
        </is>
      </c>
      <c r="D383" t="inlineStr">
        <is>
          <t>CA</t>
        </is>
      </c>
      <c r="E383" t="inlineStr">
        <is>
          <t>421671</t>
        </is>
      </c>
      <c r="F383">
        <f>HYPERLINK("https://www.ncbi.nlm.nih.gov/clinvar/variation/421671/","ClinVarDB")</f>
        <v/>
      </c>
      <c r="G383" t="inlineStr">
        <is>
          <t>criteria_provided|_single_submitter</t>
        </is>
      </c>
      <c r="H383" t="inlineStr">
        <is>
          <t>not_provided</t>
        </is>
      </c>
      <c r="I383" t="inlineStr">
        <is>
          <t>Likely_pathogenic</t>
        </is>
      </c>
      <c r="J383" t="inlineStr">
        <is>
          <t>BRCA2</t>
        </is>
      </c>
      <c r="K383" t="inlineStr">
        <is>
          <t>protein_altering_variant</t>
        </is>
      </c>
      <c r="L383" t="inlineStr">
        <is>
          <t>ENSP00000439902.1:p.Ser2782_Arg2784delinsGln|NP_000050.2:p.Ser2782_Arg2784delinsGln|ENSP00000369497.3:p.Ser2782_Arg2784delinsGln</t>
        </is>
      </c>
      <c r="M383" t="inlineStr">
        <is>
          <t>NM_000059.3:c.8344_8351delinsCA|ENST00000544455.1:c.8344_8351delinsCA|ENST00000380152.3:c.8344_8351delinsCA</t>
        </is>
      </c>
      <c r="N383" t="inlineStr"/>
      <c r="O383" t="inlineStr"/>
      <c r="P383" t="inlineStr"/>
      <c r="Q383" t="inlineStr"/>
      <c r="R383" t="inlineStr"/>
      <c r="S383" t="inlineStr"/>
    </row>
    <row r="384">
      <c r="A384" t="inlineStr">
        <is>
          <t>13</t>
        </is>
      </c>
      <c r="B384" t="n">
        <v>32953872</v>
      </c>
      <c r="C384" t="inlineStr">
        <is>
          <t>T</t>
        </is>
      </c>
      <c r="D384" t="inlineStr">
        <is>
          <t>G</t>
        </is>
      </c>
      <c r="E384" t="inlineStr">
        <is>
          <t>267711</t>
        </is>
      </c>
      <c r="F384">
        <f>HYPERLINK("https://www.ncbi.nlm.nih.gov/clinvar/variation/267711/","ClinVarDB")</f>
        <v/>
      </c>
      <c r="G384" t="inlineStr">
        <is>
          <t>criteria_provided|_single_submitter</t>
        </is>
      </c>
      <c r="H384" t="inlineStr">
        <is>
          <t>Breast-ovarian_cancer|_familial_2</t>
        </is>
      </c>
      <c r="I384" t="inlineStr">
        <is>
          <t>Pathogenic</t>
        </is>
      </c>
      <c r="J384" t="inlineStr">
        <is>
          <t>BRCA2</t>
        </is>
      </c>
      <c r="K384" t="inlineStr">
        <is>
          <t>intron_variant</t>
        </is>
      </c>
      <c r="L384" t="inlineStr"/>
      <c r="M384" t="inlineStr">
        <is>
          <t>NM_000059.3:c.8954-15T&gt;G|ENST00000380152.3:c.8954-15T&gt;G|ENST00000544455.1:c.8954-15T&gt;G</t>
        </is>
      </c>
      <c r="N384" t="inlineStr"/>
      <c r="O384" t="inlineStr"/>
      <c r="P384" t="inlineStr"/>
      <c r="Q384" t="inlineStr"/>
      <c r="R384" t="inlineStr"/>
      <c r="S384" t="inlineStr"/>
    </row>
    <row r="385">
      <c r="A385" t="inlineStr">
        <is>
          <t>13</t>
        </is>
      </c>
      <c r="B385" t="n">
        <v>32953528</v>
      </c>
      <c r="C385" t="inlineStr">
        <is>
          <t>G</t>
        </is>
      </c>
      <c r="D385" t="inlineStr">
        <is>
          <t>GGATCCAGTTGGAAATTAGGAAGGCCATGGAATCTGCTGAACAAAAGGAACAAGGTTTATCAAGGGATGTAAGAAACAAGCTCAGNNNNNNNNNNNNNNAAAAAAAAAAAAA</t>
        </is>
      </c>
      <c r="E385" t="inlineStr">
        <is>
          <t>1071296</t>
        </is>
      </c>
      <c r="F385">
        <f>HYPERLINK("https://www.ncbi.nlm.nih.gov/clinvar/variation/1071296/","ClinVarDB")</f>
        <v/>
      </c>
      <c r="G385" t="inlineStr">
        <is>
          <t>criteria_provided|_single_submitter</t>
        </is>
      </c>
      <c r="H385" t="inlineStr">
        <is>
          <t>Hereditary_breast_and_ovarian_cancer_syndrome</t>
        </is>
      </c>
      <c r="I385" t="inlineStr">
        <is>
          <t>Pathogenic</t>
        </is>
      </c>
      <c r="J385" t="inlineStr">
        <is>
          <t>BRCA2</t>
        </is>
      </c>
      <c r="K385" t="inlineStr">
        <is>
          <t>coding_sequence_variant|3_prime_UTR_variant&amp;NMD_transcript_variant</t>
        </is>
      </c>
      <c r="L385" t="inlineStr"/>
      <c r="M385" t="inlineStr"/>
      <c r="N385" t="inlineStr"/>
      <c r="O385" t="inlineStr"/>
      <c r="P385" t="inlineStr"/>
      <c r="Q385" t="inlineStr"/>
      <c r="R385" t="inlineStr"/>
      <c r="S385" t="inlineStr"/>
    </row>
    <row r="386">
      <c r="A386" t="inlineStr">
        <is>
          <t>13</t>
        </is>
      </c>
      <c r="B386" t="n">
        <v>32913498</v>
      </c>
      <c r="C386" t="inlineStr">
        <is>
          <t>T</t>
        </is>
      </c>
      <c r="D386" t="inlineStr">
        <is>
          <t>TACGCGGTGGCGGGCGCCTGTAGTCCCAGCTACTCGGGAGGCTGAGGCAGGAGAATGGCTTGAACCCGGGAGGCGGAGCTTGCAGTGAGCCGAGATTCCNNNNAAAAAAAAAAAAAAAAAAAAAAAAAAAAAAAAA</t>
        </is>
      </c>
      <c r="E386" t="inlineStr">
        <is>
          <t>1072558</t>
        </is>
      </c>
      <c r="F386">
        <f>HYPERLINK("https://www.ncbi.nlm.nih.gov/clinvar/variation/1072558/","ClinVarDB")</f>
        <v/>
      </c>
      <c r="G386" t="inlineStr">
        <is>
          <t>criteria_provided|_single_submitter</t>
        </is>
      </c>
      <c r="H386" t="inlineStr">
        <is>
          <t>Hereditary_breast_and_ovarian_cancer_syndrome</t>
        </is>
      </c>
      <c r="I386" t="inlineStr">
        <is>
          <t>Pathogenic</t>
        </is>
      </c>
      <c r="J386" t="inlineStr">
        <is>
          <t>BRCA2</t>
        </is>
      </c>
      <c r="K386" t="inlineStr">
        <is>
          <t>coding_sequence_variant</t>
        </is>
      </c>
      <c r="L386" t="inlineStr"/>
      <c r="M386" t="inlineStr"/>
      <c r="N386" t="inlineStr"/>
      <c r="O386" t="inlineStr"/>
      <c r="P386" t="inlineStr"/>
      <c r="Q386" t="inlineStr"/>
      <c r="R386" t="inlineStr"/>
      <c r="S386" t="inlineStr"/>
    </row>
    <row r="387">
      <c r="A387" t="inlineStr">
        <is>
          <t>17</t>
        </is>
      </c>
      <c r="B387" t="n">
        <v>41201135</v>
      </c>
      <c r="C387" t="inlineStr">
        <is>
          <t>T</t>
        </is>
      </c>
      <c r="D387" t="inlineStr">
        <is>
          <t>A</t>
        </is>
      </c>
      <c r="E387" t="inlineStr">
        <is>
          <t>55562</t>
        </is>
      </c>
      <c r="F387">
        <f>HYPERLINK("https://www.ncbi.nlm.nih.gov/clinvar/variation/55562/","ClinVarDB")</f>
        <v/>
      </c>
      <c r="G387" t="inlineStr">
        <is>
          <t>criteria_provided|_single_submitter</t>
        </is>
      </c>
      <c r="H387" t="inlineStr">
        <is>
          <t>Breast-ovarian_cancer|_familial_1</t>
        </is>
      </c>
      <c r="I387" t="inlineStr">
        <is>
          <t>Pathogenic</t>
        </is>
      </c>
      <c r="J387" t="inlineStr">
        <is>
          <t>BRCA1</t>
        </is>
      </c>
      <c r="K387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387" t="inlineStr"/>
      <c r="M387" t="inlineStr">
        <is>
          <t>NM_007299.4:c.2021-1415A&gt;T|ENST00000493795.1:c.5265+3A&gt;T|NR_027676.2:n.5583+3A&gt;T|NM_007297.4:c.5265+3A&gt;T|ENST00000491747.2:c.2094+3A&gt;T|NM_007294.4:c.5406+3A&gt;T|NM_007300.4:c.5469+3A&gt;T|ENST00000352993.3:c.1980+3A&gt;T|ENST00000346315.3:c.4689+3A&gt;T|ENST00000351666.3:c.1857+3A&gt;T|ENST00000586385.1:c.336+3A&gt;T|ENST00000471181.2:c.5469+3A&gt;T|ENST00000591534.1:c.879+3A&gt;T|ENST00000461221.1:c.*5189+3A&gt;T|ENST00000309486.4:c.4518+3A&gt;T|ENST00000354071.3:c.4611+3A&gt;T|ENST00000357654.3:c.5406+3A&gt;T|ENST00000468300.1:c.2021-1415A&gt;T|NM_007298.3:c.2094+3A&gt;T|ENST00000591849.1:c.105+3A&gt;T</t>
        </is>
      </c>
      <c r="N387" t="inlineStr"/>
      <c r="O387" t="inlineStr"/>
      <c r="P387" t="inlineStr"/>
      <c r="Q387" t="inlineStr"/>
      <c r="R387" t="inlineStr"/>
      <c r="S387" t="inlineStr"/>
    </row>
    <row r="388">
      <c r="A388" t="inlineStr">
        <is>
          <t>17</t>
        </is>
      </c>
      <c r="B388" t="n">
        <v>41201214</v>
      </c>
      <c r="C388" t="inlineStr">
        <is>
          <t>A</t>
        </is>
      </c>
      <c r="D388" t="inlineStr">
        <is>
          <t>C</t>
        </is>
      </c>
      <c r="E388" t="inlineStr">
        <is>
          <t>55537</t>
        </is>
      </c>
      <c r="F388">
        <f>HYPERLINK("https://www.ncbi.nlm.nih.gov/clinvar/variation/55537/","ClinVarDB")</f>
        <v/>
      </c>
      <c r="G388" t="inlineStr">
        <is>
          <t>criteria_provided|_single_submitter</t>
        </is>
      </c>
      <c r="H388" t="inlineStr">
        <is>
          <t>Hereditary_breast_and_ovarian_cancer_syndrome|Breast-ovarian_cancer|_familial_1</t>
        </is>
      </c>
      <c r="I388" t="inlineStr">
        <is>
          <t>Pathogenic</t>
        </is>
      </c>
      <c r="J388" t="inlineStr">
        <is>
          <t>BRCA1</t>
        </is>
      </c>
      <c r="K388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388" t="inlineStr"/>
      <c r="M388" t="inlineStr">
        <is>
          <t>NM_007297.4:c.5192-3T&gt;G|NM_007300.4:c.5396-3T&gt;G|ENST00000351666.3:c.1784-3T&gt;G|ENST00000357654.3:c.5333-3T&gt;G|ENST00000493795.1:c.5192-3T&gt;G|NM_007299.4:c.2021-1494T&gt;G|ENST00000352993.3:c.1907-3T&gt;G|ENST00000346315.3:c.4616-3T&gt;G|ENST00000586385.1:c.263-3T&gt;G|NM_007298.3:c.2021-3T&gt;G|NR_027676.2:n.5510-3T&gt;G|ENST00000471181.2:c.5396-3T&gt;G|NM_007294.4:c.5333-3T&gt;G|ENST00000309486.4:c.4445-3T&gt;G|ENST00000591849.1:c.32-3T&gt;G|ENST00000491747.2:c.2021-3T&gt;G|ENST00000591534.1:c.806-3T&gt;G|ENST00000461221.1:c.*5116-3T&gt;G|ENST00000468300.1:c.2021-1494T&gt;G|ENST00000354071.3:c.4538-3T&gt;G</t>
        </is>
      </c>
      <c r="N388" t="inlineStr"/>
      <c r="O388" t="inlineStr"/>
      <c r="P388" t="inlineStr"/>
      <c r="Q388" t="inlineStr"/>
      <c r="R388" t="inlineStr"/>
      <c r="S388" t="inlineStr"/>
    </row>
    <row r="389">
      <c r="A389" t="inlineStr">
        <is>
          <t>17</t>
        </is>
      </c>
      <c r="B389" t="n">
        <v>41242938</v>
      </c>
      <c r="C389" t="inlineStr">
        <is>
          <t>GCACACACACACACGCTTTT</t>
        </is>
      </c>
      <c r="D389" t="inlineStr">
        <is>
          <t>G</t>
        </is>
      </c>
      <c r="E389" t="inlineStr">
        <is>
          <t>987341</t>
        </is>
      </c>
      <c r="F389">
        <f>HYPERLINK("https://www.ncbi.nlm.nih.gov/clinvar/variation/987341/","ClinVarDB")</f>
        <v/>
      </c>
      <c r="G389" t="inlineStr">
        <is>
          <t>criteria_provided|_single_submitter</t>
        </is>
      </c>
      <c r="H389" t="inlineStr">
        <is>
          <t>not_provided</t>
        </is>
      </c>
      <c r="I389" t="inlineStr">
        <is>
          <t>Likely_pathogenic</t>
        </is>
      </c>
      <c r="J389" t="inlineStr">
        <is>
          <t>BRCA1</t>
        </is>
      </c>
      <c r="K389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389" t="inlineStr"/>
      <c r="M389" t="inlineStr">
        <is>
          <t>ENST00000493795.1:c.4044+4_4044+22del|ENST00000357654.3:c.4185+4_4185+22del|ENST00000493919.1:c.735+4_735+22del|NR_027676.2:n.4362+4_4362+22del|ENST00000478531.1:c.873+4_873+22del|ENST00000586385.1:c.5-26989_5-26971del|ENST00000591849.1:c.-99+34331_-99+34349del|ENST00000461221.1:c.*3968+4_*3968+22del|NM_007300.4:c.4185+4_4185+22del|ENST00000346315.3:c.4185+4_4185+22del|ENST00000461574.1:c.479+4_479+22del|NM_007297.4:c.4044+4_4044+22del|ENST00000471181.2:c.4185+4_4185+22del|ENST00000491747.2:c.876+4_876+22del|ENST00000352993.3:c.759+4_759+22del|NM_007299.4:c.876+4_876+22del|ENST00000351666.3:c.636+4_636+22del|NM_007298.3:c.876+4_876+22del|ENST00000354071.3:c.4185+4_4185+22del|ENST00000484087.1:c.498+4_498+22del|ENST00000468300.1:c.876+4_876+22del|ENST00000487825.1:c.501+4_501+22del|ENST00000591534.1:c.-43-16419_-43-16401del|ENST00000309486.4:c.3297+4_3297+22del|NM_007294.4:c.4185+4_4185+22del</t>
        </is>
      </c>
      <c r="N389" t="inlineStr"/>
      <c r="O389" t="inlineStr"/>
      <c r="P389" t="inlineStr"/>
      <c r="Q389" t="inlineStr"/>
      <c r="R389" t="inlineStr"/>
      <c r="S389" t="inlineStr"/>
    </row>
    <row r="390">
      <c r="A390" t="inlineStr">
        <is>
          <t>17</t>
        </is>
      </c>
      <c r="B390" t="n">
        <v>41251789</v>
      </c>
      <c r="C390" t="inlineStr">
        <is>
          <t>T</t>
        </is>
      </c>
      <c r="D390" t="inlineStr">
        <is>
          <t>A</t>
        </is>
      </c>
      <c r="E390" t="inlineStr">
        <is>
          <t>267607</t>
        </is>
      </c>
      <c r="F390">
        <f>HYPERLINK("https://www.ncbi.nlm.nih.gov/clinvar/variation/267607/","ClinVarDB")</f>
        <v/>
      </c>
      <c r="G390" t="inlineStr">
        <is>
          <t>criteria_provided|_single_submitter</t>
        </is>
      </c>
      <c r="H390" t="inlineStr">
        <is>
          <t>Breast-ovarian_cancer|_familial_1</t>
        </is>
      </c>
      <c r="I390" t="inlineStr">
        <is>
          <t>Pathogenic</t>
        </is>
      </c>
      <c r="J390" t="inlineStr">
        <is>
          <t>BRCA1</t>
        </is>
      </c>
      <c r="K390" t="inlineStr">
        <is>
          <t>splice_region_variant&amp;intron_variant|splice_region_variant&amp;intron_variant&amp;NMD_transcript_variant|intron_variant|splice_region_variant&amp;intron_variant&amp;non_coding_transcript_variant</t>
        </is>
      </c>
      <c r="L390" t="inlineStr"/>
      <c r="M390" t="inlineStr">
        <is>
          <t>NM_007300.4:c.547+3A&gt;T|ENST00000491747.2:c.547+3A&gt;T|NM_007299.4:c.547+3A&gt;T|ENST00000487825.1:c.295+3A&gt;T|ENST00000351666.3:c.547+3A&gt;T|ENST00000346315.3:c.547+3A&gt;T|ENST00000352993.3:c.547+3A&gt;T|ENST00000591849.1:c.-99+25499A&gt;T|ENST00000591534.1:c.-43-25251A&gt;T|ENST00000467274.1:n.611+3A&gt;T|ENST00000473961.1:c.267+3A&gt;T|ENST00000470026.1:c.547+3A&gt;T|ENST00000493795.1:c.406+3A&gt;T|ENST00000471181.2:c.547+3A&gt;T|ENST00000492859.1:c.*483+3A&gt;T|NR_027676.2:n.724+3A&gt;T|ENST00000309486.4:c.-342+3A&gt;T|ENST00000484087.1:c.292+3A&gt;T|ENST00000477152.1:c.469+3A&gt;T|ENST00000461221.1:c.*330+3A&gt;T|NM_007294.4:c.547+3A&gt;T|ENST00000497488.1:c.-218-4912A&gt;T|ENST00000354071.3:c.547+3A&gt;T|ENST00000468300.1:c.547+3A&gt;T|ENST00000494123.1:c.547+3A&gt;T|ENST00000476777.1:c.544+3A&gt;T|ENST00000478531.1:c.544+3A&gt;T|ENST00000493919.1:c.406+3A&gt;T|NM_007298.3:c.547+3A&gt;T|ENST00000586385.1:c.4+25410A&gt;T|ENST00000357654.3:c.547+3A&gt;T|NM_007297.4:c.406+3A&gt;T</t>
        </is>
      </c>
      <c r="N390" t="inlineStr"/>
      <c r="O390" t="inlineStr"/>
      <c r="P390" t="inlineStr"/>
      <c r="Q390" t="inlineStr"/>
      <c r="R390" t="inlineStr"/>
      <c r="S390" t="inlineStr"/>
    </row>
    <row r="391">
      <c r="A391" t="inlineStr">
        <is>
          <t>17</t>
        </is>
      </c>
      <c r="B391" t="n">
        <v>41215886</v>
      </c>
      <c r="C391" t="inlineStr">
        <is>
          <t>C</t>
        </is>
      </c>
      <c r="D391" t="inlineStr">
        <is>
          <t>A</t>
        </is>
      </c>
      <c r="E391" t="inlineStr">
        <is>
          <t>867708</t>
        </is>
      </c>
      <c r="F391">
        <f>HYPERLINK("https://www.ncbi.nlm.nih.gov/clinvar/variation/867708/","ClinVarDB")</f>
        <v/>
      </c>
      <c r="G391" t="inlineStr">
        <is>
          <t>criteria_provided|_single_submitter</t>
        </is>
      </c>
      <c r="H391" t="inlineStr">
        <is>
          <t>Hereditary_breast_and_ovarian_cancer_syndrome|Breast-ovarian_cancer|_familial_1</t>
        </is>
      </c>
      <c r="I391" t="inlineStr">
        <is>
          <t>Likely_pathogenic</t>
        </is>
      </c>
      <c r="J391" t="inlineStr">
        <is>
          <t>BRCA1</t>
        </is>
      </c>
      <c r="K391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391" t="inlineStr"/>
      <c r="M391" t="inlineStr">
        <is>
          <t>NM_007294.4:c.5152+5G&gt;T|NM_007298.3:c.1840+5G&gt;T|ENST00000491747.2:c.1840+5G&gt;T|ENST00000309486.4:c.4264+5G&gt;T|ENST00000591534.1:c.625+5G&gt;T|ENST00000351666.3:c.1603+5G&gt;T|ENST00000471181.2:c.5215+5G&gt;T|ENST00000357654.3:c.5152+5G&gt;T|ENST00000478531.1:c.1840+5G&gt;T|ENST00000493919.1:c.1702+5G&gt;T|ENST00000354071.3:c.4358-496G&gt;T|ENST00000484087.1:c.1465+5G&gt;T|NM_007300.4:c.5215+5G&gt;T|ENST00000586385.1:c.82+5G&gt;T|ENST00000591849.1:c.-98-13679G&gt;T|NR_027676.2:n.5329+5G&gt;T|ENST00000468300.1:c.1840+5G&gt;T|ENST00000352993.3:c.1726+5G&gt;T|ENST00000493795.1:c.5011+5G&gt;T|NM_007299.4:c.1840+5G&gt;T|ENST00000461221.1:c.*4935+5G&gt;T|NM_007297.4:c.5011+5G&gt;T|ENST00000346315.3:c.4435+5G&gt;T</t>
        </is>
      </c>
      <c r="N391" t="inlineStr"/>
      <c r="O391" t="inlineStr"/>
      <c r="P391" t="inlineStr"/>
      <c r="Q391" t="inlineStr"/>
      <c r="R391" t="inlineStr"/>
      <c r="S391" t="inlineStr"/>
    </row>
    <row r="392">
      <c r="A392" t="inlineStr">
        <is>
          <t>17</t>
        </is>
      </c>
      <c r="B392" t="n">
        <v>41215886</v>
      </c>
      <c r="C392" t="inlineStr">
        <is>
          <t>C</t>
        </is>
      </c>
      <c r="D392" t="inlineStr">
        <is>
          <t>G</t>
        </is>
      </c>
      <c r="E392" t="inlineStr">
        <is>
          <t>220736</t>
        </is>
      </c>
      <c r="F392">
        <f>HYPERLINK("https://www.ncbi.nlm.nih.gov/clinvar/variation/220736/","ClinVarDB")</f>
        <v/>
      </c>
      <c r="G392" t="inlineStr">
        <is>
          <t>criteria_provided|_single_submitter</t>
        </is>
      </c>
      <c r="H392" t="inlineStr">
        <is>
          <t>Hereditary_breast_and_ovarian_cancer_syndrome|Breast-ovarian_cancer|_familial_1</t>
        </is>
      </c>
      <c r="I392" t="inlineStr">
        <is>
          <t>Pathogenic</t>
        </is>
      </c>
      <c r="J392" t="inlineStr">
        <is>
          <t>BRCA1</t>
        </is>
      </c>
      <c r="K392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392" t="inlineStr"/>
      <c r="M392" t="inlineStr">
        <is>
          <t>ENST00000484087.1:c.1465+5G&gt;C|NM_007298.3:c.1840+5G&gt;C|ENST00000491747.2:c.1840+5G&gt;C|ENST00000346315.3:c.4435+5G&gt;C|ENST00000351666.3:c.1603+5G&gt;C|ENST00000471181.2:c.5215+5G&gt;C|NM_007297.4:c.5011+5G&gt;C|ENST00000493795.1:c.5011+5G&gt;C|NR_027676.2:n.5329+5G&gt;C|ENST00000461221.1:c.*4935+5G&gt;C|ENST00000493919.1:c.1702+5G&gt;C|ENST00000478531.1:c.1840+5G&gt;C|NM_007299.4:c.1840+5G&gt;C|ENST00000591534.1:c.625+5G&gt;C|ENST00000586385.1:c.82+5G&gt;C|ENST00000309486.4:c.4264+5G&gt;C|ENST00000354071.3:c.4358-496G&gt;C|ENST00000352993.3:c.1726+5G&gt;C|NM_007294.4:c.5152+5G&gt;C|ENST00000357654.3:c.5152+5G&gt;C|NM_007300.4:c.5215+5G&gt;C|ENST00000591849.1:c.-98-13679G&gt;C|ENST00000468300.1:c.1840+5G&gt;C</t>
        </is>
      </c>
      <c r="N392" t="inlineStr"/>
      <c r="O392" t="inlineStr"/>
      <c r="P392" t="inlineStr"/>
      <c r="Q392" t="inlineStr"/>
      <c r="R392" t="inlineStr"/>
      <c r="S392" t="inlineStr"/>
    </row>
    <row r="393">
      <c r="A393" t="inlineStr">
        <is>
          <t>17</t>
        </is>
      </c>
      <c r="B393" t="n">
        <v>41215888</v>
      </c>
      <c r="C393" t="inlineStr">
        <is>
          <t>T</t>
        </is>
      </c>
      <c r="D393" t="inlineStr">
        <is>
          <t>G</t>
        </is>
      </c>
      <c r="E393" t="inlineStr">
        <is>
          <t>55425</t>
        </is>
      </c>
      <c r="F393">
        <f>HYPERLINK("https://www.ncbi.nlm.nih.gov/clinvar/variation/55425/","ClinVarDB")</f>
        <v/>
      </c>
      <c r="G393" t="inlineStr">
        <is>
          <t>criteria_provided|_single_submitter</t>
        </is>
      </c>
      <c r="H393" t="inlineStr">
        <is>
          <t>Breast-ovarian_cancer|_familial_1</t>
        </is>
      </c>
      <c r="I393" t="inlineStr">
        <is>
          <t>Pathogenic</t>
        </is>
      </c>
      <c r="J393" t="inlineStr">
        <is>
          <t>BRCA1</t>
        </is>
      </c>
      <c r="K393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393" t="inlineStr"/>
      <c r="M393" t="inlineStr">
        <is>
          <t>ENST00000351666.3:c.1603+3A&gt;C|NM_007298.3:c.1840+3A&gt;C|ENST00000478531.1:c.1840+3A&gt;C|ENST00000357654.3:c.5152+3A&gt;C|ENST00000309486.4:c.4264+3A&gt;C|ENST00000346315.3:c.4435+3A&gt;C|ENST00000491747.2:c.1840+3A&gt;C|ENST00000591849.1:c.-98-13681A&gt;C|NR_027676.2:n.5329+3A&gt;C|ENST00000468300.1:c.1840+3A&gt;C|ENST00000461221.1:c.*4935+3A&gt;C|NM_007300.4:c.5215+3A&gt;C|ENST00000471181.2:c.5215+3A&gt;C|ENST00000586385.1:c.82+3A&gt;C|ENST00000591534.1:c.625+3A&gt;C|NM_007299.4:c.1840+3A&gt;C|NM_007294.4:c.5152+3A&gt;C|NM_007297.4:c.5011+3A&gt;C|ENST00000352993.3:c.1726+3A&gt;C|ENST00000484087.1:c.1465+3A&gt;C|ENST00000354071.3:c.4358-498A&gt;C|ENST00000493795.1:c.5011+3A&gt;C|ENST00000493919.1:c.1702+3A&gt;C</t>
        </is>
      </c>
      <c r="N393" t="inlineStr"/>
      <c r="O393" t="inlineStr"/>
      <c r="P393" t="inlineStr"/>
      <c r="Q393" t="inlineStr"/>
      <c r="R393" t="inlineStr"/>
      <c r="S393" t="inlineStr"/>
    </row>
    <row r="394">
      <c r="A394" t="inlineStr">
        <is>
          <t>17</t>
        </is>
      </c>
      <c r="B394" t="n">
        <v>41215888</v>
      </c>
      <c r="C394" t="inlineStr">
        <is>
          <t>T</t>
        </is>
      </c>
      <c r="D394" t="inlineStr">
        <is>
          <t>TA</t>
        </is>
      </c>
      <c r="E394" t="inlineStr">
        <is>
          <t>55424</t>
        </is>
      </c>
      <c r="F394">
        <f>HYPERLINK("https://www.ncbi.nlm.nih.gov/clinvar/variation/55424/","ClinVarDB")</f>
        <v/>
      </c>
      <c r="G394" t="inlineStr">
        <is>
          <t>criteria_provided|_single_submitter</t>
        </is>
      </c>
      <c r="H394" t="inlineStr">
        <is>
          <t>Hereditary_breast_and_ovarian_cancer_syndrome|Breast-ovarian_cancer|_familial_1</t>
        </is>
      </c>
      <c r="I394" t="inlineStr">
        <is>
          <t>Pathogenic</t>
        </is>
      </c>
      <c r="J394" t="inlineStr">
        <is>
          <t>BRCA1</t>
        </is>
      </c>
      <c r="K394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394" t="inlineStr"/>
      <c r="M394" t="inlineStr">
        <is>
          <t>NM_007300.4:c.5215+2dup|ENST00000468300.1:c.1840+2dup|NM_007294.4:c.5152+2dup|NR_027676.2:n.5329+2dup|ENST00000346315.3:c.4435+2dup|ENST00000309486.4:c.4264+2dup|ENST00000591534.1:c.625+2dup|ENST00000471181.2:c.5215+2dup|NM_007297.4:c.5011+2dup|ENST00000352993.3:c.1726+2dup|ENST00000493795.1:c.5011+2dup|ENST00000484087.1:c.1465+2dup|ENST00000351666.3:c.1603+2dup|ENST00000478531.1:c.1840+2dup|ENST00000586385.1:c.82+2dup|ENST00000354071.3:c.4358-499dup|ENST00000493919.1:c.1702+2dup|ENST00000591849.1:c.-98-13682dup|NM_007298.3:c.1840+2dup|ENST00000491747.2:c.1840+2dup|ENST00000357654.3:c.5152+2dup|ENST00000461221.1:c.*4935+2dup|NM_007299.4:c.1840+2dup</t>
        </is>
      </c>
      <c r="N394" t="inlineStr"/>
      <c r="O394" t="inlineStr"/>
      <c r="P394" t="inlineStr"/>
      <c r="Q394" t="inlineStr"/>
      <c r="R394" t="inlineStr"/>
      <c r="S394" t="inlineStr"/>
    </row>
    <row r="395">
      <c r="A395" t="inlineStr">
        <is>
          <t>17</t>
        </is>
      </c>
      <c r="B395" t="n">
        <v>41215976</v>
      </c>
      <c r="C395" t="inlineStr">
        <is>
          <t>A</t>
        </is>
      </c>
      <c r="D395" t="inlineStr">
        <is>
          <t>C</t>
        </is>
      </c>
      <c r="E395" t="inlineStr">
        <is>
          <t>55382</t>
        </is>
      </c>
      <c r="F395">
        <f>HYPERLINK("https://www.ncbi.nlm.nih.gov/clinvar/variation/55382/","ClinVarDB")</f>
        <v/>
      </c>
      <c r="G395" t="inlineStr">
        <is>
          <t>criteria_provided|_single_submitter</t>
        </is>
      </c>
      <c r="H395" t="inlineStr">
        <is>
          <t>Breast-ovarian_cancer|_familial_1</t>
        </is>
      </c>
      <c r="I395" t="inlineStr">
        <is>
          <t>Pathogenic</t>
        </is>
      </c>
      <c r="J395" t="inlineStr">
        <is>
          <t>BRCA1</t>
        </is>
      </c>
      <c r="K395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395" t="inlineStr"/>
      <c r="M395" t="inlineStr">
        <is>
          <t>NM_007298.3:c.1763-8T&gt;G|NM_007294.4:c.5075-8T&gt;G|ENST00000591849.1:c.-98-13769T&gt;G|ENST00000309486.4:c.4187-8T&gt;G|ENST00000468300.1:c.1763-8T&gt;G|ENST00000493795.1:c.4934-8T&gt;G|ENST00000471181.2:c.5138-8T&gt;G|ENST00000352993.3:c.1649-8T&gt;G|NM_007297.4:c.4934-8T&gt;G|NM_007300.4:c.5138-8T&gt;G|ENST00000354071.3:c.4358-586T&gt;G|ENST00000484087.1:c.1388-8T&gt;G|ENST00000478531.1:c.1763-8T&gt;G|ENST00000586385.1:c.5-8T&gt;G|ENST00000493919.1:c.1625-8T&gt;G|NM_007299.4:c.1763-8T&gt;G|ENST00000461221.1:c.*4858-8T&gt;G|ENST00000591534.1:c.548-8T&gt;G|ENST00000346315.3:c.4358-8T&gt;G|ENST00000491747.2:c.1763-8T&gt;G|NR_027676.2:n.5252-8T&gt;G|ENST00000357654.3:c.5075-8T&gt;G|ENST00000351666.3:c.1526-8T&gt;G</t>
        </is>
      </c>
      <c r="N395" t="inlineStr"/>
      <c r="O395" t="inlineStr"/>
      <c r="P395" t="inlineStr"/>
      <c r="Q395" t="inlineStr"/>
      <c r="R395" t="inlineStr"/>
      <c r="S395" t="inlineStr"/>
    </row>
    <row r="396">
      <c r="A396" t="inlineStr">
        <is>
          <t>17</t>
        </is>
      </c>
      <c r="B396" t="n">
        <v>41219717</v>
      </c>
      <c r="C396" t="inlineStr">
        <is>
          <t>A</t>
        </is>
      </c>
      <c r="D396" t="inlineStr">
        <is>
          <t>T</t>
        </is>
      </c>
      <c r="E396" t="inlineStr">
        <is>
          <t>55347</t>
        </is>
      </c>
      <c r="F396">
        <f>HYPERLINK("https://www.ncbi.nlm.nih.gov/clinvar/variation/55347/","ClinVarDB")</f>
        <v/>
      </c>
      <c r="G396" t="inlineStr">
        <is>
          <t>criteria_provided|_single_submitter</t>
        </is>
      </c>
      <c r="H396" t="inlineStr">
        <is>
          <t>Breast-ovarian_cancer|_familial_1</t>
        </is>
      </c>
      <c r="I396" t="inlineStr">
        <is>
          <t>Pathogenic</t>
        </is>
      </c>
      <c r="J396" t="inlineStr">
        <is>
          <t>BRCA1</t>
        </is>
      </c>
      <c r="K396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396" t="inlineStr"/>
      <c r="M396" t="inlineStr">
        <is>
          <t>ENST00000472490.1:n.140-5T&gt;A|ENST00000493795.1:c.4846-5T&gt;A|ENST00000484087.1:c.1300-5T&gt;A|ENST00000352993.3:c.1561-5T&gt;A|NM_007298.3:c.1675-5T&gt;A|ENST00000471181.2:c.5050-5T&gt;A|ENST00000586385.1:c.5-3749T&gt;A|ENST00000461221.1:c.*4770-5T&gt;A|NM_007297.4:c.4846-5T&gt;A|ENST00000468300.1:c.1675-5T&gt;A|ENST00000346315.3:c.4358-3749T&gt;A|NM_007294.4:c.4987-5T&gt;A|NR_027676.2:n.5164-5T&gt;A|ENST00000354071.3:c.4358-4327T&gt;A|ENST00000309486.4:c.4099-5T&gt;A|ENST00000591534.1:c.460-5T&gt;A|ENST00000491747.2:c.1675-5T&gt;A|ENST00000357654.3:c.4987-5T&gt;A|ENST00000591849.1:c.-98-17510T&gt;A|NM_007300.4:c.5050-5T&gt;A|ENST00000478531.1:c.1675-5T&gt;A|ENST00000351666.3:c.1438-5T&gt;A|ENST00000493919.1:c.1537-5T&gt;A|NM_007299.4:c.1675-5T&gt;A</t>
        </is>
      </c>
      <c r="N396" t="inlineStr"/>
      <c r="O396" t="inlineStr"/>
      <c r="P396" t="inlineStr"/>
      <c r="Q396" t="inlineStr"/>
      <c r="R396" t="inlineStr"/>
      <c r="S396" t="inlineStr"/>
    </row>
    <row r="397">
      <c r="A397" t="inlineStr">
        <is>
          <t>17</t>
        </is>
      </c>
      <c r="B397" t="n">
        <v>41222940</v>
      </c>
      <c r="C397" t="inlineStr">
        <is>
          <t>C</t>
        </is>
      </c>
      <c r="D397" t="inlineStr">
        <is>
          <t>G</t>
        </is>
      </c>
      <c r="E397" t="inlineStr">
        <is>
          <t>267562</t>
        </is>
      </c>
      <c r="F397">
        <f>HYPERLINK("https://www.ncbi.nlm.nih.gov/clinvar/variation/267562/","ClinVarDB")</f>
        <v/>
      </c>
      <c r="G397" t="inlineStr">
        <is>
          <t>criteria_provided|_single_submitter</t>
        </is>
      </c>
      <c r="H397" t="inlineStr">
        <is>
          <t>Breast-ovarian_cancer|_familial_1</t>
        </is>
      </c>
      <c r="I397" t="inlineStr">
        <is>
          <t>Pathogenic</t>
        </is>
      </c>
      <c r="J397" t="inlineStr">
        <is>
          <t>BRCA1</t>
        </is>
      </c>
      <c r="K397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397" t="inlineStr"/>
      <c r="M397" t="inlineStr">
        <is>
          <t>ENST00000352993.3:c.1560+5G&gt;C|NR_027676.2:n.5163+5G&gt;C|ENST00000346315.3:c.4358-6972G&gt;C|ENST00000478531.1:c.1674+5G&gt;C|ENST00000354071.3:c.4358-7550G&gt;C|NM_007297.4:c.4845+5G&gt;C|ENST00000351666.3:c.1437+5G&gt;C|ENST00000493919.1:c.1536+5G&gt;C|NM_007299.4:c.1674+5G&gt;C|NM_007298.3:c.1674+5G&gt;C|ENST00000491747.2:c.1674+5G&gt;C|ENST00000468300.1:c.1674+5G&gt;C|ENST00000484087.1:c.1299+5G&gt;C|ENST00000586385.1:c.5-6972G&gt;C|ENST00000471181.2:c.5049+5G&gt;C|ENST00000472490.1:n.139+5G&gt;C|ENST00000309486.4:c.4098+5G&gt;C|NM_007300.4:c.5049+5G&gt;C|ENST00000591534.1:c.459+5G&gt;C|NM_007294.4:c.4986+5G&gt;C|ENST00000493795.1:c.4845+5G&gt;C|ENST00000357654.3:c.4986+5G&gt;C|ENST00000461221.1:c.*4769+5G&gt;C|ENST00000591849.1:c.-98-20733G&gt;C</t>
        </is>
      </c>
      <c r="N397" t="inlineStr"/>
      <c r="O397" t="inlineStr"/>
      <c r="P397" t="inlineStr"/>
      <c r="Q397" t="inlineStr"/>
      <c r="R397" t="inlineStr"/>
      <c r="S397" t="inlineStr"/>
    </row>
    <row r="398">
      <c r="A398" t="inlineStr">
        <is>
          <t>17</t>
        </is>
      </c>
      <c r="B398" t="n">
        <v>41222941</v>
      </c>
      <c r="C398" t="inlineStr">
        <is>
          <t>T</t>
        </is>
      </c>
      <c r="D398" t="inlineStr">
        <is>
          <t>C</t>
        </is>
      </c>
      <c r="E398" t="inlineStr">
        <is>
          <t>246100</t>
        </is>
      </c>
      <c r="F398">
        <f>HYPERLINK("https://www.ncbi.nlm.nih.gov/clinvar/variation/246100/","ClinVarDB")</f>
        <v/>
      </c>
      <c r="G398" t="inlineStr">
        <is>
          <t>criteria_provided|_single_submitter</t>
        </is>
      </c>
      <c r="H398" t="inlineStr">
        <is>
          <t>Breast-ovarian_cancer|_familial_1|not_provided</t>
        </is>
      </c>
      <c r="I398" t="inlineStr">
        <is>
          <t>Likely_pathogenic</t>
        </is>
      </c>
      <c r="J398" t="inlineStr">
        <is>
          <t>BRCA1</t>
        </is>
      </c>
      <c r="K398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398" t="inlineStr"/>
      <c r="M398" t="inlineStr">
        <is>
          <t>ENST00000346315.3:c.4358-6973A&gt;G|NM_007299.4:c.1674+4A&gt;G|ENST00000357654.3:c.4986+4A&gt;G|ENST00000471181.2:c.5049+4A&gt;G|ENST00000491747.2:c.1674+4A&gt;G|ENST00000352993.3:c.1560+4A&gt;G|NM_007298.3:c.1674+4A&gt;G|ENST00000478531.1:c.1674+4A&gt;G|NM_007294.4:c.4986+4A&gt;G|NM_007300.4:c.5049+4A&gt;G|ENST00000493919.1:c.1536+4A&gt;G|ENST00000351666.3:c.1437+4A&gt;G|ENST00000468300.1:c.1674+4A&gt;G|ENST00000309486.4:c.4098+4A&gt;G|NM_007297.4:c.4845+4A&gt;G|ENST00000484087.1:c.1299+4A&gt;G|ENST00000461221.1:c.*4769+4A&gt;G|ENST00000586385.1:c.5-6973A&gt;G|ENST00000591849.1:c.-98-20734A&gt;G|NR_027676.2:n.5163+4A&gt;G|ENST00000591534.1:c.459+4A&gt;G|ENST00000472490.1:n.139+4A&gt;G|ENST00000354071.3:c.4358-7551A&gt;G|ENST00000493795.1:c.4845+4A&gt;G</t>
        </is>
      </c>
      <c r="N398" t="inlineStr"/>
      <c r="O398" t="inlineStr"/>
      <c r="P398" t="inlineStr"/>
      <c r="Q398" t="inlineStr"/>
      <c r="R398" t="inlineStr"/>
      <c r="S398" t="inlineStr"/>
    </row>
    <row r="399">
      <c r="A399" t="inlineStr">
        <is>
          <t>17</t>
        </is>
      </c>
      <c r="B399" t="n">
        <v>41228500</v>
      </c>
      <c r="C399" t="inlineStr">
        <is>
          <t>C</t>
        </is>
      </c>
      <c r="D399" t="inlineStr">
        <is>
          <t>G</t>
        </is>
      </c>
      <c r="E399" t="inlineStr">
        <is>
          <t>267548</t>
        </is>
      </c>
      <c r="F399">
        <f>HYPERLINK("https://www.ncbi.nlm.nih.gov/clinvar/variation/267548/","ClinVarDB")</f>
        <v/>
      </c>
      <c r="G399" t="inlineStr">
        <is>
          <t>criteria_provided|_single_submitter</t>
        </is>
      </c>
      <c r="H399" t="inlineStr">
        <is>
          <t>Hereditary_breast_and_ovarian_cancer_syndrome|Breast-ovarian_cancer|_familial_1</t>
        </is>
      </c>
      <c r="I399" t="inlineStr">
        <is>
          <t>Pathogenic</t>
        </is>
      </c>
      <c r="J399" t="inlineStr">
        <is>
          <t>BRCA1</t>
        </is>
      </c>
      <c r="K399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399" t="inlineStr"/>
      <c r="M399" t="inlineStr">
        <is>
          <t>ENST00000351666.3:c.935+5G&gt;C|ENST00000346315.3:c.4357+5921G&gt;C|ENST00000484087.1:c.797+5G&gt;C|ENST00000591534.1:c.-43-1962G&gt;C|NM_007299.4:c.1172+5G&gt;C|ENST00000586385.1:c.5-12532G&gt;C|NR_027676.2:n.4661+5G&gt;C|ENST00000493919.1:c.1034+5G&gt;C|ENST00000354071.3:c.4357+5921G&gt;C|ENST00000493795.1:c.4343+5G&gt;C|NM_007297.4:c.4343+5G&gt;C|ENST00000468300.1:c.1172+5G&gt;C|ENST00000478531.1:c.1172+5G&gt;C|ENST00000471181.2:c.4547+5G&gt;C|ENST00000591849.1:c.-98-26293G&gt;C|NM_007298.3:c.1172+5G&gt;C|NM_007294.4:c.4484+5G&gt;C|ENST00000491747.2:c.1172+5G&gt;C|ENST00000352993.3:c.1058+5G&gt;C|NM_007300.4:c.4547+5G&gt;C|ENST00000357654.3:c.4484+5G&gt;C|ENST00000461221.1:c.*4267+5G&gt;C|ENST00000309486.4:c.3596+5G&gt;C</t>
        </is>
      </c>
      <c r="N399" t="inlineStr"/>
      <c r="O399" t="inlineStr"/>
      <c r="P399" t="inlineStr"/>
      <c r="Q399" t="inlineStr"/>
      <c r="R399" t="inlineStr"/>
      <c r="S399" t="inlineStr"/>
    </row>
    <row r="400">
      <c r="A400" t="inlineStr">
        <is>
          <t>17</t>
        </is>
      </c>
      <c r="B400" t="n">
        <v>41267736</v>
      </c>
      <c r="C400" t="inlineStr">
        <is>
          <t>AACTT</t>
        </is>
      </c>
      <c r="D400" t="inlineStr">
        <is>
          <t>A</t>
        </is>
      </c>
      <c r="E400" t="inlineStr">
        <is>
          <t>54213</t>
        </is>
      </c>
      <c r="F400">
        <f>HYPERLINK("https://www.ncbi.nlm.nih.gov/clinvar/variation/54213/","ClinVarDB")</f>
        <v/>
      </c>
      <c r="G400" t="inlineStr">
        <is>
          <t>criteria_provided|_single_submitter</t>
        </is>
      </c>
      <c r="H400" t="inlineStr">
        <is>
          <t>Breast-ovarian_cancer|_familial_1</t>
        </is>
      </c>
      <c r="I400" t="inlineStr">
        <is>
          <t>Pathogenic</t>
        </is>
      </c>
      <c r="J400" t="inlineStr">
        <is>
          <t>BRCA1</t>
        </is>
      </c>
      <c r="K400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400" t="inlineStr"/>
      <c r="M400" t="inlineStr">
        <is>
          <t>ENST00000461798.1:c.134+3_134+6del|NR_027676.2:n.336+3_336+6del|ENST00000468300.1:c.134+3_134+6del|ENST00000309486.4:c.-755+8294_-755+8297del|NM_007299.4:c.134+3_134+6del|ENST00000476777.1:c.134+3_134+6del|ENST00000493795.1:c.-8+8294_-8+8297del|ENST00000470026.1:c.134+3_134+6del|NM_007300.4:c.134+3_134+6del|ENST00000492859.1:c.134+3_134+6del|ENST00000461221.1:c.134+3_134+6del|ENST00000346315.3:c.134+3_134+6del|NM_007298.3:c.134+3_134+6del|ENST00000591849.1:c.-99+9548_-99+9551del|ENST00000491747.2:c.134+3_134+6del|ENST00000591534.1:c.-44+9548_-44+9551del|ENST00000497488.1:c.-219+9548_-219+9551del|ENST00000493919.1:c.-8+8294_-8+8297del|NM_007297.4:c.-8+8294_-8+8297del|ENST00000489037.1:c.134+3_134+6del|ENST00000477152.1:c.134+3_134+6del|ENST00000352993.3:c.134+3_134+6del|ENST00000494123.1:c.134+3_134+6del|ENST00000357654.3:c.134+3_134+6del|NM_007294.4:c.134+3_134+6del|ENST00000467274.1:n.198+3_198+6del|ENST00000354071.3:c.134+3_134+6del|ENST00000478531.1:c.134+3_134+6del|ENST00000351666.3:c.134+3_134+6del|ENST00000471181.2:c.134+3_134+6del|ENST00000586385.1:c.4+9459_4+9462del</t>
        </is>
      </c>
      <c r="N400" t="inlineStr">
        <is>
          <t>3.998689862783067e-06</t>
        </is>
      </c>
      <c r="O400" t="n">
        <v>1</v>
      </c>
      <c r="P400" t="inlineStr">
        <is>
          <t>0</t>
        </is>
      </c>
      <c r="Q400" t="inlineStr"/>
      <c r="R400" t="inlineStr"/>
      <c r="S400" t="inlineStr"/>
    </row>
    <row r="401">
      <c r="A401" t="inlineStr">
        <is>
          <t>17</t>
        </is>
      </c>
      <c r="B401" t="n">
        <v>41267739</v>
      </c>
      <c r="C401" t="inlineStr">
        <is>
          <t>T</t>
        </is>
      </c>
      <c r="D401" t="inlineStr">
        <is>
          <t>TA</t>
        </is>
      </c>
      <c r="E401" t="inlineStr">
        <is>
          <t>267727</t>
        </is>
      </c>
      <c r="F401">
        <f>HYPERLINK("https://www.ncbi.nlm.nih.gov/clinvar/variation/267727/","ClinVarDB")</f>
        <v/>
      </c>
      <c r="G401" t="inlineStr">
        <is>
          <t>criteria_provided|_single_submitter</t>
        </is>
      </c>
      <c r="H401" t="inlineStr">
        <is>
          <t>Breast-ovarian_cancer|_familial_1</t>
        </is>
      </c>
      <c r="I401" t="inlineStr">
        <is>
          <t>Pathogenic</t>
        </is>
      </c>
      <c r="J401" t="inlineStr">
        <is>
          <t>BRCA1</t>
        </is>
      </c>
      <c r="K401" t="inlineStr">
        <is>
          <t>splice_region_variant&amp;intron_variant&amp;non_coding_transcript_variant|splice_region_variant&amp;intron_variant|intron_variant|splice_region_variant&amp;intron_variant&amp;NMD_transcript_variant</t>
        </is>
      </c>
      <c r="L401" t="inlineStr"/>
      <c r="M401" t="inlineStr">
        <is>
          <t>ENST00000489037.1:c.134+3_134+4insT|ENST00000352993.3:c.134+3_134+4insT|ENST00000591534.1:c.-44+9548_-44+9549insT|NM_007299.4:c.134+3_134+4insT|ENST00000354071.3:c.134+3_134+4insT|ENST00000477152.1:c.134+3_134+4insT|ENST00000468300.1:c.134+3_134+4insT|ENST00000478531.1:c.134+3_134+4insT|ENST00000470026.1:c.134+3_134+4insT|NM_007298.3:c.134+3_134+4insT|ENST00000309486.4:c.-755+8294_-755+8295insT|ENST00000471181.2:c.134+3_134+4insT|ENST00000497488.1:c.-219+9548_-219+9549insT|ENST00000461798.1:c.134+3_134+4insT|ENST00000461221.1:c.134+3_134+4insT|NM_007297.4:c.-8+8294_-8+8295insT|ENST00000591849.1:c.-99+9548_-99+9549insT|ENST00000494123.1:c.134+3_134+4insT|NM_007300.4:c.134+3_134+4insT|ENST00000346315.3:c.134+3_134+4insT|ENST00000467274.1:n.198+3_198+4insT|ENST00000492859.1:c.134+3_134+4insT|NM_007294.4:c.134+3_134+4insT|ENST00000357654.3:c.134+3_134+4insT|ENST00000491747.2:c.134+3_134+4insT|ENST00000476777.1:c.134+3_134+4insT|NR_027676.2:n.336+3_336+4insT|ENST00000586385.1:c.4+9459_4+9460insT|ENST00000493795.1:c.-8+8294_-8+8295insT|ENST00000493919.1:c.-8+8294_-8+8295insT|ENST00000351666.3:c.134+3_134+4insT</t>
        </is>
      </c>
      <c r="N401" t="inlineStr"/>
      <c r="O401" t="inlineStr"/>
      <c r="P401" t="inlineStr"/>
      <c r="Q401" t="inlineStr"/>
      <c r="R401" t="inlineStr"/>
      <c r="S401" t="inlineStr"/>
    </row>
    <row r="402">
      <c r="A402" t="inlineStr">
        <is>
          <t>17</t>
        </is>
      </c>
      <c r="B402" t="n">
        <v>41196310</v>
      </c>
      <c r="C402" t="inlineStr">
        <is>
          <t>GGTGGAAGTGTTTGCTACCAAGTTTATTTGCAGTGTTAACAGCACAACATTTACAAAACGTATTTTGTACAATCAAGTCTTCACTGCCCTTGCACACTGGGGGGGCTAGGGAAGACCTAGTCCTTCCAACAGCTATAAACAGTCCTGGATAATGGGTTTATGAAAAACACTTTTTCTTCCTTCAGCAAGCAAAATTATTTATGAAGCTGTATGGTTTCAGCAACAGGGAGCAAAGGAAAAAAATCACCTCAAAGAAAGCAACAGCTTCCTTCCTGGTGGGATCTGTCATTTTATAGATATGAAATATTCATGCCAGAGGTCTTATATTTTAAGAGGAATGGATTATATACCAGAGCTACAACAATAAACATTTTACTTATTACTAATGAGGAATTAGAAGACTGTCTTTGGAAACCGGTTCTTGAAAATCTTCTGCTGTTTTAGAACACATTCTTTAGAAATCTAGCAAATATATCTCAGACTTTTAGAAATCTCTTCTAGTTTCATTTTCCTTTTTTTTTTTTTTTTTTTGAGCCACAGTCTCACTGTCACCCAGGCTGGAGTGCCGTGGTATGATCTTGGCTCACTGCAACCTCCACCTCCCGGGCTGAAGTGATTCTCCTGCCTTAGCCACCTGAGTAGCTGGGATTACAGGTGTCCACCACCATGACCGGCTAATTTCTGTATTTTTAGTAGAGATGGGGTTTCACCATGTTGGCCAGGCTGGTTTCGAACTCCTGACCTCCAGTGATCTGCCCACCTTGGCCTCCCAAAGTGCTGGGATTACAGGCGTGAGCCACCATGCCCAGGTTTCAAGTTTCCTTTTCATTTCTAATACCTGCCTCAGAATTTCCTCCCCAATGTTCCACTCCAACATTTGAGAACTGCCCAAGGACTATTCTGACTTTAAGTCACATAATCGATCCCAAGCACTCTCCTTCCATTGAAGGGTCTGACTCTCTGCCTTTGTGAACACAGGGTTTTAGAGAAGTAAACTTAGGGAAACCAGCTATTCTCTTGAGGCCAAGCCACTCTGTGCTTCCAGCCCTAAGCCAACAACAGCCTGAATAGAAAGAATAGGGCTGATAAATAATGAATCAGCATCTTGCTCAATTGGTGGCGTTTAAATGGTTTTAAAATCTTCTCAGGTGAAAAATTACCATAATTTTGTGCTCATGGCAGATTTCCAAGGGAGACTTCAAGCAGAAAATCTTTAAGGGACCCTTGCATAGCCAGAAGTCCTTTTCAGGCTGATGTACATAAAATATTTAGTAGCCAGGACAGTAGAAGGACTGAAGAGTGAGAGGAGCTCCCAGGGCCTGGAAAGGCCACTTTGTAAGCTCATTCTTGGGGTCCTGTGGCTCTGTACCTGTGGCTGGCTGCAGTCAGTAGTGGCTGTGGGGGATCTGGGGTATCAGGTAGGTGTCCAGCTCCTGGCACTGGTAGAGTGCTACACTGTCCAACACCCACTCTCGGGTCACCACAGGTGCCTCACACATCTGCCCAATT</t>
        </is>
      </c>
      <c r="D402" t="inlineStr">
        <is>
          <t>G</t>
        </is>
      </c>
      <c r="E402" t="inlineStr">
        <is>
          <t>664769</t>
        </is>
      </c>
      <c r="F402">
        <f>HYPERLINK("https://www.ncbi.nlm.nih.gov/clinvar/variation/664769/","ClinVarDB")</f>
        <v/>
      </c>
      <c r="G402" t="inlineStr">
        <is>
          <t>criteria_provided|_single_submitter</t>
        </is>
      </c>
      <c r="H402" t="inlineStr">
        <is>
          <t>Hereditary_breast_and_ovarian_cancer_syndrome</t>
        </is>
      </c>
      <c r="I402" t="inlineStr">
        <is>
          <t>Pathogenic</t>
        </is>
      </c>
      <c r="J402" t="inlineStr">
        <is>
          <t>BRCA1</t>
        </is>
      </c>
      <c r="K402" t="inlineStr">
        <is>
          <t>splice_region_variant&amp;coding_sequence_variant&amp;3_prime_UTR_variant|splice_region_variant&amp;3_prime_UTR_variant&amp;NMD_transcript_variant|splice_region_variant&amp;non_coding_transcript_exon_variant</t>
        </is>
      </c>
      <c r="L402" t="inlineStr"/>
      <c r="M402" t="inlineStr"/>
      <c r="N402" t="inlineStr"/>
      <c r="O402" t="inlineStr"/>
      <c r="P402" t="inlineStr"/>
      <c r="Q402" t="inlineStr"/>
      <c r="R402" t="inlineStr"/>
      <c r="S402" t="inlineStr"/>
    </row>
    <row r="403">
      <c r="A403" t="inlineStr">
        <is>
          <t>17</t>
        </is>
      </c>
      <c r="B403" t="n">
        <v>41276029</v>
      </c>
      <c r="C403" t="inlineStr">
        <is>
          <t>C</t>
        </is>
      </c>
      <c r="D403" t="inlineStr">
        <is>
          <t>A</t>
        </is>
      </c>
      <c r="E403" t="inlineStr">
        <is>
          <t>479218</t>
        </is>
      </c>
      <c r="F403">
        <f>HYPERLINK("https://www.ncbi.nlm.nih.gov/clinvar/variation/479218/","ClinVarDB")</f>
        <v/>
      </c>
      <c r="G403" t="inlineStr">
        <is>
          <t>criteria_provided|_single_submitter</t>
        </is>
      </c>
      <c r="H403" t="inlineStr">
        <is>
          <t>Hereditary_cancer-predisposing_syndrome</t>
        </is>
      </c>
      <c r="I403" t="inlineStr">
        <is>
          <t>Likely_pathogenic</t>
        </is>
      </c>
      <c r="J403" t="inlineStr">
        <is>
          <t>BRCA1</t>
        </is>
      </c>
      <c r="K403" t="inlineStr">
        <is>
          <t>regulatory_region_variant|intron_variant|splice_region_variant&amp;intron_variant|splice_region_variant&amp;intron_variant&amp;non_coding_transcript_variant|splice_region_variant&amp;intron_variant&amp;NMD_transcript_variant</t>
        </is>
      </c>
      <c r="L403" t="inlineStr"/>
      <c r="M403" t="inlineStr">
        <is>
          <t>|ENST00000467274.1:n.144+5G&gt;T|ENST00000493919.1:c.-8+5G&gt;T|NM_007299.4:c.80+5G&gt;T|ENST00000477152.1:c.80+5G&gt;T|ENST00000357654.3:c.80+5G&gt;T|ENST00000346315.3:c.80+5G&gt;T|ENST00000497488.1:c.-219+1259G&gt;T|ENST00000470026.1:c.80+5G&gt;T|ENST00000493795.1:c.-8+5G&gt;T|ENST00000309486.4:c.-755+5G&gt;T|ENST00000491747.2:c.80+5G&gt;T|ENST00000461798.1:c.80+5G&gt;T|ENST00000591849.1:c.-99+1259G&gt;T|ENST00000476777.1:c.80+5G&gt;T|NR_027676.2:n.282+5G&gt;T|ENST00000471181.2:c.80+5G&gt;T|ENST00000586385.1:c.4+1170G&gt;T|NM_007298.3:c.80+5G&gt;T|NM_007294.4:c.80+5G&gt;T|ENST00000489037.1:c.80+5G&gt;T|ENST00000351666.3:c.80+5G&gt;T|ENST00000352993.3:c.80+5G&gt;T|ENST00000494123.1:c.80+5G&gt;T|ENST00000478531.1:c.80+5G&gt;T|NM_007297.4:c.-8+5G&gt;T|NM_007300.4:c.80+5G&gt;T|ENST00000591534.1:c.-44+1259G&gt;T|ENST00000468300.1:c.80+5G&gt;T|ENST00000461221.1:c.80+5G&gt;T|ENST00000354071.3:c.80+5G&gt;T|ENST00000492859.1:c.80+5G&gt;T</t>
        </is>
      </c>
      <c r="N403" t="inlineStr"/>
      <c r="O403" t="inlineStr"/>
      <c r="P403" t="inlineStr"/>
      <c r="Q403" t="inlineStr"/>
      <c r="R403" t="inlineStr"/>
      <c r="S403" t="inlineStr"/>
    </row>
    <row r="404">
      <c r="A404" t="inlineStr">
        <is>
          <t>17</t>
        </is>
      </c>
      <c r="B404" t="n">
        <v>41267743</v>
      </c>
      <c r="C404" t="inlineStr">
        <is>
          <t>TTGCAAAATATGT</t>
        </is>
      </c>
      <c r="D404" t="inlineStr">
        <is>
          <t>A</t>
        </is>
      </c>
      <c r="E404" t="inlineStr">
        <is>
          <t>462553</t>
        </is>
      </c>
      <c r="F404">
        <f>HYPERLINK("https://www.ncbi.nlm.nih.gov/clinvar/variation/462553/","ClinVarDB")</f>
        <v/>
      </c>
      <c r="G404" t="inlineStr">
        <is>
          <t>criteria_provided|_single_submitter</t>
        </is>
      </c>
      <c r="H404" t="inlineStr">
        <is>
          <t>Hereditary_breast_and_ovarian_cancer_syndrome</t>
        </is>
      </c>
      <c r="I404" t="inlineStr">
        <is>
          <t>Likely_pathogenic</t>
        </is>
      </c>
      <c r="J404" t="inlineStr">
        <is>
          <t>BRCA1</t>
        </is>
      </c>
      <c r="K404" t="inlineStr">
        <is>
          <t>protein_altering_variant&amp;splice_region_variant|intron_variant|protein_altering_variant&amp;splice_region_variant&amp;NMD_transcript_variant|splice_region_variant&amp;non_coding_transcript_exon_variant</t>
        </is>
      </c>
      <c r="L404" t="inlineStr">
        <is>
          <t>|ENSP00000312236.5:p.His41_Lys45delinsLeu|ENSP00000419103.1:p.His41_Lys45delinsLeu|ENSP00000326002.6:p.His41_Lys45delinsLeu|NP_009225.1:p.His41_Lys45delinsLeu|ENSP00000350283.3:p.His41_Lys45delinsLeu|ENSP00000417148.1:p.His41_Lys45delinsLeu|NP_009231.2:p.His41_Lys45delinsLeu|NP_009230.2:p.His41_Lys45delinsLeu|ENSP00000338007.3:p.His41_Lys45delinsLeu|ENSP00000419274.1:p.His41_Lys45delinsLeu|ENSP00000417554.1:p.His41_Lys45delinsLeu|ENSP00000418960.2:p.His41_Lys45delinsLeu|ENSP00000417988.1:p.His41_Lys45delinsLeu|ENSP00000419988.1:p.His41_Lys45delinsLeu|ENSP00000246907.4:p.His41_Lys45delinsLeu|ENSP00000420705.2:p.His41_Lys45delinsLeu|NP_009229.2:p.His41_Lys45delinsLeu|ENSP00000418548.1:p.His41_Lys45delinsLeu|ENSP00000420412.1:p.His41_Lys45delinsLeu|ENSP00000420253.1:p.His41_Lys45delinsLeu|ENSP00000420781.1:p.His41_Lys45delinsLeu</t>
        </is>
      </c>
      <c r="M404" t="inlineStr">
        <is>
          <t>NR_027676.2:n.324_336delinsT|ENST00000352993.3:c.122_134delinsT|ENST00000346315.3:c.122_134delinsT|ENST00000357654.3:c.122_134delinsT|ENST00000591534.1:c.-44+9533_-44+9545delinsT|ENST00000467274.1:n.186_198delinsT|ENST00000461221.1:c.122_134delinsT|ENST00000470026.1:c.122_134delinsT|ENST00000354071.3:c.122_134delinsT|ENST00000461798.1:c.122_134delinsT|ENST00000492859.1:c.122_134delinsT|ENST00000351666.3:c.122_134delinsT|NM_007297.4:c.-8+8279_-8+8291delinsT|ENST00000494123.1:c.122_134delinsT|NM_007300.4:c.122_134delinsT|ENST00000478531.1:c.122_134delinsT|ENST00000493795.1:c.-8+8279_-8+8291delinsT|NM_007298.3:c.122_134delinsT|ENST00000493919.1:c.-8+8279_-8+8291delinsT|ENST00000468300.1:c.122_134delinsT|ENST00000471181.2:c.122_134delinsT|NM_007299.4:c.122_134delinsT|ENST00000309486.4:c.-755+8279_-755+8291delinsT|ENST00000497488.1:c.-219+9533_-219+9545delinsT|ENST00000489037.1:c.122_134delinsT|ENST00000591849.1:c.-99+9533_-99+9545delinsT|NM_007294.4:c.122_134delinsT|ENST00000491747.2:c.122_134delinsT|ENST00000586385.1:c.4+9444_4+9456delinsT|ENST00000476777.1:c.122_134delinsT|ENST00000477152.1:c.122_134delinsT</t>
        </is>
      </c>
      <c r="N404" t="inlineStr"/>
      <c r="O404" t="inlineStr"/>
      <c r="P404" t="inlineStr"/>
      <c r="Q404" t="inlineStr"/>
      <c r="R404" t="inlineStr"/>
      <c r="S404" t="inlineStr"/>
    </row>
    <row r="405">
      <c r="A405" t="inlineStr">
        <is>
          <t>17</t>
        </is>
      </c>
      <c r="B405" t="n">
        <v>41219626</v>
      </c>
      <c r="C405" t="inlineStr">
        <is>
          <t>T</t>
        </is>
      </c>
      <c r="D405" t="inlineStr">
        <is>
          <t>A</t>
        </is>
      </c>
      <c r="E405" t="inlineStr">
        <is>
          <t>599302</t>
        </is>
      </c>
      <c r="F405">
        <f>HYPERLINK("https://www.ncbi.nlm.nih.gov/clinvar/variation/599302/","ClinVarDB")</f>
        <v/>
      </c>
      <c r="G405" t="inlineStr">
        <is>
          <t>criteria_provided|_single_submitter</t>
        </is>
      </c>
      <c r="H405" t="inlineStr">
        <is>
          <t>Hereditary_breast_and_ovarian_cancer_syndrome|Breast-ovarian_cancer|_familial_1</t>
        </is>
      </c>
      <c r="I405" t="inlineStr">
        <is>
          <t>Pathogenic</t>
        </is>
      </c>
      <c r="J405" t="inlineStr">
        <is>
          <t>BRCA1</t>
        </is>
      </c>
      <c r="K405" t="inlineStr">
        <is>
          <t>intron_variant|splice_region_variant&amp;non_coding_transcript_exon_variant|splice_region_variant&amp;synonymous_variant|splice_region_variant&amp;3_prime_UTR_variant&amp;NMD_transcript_variant|non_coding_transcript_exon_variant</t>
        </is>
      </c>
      <c r="L405" t="inlineStr">
        <is>
          <t>|NP_009225.1:p.Thr1691=|ENSP00000419481.1:p.Thr462=|NP_009231.2:p.Thr1712=|ENSP00000312236.5:p.Thr549=|NP_009228.2:p.Thr1644=|ENSP00000418775.1:p.Thr1644=|ENSP00000418819.1:p.Thr541=|ENSP00000420705.2:p.Thr587=|ENSP00000467329.1:p.Thr182=|NP_009229.2:p.Thr587=|ENSP00000418960.2:p.Thr1712=|NP_009230.2:p.Thr587=|ENSP00000350283.3:p.Thr1691=|ENSP00000420412.1:p.Thr587=|ENSP00000310938.4:p.Thr1395=|ENSP00000338007.3:p.Thr508=|ENSP00000417148.1:p.Thr587=</t>
        </is>
      </c>
      <c r="M405" t="inlineStr">
        <is>
          <t>NM_007299.4:c.1761A&gt;T|ENST00000352993.3:c.1647A&gt;T|ENST00000484087.1:c.1386A&gt;T|ENST00000354071.3:c.4358-4236A&gt;T|ENST00000493795.1:c.4932A&gt;T|NM_007297.4:c.4932A&gt;T|ENST00000351666.3:c.1524A&gt;T|NR_027676.2:n.5250A&gt;T|ENST00000472490.1:n.226A&gt;T|ENST00000468300.1:c.1761A&gt;T|ENST00000491747.2:c.1761A&gt;T|NM_007298.3:c.1761A&gt;T|NM_007300.4:c.5136A&gt;T|ENST00000586385.1:c.5-3658A&gt;T|NM_007294.4:c.5073A&gt;T|ENST00000471181.2:c.5136A&gt;T|ENST00000591534.1:c.546A&gt;T|ENST00000309486.4:c.4185A&gt;T|ENST00000346315.3:c.4358-3658A&gt;T|ENST00000461221.1:c.*4856A&gt;T|ENST00000478531.1:c.1761A&gt;T|ENST00000591849.1:c.-98-17419A&gt;T|ENST00000493919.1:c.1623A&gt;T|ENST00000357654.3:c.5073A&gt;T</t>
        </is>
      </c>
      <c r="N405" t="inlineStr"/>
      <c r="O405" t="inlineStr"/>
      <c r="P405" t="inlineStr"/>
      <c r="Q405" t="inlineStr"/>
      <c r="R405" t="inlineStr"/>
      <c r="S405" t="inlineStr"/>
    </row>
    <row r="406">
      <c r="A406" t="inlineStr">
        <is>
          <t>17</t>
        </is>
      </c>
      <c r="B406" t="n">
        <v>41219622</v>
      </c>
      <c r="C406" t="inlineStr">
        <is>
          <t>T</t>
        </is>
      </c>
      <c r="D406" t="inlineStr">
        <is>
          <t>A</t>
        </is>
      </c>
      <c r="E406" t="inlineStr">
        <is>
          <t>867602</t>
        </is>
      </c>
      <c r="F406">
        <f>HYPERLINK("https://www.ncbi.nlm.nih.gov/clinvar/variation/867602/","ClinVarDB")</f>
        <v/>
      </c>
      <c r="G406" t="inlineStr">
        <is>
          <t>criteria_provided|_single_submitter</t>
        </is>
      </c>
      <c r="H406" t="inlineStr">
        <is>
          <t>Hereditary_breast_and_ovarian_cancer_syndrome|Breast-ovarian_cancer|_familial_1</t>
        </is>
      </c>
      <c r="I406" t="inlineStr">
        <is>
          <t>Likely_pathogenic</t>
        </is>
      </c>
      <c r="J406" t="inlineStr">
        <is>
          <t>BRCA1</t>
        </is>
      </c>
      <c r="K406" t="inlineStr">
        <is>
          <t>intron_variant|splice_region_variant&amp;intron_variant|splice_region_variant&amp;intron_variant&amp;non_coding_transcript_variant|splice_region_variant&amp;intron_variant&amp;NMD_transcript_variant|non_coding_transcript_exon_variant</t>
        </is>
      </c>
      <c r="L406" t="inlineStr"/>
      <c r="M406" t="inlineStr">
        <is>
          <t>ENST00000351666.3:c.1525+3A&gt;T|ENST00000484087.1:c.1387+3A&gt;T|ENST00000468300.1:c.1762+3A&gt;T|ENST00000461221.1:c.*4857+3A&gt;T|ENST00000354071.3:c.4358-4232A&gt;T|NM_007298.3:c.1762+3A&gt;T|ENST00000591849.1:c.-98-17415A&gt;T|ENST00000346315.3:c.4358-3654A&gt;T|ENST00000493795.1:c.4933+3A&gt;T|ENST00000309486.4:c.4186+3A&gt;T|NR_027676.2:n.5251+3A&gt;T|ENST00000352993.3:c.1648+3A&gt;T|ENST00000493919.1:c.1624+3A&gt;T|ENST00000471181.2:c.5137+3A&gt;T|ENST00000586385.1:c.5-3654A&gt;T|NM_007297.4:c.4933+3A&gt;T|ENST00000472490.1:n.230A&gt;T|NM_007294.4:c.5074+3A&gt;T|ENST00000491747.2:c.1762+3A&gt;T|ENST00000357654.3:c.5074+3A&gt;T|NM_007300.4:c.5137+3A&gt;T|NM_007299.4:c.1762+3A&gt;T|ENST00000591534.1:c.547+3A&gt;T|ENST00000478531.1:c.1762+3A&gt;T</t>
        </is>
      </c>
      <c r="N406" t="inlineStr"/>
      <c r="O406" t="inlineStr"/>
      <c r="P406" t="inlineStr"/>
      <c r="Q406" t="inlineStr"/>
      <c r="R406" t="inlineStr"/>
      <c r="S406" t="inlineStr"/>
    </row>
    <row r="407">
      <c r="A407" t="inlineStr">
        <is>
          <t>17</t>
        </is>
      </c>
      <c r="B407" t="n">
        <v>41251904</v>
      </c>
      <c r="C407" t="inlineStr">
        <is>
          <t>A</t>
        </is>
      </c>
      <c r="D407" t="inlineStr">
        <is>
          <t>T</t>
        </is>
      </c>
      <c r="E407" t="inlineStr">
        <is>
          <t>267545</t>
        </is>
      </c>
      <c r="F407">
        <f>HYPERLINK("https://www.ncbi.nlm.nih.gov/clinvar/variation/267545/","ClinVarDB")</f>
        <v/>
      </c>
      <c r="G407" t="inlineStr">
        <is>
          <t>criteria_provided|_single_submitter</t>
        </is>
      </c>
      <c r="H407" t="inlineStr">
        <is>
          <t>Breast-ovarian_cancer|_familial_1</t>
        </is>
      </c>
      <c r="I407" t="inlineStr">
        <is>
          <t>Pathogenic</t>
        </is>
      </c>
      <c r="J407" t="inlineStr">
        <is>
          <t>BRCA1</t>
        </is>
      </c>
      <c r="K407" t="inlineStr">
        <is>
          <t>intron_variant|intron_variant&amp;non_coding_transcript_variant|splice_region_variant&amp;intron_variant|splice_region_variant&amp;intron_variant&amp;non_coding_transcript_variant|splice_region_variant&amp;intron_variant&amp;NMD_transcript_variant|intron_variant&amp;NMD_transcript_variant</t>
        </is>
      </c>
      <c r="L407" t="inlineStr"/>
      <c r="M407" t="inlineStr">
        <is>
          <t>NM_007294.4:c.442-7T&gt;A|ENST00000461798.1:c.*228-7T&gt;A|ENST00000473961.1:c.165-10T&gt;A|ENST00000491747.2:c.442-7T&gt;A|ENST00000309486.4:c.-447-7T&gt;A|ENST00000497488.1:c.-218-5027T&gt;A|ENST00000478531.1:c.442-10T&gt;A|ENST00000467274.1:n.506-7T&gt;A|ENST00000477152.1:c.364-7T&gt;A|ENST00000461221.1:c.*228-10T&gt;A|ENST00000487825.1:c.190-7T&gt;A|ENST00000586385.1:c.4+25295T&gt;A|ENST00000352993.3:c.442-7T&gt;A|NR_027676.2:n.622-10T&gt;A|NM_007297.4:c.301-7T&gt;A|ENST00000492859.1:c.*378-7T&gt;A|NM_007298.3:c.442-7T&gt;A|ENST00000354071.3:c.442-7T&gt;A|ENST00000493919.1:c.301-7T&gt;A|NM_007299.4:c.442-7T&gt;A|ENST00000346315.3:c.442-7T&gt;A|ENST00000494123.1:c.442-7T&gt;A|NM_007300.4:c.442-7T&gt;A|ENST00000351666.3:c.442-7T&gt;A|ENST00000468300.1:c.442-7T&gt;A|ENST00000357654.3:c.442-7T&gt;A|ENST00000476777.1:c.442-10T&gt;A|ENST00000493795.1:c.301-7T&gt;A|ENST00000470026.1:c.442-7T&gt;A|ENST00000591534.1:c.-43-25366T&gt;A|ENST00000471181.2:c.442-7T&gt;A|ENST00000591849.1:c.-99+25384T&gt;A|ENST00000484087.1:c.190-10T&gt;A</t>
        </is>
      </c>
      <c r="N407" t="inlineStr"/>
      <c r="O407" t="inlineStr"/>
      <c r="P407" t="inlineStr"/>
      <c r="Q407" t="inlineStr"/>
      <c r="R407" t="inlineStr"/>
      <c r="S407" t="inlineStr"/>
    </row>
    <row r="408">
      <c r="A408" t="inlineStr">
        <is>
          <t>17</t>
        </is>
      </c>
      <c r="B408" t="n">
        <v>41258470</v>
      </c>
      <c r="C408" t="inlineStr">
        <is>
          <t>T</t>
        </is>
      </c>
      <c r="D408" t="inlineStr">
        <is>
          <t>A</t>
        </is>
      </c>
      <c r="E408" t="inlineStr">
        <is>
          <t>842403</t>
        </is>
      </c>
      <c r="F408">
        <f>HYPERLINK("https://www.ncbi.nlm.nih.gov/clinvar/variation/842403/","ClinVarDB")</f>
        <v/>
      </c>
      <c r="G408" t="inlineStr">
        <is>
          <t>criteria_provided|_single_submitter</t>
        </is>
      </c>
      <c r="H408" t="inlineStr">
        <is>
          <t>Hereditary_breast_and_ovarian_cancer_syndrome|Breast-ovarian_cancer|_familial_1</t>
        </is>
      </c>
      <c r="I408" t="inlineStr">
        <is>
          <t>Likely_pathogenic</t>
        </is>
      </c>
      <c r="J408" t="inlineStr">
        <is>
          <t>BRCA1</t>
        </is>
      </c>
      <c r="K408" t="inlineStr">
        <is>
          <t>intron_variant|intron_variant&amp;non_coding_transcript_variant|splice_region_variant&amp;intron_variant|splice_region_variant&amp;intron_variant&amp;non_coding_transcript_variant|splice_region_variant&amp;intron_variant&amp;NMD_transcript_variant|intron_variant&amp;NMD_transcript_variant</t>
        </is>
      </c>
      <c r="L408" t="inlineStr"/>
      <c r="M408" t="inlineStr">
        <is>
          <t>NR_027676.2:n.392+25A&gt;T|ENST00000586385.1:c.4+18729A&gt;T|ENST00000471181.2:c.212+3A&gt;T|ENST00000309486.4:c.-677+3A&gt;T|ENST00000346315.3:c.212+3A&gt;T|ENST00000354071.3:c.212+3A&gt;T|ENST00000478531.1:c.212+3A&gt;T|NM_007298.3:c.212+3A&gt;T|ENST00000489037.1:c.135-1497A&gt;T|ENST00000467274.1:n.276+3A&gt;T|NM_007294.4:c.212+3A&gt;T|ENST00000461798.1:c.190+25A&gt;T|ENST00000476777.1:c.212+3A&gt;T|ENST00000494123.1:c.212+3A&gt;T|ENST00000492859.1:c.*148+3A&gt;T|ENST00000497488.1:c.-218-11593A&gt;T|ENST00000477152.1:c.135-1497A&gt;T|ENST00000468300.1:c.212+3A&gt;T|NM_007297.4:c.71+3A&gt;T|ENST00000591534.1:c.-44+18818A&gt;T|ENST00000591849.1:c.-99+18818A&gt;T|NM_007299.4:c.212+3A&gt;T|ENST00000351666.3:c.212+3A&gt;T|ENST00000470026.1:c.212+3A&gt;T|ENST00000491747.2:c.212+3A&gt;T|ENST00000493795.1:c.71+3A&gt;T|ENST00000357654.3:c.212+3A&gt;T|NM_007300.4:c.212+3A&gt;T|ENST00000493919.1:c.71+3A&gt;T|ENST00000461221.1:c.190+25A&gt;T|ENST00000352993.3:c.212+3A&gt;T</t>
        </is>
      </c>
      <c r="N408" t="inlineStr"/>
      <c r="O408" t="inlineStr"/>
      <c r="P408" t="inlineStr"/>
      <c r="Q408" t="inlineStr"/>
      <c r="R408" t="inlineStr"/>
      <c r="S408" t="inlineStr"/>
    </row>
    <row r="409">
      <c r="A409" t="inlineStr">
        <is>
          <t>17</t>
        </is>
      </c>
      <c r="B409" t="n">
        <v>41199315</v>
      </c>
      <c r="C409" t="inlineStr">
        <is>
          <t>T</t>
        </is>
      </c>
      <c r="D409" t="inlineStr">
        <is>
          <t>TTATGTTGCCCAGGCTGGTCTCGAACTTCTAGGCTCCCACCTTGACCTCCATCTTGACCTCCCAAAGTGCTGGAATTATAGGCATGAGCCACCATGCCCGGCCTTGATTTATGTTTTTGTGATGAACATTCATATCTTACTCCCACCCCATGGAAACAGTTCATGTATTACTTTTACAATATAAAACAAATAACAATAAAAACATCAAAAAGACATTTTAGCCATTCATTCAACAAATATTTAAAATGTGCCAAGAACTGTGCTACTCAAGCACCAGGTAATGAGTGATAAACCAAACCCATGCAAAAGGACCCCATATAGCACAGGTACATGCAGGCACCTTACCATGGAAGCCATTGTCCTCTGTCCAGGCATCTGGCTGCACAACCACAATTGGGTGGACACCCTGGATCCCCAGGAAGGAAAGAGCATTCAAAGTGTCAAAGTAGGACTACTGGAACTGTCACTTCATCATTTTTTTTGTTTGTTTTTGAGACAGGGTCTTGCTCTGTCACCCAGGCTGGAGTGCAGTGGTGTGATCTCAGCTCACTGCCACCTCTGCCTCCTGGGCTCAAGCAATCCTTCCATCTCAGCCTCCTAAGTAGCTGGAACTACAGACACGTACCACCACCCCTGGCTAATTTTTTTGTATTTTTGGTAGAGACAGGGTTTTGCCATGTTGCCCAGGCTGGTCTCAAACTCCTGGGCTCAACTTCACCCCCGGGATTATAGGCATGAGCCACCGCACCCAGCCTTGGCTAATTTTTAATAATTTTTTTGTAGACATGAGGTCCTACTGTATTGCCCAGGCTGGTCTTCAGCTCCCAGGCTCAAGCGATTCTCCCACCTTGGCCTCCCAGTGTTGTGATTACAGGGGTGGGGCACTGGCCCAGCCCATCATTTCTCTCTCTCTCTTTTTTTTTGAGACGGAGTCTCGCTCTGTCGCCCGGGCTGGAGTGCAGTGGCGCGATCTTGGCTCACTGCAACCTCCGCCTCCGGGGTTCAAGCGATTCTCCTGCCCCAGCCCCTCAAGTAGCTGGGACTACAGGCGTGCGCCCCTACGCCCAGCTAATTTTTGTATTTTTAGTAGAGACGGGGTTTCGCCATGTTGGTTGGCCAGGATGGTCTCGATCTCTTGACCTCGTGATCTGCCCACCTCAGCCTCCCAAAGTGCTGGGATTACAGGCGTGAGCCACCGCACCTAGCTTTTCTCTCTCTCTCTTTTTTTTTTTTTTTAGACAAAGTCTCACTCTGTCACCCAGTCTGGAGTGCAGTGGTGCAATCTTGGCTCACTGCAACCTCTGCCTCCCACGTTCAAGCGATGCTCACACCTCAACTTCCCAAATAGCTGGCATTACAGGCATGCTCCACCAGGCCTGGCTACTTTTTGTTTTTTTTTTTTTAGTACAGATGGGGTTTCACCATGTTGGCCAGGCTGGTCTCAAACTCCTGACAAGTGATCCACCTGCCTCGGCCTCCCAAAGTGCTGGGATTACAGACATGAGCCACCATGCCCAGCCTCCAGCCCATCATTTCTTGATGATTTGTTGAAACACAGTATGCTGGGGCAGTCACAGAGAGGAGGGGGAGGGACATATGGGAAAAAGAGTTAGAGGGAAAAAGTCTTCCCTCAGTATATTTAATATGTGCAGTTCTCAAATCCTTACCCATCCCTTACAGATGGAGTCTTTTGGCACAGGTATGTGGGCAGAGAAGACTTCTGAGGCTACAGTAGGGGCATCCATAGGGACTGACAGGTGCCAGTCTTGCTCACAGGAGAGAATATTGTGTCCTCCCTCTCTGACAGGGCACCCAATACTTACTGTGCCAAGGGTGAATGATGAAAGCTCCTTCACCACAGAAGCACCACACAGCTGTACCATCCATTCCAGTTGATCTAAAATGGACATTTAGATGTAAAATCACTGCAGTAATCTGCATACTTAACCCAGGCCCTCTACCCTACACTCTCCGGATGAAGGCTTATAGCAAGACCTCTCAATGGGAGAGTCTGTCTCTCTGCTCCAAAGGACAATGGTCTTAAAATAGTAGGGGTATGGATTTTAAGTCAATTTGCCACTGATATGCCATGTACTCTGGTTATCAGTCTCCATAAGGCCACTTGGTATAAGGTTTGATAGTCTCTCAAATAAAATGCTTGAAAGAAAAAAAAATCAAAGATCTAATTTCCATTAATTTGCTAAATTGCTGGCTAAGACACTGTGTGAAAAAACACCCACCTTCCTTCCCTCCCTTCCTCCCTTCATCCTAATTCTGTGTTGGTAACTGATAATCACGGCCACTGAAAATACCATACTTGGTGGTAATTACTGTAAATGTCAAGAGATGGGAAGATAATTCATCCAGTCAAAAAAATACATGTTATCCTGGTTAGAGACTCAGCAGGGAAAGGCTACATGCTGAGCTGGAATCCATATACTCAGGGGAATAAAAATCAGAAGAGACTGTGGAGATGCTGTGTACCTGGAAAATCAGAACTGCCCAATGGGCTCTGTTGGCTGTGTTCTTCAAGACATTCATGTATGTTGCTCTTTCCCATCAGCCCGTTTCTGGGAATTGCTGAGGTGCTCCTGTCTGTCTGACTGAACGAAGGTTGACTAACTCACCCCCAAAATAATACTTTCTGGCAACCCTGGTTTCCACTATACCAAAGTAAAAAAACACTGAGAAATCCTTGAGTGGAACTTGGAAATTTCATAAAAATCCAATTGATAACTAATAAAGAGGATGGAAACAAAATTACATTGCAGCCAGGTTTTCTTGCTGTCACTCATCTGCCTGTGACCAGATGCTAAGGCCTTTCTCTAAGGTGTAAGAGGACCTAAGTCCCTGGGCAGAAGCAGGCACAGGAGGCAAAGGTGGGTAGCTTTTGCTGTGAAAAGAACAAACCAAATTTATACACACACCAAGGCCTTTGTGCTGCGCAACTCCAGAGGTAAGCTTTATAGCAGTCCTAAGCATAACATTGTATTAAGTGTCAAGTTTAATTAGAAAATGTTCATGGAGAGGGCTGGGCACAGTGGCTCATGCCTGTAATCCTAGCACTTTGGGAGGCTGAGGCGGGTGGATCACGAGGTCAGGAGATCGGGACCATATTGGCTAACACGGTGAAACCCCGTCTCTACTAAAAAAAAAATACAAAAAATTAGTCGGGCGTGGTGGCACACGCCTGTAGTCTCAGCTATTTGGGAGGCTGAGGCAGGAGAATCACTTGAACCCGGGAGGTGGAGGTTGCAGTGAGCCGAGATCGCGCCATTGCACTCTGGCCTGGGCAACAGAGACTCGACCTCAAAAAAAAAGAAAAAAAAAAAGAAATGTTCACCGAGAATCTTCCCCTGCTCTGGGCCCGTCCGTGGTGGGCCAGCTGCTGTGCTTTCTTCTATGTAAGTAAATTAAGATGGTTTAGGAAGAGGAGAACTCCTCCTTGATTTTTACCTATCCAAAGATATTTTCTCACTAACATGTTGGCACTAACAGCAGCTCAACGCCATCTGAACACATAACATACTGAATCCTAACTATTAACCACCTTCATGCTCTTGAGAAGGGGGACAAGGTATAGTTTTTTTTTGCCATAGGATAACATTTAGGTGCTGTTTTGTTTGGAGAGTGGTAGAGAAATAGAATAGCCTCTAGAACATTTCAGCAATCTGAGGAACCCCCATCGTGGGATCTTGCTTATAATACTCCACTATGTAAGACAAAGGCTGGTGCTGGAACTCTGGGGTTCTCCCAGGCTCTTACCTGTGGGCATGTTGGTGAAGGGCCCATAGCAACAGATTTCTAGCCCCCTGAAGATCTGGAAGAAGAGAGGAAGAGAGAGGGACAGGGGAATGGAGAGAAGGAAAATCTAGTTATAAAAGAATATTGGCTTTTATTCAAAAAACAGACTTTCAAAAAGGAAGAGCTTTTCTTTTTCTTCTGTTCACCACCTGATGATTTCTGCTGCTACTTCCCAGGGACAAGCAGTCCAATGTCCAGAACACTACTGGATTTCAGAAGATCTTCTTGAAGTGCATATGTAGTTGACCTGCACTCTACAGGCATTCTTTGTCATTCAAGGACTGAGCATCTCACTTTTGTCACCAATCAGGCCAAGGCTCCTCCCTAATGATCTCTGCAGGTGCTTTAACTTGTTAGATGCAAGGGAAAAAAGGTCCTTCTGTATGTTTAATAAGAGGCTTGGATGGCTAGAAACTCAAAGTTATTGGCTGAAGTTTGATGTTTATCCAGACTTGGTACCTCAAGTACTCACTATGACCCCATCAACAGAGGGGTCTATGTTGATTTTAGGTGTACATGCTCCTTGTCTCCTCTGACTTTTTTTTTTTTTTTTGAGACGGAGTCTCTCTCTGTCACCTAGGCTGGAGCGTAGTGGTGCGATCTGGGCTCACTGCAACCTCTGCCTCCAGGGTTCAAGCGATTCTCCTGCCTTAGCCTCCTGAGTAGCTGGGATTACAGGCGCGCACCACCACGCCCGGCTAATTTTTGTATTTTTAGTAGAGACAGGGTTTCACCATGTTGGTCAGGCTGGTCTCGAACTCCTGACCTCGTGATCTGCCTGTCTTGGCCTTCCAAAGTGCTGGGATTACAGGCATAAGCCACTGCGCCCGGCCCTCTCTGACTTTCTTCTAGCCCCCTAAACATCTGTTCCTTCCTTCTCACTACTCTGAGAATGGCCATTGTATCTTTAGGCCACCTAAGCAGTTTTTAATCTAGAAGTGAAGCCAGGTTCTGCCTCTCCTCATTGAACTAGTCTGACTACCTGGTTTCCTGAAGACACAGATCACACTGCACTGCCTCTTCCACTTACAGGGCTTGGCAACACTGTTCAAAACAACTTTCTGTGATAGTCACAATGTTCTATATCTATGCTAATAAGGTAGCCATGAGTCACATATAGTTATTGAGCACTGGAGATGTGGTTAGGGTGAATGAAGAACTAAACTTCATATTTTAATTTTTTTCTTTTTTTTTGAAGAGATGAGGTCTCATTCTGTCACTCAGGCTGGAGTACAGTGGCACGATCATAGCTTGCTGCAGTATTGAACTTCTGGGCTCAAGCAATCCTCTTGCCTCAGCCTCCTAAGTAGCTGGGACTACAAGTGCACACCACCATGACTGGCTAATTTGTAAAATTTAAATTTAAACAGTCCCATGTGGCTGGTGGCAACAGTGTGGGACAGTGCAAATTCTCATAAACACACTGGCATAGGTTCTTAGCAAATAACTTGGGTATCACTTAAAAATAAACCCTAAAATTGTATCATTTTGGATGGATATGTTTTGGGTGACTCTCAGTGTCTTGACCTTCCCATTGCAATAAAAAGAAAATTGCCAAGGCCTAAAATTCACCTGGCTTCAAAGAGACTGCGATAGAGAAAAAAATCAGGAAGCTAAAAATACACGGATGGCCTTTTAGAAAGTGGTCACCCTCCCCCTTGACAGACAGACGGACAGAAACACACACACACACACACACACACACACACACACACACACACACTCTCTTACTTTACCGCCAGAGTGAAAAGAAATGGCAGTAGGACAAGTCTGTGTGTTTTTTTTTTTTTTTTGAGACGCAGTCTTGCACTGTCGCCTGGGCTGGAGTGCAATGGTGCCATCTCGGCTCACTGCAACCTCCACCTCCTGGGTTCAAGTGATTCTCCTGCCTCAGCCTCCCTAGTAGCTGGGATTACAGGTGCACACCACCACACCCGGCTAATTTTTTGTATTTTTAGTAGAAACGGGGTTTCACTATGTTGGCCAGGCTGGTCTTGAACTCCTGACCTCATGATCCACCCGCCTCAGGCTCCCAAAGACAAGTCTGTTTGTTTTAAGGGACAGCATCCATCTGTGCCACTCTCACTACCTGTATGAATAAACCGCACCCCCAACCTGTTGATAGGACCTGCATGCTCATAATGCTAGAAGTTCTCCCCAGGCAGCCAAGTGGAGCCAAATGCTGACATGAAAAGTACAAAAGATTAGGAATGTTTATATCCAGGCTAACACTCAGTGATGAGGATGCCTAGTTATGAGATAAGAAATTTGAAGTTTCGGGCTTGGCGTAGTGGCTCACGCCTGTAATCCCAGCACTTTGGGAGGCTGAGGCAGGCGGATCACGAGGTCAAGAGATGGAGACCATCCCGTCTAACACAGTGAAAACCCGTCTCTACTAAAAATACAAAAAATTAGCTGGGCATGGTGGCGGGCACCTGTAGTCCCAGCTACTTGGGAGGCTGAGGCAGGAGAATGGTGTGAACCCAGGAGGTGGAGTGGAGCTGGTAGTGAGCCGAGACGGCGCCACTGCACTCCAGCCTGGGTGACATAGCGAGACTCTGTCTCAAAAAAAAAAAGAAATTTGAAGTTTCAGGCCGGGCGCGGTGGCCTGTAATCCTAGCACTTTGGGAGGCCGAGGTGGGTGGATCACTTGGGGTCGGGAGTTCAAGACCAGCGTGACCAACATGGAGAAACCCCATCTCTACTAAAAATACAAAATCAGCTGGGCGTGGTGGCACATGCCTGTAATCCTAGCTACTTAGGAGGCTGAGGCAGGAGAATCACTTGAACCCTGGAGGCAGAGATTGCGGTGAGCCAAGATCACGCCATTGTACTTCAGCCTGGGCAAGAAGAGCAAAGCTTCGTCTTAAAAAAAAAAAAAAAGAAATTTGAAGTTTCACCTCTACATATACATTTCTCTTCCAGAGAAAAATACTATGGTGACATTTAGTATTTTCAGAATGTCATTACTTTGACCACATACTTTCCATCATTGCTATTCTGCATGGAGGAAAAAATCCAAAGCACTAGAATTTCTTTTTAAAGAGGGGAAGAATCTGGTGCTAATACTGCCTAGCATACAGTGGAGGAAAAACAGAGGACTGGCTCACATGGCGCTCCCCTGTGGTAAAGGCAGAAGCAGAAATAAGGCCAGCAGCTTTTCTTGGCATCTGGAACAATTACTTGATAGGCTCAGAAGGTAAAAACAGGCTGACCTCAGCAGTTCAAAACTCCAGGCTTCATTTGTGATCATGTCCCAAAGCAGTTTTCCTTAGGAAATTACCTCTACTGGTTCCCTCTTAAGTTTCTATAAAGGGACAGAAAGTGCTCAGTAGAAGGATGTTTTGTTTTGTTTTGAGACAAGGTCTCACAATGTTGGCCAGGCTGGAGTGCAGTAGCACCATCATGGCTCACTGCAGCCTCGACCTCCCAGACTCAAGCATTCTTCTCACCTCAGCCTCCTGAGTAGCTGGGAATACAAGAGTGTGCTACGACACCCAATTAATTTTTAAATTTTTTTGTAGAGACAGGGTCTTACTATGTTGCCCAGGCTAGTCTTGAACTCCTGGGCTCAAGTGATCCTCCTGCCTTGGCCTCCTAAAGTGCTGGGATTACAGAAGTGAGCCGCTGTGCCCAGCTGGGATTTTTTTTTTTTTTTTGAGATGAAGTCTCCCTCTTGTCCCCAGGCTAGAGTGCAGTGGCGCAATCTTGGCTCACTGCAACCTCCGCCTCCTGGGTTCAACCGATTCTCTAGCCTCAGCCTCCCGAGTAATCCTGAGCTAGGATTACAGGTGCCTACCACCACGCCCAGTTAACTTTTGTATTTTTAGTAGAGATGGGGTTTCACCATG</t>
        </is>
      </c>
      <c r="E409" t="inlineStr">
        <is>
          <t>373834</t>
        </is>
      </c>
      <c r="F409">
        <f>HYPERLINK("https://www.ncbi.nlm.nih.gov/clinvar/variation/373834/","ClinVarDB")</f>
        <v/>
      </c>
      <c r="G409" t="inlineStr">
        <is>
          <t>criteria_provided|_single_submitter</t>
        </is>
      </c>
      <c r="H409" t="inlineStr">
        <is>
          <t>Breast-ovarian_cancer|_familial_1</t>
        </is>
      </c>
      <c r="I409" t="inlineStr">
        <is>
          <t>Pathogenic</t>
        </is>
      </c>
      <c r="J409" t="inlineStr">
        <is>
          <t>BRCA1</t>
        </is>
      </c>
      <c r="K409" t="inlineStr">
        <is>
          <t>intron_variant&amp;non_coding_transcript_variant|intron_variant|intron_variant&amp;NMD_transcript_variant</t>
        </is>
      </c>
      <c r="L409" t="inlineStr"/>
      <c r="M409" t="inlineStr">
        <is>
          <t>ENST00000357654.3:c.5277+2100_5467+344dup|ENST00000468300.1:c.1965+2100_2081+344dup|ENST00000354071.3:c.4482+2100_4672+344dup|NM_007299.4:c.1965+2100_2081+344dup|ENST00000346315.3:c.4560+2100_4750+344dup|NM_007298.3:c.1965+2100_2155+344dup|ENST00000351666.3:c.1728+2100_1918+344dup|NM_007300.4:c.5340+2100_5530+344dup|ENST00000461221.1:c.*5060+2100_*5250+344dup|ENST00000586385.1:c.207+2100_397+344dup|NM_007294.4:c.5277+2100_5467+344dup|ENST00000591849.1:c.-98-4762_166+344dup|ENST00000493795.1:c.5136+2100_5326+344dup|ENST00000471181.2:c.5340+2100_5530+344dup|NR_027676.2:n.5454+2100_5644+344dup|NM_007297.4:c.5136+2100_5326+344dup|ENST00000591534.1:c.750+2100_940+344dup|ENST00000352993.3:c.1851+2100_2041+344dup|ENST00000309486.4:c.4389+2100_4579+344dup|ENST00000491747.2:c.1965+2100_2155+344dup</t>
        </is>
      </c>
      <c r="N409" t="inlineStr"/>
      <c r="O409" t="inlineStr"/>
      <c r="P409" t="inlineStr"/>
      <c r="Q409" t="inlineStr"/>
      <c r="R409" t="inlineStr"/>
      <c r="S409" t="inlineStr"/>
    </row>
    <row r="410">
      <c r="A410" t="inlineStr">
        <is>
          <t>17</t>
        </is>
      </c>
      <c r="B410" t="n">
        <v>41222208</v>
      </c>
      <c r="C410" t="inlineStr">
        <is>
          <t>C</t>
        </is>
      </c>
      <c r="D410" t="inlineStr">
        <is>
          <t>CCAAAGTGCTGGGATTACAGGCTTGAGCCACCATGCCCGGCCATGCAATTATTTTTATTATGAAGTGATGACAATGACAATTAATTACAGGGGTGGTAAACTTCTCAGGATGTCTGAAATCCACAAATAGCCCAAGCAGAAACGAGGTTTTACTGGTCTTAATATTTTAATGGGTATTTTTCCACAGTATGAAGCAATTCCCATTTCTGGCATTAAGGACCCAAGGTGATGCCAAAATCCTAATAGCAAGGGATATTGCAGGGCAGAAGTGGCAGGGCATTCTTACAAGCCAGGATGAAAACAAACACTAGAGAAATGCTACTATCTGGCAGTACATTTGGAACCAGTCTGAATTTAGTTAAATATGCTGGTAAATTCACCCATGTGAGACAAGGGGGAGAAAAAGATGCCTTCTGGGGAATAAAACTATACCTACTTGCTTTTACAGATAGAAAGGAAAATTCCAATTCGAAAGTCCTATATCATACCCAAAGTATAGCTTTTCCACTAATATTTAATAATTATTTTCTCAAGTAAATATACATAAAATAATCCACACTATAGCTTTATCTAGATCTAAATTTTCAGAAATTAGTAATCGAAATTAAATTACACAGAACTGTGATTGTTTTCTAGATTTCTTCCTCTAGGTTATTAATTGACAATACCTACATAAAACTCTTTCCAGAATGTTGTTAAGTCTTAGTCATTAGGGAGATACATATGGATACACTCACAAATTCTTCTGGGGTCAGGCCAGACACCACCATGGACATTCTTTTGTTGACCCTTTCTGTTGAAGCTGTCAATTCTGGCTTCTCCCTGCTCACACTTTCTTCCATTGCATTATACCCAGCAGTATCAGTAGTATGAGCAGCAGCTGGACTCTGGGCAGATTCTGCAACTTTCAATTGGGGAACTTTCAATGCAGAGGTTGAAGATGGTATGTTGCCAACACGAGCTGACTCTGGGGCTCTGTCTTCAGAAGGATCAGATTCAGGGTCATCAGAGAAGAGGCTGATTCCAGATTCCAGGTAAGGGGTTCCCTCTGAAAGGAATGGGAGAAGTTTAATTTACACAACGATGAATGTTGAATTACAAAGTTCTGGTCTCTGTTAAGAATTAAAAAGACCAATAAAGTTAGGTTAAGAGAAAAATGGGTACATGAATACAGTGTTGGTGGAAATCCAAAGTAGCTTAGTTTCCTAAAAAGGAAATATGGCATTATGTAGCAAACACCTTAACACGTATTTACACTTTCAGTCAACAATGCTAGTTTTAGAAATATATCCTAGGGAGATAAAAGATATATGCAAAGGTTTAGTCATAGGAATAGTATAATTTTAGAAACAATGTAGTTGTCCAATAATAGGAGATTAAATTACGATATACCTAGTCCAATGGAGTACTCTTCACCCATTAATTTGAATATAAATGTTGATGTACAATAAAACAGAAATGTTACTAATATATTAAAGACACCTAAGCAATATTATTTATCATGACATTATTTTAAAAATAAAAGTTTATGGGCCGAGCACGGTGGCTCACACCTGTAATCCCAGCACTTTGGGAGGCCGAGACGGGTGGATCACGAGGTCAGGAGATCAAGACCATCCTGGCTAACACAGTGAAACCCTGTCTCTACTGAAAATACAAAAAAAAAAATTAGCTGGGCGTGGTGGCGGGCGCCTGTAGTCCCGGCTACTAGGGAGGCTGAGGCAGGGGAATGGCGTGTACCCGGGAGGCAGAGCTTGCAGTGAGCTGAGATTGAGCCATTGCATTCCAGCCTGGGCAACAGAGCGAGACTCCGTCTCAAAAAAATAAATAAATAAAAATAAATAAATAAATAAAAGTTTATGTAAAATGACTAAAGAAACACAGAAATATTTTATTATTAAAGAATAAGAGTACAGGCCGGGTGCGGTGGCTCAGGCCTGTAATCCCAGCACTTTGGGAGGCCAAGGTGGGCGGATCACCTGAGGTCAAGAGGTCGAGACCAGTCTGACCAACATGGAGAAACCCTGTCTCTACTAAAAATACAAAAAATTAGCCGGGCGTGGTGGTGCATGCCTGTAATCCCAGCTACTGGGGAGGCTGAAGCAGGAGAATCGCTCGAACCCAGGAGGCGGAGGTTGCGCTGAGCCGAGATTGCGCCATTGCACTCCAGCCTGGGCAACAAGAGTGAAACTCCGTCTCAAAAAAGAGTACGGGTAATATTTTTTTTTTTGAGAAGGGTCTCGGTCTGTCATCCAGGCTGCAGTGCAGTGGCACAAACATGGCTCACCTGCAGCCTTGACCTCCTGGACTCAAGTGATCTTCCTGTCTCAGCCTCCTGAGTAGCTGGGACCACAGGTGTTTGCCACCTTCCAGCTGATTTTTTTTTTTTTTGAGATGGAGTTTCATTCTTGTTGCCCAGGCTAGAGTGCAATGGCGCGATCTCAGCTCACTGAAACCTCTGCCTCCCAGGTTCAAGCGATTCTCCTGCCTCAGCCTCCCGAGTAGCTGGGACTACAGGCATAAGCCACCAAGCCTGGCTAATTTTGTATTTTTAGTAGAGACAGGGTTTCTCCATATTGGTCAGGTTGGTCCTGAACTCCTGCCCTCAGGTGATCTGCCCGCCTCGGCCTCCCAAAGTGCTGGGATTACAGGCGTAAGCCACCCACCACGCCTGGCCCCAGCTAGTTTTTTTTTTTTTTTACTTTTTATAGAGATCAGGTCTCGCTACATTGCCCAGGCTGGTCTTGAACTCTTGGCCTCGAGCAATTCTCCCACCTTGGCCTCCCAAAGTACTGAGATTACAGGCATGAGCAGTGGCTGTAATCTGTCCTTATTTTATCTTTTAAGAGGTGGCATCTCAGCTTGGTGAAGTGGCTCACACCTATAATCCCAGCACTTTGGGAGGCCAAGGTAGGAAGATTGCATGAGGCCAGGAGTTAGAGACCAGCCTCGGCAACATAACAAGACCCGTGTCTAACCCCACCCCAAATTATCTTTTTTATTCCCTATATTGTCCAATTTGGGGGCAATGAGCTTATAGCAATTTTGTAAGAAAGGAAAAAAAAGTTGAAAAATGTGGCAAATGCTTTATTTTTGTTTCTTCATCCAAGGTAATGACACCATTACTTTTTTCACTTAATAAATCAGCAGATATCATTACCAAATTAAAAACAGCAGAGATGTCATCCTTGAAACATTTCAGAAAATGCCATGGTATCAGGAATTAAGCATAGCTAAGTAGAATGTATGAGATTCCTAAAATGACCCTAATGAACATGGCCAAATACCACATTTGATGCCAAACAGTGTCTTTTATGATAACGTGTTTTTGAGGATTAAAAACTTTCTTTACTGATTAAAACTCTGATTTACAAGCCATAAAACACCATTCATTAAAAGTGATTTTTAAGGCATAAAATATGTAGTCATTTATATTCATTAACTCATAAAAAAAACTTGCTTTGGGATTTGACTCATTTTCTAATAAAGGACTGGCCTAAAACTTTATTCTTTGGCCTTTGGACTCTTGTCTAACAGTTGAAATAAAATATATGTGTGTATATATATATATATATATTTTTTGAGATGGAGTCTTGCTCTGTCACCCAGACTGGAGTGCAGTGGTGTGATCTTGGCTCACCGCAACCTCCGCCTCCCGGGTTCAAGTGATTCTGCTGCCTCAGCCTCCAGAGTAGCTAGGATTACGGGCATGCACTAGCACACCCAGTTAATTTTTTTGTATTTTTAGTAGAGACAGGGTTTCACCATGTTGGCCAGACAGGTCTTGAACTCCTGACCTCAGCTGATCCACCTGCCTCGGCCTCCTGGAGTACTGGGATTACAGGCGTGAGCCACTATGCCTGGCCTGAAATAATACATTTAGAGTACACCAAGACTCCCTCATCCTCAAAATCATTAGTTAAACCATTAATTAAAATATAGATGGATTAACAGTTTCAATAATTTTCAAGTAAACCTTGATTAACACTTGAGCTATTTTTCTAAAGTGGGCTTAATTAAGTATAACAAAAGTGTCCATGATAGACTAGTACATCTAAAAGTTGGTTAACCAGAATATCTTTATGTAGGATTCAGAGTAAAATCAAAGTGTTTGTTCCAATACAGCAGATGAAATATTACCTAGATCTTGCCTTGGCAAGTAAGATGTTTCCGTCAAATCGTGTGGCCCAGACTCTTCCAGCTGTTGCTCCTCCACATCAACAACCTTAATGAGCTCCTCTTGAGATGGGTAGTTTCTATTCTGAAGACTCCCAGAGCAACTGTGCATGTACCACCTATCATCTAATGATGGGCATTTAGAAGGGGATGACCTAGAAAGATAAATGGAAGGAGAAAACCATCGCCACCAATTGTGAAAGGACAAATCATACTTGCTGGGCAGCCAAAGCATAAATGAAACAGCTCATGTCAGAGAGATCAGAAATGACTGGCAAAAAAGAGCCCGCAAGACAGCCTAGAAGTCTGGATTCATGTTGCCTGCCAATATGTCAGGGTTGACATATAACATGGGGTTGGGTTGGTCTGAGGCACCATATCTCCCAGCTGTTTAAAAGCAGGTCAGTAGCTGGGTGTGGTGGCTGGCGCCTGTAATCTCAGCTACTCGGGAGGCTGAGGCAGGAAAATTGCTTGAACCTGGGAGACAGAGGTTGCAGTGAGCCGAGATCACGCCACTGCACTCCAGCCTGAGTGACAGAGCAAGACTCTGTCAAGAAAGAAAGGAAAGGAAAGAAAGGAAAGAAAAGGAAAGGAAAGAAAGAAAAGAAAAGGAAGGGAGGAAGGAAAGAAAGGAAGAAAGGAAAGAAAGGAAAGAAAGAAGGAAAGAAGGAAGGAAGGGAGGGAAAGGAAAGGAAAGGACGGAAGGAAGGAAGGAAGGAAAGGAAGAAAGAAAGGAGGAAAGAATAAAAGCAGGTCAGCAAATTTTTACCAAATTACTCACTGCCACTCACTCTATACACAATATTCTACTTGAGTCTAAATGGATATGTTAGAATCAGATCTCTTATGAAGATAGAAAGTTGATCAATGTCGACATCTCTACACTCATTCTTTCTACTCAGTTTTAGCAGAATTCACAGAATCATCCCTATTGCCTGCCTTTTCAATGTTCAAATTCATTCTAAAAACAAAAGCCAGCTATAAAATATTGTTAGAAAAGCATACACACCCAGTAAATAGTTCCTCTGCTCTTCCAAGTGCTTAGGACTTTGCAAAATAAGATACTTATCAACAGATTTAAAGGGCCTCAGAGGTTAATTAATTTAAACAATTATTGGGTGCTTACTATGGGTCAAATACTAAGGCTAGGCCCCCTGGATTGAAGATGGGTGAGACCTGAATTACTGCTCTCTCTCTCTTTTTTTTTTTGTTTTGAGACGGAGTCTTGCTCTGTCGCCCAGGCTGGAGTGCAATGGCACGGTCCCAGCTCACTGCAACCTCTGCCTCCCAGGTTCAAGCAATTCTCCTGCCTCAGCCTCCTGAGTAGCTGGGATTACAGGCACCTGCCACCACGCCTGGCCCTCCAGTAAGGAAAAGAATAGTACTGGACTACATAGTCCAGTACTGGACTGCTATACAGCCCTGTGTTAATAGTGGTGTAAATACACATCTCTGAAAGATATTCTAAATGTTTTCTGGCTTTGGGAGGGCAAGGCGGGCGGACTACTTGAGTCCAGGAATTTGAGACCAGCCTGGGCAACAAGGTAAAACTCCATCTCTACCAAAAATACAAAAACTTAGTGGGTGTGGGTGGCGCATGCTTGTGGACCCAGCTACTCAGGAGGCTAAGGTGGGAGGATTGCTTGAGCCTGAAAAACGGAGGATGCAGTGAGCCATGACTGCACCACTGCAATCTAGGTGACACAGGGCGACCCTGTCTCAAAAAATAATAATAATAGTAATTATTATTATTATTTTCTGTGGTAAATCAACAGCTAGACTTTTTCTAGAAAGACAAGAATTTTAATTAGGGCAAGGGCTGCCTTGAAGAAGTCTACCATCAGTTTCCAAGCTTGTTCAGGTTTTACCTCCATTATATTTTTTTCTGACCTTCAGAAGGGACATATCTATCTAACCGCACATTTCTCATGTTGTAGCTTATGTTATAGGTTCAAAAAACCTATATAGGATTAAACAAAAGAAGTATCCTAGAGCAATAAAAGTGTATAAATGCCTGTATGCAAAAAACTGGAGAAAGTATGGTGAAAAAAATTAACAATCAGAGTTCAATATAAATAAAGATGTCAGATACCACAGCATCTTTACATTGATGTTTCTTACCTTTCCACTCCTGGTTCTTTATTTTTACTGGTAGAACTATCTGCAGACACCTCAAACTTGTCAGCAGAAAGGCCTTCTGGATTCTGGCTTATAGGGTATTCACTACTTTTCTGTGAAGTTAATACTGCTTTAAATGGAATGAGAAAACAAATCTACTTTACTGCTTTGTTCTGATAGTGATAATTCAGGTTAGAATACTGATTTTTTTCAAAAGCATCAATCTATGATACACAAATTGGTTTTTAAACAAGTATATCAGGCAGAATTTTATAAACACAAGCAATGCAACAGACAGATGCTAGCACCAAATGGAATTCAATGATTAAAAAATAATAATGATAATAAAAGGAACACTTTAAGACAGAGTAAATAAAGACACCCAGCTGAGACAAGGCTGAAAAAAAAAATCTATATTCCTTGGCCCTGAATGATAAAAAATATATATAACAAATTTTTATCTCTGCAGCAAAATAAATTATGCCCAAATCCCCTCAGACAATAGGAAAGAAAGAGTACCGGAGAGCACAAAGTACATTATTTTCTCCATCCCTACTGCCTCCACATTGAAGACTGTATGAAATGGGGATTTCAGCTTCTGCATGTCGGGGGTAAACAAGACATGAGTGTCAGACATGAAAGAAAAAACAGGTGACATTTTGCTTCACATTTTCAATTACCGAAAAAAAAGAAAAAAACAAATAAACCCCCTAAACCAACACATACACAAAAAAATCCCAAGGTGCTGGTTGATAAGAAATCTTAAATAATACATGGAACTAATGATGAAATGGCACAAGAAGGGAAAAATCACAAAACATACTGAAGGCAAAGTTCTGGCATGTTAGTTCTTTTTTTTTTTTTGAGACGGAGTCTCACTCTGTTGCCCAAGCTGAAGTGCAATGGTGCAATCTTGGCTCACTGCAACCTCCACCTCCTGGGTTCAAGCGATTCTCCTGCCTCAGCCTTCCTAGTAGCTGACATTACAGGTGCCTGCCACCACGCCCAGCTAGTTTTTTTGGTATTTTTAGTAGAGATGGGATTTTACCCTGTTGATCAGGCTAGTCTCGAACTCCTGACCTCAAGTGATCCACCCGCCTTGGCCTCCCAAAGTGCGGGGATTACAGACATGAGCCACTGCGCCCAGCCTAATTCATTTTGTAATATATTTACTCCTCCAAATGTATCACTTTGTGCCACTGCCTTCTAGGAAGTGGCTTAAAGGCAGAAGTACTTATTTATTTATTTTTATTTATTTATTTTTTTTGAGATGGAGTTTGCTCTTGTTGCCCAGGCTGCAGTGCAATGGCATGATCTTGGCTCACCACAACCTCTCTGCCTCCCAGGTTCAAGCTGTTCTCCTGCCTCAGCCTCCCAAGTAGTTGGGATTACAGGTATGCACCACCTCGCCCAACTAATTTTGTATTTTTAGTAGAGATGGGGTTTCTCCATGTTGGTCACGCTGGTCTCGAACTCCCGACCTCAGGTGATCTGCCTGCCTCGGCCTCCCAAAGTGATGGGATTACAGGCGTGAGCCACTGCGCCCGACCGTTATTTTTCAACGAGATGGGTGTCTTGCTGTGTTGACCAGGCTGGTTTCAAACTTTTTTTTTTTTTTGAGACAGAGTCTTGCTCTGTTACCCAGGCTGGAATACAGTGGCATGATCTCGGCTCACTGCAACCTCTGCCTCCAGGTTCAAGCGATTCTCCTGCCTTAGCCTCCCAAGAAGATGGGATTATAGGTGCCCACCACCACCCCTTGGCTAATTTTTGTATTTTTTGTAGAGATGGGGTTTTACCATGTTGGCCAGGCTGGTCTTAAACTCCTGACCTCAGGTGATCCGCCAACCTTGGCCTCA</t>
        </is>
      </c>
      <c r="E410" t="inlineStr">
        <is>
          <t>373850</t>
        </is>
      </c>
      <c r="F410">
        <f>HYPERLINK("https://www.ncbi.nlm.nih.gov/clinvar/variation/373850/","ClinVarDB")</f>
        <v/>
      </c>
      <c r="G410" t="inlineStr">
        <is>
          <t>criteria_provided|_single_submitter</t>
        </is>
      </c>
      <c r="H410" t="inlineStr">
        <is>
          <t>Breast-ovarian_cancer|_familial_1</t>
        </is>
      </c>
      <c r="I410" t="inlineStr">
        <is>
          <t>Pathogenic</t>
        </is>
      </c>
      <c r="J410" t="inlineStr">
        <is>
          <t>BRCA1</t>
        </is>
      </c>
      <c r="K410" t="inlineStr">
        <is>
          <t>intron_variant&amp;non_coding_transcript_variant|intron_variant|intron_variant&amp;NMD_transcript_variant</t>
        </is>
      </c>
      <c r="L410" t="inlineStr"/>
      <c r="M410" t="inlineStr">
        <is>
          <t>NM_007297.4:c.4217-1729_4845+736dup|ENST00000352993.3:c.932-1729_1560+736dup|ENST00000591849.1:c.-98-28153_-98-20002dup|NM_007294.4:c.4358-1729_4986+736dup|ENST00000471181.2:c.4423+991_5049+736dup|NM_007299.4:c.1049-1732_1674+736dup|ENST00000493919.1:c.908-1729_1536+736dup|ENST00000478531.1:c.1046-1729_1674+736dup|ENST00000357654.3:c.4358-1729_4986+736dup|NM_007300.4:c.4423+991_5049+736dup|ENST00000351666.3:c.809-1729_1437+736dup|ENST00000493795.1:c.4217-1729_4845+736dup|ENST00000468300.1:c.1049-1732_1674+736dup|ENST00000346315.3:c.4357+4061_4358-6241dup|NR_027676.2:n.4535-1729_5163+736dup|ENST00000354071.3:c.4357+4061_4358-6819dup|ENST00000484087.1:c.671-1729_1299+736dup|ENST00000461221.1:c.*4141-1729_*4769+736dup|NM_007298.3:c.1049-1732_1674+736dup|ENST00000586385.1:c.5-14392_5-6241dup|ENST00000309486.4:c.3470-1729_4098+736dup|ENST00000472490.1:n.139+736_139+737insTGAGGCCAAGGTTGGCGGATCACCTGAGGTCAGGAGTTTAAGACCAGCCTGGCCAACATGGTAAAACCCCATCTCTACAAAAAATACAAAAATTAGCCAAGGGGTGGTGGTGGGCACCTATAATCCCATCTTCTTGGGAGGCTAAGGCAGGAGAATCGCTTGAACCTGGAGGCAGAGGTTGCAGTGAGCCGAGATCATGCCACTGTATTCCAGCCTGGGTAACAGAGCAAGACTCTGTCTCAAAAAAAAAAAAAAGTTTGAAACCAGCCTGGTCAACACAGCAAGACACCCATCTCGTTGAAAAATAACGGTCGGGCGCAGTGGCTCACGCCTGTAATCCCATCACTTTGGGAGGCCGAGGCAGGCAGATCACCTGAGGTCGGGAGTTCGAGACCAGCGTGACCAACATGGAGAAACCCCATCTCTACTAAAAATACAAAATTAGTTGGGCGAGGTGGTGCATACCTGTAATCCCAACTACTTGGGAGGCTGAGGCAGGAGAACAGCTTGAACCTGGGAGGCAGAGAGGTTGTGGTGAGCCAAGATCATGCCATTGCACTGCAGCCTGGGCAACAAGAGCAAACTCCATCTCAAAAAAAATAAATAAATAAAAATAAATAAATAAGTACTTCTGCCTTTAAGCCACTTCCTAGAAGGCAGTGGCACAAAGTGATACATTTGGAGGAGTAAATATATTACAAAATGAATTAGGCTGGGCGCAGTGGCTCATGTCTGTAATCCCCGCACTTTGGGAGGCCAAGGCGGGTGGATCACTTGAGGTCAGGAGTTCGAGACTAGCCTGATCAACAGGGTAAAATCCCATCTCTACTAAAAATACCAAAAAAACTAGCTGGGCGTGGTGGCAGGCACCTGTAATGTCAGCTACTAGGAAGGCTGAGGCAGGAGAATCGCTTGAACCCAGGAGGTGGAGGTTGCAGTGAGCCAAGATTGCACCATTGCACTTCAGCTTGGGCAACAGAGTGAGACTCCGTCTCAAAAAAAAAAAAAGAACTAACATGCCAGAACTTTGCCTTCAGTATGTTTTGTGATTTTTCCCTTCTTGTGCCATTTCATCATTAGTTCCATGTATTATTTAAGATTTCTTATCAACCAGCACCTTGGGATTTTTTTGTGTATGTGTTGGTTTAGGGGGTTTATTTGTTTTTTTCTTTTTTTTCGGTAATTGAAAATGTGAAGCAAAATGTCACCTGTTTTTTCTTTCATGTCTGACACTCATGTCTTGTTTACCCCCGACATGCAGAAGCTGAAATCCCCATTTCATACAGTCTTCAATGTGGAGGCAGTAGGGATGGAGAAAATAATGTACTTTGTGCTCTCCGGTACTCTTTCTTTCCTATTGTCTGAGGGGATTTGGGCATAATTTATTTTGCTGCAGAGATAAAAATTTGTTATATATATTTTTTATCATTCAGGGCCAAGGAATATAGATTTTTTTTTTCAGCCTTGTCTCAGCTGGGTGTCTTTATTTACTCTGTCTTAAAGTGTTCCTTTTATTATCATTATTATTTTTTAATCATTGAATTCCATTTGGTGCTAGCATCTGTCTGTTGCATTGCTTGTGTTTATAAAATTCTGCCTGATATACTTGTTTAAAAACCAATTTGTGTATCATAGATTGATGCTTTTGAAAAAAATCAGTATTCTAACCTGAATTATCACTATCAGAACAAAGCAGTAAAGTAGATTTGTTTTCTCATTCCATTTAAAGCAGTATTAACTTCACAGAAAAGTAGTGAATACCCTATAAGCCAGAATCCAGAAGGCCTTTCTGCTGACAAGTTTGAGGTGTCTGCAGATAGTTCTACCAGTAAAAATAAAGAACCAGGAGTGGAAAGGTAAGAAACATCAATGTAAAGATGCTGTGGTATCTGACATCTTTATTTATATTGAACTCTGATTGTTAATTTTTTTCACCATACTTTCTCCAGTTTTTTGCATACAGGCATTTATACACTTTTATTGCTCTAGGATACTTCTTTTGTTTAATCCTATATAGGTTTTTTGAACCTATAACATAAGCTACAACATGAGAAATGTGCGGTTAGATAGATATGTCCCTTCTGAAGGTCAGAAAAAAATATAATGGAGGTAAAACCTGAACAAGCTTGGAAACTGATGGTAGACTTCTTCAAGGCAGCCCTTGCCCTAATTAAAATTCTTGTCTTTCTAGAAAAAGTCTAGCTGTTGATTTACCACAGAAAATAATAATAATAATTACTATTATTATTATTTTTTGAGACAGGGTCGCCCTGTGTCACCTAGATTGCAGTGGTGCAGTCATGGCTCACTGCATCCTCCGTTTTTCAGGCTCAAGCAATCCTCCCACCTTAGCCTCCTGAGTAGCTGGGTCCACAAGCATGCGCCACCCACACCCACTAAGTTTTTGTATTTTTGGTAGAGATGGAGTTTTACCTTGTTGCCCAGGCTGGTCTCAAATTCCTGGACTCAAGTAGTCCGCCCGCCTTGCCCTCCCAAAGCCAGAAAACATTTAGAATATCTTTCAGAGATGTGTATTTACACCACTATTAACACAGGGCTGTATAGCAGTCCAGTACTGGACTATGTAGTCCAGTACTATTCTTTTCCTTACTGGAGGGCCAGGCGTGGTGGCAGGTGCCTGTAATCCCAGCTACTCAGGAGGCTGAGGCAGGAGAATTGCTTGAACCTGGGAGGCAGAGGTTGCAGTGAGCTGGGACCGTGCCATTGCACTCCAGCCTGGGCGACAGAGCAAGACTCCGTCTCAAAACAAAAAAAAAAAGAGAGAGAGAGCAGTAATTCAGGTCTCACCCATCTTCAATCCAGGGGGCCTAGCCTTAGTATTTGACCCATAGTAAGCACCCAATAATTGTTTAAATTAATTAACCTCTGAGGCCCTTTAAATCTGTTGATAAGTATCTTATTTTGCAAAGTCCTAAGCACTTGGAAGAGCAGAGGAACTATTTACTGGGTGTGTATGCTTTTCTAACAATATTTTATAGCTGGCTTTTGTTTTTAGAATGAATTTGAACATTGAAAAGGCAGGCAATAGGGATGATTCTGTGAATTCTGCTAAAACTGAGTAGAAAGAATGAGTGTAGAGATGTCGACATTGATCAACTTTCTATCTTCATAAGAGATCTGATTCTAACATATCCATTTAGACTCAAGTAGAATATTGTGTATAGAGTGAGTGGCAGTGAGTAATTTGGTAAAAATTTGCTGACCTGCTTTTATTCTTTCCTCCTTTCTTTCTTCCTTTCCTTCCTTCCTTCCTTCCGTCCTTTCCTTTCCTTTCCCTCCCTTCCTTCCTTCTTTCCTTCTTTCTTTCCTTTCTTTCCTTTCTTCCTTTCTTTCCTTCCTCCCTTCCTTTTCTTTTCTTTCTTTCCTTTCCTTTTCTTTCCTTTCTTTCCTTTCCTTTCTTTCTTGACAGAGTCTTGCTCTGTCACTCAGGCTGGAGTGCAGTGGCGTGATCTCGGCTCACTGCAACCTCTGTCTCCCAGGTTCAAGCAATTTTCCTGCCTCAGCCTCCCGAGTAGCTGAGATTACAGGCGCCAGCCACCACACCCAGCTACTGACCTGCTTTTAAACAGCTGGGAGATATGGTGCCTCAGACCAACCCAACCCCATGTTATATGTCAACCCTGACATATTGGCAGGCAACATGAATCCAGACTTCTAGGCTGTCTTGCGGGCTCTTTTTTGCCAGTCATTTCTGATCTCTCTGACATGAGCTGTTTCATTTATGCTTTGGCTGCCCAGCAAGTATGATTTGTCCTTTCACAATTGGTGGCGATGGTTTTCTCCTTCCATTTATCTTTCTAGGTCATCCCCTTCTAAATGCCCATCATTAGATGATAGGTGGTACATGCACAGTTGCTCTGGGAGTCTTCAGAATAGAAACTACCCATCTCAAGAGGAGCTCATTAAGGTTGTTGATGTGGAGGAGCAACAGCTGGAAGAGTCTGGGCCACACGATTTGACGGAAACATCTTACTTGCCAAGGCAAGATCTAGGTAATATTTCATCTGCTGTATTGGAACAAACACTTTGATTTTACTCTGAATCCTACATAAAGATATTCTGGTTAACCAACTTTTAGATGTACTAGTCTATCATGGACACTTTTGTTATACTTAATTAAGCCCACTTTAGAAAAATAGCTCAAGTGTTAATCAAGGTTTACTTGAAAATTATTGAAACTGTTAATCCATCTATATTTTAATTAATGGTTTAACTAATGATTTTGAGGATGAGGGAGTCTTGGTGTACTCTAAATGTATTATTTCAGGCCAGGCATAGTGGCTCACGCCTGTAATCCCAGTACTCCAGGAGGCCGAGGCAGGTGGATCAGCTGAGGTCAGGAGTTCAAGACCTGTCTGGCCAACATGGTGAAACCCTGTCTCTACTAAAAATACAAAAAAATTAACTGGGTGTGCTAGTGCATGCCCGTAATCCTAGCTACTCTGGAGGCTGAGGCAGCAGAATCACTTGAACCCGGGAGGCGGAGGTTGCGGTGAGCCAAGATCACACCACTGCACTCCAGTCTGGGTGACAGAGCAAGACTCCATCTCAAAAAATATATATATATATATATACACACATATATTTTATTTCAACTGTTAGACAAGAGTCCAAAGGCCAAAGAATAAAGTTTTAGGCCAGTCCTTTATTAGAAAATGAGTCAAATCCCAAAGCAAGTTTTTTTTATGAGTTAATGAATATAAATGACTACATATTTTATGCCTTAAAAATCACTTTTAATGAATGGTGTTTTATGGCTTGTAAATCAGAGTTTTAATCAGTAAAGAAAGTTTTTAATCCTCAAAAACACGTTATCATAAAAGACACTGTTTGGCATCAAATGTGGTATTTGGCCATGTTCATTAGGGTCATTTTAGGAATCTCATACATTCTACTTAGCTATGCTTAATTCCTGATACCATGGCATTTTCTGAAATGTTTCAAGGATGACATCTCTGCTGTTTTTAATTTGGTAATGATATCTGCTGATTTATTAAGTGAAAAAAGTAATGGTGTCATTACCTTGGATGAAGAAACAAAAATAAAGCATTTGCCACATTTTTCAACTTTTTTTTCCTTTCTTACAAAATTGCTATAAGCTCATTGCCCCCAAATTGGACAATATAGGGAATAAAAAAGATAATTTGGGGTGGGGTTAGACACGGGTCTTGTTATGTTGCCGAGGCTGGTCTCTAACTCCTGGCCTCATGCAATCTTCCTACCTTGGCCTCCCAAAGTGCTGGGATTATAGGTGTGAGCCACTTCACCAAGCTGAGATGCCACCTCTTAAAAGATAAAATAAGGACAGATTACAGCCACTGCTCATGCCTGTAATCTCAGTACTTTGGGAGGCCAAGGTGGGAGAATTGCTCGAGGCCAAGAGTTCAAGACCAGCCTGGGCAATGTAGCGAGACCTGATCTCTATAAAAAGTAAAAAAAAAAAAAAACTAGCTGGGGCCAGGCGTGGTGGGTGGCTTACGCCTGTAATCCCAGCACTTTGGGAGGCCGAGGCGGGCAGATCACCTGAGGGCAGGAGTTCAGGACCAACCTGACCAATATGGAGAAACCCTGTCTCTACTAAAAATACAAAATTAGCCAGGCTTGGTGGCTTATGCCTGTAGTCCCAGCTACTCGGGAGGCTGAGGCAGGAGAATCGCTTGAACCTGGGAGGCAGAGGTTTCAGTGAGCTGAGATCGCGCCATTGCACTCTAGCCTGGGCAACAAGAATGAAACTCCATCTCAAAAAAAAAAAAAATCAGCTGGAAGGTGGCAAACACCTGTGGTCCCAGCTACTCAGGAGGCTGAGACAGGAAGATCACTTGAGTCCAGGAGGTCAAGGCTGCAGGTGAGCCATGTTTGTGCCACTGCACTGCAGCCTGGATGACAGACCGAGACCCTTCTCAAAAAAAAAAATATTACCCGTACTCTTTTTTGAGACGGAGTTTCACTCTTGTTGCCCAGGCTGGAGTGCAATGGCGCAATCTCGGCTCAGCGCAACCTCCGCCTCCTGGGTTCGAGCGATTCTCCTGCTTCAGCCTCCCCAGTAGCTGGGATTACAGGCATGCACCACCACGCCCGGCTAATTTTTTGTATTTTTAGTAGAGACAGGGTTTCTCCATGTTGGTCAGACTGGTCTCGACCTCTTGACCTCAGGTGATCCGCCCACCTTGGCCTCCCAAAGTGCTGGGATTACAGGCCTGAGCCACCGCACCCGGCCTGTACTCTTATTCTTTAATAATAAAATATTTCTGTGTTTCTTTAGTCATTTTACATAAACTTTTATTTATTTATTTATTTTTATTTATTTATTTTTTTGAGACGGAGTCTCGCTCTGTTGCCCAGGCTGGAATGCAATGGCTCAATCTCAGCTCACTGCAAGCTCTGCCTCCCGGGTACACGCCATTCCCCTGCCTCAGCCTCCCTAGTAGCCGGGACTACAGGCGCCCGCCACCACGCCCAGCTAATTTTTTTTTTTGTATTTTCAGTAGAGACAGGGTTTCACTGTGTTAGCCAGGATGGTCTTGATCTCCTGACCTCGTGATCCACCCGTCTCGGCCTCCCAAAGTGCTGGGATTACAGGTGTGAGCCACCGTGCTCGGCCCATAAACTTTTATTTTTAAAATAATGTCATGATAAATAATATTGCTTAGGTGTCTTTAATATATTAGTAACATTTCTGTTTTATTGTACATCAACATTTATATTCAAATTAATGGGTGAAGAGTACTCCATTGGACTAGGTATATCGTAATTTAATCTCCTATTATTGGACAACTACATTGTTTCTAAAATTATACTATTCCTATGACTAAACCTTTGCATATATCTTTTATCTCCCTAGGATATATTTCTAAAACTAGCATTGTTGACTGAAAGTGTAAATACGTGTTAAGGTGTTTGCTACATAATGCCATATTTCCTTTTTAGGAAACTAAGCTACTTTGGATTTCCACCAACACTGTATTCATGTACCCATTTTTCTCTTAACCTAACTTTATTGGTCTTTTTAATTCTTAACAGAGACCAGAACTTTGTAATTCAACATTCATCGTTGTGTAAATTAAACTTCTCCCATTCCTTTCAGAGGGAACCCCTTACCTGGAATCTGGAATCAGCCTCTTCTCTGATGACCCTGAATCTGATCCTTCTGAAGACAGAGCCCCAGAGTCAGCTCGTGTTGGCAACATACCATCTTCAACCTCTGCATTGAAAGTTCCCCAATTGAAAGTTGCAGAATCTGCCCAGAGTCCAGCTGCTGCTCATACTACTGATACTGCTGGGTATAATGCAATGGAAGAAAGTGTGAGCAGGGAGAAGCCAGAATTGACAGCTTCAACAGAAAGGGTCAACAAAAGAATGTCCATGGTGGTGTCTGGCCTGACCCCAGAAGAATTTGTGAGTGTATCCATATGTATCTCCCTAATGACTAAGACTTAACAACATTCTGGAAAGAGTTTTATGTAGGTATTGTCAATTAATAACCTAGAGGAAGAAATCTAGAAAACAATCACAGTTCTGTGTAATTTAATTTCGATTACTAATTTCTGAAAATTTAGATCTAGATAAAGCTATAGTGTGGATTATTTTATGTATATTTACTTGAGAAAATAATTATTAAATATTAGTGGAAAAGCTATACTTTGGGTATGATATAGGACTTTCGAATTGGAATTTTCCTTTCTATCTGTAAAAGCAAGTAGGTATAGTTTTATTCCCCAGAAGGCATCTTTTTCTCCCCCTTGTCTCACATGGGTGAATTTACCAGCATATTTAACTAAATTCAGACTGGTTCCAAATGTACTGCCAGATAGTAGCATTTCTCTAGTGTTTGTTTTCATCCTGGCTTGTAAGAATGCCCTGCCACTTCTGCCCTGCAATATCCCTTGCTATTAGGATTTTGGCATCACCTTGGGTCCTTAATGCCAGAAATGGGAATTGCTTCATACTGTGGAAAAATACCCATTAAAATATTAAGACCAGTAAAACCTCGTTTCTGCTTGGGCTATTTGTGGATTTCAGACATCCTGAGAAGTTTACCACCCCTGTAATTAATTGTCATTGTCATCACTTCATAATAAAAATAATTGCATGGCCGGGCATGGTGGCTCAAGCCTGTAATCCCAGCACTTTG|ENST00000491747.2:c.1049-1732_1674+736dup|ENST00000591534.1:c.-43-3822_459+736dup</t>
        </is>
      </c>
      <c r="N410" t="inlineStr"/>
      <c r="O410" t="inlineStr"/>
      <c r="P410" t="inlineStr"/>
      <c r="Q410" t="inlineStr"/>
      <c r="R410" t="inlineStr"/>
      <c r="S410" t="inlineStr"/>
    </row>
    <row r="411">
      <c r="A411" t="inlineStr">
        <is>
          <t>17</t>
        </is>
      </c>
      <c r="B411" t="n">
        <v>41230298</v>
      </c>
      <c r="C411" t="inlineStr">
        <is>
          <t>T</t>
        </is>
      </c>
      <c r="D411" t="inlineStr">
        <is>
          <t>TACCATGTTGGCCAGGCTGGTCTTAAACTCCTGACCTCAGGTGATCCGCCAACCTTGGCCTCACAAAGTGCTGGGATTATAGGCATGAGCCACCATACCCAGCCTGGTCTAGAACTCTTAAACTCAAGTGATCCTCCTGCCTTGGCATCTCACAGTGCTGGGATTATAGGCGTGAGCCACCATGCCTGGCCAAGGCGGAAATATTTAATAAGTAAAAACAAATAGTTAAAAATTGCAAAAGTCTTCTATTCATTAAAAAGTCACTGATGACTGTAATTCATTTTGAGCTTTTATTAGAAAAGCTAAAAGCCATAAATATAGGTAGAAAATTGAAACAAAAGATTGTATTAATTAAACTGTTTTTTTAAGACACTGGGTAGCCTGGGGGGAAATAATCATTGATTTCCTGAGTTAGTCTTCAAATGCATTATTTATAGTTTCCTTTATGCTTGTCTTTTCTGGACCTGTGAGTTTCTAGGATTGTTAAGAACTCTGTTGAAAGTAAGTAGGATCTAACTATGAAGAGAGGTATCATCCTCCCCACCCCCAATACAGGGTGATAATTGATAAAGGGTAATGTGCAAGTTCCAAGGAACCATATCAAACGGAATTAACCATTGGAAAGAGTTAAAAAAGTGGCCAGGTGATGTGGCTCACGCCTACAATCCCAGCACTTTGAGAGGCCGAGGTGGACAGATCACCTGAGGTCAGGAGTTTGAGACCAGCCCGGCCAACATGGTGAAACCCTGTCTCTACTAAAAATACAAAAATTAGCTGGGCGTGGTGGCGGGTGCCTGTAATCCCAGCTACCCAGGAGGCTGAGGCGGACATTGTAATGAGCCGAAATCACACCATTGCACTCCAGCCTGGGCAACAAAAGTGAAACTTCATCTCAAACAAAAACAAAACAAAACAAAACAAAAAAAATGAAAGGCAGAGGGAAGGCTCAGATACAAACACAGCTATTAAAAAGTCATTCCTCCTTTTGGCCAGAACCACCATCTTTCAGTAATTTGCCAAAATGACGAACACAAAGGGAAAGAGGAGAGGCACCTGATATATGTTCTCTAGGCCTTTTAGAAAACATGGAGTTGTTCCTTTGGCCATGTATATGCGAATCTGTAAGAAAGGTGAAATTGTAGACATCAAGGGAACGGGTACTGTTCAAAAAGGAATGCCCCACAAGTGTTACCATGGCAAAACTGGAAAAGTCTACAACGTGACCCAGCATGCTGTTGGCATCGCTGTAAACAAGTTAAGGGCAAGATTCTTGCCAAGAGAATTAATGTGCGTATTGAGCACATTAAACACTCTAAGAGCCAAGACAGCTTCCTGAAACGCGTGAAGGAAAATGATCAGAAAAAGAAAGAAGCCAAAGAGAAAGGTACGTGGGTTCAACTGAAGCACCAGCCTGCTCCACCCAGAGAAGCACACTTTGTGAGAACCAATGGGAAGGAGCCTGAGCAGCTGGAACCTATTCCCTATGAATTCATGGCATAATAGGTGTTAAAAAAAAAAAAAAAAGACCTTTGGACTGTAAAAAAAAAGAAAAGTCATTCTATCACCAGAACATTTAGCATATAAATTCCTCTTCTTACTACAATGGGCCTCATGCAATGAAGCAAATAAGATAACTTGTTAGAAGTTAACAACTCAATAGAACCTGAAAAACAGAGCAAAACCTTTCTGCTTTTTTTTCTCCTTAATCCTTAATTCATTCTCTGAACAGCAAGCCCAACCTAAGCCTTGTGACATGATGATCTACTTGCTGGCTGGTTTAGGAAAGTCTAAATGCAGAGATCCAGAGTCCAAGTTTCAGAATATTATTGTAGTTCCTCTTAAATCATTCCCTCATCTAGATGTCTTAACATGTTACATTCTTTGTGGATAGGAAGTATGGGCCACACCAAACATTTAATAAACTTACAGACTGCCCACTGTGTGCTAAGCATTGTACAGGGTATTGTGAAGAATTAAGGAAGACACTGGAAGACAACAGATATTAAGAAATAATAAACTAGGCCAGGCACCGTAGCTCCCAAGTAGGTGGGATTACAGGCATGTGCCACCACGCCCGGCTAATTTTTTGTAGTTTTAGTAGAGATGTGGTTTCTCCATGTTGGTCAGGCTGGTCTCGAGCTCCCGACCTCAGGTGATTCGCCTGCCTTGGCCTCCCAAAGTGCTGGGGTTACAGGCGTGAGCCACCGTACCCGGCAACAATATTCTTTTTACTAGAAGTTCTGGCCAGGTGCCATGGCTCACACCTGTAACCCCAGCACTTTGGGAGGCTGAGGTGAGAGGACTGCTTGAGTCCAGGAGTTTGAGACCAACTTGGGCAACATAGGGAGACCTTGTCTCTACAAAAAATAAAAAAAAAAATTAGCTGGGTATGGTGGTGGACGCCTATAGTCCCAGCTACTTGGGAGGCTAAGGCAGGAGGATCGCTTGAGGAGGTCGAGAGGCTGCAGTGAGCTGTGATTATGCCACTGCCCTCCAGCTTGGGCAACAGAGCAAGACCCTCTCTATAAGGTGAGGCTCAGGTCGGGGAGGATGGCTCAAGATCAGGAGTTCAAGACCAGCCTAGTTAACAGTGCGTCCCTGTCTCTACTTAAAAAAAAAATTAAAGAAAAGAAAAAATTATTTTTAAAAAGTTCATTTGAGTTTCAGTTAGACTCACACCAGATTTAGGGAGAAAAAGGCTCAAAACTTATGTTGGTATTAAGTTGTGATATCCAAAACAATTCAGAAATTAAGCATTTCAGTTACAGATCTCCAGAAAAAAATAAACACACGTATATACCAAAGAGGAGATAGTAGATTTACACAGATATTCAAAGTCACACAATAATAACATTTTAAATCTTACACATTATAATTGAAAGTCTAGTCTGTGTTTAGACTGAAGATGGTGAAAGTACCCTAAAGAAGAGTATTATACTGGGGATGGGACTCTGATCTCTCATTATCTGAGAGATGAACTAAATGAAGATAGTTACAAAGAAAGCATTTAAGGAAATACATTTTGAAGCACTGCCATAGCAACAGAGTTTCTAGCTAGCTTCTTTATCCAAGAGCTACTGTTTCTTCCTGAACACAAAAATACTGCAAGGCACAACTGGGGACCAAAGCCACTGTTCTGTATAAGTAGCAGACTTGAGTTCCTAGAAAGACTCCAAGAAAGGTCTTAAAGTTCCCAGTTGGACTGTGGAACGGGGTGCTGAAGAAGGAACTTTAACACTCAGATAAGAATCACTGAGCTAGGAATGAAGTGTACTTTGGGAGTACTCACCACCCCTGCATGTTTCTAAGCAGCATCCTAGTGGGGACCCCATGCCTAGCATCTCCTATGTGTCTGTTTGTTTGCCCCTATTTAAAAATCTGCCTGATGTATTGTCTTTCCAATTAAAAACTCAAATTTCCATCTCACTTTCCTTCATTTATGCCATTATTCCTCAGCTCAGTGCTCACTTCTTATAGGAAGTCAGCTCTGATCAACTGCATCTGCCTGGTTACTCCAATGGCATCCTCTCAGAGGTCCATCTGGATTTTTTTTGATAACTGTAACATTGCTATAAAGCACTTGACTCTATTGCATAATTAGGCTTTCTGTGTTGTTCTTTTCTTTTCCTTTTGAACTAACAGGAGCTCTACATCACTAGGCTTTCTGTGGATCAAAGTGCAGTTCCTGAAGTATAGGATGTCTCTCCCTATAAATCAGAAGCACATTAAATAGGTCTTTGTGATGTGACACCAGTGTTATAAGGAATATGTCTGAGTACTTTTTCATAGCTTTCTGAAATTATGGGGTTGCCTGTCACCAATTTCTCCCATTCCACTTAGCTTCCAATAGAGCAAGAGCTATGTTGTATACCATGTATCTTCCATGGGCTCCCCATAGCATCTACTTGTTGTAGGTACTCAGATGACAACATGAATGACTGCCTTGGGTCCCTCTGACTGGTATATTAGTTGTGAGCAGGGACAAGAACCAAGGCTCCATAATTACCCATGTGCTGAGCAAGGATCATAAAATGTTGGAGCTAGGTCCTTACTCTTCAGAAGGAGATAAAGGGGAAGGAAAGAATTTTGCTTAAGATATCAGTGTTTGGCCAACAATACACACCTTTTTCTGATGTGCTTTGTTCTGGATTTCGCAGGTCCTCAAGGGCAGAAGAGTCACTTATGATGGAAGGGTAGCTGTTAGAAGGCTGGCTCCCATGCTGTTCTAACACAGCTTCTAGTTCAGCCATTTCCTGCTGGAGCTTTATCAGGTTATGTTGCATGGTATCCCTCTGCTTCAAAAACGATAAATGGCACCAAGAAAATGAAATACTTTGAGAAGCTTTCCATTAAATGAAAATATATCATACAAATTAATTTTAGCACAGGAATTGAAATCACCTAGTATGGAACTACAAGTTCTAGCTGAACACCTTTTAATCTAACCACATTCATGCAATTAATGCCCATGAAATTATTTCCAAATGATGTTAGTGAGGGAAAAAATCCTCAAATTCCCCCAAATAGACTTGATGTTATTGTGATGTCCTTTTGAAGTTGGTTATTTTCTTTTAAAGCTAGGGAGTGAAAAAATAATTAAGGCATTTAAACACTATCGATATTTAAAATTAGCATGAATCTGTTAACATTTTATTTATATGGGCACATTTCAAAGACTTGGTGTTGTGAGATTCATCAGACATTTAGGTTAGTTCATATAAAAATGTGTGATTTTTAGACTGATGTAATGTTGAAAAAAGCCCTCTATCTATGGCATTTTATAAAAATACAACAAATATAAAAATACTATCAGTAATCCTGCCTAGATTACTGGCTTGTGAGGACTCTTCCTTTTCTGGGATTCTTTGAACCTTTAGTTTCTTTTCTTTCTTTCTTTCTTTTTTTTTTTAAGTCTCCCTCTGTCACCCAGGTTGGCACCATCTCGGCTCACTGCAACCTCTTCCTCCCAGGTTCAAGCGATTCTCCCACCTCAGCCTCTCAAGTAGCTGGCATTACAGGTGCTTGCCAAGACGCCCGGCTAATTTTGGTAATTTTTGTAGAAACAGGGTTTTACTATGTTGGCCAGGCTGGTCTTGAACTCCTGACCTCAAGTGATCAGCCCGCCTCGGCCTCCCAAAGTGCTGGGATTAGAGACATGCGCCATTGTGCCTGACCTGAACCTTTAGTTTCTAACAGAAAAAGCAAAAAGCTAATTCATGAATCTATCTGTTTGCTCAGTTAATTAGACAACTATTTACTATCTATTAAGCACCAGGCGCTGTCCTAGTACTGAGGATATAGCCCTCATGGTGCTGCCATTCTAGACAGGGACATCTCATCTAGAATGTGTCCACCTAGAGATCATTAGCAAGGACCTGTGAGAGGGAAGGATCCAACAGAAAGAGCCCTGAGAAAGCCTGTAAGGATAGTTACTGTTTTTAAAATAATGAGTTCTTTTTGCTTATGGGCTCCTGTTGTTTATTGGTCCATTTCAAAGAAGAGTGTGCTAAGTCCAAGTATTTGATAAACAAAGAATTTAGGTATGTAAGGAGTTTTCCAAAATATCCTTCTTAAGAATTTATTTTATTTATTTATTTTTTTTGAGACAGTCTTGCTCTGTTGCCCCAGGCTGGAGTGCAGTGGTGCGATCTTGGCTCACTGCAACCTCCGCCTACCTGGTTCAAGCAATTCTCCCTGCCTCAGCCTCTCAAGTAGCTGGGATTACAGGCACCTGTTACCATGCCCGACTAATTTTTTTTTTTTTTTTTGAGACGGAGTCTCACTTTGTTGCCCAGGCTGGAGTGCAGTGGCGCAATCTTGGTTCACTGCAAGCTCCGCCTCCCAGGTTCAAGCCATTCTTCTGCTTCAGCCTCCTGAGTAGCTGGGATTACAGGCGCCCGCCACCATGCCCAGCTAATTTTTTGTATTTTTAGTAGAAATGGTGTTTCACCGTGTTAGCCAGGATGGTCTGGATCTCCTGACCACATGATCCTCCCGCCTCGGCCTCCCAAAGTGCTGGGATTACAGGCGTGAGCCACCACACCTGGCCTAATTTTTGTATTTTTAGTAGAGACGGGGTTTC</t>
        </is>
      </c>
      <c r="E411" t="inlineStr">
        <is>
          <t>267530</t>
        </is>
      </c>
      <c r="F411">
        <f>HYPERLINK("https://www.ncbi.nlm.nih.gov/clinvar/variation/267530/","ClinVarDB")</f>
        <v/>
      </c>
      <c r="G411" t="inlineStr">
        <is>
          <t>criteria_provided|_single_submitter</t>
        </is>
      </c>
      <c r="H411" t="inlineStr">
        <is>
          <t>Breast-ovarian_cancer|_familial_1</t>
        </is>
      </c>
      <c r="I411" t="inlineStr">
        <is>
          <t>Pathogenic</t>
        </is>
      </c>
      <c r="J411" t="inlineStr">
        <is>
          <t>BRCA1</t>
        </is>
      </c>
      <c r="K411" t="inlineStr">
        <is>
          <t>intron_variant&amp;non_coding_transcript_variant|intron_variant|intron_variant&amp;NMD_transcript_variant</t>
        </is>
      </c>
      <c r="L411" t="inlineStr"/>
      <c r="M411" t="inlineStr">
        <is>
          <t>ENST00000591534.1:c.-43-9841_-43-3761dup|NR_027676.2:n.4363-1787_4535-1668dup|ENST00000351666.3:c.637-1787_809-1668dup|ENST00000461221.1:c.*3969-1787_*4141-1668dup|NM_007299.4:c.877-1787_1049-1671dup|NM_007300.4:c.4186-1787_4423+1052dup|ENST00000493795.1:c.4045-1787_4217-1668dup|ENST00000487825.1:c.502-1787_674-1668dup|ENST00000309486.4:c.3298-1787_3470-1668dup|ENST00000346315.3:c.4186-1787_4357+4122dup|ENST00000461574.1:c.480-1787_652-1671dup|NM_007297.4:c.4045-1787_4217-1668dup|ENST00000478531.1:c.874-1787_1046-1668dup|ENST00000484087.1:c.499-1787_671-1668dup|ENST00000493919.1:c.736-1787_908-1668dup|ENST00000352993.3:c.760-1787_932-1668dup|ENST00000471181.2:c.4186-1787_4423+1052dup|NM_007294.4:c.4186-1787_4358-1668dup|ENST00000591849.1:c.-98-34172_-98-28092dup|ENST00000357654.3:c.4186-1787_4358-1668dup|NM_007298.3:c.877-1787_1049-1671dup|ENST00000491747.2:c.877-1787_1049-1671dup|ENST00000468300.1:c.877-1787_1049-1671dup|ENST00000586385.1:c.5-20411_5-14331dup|ENST00000354071.3:c.4186-1787_4357+4122dup</t>
        </is>
      </c>
      <c r="N411" t="inlineStr"/>
      <c r="O411" t="inlineStr"/>
      <c r="P411" t="inlineStr"/>
      <c r="Q411" t="inlineStr"/>
      <c r="R411" t="inlineStr"/>
      <c r="S411" t="inlineStr"/>
    </row>
    <row r="412">
      <c r="A412" t="inlineStr">
        <is>
          <t>10</t>
        </is>
      </c>
      <c r="B412" t="n">
        <v>88516394</v>
      </c>
      <c r="C412" t="inlineStr">
        <is>
          <t>CGGCGGCCGCTGCAGAGATTGGAATCCGCCTGCCGGGCTTGGCGAAGGAGAAGGGAGGAGGCAGGAGCGAGGAGGGAGGAGGGCCAAGGGCGGGCAGGAAGGCTTAGGCTCGGCGCGTCCGTCCGCGCGCGGCGAAGATCGCACGGCCCGATCGAGGGGCGACCGGGTCGGGGCCGCTGCACGCCAAGGGCGAAGGCCGATTCGGGCCCCACTTCGCCCCGGCGGCTCGCCGCGCCCACCCGCTCCGCGCCGAGGGCTGGAGGATGCGTTCCCTGGGGTCCG</t>
        </is>
      </c>
      <c r="D412" t="inlineStr">
        <is>
          <t>C</t>
        </is>
      </c>
      <c r="E412" t="inlineStr">
        <is>
          <t>571700</t>
        </is>
      </c>
      <c r="F412">
        <f>HYPERLINK("https://www.ncbi.nlm.nih.gov/clinvar/variation/571700/","ClinVarDB")</f>
        <v/>
      </c>
      <c r="G412" t="inlineStr">
        <is>
          <t>criteria_provided|_single_submitter</t>
        </is>
      </c>
      <c r="H412" t="inlineStr">
        <is>
          <t>Generalized_juvenile_polyposis/juvenile_polyposis_coli</t>
        </is>
      </c>
      <c r="I412" t="inlineStr">
        <is>
          <t>Pathogenic</t>
        </is>
      </c>
      <c r="J412" t="inlineStr">
        <is>
          <t>BMPR1A</t>
        </is>
      </c>
      <c r="K412" t="inlineStr">
        <is>
          <t>regulatory_region_variant|splice_region_variant&amp;5_prime_UTR_variant</t>
        </is>
      </c>
      <c r="L412" t="inlineStr"/>
      <c r="M412" t="inlineStr"/>
      <c r="N412" t="inlineStr"/>
      <c r="O412" t="inlineStr"/>
      <c r="P412" t="inlineStr"/>
      <c r="Q412" t="inlineStr"/>
      <c r="R412" t="inlineStr"/>
      <c r="S412" t="inlineStr"/>
    </row>
    <row r="413">
      <c r="A413" t="inlineStr">
        <is>
          <t>10</t>
        </is>
      </c>
      <c r="B413" t="n">
        <v>88649861</v>
      </c>
      <c r="C413" t="inlineStr">
        <is>
          <t>C</t>
        </is>
      </c>
      <c r="D413" t="inlineStr">
        <is>
          <t>CCCATGGCACTGGGAT</t>
        </is>
      </c>
      <c r="E413" t="inlineStr">
        <is>
          <t>644978</t>
        </is>
      </c>
      <c r="F413">
        <f>HYPERLINK("https://www.ncbi.nlm.nih.gov/clinvar/variation/644978/","ClinVarDB")</f>
        <v/>
      </c>
      <c r="G413" t="inlineStr">
        <is>
          <t>criteria_provided|_single_submitter</t>
        </is>
      </c>
      <c r="H413" t="inlineStr">
        <is>
          <t>Generalized_juvenile_polyposis/juvenile_polyposis_coli</t>
        </is>
      </c>
      <c r="I413" t="inlineStr">
        <is>
          <t>Pathogenic</t>
        </is>
      </c>
      <c r="J413" t="inlineStr">
        <is>
          <t>BMPR1A</t>
        </is>
      </c>
      <c r="K413" t="inlineStr">
        <is>
          <t>non_coding_transcript_exon_variant|inframe_insertion</t>
        </is>
      </c>
      <c r="L413" t="inlineStr">
        <is>
          <t>|ENSP00000361107.1:p.Ser37_Asp38insHisGlyThrGlyIle|NP_004320.2:p.Ser37_Asp38insHisGlyThrGlyIle</t>
        </is>
      </c>
      <c r="M413" t="inlineStr">
        <is>
          <t>ENST00000372037.3:c.110_111insCCATGGCACTGGGAT|ENST00000480152.1:n.408_409insCCATGGCACTGGGAT|NM_004329.2:c.110_111insCCATGGCACTGGGAT</t>
        </is>
      </c>
      <c r="N413" t="inlineStr"/>
      <c r="O413" t="inlineStr"/>
      <c r="P413" t="inlineStr"/>
      <c r="Q413" t="inlineStr"/>
      <c r="R413" t="inlineStr"/>
      <c r="S413" t="inlineStr"/>
    </row>
    <row r="414">
      <c r="A414" t="inlineStr">
        <is>
          <t>3</t>
        </is>
      </c>
      <c r="B414" t="n">
        <v>52443565</v>
      </c>
      <c r="C414" t="inlineStr">
        <is>
          <t>C</t>
        </is>
      </c>
      <c r="D414" t="inlineStr">
        <is>
          <t>G</t>
        </is>
      </c>
      <c r="E414" t="inlineStr">
        <is>
          <t>946518</t>
        </is>
      </c>
      <c r="F414">
        <f>HYPERLINK("https://www.ncbi.nlm.nih.gov/clinvar/variation/946518/","ClinVarDB")</f>
        <v/>
      </c>
      <c r="G414" t="inlineStr">
        <is>
          <t>criteria_provided|_single_submitter</t>
        </is>
      </c>
      <c r="H414" t="inlineStr">
        <is>
          <t>Tumor_susceptibility_linked_to_germline_BAP1_mutations</t>
        </is>
      </c>
      <c r="I414" t="inlineStr">
        <is>
          <t>Likely_pathogenic</t>
        </is>
      </c>
      <c r="J414" t="inlineStr">
        <is>
          <t>BAP1</t>
        </is>
      </c>
      <c r="K414" t="inlineStr">
        <is>
          <t>splice_region_variant&amp;intron_variant|splice_region_variant&amp;intron_variant&amp;NMD_transcript_variant|splice_region_variant&amp;intron_variant&amp;non_coding_transcript_variant|regulatory_region_variant</t>
        </is>
      </c>
      <c r="L414" t="inlineStr"/>
      <c r="M414" t="inlineStr">
        <is>
          <t>|ENST00000460680.1:c.122+5G&gt;C|ENST00000470173.1:c.-116+5G&gt;C|ENST00000490917.1:c.122+5G&gt;C|NM_004656.4:c.122+5G&gt;C|ENST00000296288.5:c.122+5G&gt;C|ENST00000483984.1:n.122+5G&gt;C</t>
        </is>
      </c>
      <c r="N414" t="inlineStr"/>
      <c r="O414" t="inlineStr"/>
      <c r="P414" t="inlineStr"/>
      <c r="Q414" t="inlineStr"/>
      <c r="R414" t="inlineStr"/>
      <c r="S414" t="inlineStr"/>
    </row>
    <row r="415">
      <c r="A415" t="inlineStr">
        <is>
          <t>11</t>
        </is>
      </c>
      <c r="B415" t="n">
        <v>108155080</v>
      </c>
      <c r="C415" t="inlineStr">
        <is>
          <t>T</t>
        </is>
      </c>
      <c r="D415" t="inlineStr">
        <is>
          <t>G</t>
        </is>
      </c>
      <c r="E415" t="inlineStr">
        <is>
          <t>623790</t>
        </is>
      </c>
      <c r="F415">
        <f>HYPERLINK("https://www.ncbi.nlm.nih.gov/clinvar/variation/623790/","ClinVarDB")</f>
        <v/>
      </c>
      <c r="G415" t="inlineStr">
        <is>
          <t>criteria_provided|_single_submitter</t>
        </is>
      </c>
      <c r="H415" t="inlineStr">
        <is>
          <t>not_provided</t>
        </is>
      </c>
      <c r="I415" t="inlineStr">
        <is>
          <t>Likely_pathogenic</t>
        </is>
      </c>
      <c r="J415" t="inlineStr">
        <is>
          <t>ATM</t>
        </is>
      </c>
      <c r="K415" t="inlineStr">
        <is>
          <t>synonymous_variant</t>
        </is>
      </c>
      <c r="L415" t="inlineStr">
        <is>
          <t>ENSP00000435747.1:p.Leu1291=|ENSP00000278616.4:p.Leu1291=|NP_000042.3:p.Leu1291=|ENSP00000388058.2:p.Leu1291=|NP_001338763.1:p.Leu1291=</t>
        </is>
      </c>
      <c r="M415" t="inlineStr">
        <is>
          <t>ENST00000527805.1:c.3873T&gt;G|ENST00000278616.4:c.3873T&gt;G|NM_001351834.2:c.3873T&gt;G|ENST00000452508.2:c.3873T&gt;G|NM_000051.3:c.3873T&gt;G</t>
        </is>
      </c>
      <c r="N415" t="inlineStr"/>
      <c r="O415" t="inlineStr"/>
      <c r="P415" t="inlineStr"/>
      <c r="Q415" t="inlineStr"/>
      <c r="R415" t="inlineStr"/>
      <c r="S415" t="inlineStr"/>
    </row>
    <row r="416">
      <c r="A416" t="inlineStr">
        <is>
          <t>11</t>
        </is>
      </c>
      <c r="B416" t="n">
        <v>108139342</v>
      </c>
      <c r="C416" t="inlineStr">
        <is>
          <t>T</t>
        </is>
      </c>
      <c r="D416" t="inlineStr">
        <is>
          <t>C</t>
        </is>
      </c>
      <c r="E416" t="inlineStr">
        <is>
          <t>807548</t>
        </is>
      </c>
      <c r="F416">
        <f>HYPERLINK("https://www.ncbi.nlm.nih.gov/clinvar/variation/807548/","ClinVarDB")</f>
        <v/>
      </c>
      <c r="G416" t="inlineStr">
        <is>
          <t>criteria_provided|_single_submitter</t>
        </is>
      </c>
      <c r="H416" t="inlineStr">
        <is>
          <t>Ataxia-telangiectasia_syndrome</t>
        </is>
      </c>
      <c r="I416" t="inlineStr">
        <is>
          <t>Likely_pathogenic</t>
        </is>
      </c>
      <c r="J416" t="inlineStr">
        <is>
          <t>ATM</t>
        </is>
      </c>
      <c r="K416" t="inlineStr">
        <is>
          <t>splice_region_variant&amp;intron_variant|splice_region_variant&amp;intron_variant&amp;non_coding_transcript_variant</t>
        </is>
      </c>
      <c r="L416" t="inlineStr"/>
      <c r="M416" t="inlineStr">
        <is>
          <t>NM_001351834.2:c.2838+6T&gt;C|ENST00000419286.1:n.203+6T&gt;C|ENST00000278616.4:c.2838+6T&gt;C|NM_000051.3:c.2838+6T&gt;C|ENST00000452508.2:c.2838+6T&gt;C|ENST00000527805.1:c.2838+6T&gt;C</t>
        </is>
      </c>
      <c r="N416" t="inlineStr"/>
      <c r="O416" t="inlineStr"/>
      <c r="P416" t="inlineStr"/>
      <c r="Q416" t="inlineStr"/>
      <c r="R416" t="inlineStr"/>
      <c r="S416" t="inlineStr"/>
    </row>
    <row r="417">
      <c r="A417" t="inlineStr">
        <is>
          <t>11</t>
        </is>
      </c>
      <c r="B417" t="n">
        <v>108186546</v>
      </c>
      <c r="C417" t="inlineStr">
        <is>
          <t>T</t>
        </is>
      </c>
      <c r="D417" t="inlineStr">
        <is>
          <t>TCAGGATCTTCTCTTAGAAATCTA</t>
        </is>
      </c>
      <c r="E417" t="inlineStr">
        <is>
          <t>628597</t>
        </is>
      </c>
      <c r="F417">
        <f>HYPERLINK("https://www.ncbi.nlm.nih.gov/clinvar/variation/628597/","ClinVarDB")</f>
        <v/>
      </c>
      <c r="G417" t="inlineStr">
        <is>
          <t>criteria_provided|_single_submitter</t>
        </is>
      </c>
      <c r="H417" t="inlineStr">
        <is>
          <t>Hereditary_cancer-predisposing_syndrome</t>
        </is>
      </c>
      <c r="I417" t="inlineStr">
        <is>
          <t>Pathogenic</t>
        </is>
      </c>
      <c r="J417" t="inlineStr">
        <is>
          <t>ATM</t>
        </is>
      </c>
      <c r="K417" t="inlineStr">
        <is>
          <t>splice_region_variant&amp;intron_variant|intron_variant|splice_region_variant&amp;intron_variant&amp;NMD_transcript_variant|splice_region_variant&amp;intron_variant&amp;non_coding_transcript_variant</t>
        </is>
      </c>
      <c r="L417" t="inlineStr"/>
      <c r="M417" t="inlineStr">
        <is>
          <t>ENST00000533690.1:n.1411_1433dup|ENST00000524792.1:n.2222_2244dup|ENST00000278616.4:c.6007_6029dup|ENST00000452508.2:c.6007_6029dup|ENST00000525729.1:c.641-6771_641-6749dup|ENST00000529588.1:c.*198_*220dup|NM_000051.3:c.6007_6029dup|NM_001351110.2:c.*39-6771_*39-6749dup|ENST00000532765.1:n.324_346dup|NM_001351834.2:c.6007_6029dup|NM_001330368.2:c.641-6771_641-6749dup</t>
        </is>
      </c>
      <c r="N417" t="inlineStr"/>
      <c r="O417" t="inlineStr"/>
      <c r="P417" t="inlineStr"/>
      <c r="Q417" t="inlineStr"/>
      <c r="R417" t="inlineStr"/>
      <c r="S417" t="inlineStr"/>
    </row>
    <row r="418">
      <c r="A418" t="inlineStr">
        <is>
          <t>11</t>
        </is>
      </c>
      <c r="B418" t="n">
        <v>108150214</v>
      </c>
      <c r="C418" t="inlineStr">
        <is>
          <t>T</t>
        </is>
      </c>
      <c r="D418" t="inlineStr">
        <is>
          <t>TAAAAAAAAAAAAAAAAAAAAAAAA</t>
        </is>
      </c>
      <c r="E418" t="inlineStr">
        <is>
          <t>1070646</t>
        </is>
      </c>
      <c r="F418">
        <f>HYPERLINK("https://www.ncbi.nlm.nih.gov/clinvar/variation/1070646/","ClinVarDB")</f>
        <v/>
      </c>
      <c r="G418" t="inlineStr">
        <is>
          <t>criteria_provided|_single_submitter</t>
        </is>
      </c>
      <c r="H418" t="inlineStr">
        <is>
          <t>Ataxia-telangiectasia_syndrome</t>
        </is>
      </c>
      <c r="I418" t="inlineStr">
        <is>
          <t>Pathogenic</t>
        </is>
      </c>
      <c r="J418" t="inlineStr">
        <is>
          <t>ATM</t>
        </is>
      </c>
      <c r="K418" t="inlineStr">
        <is>
          <t>splice_region_variant&amp;intron_variant</t>
        </is>
      </c>
      <c r="L418" t="inlineStr"/>
      <c r="M418" t="inlineStr">
        <is>
          <t>ENST00000452508.2:c.3285-2_3285-1insAAAAAAAAAAAAAAAAAAAAAAAA|NM_001351834.2:c.3285-2_3285-1insAAAAAAAAAAAAAAAAAAAAAAAA|ENST00000527805.1:c.3285-2_3285-1insAAAAAAAAAAAAAAAAAAAAAAAA|ENST00000278616.4:c.3285-2_3285-1insAAAAAAAAAAAAAAAAAAAAAAAA|NM_000051.3:c.3285-2_3285-1insAAAAAAAAAAAAAAAAAAAAAAAA</t>
        </is>
      </c>
      <c r="N418" t="inlineStr"/>
      <c r="O418" t="inlineStr"/>
      <c r="P418" t="inlineStr"/>
      <c r="Q418" t="inlineStr"/>
      <c r="R418" t="inlineStr"/>
      <c r="S418" t="inlineStr"/>
    </row>
    <row r="419">
      <c r="A419" t="inlineStr">
        <is>
          <t>11</t>
        </is>
      </c>
      <c r="B419" t="n">
        <v>108150214</v>
      </c>
      <c r="C419" t="inlineStr">
        <is>
          <t>T</t>
        </is>
      </c>
      <c r="D419" t="inlineStr">
        <is>
          <t>TAAGATTGTTCCAGG</t>
        </is>
      </c>
      <c r="E419" t="inlineStr">
        <is>
          <t>664095</t>
        </is>
      </c>
      <c r="F419">
        <f>HYPERLINK("https://www.ncbi.nlm.nih.gov/clinvar/variation/664095/","ClinVarDB")</f>
        <v/>
      </c>
      <c r="G419" t="inlineStr">
        <is>
          <t>criteria_provided|_single_submitter</t>
        </is>
      </c>
      <c r="H419" t="inlineStr">
        <is>
          <t>Ataxia-telangiectasia_syndrome</t>
        </is>
      </c>
      <c r="I419" t="inlineStr">
        <is>
          <t>Pathogenic</t>
        </is>
      </c>
      <c r="J419" t="inlineStr">
        <is>
          <t>ATM</t>
        </is>
      </c>
      <c r="K419" t="inlineStr">
        <is>
          <t>splice_region_variant&amp;intron_variant</t>
        </is>
      </c>
      <c r="L419" t="inlineStr"/>
      <c r="M419" t="inlineStr">
        <is>
          <t>ENST00000452508.2:c.3285-2_3296dup|ENST00000278616.4:c.3285-2_3296dup|NM_000051.3:c.3285-2_3296dup|ENST00000527805.1:c.3285-2_3296dup|NM_001351834.2:c.3285-2_3296dup</t>
        </is>
      </c>
      <c r="N419" t="inlineStr"/>
      <c r="O419" t="inlineStr"/>
      <c r="P419" t="inlineStr"/>
      <c r="Q419" t="inlineStr"/>
      <c r="R419" t="inlineStr"/>
      <c r="S419" t="inlineStr"/>
    </row>
    <row r="420">
      <c r="A420" t="inlineStr">
        <is>
          <t>11</t>
        </is>
      </c>
      <c r="B420" t="n">
        <v>108114696</v>
      </c>
      <c r="C420" t="inlineStr">
        <is>
          <t>C</t>
        </is>
      </c>
      <c r="D420" t="inlineStr">
        <is>
          <t>T</t>
        </is>
      </c>
      <c r="E420" t="inlineStr">
        <is>
          <t>802727</t>
        </is>
      </c>
      <c r="F420">
        <f>HYPERLINK("https://www.ncbi.nlm.nih.gov/clinvar/variation/802727/","ClinVarDB")</f>
        <v/>
      </c>
      <c r="G420" t="inlineStr">
        <is>
          <t>criteria_provided|_single_submitter</t>
        </is>
      </c>
      <c r="H420" t="inlineStr">
        <is>
          <t>Ataxia-telangiectasia_syndrome</t>
        </is>
      </c>
      <c r="I420" t="inlineStr">
        <is>
          <t>Likely_pathogenic</t>
        </is>
      </c>
      <c r="J420" t="inlineStr">
        <is>
          <t>ATM</t>
        </is>
      </c>
      <c r="K420" t="inlineStr">
        <is>
          <t>regulatory_region_variant|synonymous_variant</t>
        </is>
      </c>
      <c r="L420" t="inlineStr">
        <is>
          <t>|ENSP00000278616.4:p.Tyr171=|NP_000042.3:p.Tyr171=|ENSP00000388058.2:p.Tyr171=|NP_001338763.1:p.Tyr171=|ENSP00000433955.1:p.Tyr116=|ENSP00000435747.1:p.Tyr171=</t>
        </is>
      </c>
      <c r="M420" t="inlineStr">
        <is>
          <t>|NM_000051.3:c.513C&gt;T|ENST00000527805.1:c.513C&gt;T|ENST00000278616.4:c.513C&gt;T|ENST00000452508.2:c.513C&gt;T|ENST00000527891.1:c.348C&gt;T|NM_001351834.2:c.513C&gt;T</t>
        </is>
      </c>
      <c r="N420" t="inlineStr"/>
      <c r="O420" t="inlineStr"/>
      <c r="P420" t="inlineStr"/>
      <c r="Q420" t="inlineStr"/>
      <c r="R420" t="inlineStr"/>
      <c r="S420" t="inlineStr"/>
    </row>
    <row r="421">
      <c r="A421" t="inlineStr">
        <is>
          <t>11</t>
        </is>
      </c>
      <c r="B421" t="n">
        <v>108112019</v>
      </c>
      <c r="C421" t="inlineStr">
        <is>
          <t>A</t>
        </is>
      </c>
      <c r="D421" t="inlineStr">
        <is>
          <t>G</t>
        </is>
      </c>
      <c r="E421" t="inlineStr">
        <is>
          <t>825336</t>
        </is>
      </c>
      <c r="F421">
        <f>HYPERLINK("https://www.ncbi.nlm.nih.gov/clinvar/variation/825336/","ClinVarDB")</f>
        <v/>
      </c>
      <c r="G421" t="inlineStr">
        <is>
          <t>criteria_provided|_single_submitter</t>
        </is>
      </c>
      <c r="H421" t="inlineStr">
        <is>
          <t>Hereditary_cancer-predisposing_syndrome</t>
        </is>
      </c>
      <c r="I421" t="inlineStr">
        <is>
          <t>Pathogenic</t>
        </is>
      </c>
      <c r="J421" t="inlineStr">
        <is>
          <t>ATM</t>
        </is>
      </c>
      <c r="K421" t="inlineStr">
        <is>
          <t>regulatory_region_variant|intron_variant</t>
        </is>
      </c>
      <c r="L421" t="inlineStr"/>
      <c r="M421" t="inlineStr">
        <is>
          <t>|ENST00000527805.1:c.497-2661A&gt;G|ENST00000452508.2:c.497-2661A&gt;G|ENST00000278616.4:c.497-2661A&gt;G|ENST00000527891.1:c.332-2661A&gt;G|NM_000051.3:c.497-2661A&gt;G|NM_001351834.2:c.497-2661A&gt;G</t>
        </is>
      </c>
      <c r="N421" t="inlineStr"/>
      <c r="O421" t="inlineStr"/>
      <c r="P421" t="inlineStr"/>
      <c r="Q421" t="inlineStr"/>
      <c r="R421" t="inlineStr"/>
      <c r="S421" t="inlineStr"/>
    </row>
    <row r="422">
      <c r="A422" t="inlineStr">
        <is>
          <t>11</t>
        </is>
      </c>
      <c r="B422" t="n">
        <v>108196200</v>
      </c>
      <c r="C422" t="inlineStr">
        <is>
          <t>TGTATTAAGGACATTCTCAC</t>
        </is>
      </c>
      <c r="D422" t="inlineStr">
        <is>
          <t>CA</t>
        </is>
      </c>
      <c r="E422" t="inlineStr">
        <is>
          <t>420013</t>
        </is>
      </c>
      <c r="F422">
        <f>HYPERLINK("https://www.ncbi.nlm.nih.gov/clinvar/variation/420013/","ClinVarDB")</f>
        <v/>
      </c>
      <c r="G422" t="inlineStr">
        <is>
          <t>criteria_provided|_single_submitter</t>
        </is>
      </c>
      <c r="H422" t="inlineStr">
        <is>
          <t>not_provided</t>
        </is>
      </c>
      <c r="I422" t="inlineStr">
        <is>
          <t>Likely_pathogenic</t>
        </is>
      </c>
      <c r="J422" t="inlineStr">
        <is>
          <t>ATM</t>
        </is>
      </c>
      <c r="K422" t="inlineStr">
        <is>
          <t>protein_altering_variant|intron_variant|non_coding_transcript_exon_variant</t>
        </is>
      </c>
      <c r="L422" t="inlineStr">
        <is>
          <t>|ENSP00000388058.2:p.Cys2246_Thr2252delinsHis|NP_000042.3:p.Cys2246_Thr2252delinsHis|ENSP00000278616.4:p.Cys2246_Thr2252delinsHis|NP_001338763.1:p.Cys2246_Thr2252delinsHis</t>
        </is>
      </c>
      <c r="M422" t="inlineStr">
        <is>
          <t>ENST00000525729.1:c.641-16421_641-16402delinsTG|NM_001351834.2:c.6736_6755delinsCA|ENST00000452508.2:c.6736_6755delinsCA|ENST00000533690.1:n.2140_2159delinsCA|ENST00000278616.4:c.6736_6755delinsCA|NM_001330368.2:c.641-16421_641-16402delinsTG|ENST00000524792.1:n.2951_2970delinsCA|NM_001351110.2:c.*38+9728_*38+9747delinsTG|NM_000051.3:c.6736_6755delinsCA</t>
        </is>
      </c>
      <c r="N422" t="inlineStr"/>
      <c r="O422" t="inlineStr"/>
      <c r="P422" t="inlineStr"/>
      <c r="Q422" t="inlineStr"/>
      <c r="R422" t="inlineStr"/>
      <c r="S422" t="inlineStr"/>
    </row>
    <row r="423">
      <c r="A423" t="inlineStr">
        <is>
          <t>11</t>
        </is>
      </c>
      <c r="B423" t="n">
        <v>108141788</v>
      </c>
      <c r="C423" t="inlineStr">
        <is>
          <t>T</t>
        </is>
      </c>
      <c r="D423" t="inlineStr">
        <is>
          <t>TAGTATCTAATGCTTTTTTTTTTTTTTTTTTTTTTGANNNNNNNNNNTAGAGACGGGGTTTCACCGTTTTAGCCGGGATGGTCTCGATCTCCTGACCTCGTGATCCGCCCGCCTCGGCCTCCCAAAGTGCTGGGATTACAGGCGTGAGCCACCGCGCCCGGCC</t>
        </is>
      </c>
      <c r="E423" t="inlineStr">
        <is>
          <t>1073340</t>
        </is>
      </c>
      <c r="F423">
        <f>HYPERLINK("https://www.ncbi.nlm.nih.gov/clinvar/variation/1073340/","ClinVarDB")</f>
        <v/>
      </c>
      <c r="G423" t="inlineStr">
        <is>
          <t>criteria_provided|_single_submitter</t>
        </is>
      </c>
      <c r="H423" t="inlineStr">
        <is>
          <t>Ataxia-telangiectasia_syndrome</t>
        </is>
      </c>
      <c r="I423" t="inlineStr">
        <is>
          <t>Pathogenic</t>
        </is>
      </c>
      <c r="J423" t="inlineStr">
        <is>
          <t>ATM</t>
        </is>
      </c>
      <c r="K423" t="inlineStr">
        <is>
          <t>intron_variant&amp;non_coding_transcript_variant|splice_region_variant&amp;intron_variant</t>
        </is>
      </c>
      <c r="L423" t="inlineStr"/>
      <c r="M423" t="inlineStr"/>
      <c r="N423" t="inlineStr"/>
      <c r="O423" t="inlineStr"/>
      <c r="P423" t="inlineStr"/>
      <c r="Q423" t="inlineStr"/>
      <c r="R423" t="inlineStr"/>
      <c r="S423" t="inlineStr"/>
    </row>
    <row r="424">
      <c r="A424" t="inlineStr">
        <is>
          <t>11</t>
        </is>
      </c>
      <c r="B424" t="n">
        <v>108206554</v>
      </c>
      <c r="C424" t="inlineStr">
        <is>
          <t>T</t>
        </is>
      </c>
      <c r="D424" t="inlineStr">
        <is>
          <t>G</t>
        </is>
      </c>
      <c r="E424" t="inlineStr">
        <is>
          <t>827484</t>
        </is>
      </c>
      <c r="F424">
        <f>HYPERLINK("https://www.ncbi.nlm.nih.gov/clinvar/variation/827484/","ClinVarDB")</f>
        <v/>
      </c>
      <c r="G424" t="inlineStr">
        <is>
          <t>criteria_provided|_single_submitter</t>
        </is>
      </c>
      <c r="H424" t="inlineStr">
        <is>
          <t>Hereditary_cancer-predisposing_syndrome</t>
        </is>
      </c>
      <c r="I424" t="inlineStr">
        <is>
          <t>Likely_pathogenic</t>
        </is>
      </c>
      <c r="J424" t="inlineStr">
        <is>
          <t>ATM</t>
        </is>
      </c>
      <c r="K424" t="inlineStr">
        <is>
          <t>intron_variant&amp;non_coding_transcript_variant|intron_variant|intron_variant&amp;NMD_transcript_variant</t>
        </is>
      </c>
      <c r="L424" t="inlineStr"/>
      <c r="M424" t="inlineStr">
        <is>
          <t>ENST00000533979.1:n.364-18T&gt;G|ENST00000524792.1:n.4367-18T&gt;G|ENST00000524755.1:c.227-535A&gt;C|NM_000051.3:c.8152-18T&gt;G|ENST00000527531.1:c.*1197-535A&gt;C|NR_147053.2:n.2302-535A&gt;C|ENST00000452508.2:c.8152-18T&gt;G|ENST00000525729.1:c.641-26756A&gt;C|NM_001351110.2:c.695-535A&gt;C|ENST00000525056.1:n.349-18T&gt;G|NM_001330368.2:c.641-26756A&gt;C|ENST00000278616.4:c.8152-18T&gt;G|NM_001351834.2:c.8152-18T&gt;G</t>
        </is>
      </c>
      <c r="N424" t="inlineStr"/>
      <c r="O424" t="inlineStr"/>
      <c r="P424" t="inlineStr"/>
      <c r="Q424" t="inlineStr"/>
      <c r="R424" t="inlineStr"/>
      <c r="S424" t="inlineStr"/>
    </row>
    <row r="425">
      <c r="A425" t="inlineStr">
        <is>
          <t>11</t>
        </is>
      </c>
      <c r="B425" t="n">
        <v>108196028</v>
      </c>
      <c r="C425" t="inlineStr">
        <is>
          <t>G</t>
        </is>
      </c>
      <c r="D425" t="inlineStr">
        <is>
          <t>A</t>
        </is>
      </c>
      <c r="E425" t="inlineStr">
        <is>
          <t>642095</t>
        </is>
      </c>
      <c r="F425">
        <f>HYPERLINK("https://www.ncbi.nlm.nih.gov/clinvar/variation/642095/","ClinVarDB")</f>
        <v/>
      </c>
      <c r="G425" t="inlineStr">
        <is>
          <t>criteria_provided|_single_submitter</t>
        </is>
      </c>
      <c r="H425" t="inlineStr">
        <is>
          <t>Ataxia-telangiectasia_syndrome</t>
        </is>
      </c>
      <c r="I425" t="inlineStr">
        <is>
          <t>Likely_pathogenic</t>
        </is>
      </c>
      <c r="J425" t="inlineStr">
        <is>
          <t>ATM</t>
        </is>
      </c>
      <c r="K425" t="inlineStr">
        <is>
          <t>intron_variant&amp;non_coding_transcript_variant|intron_variant</t>
        </is>
      </c>
      <c r="L425" t="inlineStr"/>
      <c r="M425" t="inlineStr">
        <is>
          <t>NM_001351110.2:c.*38+9919C&gt;T|NM_000051.3:c.6573-9G&gt;A|ENST00000533690.1:n.1977-9G&gt;A|ENST00000452508.2:c.6573-9G&gt;A|NM_001330368.2:c.641-16230C&gt;T|ENST00000525729.1:c.641-16230C&gt;T|ENST00000278616.4:c.6573-9G&gt;A|NM_001351834.2:c.6573-9G&gt;A|ENST00000524792.1:n.2788-9G&gt;A</t>
        </is>
      </c>
      <c r="N425" t="inlineStr"/>
      <c r="O425" t="inlineStr"/>
      <c r="P425" t="inlineStr"/>
      <c r="Q425" t="inlineStr"/>
      <c r="R425" t="inlineStr"/>
      <c r="S425" t="inlineStr"/>
    </row>
    <row r="426">
      <c r="A426" t="inlineStr">
        <is>
          <t>11</t>
        </is>
      </c>
      <c r="B426" t="n">
        <v>108131354</v>
      </c>
      <c r="C426" t="inlineStr">
        <is>
          <t>G</t>
        </is>
      </c>
      <c r="D426" t="inlineStr">
        <is>
          <t>C</t>
        </is>
      </c>
      <c r="E426" t="inlineStr">
        <is>
          <t>821324</t>
        </is>
      </c>
      <c r="F426">
        <f>HYPERLINK("https://www.ncbi.nlm.nih.gov/clinvar/variation/821324/","ClinVarDB")</f>
        <v/>
      </c>
      <c r="G426" t="inlineStr">
        <is>
          <t>criteria_provided|_single_submitter</t>
        </is>
      </c>
      <c r="H426" t="inlineStr">
        <is>
          <t>Hereditary_cancer-predisposing_syndrome</t>
        </is>
      </c>
      <c r="I426" t="inlineStr">
        <is>
          <t>Likely_pathogenic</t>
        </is>
      </c>
      <c r="J426" t="inlineStr">
        <is>
          <t>ATM</t>
        </is>
      </c>
      <c r="K426" t="inlineStr">
        <is>
          <t>intron_variant</t>
        </is>
      </c>
      <c r="L426" t="inlineStr"/>
      <c r="M426" t="inlineStr">
        <is>
          <t>NM_001351834.2:c.2466+1552G&gt;C|ENST00000278616.4:c.2466+1552G&gt;C|ENST00000596081.1:c.24-1072C&gt;G|NM_000051.3:c.2466+1552G&gt;C|ENST00000527805.1:c.2466+1552G&gt;C|ENST00000452508.2:c.2466+1552G&gt;C</t>
        </is>
      </c>
      <c r="N426" t="inlineStr"/>
      <c r="O426" t="inlineStr"/>
      <c r="P426" t="inlineStr"/>
      <c r="Q426" t="inlineStr"/>
      <c r="R426" t="inlineStr"/>
      <c r="S426" t="inlineStr"/>
    </row>
    <row r="427">
      <c r="A427" t="inlineStr">
        <is>
          <t>11</t>
        </is>
      </c>
      <c r="B427" t="n">
        <v>108117720</v>
      </c>
      <c r="C427" t="inlineStr">
        <is>
          <t>A</t>
        </is>
      </c>
      <c r="D427" t="inlineStr">
        <is>
          <t>ATTTTTTTTTTTTTTTTTTTTTTTTTTTTTTTTTTTTTTTTTTTNNNATCCGCCCGCCTCGGCCTCCCAAAGTGCTGGGATTACAGGCGTGAGCCACCGCGCCCGGCCC</t>
        </is>
      </c>
      <c r="E427" t="inlineStr">
        <is>
          <t>1069873</t>
        </is>
      </c>
      <c r="F427">
        <f>HYPERLINK("https://www.ncbi.nlm.nih.gov/clinvar/variation/1069873/","ClinVarDB")</f>
        <v/>
      </c>
      <c r="G427" t="inlineStr">
        <is>
          <t>criteria_provided|_single_submitter</t>
        </is>
      </c>
      <c r="H427" t="inlineStr">
        <is>
          <t>Ataxia-telangiectasia_syndrome</t>
        </is>
      </c>
      <c r="I427" t="inlineStr">
        <is>
          <t>Pathogenic</t>
        </is>
      </c>
      <c r="J427" t="inlineStr">
        <is>
          <t>ATM</t>
        </is>
      </c>
      <c r="K427" t="inlineStr">
        <is>
          <t>coding_sequence_variant</t>
        </is>
      </c>
      <c r="L427" t="inlineStr"/>
      <c r="M427" t="inlineStr"/>
      <c r="N427" t="inlineStr"/>
      <c r="O427" t="inlineStr"/>
      <c r="P427" t="inlineStr"/>
      <c r="Q427" t="inlineStr"/>
      <c r="R427" t="inlineStr"/>
      <c r="S427" t="inlineStr"/>
    </row>
    <row r="428">
      <c r="A428" t="inlineStr">
        <is>
          <t>11</t>
        </is>
      </c>
      <c r="B428" t="n">
        <v>108153575</v>
      </c>
      <c r="C428" t="inlineStr">
        <is>
          <t>T</t>
        </is>
      </c>
      <c r="D428" t="inlineStr">
        <is>
          <t>TTTCCTTTTATTTTATTTTTTTTTTTTTTTTTTTTNNNNNNNNNNTCCAATTTCATCCATGTCCCTACAAAGGATATGAACTCATCATTTTTTATGGCTGCATAGTATTCCATGGTGTATATGTGCCACATTTTCTTAATCC</t>
        </is>
      </c>
      <c r="E428" t="inlineStr">
        <is>
          <t>1069949</t>
        </is>
      </c>
      <c r="F428">
        <f>HYPERLINK("https://www.ncbi.nlm.nih.gov/clinvar/variation/1069949/","ClinVarDB")</f>
        <v/>
      </c>
      <c r="G428" t="inlineStr">
        <is>
          <t>criteria_provided|_single_submitter</t>
        </is>
      </c>
      <c r="H428" t="inlineStr">
        <is>
          <t>Ataxia-telangiectasia_syndrome</t>
        </is>
      </c>
      <c r="I428" t="inlineStr">
        <is>
          <t>Pathogenic</t>
        </is>
      </c>
      <c r="J428" t="inlineStr">
        <is>
          <t>ATM</t>
        </is>
      </c>
      <c r="K428" t="inlineStr">
        <is>
          <t>coding_sequence_variant</t>
        </is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</row>
    <row r="429">
      <c r="A429" t="inlineStr">
        <is>
          <t>5</t>
        </is>
      </c>
      <c r="B429" t="n">
        <v>112170861</v>
      </c>
      <c r="C429" t="inlineStr">
        <is>
          <t>A</t>
        </is>
      </c>
      <c r="D429" t="inlineStr">
        <is>
          <t>C</t>
        </is>
      </c>
      <c r="E429" t="inlineStr">
        <is>
          <t>482311</t>
        </is>
      </c>
      <c r="F429">
        <f>HYPERLINK("https://www.ncbi.nlm.nih.gov/clinvar/variation/482311/","ClinVarDB")</f>
        <v/>
      </c>
      <c r="G429" t="inlineStr">
        <is>
          <t>criteria_provided|_single_submitter</t>
        </is>
      </c>
      <c r="H429" t="inlineStr">
        <is>
          <t>Hereditary_cancer-predisposing_syndrome</t>
        </is>
      </c>
      <c r="I429" t="inlineStr">
        <is>
          <t>Pathogenic</t>
        </is>
      </c>
      <c r="J429" t="inlineStr">
        <is>
          <t>APC</t>
        </is>
      </c>
      <c r="K429" t="inlineStr">
        <is>
          <t>splice_region_variant&amp;synonymous_variant|splice_region_variant&amp;3_prime_UTR_variant&amp;NMD_transcript_variant|splice_region_variant&amp;non_coding_transcript_exon_variant|intron_variant&amp;NMD_transcript_variant</t>
        </is>
      </c>
      <c r="L429" t="inlineStr">
        <is>
          <t>|NP_001341830.1:p.Arg594=|ENSP00000413133.1:p.Arg653=|NP_001120983.2:p.Arg635=|NP_001341829.1:p.Arg612=|NP_001341825.1:p.Arg671=|ENSP00000257430.4:p.Arg653=|NP_001341832.1:p.Arg552=|NP_001341827.1:p.Arg628=|NP_001341826.1:p.Arg663=|NP_001120982.1:p.Arg653=|NP_001341831.1:p.Arg562=|ENSP00000423224.1:p.Arg635=|NP_001341833.1:p.Arg527=|NP_001341834.1:p.Arg493=|NP_001341828.1:p.Arg625=|ENSP00000427089.2:p.Arg653=|NP_000029.2:p.Arg653=|ENSP00000473355.1:p.Arg216=|NP_001341835.1:p.Arg370=|ENSP00000423828.2:p.Arg653=|NP_001341824.1:p.Arg653=</t>
        </is>
      </c>
      <c r="M429" t="inlineStr">
        <is>
          <t>ENST00000457016.1:c.1957A&gt;C|NM_001354902.2:c.1684A&gt;C|NM_000038.6:c.1957A&gt;C|NM_001354904.2:c.1579A&gt;C|ENST00000512211.2:c.1957A&gt;C|NM_001354901.2:c.1780A&gt;C|NM_001354903.2:c.1654A&gt;C|ENST00000257430.4:c.1957A&gt;C|NM_001354899.2:c.1873A&gt;C|ENST00000514164.1:n.352A&gt;C|ENST00000507379.1:c.1903A&gt;C|NM_001127510.3:c.1957A&gt;C|ENST00000520401.1:c.230+6192A&gt;C|NM_001354906.2:c.1108A&gt;C|ENST00000504915.2:c.646A&gt;C|ENST00000508376.2:c.1957A&gt;C|ENST00000508624.1:c.*1279A&gt;C|NM_001354900.2:c.1834A&gt;C|NM_001354896.2:c.2011A&gt;C|NM_001354898.2:c.1882A&gt;C|NM_001354905.2:c.1477A&gt;C|ENST00000502371.1:n.310A&gt;C|NM_001354895.2:c.1957A&gt;C|NM_001354897.2:c.1987A&gt;C|NM_001127511.3:c.1903A&gt;C</t>
        </is>
      </c>
      <c r="N429" t="inlineStr"/>
      <c r="O429" t="inlineStr"/>
      <c r="P429" t="inlineStr"/>
      <c r="Q429" t="inlineStr"/>
      <c r="R429" t="inlineStr"/>
      <c r="S429" t="inlineStr"/>
    </row>
    <row r="430">
      <c r="A430" t="inlineStr">
        <is>
          <t>5</t>
        </is>
      </c>
      <c r="B430" t="n">
        <v>112162944</v>
      </c>
      <c r="C430" t="inlineStr">
        <is>
          <t>G</t>
        </is>
      </c>
      <c r="D430" t="inlineStr">
        <is>
          <t>A</t>
        </is>
      </c>
      <c r="E430" t="inlineStr">
        <is>
          <t>428116</t>
        </is>
      </c>
      <c r="F430">
        <f>HYPERLINK("https://www.ncbi.nlm.nih.gov/clinvar/variation/428116/","ClinVarDB")</f>
        <v/>
      </c>
      <c r="G430" t="inlineStr">
        <is>
          <t>criteria_provided|_single_submitter</t>
        </is>
      </c>
      <c r="H430" t="inlineStr">
        <is>
          <t>Hereditary_cancer-predisposing_syndrome</t>
        </is>
      </c>
      <c r="I430" t="inlineStr">
        <is>
          <t>Pathogenic</t>
        </is>
      </c>
      <c r="J430" t="inlineStr">
        <is>
          <t>APC</t>
        </is>
      </c>
      <c r="K430" t="inlineStr">
        <is>
          <t>splice_region_variant&amp;synonymous_variant&amp;NMD_transcript_variant|intron_variant&amp;non_coding_transcript_variant|splice_region_variant&amp;non_coding_transcript_exon_variant|splice_region_variant&amp;synonymous_variant|splice_region_variant&amp;3_prime_UTR_variant&amp;NMD_transcript_variant</t>
        </is>
      </c>
      <c r="L430" t="inlineStr">
        <is>
          <t>|NP_001341826.1:p.Lys526=|NP_001341834.1:p.Lys356=|NP_001120982.1:p.Lys516=|NP_001341829.1:p.Lys475=|ENSP00000257430.4:p.Lys516=|ENSP00000423224.1:p.Lys498=|NP_001120983.2:p.Lys498=|NP_001341832.1:p.Lys415=|NP_001341833.1:p.Lys390=|NP_000029.2:p.Lys516=|NP_001341830.1:p.Lys457=|NP_001341827.1:p.Lys491=|NP_001341835.1:p.Lys233=|ENSP00000423828.2:p.Lys516=|ENSP00000454861.1:p.Lys12=|ENSP00000473355.1:p.Lys79=|ENSP00000427089.2:p.Lys516=|NP_001341824.1:p.Lys516=|NP_001341825.1:p.Lys534=|ENSP00000413133.1:p.Lys516=|NP_001341828.1:p.Lys488=|NP_001341831.1:p.Lys425=</t>
        </is>
      </c>
      <c r="M430" t="inlineStr">
        <is>
          <t>ENST00000504915.2:c.237G&gt;A|NM_001127511.3:c.1494G&gt;A|NM_000038.6:c.1548G&gt;A|NM_001354905.2:c.1068G&gt;A|NM_001354906.2:c.699G&gt;A|ENST00000457016.1:c.1548G&gt;A|NM_001354896.2:c.1602G&gt;A|ENST00000508624.1:c.*870G&gt;A|NM_001354898.2:c.1473G&gt;A|ENST00000505084.1:n.35G&gt;A|NM_001127510.3:c.1548G&gt;A|NM_001354903.2:c.1245G&gt;A|ENST00000508376.2:c.1548G&gt;A|NM_001354900.2:c.1425G&gt;A|NM_001354901.2:c.1371G&gt;A|NM_001354904.2:c.1170G&gt;A|ENST00000502371.1:n.96+5256G&gt;A|NM_001354897.2:c.1578G&gt;A|NM_001354895.2:c.1548G&gt;A|ENST00000507379.1:c.1494G&gt;A|ENST00000257430.4:c.1548G&gt;A|NM_001354899.2:c.1464G&gt;A|ENST00000512211.2:c.1548G&gt;A|ENST00000520401.1:c.36G&gt;A|NM_001354902.2:c.1275G&gt;A</t>
        </is>
      </c>
      <c r="N430" t="inlineStr"/>
      <c r="O430" t="inlineStr"/>
      <c r="P430" t="inlineStr"/>
      <c r="Q430" t="inlineStr"/>
      <c r="R430" t="inlineStr"/>
      <c r="S430" t="inlineStr"/>
    </row>
    <row r="431">
      <c r="A431" t="inlineStr">
        <is>
          <t>5</t>
        </is>
      </c>
      <c r="B431" t="n">
        <v>112170642</v>
      </c>
      <c r="C431" t="inlineStr">
        <is>
          <t>TAC</t>
        </is>
      </c>
      <c r="D431" t="inlineStr">
        <is>
          <t>AG</t>
        </is>
      </c>
      <c r="E431" t="inlineStr">
        <is>
          <t>664704</t>
        </is>
      </c>
      <c r="F431">
        <f>HYPERLINK("https://www.ncbi.nlm.nih.gov/clinvar/variation/664704/","ClinVarDB")</f>
        <v/>
      </c>
      <c r="G431" t="inlineStr">
        <is>
          <t>criteria_provided|_single_submitter</t>
        </is>
      </c>
      <c r="H431" t="inlineStr">
        <is>
          <t>Familial_adenomatous_polyposis_1</t>
        </is>
      </c>
      <c r="I431" t="inlineStr">
        <is>
          <t>Pathogenic</t>
        </is>
      </c>
      <c r="J431" t="inlineStr">
        <is>
          <t>APC</t>
        </is>
      </c>
      <c r="K431" t="inlineStr">
        <is>
          <t>splice_region_variant&amp;intron_variant|splice_region_variant&amp;intron_variant&amp;NMD_transcript_variant|splice_region_variant&amp;intron_variant&amp;non_coding_transcript_variant|intron_variant&amp;NMD_transcript_variant</t>
        </is>
      </c>
      <c r="L431" t="inlineStr"/>
      <c r="M431" t="inlineStr">
        <is>
          <t>NM_001354899.2:c.1660-6_1660-4delinsAG|ENST00000504915.2:c.433-6_433-4delinsAG|ENST00000502371.1:n.97-6_97-4delinsAG|ENST00000257430.4:c.1744-6_1744-4delinsAG|ENST00000508624.1:c.*1066-6_*1066-4delinsAG|NM_001354897.2:c.1774-6_1774-4delinsAG|ENST00000512211.2:c.1744-6_1744-4delinsAG|ENST00000514164.1:n.139-6_139-4delinsAG|ENST00000520401.1:c.230+5973_230+5975delinsAG|NM_001354901.2:c.1567-6_1567-4delinsAG|NM_001354906.2:c.895-6_895-4delinsAG|ENST00000507379.1:c.1690-6_1690-4delinsAG|ENST00000508376.2:c.1744-6_1744-4delinsAG|NM_001354905.2:c.1264-6_1264-4delinsAG|NM_000038.6:c.1744-6_1744-4delinsAG|NM_001127510.3:c.1744-6_1744-4delinsAG|ENST00000457016.1:c.1744-6_1744-4delinsAG|NM_001354898.2:c.1669-6_1669-4delinsAG|NM_001354900.2:c.1621-6_1621-4delinsAG|NM_001354903.2:c.1441-6_1441-4delinsAG|NM_001354896.2:c.1798-6_1798-4delinsAG|NM_001127511.3:c.1690-6_1690-4delinsAG|NM_001354902.2:c.1471-6_1471-4delinsAG|NM_001354904.2:c.1366-6_1366-4delinsAG|NM_001354895.2:c.1744-6_1744-4delinsAG</t>
        </is>
      </c>
      <c r="N431" t="inlineStr"/>
      <c r="O431" t="inlineStr"/>
      <c r="P431" t="inlineStr"/>
      <c r="Q431" t="inlineStr"/>
      <c r="R431" t="inlineStr"/>
      <c r="S431" t="inlineStr"/>
    </row>
    <row r="432">
      <c r="A432" t="inlineStr">
        <is>
          <t>5</t>
        </is>
      </c>
      <c r="B432" t="n">
        <v>112170644</v>
      </c>
      <c r="C432" t="inlineStr">
        <is>
          <t>C</t>
        </is>
      </c>
      <c r="D432" t="inlineStr">
        <is>
          <t>G</t>
        </is>
      </c>
      <c r="E432" t="inlineStr">
        <is>
          <t>433625</t>
        </is>
      </c>
      <c r="F432">
        <f>HYPERLINK("https://www.ncbi.nlm.nih.gov/clinvar/variation/433625/","ClinVarDB")</f>
        <v/>
      </c>
      <c r="G432" t="inlineStr">
        <is>
          <t>criteria_provided|_single_submitter</t>
        </is>
      </c>
      <c r="H432" t="inlineStr">
        <is>
          <t>Carcinoma_of_colon|Hereditary_cancer-predisposing_syndrome</t>
        </is>
      </c>
      <c r="I432" t="inlineStr">
        <is>
          <t>Likely_pathogenic</t>
        </is>
      </c>
      <c r="J432" t="inlineStr">
        <is>
          <t>APC</t>
        </is>
      </c>
      <c r="K432" t="inlineStr">
        <is>
          <t>splice_region_variant&amp;intron_variant|splice_region_variant&amp;intron_variant&amp;NMD_transcript_variant|splice_region_variant&amp;intron_variant&amp;non_coding_transcript_variant|intron_variant&amp;NMD_transcript_variant</t>
        </is>
      </c>
      <c r="L432" t="inlineStr"/>
      <c r="M432" t="inlineStr">
        <is>
          <t>NM_001354905.2:c.1264-4C&gt;G|NM_001354906.2:c.895-4C&gt;G|NM_001354897.2:c.1774-4C&gt;G|NM_001127511.3:c.1690-4C&gt;G|ENST00000514164.1:n.139-4C&gt;G|ENST00000507379.1:c.1690-4C&gt;G|ENST00000502371.1:n.97-4C&gt;G|ENST00000520401.1:c.230+5975C&gt;G|NM_001354901.2:c.1567-4C&gt;G|NM_000038.6:c.1744-4C&gt;G|NM_001354899.2:c.1660-4C&gt;G|NM_001354896.2:c.1798-4C&gt;G|NM_001354903.2:c.1441-4C&gt;G|NM_001354895.2:c.1744-4C&gt;G|NM_001354898.2:c.1669-4C&gt;G|ENST00000508376.2:c.1744-4C&gt;G|ENST00000512211.2:c.1744-4C&gt;G|NM_001354904.2:c.1366-4C&gt;G|NM_001354902.2:c.1471-4C&gt;G|ENST00000504915.2:c.433-4C&gt;G|ENST00000257430.4:c.1744-4C&gt;G|ENST00000508624.1:c.*1066-4C&gt;G|ENST00000457016.1:c.1744-4C&gt;G|NM_001354900.2:c.1621-4C&gt;G|NM_001127510.3:c.1744-4C&gt;G</t>
        </is>
      </c>
      <c r="N432" t="inlineStr"/>
      <c r="O432" t="inlineStr"/>
      <c r="P432" t="inlineStr"/>
      <c r="Q432" t="inlineStr"/>
      <c r="R432" t="inlineStr"/>
      <c r="S432" t="inlineStr"/>
    </row>
    <row r="433">
      <c r="A433" t="inlineStr">
        <is>
          <t>5</t>
        </is>
      </c>
      <c r="B433" t="n">
        <v>112170645</v>
      </c>
      <c r="C433" t="inlineStr">
        <is>
          <t>T</t>
        </is>
      </c>
      <c r="D433" t="inlineStr">
        <is>
          <t>G</t>
        </is>
      </c>
      <c r="E433" t="inlineStr">
        <is>
          <t>819988</t>
        </is>
      </c>
      <c r="F433">
        <f>HYPERLINK("https://www.ncbi.nlm.nih.gov/clinvar/variation/819988/","ClinVarDB")</f>
        <v/>
      </c>
      <c r="G433" t="inlineStr">
        <is>
          <t>criteria_provided|_single_submitter</t>
        </is>
      </c>
      <c r="H433" t="inlineStr">
        <is>
          <t>Hereditary_cancer-predisposing_syndrome</t>
        </is>
      </c>
      <c r="I433" t="inlineStr">
        <is>
          <t>Pathogenic</t>
        </is>
      </c>
      <c r="J433" t="inlineStr">
        <is>
          <t>APC</t>
        </is>
      </c>
      <c r="K433" t="inlineStr">
        <is>
          <t>splice_region_variant&amp;intron_variant|splice_region_variant&amp;intron_variant&amp;NMD_transcript_variant|splice_region_variant&amp;intron_variant&amp;non_coding_transcript_variant|intron_variant&amp;NMD_transcript_variant</t>
        </is>
      </c>
      <c r="L433" t="inlineStr"/>
      <c r="M433" t="inlineStr">
        <is>
          <t>NM_001354897.2:c.1774-3T&gt;G|ENST00000507379.1:c.1690-3T&gt;G|NM_001354902.2:c.1471-3T&gt;G|ENST00000502371.1:n.97-3T&gt;G|NM_001354895.2:c.1744-3T&gt;G|ENST00000508376.2:c.1744-3T&gt;G|NM_001354900.2:c.1621-3T&gt;G|ENST00000457016.1:c.1744-3T&gt;G|ENST00000520401.1:c.230+5976T&gt;G|NM_001354896.2:c.1798-3T&gt;G|NM_001354903.2:c.1441-3T&gt;G|NM_001354898.2:c.1669-3T&gt;G|NM_001354906.2:c.895-3T&gt;G|NM_001354905.2:c.1264-3T&gt;G|ENST00000257430.4:c.1744-3T&gt;G|NM_001354899.2:c.1660-3T&gt;G|NM_001127511.3:c.1690-3T&gt;G|NM_001354904.2:c.1366-3T&gt;G|ENST00000514164.1:n.139-3T&gt;G|NM_000038.6:c.1744-3T&gt;G|NM_001354901.2:c.1567-3T&gt;G|ENST00000508624.1:c.*1066-3T&gt;G|NM_001127510.3:c.1744-3T&gt;G|ENST00000512211.2:c.1744-3T&gt;G|ENST00000504915.2:c.433-3T&gt;G</t>
        </is>
      </c>
      <c r="N433" t="inlineStr"/>
      <c r="O433" t="inlineStr"/>
      <c r="P433" t="inlineStr"/>
      <c r="Q433" t="inlineStr"/>
      <c r="R433" t="inlineStr"/>
      <c r="S433" t="inlineStr"/>
    </row>
    <row r="434">
      <c r="A434" t="inlineStr">
        <is>
          <t>5</t>
        </is>
      </c>
      <c r="B434" t="n">
        <v>112170865</v>
      </c>
      <c r="C434" t="inlineStr">
        <is>
          <t>A</t>
        </is>
      </c>
      <c r="D434" t="inlineStr">
        <is>
          <t>T</t>
        </is>
      </c>
      <c r="E434" t="inlineStr">
        <is>
          <t>265560</t>
        </is>
      </c>
      <c r="F434">
        <f>HYPERLINK("https://www.ncbi.nlm.nih.gov/clinvar/variation/265560/","ClinVarDB")</f>
        <v/>
      </c>
      <c r="G434" t="inlineStr">
        <is>
          <t>criteria_provided|_single_submitter</t>
        </is>
      </c>
      <c r="H434" t="inlineStr">
        <is>
          <t>not_provided</t>
        </is>
      </c>
      <c r="I434" t="inlineStr">
        <is>
          <t>Likely_pathogenic</t>
        </is>
      </c>
      <c r="J434" t="inlineStr">
        <is>
          <t>APC</t>
        </is>
      </c>
      <c r="K434" t="inlineStr">
        <is>
          <t>splice_region_variant&amp;intron_variant|splice_region_variant&amp;intron_variant&amp;NMD_transcript_variant|splice_region_variant&amp;intron_variant&amp;non_coding_transcript_variant|intron_variant&amp;NMD_transcript_variant</t>
        </is>
      </c>
      <c r="L434" t="inlineStr"/>
      <c r="M434" t="inlineStr">
        <is>
          <t>NM_001127510.3:c.1958+3A&gt;T|NM_001354903.2:c.1655+3A&gt;T|ENST00000257430.4:c.1958+3A&gt;T|ENST00000508376.2:c.1958+3A&gt;T|ENST00000457016.1:c.1958+3A&gt;T|ENST00000504915.2:c.647+3A&gt;T|ENST00000507379.1:c.1904+3A&gt;T|NM_001354895.2:c.1958+3A&gt;T|NM_001354898.2:c.1883+3A&gt;T|NM_001354896.2:c.2012+3A&gt;T|ENST00000502371.1:n.311+3A&gt;T|NM_000038.6:c.1958+3A&gt;T|ENST00000520401.1:c.230+6196A&gt;T|NM_001127511.3:c.1904+3A&gt;T|NM_001354899.2:c.1874+3A&gt;T|ENST00000514164.1:n.353+3A&gt;T|NM_001354897.2:c.1988+3A&gt;T|NM_001354900.2:c.1835+3A&gt;T|NM_001354906.2:c.1109+3A&gt;T|NM_001354904.2:c.1580+3A&gt;T|ENST00000512211.2:c.1958+3A&gt;T|NM_001354905.2:c.1478+3A&gt;T|ENST00000508624.1:c.*1280+3A&gt;T|NM_001354902.2:c.1685+3A&gt;T|NM_001354901.2:c.1781+3A&gt;T</t>
        </is>
      </c>
      <c r="N434" t="inlineStr"/>
      <c r="O434" t="inlineStr"/>
      <c r="P434" t="inlineStr"/>
      <c r="Q434" t="inlineStr"/>
      <c r="R434" t="inlineStr"/>
      <c r="S434" t="inlineStr"/>
    </row>
    <row r="435">
      <c r="A435" t="inlineStr">
        <is>
          <t>5</t>
        </is>
      </c>
      <c r="B435" t="n">
        <v>112155044</v>
      </c>
      <c r="C435" t="inlineStr">
        <is>
          <t>A</t>
        </is>
      </c>
      <c r="D435" t="inlineStr">
        <is>
          <t>C</t>
        </is>
      </c>
      <c r="E435" t="inlineStr">
        <is>
          <t>486792</t>
        </is>
      </c>
      <c r="F435">
        <f>HYPERLINK("https://www.ncbi.nlm.nih.gov/clinvar/variation/486792/","ClinVarDB")</f>
        <v/>
      </c>
      <c r="G435" t="inlineStr">
        <is>
          <t>criteria_provided|_single_submitter</t>
        </is>
      </c>
      <c r="H435" t="inlineStr">
        <is>
          <t>Hereditary_cancer-predisposing_syndrome</t>
        </is>
      </c>
      <c r="I435" t="inlineStr">
        <is>
          <t>Likely_pathogenic</t>
        </is>
      </c>
      <c r="J435" t="inlineStr">
        <is>
          <t>APC</t>
        </is>
      </c>
      <c r="K435" t="inlineStr">
        <is>
          <t>splice_region_variant&amp;intron_variant|splice_region_variant&amp;intron_variant&amp;NMD_transcript_variant|splice_region_variant&amp;intron_variant&amp;non_coding_transcript_variant</t>
        </is>
      </c>
      <c r="L435" t="inlineStr"/>
      <c r="M435" t="inlineStr">
        <is>
          <t>NM_001354905.2:c.832+3A&gt;C|ENST00000507379.1:c.1258+3A&gt;C|NM_000038.6:c.1312+3A&gt;C|NM_001354896.2:c.1312+3A&gt;C|NM_001354898.2:c.1237+3A&gt;C|NM_001354902.2:c.1039+3A&gt;C|ENST00000508376.2:c.1312+3A&gt;C|NM_001127511.3:c.1258+3A&gt;C|ENST00000506342.1:n.392+3A&gt;C|NM_001354895.2:c.1312+3A&gt;C|NM_001354903.2:c.1009+3A&gt;C|NM_001354906.2:c.463+3A&gt;C|ENST00000257430.4:c.1312+3A&gt;C|NM_001127510.3:c.1312+3A&gt;C|NM_001354901.2:c.1135+3A&gt;C|NM_001354899.2:c.1228+3A&gt;C|ENST00000508624.1:c.*634+3A&gt;C|ENST00000512211.2:c.1312+3A&gt;C|NM_001354900.2:c.1135+3A&gt;C|NM_001354897.2:c.1342+3A&gt;C|ENST00000457016.1:c.1312+3A&gt;C|NM_001354904.2:c.934+3A&gt;C</t>
        </is>
      </c>
      <c r="N435" t="inlineStr"/>
      <c r="O435" t="inlineStr"/>
      <c r="P435" t="inlineStr"/>
      <c r="Q435" t="inlineStr"/>
      <c r="R435" t="inlineStr"/>
      <c r="S435" t="inlineStr"/>
    </row>
    <row r="436">
      <c r="A436" t="inlineStr">
        <is>
          <t>5</t>
        </is>
      </c>
      <c r="B436" t="n">
        <v>112111439</v>
      </c>
      <c r="C436" t="inlineStr">
        <is>
          <t>G</t>
        </is>
      </c>
      <c r="D436" t="inlineStr">
        <is>
          <t>A</t>
        </is>
      </c>
      <c r="E436" t="inlineStr">
        <is>
          <t>127305</t>
        </is>
      </c>
      <c r="F436">
        <f>HYPERLINK("https://www.ncbi.nlm.nih.gov/clinvar/variation/127305/","ClinVarDB")</f>
        <v/>
      </c>
      <c r="G436" t="inlineStr">
        <is>
          <t>criteria_provided|_single_submitter</t>
        </is>
      </c>
      <c r="H436" t="inlineStr">
        <is>
          <t>not_provided</t>
        </is>
      </c>
      <c r="I436" t="inlineStr">
        <is>
          <t>Pathogenic</t>
        </is>
      </c>
      <c r="J436" t="inlineStr">
        <is>
          <t>APC</t>
        </is>
      </c>
      <c r="K436" t="inlineStr">
        <is>
          <t>splice_region_variant&amp;intron_variant|splice_region_variant&amp;intron_variant&amp;NMD_transcript_variant</t>
        </is>
      </c>
      <c r="L436" t="inlineStr"/>
      <c r="M436" t="inlineStr">
        <is>
          <t>ENST00000457016.1:c.531+5G&gt;A|NM_001127510.3:c.531+5G&gt;A|NM_001354897.2:c.561+5G&gt;A|NM_001354900.2:c.354+5G&gt;A|NM_001354901.2:c.354+5G&gt;A|NM_001354905.2:c.354+5G&gt;A|NM_001354898.2:c.456+5G&gt;A|ENST00000507379.1:c.561+5G&gt;A|ENST00000508624.1:c.531+5G&gt;A|NM_001354903.2:c.531+5G&gt;A|NM_001127511.3:c.561+5G&gt;A|ENST00000257430.4:c.531+5G&gt;A|NM_001354896.2:c.531+5G&gt;A|NM_000038.6:c.531+5G&gt;A|NM_001354902.2:c.561+5G&gt;A|NM_001354899.2:c.531+5G&gt;A|NM_001354906.2:c.-505+5G&gt;A|ENST00000512211.2:c.531+5G&gt;A|NM_001354895.2:c.531+5G&gt;A|NM_001354904.2:c.456+5G&gt;A|ENST00000508376.2:c.531+5G&gt;A</t>
        </is>
      </c>
      <c r="N436" t="inlineStr"/>
      <c r="O436" t="inlineStr"/>
      <c r="P436" t="inlineStr"/>
      <c r="Q436" t="inlineStr"/>
      <c r="R436" t="inlineStr"/>
      <c r="S436" t="inlineStr"/>
    </row>
    <row r="437">
      <c r="A437" t="inlineStr">
        <is>
          <t>5</t>
        </is>
      </c>
      <c r="B437" t="n">
        <v>112151185</v>
      </c>
      <c r="C437" t="inlineStr">
        <is>
          <t>T</t>
        </is>
      </c>
      <c r="D437" t="inlineStr">
        <is>
          <t>G</t>
        </is>
      </c>
      <c r="E437" t="inlineStr">
        <is>
          <t>433614</t>
        </is>
      </c>
      <c r="F437">
        <f>HYPERLINK("https://www.ncbi.nlm.nih.gov/clinvar/variation/433614/","ClinVarDB")</f>
        <v/>
      </c>
      <c r="G437" t="inlineStr">
        <is>
          <t>criteria_provided|_single_submitter</t>
        </is>
      </c>
      <c r="H437" t="inlineStr">
        <is>
          <t>Familial_adenomatous_polyposis_1|not_provided</t>
        </is>
      </c>
      <c r="I437" t="inlineStr">
        <is>
          <t>Likely_pathogenic</t>
        </is>
      </c>
      <c r="J437" t="inlineStr">
        <is>
          <t>APC</t>
        </is>
      </c>
      <c r="K437" t="inlineStr">
        <is>
          <t>splice_region_variant&amp;intron_variant|splice_region_variant&amp;intron_variant&amp;NMD_transcript_variant</t>
        </is>
      </c>
      <c r="L437" t="inlineStr"/>
      <c r="M437" t="inlineStr">
        <is>
          <t>NM_001354901.2:c.658-7T&gt;G|NM_001127510.3:c.835-7T&gt;G|NM_001127511.3:c.781-7T&gt;G|NM_001354906.2:c.-15-7T&gt;G|NM_001354897.2:c.865-7T&gt;G|NM_001354895.2:c.835-7T&gt;G|NM_001354896.2:c.835-7T&gt;G|ENST00000257430.4:c.835-7T&gt;G|NM_001354902.2:c.865-7T&gt;G|ENST00000508624.1:c.*157-7T&gt;G|NM_000038.6:c.835-7T&gt;G|NM_001354899.2:c.751-7T&gt;G|NM_001354905.2:c.658-7T&gt;G|ENST00000507379.1:c.781-7T&gt;G|ENST00000508376.2:c.835-7T&gt;G|ENST00000512211.2:c.835-7T&gt;G|NM_001354898.2:c.760-7T&gt;G|NM_001354904.2:c.760-7T&gt;G|NM_001354903.2:c.835-7T&gt;G|ENST00000457016.1:c.835-7T&gt;G|NM_001354900.2:c.658-7T&gt;G</t>
        </is>
      </c>
      <c r="N437" t="inlineStr"/>
      <c r="O437" t="inlineStr"/>
      <c r="P437" t="inlineStr"/>
      <c r="Q437" t="inlineStr"/>
      <c r="R437" t="inlineStr"/>
      <c r="S437" t="inlineStr"/>
    </row>
    <row r="438">
      <c r="A438" t="inlineStr">
        <is>
          <t>5</t>
        </is>
      </c>
      <c r="B438" t="n">
        <v>112043223</v>
      </c>
      <c r="C438" t="inlineStr">
        <is>
          <t>AT</t>
        </is>
      </c>
      <c r="D438" t="inlineStr">
        <is>
          <t>TAGCAAGGG</t>
        </is>
      </c>
      <c r="E438" t="inlineStr">
        <is>
          <t>652807</t>
        </is>
      </c>
      <c r="F438">
        <f>HYPERLINK("https://www.ncbi.nlm.nih.gov/clinvar/variation/652807/","ClinVarDB")</f>
        <v/>
      </c>
      <c r="G438" t="inlineStr">
        <is>
          <t>criteria_provided|_single_submitter</t>
        </is>
      </c>
      <c r="H438" t="inlineStr">
        <is>
          <t>Familial_adenomatous_polyposis_1</t>
        </is>
      </c>
      <c r="I438" t="inlineStr">
        <is>
          <t>Likely_pathogenic</t>
        </is>
      </c>
      <c r="J438" t="inlineStr">
        <is>
          <t>APC</t>
        </is>
      </c>
      <c r="K438" t="inlineStr">
        <is>
          <t>non_coding_transcript_exon_variant|5_prime_UTR_variant|regulatory_region_variant</t>
        </is>
      </c>
      <c r="L438" t="inlineStr"/>
      <c r="M438" t="inlineStr">
        <is>
          <t>NM_001354897.2:c.-192_-191delinsTAGCAAGGG||ENST00000505350.1:n.6_7delinsTAGCAAGGG|NM_001127511.3:c.-192_-191delinsTAGCAAGGG|ENST00000457016.1:c.-375_-374delinsTAGCAAGGG|ENST00000507379.1:c.-192_-191delinsTAGCAAGGG|NM_001354895.2:c.-375_-374delinsTAGCAAGGG|NM_001354902.2:c.-192_-191delinsTAGCAAGGG|ENST00000509732.1:c.-142_-141delinsTAGCAAGGG</t>
        </is>
      </c>
      <c r="N438" t="inlineStr"/>
      <c r="O438" t="inlineStr"/>
      <c r="P438" t="inlineStr"/>
      <c r="Q438" t="inlineStr"/>
      <c r="R438" t="inlineStr"/>
      <c r="S438" t="inlineStr"/>
    </row>
    <row r="439">
      <c r="A439" t="inlineStr">
        <is>
          <t>5</t>
        </is>
      </c>
      <c r="B439" t="n">
        <v>112111315</v>
      </c>
      <c r="C439" t="inlineStr">
        <is>
          <t>A</t>
        </is>
      </c>
      <c r="D439" t="inlineStr">
        <is>
          <t>G</t>
        </is>
      </c>
      <c r="E439" t="inlineStr">
        <is>
          <t>824698</t>
        </is>
      </c>
      <c r="F439">
        <f>HYPERLINK("https://www.ncbi.nlm.nih.gov/clinvar/variation/824698/","ClinVarDB")</f>
        <v/>
      </c>
      <c r="G439" t="inlineStr">
        <is>
          <t>criteria_provided|_single_submitter</t>
        </is>
      </c>
      <c r="H439" t="inlineStr">
        <is>
          <t>Hereditary_cancer-predisposing_syndrome</t>
        </is>
      </c>
      <c r="I439" t="inlineStr">
        <is>
          <t>Pathogenic</t>
        </is>
      </c>
      <c r="J439" t="inlineStr">
        <is>
          <t>APC</t>
        </is>
      </c>
      <c r="K439" t="inlineStr">
        <is>
          <t>intron_variant|intron_variant&amp;NMD_transcript_variant</t>
        </is>
      </c>
      <c r="L439" t="inlineStr"/>
      <c r="M439" t="inlineStr">
        <is>
          <t>ENST00000457016.1:c.423-11A&gt;G|ENST00000257430.4:c.423-11A&gt;G|ENST00000512211.2:c.423-11A&gt;G|NM_001354896.2:c.423-11A&gt;G|NM_000038.6:c.423-11A&gt;G|NM_001354905.2:c.246-11A&gt;G|NM_001127510.3:c.423-11A&gt;G|NM_001354900.2:c.246-11A&gt;G|NM_001354901.2:c.246-11A&gt;G|NM_001354906.2:c.-613-11A&gt;G|ENST00000508376.2:c.423-11A&gt;G|NM_001354895.2:c.423-11A&gt;G|NM_001354904.2:c.348-11A&gt;G|NM_001354899.2:c.423-11A&gt;G|ENST00000507379.1:c.453-11A&gt;G|NM_001354903.2:c.423-11A&gt;G|NM_001354897.2:c.453-11A&gt;G|ENST00000508624.1:c.423-11A&gt;G|NM_001354898.2:c.348-11A&gt;G|NM_001127511.3:c.453-11A&gt;G|NM_001354902.2:c.453-11A&gt;G</t>
        </is>
      </c>
      <c r="N439" t="inlineStr"/>
      <c r="O439" t="inlineStr"/>
      <c r="P439" t="inlineStr"/>
      <c r="Q439" t="inlineStr"/>
      <c r="R439" t="inlineStr"/>
      <c r="S439" t="inlineStr"/>
    </row>
    <row r="440">
      <c r="A440" t="inlineStr">
        <is>
          <t>5</t>
        </is>
      </c>
      <c r="B440" t="n">
        <v>112111317</v>
      </c>
      <c r="C440" t="inlineStr">
        <is>
          <t>A</t>
        </is>
      </c>
      <c r="D440" t="inlineStr">
        <is>
          <t>G</t>
        </is>
      </c>
      <c r="E440" t="inlineStr">
        <is>
          <t>469955</t>
        </is>
      </c>
      <c r="F440">
        <f>HYPERLINK("https://www.ncbi.nlm.nih.gov/clinvar/variation/469955/","ClinVarDB")</f>
        <v/>
      </c>
      <c r="G440" t="inlineStr">
        <is>
          <t>criteria_provided|_single_submitter</t>
        </is>
      </c>
      <c r="H440" t="inlineStr">
        <is>
          <t>Familial_adenomatous_polyposis_1</t>
        </is>
      </c>
      <c r="I440" t="inlineStr">
        <is>
          <t>Pathogenic</t>
        </is>
      </c>
      <c r="J440" t="inlineStr">
        <is>
          <t>APC</t>
        </is>
      </c>
      <c r="K440" t="inlineStr">
        <is>
          <t>intron_variant|intron_variant&amp;NMD_transcript_variant</t>
        </is>
      </c>
      <c r="L440" t="inlineStr"/>
      <c r="M440" t="inlineStr">
        <is>
          <t>NM_001127510.3:c.423-9A&gt;G|ENST00000508376.2:c.423-9A&gt;G|NM_001354895.2:c.423-9A&gt;G|ENST00000512211.2:c.423-9A&gt;G|NM_001354900.2:c.246-9A&gt;G|NM_001354896.2:c.423-9A&gt;G|NM_001354905.2:c.246-9A&gt;G|NM_000038.6:c.423-9A&gt;G|NM_001354902.2:c.453-9A&gt;G|ENST00000257430.4:c.423-9A&gt;G|ENST00000507379.1:c.453-9A&gt;G|NM_001127511.3:c.453-9A&gt;G|NM_001354906.2:c.-613-9A&gt;G|ENST00000457016.1:c.423-9A&gt;G|NM_001354903.2:c.423-9A&gt;G|NM_001354898.2:c.348-9A&gt;G|NM_001354897.2:c.453-9A&gt;G|NM_001354901.2:c.246-9A&gt;G|ENST00000508624.1:c.423-9A&gt;G|NM_001354899.2:c.423-9A&gt;G|NM_001354904.2:c.348-9A&gt;G</t>
        </is>
      </c>
      <c r="N440" t="inlineStr"/>
      <c r="O440" t="inlineStr"/>
      <c r="P440" t="inlineStr"/>
      <c r="Q440" t="inlineStr"/>
      <c r="R440" t="inlineStr"/>
      <c r="S440" t="inlineStr"/>
    </row>
    <row r="441">
      <c r="A441" t="inlineStr">
        <is>
          <t>5</t>
        </is>
      </c>
      <c r="B441" t="n">
        <v>112151175</v>
      </c>
      <c r="C441" t="inlineStr">
        <is>
          <t>A</t>
        </is>
      </c>
      <c r="D441" t="inlineStr">
        <is>
          <t>G</t>
        </is>
      </c>
      <c r="E441" t="inlineStr">
        <is>
          <t>822326</t>
        </is>
      </c>
      <c r="F441">
        <f>HYPERLINK("https://www.ncbi.nlm.nih.gov/clinvar/variation/822326/","ClinVarDB")</f>
        <v/>
      </c>
      <c r="G441" t="inlineStr">
        <is>
          <t>criteria_provided|_single_submitter</t>
        </is>
      </c>
      <c r="H441" t="inlineStr">
        <is>
          <t>Hereditary_cancer-predisposing_syndrome</t>
        </is>
      </c>
      <c r="I441" t="inlineStr">
        <is>
          <t>Likely_pathogenic</t>
        </is>
      </c>
      <c r="J441" t="inlineStr">
        <is>
          <t>APC</t>
        </is>
      </c>
      <c r="K441" t="inlineStr">
        <is>
          <t>intron_variant|intron_variant&amp;NMD_transcript_variant</t>
        </is>
      </c>
      <c r="L441" t="inlineStr"/>
      <c r="M441" t="inlineStr">
        <is>
          <t>NM_001354899.2:c.751-17A&gt;G|NM_001354898.2:c.760-17A&gt;G|NM_001354904.2:c.760-17A&gt;G|NM_001354897.2:c.865-17A&gt;G|NM_001354905.2:c.658-17A&gt;G|ENST00000512211.2:c.835-17A&gt;G|NM_001354902.2:c.865-17A&gt;G|NM_001127511.3:c.781-17A&gt;G|ENST00000508376.2:c.835-17A&gt;G|NM_001354903.2:c.835-17A&gt;G|ENST00000257430.4:c.835-17A&gt;G|NM_001354896.2:c.835-17A&gt;G|ENST00000508624.1:c.*157-17A&gt;G|ENST00000507379.1:c.781-17A&gt;G|NM_000038.6:c.835-17A&gt;G|NM_001354900.2:c.658-17A&gt;G|NM_001354901.2:c.658-17A&gt;G|ENST00000457016.1:c.835-17A&gt;G|NM_001354906.2:c.-15-17A&gt;G|NM_001354895.2:c.835-17A&gt;G|NM_001127510.3:c.835-17A&gt;G</t>
        </is>
      </c>
      <c r="N441" t="inlineStr"/>
      <c r="O441" t="inlineStr"/>
      <c r="P441" t="inlineStr"/>
      <c r="Q441" t="inlineStr"/>
      <c r="R441" t="inlineStr"/>
      <c r="S441" t="inlineStr"/>
    </row>
    <row r="442">
      <c r="A442" t="inlineStr">
        <is>
          <t>5</t>
        </is>
      </c>
      <c r="B442" t="n">
        <v>112152119</v>
      </c>
      <c r="C442" t="inlineStr">
        <is>
          <t>A</t>
        </is>
      </c>
      <c r="D442" t="inlineStr">
        <is>
          <t>G</t>
        </is>
      </c>
      <c r="E442" t="inlineStr">
        <is>
          <t>823173</t>
        </is>
      </c>
      <c r="F442">
        <f>HYPERLINK("https://www.ncbi.nlm.nih.gov/clinvar/variation/823173/","ClinVarDB")</f>
        <v/>
      </c>
      <c r="G442" t="inlineStr">
        <is>
          <t>criteria_provided|_single_submitter</t>
        </is>
      </c>
      <c r="H442" t="inlineStr">
        <is>
          <t>Hereditary_cancer-predisposing_syndrome</t>
        </is>
      </c>
      <c r="I442" t="inlineStr">
        <is>
          <t>Likely_pathogenic</t>
        </is>
      </c>
      <c r="J442" t="inlineStr">
        <is>
          <t>APC</t>
        </is>
      </c>
      <c r="K442" t="inlineStr">
        <is>
          <t>intron_variant|intron_variant&amp;NMD_transcript_variant</t>
        </is>
      </c>
      <c r="L442" t="inlineStr"/>
      <c r="M442" t="inlineStr">
        <is>
          <t>NM_001354896.2:c.933+829A&gt;G|NM_001354906.2:c.84+829A&gt;G|ENST00000507379.1:c.879+829A&gt;G|NM_001354905.2:c.756+829A&gt;G|NM_001354904.2:c.858+829A&gt;G|NM_001354902.2:c.963+829A&gt;G|ENST00000508376.2:c.933+829A&gt;G|ENST00000257430.4:c.933+829A&gt;G|NM_001127511.3:c.879+829A&gt;G|NM_001127510.3:c.933+829A&gt;G|NM_001354900.2:c.756+829A&gt;G|ENST00000508624.1:c.*255+829A&gt;G|NM_001354901.2:c.756+829A&gt;G|NM_000038.6:c.933+829A&gt;G|ENST00000512211.2:c.933+829A&gt;G|NM_001354895.2:c.933+829A&gt;G|ENST00000457016.1:c.933+829A&gt;G|NM_001354898.2:c.858+829A&gt;G|NM_001354897.2:c.963+829A&gt;G|NM_001354899.2:c.849+829A&gt;G|NM_001354903.2:c.933+829A&gt;G</t>
        </is>
      </c>
      <c r="N442" t="inlineStr"/>
      <c r="O442" t="inlineStr"/>
      <c r="P442" t="inlineStr"/>
      <c r="Q442" t="inlineStr"/>
      <c r="R442" t="inlineStr"/>
      <c r="S442" t="inlineStr"/>
    </row>
    <row r="443">
      <c r="A443" t="inlineStr">
        <is>
          <t>5</t>
        </is>
      </c>
      <c r="B443" t="n">
        <v>112162799</v>
      </c>
      <c r="C443" t="inlineStr">
        <is>
          <t>A</t>
        </is>
      </c>
      <c r="D443" t="inlineStr">
        <is>
          <t>G</t>
        </is>
      </c>
      <c r="E443" t="inlineStr">
        <is>
          <t>265373</t>
        </is>
      </c>
      <c r="F443">
        <f>HYPERLINK("https://www.ncbi.nlm.nih.gov/clinvar/variation/265373/","ClinVarDB")</f>
        <v/>
      </c>
      <c r="G443" t="inlineStr">
        <is>
          <t>criteria_provided|_single_submitter</t>
        </is>
      </c>
      <c r="H443" t="inlineStr">
        <is>
          <t>not_provided</t>
        </is>
      </c>
      <c r="I443" t="inlineStr">
        <is>
          <t>Likely_pathogenic</t>
        </is>
      </c>
      <c r="J443" t="inlineStr">
        <is>
          <t>APC</t>
        </is>
      </c>
      <c r="K443" t="inlineStr">
        <is>
          <t>intron_variant&amp;non_coding_transcript_variant|splice_region_variant&amp;intron_variant|splice_region_variant&amp;intron_variant&amp;NMD_transcript_variant</t>
        </is>
      </c>
      <c r="L443" t="inlineStr"/>
      <c r="M443" t="inlineStr">
        <is>
          <t>ENST00000502371.1:n.96+5111A&gt;G|NM_001354904.2:c.1031-6A&gt;G|NM_000038.6:c.1409-6A&gt;G|NM_001354899.2:c.1325-6A&gt;G|NM_001354896.2:c.1463-6A&gt;G|ENST00000508376.2:c.1409-6A&gt;G|NM_001354895.2:c.1409-6A&gt;G|ENST00000457016.1:c.1409-6A&gt;G|NM_001354900.2:c.1286-6A&gt;G|ENST00000508624.1:c.*731-6A&gt;G|NM_001354902.2:c.1136-6A&gt;G|ENST00000512211.2:c.1409-6A&gt;G|NM_001354903.2:c.1106-6A&gt;G|ENST00000507379.1:c.1355-6A&gt;G|ENST00000257430.4:c.1409-6A&gt;G|NM_001354906.2:c.560-6A&gt;G|NM_001127510.3:c.1409-6A&gt;G|ENST00000504915.2:c.98-6A&gt;G|NM_001127511.3:c.1355-6A&gt;G|NM_001354897.2:c.1439-6A&gt;G|NM_001354898.2:c.1334-6A&gt;G|NM_001354901.2:c.1232-6A&gt;G|NM_001354905.2:c.929-6A&gt;G</t>
        </is>
      </c>
      <c r="N443" t="inlineStr"/>
      <c r="O443" t="inlineStr"/>
      <c r="P443" t="inlineStr"/>
      <c r="Q443" t="inlineStr"/>
      <c r="R443" t="inlineStr"/>
      <c r="S443" t="inlineStr"/>
    </row>
    <row r="444">
      <c r="A444" t="inlineStr">
        <is>
          <t>5</t>
        </is>
      </c>
      <c r="B444" t="n">
        <v>112162800</v>
      </c>
      <c r="C444" t="inlineStr">
        <is>
          <t>A</t>
        </is>
      </c>
      <c r="D444" t="inlineStr">
        <is>
          <t>G</t>
        </is>
      </c>
      <c r="E444" t="inlineStr">
        <is>
          <t>411406</t>
        </is>
      </c>
      <c r="F444">
        <f>HYPERLINK("https://www.ncbi.nlm.nih.gov/clinvar/variation/411406/","ClinVarDB")</f>
        <v/>
      </c>
      <c r="G444" t="inlineStr">
        <is>
          <t>criteria_provided|_single_submitter</t>
        </is>
      </c>
      <c r="H444" t="inlineStr">
        <is>
          <t>Familial_adenomatous_polyposis_1</t>
        </is>
      </c>
      <c r="I444" t="inlineStr">
        <is>
          <t>Pathogenic</t>
        </is>
      </c>
      <c r="J444" t="inlineStr">
        <is>
          <t>APC</t>
        </is>
      </c>
      <c r="K444" t="inlineStr">
        <is>
          <t>intron_variant&amp;non_coding_transcript_variant|splice_region_variant&amp;intron_variant|splice_region_variant&amp;intron_variant&amp;NMD_transcript_variant</t>
        </is>
      </c>
      <c r="L444" t="inlineStr"/>
      <c r="M444" t="inlineStr">
        <is>
          <t>NM_001127511.3:c.1355-5A&gt;G|ENST00000502371.1:n.96+5112A&gt;G|NM_001354896.2:c.1463-5A&gt;G|NM_001127510.3:c.1409-5A&gt;G|NM_000038.6:c.1409-5A&gt;G|ENST00000504915.2:c.98-5A&gt;G|ENST00000257430.4:c.1409-5A&gt;G|NM_001354901.2:c.1232-5A&gt;G|NM_001354898.2:c.1334-5A&gt;G|ENST00000507379.1:c.1355-5A&gt;G|NM_001354900.2:c.1286-5A&gt;G|NM_001354897.2:c.1439-5A&gt;G|ENST00000457016.1:c.1409-5A&gt;G|NM_001354902.2:c.1136-5A&gt;G|NM_001354899.2:c.1325-5A&gt;G|ENST00000508624.1:c.*731-5A&gt;G|ENST00000508376.2:c.1409-5A&gt;G|NM_001354905.2:c.929-5A&gt;G|NM_001354903.2:c.1106-5A&gt;G|NM_001354895.2:c.1409-5A&gt;G|ENST00000512211.2:c.1409-5A&gt;G|NM_001354904.2:c.1031-5A&gt;G|NM_001354906.2:c.560-5A&gt;G</t>
        </is>
      </c>
      <c r="N444" t="inlineStr"/>
      <c r="O444" t="inlineStr"/>
      <c r="P444" t="inlineStr"/>
      <c r="Q444" t="inlineStr"/>
      <c r="R444" t="inlineStr"/>
      <c r="S444" t="inlineStr"/>
    </row>
    <row r="445">
      <c r="A445" t="inlineStr">
        <is>
          <t>5</t>
        </is>
      </c>
      <c r="B445" t="n">
        <v>112162802</v>
      </c>
      <c r="C445" t="inlineStr">
        <is>
          <t>T</t>
        </is>
      </c>
      <c r="D445" t="inlineStr">
        <is>
          <t>G</t>
        </is>
      </c>
      <c r="E445" t="inlineStr">
        <is>
          <t>485146</t>
        </is>
      </c>
      <c r="F445">
        <f>HYPERLINK("https://www.ncbi.nlm.nih.gov/clinvar/variation/485146/","ClinVarDB")</f>
        <v/>
      </c>
      <c r="G445" t="inlineStr">
        <is>
          <t>criteria_provided|_single_submitter</t>
        </is>
      </c>
      <c r="H445" t="inlineStr">
        <is>
          <t>Hereditary_cancer-predisposing_syndrome</t>
        </is>
      </c>
      <c r="I445" t="inlineStr">
        <is>
          <t>Likely_pathogenic</t>
        </is>
      </c>
      <c r="J445" t="inlineStr">
        <is>
          <t>APC</t>
        </is>
      </c>
      <c r="K445" t="inlineStr">
        <is>
          <t>intron_variant&amp;non_coding_transcript_variant|splice_region_variant&amp;intron_variant|splice_region_variant&amp;intron_variant&amp;NMD_transcript_variant</t>
        </is>
      </c>
      <c r="L445" t="inlineStr"/>
      <c r="M445" t="inlineStr">
        <is>
          <t>ENST00000257430.4:c.1409-3T&gt;G|ENST00000457016.1:c.1409-3T&gt;G|NM_001354904.2:c.1031-3T&gt;G|ENST00000504915.2:c.98-3T&gt;G|NM_001354896.2:c.1463-3T&gt;G|NM_001354906.2:c.560-3T&gt;G|NM_001354895.2:c.1409-3T&gt;G|NM_001354897.2:c.1439-3T&gt;G|NM_001354900.2:c.1286-3T&gt;G|NM_001354901.2:c.1232-3T&gt;G|NM_001354902.2:c.1136-3T&gt;G|NM_001127511.3:c.1355-3T&gt;G|NM_001354905.2:c.929-3T&gt;G|ENST00000508624.1:c.*731-3T&gt;G|NM_001354898.2:c.1334-3T&gt;G|ENST00000512211.2:c.1409-3T&gt;G|ENST00000507379.1:c.1355-3T&gt;G|NM_001354899.2:c.1325-3T&gt;G|ENST00000502371.1:n.96+5114T&gt;G|NM_000038.6:c.1409-3T&gt;G|ENST00000508376.2:c.1409-3T&gt;G|NM_001127510.3:c.1409-3T&gt;G|NM_001354903.2:c.1106-3T&gt;G</t>
        </is>
      </c>
      <c r="N445" t="inlineStr"/>
      <c r="O445" t="inlineStr"/>
      <c r="P445" t="inlineStr"/>
      <c r="Q445" t="inlineStr"/>
      <c r="R445" t="inlineStr"/>
      <c r="S445" t="inlineStr"/>
    </row>
    <row r="446">
      <c r="A446" t="inlineStr">
        <is>
          <t>5</t>
        </is>
      </c>
      <c r="B446" t="n">
        <v>112174379</v>
      </c>
      <c r="C446" t="inlineStr">
        <is>
          <t>AAATA</t>
        </is>
      </c>
      <c r="D446" t="inlineStr">
        <is>
          <t>TTTTTTTTTTTTTTTTTTTTTTTTTTTTTTTTTTTTTTTTTTTTTTTTTTNNNNNNNNNNNNNNNNNNNNNCTCTGTATTTCCTGAATTTGAATATTGGCCTGCCTTGCTAGATTGGGGAAGTTCTCCTGGATAATATCCTGCAGTGTT</t>
        </is>
      </c>
      <c r="E446" t="inlineStr">
        <is>
          <t>1069494</t>
        </is>
      </c>
      <c r="F446">
        <f>HYPERLINK("https://www.ncbi.nlm.nih.gov/clinvar/variation/1069494/","ClinVarDB")</f>
        <v/>
      </c>
      <c r="G446" t="inlineStr">
        <is>
          <t>criteria_provided|_single_submitter</t>
        </is>
      </c>
      <c r="H446" t="inlineStr">
        <is>
          <t>Familial_adenomatous_polyposis_1</t>
        </is>
      </c>
      <c r="I446" t="inlineStr">
        <is>
          <t>Pathogenic</t>
        </is>
      </c>
      <c r="J446" t="inlineStr">
        <is>
          <t>APC</t>
        </is>
      </c>
      <c r="K446" t="inlineStr">
        <is>
          <t>coding_sequence_variant|intron_variant&amp;NMD_transcript_variant|non_coding_transcript_exon_variant|3_prime_UTR_variant&amp;NMD_transcript_variant</t>
        </is>
      </c>
      <c r="L446" t="inlineStr"/>
      <c r="M446" t="inlineStr"/>
      <c r="N446" t="inlineStr"/>
      <c r="O446" t="inlineStr"/>
      <c r="P446" t="inlineStr"/>
      <c r="Q446" t="inlineStr"/>
      <c r="R446" t="inlineStr"/>
      <c r="S446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2021-12-08T13:40:16Z</dcterms:created>
  <dcterms:modified xsi:type="dcterms:W3CDTF">2021-12-08T13:40:16Z</dcterms:modified>
</cp:coreProperties>
</file>